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yse\OneDrive\Desktop\"/>
    </mc:Choice>
  </mc:AlternateContent>
  <xr:revisionPtr revIDLastSave="0" documentId="13_ncr:1_{8327A0DF-39CD-4A98-B443-CCF919452937}" xr6:coauthVersionLast="47" xr6:coauthVersionMax="47" xr10:uidLastSave="{00000000-0000-0000-0000-000000000000}"/>
  <bookViews>
    <workbookView xWindow="-120" yWindow="-120" windowWidth="38640" windowHeight="21240" tabRatio="745" xr2:uid="{00000000-000D-0000-FFFF-FFFF00000000}"/>
  </bookViews>
  <sheets>
    <sheet name="Model Overview" sheetId="1" r:id="rId1"/>
    <sheet name="Calculated Inputs" sheetId="2" r:id="rId2"/>
    <sheet name="Parameters" sheetId="3" r:id="rId3"/>
    <sheet name="Decision Tree" sheetId="4" r:id="rId4"/>
    <sheet name="Markov Model" sheetId="5" state="hidden" r:id="rId5"/>
    <sheet name="Markov Model_b" sheetId="6" state="hidden" r:id="rId6"/>
    <sheet name="Markov Model_b (2)" sheetId="26" state="hidden" r:id="rId7"/>
    <sheet name="Markov Model_b (3)" sheetId="31" r:id="rId8"/>
    <sheet name="Markov Model_SA1" sheetId="34" state="hidden" r:id="rId9"/>
    <sheet name="Markov Model_SA2" sheetId="35" state="hidden" r:id="rId10"/>
    <sheet name="Survival Extrapolation" sheetId="16" r:id="rId11"/>
    <sheet name="life-tables-test" sheetId="18" state="hidden" r:id="rId12"/>
    <sheet name="OWSA" sheetId="7" r:id="rId13"/>
    <sheet name="OWSA Graph" sheetId="8" state="hidden" r:id="rId14"/>
    <sheet name="PSA" sheetId="9" r:id="rId15"/>
  </sheets>
  <definedNames>
    <definedName name="_xlnm._FilterDatabase" localSheetId="13" hidden="1">'OWSA Graph'!$A$1:$D$1</definedName>
    <definedName name="age">#REF!</definedName>
    <definedName name="cDR">Parameters!$B$17</definedName>
    <definedName name="cohortsize">Parameters!$B$15</definedName>
    <definedName name="cRatio">PSA!$AJ$6</definedName>
    <definedName name="cycle" localSheetId="5">'Markov Model_b'!$C$11:$C$119</definedName>
    <definedName name="cycle" localSheetId="6">'Markov Model_b (2)'!$C$11:$C$408</definedName>
    <definedName name="cycle" localSheetId="7">'Markov Model_b (3)'!$C$11:$C$408</definedName>
    <definedName name="cycle" localSheetId="8">'Markov Model_SA1'!$C$11:$C$408</definedName>
    <definedName name="cycle" localSheetId="9">'Markov Model_SA2'!$C$11:$C$408</definedName>
    <definedName name="cycle">'Markov Model'!$C$11:$C$61</definedName>
    <definedName name="cycle2" localSheetId="5">'Markov Model_b'!$P$11:$P$119</definedName>
    <definedName name="cycle2" localSheetId="6">'Markov Model_b (2)'!$P$11:$P$408</definedName>
    <definedName name="cycle2" localSheetId="7">'Markov Model_b (3)'!$P$11:$P$408</definedName>
    <definedName name="cycle2" localSheetId="8">'Markov Model_SA1'!$P$11:$P$408</definedName>
    <definedName name="cycle2" localSheetId="9">'Markov Model_SA2'!$P$11:$P$408</definedName>
    <definedName name="cycle2">'Markov Model'!$P$11:$P$61</definedName>
    <definedName name="gamma">#REF!</definedName>
    <definedName name="gengamma_tbl">'Survival Extrapolation'!#REF!</definedName>
    <definedName name="lambda">#REF!</definedName>
    <definedName name="lifetable">#REF!</definedName>
    <definedName name="lifetable_hk">#REF!</definedName>
    <definedName name="lifetable2">#REF!</definedName>
    <definedName name="male">#REF!</definedName>
    <definedName name="mr" localSheetId="5">'Markov Model_b'!$E$11:$E$61</definedName>
    <definedName name="mr" localSheetId="6">'Markov Model_b (2)'!$E$11:$E$61</definedName>
    <definedName name="mr" localSheetId="7">'Markov Model_b (3)'!$E$11:$E$61</definedName>
    <definedName name="mr" localSheetId="8">'Markov Model_SA1'!$E$11:$E$61</definedName>
    <definedName name="mr" localSheetId="9">'Markov Model_SA2'!$E$11:$E$61</definedName>
    <definedName name="mr">'Markov Model'!$E$12:$E$61</definedName>
    <definedName name="mr_2" localSheetId="5">'Markov Model_b'!$R$11:$R$119</definedName>
    <definedName name="mr_2" localSheetId="6">'Markov Model_b (2)'!$R$11:$R$119</definedName>
    <definedName name="mr_2" localSheetId="7">'Markov Model_b (3)'!$R$11:$R$119</definedName>
    <definedName name="mr_2" localSheetId="8">'Markov Model_SA1'!$R$11:$R$119</definedName>
    <definedName name="mr_2" localSheetId="9">'Markov Model_SA2'!$R$11:$R$119</definedName>
    <definedName name="mr_2">'Markov Model'!$R$12:$R$61</definedName>
    <definedName name="oDR">Parameters!$B$18</definedName>
    <definedName name="P_survival_gengamma">'Survival Extrapolation'!$BA$26:$BA$370</definedName>
    <definedName name="rrDeath1_2">Parameters!$B$53</definedName>
    <definedName name="rrDeath10">#REF!</definedName>
    <definedName name="rrDeath11">#REF!</definedName>
    <definedName name="rrDeath12">#REF!</definedName>
    <definedName name="rrDeath13">#REF!</definedName>
    <definedName name="rrDeath14">#REF!</definedName>
    <definedName name="rrDeath15">#REF!</definedName>
    <definedName name="rrDeath16">#REF!</definedName>
    <definedName name="rrDeath3">Parameters!$B$54</definedName>
    <definedName name="rrDeath4">#REF!</definedName>
    <definedName name="rrDeath5">#REF!</definedName>
    <definedName name="rrDeath6">#REF!</definedName>
    <definedName name="rrDeath7">#REF!</definedName>
    <definedName name="rrDeath8">#REF!</definedName>
    <definedName name="rrDeath9">#REF!</definedName>
    <definedName name="uPostT">Parameters!$B$51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32" roundtripDataSignature="AMtx7mhBX7gFKDlRiQDpDxLAPJwG/I5odg=="/>
    </ext>
  </extLst>
</workbook>
</file>

<file path=xl/calcChain.xml><?xml version="1.0" encoding="utf-8"?>
<calcChain xmlns="http://schemas.openxmlformats.org/spreadsheetml/2006/main">
  <c r="A58" i="3" l="1"/>
  <c r="AK2" i="9"/>
  <c r="AJ2" i="9"/>
  <c r="AI2" i="9"/>
  <c r="AK3" i="9"/>
  <c r="AJ3" i="9"/>
  <c r="AI3" i="9"/>
  <c r="AF8" i="9"/>
  <c r="AK5" i="9"/>
  <c r="AJ5" i="9"/>
  <c r="AI5" i="9"/>
  <c r="AF7" i="9"/>
  <c r="AF5" i="9" s="1"/>
  <c r="AG5" i="9"/>
  <c r="AG8" i="9"/>
  <c r="AF6" i="9"/>
  <c r="T10" i="35"/>
  <c r="G10" i="35"/>
  <c r="T10" i="34"/>
  <c r="G10" i="34"/>
  <c r="AF3" i="9"/>
  <c r="AC2" i="9"/>
  <c r="AG6" i="9"/>
  <c r="AG7" i="9"/>
  <c r="D423" i="31"/>
  <c r="AG3" i="9"/>
  <c r="AG2" i="9"/>
  <c r="AF2" i="9"/>
  <c r="N443" i="31"/>
  <c r="N442" i="31"/>
  <c r="I35" i="7"/>
  <c r="H35" i="7"/>
  <c r="I34" i="7"/>
  <c r="H34" i="7"/>
  <c r="BJ72" i="16"/>
  <c r="T10" i="31"/>
  <c r="G10" i="31"/>
  <c r="D31" i="3"/>
  <c r="O7" i="3"/>
  <c r="D24" i="3"/>
  <c r="BB27" i="16"/>
  <c r="D32" i="3"/>
  <c r="C48" i="3"/>
  <c r="C47" i="3"/>
  <c r="C46" i="3"/>
  <c r="C45" i="3"/>
  <c r="C44" i="3"/>
  <c r="C43" i="3"/>
  <c r="L411" i="18"/>
  <c r="L410" i="18"/>
  <c r="L409" i="18"/>
  <c r="L408" i="18"/>
  <c r="L407" i="18"/>
  <c r="L406" i="18"/>
  <c r="L405" i="18"/>
  <c r="L404" i="18"/>
  <c r="L403" i="18"/>
  <c r="L402" i="18"/>
  <c r="L401" i="18"/>
  <c r="L400" i="18"/>
  <c r="L399" i="18"/>
  <c r="L398" i="18"/>
  <c r="L397" i="18"/>
  <c r="L396" i="18"/>
  <c r="L395" i="18"/>
  <c r="L394" i="18"/>
  <c r="L393" i="18"/>
  <c r="L392" i="18"/>
  <c r="L391" i="18"/>
  <c r="L390" i="18"/>
  <c r="L389" i="18"/>
  <c r="L388" i="18"/>
  <c r="L387" i="18"/>
  <c r="L386" i="18"/>
  <c r="L385" i="18"/>
  <c r="L384" i="18"/>
  <c r="L383" i="18"/>
  <c r="L382" i="18"/>
  <c r="L381" i="18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L366" i="18"/>
  <c r="L365" i="18"/>
  <c r="L364" i="18"/>
  <c r="L363" i="18"/>
  <c r="L362" i="18"/>
  <c r="L361" i="18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L348" i="18"/>
  <c r="L347" i="18"/>
  <c r="L346" i="18"/>
  <c r="L345" i="18"/>
  <c r="L344" i="18"/>
  <c r="L343" i="18"/>
  <c r="L342" i="18"/>
  <c r="L341" i="18"/>
  <c r="L340" i="18"/>
  <c r="L339" i="18"/>
  <c r="L338" i="18"/>
  <c r="L337" i="18"/>
  <c r="L336" i="18"/>
  <c r="L335" i="18"/>
  <c r="L334" i="18"/>
  <c r="L333" i="18"/>
  <c r="L332" i="18"/>
  <c r="L331" i="18"/>
  <c r="L330" i="18"/>
  <c r="L329" i="18"/>
  <c r="L328" i="18"/>
  <c r="L327" i="18"/>
  <c r="L326" i="18"/>
  <c r="L325" i="18"/>
  <c r="L324" i="18"/>
  <c r="L323" i="18"/>
  <c r="L322" i="18"/>
  <c r="L321" i="18"/>
  <c r="L320" i="18"/>
  <c r="L319" i="18"/>
  <c r="L318" i="18"/>
  <c r="L317" i="18"/>
  <c r="L316" i="18"/>
  <c r="L315" i="18"/>
  <c r="L314" i="18"/>
  <c r="L313" i="18"/>
  <c r="L312" i="18"/>
  <c r="L311" i="18"/>
  <c r="L310" i="18"/>
  <c r="L309" i="18"/>
  <c r="L308" i="18"/>
  <c r="L307" i="18"/>
  <c r="L306" i="18"/>
  <c r="L305" i="18"/>
  <c r="L304" i="18"/>
  <c r="L303" i="18"/>
  <c r="L302" i="18"/>
  <c r="L301" i="18"/>
  <c r="L300" i="18"/>
  <c r="L299" i="18"/>
  <c r="L298" i="18"/>
  <c r="L297" i="18"/>
  <c r="L296" i="18"/>
  <c r="L295" i="18"/>
  <c r="L294" i="18"/>
  <c r="L293" i="18"/>
  <c r="L292" i="18"/>
  <c r="L291" i="18"/>
  <c r="L290" i="18"/>
  <c r="L289" i="18"/>
  <c r="L288" i="18"/>
  <c r="L287" i="18"/>
  <c r="L286" i="18"/>
  <c r="L285" i="18"/>
  <c r="L284" i="18"/>
  <c r="L283" i="18"/>
  <c r="L282" i="18"/>
  <c r="L281" i="18"/>
  <c r="L280" i="18"/>
  <c r="L279" i="18"/>
  <c r="L278" i="18"/>
  <c r="L277" i="18"/>
  <c r="L276" i="18"/>
  <c r="L275" i="18"/>
  <c r="L274" i="18"/>
  <c r="L273" i="18"/>
  <c r="L272" i="18"/>
  <c r="L271" i="18"/>
  <c r="L270" i="18"/>
  <c r="L269" i="18"/>
  <c r="L268" i="18"/>
  <c r="L267" i="18"/>
  <c r="L266" i="18"/>
  <c r="L265" i="18"/>
  <c r="L264" i="18"/>
  <c r="L263" i="18"/>
  <c r="L262" i="18"/>
  <c r="L261" i="18"/>
  <c r="L260" i="18"/>
  <c r="L259" i="18"/>
  <c r="L258" i="18"/>
  <c r="L257" i="18"/>
  <c r="L256" i="18"/>
  <c r="L255" i="18"/>
  <c r="L254" i="18"/>
  <c r="L253" i="18"/>
  <c r="L252" i="18"/>
  <c r="L251" i="18"/>
  <c r="L250" i="18"/>
  <c r="L249" i="18"/>
  <c r="L248" i="18"/>
  <c r="L247" i="18"/>
  <c r="L246" i="18"/>
  <c r="L245" i="18"/>
  <c r="L244" i="18"/>
  <c r="L243" i="18"/>
  <c r="L242" i="18"/>
  <c r="L241" i="18"/>
  <c r="L240" i="18"/>
  <c r="L239" i="18"/>
  <c r="L238" i="18"/>
  <c r="L237" i="18"/>
  <c r="L236" i="18"/>
  <c r="L235" i="18"/>
  <c r="L234" i="18"/>
  <c r="L233" i="18"/>
  <c r="L232" i="18"/>
  <c r="L231" i="18"/>
  <c r="L230" i="18"/>
  <c r="L229" i="18"/>
  <c r="L228" i="18"/>
  <c r="L227" i="18"/>
  <c r="L226" i="18"/>
  <c r="L225" i="18"/>
  <c r="L224" i="18"/>
  <c r="L223" i="18"/>
  <c r="L222" i="18"/>
  <c r="L221" i="18"/>
  <c r="L220" i="18"/>
  <c r="L219" i="18"/>
  <c r="L218" i="18"/>
  <c r="L217" i="18"/>
  <c r="L216" i="18"/>
  <c r="L215" i="18"/>
  <c r="L214" i="18"/>
  <c r="L213" i="18"/>
  <c r="L212" i="18"/>
  <c r="L211" i="18"/>
  <c r="L210" i="18"/>
  <c r="L209" i="18"/>
  <c r="L208" i="18"/>
  <c r="L207" i="18"/>
  <c r="L206" i="18"/>
  <c r="L205" i="18"/>
  <c r="L204" i="18"/>
  <c r="L203" i="18"/>
  <c r="L202" i="18"/>
  <c r="L201" i="18"/>
  <c r="L200" i="18"/>
  <c r="L199" i="18"/>
  <c r="L198" i="18"/>
  <c r="L197" i="18"/>
  <c r="L196" i="18"/>
  <c r="L195" i="18"/>
  <c r="L194" i="18"/>
  <c r="L193" i="18"/>
  <c r="L192" i="18"/>
  <c r="L191" i="18"/>
  <c r="L190" i="18"/>
  <c r="L189" i="18"/>
  <c r="L188" i="18"/>
  <c r="L187" i="18"/>
  <c r="L186" i="18"/>
  <c r="L185" i="18"/>
  <c r="L184" i="18"/>
  <c r="L183" i="18"/>
  <c r="L182" i="18"/>
  <c r="L181" i="18"/>
  <c r="L180" i="18"/>
  <c r="L179" i="18"/>
  <c r="L178" i="18"/>
  <c r="L177" i="18"/>
  <c r="L176" i="18"/>
  <c r="L175" i="18"/>
  <c r="L174" i="18"/>
  <c r="L173" i="18"/>
  <c r="L172" i="18"/>
  <c r="L171" i="18"/>
  <c r="L170" i="18"/>
  <c r="L169" i="18"/>
  <c r="L168" i="18"/>
  <c r="L167" i="18"/>
  <c r="L166" i="18"/>
  <c r="L165" i="18"/>
  <c r="L164" i="18"/>
  <c r="L163" i="18"/>
  <c r="L162" i="18"/>
  <c r="L161" i="18"/>
  <c r="L160" i="18"/>
  <c r="L159" i="18"/>
  <c r="L158" i="18"/>
  <c r="L157" i="18"/>
  <c r="L156" i="18"/>
  <c r="L155" i="18"/>
  <c r="L154" i="18"/>
  <c r="L153" i="18"/>
  <c r="L152" i="18"/>
  <c r="L151" i="18"/>
  <c r="L150" i="18"/>
  <c r="L149" i="18"/>
  <c r="L148" i="18"/>
  <c r="L147" i="18"/>
  <c r="L146" i="18"/>
  <c r="L145" i="18"/>
  <c r="L144" i="18"/>
  <c r="L143" i="18"/>
  <c r="L142" i="18"/>
  <c r="L141" i="18"/>
  <c r="L140" i="18"/>
  <c r="L139" i="18"/>
  <c r="L138" i="18"/>
  <c r="L137" i="18"/>
  <c r="L136" i="18"/>
  <c r="L135" i="18"/>
  <c r="L134" i="18"/>
  <c r="L133" i="18"/>
  <c r="L132" i="18"/>
  <c r="L131" i="18"/>
  <c r="L130" i="18"/>
  <c r="L129" i="18"/>
  <c r="L128" i="18"/>
  <c r="L127" i="18"/>
  <c r="L126" i="18"/>
  <c r="L125" i="18"/>
  <c r="L124" i="18"/>
  <c r="L123" i="18"/>
  <c r="E116" i="18"/>
  <c r="L122" i="18"/>
  <c r="L121" i="18"/>
  <c r="L120" i="18"/>
  <c r="L119" i="18"/>
  <c r="L118" i="18"/>
  <c r="L117" i="18"/>
  <c r="L116" i="18"/>
  <c r="L115" i="18"/>
  <c r="L114" i="18"/>
  <c r="L113" i="18"/>
  <c r="L112" i="18"/>
  <c r="L111" i="18"/>
  <c r="AQ27" i="16"/>
  <c r="AL27" i="16"/>
  <c r="AG27" i="16"/>
  <c r="W27" i="16"/>
  <c r="AB27" i="16"/>
  <c r="I24" i="16"/>
  <c r="D8" i="8"/>
  <c r="D41" i="3"/>
  <c r="D40" i="3"/>
  <c r="D39" i="3"/>
  <c r="D38" i="3"/>
  <c r="D36" i="3"/>
  <c r="D34" i="3"/>
  <c r="D5" i="8"/>
  <c r="T10" i="26"/>
  <c r="G10" i="26"/>
  <c r="G64" i="3"/>
  <c r="H64" i="3" s="1"/>
  <c r="K3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J411" i="18"/>
  <c r="J410" i="18"/>
  <c r="J409" i="18"/>
  <c r="J408" i="18"/>
  <c r="J407" i="18"/>
  <c r="J406" i="18"/>
  <c r="J405" i="18"/>
  <c r="J404" i="18"/>
  <c r="J403" i="18"/>
  <c r="J402" i="18"/>
  <c r="J401" i="18"/>
  <c r="J400" i="18"/>
  <c r="J399" i="18"/>
  <c r="J398" i="18"/>
  <c r="J397" i="18"/>
  <c r="J396" i="18"/>
  <c r="J395" i="18"/>
  <c r="J394" i="18"/>
  <c r="J393" i="18"/>
  <c r="J392" i="18"/>
  <c r="J391" i="18"/>
  <c r="J390" i="18"/>
  <c r="J389" i="18"/>
  <c r="J388" i="18"/>
  <c r="J387" i="18"/>
  <c r="J386" i="18"/>
  <c r="J385" i="18"/>
  <c r="J384" i="18"/>
  <c r="J383" i="18"/>
  <c r="J382" i="18"/>
  <c r="J381" i="18"/>
  <c r="J380" i="18"/>
  <c r="J379" i="18"/>
  <c r="J378" i="18"/>
  <c r="J377" i="18"/>
  <c r="J376" i="18"/>
  <c r="J375" i="18"/>
  <c r="J374" i="18"/>
  <c r="J373" i="18"/>
  <c r="J372" i="18"/>
  <c r="J371" i="18"/>
  <c r="J370" i="18"/>
  <c r="J369" i="18"/>
  <c r="J368" i="18"/>
  <c r="J367" i="18"/>
  <c r="J366" i="18"/>
  <c r="J365" i="18"/>
  <c r="J364" i="18"/>
  <c r="J363" i="18"/>
  <c r="J362" i="18"/>
  <c r="J361" i="18"/>
  <c r="J360" i="18"/>
  <c r="J359" i="18"/>
  <c r="J358" i="18"/>
  <c r="J357" i="18"/>
  <c r="J356" i="18"/>
  <c r="J355" i="18"/>
  <c r="J354" i="18"/>
  <c r="J353" i="18"/>
  <c r="J352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K298" i="18"/>
  <c r="K297" i="18"/>
  <c r="K296" i="18"/>
  <c r="K295" i="18"/>
  <c r="K294" i="18"/>
  <c r="K293" i="18"/>
  <c r="J351" i="18"/>
  <c r="J350" i="18"/>
  <c r="J349" i="18"/>
  <c r="J348" i="18"/>
  <c r="J347" i="18"/>
  <c r="J346" i="18"/>
  <c r="J345" i="18"/>
  <c r="J344" i="18"/>
  <c r="J343" i="18"/>
  <c r="J342" i="18"/>
  <c r="J341" i="18"/>
  <c r="J340" i="18"/>
  <c r="J339" i="18"/>
  <c r="J338" i="18"/>
  <c r="J337" i="18"/>
  <c r="J336" i="18"/>
  <c r="J335" i="18"/>
  <c r="J334" i="18"/>
  <c r="J333" i="18"/>
  <c r="J332" i="18"/>
  <c r="J331" i="18"/>
  <c r="J330" i="18"/>
  <c r="J329" i="18"/>
  <c r="J328" i="18"/>
  <c r="J327" i="18"/>
  <c r="J326" i="18"/>
  <c r="J325" i="18"/>
  <c r="J324" i="18"/>
  <c r="J323" i="18"/>
  <c r="J322" i="18"/>
  <c r="J321" i="18"/>
  <c r="J320" i="18"/>
  <c r="J319" i="18"/>
  <c r="J318" i="18"/>
  <c r="J317" i="18"/>
  <c r="J316" i="18"/>
  <c r="J315" i="18"/>
  <c r="J314" i="18"/>
  <c r="J313" i="18"/>
  <c r="J312" i="18"/>
  <c r="J311" i="18"/>
  <c r="J310" i="18"/>
  <c r="J309" i="18"/>
  <c r="J308" i="18"/>
  <c r="J307" i="18"/>
  <c r="J306" i="18"/>
  <c r="J305" i="18"/>
  <c r="J304" i="18"/>
  <c r="J303" i="18"/>
  <c r="J302" i="18"/>
  <c r="J301" i="18"/>
  <c r="J300" i="18"/>
  <c r="J299" i="18"/>
  <c r="J298" i="18"/>
  <c r="J297" i="18"/>
  <c r="J296" i="18"/>
  <c r="J295" i="18"/>
  <c r="J294" i="18"/>
  <c r="J293" i="18"/>
  <c r="J292" i="18"/>
  <c r="K292" i="18"/>
  <c r="K291" i="18"/>
  <c r="K290" i="18"/>
  <c r="K289" i="18"/>
  <c r="K288" i="18"/>
  <c r="K287" i="18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K260" i="18"/>
  <c r="K259" i="18"/>
  <c r="K258" i="18"/>
  <c r="K257" i="18"/>
  <c r="K256" i="18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J291" i="18"/>
  <c r="J290" i="18"/>
  <c r="J289" i="18"/>
  <c r="J288" i="18"/>
  <c r="J287" i="18"/>
  <c r="J286" i="18"/>
  <c r="J285" i="18"/>
  <c r="J284" i="18"/>
  <c r="J283" i="18"/>
  <c r="J282" i="18"/>
  <c r="J281" i="18"/>
  <c r="J280" i="18"/>
  <c r="J279" i="18"/>
  <c r="J278" i="18"/>
  <c r="J277" i="18"/>
  <c r="J276" i="18"/>
  <c r="J275" i="18"/>
  <c r="J274" i="18"/>
  <c r="J273" i="18"/>
  <c r="J272" i="18"/>
  <c r="J271" i="18"/>
  <c r="J270" i="18"/>
  <c r="J269" i="18"/>
  <c r="J268" i="18"/>
  <c r="J267" i="18"/>
  <c r="J266" i="18"/>
  <c r="J265" i="18"/>
  <c r="J264" i="18"/>
  <c r="J263" i="18"/>
  <c r="J262" i="18"/>
  <c r="J261" i="18"/>
  <c r="J260" i="18"/>
  <c r="J259" i="18"/>
  <c r="J258" i="18"/>
  <c r="J257" i="18"/>
  <c r="J256" i="18"/>
  <c r="J255" i="18"/>
  <c r="J254" i="18"/>
  <c r="J253" i="18"/>
  <c r="J252" i="18"/>
  <c r="J251" i="18"/>
  <c r="J250" i="18"/>
  <c r="J249" i="18"/>
  <c r="J248" i="18"/>
  <c r="J247" i="18"/>
  <c r="J246" i="18"/>
  <c r="J245" i="18"/>
  <c r="J244" i="18"/>
  <c r="J243" i="18"/>
  <c r="J242" i="18"/>
  <c r="J241" i="18"/>
  <c r="J240" i="18"/>
  <c r="J239" i="18"/>
  <c r="J238" i="18"/>
  <c r="J237" i="18"/>
  <c r="J236" i="18"/>
  <c r="J235" i="18"/>
  <c r="J234" i="18"/>
  <c r="J233" i="18"/>
  <c r="J232" i="18"/>
  <c r="K232" i="18" s="1"/>
  <c r="K231" i="18"/>
  <c r="K230" i="18"/>
  <c r="K229" i="18"/>
  <c r="K228" i="18"/>
  <c r="K227" i="18"/>
  <c r="K226" i="18"/>
  <c r="K225" i="18"/>
  <c r="K224" i="18"/>
  <c r="K223" i="18"/>
  <c r="K222" i="18"/>
  <c r="K221" i="18"/>
  <c r="K220" i="18"/>
  <c r="K219" i="18"/>
  <c r="K218" i="18"/>
  <c r="K217" i="18"/>
  <c r="K216" i="18"/>
  <c r="K215" i="18"/>
  <c r="K214" i="18"/>
  <c r="K213" i="18"/>
  <c r="K212" i="18"/>
  <c r="K211" i="18"/>
  <c r="K210" i="18"/>
  <c r="K209" i="18"/>
  <c r="K208" i="18"/>
  <c r="K207" i="18"/>
  <c r="K206" i="18"/>
  <c r="K205" i="18"/>
  <c r="K204" i="18"/>
  <c r="K203" i="18"/>
  <c r="K202" i="18"/>
  <c r="K201" i="18"/>
  <c r="K200" i="18"/>
  <c r="K199" i="18"/>
  <c r="K198" i="18"/>
  <c r="K197" i="18"/>
  <c r="K196" i="18"/>
  <c r="K195" i="18"/>
  <c r="K194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K179" i="18"/>
  <c r="K178" i="18"/>
  <c r="K177" i="18"/>
  <c r="K176" i="18"/>
  <c r="K175" i="18"/>
  <c r="K174" i="18"/>
  <c r="K173" i="18"/>
  <c r="J231" i="18"/>
  <c r="J230" i="18"/>
  <c r="J229" i="18"/>
  <c r="J228" i="18"/>
  <c r="J227" i="18"/>
  <c r="J226" i="18"/>
  <c r="J225" i="18"/>
  <c r="J224" i="18"/>
  <c r="J223" i="18"/>
  <c r="J222" i="18"/>
  <c r="J221" i="18"/>
  <c r="J220" i="18"/>
  <c r="J219" i="18"/>
  <c r="J218" i="18"/>
  <c r="J217" i="18"/>
  <c r="J216" i="18"/>
  <c r="J215" i="18"/>
  <c r="J214" i="18"/>
  <c r="J213" i="18"/>
  <c r="J212" i="18"/>
  <c r="J211" i="18"/>
  <c r="J210" i="18"/>
  <c r="J209" i="18"/>
  <c r="J208" i="18"/>
  <c r="J207" i="18"/>
  <c r="J206" i="18"/>
  <c r="J205" i="18"/>
  <c r="J204" i="18"/>
  <c r="J203" i="18"/>
  <c r="J202" i="18"/>
  <c r="J201" i="18"/>
  <c r="J200" i="18"/>
  <c r="J199" i="18"/>
  <c r="J198" i="18"/>
  <c r="J197" i="18"/>
  <c r="J196" i="18"/>
  <c r="J195" i="18"/>
  <c r="J194" i="18"/>
  <c r="J193" i="18"/>
  <c r="J192" i="18"/>
  <c r="J191" i="18"/>
  <c r="J190" i="18"/>
  <c r="J189" i="18"/>
  <c r="J188" i="18"/>
  <c r="J187" i="18"/>
  <c r="J186" i="18"/>
  <c r="J185" i="18"/>
  <c r="J184" i="18"/>
  <c r="J183" i="18"/>
  <c r="J182" i="18"/>
  <c r="J181" i="18"/>
  <c r="J180" i="18"/>
  <c r="J179" i="18"/>
  <c r="J178" i="18"/>
  <c r="J177" i="18"/>
  <c r="J176" i="18"/>
  <c r="J175" i="18"/>
  <c r="J174" i="18"/>
  <c r="J173" i="18"/>
  <c r="J172" i="18"/>
  <c r="K172" i="18" s="1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K132" i="18"/>
  <c r="K131" i="18"/>
  <c r="K130" i="18"/>
  <c r="K129" i="18"/>
  <c r="K128" i="18"/>
  <c r="K127" i="18"/>
  <c r="K126" i="18"/>
  <c r="K125" i="18"/>
  <c r="K124" i="18"/>
  <c r="K123" i="18"/>
  <c r="K122" i="18"/>
  <c r="K121" i="18"/>
  <c r="K120" i="18"/>
  <c r="K119" i="18"/>
  <c r="K118" i="18"/>
  <c r="K117" i="18"/>
  <c r="K116" i="18"/>
  <c r="K115" i="18"/>
  <c r="K114" i="18"/>
  <c r="K113" i="18"/>
  <c r="K112" i="18"/>
  <c r="J171" i="18"/>
  <c r="J170" i="18"/>
  <c r="J169" i="18"/>
  <c r="J168" i="18"/>
  <c r="J167" i="18"/>
  <c r="J166" i="18"/>
  <c r="J165" i="18"/>
  <c r="J164" i="18"/>
  <c r="J163" i="18"/>
  <c r="J162" i="18"/>
  <c r="J161" i="18"/>
  <c r="J160" i="18"/>
  <c r="J159" i="18"/>
  <c r="J158" i="18"/>
  <c r="J157" i="18"/>
  <c r="J156" i="18"/>
  <c r="J155" i="18"/>
  <c r="J154" i="18"/>
  <c r="J153" i="18"/>
  <c r="J152" i="18"/>
  <c r="J151" i="18"/>
  <c r="J150" i="18"/>
  <c r="J149" i="18"/>
  <c r="J148" i="18"/>
  <c r="J147" i="18"/>
  <c r="J146" i="18"/>
  <c r="J145" i="18"/>
  <c r="J144" i="18"/>
  <c r="J143" i="18"/>
  <c r="J142" i="18"/>
  <c r="J141" i="18"/>
  <c r="J140" i="18"/>
  <c r="J139" i="18"/>
  <c r="J138" i="18"/>
  <c r="J137" i="18"/>
  <c r="J136" i="18"/>
  <c r="J135" i="18"/>
  <c r="J134" i="18"/>
  <c r="J133" i="18"/>
  <c r="J132" i="18"/>
  <c r="J131" i="18"/>
  <c r="J130" i="18"/>
  <c r="J129" i="18"/>
  <c r="J128" i="18"/>
  <c r="J127" i="18"/>
  <c r="J126" i="18"/>
  <c r="J125" i="18"/>
  <c r="J124" i="18"/>
  <c r="J123" i="18"/>
  <c r="J122" i="18"/>
  <c r="J121" i="18"/>
  <c r="J120" i="18"/>
  <c r="J119" i="18"/>
  <c r="J118" i="18"/>
  <c r="J117" i="18"/>
  <c r="J116" i="18"/>
  <c r="J115" i="18"/>
  <c r="J114" i="18"/>
  <c r="J113" i="18"/>
  <c r="J112" i="18"/>
  <c r="J111" i="18"/>
  <c r="K111" i="18"/>
  <c r="K110" i="18"/>
  <c r="K109" i="18"/>
  <c r="K108" i="18"/>
  <c r="K107" i="18"/>
  <c r="K106" i="18"/>
  <c r="K105" i="18"/>
  <c r="K104" i="18"/>
  <c r="K103" i="18"/>
  <c r="K102" i="18"/>
  <c r="K101" i="18"/>
  <c r="K100" i="18"/>
  <c r="K99" i="18"/>
  <c r="K98" i="18"/>
  <c r="K97" i="18"/>
  <c r="K96" i="18"/>
  <c r="K95" i="18"/>
  <c r="K94" i="18"/>
  <c r="K93" i="18"/>
  <c r="K92" i="18"/>
  <c r="K91" i="18"/>
  <c r="K90" i="18"/>
  <c r="K89" i="18"/>
  <c r="K88" i="18"/>
  <c r="K87" i="18"/>
  <c r="K86" i="18"/>
  <c r="K85" i="18"/>
  <c r="K84" i="18"/>
  <c r="K83" i="18"/>
  <c r="K82" i="18"/>
  <c r="K81" i="18"/>
  <c r="K80" i="18"/>
  <c r="K79" i="18"/>
  <c r="K78" i="18"/>
  <c r="K77" i="18"/>
  <c r="K76" i="18"/>
  <c r="K75" i="18"/>
  <c r="K74" i="18"/>
  <c r="K73" i="18"/>
  <c r="K72" i="18"/>
  <c r="K71" i="18"/>
  <c r="K70" i="18"/>
  <c r="K69" i="18"/>
  <c r="K68" i="18"/>
  <c r="K67" i="18"/>
  <c r="K66" i="18"/>
  <c r="K65" i="18"/>
  <c r="K64" i="18"/>
  <c r="K63" i="18"/>
  <c r="K62" i="18"/>
  <c r="K61" i="18"/>
  <c r="K60" i="18"/>
  <c r="K59" i="18"/>
  <c r="K58" i="18"/>
  <c r="K57" i="18"/>
  <c r="K56" i="18"/>
  <c r="K55" i="18"/>
  <c r="K54" i="18"/>
  <c r="K53" i="18"/>
  <c r="K52" i="18"/>
  <c r="K51" i="18"/>
  <c r="K50" i="18"/>
  <c r="K49" i="18"/>
  <c r="K48" i="18"/>
  <c r="K47" i="18"/>
  <c r="K46" i="18"/>
  <c r="K45" i="18"/>
  <c r="K44" i="18"/>
  <c r="K43" i="18"/>
  <c r="K42" i="18"/>
  <c r="K41" i="18"/>
  <c r="K40" i="18"/>
  <c r="K39" i="18"/>
  <c r="K38" i="18"/>
  <c r="K37" i="18"/>
  <c r="K36" i="18"/>
  <c r="K35" i="18"/>
  <c r="K34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M3" i="18"/>
  <c r="L4" i="18" s="1"/>
  <c r="M4" i="18" s="1"/>
  <c r="L3" i="18"/>
  <c r="K14" i="18"/>
  <c r="K13" i="18"/>
  <c r="K12" i="18"/>
  <c r="K11" i="18"/>
  <c r="K10" i="18"/>
  <c r="K9" i="18"/>
  <c r="K8" i="18"/>
  <c r="K7" i="18"/>
  <c r="K6" i="18"/>
  <c r="K5" i="18"/>
  <c r="K4" i="18"/>
  <c r="F17" i="18"/>
  <c r="J110" i="18"/>
  <c r="J109" i="18"/>
  <c r="J108" i="18"/>
  <c r="J107" i="18"/>
  <c r="J106" i="18"/>
  <c r="J105" i="18"/>
  <c r="J104" i="18"/>
  <c r="J103" i="18"/>
  <c r="J102" i="18"/>
  <c r="J101" i="18"/>
  <c r="J100" i="18"/>
  <c r="J99" i="18"/>
  <c r="J98" i="18"/>
  <c r="J97" i="18"/>
  <c r="J96" i="18"/>
  <c r="J95" i="18"/>
  <c r="J94" i="18"/>
  <c r="J93" i="18"/>
  <c r="J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E30" i="18"/>
  <c r="E29" i="18"/>
  <c r="E28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G63" i="3" l="1"/>
  <c r="H63" i="3" s="1"/>
  <c r="B63" i="3"/>
  <c r="C63" i="3" s="1"/>
  <c r="B65" i="3"/>
  <c r="C65" i="3" s="1"/>
  <c r="B66" i="3"/>
  <c r="C66" i="3" s="1"/>
  <c r="G65" i="3"/>
  <c r="H65" i="3" s="1"/>
  <c r="G66" i="3"/>
  <c r="H66" i="3" s="1"/>
  <c r="B64" i="3"/>
  <c r="C64" i="3" s="1"/>
  <c r="L5" i="18"/>
  <c r="M5" i="18" s="1"/>
  <c r="D12" i="8"/>
  <c r="D15" i="8"/>
  <c r="G28" i="3"/>
  <c r="G21" i="3"/>
  <c r="H21" i="3" s="1"/>
  <c r="C67" i="3" l="1"/>
  <c r="H67" i="3"/>
  <c r="W12" i="9" s="1"/>
  <c r="L6" i="18"/>
  <c r="M6" i="18" s="1"/>
  <c r="C41" i="3"/>
  <c r="V12" i="9" l="1"/>
  <c r="D55" i="3"/>
  <c r="B55" i="3" s="1"/>
  <c r="G26" i="4"/>
  <c r="D56" i="3"/>
  <c r="B56" i="3" s="1"/>
  <c r="F26" i="4"/>
  <c r="L7" i="18"/>
  <c r="M7" i="18" s="1"/>
  <c r="Q23" i="4" l="1"/>
  <c r="Q25" i="4"/>
  <c r="Q27" i="4"/>
  <c r="Q21" i="4"/>
  <c r="Q17" i="4"/>
  <c r="Q13" i="4"/>
  <c r="Q11" i="4"/>
  <c r="Q15" i="4"/>
  <c r="M8" i="18"/>
  <c r="L8" i="18"/>
  <c r="L9" i="18" l="1"/>
  <c r="M9" i="18" s="1"/>
  <c r="L10" i="18" l="1"/>
  <c r="M10" i="18" s="1"/>
  <c r="L11" i="18" l="1"/>
  <c r="M11" i="18" s="1"/>
  <c r="M12" i="18" l="1"/>
  <c r="L12" i="18"/>
  <c r="L13" i="18" l="1"/>
  <c r="M13" i="18" s="1"/>
  <c r="L14" i="18" l="1"/>
  <c r="M14" i="18" s="1"/>
  <c r="T31" i="16" l="1"/>
  <c r="T15" i="16"/>
  <c r="X15" i="16" s="1"/>
  <c r="T14" i="16"/>
  <c r="X14" i="16" s="1"/>
  <c r="T13" i="16"/>
  <c r="X13" i="16" s="1"/>
  <c r="T12" i="16"/>
  <c r="X12" i="16" s="1"/>
  <c r="T11" i="16"/>
  <c r="X11" i="16" s="1"/>
  <c r="I96" i="16"/>
  <c r="AZ22" i="16" s="1"/>
  <c r="I98" i="16"/>
  <c r="AZ23" i="16" s="1"/>
  <c r="AZ24" i="16" s="1"/>
  <c r="I94" i="16"/>
  <c r="AZ21" i="16" s="1"/>
  <c r="N97" i="16"/>
  <c r="N96" i="16"/>
  <c r="N95" i="16"/>
  <c r="I82" i="16"/>
  <c r="AU22" i="16" s="1"/>
  <c r="I80" i="16"/>
  <c r="AU21" i="16" s="1"/>
  <c r="N82" i="16"/>
  <c r="N81" i="16"/>
  <c r="I68" i="16"/>
  <c r="AP22" i="16" s="1"/>
  <c r="N68" i="16"/>
  <c r="N67" i="16"/>
  <c r="I66" i="16"/>
  <c r="AP21" i="16" s="1"/>
  <c r="I54" i="16"/>
  <c r="AK22" i="16" s="1"/>
  <c r="I52" i="16"/>
  <c r="AK21" i="16" s="1"/>
  <c r="N54" i="16"/>
  <c r="N53" i="16"/>
  <c r="N40" i="16"/>
  <c r="N39" i="16"/>
  <c r="I40" i="16"/>
  <c r="AF22" i="16" s="1"/>
  <c r="I38" i="16"/>
  <c r="AF21" i="16" s="1"/>
  <c r="N26" i="16"/>
  <c r="N25" i="16"/>
  <c r="I26" i="16"/>
  <c r="AA22" i="16" s="1"/>
  <c r="AA21" i="16"/>
  <c r="N13" i="16"/>
  <c r="I12" i="16"/>
  <c r="V21" i="16" s="1"/>
  <c r="AI14" i="9"/>
  <c r="AK27" i="16" l="1"/>
  <c r="AA31" i="16"/>
  <c r="AA30" i="16"/>
  <c r="AA29" i="16"/>
  <c r="AA28" i="16"/>
  <c r="AA27" i="16"/>
  <c r="V30" i="16"/>
  <c r="V27" i="16"/>
  <c r="AW31" i="16"/>
  <c r="AW30" i="16"/>
  <c r="AV32" i="16"/>
  <c r="AW28" i="16"/>
  <c r="AV30" i="16"/>
  <c r="AV28" i="16"/>
  <c r="AV27" i="16"/>
  <c r="AV29" i="16"/>
  <c r="AV31" i="16"/>
  <c r="AW29" i="16"/>
  <c r="AW27" i="16"/>
  <c r="W11" i="16"/>
  <c r="AU27" i="16"/>
  <c r="W12" i="16"/>
  <c r="AY27" i="16"/>
  <c r="AZ27" i="16" s="1"/>
  <c r="BA27" i="16" s="1"/>
  <c r="T32" i="16"/>
  <c r="AK32" i="16" s="1"/>
  <c r="AF28" i="16"/>
  <c r="AP30" i="16"/>
  <c r="AP29" i="16"/>
  <c r="AP28" i="16"/>
  <c r="AP27" i="16"/>
  <c r="AY28" i="16"/>
  <c r="AZ28" i="16" s="1"/>
  <c r="BA28" i="16" s="1"/>
  <c r="AY29" i="16"/>
  <c r="AZ29" i="16" s="1"/>
  <c r="BA29" i="16" s="1"/>
  <c r="AY30" i="16"/>
  <c r="AZ30" i="16" s="1"/>
  <c r="BA30" i="16" s="1"/>
  <c r="AU31" i="16"/>
  <c r="AU29" i="16"/>
  <c r="AU28" i="16"/>
  <c r="AU30" i="16"/>
  <c r="AF30" i="16"/>
  <c r="AF29" i="16"/>
  <c r="AF27" i="16"/>
  <c r="AP31" i="16"/>
  <c r="AY31" i="16"/>
  <c r="AZ31" i="16" s="1"/>
  <c r="BA31" i="16" s="1"/>
  <c r="AK31" i="16"/>
  <c r="AF31" i="16"/>
  <c r="AK28" i="16"/>
  <c r="AK30" i="16"/>
  <c r="AK29" i="16"/>
  <c r="V28" i="16"/>
  <c r="V29" i="16"/>
  <c r="V31" i="16"/>
  <c r="W13" i="16"/>
  <c r="W14" i="16"/>
  <c r="W15" i="16"/>
  <c r="N100" i="16" a="1"/>
  <c r="N100" i="16" s="1"/>
  <c r="N104" i="16" s="1"/>
  <c r="N85" i="16" a="1"/>
  <c r="N89" i="16" s="1"/>
  <c r="N71" i="16" a="1"/>
  <c r="N71" i="16" s="1"/>
  <c r="N57" i="16" a="1"/>
  <c r="N57" i="16" s="1"/>
  <c r="N60" i="16" s="1"/>
  <c r="N43" i="16" a="1"/>
  <c r="N43" i="16" s="1"/>
  <c r="N46" i="16" s="1"/>
  <c r="N29" i="16" a="1"/>
  <c r="N29" i="16" s="1"/>
  <c r="N16" i="16"/>
  <c r="N18" i="16" s="1"/>
  <c r="F57" i="2"/>
  <c r="BA14" i="9"/>
  <c r="AZ14" i="9"/>
  <c r="AJ14" i="9"/>
  <c r="BA1013" i="9"/>
  <c r="BA1012" i="9"/>
  <c r="BA1011" i="9"/>
  <c r="BA1010" i="9"/>
  <c r="BA1009" i="9"/>
  <c r="BA1008" i="9"/>
  <c r="BA1007" i="9"/>
  <c r="BA1006" i="9"/>
  <c r="BA1005" i="9"/>
  <c r="BA1004" i="9"/>
  <c r="BA1003" i="9"/>
  <c r="BA1002" i="9"/>
  <c r="BA1001" i="9"/>
  <c r="BA1000" i="9"/>
  <c r="BA999" i="9"/>
  <c r="BA998" i="9"/>
  <c r="BA997" i="9"/>
  <c r="BA996" i="9"/>
  <c r="BA995" i="9"/>
  <c r="BA994" i="9"/>
  <c r="BA993" i="9"/>
  <c r="BA992" i="9"/>
  <c r="BA991" i="9"/>
  <c r="BA990" i="9"/>
  <c r="BA989" i="9"/>
  <c r="BA988" i="9"/>
  <c r="BA987" i="9"/>
  <c r="BA986" i="9"/>
  <c r="BA985" i="9"/>
  <c r="BA984" i="9"/>
  <c r="BA983" i="9"/>
  <c r="BA982" i="9"/>
  <c r="BA981" i="9"/>
  <c r="BA980" i="9"/>
  <c r="BA979" i="9"/>
  <c r="BA978" i="9"/>
  <c r="BA977" i="9"/>
  <c r="BA976" i="9"/>
  <c r="BA975" i="9"/>
  <c r="BA974" i="9"/>
  <c r="BA973" i="9"/>
  <c r="BA972" i="9"/>
  <c r="BA971" i="9"/>
  <c r="BA970" i="9"/>
  <c r="BA969" i="9"/>
  <c r="BA968" i="9"/>
  <c r="BA967" i="9"/>
  <c r="BA966" i="9"/>
  <c r="BA965" i="9"/>
  <c r="BA964" i="9"/>
  <c r="BA963" i="9"/>
  <c r="BA962" i="9"/>
  <c r="BA961" i="9"/>
  <c r="BA960" i="9"/>
  <c r="BA959" i="9"/>
  <c r="BA958" i="9"/>
  <c r="BA957" i="9"/>
  <c r="BA956" i="9"/>
  <c r="BA955" i="9"/>
  <c r="BA954" i="9"/>
  <c r="BA953" i="9"/>
  <c r="BA952" i="9"/>
  <c r="BA951" i="9"/>
  <c r="BA950" i="9"/>
  <c r="BA949" i="9"/>
  <c r="BA948" i="9"/>
  <c r="BA947" i="9"/>
  <c r="BA946" i="9"/>
  <c r="BA945" i="9"/>
  <c r="BA944" i="9"/>
  <c r="BA943" i="9"/>
  <c r="BA942" i="9"/>
  <c r="BA941" i="9"/>
  <c r="BA940" i="9"/>
  <c r="BA939" i="9"/>
  <c r="BA938" i="9"/>
  <c r="BA937" i="9"/>
  <c r="BA936" i="9"/>
  <c r="BA935" i="9"/>
  <c r="BA934" i="9"/>
  <c r="BA933" i="9"/>
  <c r="BA932" i="9"/>
  <c r="BA931" i="9"/>
  <c r="BA930" i="9"/>
  <c r="BA929" i="9"/>
  <c r="BA928" i="9"/>
  <c r="BA927" i="9"/>
  <c r="BA926" i="9"/>
  <c r="BA925" i="9"/>
  <c r="BA924" i="9"/>
  <c r="BA923" i="9"/>
  <c r="BA922" i="9"/>
  <c r="BA921" i="9"/>
  <c r="BA920" i="9"/>
  <c r="BA919" i="9"/>
  <c r="BA918" i="9"/>
  <c r="BA917" i="9"/>
  <c r="BA916" i="9"/>
  <c r="BA915" i="9"/>
  <c r="BA914" i="9"/>
  <c r="BA913" i="9"/>
  <c r="BA912" i="9"/>
  <c r="BA911" i="9"/>
  <c r="BA910" i="9"/>
  <c r="BA909" i="9"/>
  <c r="BA908" i="9"/>
  <c r="BA907" i="9"/>
  <c r="BA906" i="9"/>
  <c r="BA905" i="9"/>
  <c r="BA904" i="9"/>
  <c r="BA903" i="9"/>
  <c r="BA902" i="9"/>
  <c r="BA901" i="9"/>
  <c r="BA900" i="9"/>
  <c r="BA899" i="9"/>
  <c r="BA898" i="9"/>
  <c r="BA897" i="9"/>
  <c r="BA896" i="9"/>
  <c r="BA895" i="9"/>
  <c r="BA894" i="9"/>
  <c r="BA893" i="9"/>
  <c r="BA892" i="9"/>
  <c r="BA891" i="9"/>
  <c r="BA890" i="9"/>
  <c r="BA889" i="9"/>
  <c r="BA888" i="9"/>
  <c r="BA887" i="9"/>
  <c r="BA886" i="9"/>
  <c r="BA885" i="9"/>
  <c r="BA884" i="9"/>
  <c r="BA883" i="9"/>
  <c r="BA882" i="9"/>
  <c r="BA881" i="9"/>
  <c r="BA880" i="9"/>
  <c r="BA879" i="9"/>
  <c r="BA878" i="9"/>
  <c r="BA877" i="9"/>
  <c r="BA876" i="9"/>
  <c r="BA875" i="9"/>
  <c r="BA874" i="9"/>
  <c r="BA873" i="9"/>
  <c r="BA872" i="9"/>
  <c r="BA871" i="9"/>
  <c r="BA870" i="9"/>
  <c r="BA869" i="9"/>
  <c r="BA868" i="9"/>
  <c r="BA867" i="9"/>
  <c r="BA866" i="9"/>
  <c r="BA865" i="9"/>
  <c r="BA864" i="9"/>
  <c r="BA863" i="9"/>
  <c r="BA862" i="9"/>
  <c r="BA861" i="9"/>
  <c r="BA860" i="9"/>
  <c r="BA859" i="9"/>
  <c r="BA858" i="9"/>
  <c r="BA857" i="9"/>
  <c r="BA856" i="9"/>
  <c r="BA855" i="9"/>
  <c r="BA854" i="9"/>
  <c r="BA853" i="9"/>
  <c r="BA852" i="9"/>
  <c r="BA851" i="9"/>
  <c r="BA850" i="9"/>
  <c r="BA849" i="9"/>
  <c r="BA848" i="9"/>
  <c r="BA847" i="9"/>
  <c r="BA846" i="9"/>
  <c r="BA845" i="9"/>
  <c r="BA844" i="9"/>
  <c r="BA843" i="9"/>
  <c r="BA842" i="9"/>
  <c r="BA841" i="9"/>
  <c r="BA840" i="9"/>
  <c r="BA839" i="9"/>
  <c r="BA838" i="9"/>
  <c r="BA837" i="9"/>
  <c r="BA836" i="9"/>
  <c r="BA835" i="9"/>
  <c r="BA834" i="9"/>
  <c r="BA833" i="9"/>
  <c r="BA832" i="9"/>
  <c r="BA831" i="9"/>
  <c r="BA830" i="9"/>
  <c r="BA829" i="9"/>
  <c r="BA828" i="9"/>
  <c r="BA827" i="9"/>
  <c r="BA826" i="9"/>
  <c r="BA825" i="9"/>
  <c r="BA824" i="9"/>
  <c r="BA823" i="9"/>
  <c r="BA822" i="9"/>
  <c r="BA821" i="9"/>
  <c r="BA820" i="9"/>
  <c r="BA819" i="9"/>
  <c r="BA818" i="9"/>
  <c r="BA817" i="9"/>
  <c r="BA816" i="9"/>
  <c r="BA815" i="9"/>
  <c r="BA814" i="9"/>
  <c r="BA813" i="9"/>
  <c r="BA812" i="9"/>
  <c r="BA811" i="9"/>
  <c r="BA810" i="9"/>
  <c r="BA809" i="9"/>
  <c r="BA808" i="9"/>
  <c r="BA807" i="9"/>
  <c r="BA806" i="9"/>
  <c r="BA805" i="9"/>
  <c r="BA804" i="9"/>
  <c r="BA803" i="9"/>
  <c r="BA802" i="9"/>
  <c r="BA801" i="9"/>
  <c r="BA800" i="9"/>
  <c r="BA799" i="9"/>
  <c r="BA798" i="9"/>
  <c r="BA797" i="9"/>
  <c r="BA796" i="9"/>
  <c r="BA795" i="9"/>
  <c r="BA794" i="9"/>
  <c r="BA793" i="9"/>
  <c r="BA792" i="9"/>
  <c r="BA791" i="9"/>
  <c r="BA790" i="9"/>
  <c r="BA789" i="9"/>
  <c r="BA788" i="9"/>
  <c r="BA787" i="9"/>
  <c r="BA786" i="9"/>
  <c r="BA785" i="9"/>
  <c r="BA784" i="9"/>
  <c r="BA783" i="9"/>
  <c r="BA782" i="9"/>
  <c r="BA781" i="9"/>
  <c r="BA780" i="9"/>
  <c r="BA779" i="9"/>
  <c r="BA778" i="9"/>
  <c r="BA777" i="9"/>
  <c r="BA776" i="9"/>
  <c r="BA775" i="9"/>
  <c r="BA774" i="9"/>
  <c r="BA773" i="9"/>
  <c r="BA772" i="9"/>
  <c r="BA771" i="9"/>
  <c r="BA770" i="9"/>
  <c r="BA769" i="9"/>
  <c r="BA768" i="9"/>
  <c r="BA767" i="9"/>
  <c r="BA766" i="9"/>
  <c r="BA765" i="9"/>
  <c r="BA764" i="9"/>
  <c r="BA763" i="9"/>
  <c r="BA762" i="9"/>
  <c r="BA761" i="9"/>
  <c r="BA760" i="9"/>
  <c r="BA759" i="9"/>
  <c r="BA758" i="9"/>
  <c r="BA757" i="9"/>
  <c r="BA756" i="9"/>
  <c r="BA755" i="9"/>
  <c r="BA754" i="9"/>
  <c r="BA753" i="9"/>
  <c r="BA752" i="9"/>
  <c r="BA751" i="9"/>
  <c r="BA750" i="9"/>
  <c r="BA749" i="9"/>
  <c r="BA748" i="9"/>
  <c r="BA747" i="9"/>
  <c r="BA746" i="9"/>
  <c r="BA745" i="9"/>
  <c r="BA744" i="9"/>
  <c r="BA743" i="9"/>
  <c r="BA742" i="9"/>
  <c r="BA741" i="9"/>
  <c r="BA740" i="9"/>
  <c r="BA739" i="9"/>
  <c r="BA738" i="9"/>
  <c r="BA737" i="9"/>
  <c r="BA736" i="9"/>
  <c r="BA735" i="9"/>
  <c r="BA734" i="9"/>
  <c r="BA733" i="9"/>
  <c r="BA732" i="9"/>
  <c r="BA731" i="9"/>
  <c r="BA730" i="9"/>
  <c r="BA729" i="9"/>
  <c r="BA728" i="9"/>
  <c r="BA727" i="9"/>
  <c r="BA726" i="9"/>
  <c r="BA725" i="9"/>
  <c r="BA724" i="9"/>
  <c r="BA723" i="9"/>
  <c r="BA722" i="9"/>
  <c r="BA721" i="9"/>
  <c r="BA720" i="9"/>
  <c r="BA719" i="9"/>
  <c r="BA718" i="9"/>
  <c r="BA717" i="9"/>
  <c r="BA716" i="9"/>
  <c r="BA715" i="9"/>
  <c r="BA714" i="9"/>
  <c r="BA713" i="9"/>
  <c r="BA712" i="9"/>
  <c r="BA711" i="9"/>
  <c r="BA710" i="9"/>
  <c r="BA709" i="9"/>
  <c r="BA708" i="9"/>
  <c r="BA707" i="9"/>
  <c r="BA706" i="9"/>
  <c r="BA705" i="9"/>
  <c r="BA704" i="9"/>
  <c r="BA703" i="9"/>
  <c r="BA702" i="9"/>
  <c r="BA701" i="9"/>
  <c r="BA700" i="9"/>
  <c r="BA699" i="9"/>
  <c r="BA698" i="9"/>
  <c r="BA697" i="9"/>
  <c r="BA696" i="9"/>
  <c r="BA695" i="9"/>
  <c r="BA694" i="9"/>
  <c r="BA693" i="9"/>
  <c r="BA692" i="9"/>
  <c r="BA691" i="9"/>
  <c r="BA690" i="9"/>
  <c r="BA689" i="9"/>
  <c r="BA688" i="9"/>
  <c r="BA687" i="9"/>
  <c r="BA686" i="9"/>
  <c r="BA685" i="9"/>
  <c r="BA684" i="9"/>
  <c r="BA683" i="9"/>
  <c r="BA682" i="9"/>
  <c r="BA681" i="9"/>
  <c r="BA680" i="9"/>
  <c r="BA679" i="9"/>
  <c r="BA678" i="9"/>
  <c r="BA677" i="9"/>
  <c r="BA676" i="9"/>
  <c r="BA675" i="9"/>
  <c r="BA674" i="9"/>
  <c r="BA673" i="9"/>
  <c r="BA672" i="9"/>
  <c r="BA671" i="9"/>
  <c r="BA670" i="9"/>
  <c r="BA669" i="9"/>
  <c r="BA668" i="9"/>
  <c r="BA667" i="9"/>
  <c r="BA666" i="9"/>
  <c r="BA665" i="9"/>
  <c r="BA664" i="9"/>
  <c r="BA663" i="9"/>
  <c r="BA662" i="9"/>
  <c r="BA661" i="9"/>
  <c r="BA660" i="9"/>
  <c r="BA659" i="9"/>
  <c r="BA658" i="9"/>
  <c r="BA657" i="9"/>
  <c r="BA656" i="9"/>
  <c r="BA655" i="9"/>
  <c r="BA654" i="9"/>
  <c r="BA653" i="9"/>
  <c r="BA652" i="9"/>
  <c r="BA651" i="9"/>
  <c r="BA650" i="9"/>
  <c r="BA649" i="9"/>
  <c r="BA648" i="9"/>
  <c r="BA647" i="9"/>
  <c r="BA646" i="9"/>
  <c r="BA645" i="9"/>
  <c r="BA644" i="9"/>
  <c r="BA643" i="9"/>
  <c r="BA642" i="9"/>
  <c r="BA641" i="9"/>
  <c r="BA640" i="9"/>
  <c r="BA639" i="9"/>
  <c r="BA638" i="9"/>
  <c r="BA637" i="9"/>
  <c r="BA636" i="9"/>
  <c r="BA635" i="9"/>
  <c r="BA634" i="9"/>
  <c r="BA633" i="9"/>
  <c r="BA632" i="9"/>
  <c r="BA631" i="9"/>
  <c r="BA630" i="9"/>
  <c r="BA629" i="9"/>
  <c r="BA628" i="9"/>
  <c r="BA627" i="9"/>
  <c r="BA626" i="9"/>
  <c r="BA625" i="9"/>
  <c r="BA624" i="9"/>
  <c r="BA623" i="9"/>
  <c r="BA622" i="9"/>
  <c r="BA621" i="9"/>
  <c r="BA620" i="9"/>
  <c r="BA619" i="9"/>
  <c r="BA618" i="9"/>
  <c r="BA617" i="9"/>
  <c r="BA616" i="9"/>
  <c r="BA615" i="9"/>
  <c r="BA614" i="9"/>
  <c r="BA613" i="9"/>
  <c r="BA612" i="9"/>
  <c r="BA611" i="9"/>
  <c r="BA610" i="9"/>
  <c r="BA609" i="9"/>
  <c r="BA608" i="9"/>
  <c r="BA607" i="9"/>
  <c r="BA606" i="9"/>
  <c r="BA605" i="9"/>
  <c r="BA604" i="9"/>
  <c r="BA603" i="9"/>
  <c r="BA602" i="9"/>
  <c r="BA601" i="9"/>
  <c r="BA600" i="9"/>
  <c r="BA599" i="9"/>
  <c r="BA598" i="9"/>
  <c r="BA597" i="9"/>
  <c r="BA596" i="9"/>
  <c r="BA595" i="9"/>
  <c r="BA594" i="9"/>
  <c r="BA593" i="9"/>
  <c r="BA592" i="9"/>
  <c r="BA591" i="9"/>
  <c r="BA590" i="9"/>
  <c r="BA589" i="9"/>
  <c r="BA588" i="9"/>
  <c r="BA587" i="9"/>
  <c r="BA586" i="9"/>
  <c r="BA585" i="9"/>
  <c r="BA584" i="9"/>
  <c r="BA583" i="9"/>
  <c r="BA582" i="9"/>
  <c r="BA581" i="9"/>
  <c r="BA580" i="9"/>
  <c r="BA579" i="9"/>
  <c r="BA578" i="9"/>
  <c r="BA577" i="9"/>
  <c r="BA576" i="9"/>
  <c r="BA575" i="9"/>
  <c r="BA574" i="9"/>
  <c r="BA573" i="9"/>
  <c r="BA572" i="9"/>
  <c r="BA571" i="9"/>
  <c r="BA570" i="9"/>
  <c r="BA569" i="9"/>
  <c r="BA568" i="9"/>
  <c r="BA567" i="9"/>
  <c r="BA566" i="9"/>
  <c r="BA565" i="9"/>
  <c r="BA564" i="9"/>
  <c r="BA563" i="9"/>
  <c r="BA562" i="9"/>
  <c r="BA561" i="9"/>
  <c r="BA560" i="9"/>
  <c r="BA559" i="9"/>
  <c r="BA558" i="9"/>
  <c r="BA557" i="9"/>
  <c r="BA556" i="9"/>
  <c r="BA555" i="9"/>
  <c r="BA554" i="9"/>
  <c r="BA553" i="9"/>
  <c r="BA552" i="9"/>
  <c r="BA551" i="9"/>
  <c r="BA550" i="9"/>
  <c r="BA549" i="9"/>
  <c r="BA548" i="9"/>
  <c r="BA547" i="9"/>
  <c r="BA546" i="9"/>
  <c r="BA545" i="9"/>
  <c r="BA544" i="9"/>
  <c r="BA543" i="9"/>
  <c r="BA542" i="9"/>
  <c r="BA541" i="9"/>
  <c r="BA540" i="9"/>
  <c r="BA539" i="9"/>
  <c r="BA538" i="9"/>
  <c r="BA537" i="9"/>
  <c r="BA536" i="9"/>
  <c r="BA535" i="9"/>
  <c r="BA534" i="9"/>
  <c r="BA533" i="9"/>
  <c r="BA532" i="9"/>
  <c r="BA531" i="9"/>
  <c r="BA530" i="9"/>
  <c r="BA529" i="9"/>
  <c r="BA528" i="9"/>
  <c r="BA527" i="9"/>
  <c r="BA526" i="9"/>
  <c r="BA525" i="9"/>
  <c r="BA524" i="9"/>
  <c r="BA523" i="9"/>
  <c r="BA522" i="9"/>
  <c r="BA521" i="9"/>
  <c r="BA520" i="9"/>
  <c r="BA519" i="9"/>
  <c r="BA518" i="9"/>
  <c r="BA517" i="9"/>
  <c r="BA516" i="9"/>
  <c r="BA515" i="9"/>
  <c r="BA514" i="9"/>
  <c r="BA513" i="9"/>
  <c r="BA512" i="9"/>
  <c r="BA511" i="9"/>
  <c r="BA510" i="9"/>
  <c r="BA509" i="9"/>
  <c r="BA508" i="9"/>
  <c r="BA507" i="9"/>
  <c r="BA506" i="9"/>
  <c r="BA505" i="9"/>
  <c r="BA504" i="9"/>
  <c r="BA503" i="9"/>
  <c r="BA502" i="9"/>
  <c r="BA501" i="9"/>
  <c r="BA500" i="9"/>
  <c r="BA499" i="9"/>
  <c r="BA498" i="9"/>
  <c r="BA497" i="9"/>
  <c r="BA496" i="9"/>
  <c r="BA495" i="9"/>
  <c r="BA494" i="9"/>
  <c r="BA493" i="9"/>
  <c r="BA492" i="9"/>
  <c r="BA491" i="9"/>
  <c r="BA490" i="9"/>
  <c r="BA489" i="9"/>
  <c r="BA488" i="9"/>
  <c r="BA487" i="9"/>
  <c r="BA486" i="9"/>
  <c r="BA485" i="9"/>
  <c r="BA484" i="9"/>
  <c r="BA483" i="9"/>
  <c r="BA482" i="9"/>
  <c r="BA481" i="9"/>
  <c r="BA480" i="9"/>
  <c r="BA479" i="9"/>
  <c r="BA478" i="9"/>
  <c r="BA477" i="9"/>
  <c r="BA476" i="9"/>
  <c r="BA475" i="9"/>
  <c r="BA474" i="9"/>
  <c r="BA473" i="9"/>
  <c r="BA472" i="9"/>
  <c r="BA471" i="9"/>
  <c r="BA470" i="9"/>
  <c r="BA469" i="9"/>
  <c r="BA468" i="9"/>
  <c r="BA467" i="9"/>
  <c r="BA466" i="9"/>
  <c r="BA465" i="9"/>
  <c r="BA464" i="9"/>
  <c r="BA463" i="9"/>
  <c r="BA462" i="9"/>
  <c r="BA461" i="9"/>
  <c r="BA460" i="9"/>
  <c r="BA459" i="9"/>
  <c r="BA458" i="9"/>
  <c r="BA457" i="9"/>
  <c r="BA456" i="9"/>
  <c r="BA455" i="9"/>
  <c r="BA454" i="9"/>
  <c r="BA453" i="9"/>
  <c r="BA452" i="9"/>
  <c r="BA451" i="9"/>
  <c r="BA450" i="9"/>
  <c r="BA449" i="9"/>
  <c r="BA448" i="9"/>
  <c r="BA447" i="9"/>
  <c r="BA446" i="9"/>
  <c r="BA445" i="9"/>
  <c r="BA444" i="9"/>
  <c r="BA443" i="9"/>
  <c r="BA442" i="9"/>
  <c r="BA441" i="9"/>
  <c r="BA440" i="9"/>
  <c r="BA439" i="9"/>
  <c r="BA438" i="9"/>
  <c r="BA437" i="9"/>
  <c r="BA436" i="9"/>
  <c r="BA435" i="9"/>
  <c r="BA434" i="9"/>
  <c r="BA433" i="9"/>
  <c r="BA432" i="9"/>
  <c r="BA431" i="9"/>
  <c r="BA430" i="9"/>
  <c r="BA429" i="9"/>
  <c r="BA428" i="9"/>
  <c r="BA427" i="9"/>
  <c r="BA426" i="9"/>
  <c r="BA425" i="9"/>
  <c r="BA424" i="9"/>
  <c r="BA423" i="9"/>
  <c r="BA422" i="9"/>
  <c r="BA421" i="9"/>
  <c r="BA420" i="9"/>
  <c r="BA419" i="9"/>
  <c r="BA418" i="9"/>
  <c r="BA417" i="9"/>
  <c r="BA416" i="9"/>
  <c r="BA415" i="9"/>
  <c r="BA414" i="9"/>
  <c r="BA413" i="9"/>
  <c r="BA412" i="9"/>
  <c r="BA411" i="9"/>
  <c r="BA410" i="9"/>
  <c r="BA409" i="9"/>
  <c r="BA408" i="9"/>
  <c r="BA407" i="9"/>
  <c r="BA406" i="9"/>
  <c r="BA405" i="9"/>
  <c r="BA404" i="9"/>
  <c r="BA403" i="9"/>
  <c r="BA402" i="9"/>
  <c r="BA401" i="9"/>
  <c r="BA400" i="9"/>
  <c r="BA399" i="9"/>
  <c r="BA398" i="9"/>
  <c r="BA397" i="9"/>
  <c r="BA396" i="9"/>
  <c r="BA395" i="9"/>
  <c r="BA394" i="9"/>
  <c r="BA393" i="9"/>
  <c r="BA392" i="9"/>
  <c r="BA391" i="9"/>
  <c r="BA390" i="9"/>
  <c r="BA389" i="9"/>
  <c r="BA388" i="9"/>
  <c r="BA387" i="9"/>
  <c r="BA386" i="9"/>
  <c r="BA385" i="9"/>
  <c r="BA384" i="9"/>
  <c r="BA383" i="9"/>
  <c r="BA382" i="9"/>
  <c r="BA381" i="9"/>
  <c r="BA380" i="9"/>
  <c r="BA379" i="9"/>
  <c r="BA378" i="9"/>
  <c r="BA377" i="9"/>
  <c r="BA376" i="9"/>
  <c r="BA375" i="9"/>
  <c r="BA374" i="9"/>
  <c r="BA373" i="9"/>
  <c r="BA372" i="9"/>
  <c r="BA371" i="9"/>
  <c r="BA370" i="9"/>
  <c r="BA369" i="9"/>
  <c r="BA368" i="9"/>
  <c r="BA367" i="9"/>
  <c r="BA366" i="9"/>
  <c r="BA365" i="9"/>
  <c r="BA364" i="9"/>
  <c r="BA363" i="9"/>
  <c r="BA362" i="9"/>
  <c r="BA361" i="9"/>
  <c r="BA360" i="9"/>
  <c r="BA359" i="9"/>
  <c r="BA358" i="9"/>
  <c r="BA357" i="9"/>
  <c r="BA356" i="9"/>
  <c r="BA355" i="9"/>
  <c r="BA354" i="9"/>
  <c r="BA353" i="9"/>
  <c r="BA352" i="9"/>
  <c r="BA351" i="9"/>
  <c r="BA350" i="9"/>
  <c r="BA349" i="9"/>
  <c r="BA348" i="9"/>
  <c r="BA347" i="9"/>
  <c r="BA346" i="9"/>
  <c r="BA345" i="9"/>
  <c r="BA344" i="9"/>
  <c r="BA343" i="9"/>
  <c r="BA342" i="9"/>
  <c r="BA341" i="9"/>
  <c r="BA340" i="9"/>
  <c r="BA339" i="9"/>
  <c r="BA338" i="9"/>
  <c r="BA337" i="9"/>
  <c r="BA336" i="9"/>
  <c r="BA335" i="9"/>
  <c r="BA334" i="9"/>
  <c r="BA333" i="9"/>
  <c r="BA332" i="9"/>
  <c r="BA331" i="9"/>
  <c r="BA330" i="9"/>
  <c r="BA329" i="9"/>
  <c r="BA328" i="9"/>
  <c r="BA327" i="9"/>
  <c r="BA326" i="9"/>
  <c r="BA325" i="9"/>
  <c r="BA324" i="9"/>
  <c r="BA323" i="9"/>
  <c r="BA322" i="9"/>
  <c r="BA321" i="9"/>
  <c r="BA320" i="9"/>
  <c r="BA319" i="9"/>
  <c r="BA318" i="9"/>
  <c r="BA317" i="9"/>
  <c r="BA316" i="9"/>
  <c r="BA315" i="9"/>
  <c r="BA314" i="9"/>
  <c r="BA313" i="9"/>
  <c r="BA312" i="9"/>
  <c r="BA311" i="9"/>
  <c r="BA310" i="9"/>
  <c r="BA309" i="9"/>
  <c r="BA308" i="9"/>
  <c r="BA307" i="9"/>
  <c r="BA306" i="9"/>
  <c r="BA305" i="9"/>
  <c r="BA304" i="9"/>
  <c r="BA303" i="9"/>
  <c r="BA302" i="9"/>
  <c r="BA301" i="9"/>
  <c r="BA300" i="9"/>
  <c r="BA299" i="9"/>
  <c r="BA298" i="9"/>
  <c r="BA297" i="9"/>
  <c r="BA296" i="9"/>
  <c r="BA295" i="9"/>
  <c r="BA294" i="9"/>
  <c r="BA293" i="9"/>
  <c r="BA292" i="9"/>
  <c r="BA291" i="9"/>
  <c r="BA290" i="9"/>
  <c r="BA289" i="9"/>
  <c r="BA288" i="9"/>
  <c r="BA287" i="9"/>
  <c r="BA286" i="9"/>
  <c r="BA285" i="9"/>
  <c r="BA284" i="9"/>
  <c r="BA283" i="9"/>
  <c r="BA282" i="9"/>
  <c r="BA281" i="9"/>
  <c r="BA280" i="9"/>
  <c r="BA279" i="9"/>
  <c r="BA278" i="9"/>
  <c r="BA277" i="9"/>
  <c r="BA276" i="9"/>
  <c r="BA275" i="9"/>
  <c r="BA274" i="9"/>
  <c r="BA273" i="9"/>
  <c r="BA272" i="9"/>
  <c r="BA271" i="9"/>
  <c r="BA270" i="9"/>
  <c r="BA269" i="9"/>
  <c r="BA268" i="9"/>
  <c r="BA267" i="9"/>
  <c r="BA266" i="9"/>
  <c r="BA265" i="9"/>
  <c r="BA264" i="9"/>
  <c r="BA263" i="9"/>
  <c r="BA262" i="9"/>
  <c r="BA261" i="9"/>
  <c r="BA260" i="9"/>
  <c r="BA259" i="9"/>
  <c r="BA258" i="9"/>
  <c r="BA257" i="9"/>
  <c r="BA256" i="9"/>
  <c r="BA255" i="9"/>
  <c r="BA254" i="9"/>
  <c r="BA253" i="9"/>
  <c r="BA252" i="9"/>
  <c r="BA251" i="9"/>
  <c r="BA250" i="9"/>
  <c r="BA249" i="9"/>
  <c r="BA248" i="9"/>
  <c r="BA247" i="9"/>
  <c r="BA246" i="9"/>
  <c r="BA245" i="9"/>
  <c r="BA244" i="9"/>
  <c r="BA243" i="9"/>
  <c r="BA242" i="9"/>
  <c r="BA241" i="9"/>
  <c r="BA240" i="9"/>
  <c r="BA239" i="9"/>
  <c r="BA238" i="9"/>
  <c r="BA237" i="9"/>
  <c r="BA236" i="9"/>
  <c r="BA235" i="9"/>
  <c r="BA234" i="9"/>
  <c r="BA233" i="9"/>
  <c r="BA232" i="9"/>
  <c r="BA231" i="9"/>
  <c r="BA230" i="9"/>
  <c r="BA229" i="9"/>
  <c r="BA228" i="9"/>
  <c r="BA227" i="9"/>
  <c r="BA226" i="9"/>
  <c r="BA225" i="9"/>
  <c r="BA224" i="9"/>
  <c r="BA223" i="9"/>
  <c r="BA222" i="9"/>
  <c r="BA221" i="9"/>
  <c r="BA220" i="9"/>
  <c r="BA219" i="9"/>
  <c r="BA218" i="9"/>
  <c r="BA217" i="9"/>
  <c r="BA216" i="9"/>
  <c r="BA215" i="9"/>
  <c r="BA214" i="9"/>
  <c r="BA213" i="9"/>
  <c r="BA212" i="9"/>
  <c r="BA211" i="9"/>
  <c r="BA210" i="9"/>
  <c r="BA209" i="9"/>
  <c r="BA208" i="9"/>
  <c r="BA207" i="9"/>
  <c r="BA206" i="9"/>
  <c r="BA205" i="9"/>
  <c r="BA204" i="9"/>
  <c r="BA203" i="9"/>
  <c r="BA202" i="9"/>
  <c r="BA201" i="9"/>
  <c r="BA200" i="9"/>
  <c r="BA199" i="9"/>
  <c r="BA198" i="9"/>
  <c r="BA197" i="9"/>
  <c r="BA196" i="9"/>
  <c r="BA195" i="9"/>
  <c r="BA194" i="9"/>
  <c r="BA193" i="9"/>
  <c r="BA192" i="9"/>
  <c r="BA191" i="9"/>
  <c r="BA190" i="9"/>
  <c r="BA189" i="9"/>
  <c r="BA188" i="9"/>
  <c r="BA187" i="9"/>
  <c r="BA186" i="9"/>
  <c r="BA185" i="9"/>
  <c r="BA184" i="9"/>
  <c r="BA183" i="9"/>
  <c r="BA182" i="9"/>
  <c r="BA181" i="9"/>
  <c r="BA180" i="9"/>
  <c r="BA179" i="9"/>
  <c r="BA178" i="9"/>
  <c r="BA177" i="9"/>
  <c r="BA176" i="9"/>
  <c r="BA175" i="9"/>
  <c r="BA174" i="9"/>
  <c r="BA173" i="9"/>
  <c r="BA172" i="9"/>
  <c r="BA171" i="9"/>
  <c r="BA170" i="9"/>
  <c r="BA169" i="9"/>
  <c r="BA168" i="9"/>
  <c r="BA167" i="9"/>
  <c r="BA166" i="9"/>
  <c r="BA165" i="9"/>
  <c r="BA164" i="9"/>
  <c r="BA163" i="9"/>
  <c r="BA162" i="9"/>
  <c r="BA161" i="9"/>
  <c r="BA160" i="9"/>
  <c r="BA159" i="9"/>
  <c r="BA158" i="9"/>
  <c r="BA157" i="9"/>
  <c r="BA156" i="9"/>
  <c r="BA155" i="9"/>
  <c r="BA154" i="9"/>
  <c r="BA153" i="9"/>
  <c r="BA152" i="9"/>
  <c r="BA151" i="9"/>
  <c r="BA150" i="9"/>
  <c r="BA149" i="9"/>
  <c r="BA148" i="9"/>
  <c r="BA147" i="9"/>
  <c r="BA146" i="9"/>
  <c r="BA145" i="9"/>
  <c r="BA144" i="9"/>
  <c r="BA143" i="9"/>
  <c r="BA142" i="9"/>
  <c r="BA141" i="9"/>
  <c r="BA140" i="9"/>
  <c r="BA139" i="9"/>
  <c r="BA138" i="9"/>
  <c r="BA137" i="9"/>
  <c r="BA136" i="9"/>
  <c r="BA135" i="9"/>
  <c r="BA134" i="9"/>
  <c r="BA133" i="9"/>
  <c r="BA132" i="9"/>
  <c r="BA131" i="9"/>
  <c r="BA130" i="9"/>
  <c r="BA129" i="9"/>
  <c r="BA128" i="9"/>
  <c r="BA127" i="9"/>
  <c r="BA126" i="9"/>
  <c r="BA125" i="9"/>
  <c r="BA124" i="9"/>
  <c r="BA123" i="9"/>
  <c r="BA122" i="9"/>
  <c r="BA121" i="9"/>
  <c r="BA120" i="9"/>
  <c r="BA119" i="9"/>
  <c r="BA118" i="9"/>
  <c r="BA117" i="9"/>
  <c r="BA116" i="9"/>
  <c r="BA115" i="9"/>
  <c r="BA114" i="9"/>
  <c r="BA113" i="9"/>
  <c r="BA112" i="9"/>
  <c r="BA111" i="9"/>
  <c r="BA110" i="9"/>
  <c r="BA109" i="9"/>
  <c r="BA108" i="9"/>
  <c r="BA107" i="9"/>
  <c r="BA106" i="9"/>
  <c r="BA105" i="9"/>
  <c r="BA104" i="9"/>
  <c r="BA103" i="9"/>
  <c r="BA102" i="9"/>
  <c r="BA101" i="9"/>
  <c r="BA100" i="9"/>
  <c r="BA99" i="9"/>
  <c r="BA98" i="9"/>
  <c r="BA97" i="9"/>
  <c r="BA96" i="9"/>
  <c r="BA95" i="9"/>
  <c r="BA94" i="9"/>
  <c r="BA93" i="9"/>
  <c r="BA92" i="9"/>
  <c r="BA91" i="9"/>
  <c r="BA90" i="9"/>
  <c r="BA89" i="9"/>
  <c r="BA88" i="9"/>
  <c r="BA87" i="9"/>
  <c r="BA86" i="9"/>
  <c r="BA85" i="9"/>
  <c r="BA84" i="9"/>
  <c r="BA83" i="9"/>
  <c r="BA82" i="9"/>
  <c r="BA81" i="9"/>
  <c r="BA80" i="9"/>
  <c r="BA79" i="9"/>
  <c r="BA78" i="9"/>
  <c r="BA77" i="9"/>
  <c r="BA76" i="9"/>
  <c r="BA75" i="9"/>
  <c r="BA74" i="9"/>
  <c r="BA73" i="9"/>
  <c r="BA72" i="9"/>
  <c r="BA71" i="9"/>
  <c r="BA70" i="9"/>
  <c r="BA69" i="9"/>
  <c r="BA68" i="9"/>
  <c r="BA67" i="9"/>
  <c r="BA66" i="9"/>
  <c r="BA65" i="9"/>
  <c r="BA64" i="9"/>
  <c r="BA63" i="9"/>
  <c r="BA62" i="9"/>
  <c r="BA61" i="9"/>
  <c r="BA60" i="9"/>
  <c r="BA59" i="9"/>
  <c r="BA58" i="9"/>
  <c r="BA57" i="9"/>
  <c r="BA56" i="9"/>
  <c r="BA55" i="9"/>
  <c r="BA54" i="9"/>
  <c r="BA53" i="9"/>
  <c r="BA52" i="9"/>
  <c r="BA51" i="9"/>
  <c r="BA50" i="9"/>
  <c r="BA49" i="9"/>
  <c r="BA48" i="9"/>
  <c r="BA47" i="9"/>
  <c r="BA46" i="9"/>
  <c r="BA45" i="9"/>
  <c r="BA44" i="9"/>
  <c r="BA43" i="9"/>
  <c r="BA42" i="9"/>
  <c r="BA41" i="9"/>
  <c r="BA40" i="9"/>
  <c r="BA39" i="9"/>
  <c r="BA38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AZ1013" i="9"/>
  <c r="AZ1012" i="9"/>
  <c r="AZ1011" i="9"/>
  <c r="AZ1010" i="9"/>
  <c r="AZ1009" i="9"/>
  <c r="AZ1008" i="9"/>
  <c r="AZ1007" i="9"/>
  <c r="AZ1006" i="9"/>
  <c r="AZ1005" i="9"/>
  <c r="AZ1004" i="9"/>
  <c r="AZ1003" i="9"/>
  <c r="AZ1002" i="9"/>
  <c r="AZ1001" i="9"/>
  <c r="AZ1000" i="9"/>
  <c r="AZ999" i="9"/>
  <c r="AZ998" i="9"/>
  <c r="AZ997" i="9"/>
  <c r="AZ996" i="9"/>
  <c r="AZ995" i="9"/>
  <c r="AZ994" i="9"/>
  <c r="AZ993" i="9"/>
  <c r="AZ992" i="9"/>
  <c r="AZ991" i="9"/>
  <c r="AZ990" i="9"/>
  <c r="AZ989" i="9"/>
  <c r="AZ988" i="9"/>
  <c r="AZ987" i="9"/>
  <c r="AZ986" i="9"/>
  <c r="AZ985" i="9"/>
  <c r="AZ984" i="9"/>
  <c r="AZ983" i="9"/>
  <c r="AZ982" i="9"/>
  <c r="AZ981" i="9"/>
  <c r="AZ980" i="9"/>
  <c r="AZ979" i="9"/>
  <c r="AZ978" i="9"/>
  <c r="AZ977" i="9"/>
  <c r="AZ976" i="9"/>
  <c r="AZ975" i="9"/>
  <c r="AZ974" i="9"/>
  <c r="AZ973" i="9"/>
  <c r="AZ972" i="9"/>
  <c r="AZ971" i="9"/>
  <c r="AZ970" i="9"/>
  <c r="AZ969" i="9"/>
  <c r="AZ968" i="9"/>
  <c r="AZ967" i="9"/>
  <c r="AZ966" i="9"/>
  <c r="AZ965" i="9"/>
  <c r="AZ964" i="9"/>
  <c r="AZ963" i="9"/>
  <c r="AZ962" i="9"/>
  <c r="AZ961" i="9"/>
  <c r="AZ960" i="9"/>
  <c r="AZ959" i="9"/>
  <c r="AZ958" i="9"/>
  <c r="AZ957" i="9"/>
  <c r="AZ956" i="9"/>
  <c r="AZ955" i="9"/>
  <c r="AZ954" i="9"/>
  <c r="AZ953" i="9"/>
  <c r="AZ952" i="9"/>
  <c r="AZ951" i="9"/>
  <c r="AZ950" i="9"/>
  <c r="AZ949" i="9"/>
  <c r="AZ948" i="9"/>
  <c r="AZ947" i="9"/>
  <c r="AZ946" i="9"/>
  <c r="AZ945" i="9"/>
  <c r="AZ944" i="9"/>
  <c r="AZ943" i="9"/>
  <c r="AZ942" i="9"/>
  <c r="AZ941" i="9"/>
  <c r="AZ940" i="9"/>
  <c r="AZ939" i="9"/>
  <c r="AZ938" i="9"/>
  <c r="AZ937" i="9"/>
  <c r="AZ936" i="9"/>
  <c r="AZ935" i="9"/>
  <c r="AZ934" i="9"/>
  <c r="AZ933" i="9"/>
  <c r="AZ932" i="9"/>
  <c r="AZ931" i="9"/>
  <c r="AZ930" i="9"/>
  <c r="AZ929" i="9"/>
  <c r="AZ928" i="9"/>
  <c r="AZ927" i="9"/>
  <c r="AZ926" i="9"/>
  <c r="AZ925" i="9"/>
  <c r="AZ924" i="9"/>
  <c r="AZ923" i="9"/>
  <c r="AZ922" i="9"/>
  <c r="AZ921" i="9"/>
  <c r="AZ920" i="9"/>
  <c r="AZ919" i="9"/>
  <c r="AZ918" i="9"/>
  <c r="AZ917" i="9"/>
  <c r="AZ916" i="9"/>
  <c r="AZ915" i="9"/>
  <c r="AZ914" i="9"/>
  <c r="AZ913" i="9"/>
  <c r="AZ912" i="9"/>
  <c r="AZ911" i="9"/>
  <c r="AZ910" i="9"/>
  <c r="AZ909" i="9"/>
  <c r="AZ908" i="9"/>
  <c r="AZ907" i="9"/>
  <c r="AZ906" i="9"/>
  <c r="AZ905" i="9"/>
  <c r="AZ904" i="9"/>
  <c r="AZ903" i="9"/>
  <c r="AZ902" i="9"/>
  <c r="AZ901" i="9"/>
  <c r="AZ900" i="9"/>
  <c r="AZ899" i="9"/>
  <c r="AZ898" i="9"/>
  <c r="AZ897" i="9"/>
  <c r="AZ896" i="9"/>
  <c r="AZ895" i="9"/>
  <c r="AZ894" i="9"/>
  <c r="AZ893" i="9"/>
  <c r="AZ892" i="9"/>
  <c r="AZ891" i="9"/>
  <c r="AZ890" i="9"/>
  <c r="AZ889" i="9"/>
  <c r="AZ888" i="9"/>
  <c r="AZ887" i="9"/>
  <c r="AZ886" i="9"/>
  <c r="AZ885" i="9"/>
  <c r="AZ884" i="9"/>
  <c r="AZ883" i="9"/>
  <c r="AZ882" i="9"/>
  <c r="AZ881" i="9"/>
  <c r="AZ880" i="9"/>
  <c r="AZ879" i="9"/>
  <c r="AZ878" i="9"/>
  <c r="AZ877" i="9"/>
  <c r="AZ876" i="9"/>
  <c r="AZ875" i="9"/>
  <c r="AZ874" i="9"/>
  <c r="AZ873" i="9"/>
  <c r="AZ872" i="9"/>
  <c r="AZ871" i="9"/>
  <c r="AZ870" i="9"/>
  <c r="AZ869" i="9"/>
  <c r="AZ868" i="9"/>
  <c r="AZ867" i="9"/>
  <c r="AZ866" i="9"/>
  <c r="AZ865" i="9"/>
  <c r="AZ864" i="9"/>
  <c r="AZ863" i="9"/>
  <c r="AZ862" i="9"/>
  <c r="AZ861" i="9"/>
  <c r="AZ860" i="9"/>
  <c r="AZ859" i="9"/>
  <c r="AZ858" i="9"/>
  <c r="AZ857" i="9"/>
  <c r="AZ856" i="9"/>
  <c r="AZ855" i="9"/>
  <c r="AZ854" i="9"/>
  <c r="AZ853" i="9"/>
  <c r="AZ852" i="9"/>
  <c r="AZ851" i="9"/>
  <c r="AZ850" i="9"/>
  <c r="AZ849" i="9"/>
  <c r="AZ848" i="9"/>
  <c r="AZ847" i="9"/>
  <c r="AZ846" i="9"/>
  <c r="AZ845" i="9"/>
  <c r="AZ844" i="9"/>
  <c r="AZ843" i="9"/>
  <c r="AZ842" i="9"/>
  <c r="AZ841" i="9"/>
  <c r="AZ840" i="9"/>
  <c r="AZ839" i="9"/>
  <c r="AZ838" i="9"/>
  <c r="AZ837" i="9"/>
  <c r="AZ836" i="9"/>
  <c r="AZ835" i="9"/>
  <c r="AZ834" i="9"/>
  <c r="AZ833" i="9"/>
  <c r="AZ832" i="9"/>
  <c r="AZ831" i="9"/>
  <c r="AZ830" i="9"/>
  <c r="AZ829" i="9"/>
  <c r="AZ828" i="9"/>
  <c r="AZ827" i="9"/>
  <c r="AZ826" i="9"/>
  <c r="AZ825" i="9"/>
  <c r="AZ824" i="9"/>
  <c r="AZ823" i="9"/>
  <c r="AZ822" i="9"/>
  <c r="AZ821" i="9"/>
  <c r="AZ820" i="9"/>
  <c r="AZ819" i="9"/>
  <c r="AZ818" i="9"/>
  <c r="AZ817" i="9"/>
  <c r="AZ816" i="9"/>
  <c r="AZ815" i="9"/>
  <c r="AZ814" i="9"/>
  <c r="AZ813" i="9"/>
  <c r="AZ812" i="9"/>
  <c r="AZ811" i="9"/>
  <c r="AZ810" i="9"/>
  <c r="AZ809" i="9"/>
  <c r="AZ808" i="9"/>
  <c r="AZ807" i="9"/>
  <c r="AZ806" i="9"/>
  <c r="AZ805" i="9"/>
  <c r="AZ804" i="9"/>
  <c r="AZ803" i="9"/>
  <c r="AZ802" i="9"/>
  <c r="AZ801" i="9"/>
  <c r="AZ800" i="9"/>
  <c r="AZ799" i="9"/>
  <c r="AZ798" i="9"/>
  <c r="AZ797" i="9"/>
  <c r="AZ796" i="9"/>
  <c r="AZ795" i="9"/>
  <c r="AZ794" i="9"/>
  <c r="AZ793" i="9"/>
  <c r="AZ792" i="9"/>
  <c r="AZ791" i="9"/>
  <c r="AZ790" i="9"/>
  <c r="AZ789" i="9"/>
  <c r="AZ788" i="9"/>
  <c r="AZ787" i="9"/>
  <c r="AZ786" i="9"/>
  <c r="AZ785" i="9"/>
  <c r="AZ784" i="9"/>
  <c r="AZ783" i="9"/>
  <c r="AZ782" i="9"/>
  <c r="AZ781" i="9"/>
  <c r="AZ780" i="9"/>
  <c r="AZ779" i="9"/>
  <c r="AZ778" i="9"/>
  <c r="AZ777" i="9"/>
  <c r="AZ776" i="9"/>
  <c r="AZ775" i="9"/>
  <c r="AZ774" i="9"/>
  <c r="AZ773" i="9"/>
  <c r="AZ772" i="9"/>
  <c r="AZ771" i="9"/>
  <c r="AZ770" i="9"/>
  <c r="AZ769" i="9"/>
  <c r="AZ768" i="9"/>
  <c r="AZ767" i="9"/>
  <c r="AZ766" i="9"/>
  <c r="AZ765" i="9"/>
  <c r="AZ764" i="9"/>
  <c r="AZ763" i="9"/>
  <c r="AZ762" i="9"/>
  <c r="AZ761" i="9"/>
  <c r="AZ760" i="9"/>
  <c r="AZ759" i="9"/>
  <c r="AZ758" i="9"/>
  <c r="AZ757" i="9"/>
  <c r="AZ756" i="9"/>
  <c r="AZ755" i="9"/>
  <c r="AZ754" i="9"/>
  <c r="AZ753" i="9"/>
  <c r="AZ752" i="9"/>
  <c r="AZ751" i="9"/>
  <c r="AZ750" i="9"/>
  <c r="AZ749" i="9"/>
  <c r="AZ748" i="9"/>
  <c r="AZ747" i="9"/>
  <c r="AZ746" i="9"/>
  <c r="AZ745" i="9"/>
  <c r="AZ744" i="9"/>
  <c r="AZ743" i="9"/>
  <c r="AZ742" i="9"/>
  <c r="AZ741" i="9"/>
  <c r="AZ740" i="9"/>
  <c r="AZ739" i="9"/>
  <c r="AZ738" i="9"/>
  <c r="AZ737" i="9"/>
  <c r="AZ736" i="9"/>
  <c r="AZ735" i="9"/>
  <c r="AZ734" i="9"/>
  <c r="AZ733" i="9"/>
  <c r="AZ732" i="9"/>
  <c r="AZ731" i="9"/>
  <c r="AZ730" i="9"/>
  <c r="AZ729" i="9"/>
  <c r="AZ728" i="9"/>
  <c r="AZ727" i="9"/>
  <c r="AZ726" i="9"/>
  <c r="AZ725" i="9"/>
  <c r="AZ724" i="9"/>
  <c r="AZ723" i="9"/>
  <c r="AZ722" i="9"/>
  <c r="AZ721" i="9"/>
  <c r="AZ720" i="9"/>
  <c r="AZ719" i="9"/>
  <c r="AZ718" i="9"/>
  <c r="AZ717" i="9"/>
  <c r="AZ716" i="9"/>
  <c r="AZ715" i="9"/>
  <c r="AZ714" i="9"/>
  <c r="AZ713" i="9"/>
  <c r="AZ712" i="9"/>
  <c r="AZ711" i="9"/>
  <c r="AZ710" i="9"/>
  <c r="AZ709" i="9"/>
  <c r="AZ708" i="9"/>
  <c r="AZ707" i="9"/>
  <c r="AZ706" i="9"/>
  <c r="AZ705" i="9"/>
  <c r="AZ704" i="9"/>
  <c r="AZ703" i="9"/>
  <c r="AZ702" i="9"/>
  <c r="AZ701" i="9"/>
  <c r="AZ700" i="9"/>
  <c r="AZ699" i="9"/>
  <c r="AZ698" i="9"/>
  <c r="AZ697" i="9"/>
  <c r="AZ696" i="9"/>
  <c r="AZ695" i="9"/>
  <c r="AZ694" i="9"/>
  <c r="AZ693" i="9"/>
  <c r="AZ692" i="9"/>
  <c r="AZ691" i="9"/>
  <c r="AZ690" i="9"/>
  <c r="AZ689" i="9"/>
  <c r="AZ688" i="9"/>
  <c r="AZ687" i="9"/>
  <c r="AZ686" i="9"/>
  <c r="AZ685" i="9"/>
  <c r="AZ684" i="9"/>
  <c r="AZ683" i="9"/>
  <c r="AZ682" i="9"/>
  <c r="AZ681" i="9"/>
  <c r="AZ680" i="9"/>
  <c r="AZ679" i="9"/>
  <c r="AZ678" i="9"/>
  <c r="AZ677" i="9"/>
  <c r="AZ676" i="9"/>
  <c r="AZ675" i="9"/>
  <c r="AZ674" i="9"/>
  <c r="AZ673" i="9"/>
  <c r="AZ672" i="9"/>
  <c r="AZ671" i="9"/>
  <c r="AZ670" i="9"/>
  <c r="AZ669" i="9"/>
  <c r="AZ668" i="9"/>
  <c r="AZ667" i="9"/>
  <c r="AZ666" i="9"/>
  <c r="AZ665" i="9"/>
  <c r="AZ664" i="9"/>
  <c r="AZ663" i="9"/>
  <c r="AZ662" i="9"/>
  <c r="AZ661" i="9"/>
  <c r="AZ660" i="9"/>
  <c r="AZ659" i="9"/>
  <c r="AZ658" i="9"/>
  <c r="AZ657" i="9"/>
  <c r="AZ656" i="9"/>
  <c r="AZ655" i="9"/>
  <c r="AZ654" i="9"/>
  <c r="AZ653" i="9"/>
  <c r="AZ652" i="9"/>
  <c r="AZ651" i="9"/>
  <c r="AZ650" i="9"/>
  <c r="AZ649" i="9"/>
  <c r="AZ648" i="9"/>
  <c r="AZ647" i="9"/>
  <c r="AZ646" i="9"/>
  <c r="AZ645" i="9"/>
  <c r="AZ644" i="9"/>
  <c r="AZ643" i="9"/>
  <c r="AZ642" i="9"/>
  <c r="AZ641" i="9"/>
  <c r="AZ640" i="9"/>
  <c r="AZ639" i="9"/>
  <c r="AZ638" i="9"/>
  <c r="AZ637" i="9"/>
  <c r="AZ636" i="9"/>
  <c r="AZ635" i="9"/>
  <c r="AZ634" i="9"/>
  <c r="AZ633" i="9"/>
  <c r="AZ632" i="9"/>
  <c r="AZ631" i="9"/>
  <c r="AZ630" i="9"/>
  <c r="AZ629" i="9"/>
  <c r="AZ628" i="9"/>
  <c r="AZ627" i="9"/>
  <c r="AZ626" i="9"/>
  <c r="AZ625" i="9"/>
  <c r="AZ624" i="9"/>
  <c r="AZ623" i="9"/>
  <c r="AZ622" i="9"/>
  <c r="AZ621" i="9"/>
  <c r="AZ620" i="9"/>
  <c r="AZ619" i="9"/>
  <c r="AZ618" i="9"/>
  <c r="AZ617" i="9"/>
  <c r="AZ616" i="9"/>
  <c r="AZ615" i="9"/>
  <c r="AZ614" i="9"/>
  <c r="AZ613" i="9"/>
  <c r="AZ612" i="9"/>
  <c r="AZ611" i="9"/>
  <c r="AZ610" i="9"/>
  <c r="AZ609" i="9"/>
  <c r="AZ608" i="9"/>
  <c r="AZ607" i="9"/>
  <c r="AZ606" i="9"/>
  <c r="AZ605" i="9"/>
  <c r="AZ604" i="9"/>
  <c r="AZ603" i="9"/>
  <c r="AZ602" i="9"/>
  <c r="AZ601" i="9"/>
  <c r="AZ600" i="9"/>
  <c r="AZ599" i="9"/>
  <c r="AZ598" i="9"/>
  <c r="AZ597" i="9"/>
  <c r="AZ596" i="9"/>
  <c r="AZ595" i="9"/>
  <c r="AZ594" i="9"/>
  <c r="AZ593" i="9"/>
  <c r="AZ592" i="9"/>
  <c r="AZ591" i="9"/>
  <c r="AZ590" i="9"/>
  <c r="AZ589" i="9"/>
  <c r="AZ588" i="9"/>
  <c r="AZ587" i="9"/>
  <c r="AZ586" i="9"/>
  <c r="AZ585" i="9"/>
  <c r="AZ584" i="9"/>
  <c r="AZ583" i="9"/>
  <c r="AZ582" i="9"/>
  <c r="AZ581" i="9"/>
  <c r="AZ580" i="9"/>
  <c r="AZ579" i="9"/>
  <c r="AZ578" i="9"/>
  <c r="AZ577" i="9"/>
  <c r="AZ576" i="9"/>
  <c r="AZ575" i="9"/>
  <c r="AZ574" i="9"/>
  <c r="AZ573" i="9"/>
  <c r="AZ572" i="9"/>
  <c r="AZ571" i="9"/>
  <c r="AZ570" i="9"/>
  <c r="AZ569" i="9"/>
  <c r="AZ568" i="9"/>
  <c r="AZ567" i="9"/>
  <c r="AZ566" i="9"/>
  <c r="AZ565" i="9"/>
  <c r="AZ564" i="9"/>
  <c r="AZ563" i="9"/>
  <c r="AZ562" i="9"/>
  <c r="AZ561" i="9"/>
  <c r="AZ560" i="9"/>
  <c r="AZ559" i="9"/>
  <c r="AZ558" i="9"/>
  <c r="AZ557" i="9"/>
  <c r="AZ556" i="9"/>
  <c r="AZ555" i="9"/>
  <c r="AZ554" i="9"/>
  <c r="AZ553" i="9"/>
  <c r="AZ552" i="9"/>
  <c r="AZ551" i="9"/>
  <c r="AZ550" i="9"/>
  <c r="AZ549" i="9"/>
  <c r="AZ548" i="9"/>
  <c r="AZ547" i="9"/>
  <c r="AZ546" i="9"/>
  <c r="AZ545" i="9"/>
  <c r="AZ544" i="9"/>
  <c r="AZ543" i="9"/>
  <c r="AZ542" i="9"/>
  <c r="AZ541" i="9"/>
  <c r="AZ540" i="9"/>
  <c r="AZ539" i="9"/>
  <c r="AZ538" i="9"/>
  <c r="AZ537" i="9"/>
  <c r="AZ536" i="9"/>
  <c r="AZ535" i="9"/>
  <c r="AZ534" i="9"/>
  <c r="AZ533" i="9"/>
  <c r="AZ532" i="9"/>
  <c r="AZ531" i="9"/>
  <c r="AZ530" i="9"/>
  <c r="AZ529" i="9"/>
  <c r="AZ528" i="9"/>
  <c r="AZ527" i="9"/>
  <c r="AZ526" i="9"/>
  <c r="AZ525" i="9"/>
  <c r="AZ524" i="9"/>
  <c r="AZ523" i="9"/>
  <c r="AZ522" i="9"/>
  <c r="AZ521" i="9"/>
  <c r="AZ520" i="9"/>
  <c r="AZ519" i="9"/>
  <c r="AZ518" i="9"/>
  <c r="AZ517" i="9"/>
  <c r="AZ516" i="9"/>
  <c r="AZ515" i="9"/>
  <c r="AZ514" i="9"/>
  <c r="AZ513" i="9"/>
  <c r="AZ512" i="9"/>
  <c r="AZ511" i="9"/>
  <c r="AZ510" i="9"/>
  <c r="AZ509" i="9"/>
  <c r="AZ508" i="9"/>
  <c r="AZ507" i="9"/>
  <c r="AZ506" i="9"/>
  <c r="AZ505" i="9"/>
  <c r="AZ504" i="9"/>
  <c r="AZ503" i="9"/>
  <c r="AZ502" i="9"/>
  <c r="AZ501" i="9"/>
  <c r="AZ500" i="9"/>
  <c r="AZ499" i="9"/>
  <c r="AZ498" i="9"/>
  <c r="AZ497" i="9"/>
  <c r="AZ496" i="9"/>
  <c r="AZ495" i="9"/>
  <c r="AZ494" i="9"/>
  <c r="AZ493" i="9"/>
  <c r="AZ492" i="9"/>
  <c r="AZ491" i="9"/>
  <c r="AZ490" i="9"/>
  <c r="AZ489" i="9"/>
  <c r="AZ488" i="9"/>
  <c r="AZ487" i="9"/>
  <c r="AZ486" i="9"/>
  <c r="AZ485" i="9"/>
  <c r="AZ484" i="9"/>
  <c r="AZ483" i="9"/>
  <c r="AZ482" i="9"/>
  <c r="AZ481" i="9"/>
  <c r="AZ480" i="9"/>
  <c r="AZ479" i="9"/>
  <c r="AZ478" i="9"/>
  <c r="AZ477" i="9"/>
  <c r="AZ476" i="9"/>
  <c r="AZ475" i="9"/>
  <c r="AZ474" i="9"/>
  <c r="AZ473" i="9"/>
  <c r="AZ472" i="9"/>
  <c r="AZ471" i="9"/>
  <c r="AZ470" i="9"/>
  <c r="AZ469" i="9"/>
  <c r="AZ468" i="9"/>
  <c r="AZ467" i="9"/>
  <c r="AZ466" i="9"/>
  <c r="AZ465" i="9"/>
  <c r="AZ464" i="9"/>
  <c r="AZ463" i="9"/>
  <c r="AZ462" i="9"/>
  <c r="AZ461" i="9"/>
  <c r="AZ460" i="9"/>
  <c r="AZ459" i="9"/>
  <c r="AZ458" i="9"/>
  <c r="AZ457" i="9"/>
  <c r="AZ456" i="9"/>
  <c r="AZ455" i="9"/>
  <c r="AZ454" i="9"/>
  <c r="AZ453" i="9"/>
  <c r="AZ452" i="9"/>
  <c r="AZ451" i="9"/>
  <c r="AZ450" i="9"/>
  <c r="AZ449" i="9"/>
  <c r="AZ448" i="9"/>
  <c r="AZ447" i="9"/>
  <c r="AZ446" i="9"/>
  <c r="AZ445" i="9"/>
  <c r="AZ444" i="9"/>
  <c r="AZ443" i="9"/>
  <c r="AZ442" i="9"/>
  <c r="AZ441" i="9"/>
  <c r="AZ440" i="9"/>
  <c r="AZ439" i="9"/>
  <c r="AZ438" i="9"/>
  <c r="AZ437" i="9"/>
  <c r="AZ436" i="9"/>
  <c r="AZ435" i="9"/>
  <c r="AZ434" i="9"/>
  <c r="AZ433" i="9"/>
  <c r="AZ432" i="9"/>
  <c r="AZ431" i="9"/>
  <c r="AZ430" i="9"/>
  <c r="AZ429" i="9"/>
  <c r="AZ428" i="9"/>
  <c r="AZ427" i="9"/>
  <c r="AZ426" i="9"/>
  <c r="AZ425" i="9"/>
  <c r="AZ424" i="9"/>
  <c r="AZ423" i="9"/>
  <c r="AZ422" i="9"/>
  <c r="AZ421" i="9"/>
  <c r="AZ420" i="9"/>
  <c r="AZ419" i="9"/>
  <c r="AZ418" i="9"/>
  <c r="AZ417" i="9"/>
  <c r="AZ416" i="9"/>
  <c r="AZ415" i="9"/>
  <c r="AZ414" i="9"/>
  <c r="AZ413" i="9"/>
  <c r="AZ412" i="9"/>
  <c r="AZ411" i="9"/>
  <c r="AZ410" i="9"/>
  <c r="AZ409" i="9"/>
  <c r="AZ408" i="9"/>
  <c r="AZ407" i="9"/>
  <c r="AZ406" i="9"/>
  <c r="AZ405" i="9"/>
  <c r="AZ404" i="9"/>
  <c r="AZ403" i="9"/>
  <c r="AZ402" i="9"/>
  <c r="AZ401" i="9"/>
  <c r="AZ400" i="9"/>
  <c r="AZ399" i="9"/>
  <c r="AZ398" i="9"/>
  <c r="AZ397" i="9"/>
  <c r="AZ396" i="9"/>
  <c r="AZ395" i="9"/>
  <c r="AZ394" i="9"/>
  <c r="AZ393" i="9"/>
  <c r="AZ392" i="9"/>
  <c r="AZ391" i="9"/>
  <c r="AZ390" i="9"/>
  <c r="AZ389" i="9"/>
  <c r="AZ388" i="9"/>
  <c r="AZ387" i="9"/>
  <c r="AZ386" i="9"/>
  <c r="AZ385" i="9"/>
  <c r="AZ384" i="9"/>
  <c r="AZ383" i="9"/>
  <c r="AZ382" i="9"/>
  <c r="AZ381" i="9"/>
  <c r="AZ380" i="9"/>
  <c r="AZ379" i="9"/>
  <c r="AZ378" i="9"/>
  <c r="AZ377" i="9"/>
  <c r="AZ376" i="9"/>
  <c r="AZ375" i="9"/>
  <c r="AZ374" i="9"/>
  <c r="AZ373" i="9"/>
  <c r="AZ372" i="9"/>
  <c r="AZ371" i="9"/>
  <c r="AZ370" i="9"/>
  <c r="AZ369" i="9"/>
  <c r="AZ368" i="9"/>
  <c r="AZ367" i="9"/>
  <c r="AZ366" i="9"/>
  <c r="AZ365" i="9"/>
  <c r="AZ364" i="9"/>
  <c r="AZ363" i="9"/>
  <c r="AZ362" i="9"/>
  <c r="AZ361" i="9"/>
  <c r="AZ360" i="9"/>
  <c r="AZ359" i="9"/>
  <c r="AZ358" i="9"/>
  <c r="AZ357" i="9"/>
  <c r="AZ356" i="9"/>
  <c r="AZ355" i="9"/>
  <c r="AZ354" i="9"/>
  <c r="AZ353" i="9"/>
  <c r="AZ352" i="9"/>
  <c r="AZ351" i="9"/>
  <c r="AZ350" i="9"/>
  <c r="AZ349" i="9"/>
  <c r="AZ348" i="9"/>
  <c r="AZ347" i="9"/>
  <c r="AZ346" i="9"/>
  <c r="AZ345" i="9"/>
  <c r="AZ344" i="9"/>
  <c r="AZ343" i="9"/>
  <c r="AZ342" i="9"/>
  <c r="AZ341" i="9"/>
  <c r="AZ340" i="9"/>
  <c r="AZ339" i="9"/>
  <c r="AZ338" i="9"/>
  <c r="AZ337" i="9"/>
  <c r="AZ336" i="9"/>
  <c r="AZ335" i="9"/>
  <c r="AZ334" i="9"/>
  <c r="AZ333" i="9"/>
  <c r="AZ332" i="9"/>
  <c r="AZ331" i="9"/>
  <c r="AZ330" i="9"/>
  <c r="AZ329" i="9"/>
  <c r="AZ328" i="9"/>
  <c r="AZ327" i="9"/>
  <c r="AZ326" i="9"/>
  <c r="AZ325" i="9"/>
  <c r="AZ324" i="9"/>
  <c r="AZ323" i="9"/>
  <c r="AZ322" i="9"/>
  <c r="AZ321" i="9"/>
  <c r="AZ320" i="9"/>
  <c r="AZ319" i="9"/>
  <c r="AZ318" i="9"/>
  <c r="AZ317" i="9"/>
  <c r="AZ316" i="9"/>
  <c r="AZ315" i="9"/>
  <c r="AZ314" i="9"/>
  <c r="AZ313" i="9"/>
  <c r="AZ312" i="9"/>
  <c r="AZ311" i="9"/>
  <c r="AZ310" i="9"/>
  <c r="AZ309" i="9"/>
  <c r="AZ308" i="9"/>
  <c r="AZ307" i="9"/>
  <c r="AZ306" i="9"/>
  <c r="AZ305" i="9"/>
  <c r="AZ304" i="9"/>
  <c r="AZ303" i="9"/>
  <c r="AZ302" i="9"/>
  <c r="AZ301" i="9"/>
  <c r="AZ300" i="9"/>
  <c r="AZ299" i="9"/>
  <c r="AZ298" i="9"/>
  <c r="AZ297" i="9"/>
  <c r="AZ296" i="9"/>
  <c r="AZ295" i="9"/>
  <c r="AZ294" i="9"/>
  <c r="AZ293" i="9"/>
  <c r="AZ292" i="9"/>
  <c r="AZ291" i="9"/>
  <c r="AZ290" i="9"/>
  <c r="AZ289" i="9"/>
  <c r="AZ288" i="9"/>
  <c r="AZ287" i="9"/>
  <c r="AZ286" i="9"/>
  <c r="AZ285" i="9"/>
  <c r="AZ284" i="9"/>
  <c r="AZ283" i="9"/>
  <c r="AZ282" i="9"/>
  <c r="AZ281" i="9"/>
  <c r="AZ280" i="9"/>
  <c r="AZ279" i="9"/>
  <c r="AZ278" i="9"/>
  <c r="AZ277" i="9"/>
  <c r="AZ276" i="9"/>
  <c r="AZ275" i="9"/>
  <c r="AZ274" i="9"/>
  <c r="AZ273" i="9"/>
  <c r="AZ272" i="9"/>
  <c r="AZ271" i="9"/>
  <c r="AZ270" i="9"/>
  <c r="AZ269" i="9"/>
  <c r="AZ268" i="9"/>
  <c r="AZ267" i="9"/>
  <c r="AZ266" i="9"/>
  <c r="AZ265" i="9"/>
  <c r="AZ264" i="9"/>
  <c r="AZ263" i="9"/>
  <c r="AZ262" i="9"/>
  <c r="AZ261" i="9"/>
  <c r="AZ260" i="9"/>
  <c r="AZ259" i="9"/>
  <c r="AZ258" i="9"/>
  <c r="AZ257" i="9"/>
  <c r="AZ256" i="9"/>
  <c r="AZ255" i="9"/>
  <c r="AZ254" i="9"/>
  <c r="AZ253" i="9"/>
  <c r="AZ252" i="9"/>
  <c r="AZ251" i="9"/>
  <c r="AZ250" i="9"/>
  <c r="AZ249" i="9"/>
  <c r="AZ248" i="9"/>
  <c r="AZ247" i="9"/>
  <c r="AZ246" i="9"/>
  <c r="AZ245" i="9"/>
  <c r="AZ244" i="9"/>
  <c r="AZ243" i="9"/>
  <c r="AZ242" i="9"/>
  <c r="AZ241" i="9"/>
  <c r="AZ240" i="9"/>
  <c r="AZ239" i="9"/>
  <c r="AZ238" i="9"/>
  <c r="AZ237" i="9"/>
  <c r="AZ236" i="9"/>
  <c r="AZ235" i="9"/>
  <c r="AZ234" i="9"/>
  <c r="AZ233" i="9"/>
  <c r="AZ232" i="9"/>
  <c r="AZ231" i="9"/>
  <c r="AZ230" i="9"/>
  <c r="AZ229" i="9"/>
  <c r="AZ228" i="9"/>
  <c r="AZ227" i="9"/>
  <c r="AZ226" i="9"/>
  <c r="AZ225" i="9"/>
  <c r="AZ224" i="9"/>
  <c r="AZ223" i="9"/>
  <c r="AZ222" i="9"/>
  <c r="AZ221" i="9"/>
  <c r="AZ220" i="9"/>
  <c r="AZ219" i="9"/>
  <c r="AZ218" i="9"/>
  <c r="AZ217" i="9"/>
  <c r="AZ216" i="9"/>
  <c r="AZ215" i="9"/>
  <c r="AZ214" i="9"/>
  <c r="AZ213" i="9"/>
  <c r="AZ212" i="9"/>
  <c r="AZ211" i="9"/>
  <c r="AZ210" i="9"/>
  <c r="AZ209" i="9"/>
  <c r="AZ208" i="9"/>
  <c r="AZ207" i="9"/>
  <c r="AZ206" i="9"/>
  <c r="AZ205" i="9"/>
  <c r="AZ204" i="9"/>
  <c r="AZ203" i="9"/>
  <c r="AZ202" i="9"/>
  <c r="AZ201" i="9"/>
  <c r="AZ200" i="9"/>
  <c r="AZ199" i="9"/>
  <c r="AZ198" i="9"/>
  <c r="AZ197" i="9"/>
  <c r="AZ196" i="9"/>
  <c r="AZ195" i="9"/>
  <c r="AZ194" i="9"/>
  <c r="AZ193" i="9"/>
  <c r="AZ192" i="9"/>
  <c r="AZ191" i="9"/>
  <c r="AZ190" i="9"/>
  <c r="AZ189" i="9"/>
  <c r="AZ188" i="9"/>
  <c r="AZ187" i="9"/>
  <c r="AZ186" i="9"/>
  <c r="AZ185" i="9"/>
  <c r="AZ184" i="9"/>
  <c r="AZ183" i="9"/>
  <c r="AZ182" i="9"/>
  <c r="AZ181" i="9"/>
  <c r="AZ180" i="9"/>
  <c r="AZ179" i="9"/>
  <c r="AZ178" i="9"/>
  <c r="AZ177" i="9"/>
  <c r="AZ176" i="9"/>
  <c r="AZ175" i="9"/>
  <c r="AZ174" i="9"/>
  <c r="AZ173" i="9"/>
  <c r="AZ172" i="9"/>
  <c r="AZ171" i="9"/>
  <c r="AZ170" i="9"/>
  <c r="AZ169" i="9"/>
  <c r="AZ168" i="9"/>
  <c r="AZ167" i="9"/>
  <c r="AZ166" i="9"/>
  <c r="AZ165" i="9"/>
  <c r="AZ164" i="9"/>
  <c r="AZ163" i="9"/>
  <c r="AZ162" i="9"/>
  <c r="AZ161" i="9"/>
  <c r="AZ160" i="9"/>
  <c r="AZ159" i="9"/>
  <c r="AZ158" i="9"/>
  <c r="AZ157" i="9"/>
  <c r="AZ156" i="9"/>
  <c r="AZ155" i="9"/>
  <c r="AZ154" i="9"/>
  <c r="AZ153" i="9"/>
  <c r="AZ152" i="9"/>
  <c r="AZ151" i="9"/>
  <c r="AZ150" i="9"/>
  <c r="AZ149" i="9"/>
  <c r="AZ148" i="9"/>
  <c r="AZ147" i="9"/>
  <c r="AZ146" i="9"/>
  <c r="AZ145" i="9"/>
  <c r="AZ144" i="9"/>
  <c r="AZ143" i="9"/>
  <c r="AZ142" i="9"/>
  <c r="AZ141" i="9"/>
  <c r="AZ140" i="9"/>
  <c r="AZ139" i="9"/>
  <c r="AZ138" i="9"/>
  <c r="AZ137" i="9"/>
  <c r="AZ136" i="9"/>
  <c r="AZ135" i="9"/>
  <c r="AZ134" i="9"/>
  <c r="AZ133" i="9"/>
  <c r="AZ132" i="9"/>
  <c r="AZ131" i="9"/>
  <c r="AZ130" i="9"/>
  <c r="AZ129" i="9"/>
  <c r="AZ128" i="9"/>
  <c r="AZ127" i="9"/>
  <c r="AZ126" i="9"/>
  <c r="AZ125" i="9"/>
  <c r="AZ124" i="9"/>
  <c r="AZ123" i="9"/>
  <c r="AZ122" i="9"/>
  <c r="AZ121" i="9"/>
  <c r="AZ120" i="9"/>
  <c r="AZ119" i="9"/>
  <c r="AZ118" i="9"/>
  <c r="AZ117" i="9"/>
  <c r="AZ116" i="9"/>
  <c r="AZ115" i="9"/>
  <c r="AZ114" i="9"/>
  <c r="AZ113" i="9"/>
  <c r="AZ112" i="9"/>
  <c r="AZ111" i="9"/>
  <c r="AZ110" i="9"/>
  <c r="AZ109" i="9"/>
  <c r="AZ108" i="9"/>
  <c r="AZ107" i="9"/>
  <c r="AZ106" i="9"/>
  <c r="AZ105" i="9"/>
  <c r="AZ104" i="9"/>
  <c r="AZ103" i="9"/>
  <c r="AZ102" i="9"/>
  <c r="AZ101" i="9"/>
  <c r="AZ100" i="9"/>
  <c r="AZ99" i="9"/>
  <c r="AZ98" i="9"/>
  <c r="AZ97" i="9"/>
  <c r="AZ96" i="9"/>
  <c r="AZ95" i="9"/>
  <c r="AZ94" i="9"/>
  <c r="AZ93" i="9"/>
  <c r="AZ92" i="9"/>
  <c r="AZ91" i="9"/>
  <c r="AZ90" i="9"/>
  <c r="AZ89" i="9"/>
  <c r="AZ88" i="9"/>
  <c r="AZ87" i="9"/>
  <c r="AZ86" i="9"/>
  <c r="AZ85" i="9"/>
  <c r="AZ84" i="9"/>
  <c r="AZ83" i="9"/>
  <c r="AZ82" i="9"/>
  <c r="AZ81" i="9"/>
  <c r="AZ80" i="9"/>
  <c r="AZ79" i="9"/>
  <c r="AZ78" i="9"/>
  <c r="AZ77" i="9"/>
  <c r="AZ76" i="9"/>
  <c r="AZ75" i="9"/>
  <c r="AZ74" i="9"/>
  <c r="AZ73" i="9"/>
  <c r="AZ72" i="9"/>
  <c r="AZ71" i="9"/>
  <c r="AZ70" i="9"/>
  <c r="AZ69" i="9"/>
  <c r="AZ68" i="9"/>
  <c r="AZ67" i="9"/>
  <c r="AZ66" i="9"/>
  <c r="AZ65" i="9"/>
  <c r="AZ64" i="9"/>
  <c r="AZ63" i="9"/>
  <c r="AZ62" i="9"/>
  <c r="AZ61" i="9"/>
  <c r="AZ60" i="9"/>
  <c r="AZ59" i="9"/>
  <c r="AZ58" i="9"/>
  <c r="AZ57" i="9"/>
  <c r="AZ56" i="9"/>
  <c r="AZ55" i="9"/>
  <c r="AZ54" i="9"/>
  <c r="AZ53" i="9"/>
  <c r="AZ52" i="9"/>
  <c r="AZ51" i="9"/>
  <c r="AZ50" i="9"/>
  <c r="AZ49" i="9"/>
  <c r="AZ48" i="9"/>
  <c r="AZ47" i="9"/>
  <c r="AZ46" i="9"/>
  <c r="AZ45" i="9"/>
  <c r="AZ44" i="9"/>
  <c r="AZ43" i="9"/>
  <c r="AZ42" i="9"/>
  <c r="AZ41" i="9"/>
  <c r="AZ40" i="9"/>
  <c r="AZ39" i="9"/>
  <c r="AZ38" i="9"/>
  <c r="AZ37" i="9"/>
  <c r="AZ36" i="9"/>
  <c r="AZ35" i="9"/>
  <c r="AZ34" i="9"/>
  <c r="AZ33" i="9"/>
  <c r="AZ32" i="9"/>
  <c r="AZ31" i="9"/>
  <c r="AZ30" i="9"/>
  <c r="AZ29" i="9"/>
  <c r="AZ28" i="9"/>
  <c r="AZ27" i="9"/>
  <c r="AZ26" i="9"/>
  <c r="AZ25" i="9"/>
  <c r="AZ24" i="9"/>
  <c r="AZ23" i="9"/>
  <c r="AZ22" i="9"/>
  <c r="AZ21" i="9"/>
  <c r="AZ20" i="9"/>
  <c r="AZ19" i="9"/>
  <c r="AZ18" i="9"/>
  <c r="AZ17" i="9"/>
  <c r="AZ16" i="9"/>
  <c r="AZ15" i="9"/>
  <c r="D16" i="8"/>
  <c r="D21" i="8"/>
  <c r="D4" i="8"/>
  <c r="D11" i="8"/>
  <c r="D10" i="8"/>
  <c r="D13" i="8"/>
  <c r="D19" i="8"/>
  <c r="D18" i="8"/>
  <c r="D3" i="8"/>
  <c r="D7" i="8"/>
  <c r="D2" i="8"/>
  <c r="D17" i="8"/>
  <c r="D6" i="8"/>
  <c r="BB32" i="16" l="1"/>
  <c r="BC31" i="16"/>
  <c r="BB28" i="16"/>
  <c r="BC27" i="16"/>
  <c r="BD27" i="16" s="1"/>
  <c r="BB31" i="16"/>
  <c r="BC30" i="16"/>
  <c r="BB30" i="16"/>
  <c r="BD30" i="16" s="1"/>
  <c r="BC29" i="16"/>
  <c r="BB29" i="16"/>
  <c r="BD29" i="16" s="1"/>
  <c r="BC28" i="16"/>
  <c r="AQ28" i="16"/>
  <c r="AR27" i="16"/>
  <c r="AS27" i="16" s="1"/>
  <c r="AQ31" i="16"/>
  <c r="AR30" i="16"/>
  <c r="AQ32" i="16"/>
  <c r="AR31" i="16"/>
  <c r="AQ30" i="16"/>
  <c r="AS30" i="16" s="1"/>
  <c r="AR29" i="16"/>
  <c r="AQ29" i="16"/>
  <c r="AS29" i="16" s="1"/>
  <c r="AR28" i="16"/>
  <c r="AM32" i="16"/>
  <c r="AL33" i="16"/>
  <c r="AM29" i="16"/>
  <c r="AL30" i="16"/>
  <c r="AM30" i="16"/>
  <c r="AL31" i="16"/>
  <c r="AM28" i="16"/>
  <c r="AL29" i="16"/>
  <c r="AM31" i="16"/>
  <c r="AL32" i="16"/>
  <c r="AM27" i="16"/>
  <c r="AN27" i="16" s="1"/>
  <c r="AL28" i="16"/>
  <c r="AN28" i="16" s="1"/>
  <c r="AH27" i="16"/>
  <c r="AI27" i="16" s="1"/>
  <c r="AG28" i="16"/>
  <c r="AH29" i="16"/>
  <c r="AG30" i="16"/>
  <c r="X31" i="16"/>
  <c r="W32" i="16"/>
  <c r="AH30" i="16"/>
  <c r="AG31" i="16"/>
  <c r="AH28" i="16"/>
  <c r="AG29" i="16"/>
  <c r="W30" i="16"/>
  <c r="X29" i="16"/>
  <c r="X28" i="16"/>
  <c r="W29" i="16"/>
  <c r="AB28" i="16"/>
  <c r="AC27" i="16"/>
  <c r="AD27" i="16" s="1"/>
  <c r="AB29" i="16"/>
  <c r="AC28" i="16"/>
  <c r="AB30" i="16"/>
  <c r="AC29" i="16"/>
  <c r="W28" i="16"/>
  <c r="X27" i="16"/>
  <c r="Y27" i="16" s="1"/>
  <c r="AB31" i="16"/>
  <c r="AD31" i="16" s="1"/>
  <c r="AC30" i="16"/>
  <c r="AG32" i="16"/>
  <c r="AH31" i="16"/>
  <c r="X30" i="16"/>
  <c r="W31" i="16"/>
  <c r="Y31" i="16" s="1"/>
  <c r="AB32" i="16"/>
  <c r="AC31" i="16"/>
  <c r="AX30" i="16"/>
  <c r="AX28" i="16"/>
  <c r="AX31" i="16"/>
  <c r="AX29" i="16"/>
  <c r="AV33" i="16"/>
  <c r="AW32" i="16"/>
  <c r="AX32" i="16" s="1"/>
  <c r="AX27" i="16"/>
  <c r="BB14" i="9"/>
  <c r="V32" i="16"/>
  <c r="T33" i="16"/>
  <c r="AK33" i="16" s="1"/>
  <c r="AA32" i="16"/>
  <c r="AP32" i="16"/>
  <c r="AY32" i="16"/>
  <c r="AZ32" i="16" s="1"/>
  <c r="BA32" i="16" s="1"/>
  <c r="AF32" i="16"/>
  <c r="AU32" i="16"/>
  <c r="D14" i="8"/>
  <c r="D9" i="8"/>
  <c r="D20" i="8"/>
  <c r="BB1013" i="9"/>
  <c r="N105" i="16"/>
  <c r="P105" i="16"/>
  <c r="N75" i="16"/>
  <c r="N85" i="16"/>
  <c r="N88" i="16" s="1"/>
  <c r="N61" i="16"/>
  <c r="N74" i="16"/>
  <c r="N47" i="16"/>
  <c r="N32" i="16"/>
  <c r="N33" i="16"/>
  <c r="AV14" i="9"/>
  <c r="BB1012" i="9"/>
  <c r="BC32" i="16" l="1"/>
  <c r="BD32" i="16" s="1"/>
  <c r="BB33" i="16"/>
  <c r="BD28" i="16"/>
  <c r="BD31" i="16"/>
  <c r="Y29" i="16"/>
  <c r="AS31" i="16"/>
  <c r="AS28" i="16"/>
  <c r="AN32" i="16"/>
  <c r="Y30" i="16"/>
  <c r="Y28" i="16"/>
  <c r="AI31" i="16"/>
  <c r="AQ33" i="16"/>
  <c r="AR32" i="16"/>
  <c r="AS32" i="16" s="1"/>
  <c r="AI29" i="16"/>
  <c r="AD30" i="16"/>
  <c r="AN29" i="16"/>
  <c r="AM33" i="16"/>
  <c r="AN33" i="16" s="1"/>
  <c r="AL34" i="16"/>
  <c r="AN31" i="16"/>
  <c r="AN30" i="16"/>
  <c r="AD29" i="16"/>
  <c r="AH32" i="16"/>
  <c r="AI32" i="16" s="1"/>
  <c r="AG33" i="16"/>
  <c r="AC32" i="16"/>
  <c r="AD32" i="16" s="1"/>
  <c r="AB33" i="16"/>
  <c r="AI30" i="16"/>
  <c r="AD28" i="16"/>
  <c r="AI28" i="16"/>
  <c r="X32" i="16"/>
  <c r="Y32" i="16" s="1"/>
  <c r="W33" i="16"/>
  <c r="AP33" i="16"/>
  <c r="AA33" i="16"/>
  <c r="V33" i="16"/>
  <c r="T34" i="16"/>
  <c r="T35" i="16" s="1"/>
  <c r="AF33" i="16"/>
  <c r="AV35" i="16"/>
  <c r="AU33" i="16"/>
  <c r="AV34" i="16"/>
  <c r="AW33" i="16"/>
  <c r="AX33" i="16" s="1"/>
  <c r="AY33" i="16"/>
  <c r="AZ33" i="16" s="1"/>
  <c r="BA33" i="16" s="1"/>
  <c r="H30" i="2"/>
  <c r="BB34" i="16" l="1"/>
  <c r="BC33" i="16"/>
  <c r="BD33" i="16" s="1"/>
  <c r="AW34" i="16"/>
  <c r="AX34" i="16" s="1"/>
  <c r="AQ34" i="16"/>
  <c r="AR33" i="16"/>
  <c r="AS33" i="16" s="1"/>
  <c r="AH33" i="16"/>
  <c r="AI33" i="16" s="1"/>
  <c r="AG34" i="16"/>
  <c r="X33" i="16"/>
  <c r="Y33" i="16" s="1"/>
  <c r="W34" i="16"/>
  <c r="AC33" i="16"/>
  <c r="AD33" i="16" s="1"/>
  <c r="AB34" i="16"/>
  <c r="AU34" i="16"/>
  <c r="V34" i="16"/>
  <c r="AA34" i="16"/>
  <c r="AY34" i="16"/>
  <c r="AZ34" i="16" s="1"/>
  <c r="BA34" i="16" s="1"/>
  <c r="AP34" i="16"/>
  <c r="AK34" i="16"/>
  <c r="AF34" i="16"/>
  <c r="AW35" i="16"/>
  <c r="AX35" i="16" s="1"/>
  <c r="AV36" i="16"/>
  <c r="AY35" i="16"/>
  <c r="AZ35" i="16" s="1"/>
  <c r="BA35" i="16" s="1"/>
  <c r="AP35" i="16"/>
  <c r="AA35" i="16"/>
  <c r="AF35" i="16"/>
  <c r="T36" i="16"/>
  <c r="V35" i="16"/>
  <c r="AK35" i="16"/>
  <c r="AU35" i="16"/>
  <c r="G10" i="6"/>
  <c r="T10" i="6"/>
  <c r="BB35" i="16" l="1"/>
  <c r="BC34" i="16"/>
  <c r="BB36" i="16"/>
  <c r="BC35" i="16"/>
  <c r="BD34" i="16"/>
  <c r="AQ36" i="16"/>
  <c r="AR35" i="16"/>
  <c r="AQ35" i="16"/>
  <c r="AR34" i="16"/>
  <c r="AS34" i="16" s="1"/>
  <c r="AM35" i="16"/>
  <c r="AL36" i="16"/>
  <c r="AM34" i="16"/>
  <c r="AN34" i="16" s="1"/>
  <c r="AL35" i="16"/>
  <c r="AG35" i="16"/>
  <c r="AH34" i="16"/>
  <c r="AI34" i="16" s="1"/>
  <c r="W36" i="16"/>
  <c r="X35" i="16"/>
  <c r="W35" i="16"/>
  <c r="X34" i="16"/>
  <c r="Y34" i="16" s="1"/>
  <c r="AG36" i="16"/>
  <c r="AH35" i="16"/>
  <c r="AC34" i="16"/>
  <c r="AD34" i="16" s="1"/>
  <c r="AB35" i="16"/>
  <c r="AC35" i="16"/>
  <c r="AB36" i="16"/>
  <c r="AV37" i="16"/>
  <c r="AW36" i="16"/>
  <c r="AX36" i="16" s="1"/>
  <c r="AY36" i="16"/>
  <c r="AZ36" i="16" s="1"/>
  <c r="BA36" i="16" s="1"/>
  <c r="AK36" i="16"/>
  <c r="AP36" i="16"/>
  <c r="AA36" i="16"/>
  <c r="T37" i="16"/>
  <c r="AF36" i="16"/>
  <c r="V36" i="16"/>
  <c r="AU36" i="16"/>
  <c r="AK1013" i="9"/>
  <c r="AO1013" i="9" s="1"/>
  <c r="AJ1013" i="9"/>
  <c r="AI1013" i="9"/>
  <c r="AK1012" i="9"/>
  <c r="AO1012" i="9" s="1"/>
  <c r="AJ1012" i="9"/>
  <c r="AI1012" i="9"/>
  <c r="BB1011" i="9"/>
  <c r="AK1011" i="9"/>
  <c r="AO1011" i="9" s="1"/>
  <c r="AJ1011" i="9"/>
  <c r="AI1011" i="9"/>
  <c r="BB1010" i="9"/>
  <c r="AK1010" i="9"/>
  <c r="AO1010" i="9" s="1"/>
  <c r="AJ1010" i="9"/>
  <c r="AI1010" i="9"/>
  <c r="BB1009" i="9"/>
  <c r="AK1009" i="9"/>
  <c r="AO1009" i="9" s="1"/>
  <c r="AJ1009" i="9"/>
  <c r="AI1009" i="9"/>
  <c r="BB1008" i="9"/>
  <c r="AK1008" i="9"/>
  <c r="AO1008" i="9" s="1"/>
  <c r="AJ1008" i="9"/>
  <c r="AI1008" i="9"/>
  <c r="BB1007" i="9"/>
  <c r="AK1007" i="9"/>
  <c r="AO1007" i="9" s="1"/>
  <c r="AJ1007" i="9"/>
  <c r="AI1007" i="9"/>
  <c r="BB1006" i="9"/>
  <c r="AK1006" i="9"/>
  <c r="AO1006" i="9" s="1"/>
  <c r="AJ1006" i="9"/>
  <c r="AI1006" i="9"/>
  <c r="BB1005" i="9"/>
  <c r="AK1005" i="9"/>
  <c r="AO1005" i="9" s="1"/>
  <c r="AJ1005" i="9"/>
  <c r="AI1005" i="9"/>
  <c r="BB1004" i="9"/>
  <c r="AK1004" i="9"/>
  <c r="AO1004" i="9" s="1"/>
  <c r="AJ1004" i="9"/>
  <c r="AI1004" i="9"/>
  <c r="BB1003" i="9"/>
  <c r="AK1003" i="9"/>
  <c r="AO1003" i="9" s="1"/>
  <c r="AJ1003" i="9"/>
  <c r="AI1003" i="9"/>
  <c r="BB1002" i="9"/>
  <c r="AK1002" i="9"/>
  <c r="AO1002" i="9" s="1"/>
  <c r="AJ1002" i="9"/>
  <c r="AI1002" i="9"/>
  <c r="BB1001" i="9"/>
  <c r="AK1001" i="9"/>
  <c r="AO1001" i="9" s="1"/>
  <c r="AJ1001" i="9"/>
  <c r="AI1001" i="9"/>
  <c r="BB1000" i="9"/>
  <c r="AK1000" i="9"/>
  <c r="AO1000" i="9" s="1"/>
  <c r="AJ1000" i="9"/>
  <c r="AI1000" i="9"/>
  <c r="BB999" i="9"/>
  <c r="AK999" i="9"/>
  <c r="AO999" i="9" s="1"/>
  <c r="AJ999" i="9"/>
  <c r="AI999" i="9"/>
  <c r="BB998" i="9"/>
  <c r="AK998" i="9"/>
  <c r="AO998" i="9" s="1"/>
  <c r="AJ998" i="9"/>
  <c r="AI998" i="9"/>
  <c r="BB997" i="9"/>
  <c r="AK997" i="9"/>
  <c r="AO997" i="9" s="1"/>
  <c r="AJ997" i="9"/>
  <c r="AI997" i="9"/>
  <c r="BB996" i="9"/>
  <c r="AK996" i="9"/>
  <c r="AO996" i="9" s="1"/>
  <c r="AJ996" i="9"/>
  <c r="AI996" i="9"/>
  <c r="BB995" i="9"/>
  <c r="AK995" i="9"/>
  <c r="AO995" i="9" s="1"/>
  <c r="AJ995" i="9"/>
  <c r="AI995" i="9"/>
  <c r="BB994" i="9"/>
  <c r="AK994" i="9"/>
  <c r="AO994" i="9" s="1"/>
  <c r="AJ994" i="9"/>
  <c r="AI994" i="9"/>
  <c r="BB993" i="9"/>
  <c r="AK993" i="9"/>
  <c r="AO993" i="9" s="1"/>
  <c r="AJ993" i="9"/>
  <c r="AI993" i="9"/>
  <c r="BB992" i="9"/>
  <c r="AK992" i="9"/>
  <c r="AO992" i="9" s="1"/>
  <c r="AJ992" i="9"/>
  <c r="AI992" i="9"/>
  <c r="BB991" i="9"/>
  <c r="AK991" i="9"/>
  <c r="AO991" i="9" s="1"/>
  <c r="AJ991" i="9"/>
  <c r="AI991" i="9"/>
  <c r="BB990" i="9"/>
  <c r="AK990" i="9"/>
  <c r="AO990" i="9" s="1"/>
  <c r="AJ990" i="9"/>
  <c r="AI990" i="9"/>
  <c r="BB989" i="9"/>
  <c r="AK989" i="9"/>
  <c r="AO989" i="9" s="1"/>
  <c r="AJ989" i="9"/>
  <c r="AI989" i="9"/>
  <c r="BB988" i="9"/>
  <c r="AK988" i="9"/>
  <c r="AO988" i="9" s="1"/>
  <c r="AJ988" i="9"/>
  <c r="AI988" i="9"/>
  <c r="BB987" i="9"/>
  <c r="AK987" i="9"/>
  <c r="AO987" i="9" s="1"/>
  <c r="AJ987" i="9"/>
  <c r="AI987" i="9"/>
  <c r="BB986" i="9"/>
  <c r="AK986" i="9"/>
  <c r="AO986" i="9" s="1"/>
  <c r="AJ986" i="9"/>
  <c r="AI986" i="9"/>
  <c r="BB985" i="9"/>
  <c r="AK985" i="9"/>
  <c r="AO985" i="9" s="1"/>
  <c r="AJ985" i="9"/>
  <c r="AI985" i="9"/>
  <c r="BB984" i="9"/>
  <c r="AK984" i="9"/>
  <c r="AO984" i="9" s="1"/>
  <c r="AJ984" i="9"/>
  <c r="AI984" i="9"/>
  <c r="BB983" i="9"/>
  <c r="AK983" i="9"/>
  <c r="AO983" i="9" s="1"/>
  <c r="AJ983" i="9"/>
  <c r="AI983" i="9"/>
  <c r="BB982" i="9"/>
  <c r="AK982" i="9"/>
  <c r="AO982" i="9" s="1"/>
  <c r="AJ982" i="9"/>
  <c r="AI982" i="9"/>
  <c r="BB981" i="9"/>
  <c r="AK981" i="9"/>
  <c r="AO981" i="9" s="1"/>
  <c r="AJ981" i="9"/>
  <c r="AI981" i="9"/>
  <c r="BB980" i="9"/>
  <c r="AK980" i="9"/>
  <c r="AO980" i="9" s="1"/>
  <c r="AJ980" i="9"/>
  <c r="AI980" i="9"/>
  <c r="BB979" i="9"/>
  <c r="AK979" i="9"/>
  <c r="AO979" i="9" s="1"/>
  <c r="AJ979" i="9"/>
  <c r="AI979" i="9"/>
  <c r="BB978" i="9"/>
  <c r="AK978" i="9"/>
  <c r="AO978" i="9" s="1"/>
  <c r="AJ978" i="9"/>
  <c r="AI978" i="9"/>
  <c r="BB977" i="9"/>
  <c r="AK977" i="9"/>
  <c r="AO977" i="9" s="1"/>
  <c r="AJ977" i="9"/>
  <c r="AI977" i="9"/>
  <c r="BB976" i="9"/>
  <c r="AK976" i="9"/>
  <c r="AO976" i="9" s="1"/>
  <c r="AJ976" i="9"/>
  <c r="AI976" i="9"/>
  <c r="BB975" i="9"/>
  <c r="AK975" i="9"/>
  <c r="AO975" i="9" s="1"/>
  <c r="AJ975" i="9"/>
  <c r="AI975" i="9"/>
  <c r="BB974" i="9"/>
  <c r="AK974" i="9"/>
  <c r="AO974" i="9" s="1"/>
  <c r="AJ974" i="9"/>
  <c r="AI974" i="9"/>
  <c r="BB973" i="9"/>
  <c r="AK973" i="9"/>
  <c r="AO973" i="9" s="1"/>
  <c r="AJ973" i="9"/>
  <c r="AI973" i="9"/>
  <c r="BB972" i="9"/>
  <c r="AK972" i="9"/>
  <c r="AO972" i="9" s="1"/>
  <c r="AJ972" i="9"/>
  <c r="AI972" i="9"/>
  <c r="BB971" i="9"/>
  <c r="AK971" i="9"/>
  <c r="AO971" i="9" s="1"/>
  <c r="AJ971" i="9"/>
  <c r="AI971" i="9"/>
  <c r="BB970" i="9"/>
  <c r="AK970" i="9"/>
  <c r="AO970" i="9" s="1"/>
  <c r="AJ970" i="9"/>
  <c r="AI970" i="9"/>
  <c r="BB969" i="9"/>
  <c r="AK969" i="9"/>
  <c r="AO969" i="9" s="1"/>
  <c r="AJ969" i="9"/>
  <c r="AI969" i="9"/>
  <c r="BB968" i="9"/>
  <c r="AK968" i="9"/>
  <c r="AO968" i="9" s="1"/>
  <c r="AJ968" i="9"/>
  <c r="AI968" i="9"/>
  <c r="BB967" i="9"/>
  <c r="AK967" i="9"/>
  <c r="AO967" i="9" s="1"/>
  <c r="AJ967" i="9"/>
  <c r="AI967" i="9"/>
  <c r="BB966" i="9"/>
  <c r="AK966" i="9"/>
  <c r="AO966" i="9" s="1"/>
  <c r="AJ966" i="9"/>
  <c r="AI966" i="9"/>
  <c r="BB965" i="9"/>
  <c r="AK965" i="9"/>
  <c r="AO965" i="9" s="1"/>
  <c r="AJ965" i="9"/>
  <c r="AI965" i="9"/>
  <c r="BB964" i="9"/>
  <c r="AK964" i="9"/>
  <c r="AO964" i="9" s="1"/>
  <c r="AJ964" i="9"/>
  <c r="AI964" i="9"/>
  <c r="BB963" i="9"/>
  <c r="AK963" i="9"/>
  <c r="AO963" i="9" s="1"/>
  <c r="AJ963" i="9"/>
  <c r="AI963" i="9"/>
  <c r="BB962" i="9"/>
  <c r="AK962" i="9"/>
  <c r="AO962" i="9" s="1"/>
  <c r="AJ962" i="9"/>
  <c r="AI962" i="9"/>
  <c r="BB961" i="9"/>
  <c r="AK961" i="9"/>
  <c r="AO961" i="9" s="1"/>
  <c r="AJ961" i="9"/>
  <c r="AI961" i="9"/>
  <c r="BB960" i="9"/>
  <c r="AK960" i="9"/>
  <c r="AO960" i="9" s="1"/>
  <c r="AJ960" i="9"/>
  <c r="AI960" i="9"/>
  <c r="BB959" i="9"/>
  <c r="AK959" i="9"/>
  <c r="AO959" i="9" s="1"/>
  <c r="AJ959" i="9"/>
  <c r="AI959" i="9"/>
  <c r="BB958" i="9"/>
  <c r="AK958" i="9"/>
  <c r="AO958" i="9" s="1"/>
  <c r="AJ958" i="9"/>
  <c r="AI958" i="9"/>
  <c r="BB957" i="9"/>
  <c r="AK957" i="9"/>
  <c r="AO957" i="9" s="1"/>
  <c r="AJ957" i="9"/>
  <c r="AI957" i="9"/>
  <c r="BB956" i="9"/>
  <c r="AK956" i="9"/>
  <c r="AO956" i="9" s="1"/>
  <c r="AJ956" i="9"/>
  <c r="AI956" i="9"/>
  <c r="BB955" i="9"/>
  <c r="AK955" i="9"/>
  <c r="AO955" i="9" s="1"/>
  <c r="AJ955" i="9"/>
  <c r="AI955" i="9"/>
  <c r="BB954" i="9"/>
  <c r="AK954" i="9"/>
  <c r="AO954" i="9" s="1"/>
  <c r="AJ954" i="9"/>
  <c r="AI954" i="9"/>
  <c r="BB953" i="9"/>
  <c r="AK953" i="9"/>
  <c r="AO953" i="9" s="1"/>
  <c r="AJ953" i="9"/>
  <c r="AI953" i="9"/>
  <c r="BB952" i="9"/>
  <c r="AK952" i="9"/>
  <c r="AO952" i="9" s="1"/>
  <c r="AJ952" i="9"/>
  <c r="AI952" i="9"/>
  <c r="BB951" i="9"/>
  <c r="AK951" i="9"/>
  <c r="AO951" i="9" s="1"/>
  <c r="AJ951" i="9"/>
  <c r="AI951" i="9"/>
  <c r="BB950" i="9"/>
  <c r="AK950" i="9"/>
  <c r="AO950" i="9" s="1"/>
  <c r="AJ950" i="9"/>
  <c r="AI950" i="9"/>
  <c r="BB949" i="9"/>
  <c r="AK949" i="9"/>
  <c r="AO949" i="9" s="1"/>
  <c r="AJ949" i="9"/>
  <c r="AI949" i="9"/>
  <c r="BB948" i="9"/>
  <c r="AK948" i="9"/>
  <c r="AO948" i="9" s="1"/>
  <c r="AJ948" i="9"/>
  <c r="AI948" i="9"/>
  <c r="BB947" i="9"/>
  <c r="AK947" i="9"/>
  <c r="AO947" i="9" s="1"/>
  <c r="AJ947" i="9"/>
  <c r="AI947" i="9"/>
  <c r="BB946" i="9"/>
  <c r="AK946" i="9"/>
  <c r="AO946" i="9" s="1"/>
  <c r="AJ946" i="9"/>
  <c r="AI946" i="9"/>
  <c r="BB945" i="9"/>
  <c r="AK945" i="9"/>
  <c r="AO945" i="9" s="1"/>
  <c r="AJ945" i="9"/>
  <c r="AI945" i="9"/>
  <c r="BB944" i="9"/>
  <c r="AK944" i="9"/>
  <c r="AO944" i="9" s="1"/>
  <c r="AJ944" i="9"/>
  <c r="AI944" i="9"/>
  <c r="BB943" i="9"/>
  <c r="AK943" i="9"/>
  <c r="AO943" i="9" s="1"/>
  <c r="AJ943" i="9"/>
  <c r="AI943" i="9"/>
  <c r="BB942" i="9"/>
  <c r="AK942" i="9"/>
  <c r="AO942" i="9" s="1"/>
  <c r="AJ942" i="9"/>
  <c r="AI942" i="9"/>
  <c r="BB941" i="9"/>
  <c r="AK941" i="9"/>
  <c r="AO941" i="9" s="1"/>
  <c r="AJ941" i="9"/>
  <c r="AI941" i="9"/>
  <c r="BB940" i="9"/>
  <c r="AK940" i="9"/>
  <c r="AO940" i="9" s="1"/>
  <c r="AJ940" i="9"/>
  <c r="AI940" i="9"/>
  <c r="BB939" i="9"/>
  <c r="AK939" i="9"/>
  <c r="AO939" i="9" s="1"/>
  <c r="AJ939" i="9"/>
  <c r="AI939" i="9"/>
  <c r="BB938" i="9"/>
  <c r="AK938" i="9"/>
  <c r="AO938" i="9" s="1"/>
  <c r="AJ938" i="9"/>
  <c r="AI938" i="9"/>
  <c r="BB937" i="9"/>
  <c r="AK937" i="9"/>
  <c r="AO937" i="9" s="1"/>
  <c r="AJ937" i="9"/>
  <c r="AI937" i="9"/>
  <c r="BB936" i="9"/>
  <c r="AK936" i="9"/>
  <c r="AO936" i="9" s="1"/>
  <c r="AJ936" i="9"/>
  <c r="AI936" i="9"/>
  <c r="BB935" i="9"/>
  <c r="AK935" i="9"/>
  <c r="AO935" i="9" s="1"/>
  <c r="AJ935" i="9"/>
  <c r="AI935" i="9"/>
  <c r="BB934" i="9"/>
  <c r="AK934" i="9"/>
  <c r="AO934" i="9" s="1"/>
  <c r="AJ934" i="9"/>
  <c r="AI934" i="9"/>
  <c r="BB933" i="9"/>
  <c r="AK933" i="9"/>
  <c r="AO933" i="9" s="1"/>
  <c r="AJ933" i="9"/>
  <c r="AI933" i="9"/>
  <c r="BB932" i="9"/>
  <c r="AK932" i="9"/>
  <c r="AO932" i="9" s="1"/>
  <c r="AJ932" i="9"/>
  <c r="AI932" i="9"/>
  <c r="BB931" i="9"/>
  <c r="AK931" i="9"/>
  <c r="AO931" i="9" s="1"/>
  <c r="AJ931" i="9"/>
  <c r="AI931" i="9"/>
  <c r="BB930" i="9"/>
  <c r="AK930" i="9"/>
  <c r="AO930" i="9" s="1"/>
  <c r="AJ930" i="9"/>
  <c r="AI930" i="9"/>
  <c r="BB929" i="9"/>
  <c r="AK929" i="9"/>
  <c r="AO929" i="9" s="1"/>
  <c r="AJ929" i="9"/>
  <c r="AI929" i="9"/>
  <c r="BB928" i="9"/>
  <c r="AK928" i="9"/>
  <c r="AO928" i="9" s="1"/>
  <c r="AJ928" i="9"/>
  <c r="AI928" i="9"/>
  <c r="BB927" i="9"/>
  <c r="AK927" i="9"/>
  <c r="AO927" i="9" s="1"/>
  <c r="AJ927" i="9"/>
  <c r="AI927" i="9"/>
  <c r="BB926" i="9"/>
  <c r="AK926" i="9"/>
  <c r="AO926" i="9" s="1"/>
  <c r="AJ926" i="9"/>
  <c r="AI926" i="9"/>
  <c r="BB925" i="9"/>
  <c r="AK925" i="9"/>
  <c r="AO925" i="9" s="1"/>
  <c r="AJ925" i="9"/>
  <c r="AI925" i="9"/>
  <c r="BB924" i="9"/>
  <c r="AK924" i="9"/>
  <c r="AO924" i="9" s="1"/>
  <c r="AJ924" i="9"/>
  <c r="AI924" i="9"/>
  <c r="BB923" i="9"/>
  <c r="AK923" i="9"/>
  <c r="AO923" i="9" s="1"/>
  <c r="AJ923" i="9"/>
  <c r="AI923" i="9"/>
  <c r="BB922" i="9"/>
  <c r="AK922" i="9"/>
  <c r="AO922" i="9" s="1"/>
  <c r="AJ922" i="9"/>
  <c r="AI922" i="9"/>
  <c r="BB921" i="9"/>
  <c r="AK921" i="9"/>
  <c r="AO921" i="9" s="1"/>
  <c r="AJ921" i="9"/>
  <c r="AI921" i="9"/>
  <c r="BB920" i="9"/>
  <c r="AK920" i="9"/>
  <c r="AO920" i="9" s="1"/>
  <c r="AJ920" i="9"/>
  <c r="AI920" i="9"/>
  <c r="BB919" i="9"/>
  <c r="AK919" i="9"/>
  <c r="AO919" i="9" s="1"/>
  <c r="AJ919" i="9"/>
  <c r="AI919" i="9"/>
  <c r="BB918" i="9"/>
  <c r="AK918" i="9"/>
  <c r="AO918" i="9" s="1"/>
  <c r="AJ918" i="9"/>
  <c r="AI918" i="9"/>
  <c r="BB917" i="9"/>
  <c r="AK917" i="9"/>
  <c r="AO917" i="9" s="1"/>
  <c r="AJ917" i="9"/>
  <c r="AI917" i="9"/>
  <c r="BB916" i="9"/>
  <c r="AK916" i="9"/>
  <c r="AO916" i="9" s="1"/>
  <c r="AJ916" i="9"/>
  <c r="AI916" i="9"/>
  <c r="BB915" i="9"/>
  <c r="AK915" i="9"/>
  <c r="AO915" i="9" s="1"/>
  <c r="AJ915" i="9"/>
  <c r="AI915" i="9"/>
  <c r="BB914" i="9"/>
  <c r="AK914" i="9"/>
  <c r="AO914" i="9" s="1"/>
  <c r="AJ914" i="9"/>
  <c r="AI914" i="9"/>
  <c r="BB913" i="9"/>
  <c r="AK913" i="9"/>
  <c r="AO913" i="9" s="1"/>
  <c r="AJ913" i="9"/>
  <c r="AI913" i="9"/>
  <c r="BB912" i="9"/>
  <c r="AK912" i="9"/>
  <c r="AO912" i="9" s="1"/>
  <c r="AJ912" i="9"/>
  <c r="AI912" i="9"/>
  <c r="BB911" i="9"/>
  <c r="AK911" i="9"/>
  <c r="AO911" i="9" s="1"/>
  <c r="AJ911" i="9"/>
  <c r="AI911" i="9"/>
  <c r="BB910" i="9"/>
  <c r="AK910" i="9"/>
  <c r="AO910" i="9" s="1"/>
  <c r="AJ910" i="9"/>
  <c r="AI910" i="9"/>
  <c r="BB909" i="9"/>
  <c r="AK909" i="9"/>
  <c r="AO909" i="9" s="1"/>
  <c r="AJ909" i="9"/>
  <c r="AI909" i="9"/>
  <c r="BB908" i="9"/>
  <c r="AK908" i="9"/>
  <c r="AO908" i="9" s="1"/>
  <c r="AJ908" i="9"/>
  <c r="AI908" i="9"/>
  <c r="BB907" i="9"/>
  <c r="AK907" i="9"/>
  <c r="AO907" i="9" s="1"/>
  <c r="AJ907" i="9"/>
  <c r="AI907" i="9"/>
  <c r="BB906" i="9"/>
  <c r="AK906" i="9"/>
  <c r="AO906" i="9" s="1"/>
  <c r="AJ906" i="9"/>
  <c r="AI906" i="9"/>
  <c r="BB905" i="9"/>
  <c r="AK905" i="9"/>
  <c r="AO905" i="9" s="1"/>
  <c r="AJ905" i="9"/>
  <c r="AI905" i="9"/>
  <c r="BB904" i="9"/>
  <c r="AK904" i="9"/>
  <c r="AO904" i="9" s="1"/>
  <c r="AJ904" i="9"/>
  <c r="AI904" i="9"/>
  <c r="BB903" i="9"/>
  <c r="AK903" i="9"/>
  <c r="AO903" i="9" s="1"/>
  <c r="AJ903" i="9"/>
  <c r="AI903" i="9"/>
  <c r="BB902" i="9"/>
  <c r="AK902" i="9"/>
  <c r="AO902" i="9" s="1"/>
  <c r="AJ902" i="9"/>
  <c r="AI902" i="9"/>
  <c r="BB901" i="9"/>
  <c r="AK901" i="9"/>
  <c r="AO901" i="9" s="1"/>
  <c r="AJ901" i="9"/>
  <c r="AI901" i="9"/>
  <c r="BB900" i="9"/>
  <c r="AK900" i="9"/>
  <c r="AO900" i="9" s="1"/>
  <c r="AJ900" i="9"/>
  <c r="AI900" i="9"/>
  <c r="BB899" i="9"/>
  <c r="AK899" i="9"/>
  <c r="AO899" i="9" s="1"/>
  <c r="AJ899" i="9"/>
  <c r="AI899" i="9"/>
  <c r="BB898" i="9"/>
  <c r="AK898" i="9"/>
  <c r="AO898" i="9" s="1"/>
  <c r="AJ898" i="9"/>
  <c r="AI898" i="9"/>
  <c r="BB897" i="9"/>
  <c r="AK897" i="9"/>
  <c r="AO897" i="9" s="1"/>
  <c r="AJ897" i="9"/>
  <c r="AI897" i="9"/>
  <c r="BB896" i="9"/>
  <c r="AK896" i="9"/>
  <c r="AO896" i="9" s="1"/>
  <c r="AJ896" i="9"/>
  <c r="AI896" i="9"/>
  <c r="BB895" i="9"/>
  <c r="AK895" i="9"/>
  <c r="AO895" i="9" s="1"/>
  <c r="AJ895" i="9"/>
  <c r="AI895" i="9"/>
  <c r="BB894" i="9"/>
  <c r="AK894" i="9"/>
  <c r="AO894" i="9" s="1"/>
  <c r="AJ894" i="9"/>
  <c r="AI894" i="9"/>
  <c r="BB893" i="9"/>
  <c r="AK893" i="9"/>
  <c r="AO893" i="9" s="1"/>
  <c r="AJ893" i="9"/>
  <c r="AI893" i="9"/>
  <c r="BB892" i="9"/>
  <c r="AK892" i="9"/>
  <c r="AO892" i="9" s="1"/>
  <c r="AJ892" i="9"/>
  <c r="AI892" i="9"/>
  <c r="BB891" i="9"/>
  <c r="AK891" i="9"/>
  <c r="AO891" i="9" s="1"/>
  <c r="AJ891" i="9"/>
  <c r="AI891" i="9"/>
  <c r="BB890" i="9"/>
  <c r="AK890" i="9"/>
  <c r="AO890" i="9" s="1"/>
  <c r="AJ890" i="9"/>
  <c r="AI890" i="9"/>
  <c r="BB889" i="9"/>
  <c r="AK889" i="9"/>
  <c r="AO889" i="9" s="1"/>
  <c r="AJ889" i="9"/>
  <c r="AI889" i="9"/>
  <c r="BB888" i="9"/>
  <c r="AK888" i="9"/>
  <c r="AO888" i="9" s="1"/>
  <c r="AJ888" i="9"/>
  <c r="AI888" i="9"/>
  <c r="BB887" i="9"/>
  <c r="AK887" i="9"/>
  <c r="AO887" i="9" s="1"/>
  <c r="AJ887" i="9"/>
  <c r="AI887" i="9"/>
  <c r="BB886" i="9"/>
  <c r="AK886" i="9"/>
  <c r="AO886" i="9" s="1"/>
  <c r="AJ886" i="9"/>
  <c r="AI886" i="9"/>
  <c r="BB885" i="9"/>
  <c r="AK885" i="9"/>
  <c r="AO885" i="9" s="1"/>
  <c r="AJ885" i="9"/>
  <c r="AI885" i="9"/>
  <c r="BB884" i="9"/>
  <c r="AK884" i="9"/>
  <c r="AO884" i="9" s="1"/>
  <c r="AJ884" i="9"/>
  <c r="AI884" i="9"/>
  <c r="BB883" i="9"/>
  <c r="AK883" i="9"/>
  <c r="AO883" i="9" s="1"/>
  <c r="AJ883" i="9"/>
  <c r="AI883" i="9"/>
  <c r="BB882" i="9"/>
  <c r="AK882" i="9"/>
  <c r="AO882" i="9" s="1"/>
  <c r="AJ882" i="9"/>
  <c r="AI882" i="9"/>
  <c r="BB881" i="9"/>
  <c r="AK881" i="9"/>
  <c r="AO881" i="9" s="1"/>
  <c r="AJ881" i="9"/>
  <c r="AI881" i="9"/>
  <c r="BB880" i="9"/>
  <c r="AK880" i="9"/>
  <c r="AO880" i="9" s="1"/>
  <c r="AJ880" i="9"/>
  <c r="AI880" i="9"/>
  <c r="BB879" i="9"/>
  <c r="AK879" i="9"/>
  <c r="AO879" i="9" s="1"/>
  <c r="AJ879" i="9"/>
  <c r="AI879" i="9"/>
  <c r="BB878" i="9"/>
  <c r="AK878" i="9"/>
  <c r="AO878" i="9" s="1"/>
  <c r="AJ878" i="9"/>
  <c r="AI878" i="9"/>
  <c r="BB877" i="9"/>
  <c r="AK877" i="9"/>
  <c r="AO877" i="9" s="1"/>
  <c r="AJ877" i="9"/>
  <c r="AI877" i="9"/>
  <c r="BB876" i="9"/>
  <c r="AK876" i="9"/>
  <c r="AO876" i="9" s="1"/>
  <c r="AJ876" i="9"/>
  <c r="AI876" i="9"/>
  <c r="BB875" i="9"/>
  <c r="AK875" i="9"/>
  <c r="AO875" i="9" s="1"/>
  <c r="AJ875" i="9"/>
  <c r="AI875" i="9"/>
  <c r="BB874" i="9"/>
  <c r="AK874" i="9"/>
  <c r="AO874" i="9" s="1"/>
  <c r="AJ874" i="9"/>
  <c r="AI874" i="9"/>
  <c r="BB873" i="9"/>
  <c r="AK873" i="9"/>
  <c r="AO873" i="9" s="1"/>
  <c r="AJ873" i="9"/>
  <c r="AI873" i="9"/>
  <c r="BB872" i="9"/>
  <c r="AK872" i="9"/>
  <c r="AO872" i="9" s="1"/>
  <c r="AJ872" i="9"/>
  <c r="AI872" i="9"/>
  <c r="BB871" i="9"/>
  <c r="AK871" i="9"/>
  <c r="AO871" i="9" s="1"/>
  <c r="AJ871" i="9"/>
  <c r="AI871" i="9"/>
  <c r="BB870" i="9"/>
  <c r="AK870" i="9"/>
  <c r="AO870" i="9" s="1"/>
  <c r="AJ870" i="9"/>
  <c r="AI870" i="9"/>
  <c r="BB869" i="9"/>
  <c r="AK869" i="9"/>
  <c r="AO869" i="9" s="1"/>
  <c r="AJ869" i="9"/>
  <c r="AI869" i="9"/>
  <c r="BB868" i="9"/>
  <c r="AK868" i="9"/>
  <c r="AO868" i="9" s="1"/>
  <c r="AJ868" i="9"/>
  <c r="AI868" i="9"/>
  <c r="BB867" i="9"/>
  <c r="AK867" i="9"/>
  <c r="AO867" i="9" s="1"/>
  <c r="AJ867" i="9"/>
  <c r="AI867" i="9"/>
  <c r="BB866" i="9"/>
  <c r="AK866" i="9"/>
  <c r="AO866" i="9" s="1"/>
  <c r="AJ866" i="9"/>
  <c r="AI866" i="9"/>
  <c r="BB865" i="9"/>
  <c r="AK865" i="9"/>
  <c r="AO865" i="9" s="1"/>
  <c r="AJ865" i="9"/>
  <c r="AI865" i="9"/>
  <c r="BB864" i="9"/>
  <c r="AK864" i="9"/>
  <c r="AO864" i="9" s="1"/>
  <c r="AJ864" i="9"/>
  <c r="AI864" i="9"/>
  <c r="BB863" i="9"/>
  <c r="AK863" i="9"/>
  <c r="AO863" i="9" s="1"/>
  <c r="AJ863" i="9"/>
  <c r="AI863" i="9"/>
  <c r="BB862" i="9"/>
  <c r="AK862" i="9"/>
  <c r="AO862" i="9" s="1"/>
  <c r="AJ862" i="9"/>
  <c r="AI862" i="9"/>
  <c r="BB861" i="9"/>
  <c r="AK861" i="9"/>
  <c r="AO861" i="9" s="1"/>
  <c r="AJ861" i="9"/>
  <c r="AI861" i="9"/>
  <c r="BB860" i="9"/>
  <c r="AK860" i="9"/>
  <c r="AO860" i="9" s="1"/>
  <c r="AJ860" i="9"/>
  <c r="AI860" i="9"/>
  <c r="BB859" i="9"/>
  <c r="AK859" i="9"/>
  <c r="AO859" i="9" s="1"/>
  <c r="AJ859" i="9"/>
  <c r="AI859" i="9"/>
  <c r="BB858" i="9"/>
  <c r="AK858" i="9"/>
  <c r="AO858" i="9" s="1"/>
  <c r="AJ858" i="9"/>
  <c r="AI858" i="9"/>
  <c r="BB857" i="9"/>
  <c r="AK857" i="9"/>
  <c r="AO857" i="9" s="1"/>
  <c r="AJ857" i="9"/>
  <c r="AI857" i="9"/>
  <c r="BB856" i="9"/>
  <c r="AK856" i="9"/>
  <c r="AO856" i="9" s="1"/>
  <c r="AJ856" i="9"/>
  <c r="AI856" i="9"/>
  <c r="BB855" i="9"/>
  <c r="AK855" i="9"/>
  <c r="AO855" i="9" s="1"/>
  <c r="AJ855" i="9"/>
  <c r="AI855" i="9"/>
  <c r="BB854" i="9"/>
  <c r="AK854" i="9"/>
  <c r="AO854" i="9" s="1"/>
  <c r="AJ854" i="9"/>
  <c r="AI854" i="9"/>
  <c r="BB853" i="9"/>
  <c r="AK853" i="9"/>
  <c r="AO853" i="9" s="1"/>
  <c r="AJ853" i="9"/>
  <c r="AI853" i="9"/>
  <c r="BB852" i="9"/>
  <c r="AK852" i="9"/>
  <c r="AO852" i="9" s="1"/>
  <c r="AJ852" i="9"/>
  <c r="AI852" i="9"/>
  <c r="BB851" i="9"/>
  <c r="AK851" i="9"/>
  <c r="AO851" i="9" s="1"/>
  <c r="AJ851" i="9"/>
  <c r="AI851" i="9"/>
  <c r="BB850" i="9"/>
  <c r="AK850" i="9"/>
  <c r="AO850" i="9" s="1"/>
  <c r="AJ850" i="9"/>
  <c r="AI850" i="9"/>
  <c r="BB849" i="9"/>
  <c r="AK849" i="9"/>
  <c r="AO849" i="9" s="1"/>
  <c r="AJ849" i="9"/>
  <c r="AI849" i="9"/>
  <c r="BB848" i="9"/>
  <c r="AK848" i="9"/>
  <c r="AO848" i="9" s="1"/>
  <c r="AJ848" i="9"/>
  <c r="AI848" i="9"/>
  <c r="BB847" i="9"/>
  <c r="AK847" i="9"/>
  <c r="AO847" i="9" s="1"/>
  <c r="AJ847" i="9"/>
  <c r="AI847" i="9"/>
  <c r="BB846" i="9"/>
  <c r="AK846" i="9"/>
  <c r="AO846" i="9" s="1"/>
  <c r="AJ846" i="9"/>
  <c r="AI846" i="9"/>
  <c r="BB845" i="9"/>
  <c r="AK845" i="9"/>
  <c r="AO845" i="9" s="1"/>
  <c r="AJ845" i="9"/>
  <c r="AI845" i="9"/>
  <c r="BB844" i="9"/>
  <c r="AK844" i="9"/>
  <c r="AO844" i="9" s="1"/>
  <c r="AJ844" i="9"/>
  <c r="AI844" i="9"/>
  <c r="BB843" i="9"/>
  <c r="AK843" i="9"/>
  <c r="AO843" i="9" s="1"/>
  <c r="AJ843" i="9"/>
  <c r="AI843" i="9"/>
  <c r="BB842" i="9"/>
  <c r="AK842" i="9"/>
  <c r="AO842" i="9" s="1"/>
  <c r="AJ842" i="9"/>
  <c r="AI842" i="9"/>
  <c r="BB841" i="9"/>
  <c r="AK841" i="9"/>
  <c r="AO841" i="9" s="1"/>
  <c r="AJ841" i="9"/>
  <c r="AI841" i="9"/>
  <c r="BB840" i="9"/>
  <c r="AK840" i="9"/>
  <c r="AO840" i="9" s="1"/>
  <c r="AJ840" i="9"/>
  <c r="AI840" i="9"/>
  <c r="BB839" i="9"/>
  <c r="AK839" i="9"/>
  <c r="AO839" i="9" s="1"/>
  <c r="AJ839" i="9"/>
  <c r="AI839" i="9"/>
  <c r="BB838" i="9"/>
  <c r="AK838" i="9"/>
  <c r="AO838" i="9" s="1"/>
  <c r="AJ838" i="9"/>
  <c r="AI838" i="9"/>
  <c r="BB837" i="9"/>
  <c r="AK837" i="9"/>
  <c r="AO837" i="9" s="1"/>
  <c r="AJ837" i="9"/>
  <c r="AI837" i="9"/>
  <c r="BB836" i="9"/>
  <c r="AK836" i="9"/>
  <c r="AO836" i="9" s="1"/>
  <c r="AJ836" i="9"/>
  <c r="AI836" i="9"/>
  <c r="BB835" i="9"/>
  <c r="AK835" i="9"/>
  <c r="AO835" i="9" s="1"/>
  <c r="AJ835" i="9"/>
  <c r="AI835" i="9"/>
  <c r="BB834" i="9"/>
  <c r="AK834" i="9"/>
  <c r="AO834" i="9" s="1"/>
  <c r="AJ834" i="9"/>
  <c r="AI834" i="9"/>
  <c r="BB833" i="9"/>
  <c r="AK833" i="9"/>
  <c r="AO833" i="9" s="1"/>
  <c r="AJ833" i="9"/>
  <c r="AI833" i="9"/>
  <c r="BB832" i="9"/>
  <c r="AK832" i="9"/>
  <c r="AO832" i="9" s="1"/>
  <c r="AJ832" i="9"/>
  <c r="AI832" i="9"/>
  <c r="BB831" i="9"/>
  <c r="AK831" i="9"/>
  <c r="AO831" i="9" s="1"/>
  <c r="AJ831" i="9"/>
  <c r="AI831" i="9"/>
  <c r="BB830" i="9"/>
  <c r="AK830" i="9"/>
  <c r="AO830" i="9" s="1"/>
  <c r="AJ830" i="9"/>
  <c r="AI830" i="9"/>
  <c r="BB829" i="9"/>
  <c r="AK829" i="9"/>
  <c r="AO829" i="9" s="1"/>
  <c r="AJ829" i="9"/>
  <c r="AI829" i="9"/>
  <c r="BB828" i="9"/>
  <c r="AK828" i="9"/>
  <c r="AO828" i="9" s="1"/>
  <c r="AJ828" i="9"/>
  <c r="AI828" i="9"/>
  <c r="BB827" i="9"/>
  <c r="AK827" i="9"/>
  <c r="AO827" i="9" s="1"/>
  <c r="AJ827" i="9"/>
  <c r="AI827" i="9"/>
  <c r="BB826" i="9"/>
  <c r="AK826" i="9"/>
  <c r="AO826" i="9" s="1"/>
  <c r="AJ826" i="9"/>
  <c r="AI826" i="9"/>
  <c r="BB825" i="9"/>
  <c r="AK825" i="9"/>
  <c r="AO825" i="9" s="1"/>
  <c r="AJ825" i="9"/>
  <c r="AI825" i="9"/>
  <c r="BB824" i="9"/>
  <c r="AK824" i="9"/>
  <c r="AO824" i="9" s="1"/>
  <c r="AJ824" i="9"/>
  <c r="AI824" i="9"/>
  <c r="BB823" i="9"/>
  <c r="AK823" i="9"/>
  <c r="AO823" i="9" s="1"/>
  <c r="AJ823" i="9"/>
  <c r="AI823" i="9"/>
  <c r="BB822" i="9"/>
  <c r="AK822" i="9"/>
  <c r="AO822" i="9" s="1"/>
  <c r="AJ822" i="9"/>
  <c r="AI822" i="9"/>
  <c r="BB821" i="9"/>
  <c r="AK821" i="9"/>
  <c r="AO821" i="9" s="1"/>
  <c r="AJ821" i="9"/>
  <c r="AI821" i="9"/>
  <c r="BB820" i="9"/>
  <c r="AK820" i="9"/>
  <c r="AO820" i="9" s="1"/>
  <c r="AJ820" i="9"/>
  <c r="AI820" i="9"/>
  <c r="BB819" i="9"/>
  <c r="AK819" i="9"/>
  <c r="AO819" i="9" s="1"/>
  <c r="AJ819" i="9"/>
  <c r="AI819" i="9"/>
  <c r="BB818" i="9"/>
  <c r="AK818" i="9"/>
  <c r="AO818" i="9" s="1"/>
  <c r="AJ818" i="9"/>
  <c r="AI818" i="9"/>
  <c r="BB817" i="9"/>
  <c r="AK817" i="9"/>
  <c r="AO817" i="9" s="1"/>
  <c r="AJ817" i="9"/>
  <c r="AI817" i="9"/>
  <c r="BB816" i="9"/>
  <c r="AK816" i="9"/>
  <c r="AO816" i="9" s="1"/>
  <c r="AJ816" i="9"/>
  <c r="AI816" i="9"/>
  <c r="BB815" i="9"/>
  <c r="AK815" i="9"/>
  <c r="AO815" i="9" s="1"/>
  <c r="AJ815" i="9"/>
  <c r="AI815" i="9"/>
  <c r="BB814" i="9"/>
  <c r="AK814" i="9"/>
  <c r="AO814" i="9" s="1"/>
  <c r="AJ814" i="9"/>
  <c r="AI814" i="9"/>
  <c r="BB813" i="9"/>
  <c r="AK813" i="9"/>
  <c r="AO813" i="9" s="1"/>
  <c r="AJ813" i="9"/>
  <c r="AI813" i="9"/>
  <c r="BB812" i="9"/>
  <c r="AK812" i="9"/>
  <c r="AO812" i="9" s="1"/>
  <c r="AJ812" i="9"/>
  <c r="AI812" i="9"/>
  <c r="BB811" i="9"/>
  <c r="AK811" i="9"/>
  <c r="AO811" i="9" s="1"/>
  <c r="AJ811" i="9"/>
  <c r="AI811" i="9"/>
  <c r="BB810" i="9"/>
  <c r="AK810" i="9"/>
  <c r="AO810" i="9" s="1"/>
  <c r="AJ810" i="9"/>
  <c r="AI810" i="9"/>
  <c r="BB809" i="9"/>
  <c r="AK809" i="9"/>
  <c r="AO809" i="9" s="1"/>
  <c r="AJ809" i="9"/>
  <c r="AI809" i="9"/>
  <c r="BB808" i="9"/>
  <c r="AK808" i="9"/>
  <c r="AO808" i="9" s="1"/>
  <c r="AJ808" i="9"/>
  <c r="AI808" i="9"/>
  <c r="BB807" i="9"/>
  <c r="AK807" i="9"/>
  <c r="AO807" i="9" s="1"/>
  <c r="AJ807" i="9"/>
  <c r="AI807" i="9"/>
  <c r="BB806" i="9"/>
  <c r="AK806" i="9"/>
  <c r="AO806" i="9" s="1"/>
  <c r="AJ806" i="9"/>
  <c r="AI806" i="9"/>
  <c r="BB805" i="9"/>
  <c r="AK805" i="9"/>
  <c r="AO805" i="9" s="1"/>
  <c r="AJ805" i="9"/>
  <c r="AI805" i="9"/>
  <c r="BB804" i="9"/>
  <c r="AK804" i="9"/>
  <c r="AO804" i="9" s="1"/>
  <c r="AJ804" i="9"/>
  <c r="AI804" i="9"/>
  <c r="BB803" i="9"/>
  <c r="AK803" i="9"/>
  <c r="AO803" i="9" s="1"/>
  <c r="AJ803" i="9"/>
  <c r="AI803" i="9"/>
  <c r="BB802" i="9"/>
  <c r="AK802" i="9"/>
  <c r="AO802" i="9" s="1"/>
  <c r="AJ802" i="9"/>
  <c r="AI802" i="9"/>
  <c r="BB801" i="9"/>
  <c r="AK801" i="9"/>
  <c r="AO801" i="9" s="1"/>
  <c r="AJ801" i="9"/>
  <c r="AI801" i="9"/>
  <c r="BB800" i="9"/>
  <c r="AK800" i="9"/>
  <c r="AO800" i="9" s="1"/>
  <c r="AJ800" i="9"/>
  <c r="AI800" i="9"/>
  <c r="BB799" i="9"/>
  <c r="AK799" i="9"/>
  <c r="AO799" i="9" s="1"/>
  <c r="AJ799" i="9"/>
  <c r="AI799" i="9"/>
  <c r="BB798" i="9"/>
  <c r="AK798" i="9"/>
  <c r="AO798" i="9" s="1"/>
  <c r="AJ798" i="9"/>
  <c r="AI798" i="9"/>
  <c r="BB797" i="9"/>
  <c r="AK797" i="9"/>
  <c r="AO797" i="9" s="1"/>
  <c r="AJ797" i="9"/>
  <c r="AI797" i="9"/>
  <c r="BB796" i="9"/>
  <c r="AK796" i="9"/>
  <c r="AO796" i="9" s="1"/>
  <c r="AJ796" i="9"/>
  <c r="AI796" i="9"/>
  <c r="BB795" i="9"/>
  <c r="AK795" i="9"/>
  <c r="AO795" i="9" s="1"/>
  <c r="AJ795" i="9"/>
  <c r="AI795" i="9"/>
  <c r="BB794" i="9"/>
  <c r="AK794" i="9"/>
  <c r="AO794" i="9" s="1"/>
  <c r="AJ794" i="9"/>
  <c r="AI794" i="9"/>
  <c r="BB793" i="9"/>
  <c r="AK793" i="9"/>
  <c r="AO793" i="9" s="1"/>
  <c r="AJ793" i="9"/>
  <c r="AI793" i="9"/>
  <c r="BB792" i="9"/>
  <c r="AK792" i="9"/>
  <c r="AO792" i="9" s="1"/>
  <c r="AJ792" i="9"/>
  <c r="AI792" i="9"/>
  <c r="BB791" i="9"/>
  <c r="AK791" i="9"/>
  <c r="AO791" i="9" s="1"/>
  <c r="AJ791" i="9"/>
  <c r="AI791" i="9"/>
  <c r="BB790" i="9"/>
  <c r="AK790" i="9"/>
  <c r="AO790" i="9" s="1"/>
  <c r="AJ790" i="9"/>
  <c r="AI790" i="9"/>
  <c r="BB789" i="9"/>
  <c r="AK789" i="9"/>
  <c r="AO789" i="9" s="1"/>
  <c r="AJ789" i="9"/>
  <c r="AI789" i="9"/>
  <c r="BB788" i="9"/>
  <c r="AK788" i="9"/>
  <c r="AO788" i="9" s="1"/>
  <c r="AJ788" i="9"/>
  <c r="AI788" i="9"/>
  <c r="BB787" i="9"/>
  <c r="AK787" i="9"/>
  <c r="AO787" i="9" s="1"/>
  <c r="AJ787" i="9"/>
  <c r="AI787" i="9"/>
  <c r="BB786" i="9"/>
  <c r="AK786" i="9"/>
  <c r="AO786" i="9" s="1"/>
  <c r="AJ786" i="9"/>
  <c r="AI786" i="9"/>
  <c r="BB785" i="9"/>
  <c r="AK785" i="9"/>
  <c r="AO785" i="9" s="1"/>
  <c r="AJ785" i="9"/>
  <c r="AI785" i="9"/>
  <c r="BB784" i="9"/>
  <c r="AK784" i="9"/>
  <c r="AO784" i="9" s="1"/>
  <c r="AJ784" i="9"/>
  <c r="AI784" i="9"/>
  <c r="BB783" i="9"/>
  <c r="AK783" i="9"/>
  <c r="AO783" i="9" s="1"/>
  <c r="AJ783" i="9"/>
  <c r="AI783" i="9"/>
  <c r="BB782" i="9"/>
  <c r="AK782" i="9"/>
  <c r="AO782" i="9" s="1"/>
  <c r="AJ782" i="9"/>
  <c r="AI782" i="9"/>
  <c r="BB781" i="9"/>
  <c r="AK781" i="9"/>
  <c r="AO781" i="9" s="1"/>
  <c r="AJ781" i="9"/>
  <c r="AI781" i="9"/>
  <c r="BB780" i="9"/>
  <c r="AK780" i="9"/>
  <c r="AO780" i="9" s="1"/>
  <c r="AJ780" i="9"/>
  <c r="AI780" i="9"/>
  <c r="BB779" i="9"/>
  <c r="AK779" i="9"/>
  <c r="AO779" i="9" s="1"/>
  <c r="AJ779" i="9"/>
  <c r="AI779" i="9"/>
  <c r="BB778" i="9"/>
  <c r="AK778" i="9"/>
  <c r="AO778" i="9" s="1"/>
  <c r="AJ778" i="9"/>
  <c r="AI778" i="9"/>
  <c r="BB777" i="9"/>
  <c r="AK777" i="9"/>
  <c r="AO777" i="9" s="1"/>
  <c r="AJ777" i="9"/>
  <c r="AI777" i="9"/>
  <c r="BB776" i="9"/>
  <c r="AK776" i="9"/>
  <c r="AO776" i="9" s="1"/>
  <c r="AJ776" i="9"/>
  <c r="AI776" i="9"/>
  <c r="BB775" i="9"/>
  <c r="AK775" i="9"/>
  <c r="AO775" i="9" s="1"/>
  <c r="AJ775" i="9"/>
  <c r="AI775" i="9"/>
  <c r="BB774" i="9"/>
  <c r="AK774" i="9"/>
  <c r="AO774" i="9" s="1"/>
  <c r="AJ774" i="9"/>
  <c r="AI774" i="9"/>
  <c r="BB773" i="9"/>
  <c r="AK773" i="9"/>
  <c r="AO773" i="9" s="1"/>
  <c r="AJ773" i="9"/>
  <c r="AI773" i="9"/>
  <c r="BB772" i="9"/>
  <c r="AK772" i="9"/>
  <c r="AO772" i="9" s="1"/>
  <c r="AJ772" i="9"/>
  <c r="AI772" i="9"/>
  <c r="BB771" i="9"/>
  <c r="AK771" i="9"/>
  <c r="AO771" i="9" s="1"/>
  <c r="AJ771" i="9"/>
  <c r="AI771" i="9"/>
  <c r="BB770" i="9"/>
  <c r="AK770" i="9"/>
  <c r="AO770" i="9" s="1"/>
  <c r="AJ770" i="9"/>
  <c r="AI770" i="9"/>
  <c r="BB769" i="9"/>
  <c r="AK769" i="9"/>
  <c r="AO769" i="9" s="1"/>
  <c r="AJ769" i="9"/>
  <c r="AI769" i="9"/>
  <c r="BB768" i="9"/>
  <c r="AK768" i="9"/>
  <c r="AO768" i="9" s="1"/>
  <c r="AJ768" i="9"/>
  <c r="AI768" i="9"/>
  <c r="BB767" i="9"/>
  <c r="AK767" i="9"/>
  <c r="AO767" i="9" s="1"/>
  <c r="AJ767" i="9"/>
  <c r="AI767" i="9"/>
  <c r="BB766" i="9"/>
  <c r="AK766" i="9"/>
  <c r="AO766" i="9" s="1"/>
  <c r="AJ766" i="9"/>
  <c r="AI766" i="9"/>
  <c r="BB765" i="9"/>
  <c r="AK765" i="9"/>
  <c r="AO765" i="9" s="1"/>
  <c r="AJ765" i="9"/>
  <c r="AI765" i="9"/>
  <c r="BB764" i="9"/>
  <c r="AK764" i="9"/>
  <c r="AO764" i="9" s="1"/>
  <c r="AJ764" i="9"/>
  <c r="AI764" i="9"/>
  <c r="BB763" i="9"/>
  <c r="AK763" i="9"/>
  <c r="AO763" i="9" s="1"/>
  <c r="AJ763" i="9"/>
  <c r="AI763" i="9"/>
  <c r="BB762" i="9"/>
  <c r="AK762" i="9"/>
  <c r="AO762" i="9" s="1"/>
  <c r="AJ762" i="9"/>
  <c r="AI762" i="9"/>
  <c r="BB761" i="9"/>
  <c r="AK761" i="9"/>
  <c r="AO761" i="9" s="1"/>
  <c r="AJ761" i="9"/>
  <c r="AI761" i="9"/>
  <c r="BB760" i="9"/>
  <c r="AK760" i="9"/>
  <c r="AO760" i="9" s="1"/>
  <c r="AJ760" i="9"/>
  <c r="AI760" i="9"/>
  <c r="BB759" i="9"/>
  <c r="AK759" i="9"/>
  <c r="AO759" i="9" s="1"/>
  <c r="AJ759" i="9"/>
  <c r="AI759" i="9"/>
  <c r="BB758" i="9"/>
  <c r="AK758" i="9"/>
  <c r="AO758" i="9" s="1"/>
  <c r="AJ758" i="9"/>
  <c r="AI758" i="9"/>
  <c r="BB757" i="9"/>
  <c r="AK757" i="9"/>
  <c r="AO757" i="9" s="1"/>
  <c r="AJ757" i="9"/>
  <c r="AI757" i="9"/>
  <c r="BB756" i="9"/>
  <c r="AK756" i="9"/>
  <c r="AO756" i="9" s="1"/>
  <c r="AJ756" i="9"/>
  <c r="AI756" i="9"/>
  <c r="BB755" i="9"/>
  <c r="AK755" i="9"/>
  <c r="AO755" i="9" s="1"/>
  <c r="AJ755" i="9"/>
  <c r="AI755" i="9"/>
  <c r="BB754" i="9"/>
  <c r="AK754" i="9"/>
  <c r="AO754" i="9" s="1"/>
  <c r="AJ754" i="9"/>
  <c r="AI754" i="9"/>
  <c r="BB753" i="9"/>
  <c r="AK753" i="9"/>
  <c r="AO753" i="9" s="1"/>
  <c r="AJ753" i="9"/>
  <c r="AI753" i="9"/>
  <c r="BB752" i="9"/>
  <c r="AK752" i="9"/>
  <c r="AO752" i="9" s="1"/>
  <c r="AJ752" i="9"/>
  <c r="AI752" i="9"/>
  <c r="BB751" i="9"/>
  <c r="AK751" i="9"/>
  <c r="AO751" i="9" s="1"/>
  <c r="AJ751" i="9"/>
  <c r="AI751" i="9"/>
  <c r="BB750" i="9"/>
  <c r="AK750" i="9"/>
  <c r="AO750" i="9" s="1"/>
  <c r="AJ750" i="9"/>
  <c r="AI750" i="9"/>
  <c r="BB749" i="9"/>
  <c r="AK749" i="9"/>
  <c r="AO749" i="9" s="1"/>
  <c r="AJ749" i="9"/>
  <c r="AI749" i="9"/>
  <c r="BB748" i="9"/>
  <c r="AK748" i="9"/>
  <c r="AO748" i="9" s="1"/>
  <c r="AJ748" i="9"/>
  <c r="AI748" i="9"/>
  <c r="BB747" i="9"/>
  <c r="AK747" i="9"/>
  <c r="AO747" i="9" s="1"/>
  <c r="AJ747" i="9"/>
  <c r="AI747" i="9"/>
  <c r="BB746" i="9"/>
  <c r="AK746" i="9"/>
  <c r="AO746" i="9" s="1"/>
  <c r="AJ746" i="9"/>
  <c r="AI746" i="9"/>
  <c r="BB745" i="9"/>
  <c r="AK745" i="9"/>
  <c r="AO745" i="9" s="1"/>
  <c r="AJ745" i="9"/>
  <c r="AI745" i="9"/>
  <c r="BB744" i="9"/>
  <c r="AK744" i="9"/>
  <c r="AO744" i="9" s="1"/>
  <c r="AJ744" i="9"/>
  <c r="AI744" i="9"/>
  <c r="BB743" i="9"/>
  <c r="AK743" i="9"/>
  <c r="AO743" i="9" s="1"/>
  <c r="AJ743" i="9"/>
  <c r="AI743" i="9"/>
  <c r="BB742" i="9"/>
  <c r="AK742" i="9"/>
  <c r="AO742" i="9" s="1"/>
  <c r="AJ742" i="9"/>
  <c r="AI742" i="9"/>
  <c r="BB741" i="9"/>
  <c r="AK741" i="9"/>
  <c r="AO741" i="9" s="1"/>
  <c r="AJ741" i="9"/>
  <c r="AI741" i="9"/>
  <c r="BB740" i="9"/>
  <c r="AK740" i="9"/>
  <c r="AO740" i="9" s="1"/>
  <c r="AJ740" i="9"/>
  <c r="AI740" i="9"/>
  <c r="BB739" i="9"/>
  <c r="AK739" i="9"/>
  <c r="AO739" i="9" s="1"/>
  <c r="AJ739" i="9"/>
  <c r="AI739" i="9"/>
  <c r="BB738" i="9"/>
  <c r="AK738" i="9"/>
  <c r="AO738" i="9" s="1"/>
  <c r="AJ738" i="9"/>
  <c r="AI738" i="9"/>
  <c r="BB737" i="9"/>
  <c r="AK737" i="9"/>
  <c r="AO737" i="9" s="1"/>
  <c r="AJ737" i="9"/>
  <c r="AI737" i="9"/>
  <c r="BB736" i="9"/>
  <c r="AK736" i="9"/>
  <c r="AO736" i="9" s="1"/>
  <c r="AJ736" i="9"/>
  <c r="AI736" i="9"/>
  <c r="BB735" i="9"/>
  <c r="AK735" i="9"/>
  <c r="AO735" i="9" s="1"/>
  <c r="AJ735" i="9"/>
  <c r="AI735" i="9"/>
  <c r="BB734" i="9"/>
  <c r="AK734" i="9"/>
  <c r="AO734" i="9" s="1"/>
  <c r="AJ734" i="9"/>
  <c r="AI734" i="9"/>
  <c r="BB733" i="9"/>
  <c r="AK733" i="9"/>
  <c r="AO733" i="9" s="1"/>
  <c r="AJ733" i="9"/>
  <c r="AI733" i="9"/>
  <c r="BB732" i="9"/>
  <c r="AK732" i="9"/>
  <c r="AO732" i="9" s="1"/>
  <c r="AJ732" i="9"/>
  <c r="AI732" i="9"/>
  <c r="BB731" i="9"/>
  <c r="AK731" i="9"/>
  <c r="AO731" i="9" s="1"/>
  <c r="AJ731" i="9"/>
  <c r="AI731" i="9"/>
  <c r="BB730" i="9"/>
  <c r="AK730" i="9"/>
  <c r="AO730" i="9" s="1"/>
  <c r="AJ730" i="9"/>
  <c r="AI730" i="9"/>
  <c r="BB729" i="9"/>
  <c r="AK729" i="9"/>
  <c r="AO729" i="9" s="1"/>
  <c r="AJ729" i="9"/>
  <c r="AI729" i="9"/>
  <c r="BB728" i="9"/>
  <c r="AK728" i="9"/>
  <c r="AO728" i="9" s="1"/>
  <c r="AJ728" i="9"/>
  <c r="AI728" i="9"/>
  <c r="BB727" i="9"/>
  <c r="AK727" i="9"/>
  <c r="AO727" i="9" s="1"/>
  <c r="AJ727" i="9"/>
  <c r="AI727" i="9"/>
  <c r="BB726" i="9"/>
  <c r="AK726" i="9"/>
  <c r="AO726" i="9" s="1"/>
  <c r="AJ726" i="9"/>
  <c r="AI726" i="9"/>
  <c r="BB725" i="9"/>
  <c r="AK725" i="9"/>
  <c r="AO725" i="9" s="1"/>
  <c r="AJ725" i="9"/>
  <c r="AI725" i="9"/>
  <c r="BB724" i="9"/>
  <c r="AK724" i="9"/>
  <c r="AO724" i="9" s="1"/>
  <c r="AJ724" i="9"/>
  <c r="AI724" i="9"/>
  <c r="BB723" i="9"/>
  <c r="AK723" i="9"/>
  <c r="AO723" i="9" s="1"/>
  <c r="AJ723" i="9"/>
  <c r="AI723" i="9"/>
  <c r="BB722" i="9"/>
  <c r="AK722" i="9"/>
  <c r="AO722" i="9" s="1"/>
  <c r="AJ722" i="9"/>
  <c r="AI722" i="9"/>
  <c r="BB721" i="9"/>
  <c r="AK721" i="9"/>
  <c r="AO721" i="9" s="1"/>
  <c r="AJ721" i="9"/>
  <c r="AI721" i="9"/>
  <c r="BB720" i="9"/>
  <c r="AK720" i="9"/>
  <c r="AO720" i="9" s="1"/>
  <c r="AJ720" i="9"/>
  <c r="AI720" i="9"/>
  <c r="BB719" i="9"/>
  <c r="AK719" i="9"/>
  <c r="AO719" i="9" s="1"/>
  <c r="AJ719" i="9"/>
  <c r="AI719" i="9"/>
  <c r="BB718" i="9"/>
  <c r="AK718" i="9"/>
  <c r="AO718" i="9" s="1"/>
  <c r="AJ718" i="9"/>
  <c r="AI718" i="9"/>
  <c r="BB717" i="9"/>
  <c r="AK717" i="9"/>
  <c r="AO717" i="9" s="1"/>
  <c r="AJ717" i="9"/>
  <c r="AI717" i="9"/>
  <c r="BB716" i="9"/>
  <c r="AK716" i="9"/>
  <c r="AO716" i="9" s="1"/>
  <c r="AJ716" i="9"/>
  <c r="AI716" i="9"/>
  <c r="BB715" i="9"/>
  <c r="AK715" i="9"/>
  <c r="AO715" i="9" s="1"/>
  <c r="AJ715" i="9"/>
  <c r="AI715" i="9"/>
  <c r="BB714" i="9"/>
  <c r="AK714" i="9"/>
  <c r="AO714" i="9" s="1"/>
  <c r="AJ714" i="9"/>
  <c r="AI714" i="9"/>
  <c r="BB713" i="9"/>
  <c r="AK713" i="9"/>
  <c r="AO713" i="9" s="1"/>
  <c r="AJ713" i="9"/>
  <c r="AI713" i="9"/>
  <c r="BB712" i="9"/>
  <c r="AK712" i="9"/>
  <c r="AO712" i="9" s="1"/>
  <c r="AJ712" i="9"/>
  <c r="AI712" i="9"/>
  <c r="BB711" i="9"/>
  <c r="AK711" i="9"/>
  <c r="AO711" i="9" s="1"/>
  <c r="AJ711" i="9"/>
  <c r="AI711" i="9"/>
  <c r="BB710" i="9"/>
  <c r="AK710" i="9"/>
  <c r="AO710" i="9" s="1"/>
  <c r="AJ710" i="9"/>
  <c r="AI710" i="9"/>
  <c r="BB709" i="9"/>
  <c r="AK709" i="9"/>
  <c r="AO709" i="9" s="1"/>
  <c r="AJ709" i="9"/>
  <c r="AI709" i="9"/>
  <c r="BB708" i="9"/>
  <c r="AK708" i="9"/>
  <c r="AO708" i="9" s="1"/>
  <c r="AJ708" i="9"/>
  <c r="AI708" i="9"/>
  <c r="BB707" i="9"/>
  <c r="AK707" i="9"/>
  <c r="AO707" i="9" s="1"/>
  <c r="AJ707" i="9"/>
  <c r="AI707" i="9"/>
  <c r="BB706" i="9"/>
  <c r="AK706" i="9"/>
  <c r="AO706" i="9" s="1"/>
  <c r="AJ706" i="9"/>
  <c r="AI706" i="9"/>
  <c r="BB705" i="9"/>
  <c r="AK705" i="9"/>
  <c r="AO705" i="9" s="1"/>
  <c r="AJ705" i="9"/>
  <c r="AI705" i="9"/>
  <c r="BB704" i="9"/>
  <c r="AK704" i="9"/>
  <c r="AO704" i="9" s="1"/>
  <c r="AJ704" i="9"/>
  <c r="AI704" i="9"/>
  <c r="BB703" i="9"/>
  <c r="AK703" i="9"/>
  <c r="AO703" i="9" s="1"/>
  <c r="AJ703" i="9"/>
  <c r="AI703" i="9"/>
  <c r="BB702" i="9"/>
  <c r="AK702" i="9"/>
  <c r="AO702" i="9" s="1"/>
  <c r="AJ702" i="9"/>
  <c r="AI702" i="9"/>
  <c r="BB701" i="9"/>
  <c r="AK701" i="9"/>
  <c r="AO701" i="9" s="1"/>
  <c r="AJ701" i="9"/>
  <c r="AI701" i="9"/>
  <c r="BB700" i="9"/>
  <c r="AK700" i="9"/>
  <c r="AO700" i="9" s="1"/>
  <c r="AJ700" i="9"/>
  <c r="AI700" i="9"/>
  <c r="BB699" i="9"/>
  <c r="AK699" i="9"/>
  <c r="AO699" i="9" s="1"/>
  <c r="AJ699" i="9"/>
  <c r="AI699" i="9"/>
  <c r="BB698" i="9"/>
  <c r="AK698" i="9"/>
  <c r="AO698" i="9" s="1"/>
  <c r="AJ698" i="9"/>
  <c r="AI698" i="9"/>
  <c r="BB697" i="9"/>
  <c r="AK697" i="9"/>
  <c r="AO697" i="9" s="1"/>
  <c r="AJ697" i="9"/>
  <c r="AI697" i="9"/>
  <c r="BB696" i="9"/>
  <c r="AK696" i="9"/>
  <c r="AO696" i="9" s="1"/>
  <c r="AJ696" i="9"/>
  <c r="AI696" i="9"/>
  <c r="BB695" i="9"/>
  <c r="AK695" i="9"/>
  <c r="AO695" i="9" s="1"/>
  <c r="AJ695" i="9"/>
  <c r="AI695" i="9"/>
  <c r="BB694" i="9"/>
  <c r="AK694" i="9"/>
  <c r="AO694" i="9" s="1"/>
  <c r="AJ694" i="9"/>
  <c r="AI694" i="9"/>
  <c r="BB693" i="9"/>
  <c r="AK693" i="9"/>
  <c r="AO693" i="9" s="1"/>
  <c r="AJ693" i="9"/>
  <c r="AI693" i="9"/>
  <c r="BB692" i="9"/>
  <c r="AK692" i="9"/>
  <c r="AO692" i="9" s="1"/>
  <c r="AJ692" i="9"/>
  <c r="AI692" i="9"/>
  <c r="BB691" i="9"/>
  <c r="AK691" i="9"/>
  <c r="AO691" i="9" s="1"/>
  <c r="AJ691" i="9"/>
  <c r="AI691" i="9"/>
  <c r="BB690" i="9"/>
  <c r="AK690" i="9"/>
  <c r="AO690" i="9" s="1"/>
  <c r="AJ690" i="9"/>
  <c r="AI690" i="9"/>
  <c r="BB689" i="9"/>
  <c r="AK689" i="9"/>
  <c r="AO689" i="9" s="1"/>
  <c r="AJ689" i="9"/>
  <c r="AI689" i="9"/>
  <c r="BB688" i="9"/>
  <c r="AK688" i="9"/>
  <c r="AO688" i="9" s="1"/>
  <c r="AJ688" i="9"/>
  <c r="AI688" i="9"/>
  <c r="BB687" i="9"/>
  <c r="AK687" i="9"/>
  <c r="AO687" i="9" s="1"/>
  <c r="AJ687" i="9"/>
  <c r="AI687" i="9"/>
  <c r="BB686" i="9"/>
  <c r="AK686" i="9"/>
  <c r="AO686" i="9" s="1"/>
  <c r="AJ686" i="9"/>
  <c r="AI686" i="9"/>
  <c r="BB685" i="9"/>
  <c r="AK685" i="9"/>
  <c r="AO685" i="9" s="1"/>
  <c r="AJ685" i="9"/>
  <c r="AI685" i="9"/>
  <c r="BB684" i="9"/>
  <c r="AK684" i="9"/>
  <c r="AO684" i="9" s="1"/>
  <c r="AJ684" i="9"/>
  <c r="AI684" i="9"/>
  <c r="BB683" i="9"/>
  <c r="AK683" i="9"/>
  <c r="AO683" i="9" s="1"/>
  <c r="AJ683" i="9"/>
  <c r="AI683" i="9"/>
  <c r="BB682" i="9"/>
  <c r="AK682" i="9"/>
  <c r="AO682" i="9" s="1"/>
  <c r="AJ682" i="9"/>
  <c r="AI682" i="9"/>
  <c r="BB681" i="9"/>
  <c r="AK681" i="9"/>
  <c r="AO681" i="9" s="1"/>
  <c r="AJ681" i="9"/>
  <c r="AI681" i="9"/>
  <c r="BB680" i="9"/>
  <c r="AK680" i="9"/>
  <c r="AO680" i="9" s="1"/>
  <c r="AJ680" i="9"/>
  <c r="AI680" i="9"/>
  <c r="BB679" i="9"/>
  <c r="AK679" i="9"/>
  <c r="AO679" i="9" s="1"/>
  <c r="AJ679" i="9"/>
  <c r="AI679" i="9"/>
  <c r="BB678" i="9"/>
  <c r="AK678" i="9"/>
  <c r="AO678" i="9" s="1"/>
  <c r="AJ678" i="9"/>
  <c r="AI678" i="9"/>
  <c r="BB677" i="9"/>
  <c r="AK677" i="9"/>
  <c r="AO677" i="9" s="1"/>
  <c r="AJ677" i="9"/>
  <c r="AI677" i="9"/>
  <c r="BB676" i="9"/>
  <c r="AK676" i="9"/>
  <c r="AO676" i="9" s="1"/>
  <c r="AJ676" i="9"/>
  <c r="AI676" i="9"/>
  <c r="BB675" i="9"/>
  <c r="AK675" i="9"/>
  <c r="AO675" i="9" s="1"/>
  <c r="AJ675" i="9"/>
  <c r="AI675" i="9"/>
  <c r="BB674" i="9"/>
  <c r="AK674" i="9"/>
  <c r="AO674" i="9" s="1"/>
  <c r="AJ674" i="9"/>
  <c r="AI674" i="9"/>
  <c r="BB673" i="9"/>
  <c r="AK673" i="9"/>
  <c r="AO673" i="9" s="1"/>
  <c r="AJ673" i="9"/>
  <c r="AI673" i="9"/>
  <c r="BB672" i="9"/>
  <c r="AK672" i="9"/>
  <c r="AO672" i="9" s="1"/>
  <c r="AJ672" i="9"/>
  <c r="AI672" i="9"/>
  <c r="BB671" i="9"/>
  <c r="AK671" i="9"/>
  <c r="AO671" i="9" s="1"/>
  <c r="AJ671" i="9"/>
  <c r="AI671" i="9"/>
  <c r="BB670" i="9"/>
  <c r="AK670" i="9"/>
  <c r="AO670" i="9" s="1"/>
  <c r="AJ670" i="9"/>
  <c r="AI670" i="9"/>
  <c r="BB669" i="9"/>
  <c r="AK669" i="9"/>
  <c r="AO669" i="9" s="1"/>
  <c r="AJ669" i="9"/>
  <c r="AI669" i="9"/>
  <c r="BB668" i="9"/>
  <c r="AK668" i="9"/>
  <c r="AO668" i="9" s="1"/>
  <c r="AJ668" i="9"/>
  <c r="AI668" i="9"/>
  <c r="BB667" i="9"/>
  <c r="AK667" i="9"/>
  <c r="AO667" i="9" s="1"/>
  <c r="AJ667" i="9"/>
  <c r="AI667" i="9"/>
  <c r="BB666" i="9"/>
  <c r="AK666" i="9"/>
  <c r="AO666" i="9" s="1"/>
  <c r="AJ666" i="9"/>
  <c r="AI666" i="9"/>
  <c r="BB665" i="9"/>
  <c r="AK665" i="9"/>
  <c r="AO665" i="9" s="1"/>
  <c r="AJ665" i="9"/>
  <c r="AI665" i="9"/>
  <c r="BB664" i="9"/>
  <c r="AK664" i="9"/>
  <c r="AO664" i="9" s="1"/>
  <c r="AJ664" i="9"/>
  <c r="AI664" i="9"/>
  <c r="BB663" i="9"/>
  <c r="AK663" i="9"/>
  <c r="AO663" i="9" s="1"/>
  <c r="AJ663" i="9"/>
  <c r="AI663" i="9"/>
  <c r="BB662" i="9"/>
  <c r="AK662" i="9"/>
  <c r="AO662" i="9" s="1"/>
  <c r="AJ662" i="9"/>
  <c r="AI662" i="9"/>
  <c r="BB661" i="9"/>
  <c r="AK661" i="9"/>
  <c r="AO661" i="9" s="1"/>
  <c r="AJ661" i="9"/>
  <c r="AI661" i="9"/>
  <c r="BB660" i="9"/>
  <c r="AK660" i="9"/>
  <c r="AO660" i="9" s="1"/>
  <c r="AJ660" i="9"/>
  <c r="AI660" i="9"/>
  <c r="BB659" i="9"/>
  <c r="AK659" i="9"/>
  <c r="AO659" i="9" s="1"/>
  <c r="AJ659" i="9"/>
  <c r="AI659" i="9"/>
  <c r="BB658" i="9"/>
  <c r="AK658" i="9"/>
  <c r="AO658" i="9" s="1"/>
  <c r="AJ658" i="9"/>
  <c r="AI658" i="9"/>
  <c r="BB657" i="9"/>
  <c r="AK657" i="9"/>
  <c r="AO657" i="9" s="1"/>
  <c r="AJ657" i="9"/>
  <c r="AI657" i="9"/>
  <c r="BB656" i="9"/>
  <c r="AK656" i="9"/>
  <c r="AO656" i="9" s="1"/>
  <c r="AJ656" i="9"/>
  <c r="AI656" i="9"/>
  <c r="BB655" i="9"/>
  <c r="AK655" i="9"/>
  <c r="AO655" i="9" s="1"/>
  <c r="AJ655" i="9"/>
  <c r="AI655" i="9"/>
  <c r="BB654" i="9"/>
  <c r="AK654" i="9"/>
  <c r="AO654" i="9" s="1"/>
  <c r="AJ654" i="9"/>
  <c r="AI654" i="9"/>
  <c r="BB653" i="9"/>
  <c r="AK653" i="9"/>
  <c r="AO653" i="9" s="1"/>
  <c r="AJ653" i="9"/>
  <c r="AI653" i="9"/>
  <c r="BB652" i="9"/>
  <c r="AK652" i="9"/>
  <c r="AO652" i="9" s="1"/>
  <c r="AJ652" i="9"/>
  <c r="AI652" i="9"/>
  <c r="BB651" i="9"/>
  <c r="AK651" i="9"/>
  <c r="AO651" i="9" s="1"/>
  <c r="AJ651" i="9"/>
  <c r="AI651" i="9"/>
  <c r="BB650" i="9"/>
  <c r="AK650" i="9"/>
  <c r="AO650" i="9" s="1"/>
  <c r="AJ650" i="9"/>
  <c r="AI650" i="9"/>
  <c r="BB649" i="9"/>
  <c r="AK649" i="9"/>
  <c r="AO649" i="9" s="1"/>
  <c r="AJ649" i="9"/>
  <c r="AI649" i="9"/>
  <c r="BB648" i="9"/>
  <c r="AK648" i="9"/>
  <c r="AO648" i="9" s="1"/>
  <c r="AJ648" i="9"/>
  <c r="AI648" i="9"/>
  <c r="BB647" i="9"/>
  <c r="AK647" i="9"/>
  <c r="AO647" i="9" s="1"/>
  <c r="AJ647" i="9"/>
  <c r="AI647" i="9"/>
  <c r="BB646" i="9"/>
  <c r="AK646" i="9"/>
  <c r="AO646" i="9" s="1"/>
  <c r="AJ646" i="9"/>
  <c r="AI646" i="9"/>
  <c r="BB645" i="9"/>
  <c r="AK645" i="9"/>
  <c r="AO645" i="9" s="1"/>
  <c r="AJ645" i="9"/>
  <c r="AI645" i="9"/>
  <c r="BB644" i="9"/>
  <c r="AK644" i="9"/>
  <c r="AO644" i="9" s="1"/>
  <c r="AJ644" i="9"/>
  <c r="AI644" i="9"/>
  <c r="BB643" i="9"/>
  <c r="AK643" i="9"/>
  <c r="AO643" i="9" s="1"/>
  <c r="AJ643" i="9"/>
  <c r="AI643" i="9"/>
  <c r="BB642" i="9"/>
  <c r="AK642" i="9"/>
  <c r="AO642" i="9" s="1"/>
  <c r="AJ642" i="9"/>
  <c r="AI642" i="9"/>
  <c r="BB641" i="9"/>
  <c r="AK641" i="9"/>
  <c r="AO641" i="9" s="1"/>
  <c r="AJ641" i="9"/>
  <c r="AI641" i="9"/>
  <c r="BB640" i="9"/>
  <c r="AK640" i="9"/>
  <c r="AO640" i="9" s="1"/>
  <c r="AJ640" i="9"/>
  <c r="AI640" i="9"/>
  <c r="BB639" i="9"/>
  <c r="AK639" i="9"/>
  <c r="AO639" i="9" s="1"/>
  <c r="AJ639" i="9"/>
  <c r="AI639" i="9"/>
  <c r="BB638" i="9"/>
  <c r="AK638" i="9"/>
  <c r="AO638" i="9" s="1"/>
  <c r="AJ638" i="9"/>
  <c r="AI638" i="9"/>
  <c r="BB637" i="9"/>
  <c r="AK637" i="9"/>
  <c r="AO637" i="9" s="1"/>
  <c r="AJ637" i="9"/>
  <c r="AI637" i="9"/>
  <c r="BB636" i="9"/>
  <c r="AK636" i="9"/>
  <c r="AO636" i="9" s="1"/>
  <c r="AJ636" i="9"/>
  <c r="AI636" i="9"/>
  <c r="BB635" i="9"/>
  <c r="AK635" i="9"/>
  <c r="AO635" i="9" s="1"/>
  <c r="AJ635" i="9"/>
  <c r="AI635" i="9"/>
  <c r="BB634" i="9"/>
  <c r="AK634" i="9"/>
  <c r="AO634" i="9" s="1"/>
  <c r="AJ634" i="9"/>
  <c r="AI634" i="9"/>
  <c r="BB633" i="9"/>
  <c r="AK633" i="9"/>
  <c r="AO633" i="9" s="1"/>
  <c r="AJ633" i="9"/>
  <c r="AI633" i="9"/>
  <c r="BB632" i="9"/>
  <c r="AK632" i="9"/>
  <c r="AO632" i="9" s="1"/>
  <c r="AJ632" i="9"/>
  <c r="AI632" i="9"/>
  <c r="BB631" i="9"/>
  <c r="AK631" i="9"/>
  <c r="AO631" i="9" s="1"/>
  <c r="AJ631" i="9"/>
  <c r="AI631" i="9"/>
  <c r="BB630" i="9"/>
  <c r="AK630" i="9"/>
  <c r="AO630" i="9" s="1"/>
  <c r="AJ630" i="9"/>
  <c r="AI630" i="9"/>
  <c r="BB629" i="9"/>
  <c r="AK629" i="9"/>
  <c r="AO629" i="9" s="1"/>
  <c r="AJ629" i="9"/>
  <c r="AI629" i="9"/>
  <c r="BB628" i="9"/>
  <c r="AK628" i="9"/>
  <c r="AO628" i="9" s="1"/>
  <c r="AJ628" i="9"/>
  <c r="AI628" i="9"/>
  <c r="BB627" i="9"/>
  <c r="AK627" i="9"/>
  <c r="AO627" i="9" s="1"/>
  <c r="AJ627" i="9"/>
  <c r="AI627" i="9"/>
  <c r="BB626" i="9"/>
  <c r="AK626" i="9"/>
  <c r="AO626" i="9" s="1"/>
  <c r="AJ626" i="9"/>
  <c r="AI626" i="9"/>
  <c r="BB625" i="9"/>
  <c r="AK625" i="9"/>
  <c r="AO625" i="9" s="1"/>
  <c r="AJ625" i="9"/>
  <c r="AI625" i="9"/>
  <c r="BB624" i="9"/>
  <c r="AK624" i="9"/>
  <c r="AO624" i="9" s="1"/>
  <c r="AJ624" i="9"/>
  <c r="AI624" i="9"/>
  <c r="BB623" i="9"/>
  <c r="AK623" i="9"/>
  <c r="AO623" i="9" s="1"/>
  <c r="AJ623" i="9"/>
  <c r="AI623" i="9"/>
  <c r="BB622" i="9"/>
  <c r="AK622" i="9"/>
  <c r="AO622" i="9" s="1"/>
  <c r="AJ622" i="9"/>
  <c r="AI622" i="9"/>
  <c r="BB621" i="9"/>
  <c r="AK621" i="9"/>
  <c r="AO621" i="9" s="1"/>
  <c r="AJ621" i="9"/>
  <c r="AI621" i="9"/>
  <c r="BB620" i="9"/>
  <c r="AK620" i="9"/>
  <c r="AO620" i="9" s="1"/>
  <c r="AJ620" i="9"/>
  <c r="AI620" i="9"/>
  <c r="BB619" i="9"/>
  <c r="AK619" i="9"/>
  <c r="AO619" i="9" s="1"/>
  <c r="AJ619" i="9"/>
  <c r="AI619" i="9"/>
  <c r="BB618" i="9"/>
  <c r="AK618" i="9"/>
  <c r="AO618" i="9" s="1"/>
  <c r="AJ618" i="9"/>
  <c r="AI618" i="9"/>
  <c r="BB617" i="9"/>
  <c r="AK617" i="9"/>
  <c r="AO617" i="9" s="1"/>
  <c r="AJ617" i="9"/>
  <c r="AI617" i="9"/>
  <c r="BB616" i="9"/>
  <c r="AK616" i="9"/>
  <c r="AO616" i="9" s="1"/>
  <c r="AJ616" i="9"/>
  <c r="AI616" i="9"/>
  <c r="BB615" i="9"/>
  <c r="AK615" i="9"/>
  <c r="AO615" i="9" s="1"/>
  <c r="AJ615" i="9"/>
  <c r="AI615" i="9"/>
  <c r="BB614" i="9"/>
  <c r="AK614" i="9"/>
  <c r="AO614" i="9" s="1"/>
  <c r="AJ614" i="9"/>
  <c r="AI614" i="9"/>
  <c r="BB613" i="9"/>
  <c r="AK613" i="9"/>
  <c r="AO613" i="9" s="1"/>
  <c r="AJ613" i="9"/>
  <c r="AI613" i="9"/>
  <c r="BB612" i="9"/>
  <c r="AK612" i="9"/>
  <c r="AO612" i="9" s="1"/>
  <c r="AJ612" i="9"/>
  <c r="AI612" i="9"/>
  <c r="BB611" i="9"/>
  <c r="AK611" i="9"/>
  <c r="AO611" i="9" s="1"/>
  <c r="AJ611" i="9"/>
  <c r="AI611" i="9"/>
  <c r="BB610" i="9"/>
  <c r="AK610" i="9"/>
  <c r="AO610" i="9" s="1"/>
  <c r="AJ610" i="9"/>
  <c r="AI610" i="9"/>
  <c r="BB609" i="9"/>
  <c r="AK609" i="9"/>
  <c r="AO609" i="9" s="1"/>
  <c r="AJ609" i="9"/>
  <c r="AI609" i="9"/>
  <c r="BB608" i="9"/>
  <c r="AK608" i="9"/>
  <c r="AO608" i="9" s="1"/>
  <c r="AJ608" i="9"/>
  <c r="AI608" i="9"/>
  <c r="BB607" i="9"/>
  <c r="AK607" i="9"/>
  <c r="AO607" i="9" s="1"/>
  <c r="AJ607" i="9"/>
  <c r="AI607" i="9"/>
  <c r="BB606" i="9"/>
  <c r="AK606" i="9"/>
  <c r="AO606" i="9" s="1"/>
  <c r="AJ606" i="9"/>
  <c r="AI606" i="9"/>
  <c r="BB605" i="9"/>
  <c r="AK605" i="9"/>
  <c r="AO605" i="9" s="1"/>
  <c r="AJ605" i="9"/>
  <c r="AI605" i="9"/>
  <c r="BB604" i="9"/>
  <c r="AK604" i="9"/>
  <c r="AO604" i="9" s="1"/>
  <c r="AJ604" i="9"/>
  <c r="AI604" i="9"/>
  <c r="BB603" i="9"/>
  <c r="AK603" i="9"/>
  <c r="AO603" i="9" s="1"/>
  <c r="AJ603" i="9"/>
  <c r="AI603" i="9"/>
  <c r="BB602" i="9"/>
  <c r="AK602" i="9"/>
  <c r="AO602" i="9" s="1"/>
  <c r="AJ602" i="9"/>
  <c r="AI602" i="9"/>
  <c r="BB601" i="9"/>
  <c r="AK601" i="9"/>
  <c r="AO601" i="9" s="1"/>
  <c r="AJ601" i="9"/>
  <c r="AI601" i="9"/>
  <c r="BB600" i="9"/>
  <c r="AK600" i="9"/>
  <c r="AO600" i="9" s="1"/>
  <c r="AJ600" i="9"/>
  <c r="AI600" i="9"/>
  <c r="BB599" i="9"/>
  <c r="AK599" i="9"/>
  <c r="AO599" i="9" s="1"/>
  <c r="AJ599" i="9"/>
  <c r="AI599" i="9"/>
  <c r="BB598" i="9"/>
  <c r="AK598" i="9"/>
  <c r="AO598" i="9" s="1"/>
  <c r="AJ598" i="9"/>
  <c r="AI598" i="9"/>
  <c r="BB597" i="9"/>
  <c r="AK597" i="9"/>
  <c r="AO597" i="9" s="1"/>
  <c r="AJ597" i="9"/>
  <c r="AI597" i="9"/>
  <c r="BB596" i="9"/>
  <c r="AK596" i="9"/>
  <c r="AO596" i="9" s="1"/>
  <c r="AJ596" i="9"/>
  <c r="AI596" i="9"/>
  <c r="BB595" i="9"/>
  <c r="AK595" i="9"/>
  <c r="AO595" i="9" s="1"/>
  <c r="AJ595" i="9"/>
  <c r="AI595" i="9"/>
  <c r="BB594" i="9"/>
  <c r="AK594" i="9"/>
  <c r="AO594" i="9" s="1"/>
  <c r="AJ594" i="9"/>
  <c r="AI594" i="9"/>
  <c r="BB593" i="9"/>
  <c r="AK593" i="9"/>
  <c r="AO593" i="9" s="1"/>
  <c r="AJ593" i="9"/>
  <c r="AI593" i="9"/>
  <c r="BB592" i="9"/>
  <c r="AK592" i="9"/>
  <c r="AO592" i="9" s="1"/>
  <c r="AJ592" i="9"/>
  <c r="AI592" i="9"/>
  <c r="BB591" i="9"/>
  <c r="AK591" i="9"/>
  <c r="AO591" i="9" s="1"/>
  <c r="AJ591" i="9"/>
  <c r="AI591" i="9"/>
  <c r="BB590" i="9"/>
  <c r="AK590" i="9"/>
  <c r="AO590" i="9" s="1"/>
  <c r="AJ590" i="9"/>
  <c r="AI590" i="9"/>
  <c r="BB589" i="9"/>
  <c r="AK589" i="9"/>
  <c r="AO589" i="9" s="1"/>
  <c r="AJ589" i="9"/>
  <c r="AI589" i="9"/>
  <c r="BB588" i="9"/>
  <c r="AK588" i="9"/>
  <c r="AO588" i="9" s="1"/>
  <c r="AJ588" i="9"/>
  <c r="AI588" i="9"/>
  <c r="BB587" i="9"/>
  <c r="AK587" i="9"/>
  <c r="AO587" i="9" s="1"/>
  <c r="AJ587" i="9"/>
  <c r="AI587" i="9"/>
  <c r="BB586" i="9"/>
  <c r="AK586" i="9"/>
  <c r="AO586" i="9" s="1"/>
  <c r="AJ586" i="9"/>
  <c r="AI586" i="9"/>
  <c r="BB585" i="9"/>
  <c r="AK585" i="9"/>
  <c r="AO585" i="9" s="1"/>
  <c r="AJ585" i="9"/>
  <c r="AI585" i="9"/>
  <c r="BB584" i="9"/>
  <c r="AK584" i="9"/>
  <c r="AO584" i="9" s="1"/>
  <c r="AJ584" i="9"/>
  <c r="AI584" i="9"/>
  <c r="BB583" i="9"/>
  <c r="AK583" i="9"/>
  <c r="AO583" i="9" s="1"/>
  <c r="AJ583" i="9"/>
  <c r="AI583" i="9"/>
  <c r="BB582" i="9"/>
  <c r="AK582" i="9"/>
  <c r="AO582" i="9" s="1"/>
  <c r="AJ582" i="9"/>
  <c r="AI582" i="9"/>
  <c r="BB581" i="9"/>
  <c r="AK581" i="9"/>
  <c r="AO581" i="9" s="1"/>
  <c r="AJ581" i="9"/>
  <c r="AI581" i="9"/>
  <c r="BB580" i="9"/>
  <c r="AK580" i="9"/>
  <c r="AO580" i="9" s="1"/>
  <c r="AJ580" i="9"/>
  <c r="AI580" i="9"/>
  <c r="BB579" i="9"/>
  <c r="AK579" i="9"/>
  <c r="AO579" i="9" s="1"/>
  <c r="AJ579" i="9"/>
  <c r="AI579" i="9"/>
  <c r="BB578" i="9"/>
  <c r="AK578" i="9"/>
  <c r="AO578" i="9" s="1"/>
  <c r="AJ578" i="9"/>
  <c r="AI578" i="9"/>
  <c r="BB577" i="9"/>
  <c r="AK577" i="9"/>
  <c r="AO577" i="9" s="1"/>
  <c r="AJ577" i="9"/>
  <c r="AI577" i="9"/>
  <c r="BB576" i="9"/>
  <c r="AK576" i="9"/>
  <c r="AO576" i="9" s="1"/>
  <c r="AJ576" i="9"/>
  <c r="AI576" i="9"/>
  <c r="BB575" i="9"/>
  <c r="AK575" i="9"/>
  <c r="AO575" i="9" s="1"/>
  <c r="AJ575" i="9"/>
  <c r="AI575" i="9"/>
  <c r="BB574" i="9"/>
  <c r="AK574" i="9"/>
  <c r="AO574" i="9" s="1"/>
  <c r="AJ574" i="9"/>
  <c r="AI574" i="9"/>
  <c r="BB573" i="9"/>
  <c r="AK573" i="9"/>
  <c r="AO573" i="9" s="1"/>
  <c r="AJ573" i="9"/>
  <c r="AI573" i="9"/>
  <c r="BB572" i="9"/>
  <c r="AK572" i="9"/>
  <c r="AO572" i="9" s="1"/>
  <c r="AJ572" i="9"/>
  <c r="AI572" i="9"/>
  <c r="BB571" i="9"/>
  <c r="AK571" i="9"/>
  <c r="AO571" i="9" s="1"/>
  <c r="AJ571" i="9"/>
  <c r="AI571" i="9"/>
  <c r="BB570" i="9"/>
  <c r="AK570" i="9"/>
  <c r="AO570" i="9" s="1"/>
  <c r="AJ570" i="9"/>
  <c r="AI570" i="9"/>
  <c r="BB569" i="9"/>
  <c r="AK569" i="9"/>
  <c r="AO569" i="9" s="1"/>
  <c r="AJ569" i="9"/>
  <c r="AI569" i="9"/>
  <c r="BB568" i="9"/>
  <c r="AK568" i="9"/>
  <c r="AO568" i="9" s="1"/>
  <c r="AJ568" i="9"/>
  <c r="AI568" i="9"/>
  <c r="BB567" i="9"/>
  <c r="AK567" i="9"/>
  <c r="AO567" i="9" s="1"/>
  <c r="AJ567" i="9"/>
  <c r="AI567" i="9"/>
  <c r="BB566" i="9"/>
  <c r="AK566" i="9"/>
  <c r="AO566" i="9" s="1"/>
  <c r="AJ566" i="9"/>
  <c r="AI566" i="9"/>
  <c r="BB565" i="9"/>
  <c r="AK565" i="9"/>
  <c r="AO565" i="9" s="1"/>
  <c r="AJ565" i="9"/>
  <c r="AI565" i="9"/>
  <c r="BB564" i="9"/>
  <c r="AK564" i="9"/>
  <c r="AO564" i="9" s="1"/>
  <c r="AJ564" i="9"/>
  <c r="AI564" i="9"/>
  <c r="BB563" i="9"/>
  <c r="AK563" i="9"/>
  <c r="AO563" i="9" s="1"/>
  <c r="AJ563" i="9"/>
  <c r="AI563" i="9"/>
  <c r="BB562" i="9"/>
  <c r="AK562" i="9"/>
  <c r="AO562" i="9" s="1"/>
  <c r="AJ562" i="9"/>
  <c r="AI562" i="9"/>
  <c r="BB561" i="9"/>
  <c r="AK561" i="9"/>
  <c r="AO561" i="9" s="1"/>
  <c r="AJ561" i="9"/>
  <c r="AI561" i="9"/>
  <c r="BB560" i="9"/>
  <c r="AK560" i="9"/>
  <c r="AO560" i="9" s="1"/>
  <c r="AJ560" i="9"/>
  <c r="AI560" i="9"/>
  <c r="BB559" i="9"/>
  <c r="AK559" i="9"/>
  <c r="AO559" i="9" s="1"/>
  <c r="AJ559" i="9"/>
  <c r="AI559" i="9"/>
  <c r="BB558" i="9"/>
  <c r="AK558" i="9"/>
  <c r="AO558" i="9" s="1"/>
  <c r="AJ558" i="9"/>
  <c r="AI558" i="9"/>
  <c r="BB557" i="9"/>
  <c r="AK557" i="9"/>
  <c r="AO557" i="9" s="1"/>
  <c r="AJ557" i="9"/>
  <c r="AI557" i="9"/>
  <c r="BB556" i="9"/>
  <c r="AK556" i="9"/>
  <c r="AO556" i="9" s="1"/>
  <c r="AJ556" i="9"/>
  <c r="AI556" i="9"/>
  <c r="BB555" i="9"/>
  <c r="AK555" i="9"/>
  <c r="AO555" i="9" s="1"/>
  <c r="AJ555" i="9"/>
  <c r="AI555" i="9"/>
  <c r="BB554" i="9"/>
  <c r="AK554" i="9"/>
  <c r="AO554" i="9" s="1"/>
  <c r="AJ554" i="9"/>
  <c r="AI554" i="9"/>
  <c r="BB553" i="9"/>
  <c r="AK553" i="9"/>
  <c r="AO553" i="9" s="1"/>
  <c r="AJ553" i="9"/>
  <c r="AI553" i="9"/>
  <c r="BB552" i="9"/>
  <c r="AK552" i="9"/>
  <c r="AO552" i="9" s="1"/>
  <c r="AJ552" i="9"/>
  <c r="AI552" i="9"/>
  <c r="BB551" i="9"/>
  <c r="AK551" i="9"/>
  <c r="AO551" i="9" s="1"/>
  <c r="AJ551" i="9"/>
  <c r="AI551" i="9"/>
  <c r="BB550" i="9"/>
  <c r="AK550" i="9"/>
  <c r="AO550" i="9" s="1"/>
  <c r="AJ550" i="9"/>
  <c r="AI550" i="9"/>
  <c r="BB549" i="9"/>
  <c r="AK549" i="9"/>
  <c r="AO549" i="9" s="1"/>
  <c r="AJ549" i="9"/>
  <c r="AI549" i="9"/>
  <c r="BB548" i="9"/>
  <c r="AK548" i="9"/>
  <c r="AO548" i="9" s="1"/>
  <c r="AJ548" i="9"/>
  <c r="AI548" i="9"/>
  <c r="BB547" i="9"/>
  <c r="AK547" i="9"/>
  <c r="AO547" i="9" s="1"/>
  <c r="AJ547" i="9"/>
  <c r="AI547" i="9"/>
  <c r="BB546" i="9"/>
  <c r="AK546" i="9"/>
  <c r="AO546" i="9" s="1"/>
  <c r="AJ546" i="9"/>
  <c r="AI546" i="9"/>
  <c r="BB545" i="9"/>
  <c r="AK545" i="9"/>
  <c r="AO545" i="9" s="1"/>
  <c r="AJ545" i="9"/>
  <c r="AI545" i="9"/>
  <c r="BB544" i="9"/>
  <c r="AK544" i="9"/>
  <c r="AO544" i="9" s="1"/>
  <c r="AJ544" i="9"/>
  <c r="AI544" i="9"/>
  <c r="BB543" i="9"/>
  <c r="AK543" i="9"/>
  <c r="AO543" i="9" s="1"/>
  <c r="AJ543" i="9"/>
  <c r="AI543" i="9"/>
  <c r="BB542" i="9"/>
  <c r="AK542" i="9"/>
  <c r="AO542" i="9" s="1"/>
  <c r="AJ542" i="9"/>
  <c r="AI542" i="9"/>
  <c r="BB541" i="9"/>
  <c r="AK541" i="9"/>
  <c r="AO541" i="9" s="1"/>
  <c r="AJ541" i="9"/>
  <c r="AI541" i="9"/>
  <c r="BB540" i="9"/>
  <c r="AK540" i="9"/>
  <c r="AO540" i="9" s="1"/>
  <c r="AJ540" i="9"/>
  <c r="AI540" i="9"/>
  <c r="BB539" i="9"/>
  <c r="AK539" i="9"/>
  <c r="AO539" i="9" s="1"/>
  <c r="AJ539" i="9"/>
  <c r="AI539" i="9"/>
  <c r="BB538" i="9"/>
  <c r="AK538" i="9"/>
  <c r="AO538" i="9" s="1"/>
  <c r="AJ538" i="9"/>
  <c r="AI538" i="9"/>
  <c r="BB537" i="9"/>
  <c r="AK537" i="9"/>
  <c r="AO537" i="9" s="1"/>
  <c r="AJ537" i="9"/>
  <c r="AI537" i="9"/>
  <c r="BB536" i="9"/>
  <c r="AK536" i="9"/>
  <c r="AO536" i="9" s="1"/>
  <c r="AJ536" i="9"/>
  <c r="AI536" i="9"/>
  <c r="BB535" i="9"/>
  <c r="AK535" i="9"/>
  <c r="AO535" i="9" s="1"/>
  <c r="AJ535" i="9"/>
  <c r="AI535" i="9"/>
  <c r="BB534" i="9"/>
  <c r="AK534" i="9"/>
  <c r="AO534" i="9" s="1"/>
  <c r="AJ534" i="9"/>
  <c r="AI534" i="9"/>
  <c r="BB533" i="9"/>
  <c r="AK533" i="9"/>
  <c r="AO533" i="9" s="1"/>
  <c r="AJ533" i="9"/>
  <c r="AI533" i="9"/>
  <c r="BB532" i="9"/>
  <c r="AK532" i="9"/>
  <c r="AO532" i="9" s="1"/>
  <c r="AJ532" i="9"/>
  <c r="AI532" i="9"/>
  <c r="BB531" i="9"/>
  <c r="AK531" i="9"/>
  <c r="AO531" i="9" s="1"/>
  <c r="AJ531" i="9"/>
  <c r="AI531" i="9"/>
  <c r="BB530" i="9"/>
  <c r="AK530" i="9"/>
  <c r="AO530" i="9" s="1"/>
  <c r="AJ530" i="9"/>
  <c r="AI530" i="9"/>
  <c r="BB529" i="9"/>
  <c r="AK529" i="9"/>
  <c r="AO529" i="9" s="1"/>
  <c r="AJ529" i="9"/>
  <c r="AI529" i="9"/>
  <c r="BB528" i="9"/>
  <c r="AK528" i="9"/>
  <c r="AO528" i="9" s="1"/>
  <c r="AJ528" i="9"/>
  <c r="AI528" i="9"/>
  <c r="BB527" i="9"/>
  <c r="AK527" i="9"/>
  <c r="AO527" i="9" s="1"/>
  <c r="AJ527" i="9"/>
  <c r="AI527" i="9"/>
  <c r="BB526" i="9"/>
  <c r="AK526" i="9"/>
  <c r="AO526" i="9" s="1"/>
  <c r="AJ526" i="9"/>
  <c r="AI526" i="9"/>
  <c r="BB525" i="9"/>
  <c r="AK525" i="9"/>
  <c r="AO525" i="9" s="1"/>
  <c r="AJ525" i="9"/>
  <c r="AI525" i="9"/>
  <c r="BB524" i="9"/>
  <c r="AK524" i="9"/>
  <c r="AO524" i="9" s="1"/>
  <c r="AJ524" i="9"/>
  <c r="AI524" i="9"/>
  <c r="BB523" i="9"/>
  <c r="AK523" i="9"/>
  <c r="AO523" i="9" s="1"/>
  <c r="AJ523" i="9"/>
  <c r="AI523" i="9"/>
  <c r="BB522" i="9"/>
  <c r="AK522" i="9"/>
  <c r="AO522" i="9" s="1"/>
  <c r="AJ522" i="9"/>
  <c r="AI522" i="9"/>
  <c r="BB521" i="9"/>
  <c r="AK521" i="9"/>
  <c r="AO521" i="9" s="1"/>
  <c r="AJ521" i="9"/>
  <c r="AI521" i="9"/>
  <c r="BB520" i="9"/>
  <c r="AK520" i="9"/>
  <c r="AO520" i="9" s="1"/>
  <c r="AJ520" i="9"/>
  <c r="AI520" i="9"/>
  <c r="BB519" i="9"/>
  <c r="AK519" i="9"/>
  <c r="AO519" i="9" s="1"/>
  <c r="AJ519" i="9"/>
  <c r="AI519" i="9"/>
  <c r="BB518" i="9"/>
  <c r="AK518" i="9"/>
  <c r="AO518" i="9" s="1"/>
  <c r="AJ518" i="9"/>
  <c r="AI518" i="9"/>
  <c r="BB517" i="9"/>
  <c r="AK517" i="9"/>
  <c r="AO517" i="9" s="1"/>
  <c r="AJ517" i="9"/>
  <c r="AI517" i="9"/>
  <c r="BB516" i="9"/>
  <c r="AK516" i="9"/>
  <c r="AO516" i="9" s="1"/>
  <c r="AJ516" i="9"/>
  <c r="AI516" i="9"/>
  <c r="BB515" i="9"/>
  <c r="AK515" i="9"/>
  <c r="AO515" i="9" s="1"/>
  <c r="AJ515" i="9"/>
  <c r="AI515" i="9"/>
  <c r="BB514" i="9"/>
  <c r="AK514" i="9"/>
  <c r="AO514" i="9" s="1"/>
  <c r="AJ514" i="9"/>
  <c r="AI514" i="9"/>
  <c r="BB513" i="9"/>
  <c r="AK513" i="9"/>
  <c r="AO513" i="9" s="1"/>
  <c r="AJ513" i="9"/>
  <c r="AI513" i="9"/>
  <c r="BB512" i="9"/>
  <c r="AK512" i="9"/>
  <c r="AO512" i="9" s="1"/>
  <c r="AJ512" i="9"/>
  <c r="AI512" i="9"/>
  <c r="BB511" i="9"/>
  <c r="AK511" i="9"/>
  <c r="AO511" i="9" s="1"/>
  <c r="AJ511" i="9"/>
  <c r="AI511" i="9"/>
  <c r="BB510" i="9"/>
  <c r="AK510" i="9"/>
  <c r="AO510" i="9" s="1"/>
  <c r="AJ510" i="9"/>
  <c r="AI510" i="9"/>
  <c r="BB509" i="9"/>
  <c r="AK509" i="9"/>
  <c r="AO509" i="9" s="1"/>
  <c r="AJ509" i="9"/>
  <c r="AI509" i="9"/>
  <c r="BB508" i="9"/>
  <c r="AK508" i="9"/>
  <c r="AO508" i="9" s="1"/>
  <c r="AJ508" i="9"/>
  <c r="AI508" i="9"/>
  <c r="BB507" i="9"/>
  <c r="AK507" i="9"/>
  <c r="AO507" i="9" s="1"/>
  <c r="AJ507" i="9"/>
  <c r="AI507" i="9"/>
  <c r="BB506" i="9"/>
  <c r="AK506" i="9"/>
  <c r="AO506" i="9" s="1"/>
  <c r="AJ506" i="9"/>
  <c r="AI506" i="9"/>
  <c r="BB505" i="9"/>
  <c r="AK505" i="9"/>
  <c r="AO505" i="9" s="1"/>
  <c r="AJ505" i="9"/>
  <c r="AI505" i="9"/>
  <c r="BB504" i="9"/>
  <c r="AK504" i="9"/>
  <c r="AO504" i="9" s="1"/>
  <c r="AJ504" i="9"/>
  <c r="AI504" i="9"/>
  <c r="BB503" i="9"/>
  <c r="AK503" i="9"/>
  <c r="AO503" i="9" s="1"/>
  <c r="AJ503" i="9"/>
  <c r="AI503" i="9"/>
  <c r="BB502" i="9"/>
  <c r="AK502" i="9"/>
  <c r="AO502" i="9" s="1"/>
  <c r="AJ502" i="9"/>
  <c r="AI502" i="9"/>
  <c r="BB501" i="9"/>
  <c r="AK501" i="9"/>
  <c r="AO501" i="9" s="1"/>
  <c r="AJ501" i="9"/>
  <c r="AI501" i="9"/>
  <c r="BB500" i="9"/>
  <c r="AK500" i="9"/>
  <c r="AO500" i="9" s="1"/>
  <c r="AJ500" i="9"/>
  <c r="AI500" i="9"/>
  <c r="BB499" i="9"/>
  <c r="AK499" i="9"/>
  <c r="AO499" i="9" s="1"/>
  <c r="AJ499" i="9"/>
  <c r="AI499" i="9"/>
  <c r="BB498" i="9"/>
  <c r="AK498" i="9"/>
  <c r="AO498" i="9" s="1"/>
  <c r="AJ498" i="9"/>
  <c r="AI498" i="9"/>
  <c r="BB497" i="9"/>
  <c r="AK497" i="9"/>
  <c r="AO497" i="9" s="1"/>
  <c r="AJ497" i="9"/>
  <c r="AI497" i="9"/>
  <c r="BB496" i="9"/>
  <c r="AK496" i="9"/>
  <c r="AO496" i="9" s="1"/>
  <c r="AJ496" i="9"/>
  <c r="AI496" i="9"/>
  <c r="BB495" i="9"/>
  <c r="AK495" i="9"/>
  <c r="AO495" i="9" s="1"/>
  <c r="AJ495" i="9"/>
  <c r="AI495" i="9"/>
  <c r="BB494" i="9"/>
  <c r="AK494" i="9"/>
  <c r="AO494" i="9" s="1"/>
  <c r="AJ494" i="9"/>
  <c r="AI494" i="9"/>
  <c r="BB493" i="9"/>
  <c r="AK493" i="9"/>
  <c r="AO493" i="9" s="1"/>
  <c r="AJ493" i="9"/>
  <c r="AI493" i="9"/>
  <c r="BB492" i="9"/>
  <c r="AK492" i="9"/>
  <c r="AO492" i="9" s="1"/>
  <c r="AJ492" i="9"/>
  <c r="AI492" i="9"/>
  <c r="BB491" i="9"/>
  <c r="AK491" i="9"/>
  <c r="AO491" i="9" s="1"/>
  <c r="AJ491" i="9"/>
  <c r="AI491" i="9"/>
  <c r="BB490" i="9"/>
  <c r="AK490" i="9"/>
  <c r="AO490" i="9" s="1"/>
  <c r="AJ490" i="9"/>
  <c r="AI490" i="9"/>
  <c r="BB489" i="9"/>
  <c r="AK489" i="9"/>
  <c r="AO489" i="9" s="1"/>
  <c r="AJ489" i="9"/>
  <c r="AI489" i="9"/>
  <c r="BB488" i="9"/>
  <c r="AK488" i="9"/>
  <c r="AO488" i="9" s="1"/>
  <c r="AJ488" i="9"/>
  <c r="AI488" i="9"/>
  <c r="BB487" i="9"/>
  <c r="AK487" i="9"/>
  <c r="AO487" i="9" s="1"/>
  <c r="AJ487" i="9"/>
  <c r="AI487" i="9"/>
  <c r="BB486" i="9"/>
  <c r="AK486" i="9"/>
  <c r="AO486" i="9" s="1"/>
  <c r="AJ486" i="9"/>
  <c r="AI486" i="9"/>
  <c r="BB485" i="9"/>
  <c r="AK485" i="9"/>
  <c r="AO485" i="9" s="1"/>
  <c r="AJ485" i="9"/>
  <c r="AI485" i="9"/>
  <c r="BB484" i="9"/>
  <c r="AK484" i="9"/>
  <c r="AO484" i="9" s="1"/>
  <c r="AJ484" i="9"/>
  <c r="AI484" i="9"/>
  <c r="BB483" i="9"/>
  <c r="AK483" i="9"/>
  <c r="AO483" i="9" s="1"/>
  <c r="AJ483" i="9"/>
  <c r="AI483" i="9"/>
  <c r="BB482" i="9"/>
  <c r="AK482" i="9"/>
  <c r="AO482" i="9" s="1"/>
  <c r="AJ482" i="9"/>
  <c r="AI482" i="9"/>
  <c r="BB481" i="9"/>
  <c r="AK481" i="9"/>
  <c r="AO481" i="9" s="1"/>
  <c r="AJ481" i="9"/>
  <c r="AI481" i="9"/>
  <c r="BB480" i="9"/>
  <c r="AK480" i="9"/>
  <c r="AO480" i="9" s="1"/>
  <c r="AJ480" i="9"/>
  <c r="AI480" i="9"/>
  <c r="BB479" i="9"/>
  <c r="AK479" i="9"/>
  <c r="AO479" i="9" s="1"/>
  <c r="AJ479" i="9"/>
  <c r="AI479" i="9"/>
  <c r="BB478" i="9"/>
  <c r="AK478" i="9"/>
  <c r="AO478" i="9" s="1"/>
  <c r="AJ478" i="9"/>
  <c r="AI478" i="9"/>
  <c r="BB477" i="9"/>
  <c r="AK477" i="9"/>
  <c r="AO477" i="9" s="1"/>
  <c r="AJ477" i="9"/>
  <c r="AI477" i="9"/>
  <c r="BB476" i="9"/>
  <c r="AK476" i="9"/>
  <c r="AO476" i="9" s="1"/>
  <c r="AJ476" i="9"/>
  <c r="AI476" i="9"/>
  <c r="BB475" i="9"/>
  <c r="AK475" i="9"/>
  <c r="AO475" i="9" s="1"/>
  <c r="AJ475" i="9"/>
  <c r="AI475" i="9"/>
  <c r="BB474" i="9"/>
  <c r="AK474" i="9"/>
  <c r="AO474" i="9" s="1"/>
  <c r="AJ474" i="9"/>
  <c r="AI474" i="9"/>
  <c r="BB473" i="9"/>
  <c r="AK473" i="9"/>
  <c r="AO473" i="9" s="1"/>
  <c r="AJ473" i="9"/>
  <c r="AI473" i="9"/>
  <c r="BB472" i="9"/>
  <c r="AK472" i="9"/>
  <c r="AO472" i="9" s="1"/>
  <c r="AJ472" i="9"/>
  <c r="AI472" i="9"/>
  <c r="BB471" i="9"/>
  <c r="AK471" i="9"/>
  <c r="AO471" i="9" s="1"/>
  <c r="AJ471" i="9"/>
  <c r="AI471" i="9"/>
  <c r="BB470" i="9"/>
  <c r="AK470" i="9"/>
  <c r="AO470" i="9" s="1"/>
  <c r="AJ470" i="9"/>
  <c r="AI470" i="9"/>
  <c r="BB469" i="9"/>
  <c r="AK469" i="9"/>
  <c r="AO469" i="9" s="1"/>
  <c r="AJ469" i="9"/>
  <c r="AI469" i="9"/>
  <c r="BB468" i="9"/>
  <c r="AK468" i="9"/>
  <c r="AO468" i="9" s="1"/>
  <c r="AJ468" i="9"/>
  <c r="AI468" i="9"/>
  <c r="BB467" i="9"/>
  <c r="AK467" i="9"/>
  <c r="AO467" i="9" s="1"/>
  <c r="AJ467" i="9"/>
  <c r="AI467" i="9"/>
  <c r="BB466" i="9"/>
  <c r="AK466" i="9"/>
  <c r="AO466" i="9" s="1"/>
  <c r="AJ466" i="9"/>
  <c r="AI466" i="9"/>
  <c r="BB465" i="9"/>
  <c r="AK465" i="9"/>
  <c r="AO465" i="9" s="1"/>
  <c r="AJ465" i="9"/>
  <c r="AI465" i="9"/>
  <c r="BB464" i="9"/>
  <c r="AK464" i="9"/>
  <c r="AO464" i="9" s="1"/>
  <c r="AJ464" i="9"/>
  <c r="AI464" i="9"/>
  <c r="BB463" i="9"/>
  <c r="AK463" i="9"/>
  <c r="AO463" i="9" s="1"/>
  <c r="AJ463" i="9"/>
  <c r="AI463" i="9"/>
  <c r="BB462" i="9"/>
  <c r="AK462" i="9"/>
  <c r="AO462" i="9" s="1"/>
  <c r="AJ462" i="9"/>
  <c r="AI462" i="9"/>
  <c r="BB461" i="9"/>
  <c r="AK461" i="9"/>
  <c r="AO461" i="9" s="1"/>
  <c r="AJ461" i="9"/>
  <c r="AI461" i="9"/>
  <c r="BB460" i="9"/>
  <c r="AK460" i="9"/>
  <c r="AO460" i="9" s="1"/>
  <c r="AJ460" i="9"/>
  <c r="AI460" i="9"/>
  <c r="BB459" i="9"/>
  <c r="AK459" i="9"/>
  <c r="AO459" i="9" s="1"/>
  <c r="AJ459" i="9"/>
  <c r="AI459" i="9"/>
  <c r="BB458" i="9"/>
  <c r="AK458" i="9"/>
  <c r="AO458" i="9" s="1"/>
  <c r="AJ458" i="9"/>
  <c r="AI458" i="9"/>
  <c r="BB457" i="9"/>
  <c r="AK457" i="9"/>
  <c r="AO457" i="9" s="1"/>
  <c r="AJ457" i="9"/>
  <c r="AI457" i="9"/>
  <c r="BB456" i="9"/>
  <c r="AK456" i="9"/>
  <c r="AO456" i="9" s="1"/>
  <c r="AJ456" i="9"/>
  <c r="AI456" i="9"/>
  <c r="BB455" i="9"/>
  <c r="AK455" i="9"/>
  <c r="AO455" i="9" s="1"/>
  <c r="AJ455" i="9"/>
  <c r="AI455" i="9"/>
  <c r="BB454" i="9"/>
  <c r="AK454" i="9"/>
  <c r="AO454" i="9" s="1"/>
  <c r="AJ454" i="9"/>
  <c r="AI454" i="9"/>
  <c r="BB453" i="9"/>
  <c r="AK453" i="9"/>
  <c r="AO453" i="9" s="1"/>
  <c r="AJ453" i="9"/>
  <c r="AI453" i="9"/>
  <c r="BB452" i="9"/>
  <c r="AK452" i="9"/>
  <c r="AO452" i="9" s="1"/>
  <c r="AJ452" i="9"/>
  <c r="AI452" i="9"/>
  <c r="BB451" i="9"/>
  <c r="AK451" i="9"/>
  <c r="AO451" i="9" s="1"/>
  <c r="AJ451" i="9"/>
  <c r="AI451" i="9"/>
  <c r="BB450" i="9"/>
  <c r="AK450" i="9"/>
  <c r="AO450" i="9" s="1"/>
  <c r="AJ450" i="9"/>
  <c r="AI450" i="9"/>
  <c r="BB449" i="9"/>
  <c r="AK449" i="9"/>
  <c r="AO449" i="9" s="1"/>
  <c r="AJ449" i="9"/>
  <c r="AI449" i="9"/>
  <c r="BB448" i="9"/>
  <c r="AK448" i="9"/>
  <c r="AO448" i="9" s="1"/>
  <c r="AJ448" i="9"/>
  <c r="AI448" i="9"/>
  <c r="BB447" i="9"/>
  <c r="AK447" i="9"/>
  <c r="AO447" i="9" s="1"/>
  <c r="AJ447" i="9"/>
  <c r="AI447" i="9"/>
  <c r="BB446" i="9"/>
  <c r="AK446" i="9"/>
  <c r="AO446" i="9" s="1"/>
  <c r="AJ446" i="9"/>
  <c r="AI446" i="9"/>
  <c r="BB445" i="9"/>
  <c r="AK445" i="9"/>
  <c r="AO445" i="9" s="1"/>
  <c r="AJ445" i="9"/>
  <c r="AI445" i="9"/>
  <c r="BB444" i="9"/>
  <c r="AK444" i="9"/>
  <c r="AO444" i="9" s="1"/>
  <c r="AJ444" i="9"/>
  <c r="AI444" i="9"/>
  <c r="BB443" i="9"/>
  <c r="AK443" i="9"/>
  <c r="AO443" i="9" s="1"/>
  <c r="AJ443" i="9"/>
  <c r="AI443" i="9"/>
  <c r="BB442" i="9"/>
  <c r="AK442" i="9"/>
  <c r="AO442" i="9" s="1"/>
  <c r="AJ442" i="9"/>
  <c r="AI442" i="9"/>
  <c r="BB441" i="9"/>
  <c r="AK441" i="9"/>
  <c r="AO441" i="9" s="1"/>
  <c r="AJ441" i="9"/>
  <c r="AI441" i="9"/>
  <c r="BB440" i="9"/>
  <c r="AK440" i="9"/>
  <c r="AO440" i="9" s="1"/>
  <c r="AJ440" i="9"/>
  <c r="AI440" i="9"/>
  <c r="BB439" i="9"/>
  <c r="AK439" i="9"/>
  <c r="AO439" i="9" s="1"/>
  <c r="AJ439" i="9"/>
  <c r="AI439" i="9"/>
  <c r="BB438" i="9"/>
  <c r="AK438" i="9"/>
  <c r="AO438" i="9" s="1"/>
  <c r="AJ438" i="9"/>
  <c r="AI438" i="9"/>
  <c r="BB437" i="9"/>
  <c r="AK437" i="9"/>
  <c r="AO437" i="9" s="1"/>
  <c r="AJ437" i="9"/>
  <c r="AI437" i="9"/>
  <c r="BB436" i="9"/>
  <c r="AK436" i="9"/>
  <c r="AO436" i="9" s="1"/>
  <c r="AJ436" i="9"/>
  <c r="AI436" i="9"/>
  <c r="BB435" i="9"/>
  <c r="AK435" i="9"/>
  <c r="AO435" i="9" s="1"/>
  <c r="AJ435" i="9"/>
  <c r="AI435" i="9"/>
  <c r="BB434" i="9"/>
  <c r="AK434" i="9"/>
  <c r="AO434" i="9" s="1"/>
  <c r="AJ434" i="9"/>
  <c r="AI434" i="9"/>
  <c r="BB433" i="9"/>
  <c r="AK433" i="9"/>
  <c r="AO433" i="9" s="1"/>
  <c r="AJ433" i="9"/>
  <c r="AI433" i="9"/>
  <c r="BB432" i="9"/>
  <c r="AK432" i="9"/>
  <c r="AO432" i="9" s="1"/>
  <c r="AJ432" i="9"/>
  <c r="AI432" i="9"/>
  <c r="BB431" i="9"/>
  <c r="AK431" i="9"/>
  <c r="AO431" i="9" s="1"/>
  <c r="AJ431" i="9"/>
  <c r="AI431" i="9"/>
  <c r="BB430" i="9"/>
  <c r="AK430" i="9"/>
  <c r="AO430" i="9" s="1"/>
  <c r="AJ430" i="9"/>
  <c r="AI430" i="9"/>
  <c r="BB429" i="9"/>
  <c r="AK429" i="9"/>
  <c r="AO429" i="9" s="1"/>
  <c r="AJ429" i="9"/>
  <c r="AI429" i="9"/>
  <c r="BB428" i="9"/>
  <c r="AK428" i="9"/>
  <c r="AO428" i="9" s="1"/>
  <c r="AJ428" i="9"/>
  <c r="AI428" i="9"/>
  <c r="BB427" i="9"/>
  <c r="AK427" i="9"/>
  <c r="AO427" i="9" s="1"/>
  <c r="AJ427" i="9"/>
  <c r="AI427" i="9"/>
  <c r="BB426" i="9"/>
  <c r="AK426" i="9"/>
  <c r="AO426" i="9" s="1"/>
  <c r="AJ426" i="9"/>
  <c r="AI426" i="9"/>
  <c r="BB425" i="9"/>
  <c r="AK425" i="9"/>
  <c r="AO425" i="9" s="1"/>
  <c r="AJ425" i="9"/>
  <c r="AI425" i="9"/>
  <c r="BB424" i="9"/>
  <c r="AK424" i="9"/>
  <c r="AO424" i="9" s="1"/>
  <c r="AJ424" i="9"/>
  <c r="AI424" i="9"/>
  <c r="BB423" i="9"/>
  <c r="AK423" i="9"/>
  <c r="AO423" i="9" s="1"/>
  <c r="AJ423" i="9"/>
  <c r="AI423" i="9"/>
  <c r="BB422" i="9"/>
  <c r="AK422" i="9"/>
  <c r="AO422" i="9" s="1"/>
  <c r="AJ422" i="9"/>
  <c r="AI422" i="9"/>
  <c r="BB421" i="9"/>
  <c r="AK421" i="9"/>
  <c r="AO421" i="9" s="1"/>
  <c r="AJ421" i="9"/>
  <c r="AI421" i="9"/>
  <c r="BB420" i="9"/>
  <c r="AK420" i="9"/>
  <c r="AO420" i="9" s="1"/>
  <c r="AJ420" i="9"/>
  <c r="AI420" i="9"/>
  <c r="BB419" i="9"/>
  <c r="AK419" i="9"/>
  <c r="AO419" i="9" s="1"/>
  <c r="AJ419" i="9"/>
  <c r="AI419" i="9"/>
  <c r="BB418" i="9"/>
  <c r="AK418" i="9"/>
  <c r="AO418" i="9" s="1"/>
  <c r="AJ418" i="9"/>
  <c r="AI418" i="9"/>
  <c r="BB417" i="9"/>
  <c r="AK417" i="9"/>
  <c r="AO417" i="9" s="1"/>
  <c r="AJ417" i="9"/>
  <c r="AI417" i="9"/>
  <c r="BB416" i="9"/>
  <c r="AK416" i="9"/>
  <c r="AO416" i="9" s="1"/>
  <c r="AJ416" i="9"/>
  <c r="AI416" i="9"/>
  <c r="BB415" i="9"/>
  <c r="AK415" i="9"/>
  <c r="AO415" i="9" s="1"/>
  <c r="AJ415" i="9"/>
  <c r="AI415" i="9"/>
  <c r="BB414" i="9"/>
  <c r="AK414" i="9"/>
  <c r="AO414" i="9" s="1"/>
  <c r="AJ414" i="9"/>
  <c r="AI414" i="9"/>
  <c r="BB413" i="9"/>
  <c r="AK413" i="9"/>
  <c r="AO413" i="9" s="1"/>
  <c r="AJ413" i="9"/>
  <c r="AI413" i="9"/>
  <c r="BB412" i="9"/>
  <c r="AK412" i="9"/>
  <c r="AO412" i="9" s="1"/>
  <c r="AJ412" i="9"/>
  <c r="AI412" i="9"/>
  <c r="BB411" i="9"/>
  <c r="AK411" i="9"/>
  <c r="AO411" i="9" s="1"/>
  <c r="AJ411" i="9"/>
  <c r="AI411" i="9"/>
  <c r="BB410" i="9"/>
  <c r="AK410" i="9"/>
  <c r="AO410" i="9" s="1"/>
  <c r="AJ410" i="9"/>
  <c r="AI410" i="9"/>
  <c r="BB409" i="9"/>
  <c r="AK409" i="9"/>
  <c r="AO409" i="9" s="1"/>
  <c r="AJ409" i="9"/>
  <c r="AI409" i="9"/>
  <c r="BB408" i="9"/>
  <c r="AK408" i="9"/>
  <c r="AO408" i="9" s="1"/>
  <c r="AJ408" i="9"/>
  <c r="AI408" i="9"/>
  <c r="BB407" i="9"/>
  <c r="AK407" i="9"/>
  <c r="AO407" i="9" s="1"/>
  <c r="AJ407" i="9"/>
  <c r="AI407" i="9"/>
  <c r="BB406" i="9"/>
  <c r="AK406" i="9"/>
  <c r="AO406" i="9" s="1"/>
  <c r="AJ406" i="9"/>
  <c r="AI406" i="9"/>
  <c r="BB405" i="9"/>
  <c r="AK405" i="9"/>
  <c r="AO405" i="9" s="1"/>
  <c r="AJ405" i="9"/>
  <c r="AI405" i="9"/>
  <c r="BB404" i="9"/>
  <c r="AK404" i="9"/>
  <c r="AO404" i="9" s="1"/>
  <c r="AJ404" i="9"/>
  <c r="AI404" i="9"/>
  <c r="BB403" i="9"/>
  <c r="AK403" i="9"/>
  <c r="AO403" i="9" s="1"/>
  <c r="AJ403" i="9"/>
  <c r="AI403" i="9"/>
  <c r="BB402" i="9"/>
  <c r="AK402" i="9"/>
  <c r="AO402" i="9" s="1"/>
  <c r="AJ402" i="9"/>
  <c r="AI402" i="9"/>
  <c r="BB401" i="9"/>
  <c r="AK401" i="9"/>
  <c r="AO401" i="9" s="1"/>
  <c r="AJ401" i="9"/>
  <c r="AI401" i="9"/>
  <c r="BB400" i="9"/>
  <c r="AK400" i="9"/>
  <c r="AO400" i="9" s="1"/>
  <c r="AJ400" i="9"/>
  <c r="AI400" i="9"/>
  <c r="BB399" i="9"/>
  <c r="AK399" i="9"/>
  <c r="AO399" i="9" s="1"/>
  <c r="AJ399" i="9"/>
  <c r="AI399" i="9"/>
  <c r="BB398" i="9"/>
  <c r="AK398" i="9"/>
  <c r="AO398" i="9" s="1"/>
  <c r="AJ398" i="9"/>
  <c r="AI398" i="9"/>
  <c r="BB397" i="9"/>
  <c r="AK397" i="9"/>
  <c r="AO397" i="9" s="1"/>
  <c r="AJ397" i="9"/>
  <c r="AI397" i="9"/>
  <c r="BB396" i="9"/>
  <c r="AK396" i="9"/>
  <c r="AO396" i="9" s="1"/>
  <c r="AJ396" i="9"/>
  <c r="AI396" i="9"/>
  <c r="BB395" i="9"/>
  <c r="AK395" i="9"/>
  <c r="AO395" i="9" s="1"/>
  <c r="AJ395" i="9"/>
  <c r="AI395" i="9"/>
  <c r="BB394" i="9"/>
  <c r="AK394" i="9"/>
  <c r="AO394" i="9" s="1"/>
  <c r="AJ394" i="9"/>
  <c r="AI394" i="9"/>
  <c r="BB393" i="9"/>
  <c r="AK393" i="9"/>
  <c r="AO393" i="9" s="1"/>
  <c r="AJ393" i="9"/>
  <c r="AI393" i="9"/>
  <c r="BB392" i="9"/>
  <c r="AK392" i="9"/>
  <c r="AO392" i="9" s="1"/>
  <c r="AJ392" i="9"/>
  <c r="AI392" i="9"/>
  <c r="BB391" i="9"/>
  <c r="AK391" i="9"/>
  <c r="AO391" i="9" s="1"/>
  <c r="AJ391" i="9"/>
  <c r="AI391" i="9"/>
  <c r="BB390" i="9"/>
  <c r="AK390" i="9"/>
  <c r="AO390" i="9" s="1"/>
  <c r="AJ390" i="9"/>
  <c r="AI390" i="9"/>
  <c r="BB389" i="9"/>
  <c r="AK389" i="9"/>
  <c r="AO389" i="9" s="1"/>
  <c r="AJ389" i="9"/>
  <c r="AI389" i="9"/>
  <c r="BB388" i="9"/>
  <c r="AK388" i="9"/>
  <c r="AO388" i="9" s="1"/>
  <c r="AJ388" i="9"/>
  <c r="AI388" i="9"/>
  <c r="BB387" i="9"/>
  <c r="AK387" i="9"/>
  <c r="AO387" i="9" s="1"/>
  <c r="AJ387" i="9"/>
  <c r="AI387" i="9"/>
  <c r="BB386" i="9"/>
  <c r="AK386" i="9"/>
  <c r="AO386" i="9" s="1"/>
  <c r="AJ386" i="9"/>
  <c r="AI386" i="9"/>
  <c r="BB385" i="9"/>
  <c r="AK385" i="9"/>
  <c r="AO385" i="9" s="1"/>
  <c r="AJ385" i="9"/>
  <c r="AI385" i="9"/>
  <c r="BB384" i="9"/>
  <c r="AK384" i="9"/>
  <c r="AO384" i="9" s="1"/>
  <c r="AJ384" i="9"/>
  <c r="AI384" i="9"/>
  <c r="BB383" i="9"/>
  <c r="AK383" i="9"/>
  <c r="AO383" i="9" s="1"/>
  <c r="AJ383" i="9"/>
  <c r="AI383" i="9"/>
  <c r="BB382" i="9"/>
  <c r="AK382" i="9"/>
  <c r="AO382" i="9" s="1"/>
  <c r="AJ382" i="9"/>
  <c r="AI382" i="9"/>
  <c r="BB381" i="9"/>
  <c r="AK381" i="9"/>
  <c r="AO381" i="9" s="1"/>
  <c r="AJ381" i="9"/>
  <c r="AI381" i="9"/>
  <c r="BB380" i="9"/>
  <c r="AK380" i="9"/>
  <c r="AO380" i="9" s="1"/>
  <c r="AJ380" i="9"/>
  <c r="AI380" i="9"/>
  <c r="BB379" i="9"/>
  <c r="AK379" i="9"/>
  <c r="AO379" i="9" s="1"/>
  <c r="AJ379" i="9"/>
  <c r="AI379" i="9"/>
  <c r="BB378" i="9"/>
  <c r="AK378" i="9"/>
  <c r="AO378" i="9" s="1"/>
  <c r="AJ378" i="9"/>
  <c r="AI378" i="9"/>
  <c r="BB377" i="9"/>
  <c r="AK377" i="9"/>
  <c r="AO377" i="9" s="1"/>
  <c r="AJ377" i="9"/>
  <c r="AI377" i="9"/>
  <c r="BB376" i="9"/>
  <c r="AK376" i="9"/>
  <c r="AO376" i="9" s="1"/>
  <c r="AJ376" i="9"/>
  <c r="AI376" i="9"/>
  <c r="BB375" i="9"/>
  <c r="AK375" i="9"/>
  <c r="AO375" i="9" s="1"/>
  <c r="AJ375" i="9"/>
  <c r="AI375" i="9"/>
  <c r="BB374" i="9"/>
  <c r="AK374" i="9"/>
  <c r="AO374" i="9" s="1"/>
  <c r="AJ374" i="9"/>
  <c r="AI374" i="9"/>
  <c r="BB373" i="9"/>
  <c r="AK373" i="9"/>
  <c r="AO373" i="9" s="1"/>
  <c r="AJ373" i="9"/>
  <c r="AI373" i="9"/>
  <c r="BB372" i="9"/>
  <c r="AK372" i="9"/>
  <c r="AO372" i="9" s="1"/>
  <c r="AJ372" i="9"/>
  <c r="AI372" i="9"/>
  <c r="BB371" i="9"/>
  <c r="AK371" i="9"/>
  <c r="AO371" i="9" s="1"/>
  <c r="AJ371" i="9"/>
  <c r="AI371" i="9"/>
  <c r="BB370" i="9"/>
  <c r="AK370" i="9"/>
  <c r="AO370" i="9" s="1"/>
  <c r="AJ370" i="9"/>
  <c r="AI370" i="9"/>
  <c r="BB369" i="9"/>
  <c r="AK369" i="9"/>
  <c r="AO369" i="9" s="1"/>
  <c r="AJ369" i="9"/>
  <c r="AI369" i="9"/>
  <c r="BB368" i="9"/>
  <c r="AK368" i="9"/>
  <c r="AO368" i="9" s="1"/>
  <c r="AJ368" i="9"/>
  <c r="AI368" i="9"/>
  <c r="BB367" i="9"/>
  <c r="AK367" i="9"/>
  <c r="AO367" i="9" s="1"/>
  <c r="AJ367" i="9"/>
  <c r="AI367" i="9"/>
  <c r="BB366" i="9"/>
  <c r="AK366" i="9"/>
  <c r="AO366" i="9" s="1"/>
  <c r="AJ366" i="9"/>
  <c r="AI366" i="9"/>
  <c r="BB365" i="9"/>
  <c r="AK365" i="9"/>
  <c r="AO365" i="9" s="1"/>
  <c r="AJ365" i="9"/>
  <c r="AI365" i="9"/>
  <c r="BB364" i="9"/>
  <c r="AK364" i="9"/>
  <c r="AO364" i="9" s="1"/>
  <c r="AJ364" i="9"/>
  <c r="AI364" i="9"/>
  <c r="BB363" i="9"/>
  <c r="AK363" i="9"/>
  <c r="AO363" i="9" s="1"/>
  <c r="AJ363" i="9"/>
  <c r="AI363" i="9"/>
  <c r="BB362" i="9"/>
  <c r="AK362" i="9"/>
  <c r="AO362" i="9" s="1"/>
  <c r="AJ362" i="9"/>
  <c r="AI362" i="9"/>
  <c r="BB361" i="9"/>
  <c r="AK361" i="9"/>
  <c r="AO361" i="9" s="1"/>
  <c r="AJ361" i="9"/>
  <c r="AI361" i="9"/>
  <c r="BB360" i="9"/>
  <c r="AK360" i="9"/>
  <c r="AO360" i="9" s="1"/>
  <c r="AJ360" i="9"/>
  <c r="AI360" i="9"/>
  <c r="BB359" i="9"/>
  <c r="AK359" i="9"/>
  <c r="AO359" i="9" s="1"/>
  <c r="AJ359" i="9"/>
  <c r="AI359" i="9"/>
  <c r="BB358" i="9"/>
  <c r="AK358" i="9"/>
  <c r="AO358" i="9" s="1"/>
  <c r="AJ358" i="9"/>
  <c r="AI358" i="9"/>
  <c r="BB357" i="9"/>
  <c r="AK357" i="9"/>
  <c r="AO357" i="9" s="1"/>
  <c r="AJ357" i="9"/>
  <c r="AI357" i="9"/>
  <c r="BB356" i="9"/>
  <c r="AK356" i="9"/>
  <c r="AO356" i="9" s="1"/>
  <c r="AJ356" i="9"/>
  <c r="AI356" i="9"/>
  <c r="BB355" i="9"/>
  <c r="AK355" i="9"/>
  <c r="AO355" i="9" s="1"/>
  <c r="AJ355" i="9"/>
  <c r="AI355" i="9"/>
  <c r="BB354" i="9"/>
  <c r="AK354" i="9"/>
  <c r="AO354" i="9" s="1"/>
  <c r="AJ354" i="9"/>
  <c r="AI354" i="9"/>
  <c r="BB353" i="9"/>
  <c r="AK353" i="9"/>
  <c r="AO353" i="9" s="1"/>
  <c r="AJ353" i="9"/>
  <c r="AI353" i="9"/>
  <c r="BB352" i="9"/>
  <c r="AK352" i="9"/>
  <c r="AO352" i="9" s="1"/>
  <c r="AJ352" i="9"/>
  <c r="AI352" i="9"/>
  <c r="BB351" i="9"/>
  <c r="AK351" i="9"/>
  <c r="AO351" i="9" s="1"/>
  <c r="AJ351" i="9"/>
  <c r="AI351" i="9"/>
  <c r="BB350" i="9"/>
  <c r="AK350" i="9"/>
  <c r="AO350" i="9" s="1"/>
  <c r="AJ350" i="9"/>
  <c r="AI350" i="9"/>
  <c r="BB349" i="9"/>
  <c r="AK349" i="9"/>
  <c r="AO349" i="9" s="1"/>
  <c r="AJ349" i="9"/>
  <c r="AI349" i="9"/>
  <c r="BB348" i="9"/>
  <c r="AK348" i="9"/>
  <c r="AO348" i="9" s="1"/>
  <c r="AJ348" i="9"/>
  <c r="AI348" i="9"/>
  <c r="BB347" i="9"/>
  <c r="AK347" i="9"/>
  <c r="AO347" i="9" s="1"/>
  <c r="AJ347" i="9"/>
  <c r="AI347" i="9"/>
  <c r="BB346" i="9"/>
  <c r="AK346" i="9"/>
  <c r="AO346" i="9" s="1"/>
  <c r="AJ346" i="9"/>
  <c r="AI346" i="9"/>
  <c r="BB345" i="9"/>
  <c r="AK345" i="9"/>
  <c r="AO345" i="9" s="1"/>
  <c r="AJ345" i="9"/>
  <c r="AI345" i="9"/>
  <c r="BB344" i="9"/>
  <c r="AK344" i="9"/>
  <c r="AO344" i="9" s="1"/>
  <c r="AJ344" i="9"/>
  <c r="AI344" i="9"/>
  <c r="BB343" i="9"/>
  <c r="AK343" i="9"/>
  <c r="AO343" i="9" s="1"/>
  <c r="AJ343" i="9"/>
  <c r="AI343" i="9"/>
  <c r="BB342" i="9"/>
  <c r="AK342" i="9"/>
  <c r="AO342" i="9" s="1"/>
  <c r="AJ342" i="9"/>
  <c r="AI342" i="9"/>
  <c r="BB341" i="9"/>
  <c r="AK341" i="9"/>
  <c r="AO341" i="9" s="1"/>
  <c r="AJ341" i="9"/>
  <c r="AI341" i="9"/>
  <c r="BB340" i="9"/>
  <c r="AK340" i="9"/>
  <c r="AO340" i="9" s="1"/>
  <c r="AJ340" i="9"/>
  <c r="AI340" i="9"/>
  <c r="BB339" i="9"/>
  <c r="AK339" i="9"/>
  <c r="AO339" i="9" s="1"/>
  <c r="AJ339" i="9"/>
  <c r="AI339" i="9"/>
  <c r="BB338" i="9"/>
  <c r="AK338" i="9"/>
  <c r="AO338" i="9" s="1"/>
  <c r="AJ338" i="9"/>
  <c r="AI338" i="9"/>
  <c r="BB337" i="9"/>
  <c r="AK337" i="9"/>
  <c r="AO337" i="9" s="1"/>
  <c r="AJ337" i="9"/>
  <c r="AI337" i="9"/>
  <c r="BB336" i="9"/>
  <c r="AK336" i="9"/>
  <c r="AO336" i="9" s="1"/>
  <c r="AJ336" i="9"/>
  <c r="AI336" i="9"/>
  <c r="BB335" i="9"/>
  <c r="AK335" i="9"/>
  <c r="AO335" i="9" s="1"/>
  <c r="AJ335" i="9"/>
  <c r="AI335" i="9"/>
  <c r="BB334" i="9"/>
  <c r="AK334" i="9"/>
  <c r="AO334" i="9" s="1"/>
  <c r="AJ334" i="9"/>
  <c r="AI334" i="9"/>
  <c r="BB333" i="9"/>
  <c r="AK333" i="9"/>
  <c r="AO333" i="9" s="1"/>
  <c r="AJ333" i="9"/>
  <c r="AI333" i="9"/>
  <c r="BB332" i="9"/>
  <c r="AK332" i="9"/>
  <c r="AO332" i="9" s="1"/>
  <c r="AJ332" i="9"/>
  <c r="AI332" i="9"/>
  <c r="BB331" i="9"/>
  <c r="AK331" i="9"/>
  <c r="AO331" i="9" s="1"/>
  <c r="AJ331" i="9"/>
  <c r="AI331" i="9"/>
  <c r="BB330" i="9"/>
  <c r="AK330" i="9"/>
  <c r="AO330" i="9" s="1"/>
  <c r="AJ330" i="9"/>
  <c r="AI330" i="9"/>
  <c r="BB329" i="9"/>
  <c r="AK329" i="9"/>
  <c r="AO329" i="9" s="1"/>
  <c r="AJ329" i="9"/>
  <c r="AI329" i="9"/>
  <c r="BB328" i="9"/>
  <c r="AK328" i="9"/>
  <c r="AO328" i="9" s="1"/>
  <c r="AJ328" i="9"/>
  <c r="AI328" i="9"/>
  <c r="BB327" i="9"/>
  <c r="AK327" i="9"/>
  <c r="AO327" i="9" s="1"/>
  <c r="AJ327" i="9"/>
  <c r="AI327" i="9"/>
  <c r="BB326" i="9"/>
  <c r="AK326" i="9"/>
  <c r="AO326" i="9" s="1"/>
  <c r="AJ326" i="9"/>
  <c r="AI326" i="9"/>
  <c r="BB325" i="9"/>
  <c r="AK325" i="9"/>
  <c r="AO325" i="9" s="1"/>
  <c r="AJ325" i="9"/>
  <c r="AI325" i="9"/>
  <c r="BB324" i="9"/>
  <c r="AK324" i="9"/>
  <c r="AO324" i="9" s="1"/>
  <c r="AJ324" i="9"/>
  <c r="AI324" i="9"/>
  <c r="BB323" i="9"/>
  <c r="AK323" i="9"/>
  <c r="AO323" i="9" s="1"/>
  <c r="AJ323" i="9"/>
  <c r="AI323" i="9"/>
  <c r="BB322" i="9"/>
  <c r="AK322" i="9"/>
  <c r="AO322" i="9" s="1"/>
  <c r="AJ322" i="9"/>
  <c r="AI322" i="9"/>
  <c r="BB321" i="9"/>
  <c r="AK321" i="9"/>
  <c r="AO321" i="9" s="1"/>
  <c r="AJ321" i="9"/>
  <c r="AI321" i="9"/>
  <c r="BB320" i="9"/>
  <c r="AK320" i="9"/>
  <c r="AO320" i="9" s="1"/>
  <c r="AJ320" i="9"/>
  <c r="AI320" i="9"/>
  <c r="BB319" i="9"/>
  <c r="AK319" i="9"/>
  <c r="AO319" i="9" s="1"/>
  <c r="AJ319" i="9"/>
  <c r="AI319" i="9"/>
  <c r="BB318" i="9"/>
  <c r="AK318" i="9"/>
  <c r="AO318" i="9" s="1"/>
  <c r="AJ318" i="9"/>
  <c r="AI318" i="9"/>
  <c r="BB317" i="9"/>
  <c r="AK317" i="9"/>
  <c r="AO317" i="9" s="1"/>
  <c r="AJ317" i="9"/>
  <c r="AI317" i="9"/>
  <c r="BB316" i="9"/>
  <c r="AK316" i="9"/>
  <c r="AO316" i="9" s="1"/>
  <c r="AJ316" i="9"/>
  <c r="AI316" i="9"/>
  <c r="BB315" i="9"/>
  <c r="AK315" i="9"/>
  <c r="AO315" i="9" s="1"/>
  <c r="AJ315" i="9"/>
  <c r="AI315" i="9"/>
  <c r="BB314" i="9"/>
  <c r="AK314" i="9"/>
  <c r="AO314" i="9" s="1"/>
  <c r="AJ314" i="9"/>
  <c r="AI314" i="9"/>
  <c r="BB313" i="9"/>
  <c r="AK313" i="9"/>
  <c r="AO313" i="9" s="1"/>
  <c r="AJ313" i="9"/>
  <c r="AI313" i="9"/>
  <c r="BB312" i="9"/>
  <c r="AK312" i="9"/>
  <c r="AO312" i="9" s="1"/>
  <c r="AJ312" i="9"/>
  <c r="AI312" i="9"/>
  <c r="BB311" i="9"/>
  <c r="AK311" i="9"/>
  <c r="AO311" i="9" s="1"/>
  <c r="AJ311" i="9"/>
  <c r="AI311" i="9"/>
  <c r="BB310" i="9"/>
  <c r="AK310" i="9"/>
  <c r="AO310" i="9" s="1"/>
  <c r="AJ310" i="9"/>
  <c r="AI310" i="9"/>
  <c r="BB309" i="9"/>
  <c r="AK309" i="9"/>
  <c r="AO309" i="9" s="1"/>
  <c r="AJ309" i="9"/>
  <c r="AI309" i="9"/>
  <c r="BB308" i="9"/>
  <c r="AK308" i="9"/>
  <c r="AO308" i="9" s="1"/>
  <c r="AJ308" i="9"/>
  <c r="AI308" i="9"/>
  <c r="BB307" i="9"/>
  <c r="AK307" i="9"/>
  <c r="AO307" i="9" s="1"/>
  <c r="AJ307" i="9"/>
  <c r="AI307" i="9"/>
  <c r="BB306" i="9"/>
  <c r="AK306" i="9"/>
  <c r="AO306" i="9" s="1"/>
  <c r="AJ306" i="9"/>
  <c r="AI306" i="9"/>
  <c r="BB305" i="9"/>
  <c r="AK305" i="9"/>
  <c r="AO305" i="9" s="1"/>
  <c r="AJ305" i="9"/>
  <c r="AI305" i="9"/>
  <c r="BB304" i="9"/>
  <c r="AK304" i="9"/>
  <c r="AO304" i="9" s="1"/>
  <c r="AJ304" i="9"/>
  <c r="AI304" i="9"/>
  <c r="BB303" i="9"/>
  <c r="AK303" i="9"/>
  <c r="AO303" i="9" s="1"/>
  <c r="AJ303" i="9"/>
  <c r="AI303" i="9"/>
  <c r="BB302" i="9"/>
  <c r="AK302" i="9"/>
  <c r="AO302" i="9" s="1"/>
  <c r="AJ302" i="9"/>
  <c r="AI302" i="9"/>
  <c r="BB301" i="9"/>
  <c r="AK301" i="9"/>
  <c r="AO301" i="9" s="1"/>
  <c r="AJ301" i="9"/>
  <c r="AI301" i="9"/>
  <c r="BB300" i="9"/>
  <c r="AK300" i="9"/>
  <c r="AO300" i="9" s="1"/>
  <c r="AJ300" i="9"/>
  <c r="AI300" i="9"/>
  <c r="BB299" i="9"/>
  <c r="AK299" i="9"/>
  <c r="AO299" i="9" s="1"/>
  <c r="AJ299" i="9"/>
  <c r="AI299" i="9"/>
  <c r="BB298" i="9"/>
  <c r="AK298" i="9"/>
  <c r="AO298" i="9" s="1"/>
  <c r="AJ298" i="9"/>
  <c r="AI298" i="9"/>
  <c r="BB297" i="9"/>
  <c r="AK297" i="9"/>
  <c r="AO297" i="9" s="1"/>
  <c r="AJ297" i="9"/>
  <c r="AI297" i="9"/>
  <c r="BB296" i="9"/>
  <c r="AK296" i="9"/>
  <c r="AO296" i="9" s="1"/>
  <c r="AJ296" i="9"/>
  <c r="AI296" i="9"/>
  <c r="BB295" i="9"/>
  <c r="AK295" i="9"/>
  <c r="AO295" i="9" s="1"/>
  <c r="AJ295" i="9"/>
  <c r="AI295" i="9"/>
  <c r="BB294" i="9"/>
  <c r="AK294" i="9"/>
  <c r="AO294" i="9" s="1"/>
  <c r="AJ294" i="9"/>
  <c r="AI294" i="9"/>
  <c r="BB293" i="9"/>
  <c r="AK293" i="9"/>
  <c r="AO293" i="9" s="1"/>
  <c r="AJ293" i="9"/>
  <c r="AI293" i="9"/>
  <c r="BB292" i="9"/>
  <c r="AK292" i="9"/>
  <c r="AO292" i="9" s="1"/>
  <c r="AJ292" i="9"/>
  <c r="AI292" i="9"/>
  <c r="BB291" i="9"/>
  <c r="AK291" i="9"/>
  <c r="AO291" i="9" s="1"/>
  <c r="AJ291" i="9"/>
  <c r="AI291" i="9"/>
  <c r="BB290" i="9"/>
  <c r="AK290" i="9"/>
  <c r="AO290" i="9" s="1"/>
  <c r="AJ290" i="9"/>
  <c r="AI290" i="9"/>
  <c r="BB289" i="9"/>
  <c r="AK289" i="9"/>
  <c r="AO289" i="9" s="1"/>
  <c r="AJ289" i="9"/>
  <c r="AI289" i="9"/>
  <c r="BB288" i="9"/>
  <c r="AK288" i="9"/>
  <c r="AO288" i="9" s="1"/>
  <c r="AJ288" i="9"/>
  <c r="AI288" i="9"/>
  <c r="BB287" i="9"/>
  <c r="AK287" i="9"/>
  <c r="AO287" i="9" s="1"/>
  <c r="AJ287" i="9"/>
  <c r="AI287" i="9"/>
  <c r="BB286" i="9"/>
  <c r="AK286" i="9"/>
  <c r="AO286" i="9" s="1"/>
  <c r="AJ286" i="9"/>
  <c r="AI286" i="9"/>
  <c r="BB285" i="9"/>
  <c r="AK285" i="9"/>
  <c r="AO285" i="9" s="1"/>
  <c r="AJ285" i="9"/>
  <c r="AI285" i="9"/>
  <c r="BB284" i="9"/>
  <c r="AK284" i="9"/>
  <c r="AO284" i="9" s="1"/>
  <c r="AJ284" i="9"/>
  <c r="AI284" i="9"/>
  <c r="BB283" i="9"/>
  <c r="AK283" i="9"/>
  <c r="AO283" i="9" s="1"/>
  <c r="AJ283" i="9"/>
  <c r="AI283" i="9"/>
  <c r="BB282" i="9"/>
  <c r="AK282" i="9"/>
  <c r="AO282" i="9" s="1"/>
  <c r="AJ282" i="9"/>
  <c r="AI282" i="9"/>
  <c r="BB281" i="9"/>
  <c r="AK281" i="9"/>
  <c r="AO281" i="9" s="1"/>
  <c r="AJ281" i="9"/>
  <c r="AI281" i="9"/>
  <c r="BB280" i="9"/>
  <c r="AK280" i="9"/>
  <c r="AO280" i="9" s="1"/>
  <c r="AJ280" i="9"/>
  <c r="AI280" i="9"/>
  <c r="BB279" i="9"/>
  <c r="AK279" i="9"/>
  <c r="AO279" i="9" s="1"/>
  <c r="AJ279" i="9"/>
  <c r="AI279" i="9"/>
  <c r="BB278" i="9"/>
  <c r="AK278" i="9"/>
  <c r="AO278" i="9" s="1"/>
  <c r="AJ278" i="9"/>
  <c r="AI278" i="9"/>
  <c r="BB277" i="9"/>
  <c r="AK277" i="9"/>
  <c r="AO277" i="9" s="1"/>
  <c r="AJ277" i="9"/>
  <c r="AI277" i="9"/>
  <c r="BB276" i="9"/>
  <c r="AK276" i="9"/>
  <c r="AO276" i="9" s="1"/>
  <c r="AJ276" i="9"/>
  <c r="AI276" i="9"/>
  <c r="BB275" i="9"/>
  <c r="AK275" i="9"/>
  <c r="AO275" i="9" s="1"/>
  <c r="AJ275" i="9"/>
  <c r="AI275" i="9"/>
  <c r="BB274" i="9"/>
  <c r="AK274" i="9"/>
  <c r="AO274" i="9" s="1"/>
  <c r="AJ274" i="9"/>
  <c r="AI274" i="9"/>
  <c r="BB273" i="9"/>
  <c r="AK273" i="9"/>
  <c r="AO273" i="9" s="1"/>
  <c r="AJ273" i="9"/>
  <c r="AI273" i="9"/>
  <c r="BB272" i="9"/>
  <c r="AK272" i="9"/>
  <c r="AO272" i="9" s="1"/>
  <c r="AJ272" i="9"/>
  <c r="AI272" i="9"/>
  <c r="BB271" i="9"/>
  <c r="AK271" i="9"/>
  <c r="AO271" i="9" s="1"/>
  <c r="AJ271" i="9"/>
  <c r="AI271" i="9"/>
  <c r="BB270" i="9"/>
  <c r="AK270" i="9"/>
  <c r="AO270" i="9" s="1"/>
  <c r="AJ270" i="9"/>
  <c r="AI270" i="9"/>
  <c r="BB269" i="9"/>
  <c r="AK269" i="9"/>
  <c r="AO269" i="9" s="1"/>
  <c r="AJ269" i="9"/>
  <c r="AI269" i="9"/>
  <c r="BB268" i="9"/>
  <c r="AK268" i="9"/>
  <c r="AO268" i="9" s="1"/>
  <c r="AJ268" i="9"/>
  <c r="AI268" i="9"/>
  <c r="BB267" i="9"/>
  <c r="AK267" i="9"/>
  <c r="AO267" i="9" s="1"/>
  <c r="AJ267" i="9"/>
  <c r="AI267" i="9"/>
  <c r="BB266" i="9"/>
  <c r="AK266" i="9"/>
  <c r="AO266" i="9" s="1"/>
  <c r="AJ266" i="9"/>
  <c r="AI266" i="9"/>
  <c r="BB265" i="9"/>
  <c r="AK265" i="9"/>
  <c r="AO265" i="9" s="1"/>
  <c r="AJ265" i="9"/>
  <c r="AI265" i="9"/>
  <c r="BB264" i="9"/>
  <c r="AK264" i="9"/>
  <c r="AO264" i="9" s="1"/>
  <c r="AJ264" i="9"/>
  <c r="AI264" i="9"/>
  <c r="BB263" i="9"/>
  <c r="AK263" i="9"/>
  <c r="AO263" i="9" s="1"/>
  <c r="AJ263" i="9"/>
  <c r="AI263" i="9"/>
  <c r="BB262" i="9"/>
  <c r="AK262" i="9"/>
  <c r="AO262" i="9" s="1"/>
  <c r="AJ262" i="9"/>
  <c r="AI262" i="9"/>
  <c r="BB261" i="9"/>
  <c r="AK261" i="9"/>
  <c r="AO261" i="9" s="1"/>
  <c r="AJ261" i="9"/>
  <c r="AI261" i="9"/>
  <c r="BB260" i="9"/>
  <c r="AK260" i="9"/>
  <c r="AO260" i="9" s="1"/>
  <c r="AJ260" i="9"/>
  <c r="AI260" i="9"/>
  <c r="BB259" i="9"/>
  <c r="AK259" i="9"/>
  <c r="AO259" i="9" s="1"/>
  <c r="AJ259" i="9"/>
  <c r="AI259" i="9"/>
  <c r="BB258" i="9"/>
  <c r="AK258" i="9"/>
  <c r="AO258" i="9" s="1"/>
  <c r="AJ258" i="9"/>
  <c r="AI258" i="9"/>
  <c r="BB257" i="9"/>
  <c r="AK257" i="9"/>
  <c r="AO257" i="9" s="1"/>
  <c r="AJ257" i="9"/>
  <c r="AI257" i="9"/>
  <c r="BB256" i="9"/>
  <c r="AK256" i="9"/>
  <c r="AO256" i="9" s="1"/>
  <c r="AJ256" i="9"/>
  <c r="AI256" i="9"/>
  <c r="BB255" i="9"/>
  <c r="AK255" i="9"/>
  <c r="AO255" i="9" s="1"/>
  <c r="AJ255" i="9"/>
  <c r="AI255" i="9"/>
  <c r="BB254" i="9"/>
  <c r="AK254" i="9"/>
  <c r="AO254" i="9" s="1"/>
  <c r="AJ254" i="9"/>
  <c r="AI254" i="9"/>
  <c r="BB253" i="9"/>
  <c r="AK253" i="9"/>
  <c r="AO253" i="9" s="1"/>
  <c r="AJ253" i="9"/>
  <c r="AI253" i="9"/>
  <c r="BB252" i="9"/>
  <c r="AK252" i="9"/>
  <c r="AO252" i="9" s="1"/>
  <c r="AJ252" i="9"/>
  <c r="AI252" i="9"/>
  <c r="BB251" i="9"/>
  <c r="AK251" i="9"/>
  <c r="AO251" i="9" s="1"/>
  <c r="AJ251" i="9"/>
  <c r="AI251" i="9"/>
  <c r="BB250" i="9"/>
  <c r="AK250" i="9"/>
  <c r="AO250" i="9" s="1"/>
  <c r="AJ250" i="9"/>
  <c r="AI250" i="9"/>
  <c r="BB249" i="9"/>
  <c r="AK249" i="9"/>
  <c r="AO249" i="9" s="1"/>
  <c r="AJ249" i="9"/>
  <c r="AI249" i="9"/>
  <c r="BB248" i="9"/>
  <c r="AK248" i="9"/>
  <c r="AO248" i="9" s="1"/>
  <c r="AJ248" i="9"/>
  <c r="AI248" i="9"/>
  <c r="BB247" i="9"/>
  <c r="AK247" i="9"/>
  <c r="AO247" i="9" s="1"/>
  <c r="AJ247" i="9"/>
  <c r="AI247" i="9"/>
  <c r="BB246" i="9"/>
  <c r="AK246" i="9"/>
  <c r="AO246" i="9" s="1"/>
  <c r="AJ246" i="9"/>
  <c r="AI246" i="9"/>
  <c r="BB245" i="9"/>
  <c r="AK245" i="9"/>
  <c r="AO245" i="9" s="1"/>
  <c r="AJ245" i="9"/>
  <c r="AI245" i="9"/>
  <c r="BB244" i="9"/>
  <c r="AK244" i="9"/>
  <c r="AO244" i="9" s="1"/>
  <c r="AJ244" i="9"/>
  <c r="AI244" i="9"/>
  <c r="BB243" i="9"/>
  <c r="AK243" i="9"/>
  <c r="AO243" i="9" s="1"/>
  <c r="AJ243" i="9"/>
  <c r="AI243" i="9"/>
  <c r="BB242" i="9"/>
  <c r="AK242" i="9"/>
  <c r="AO242" i="9" s="1"/>
  <c r="AJ242" i="9"/>
  <c r="AI242" i="9"/>
  <c r="BB241" i="9"/>
  <c r="AK241" i="9"/>
  <c r="AO241" i="9" s="1"/>
  <c r="AJ241" i="9"/>
  <c r="AI241" i="9"/>
  <c r="BB240" i="9"/>
  <c r="AK240" i="9"/>
  <c r="AO240" i="9" s="1"/>
  <c r="AJ240" i="9"/>
  <c r="AI240" i="9"/>
  <c r="BB239" i="9"/>
  <c r="AK239" i="9"/>
  <c r="AO239" i="9" s="1"/>
  <c r="AJ239" i="9"/>
  <c r="AI239" i="9"/>
  <c r="BB238" i="9"/>
  <c r="AK238" i="9"/>
  <c r="AO238" i="9" s="1"/>
  <c r="AJ238" i="9"/>
  <c r="AI238" i="9"/>
  <c r="BB237" i="9"/>
  <c r="AK237" i="9"/>
  <c r="AO237" i="9" s="1"/>
  <c r="AJ237" i="9"/>
  <c r="AI237" i="9"/>
  <c r="BB236" i="9"/>
  <c r="AK236" i="9"/>
  <c r="AO236" i="9" s="1"/>
  <c r="AJ236" i="9"/>
  <c r="AI236" i="9"/>
  <c r="BB235" i="9"/>
  <c r="AK235" i="9"/>
  <c r="AO235" i="9" s="1"/>
  <c r="AJ235" i="9"/>
  <c r="AI235" i="9"/>
  <c r="BB234" i="9"/>
  <c r="AK234" i="9"/>
  <c r="AO234" i="9" s="1"/>
  <c r="AJ234" i="9"/>
  <c r="AI234" i="9"/>
  <c r="BB233" i="9"/>
  <c r="AK233" i="9"/>
  <c r="AO233" i="9" s="1"/>
  <c r="AJ233" i="9"/>
  <c r="AI233" i="9"/>
  <c r="BB232" i="9"/>
  <c r="AK232" i="9"/>
  <c r="AO232" i="9" s="1"/>
  <c r="AJ232" i="9"/>
  <c r="AI232" i="9"/>
  <c r="BB231" i="9"/>
  <c r="AK231" i="9"/>
  <c r="AO231" i="9" s="1"/>
  <c r="AJ231" i="9"/>
  <c r="AI231" i="9"/>
  <c r="BB230" i="9"/>
  <c r="AK230" i="9"/>
  <c r="AO230" i="9" s="1"/>
  <c r="AJ230" i="9"/>
  <c r="AI230" i="9"/>
  <c r="BB229" i="9"/>
  <c r="AK229" i="9"/>
  <c r="AO229" i="9" s="1"/>
  <c r="AJ229" i="9"/>
  <c r="AI229" i="9"/>
  <c r="BB228" i="9"/>
  <c r="AK228" i="9"/>
  <c r="AO228" i="9" s="1"/>
  <c r="AJ228" i="9"/>
  <c r="AI228" i="9"/>
  <c r="BB227" i="9"/>
  <c r="AK227" i="9"/>
  <c r="AO227" i="9" s="1"/>
  <c r="AJ227" i="9"/>
  <c r="AI227" i="9"/>
  <c r="BB226" i="9"/>
  <c r="AK226" i="9"/>
  <c r="AO226" i="9" s="1"/>
  <c r="AJ226" i="9"/>
  <c r="AI226" i="9"/>
  <c r="BB225" i="9"/>
  <c r="AK225" i="9"/>
  <c r="AO225" i="9" s="1"/>
  <c r="AJ225" i="9"/>
  <c r="AI225" i="9"/>
  <c r="BB224" i="9"/>
  <c r="AK224" i="9"/>
  <c r="AO224" i="9" s="1"/>
  <c r="AJ224" i="9"/>
  <c r="AI224" i="9"/>
  <c r="BB223" i="9"/>
  <c r="AK223" i="9"/>
  <c r="AO223" i="9" s="1"/>
  <c r="AJ223" i="9"/>
  <c r="AI223" i="9"/>
  <c r="BB222" i="9"/>
  <c r="AK222" i="9"/>
  <c r="AO222" i="9" s="1"/>
  <c r="AJ222" i="9"/>
  <c r="AI222" i="9"/>
  <c r="BB221" i="9"/>
  <c r="AK221" i="9"/>
  <c r="AO221" i="9" s="1"/>
  <c r="AJ221" i="9"/>
  <c r="AI221" i="9"/>
  <c r="BB220" i="9"/>
  <c r="AK220" i="9"/>
  <c r="AO220" i="9" s="1"/>
  <c r="AJ220" i="9"/>
  <c r="AI220" i="9"/>
  <c r="BB219" i="9"/>
  <c r="AK219" i="9"/>
  <c r="AO219" i="9" s="1"/>
  <c r="AJ219" i="9"/>
  <c r="AI219" i="9"/>
  <c r="BB218" i="9"/>
  <c r="AK218" i="9"/>
  <c r="AO218" i="9" s="1"/>
  <c r="AJ218" i="9"/>
  <c r="AI218" i="9"/>
  <c r="BB217" i="9"/>
  <c r="AK217" i="9"/>
  <c r="AO217" i="9" s="1"/>
  <c r="AJ217" i="9"/>
  <c r="AI217" i="9"/>
  <c r="BB216" i="9"/>
  <c r="AK216" i="9"/>
  <c r="AO216" i="9" s="1"/>
  <c r="AJ216" i="9"/>
  <c r="AI216" i="9"/>
  <c r="BB215" i="9"/>
  <c r="AK215" i="9"/>
  <c r="AO215" i="9" s="1"/>
  <c r="AJ215" i="9"/>
  <c r="AI215" i="9"/>
  <c r="BB214" i="9"/>
  <c r="AK214" i="9"/>
  <c r="AO214" i="9" s="1"/>
  <c r="AJ214" i="9"/>
  <c r="AI214" i="9"/>
  <c r="BB213" i="9"/>
  <c r="AK213" i="9"/>
  <c r="AO213" i="9" s="1"/>
  <c r="AJ213" i="9"/>
  <c r="AI213" i="9"/>
  <c r="BB212" i="9"/>
  <c r="AK212" i="9"/>
  <c r="AO212" i="9" s="1"/>
  <c r="AJ212" i="9"/>
  <c r="AI212" i="9"/>
  <c r="BB211" i="9"/>
  <c r="AK211" i="9"/>
  <c r="AO211" i="9" s="1"/>
  <c r="AJ211" i="9"/>
  <c r="AI211" i="9"/>
  <c r="BB210" i="9"/>
  <c r="AK210" i="9"/>
  <c r="AO210" i="9" s="1"/>
  <c r="AJ210" i="9"/>
  <c r="AI210" i="9"/>
  <c r="BB209" i="9"/>
  <c r="AK209" i="9"/>
  <c r="AO209" i="9" s="1"/>
  <c r="AJ209" i="9"/>
  <c r="AI209" i="9"/>
  <c r="BB208" i="9"/>
  <c r="AK208" i="9"/>
  <c r="AO208" i="9" s="1"/>
  <c r="AJ208" i="9"/>
  <c r="AI208" i="9"/>
  <c r="BB207" i="9"/>
  <c r="AK207" i="9"/>
  <c r="AO207" i="9" s="1"/>
  <c r="AJ207" i="9"/>
  <c r="AI207" i="9"/>
  <c r="BB206" i="9"/>
  <c r="AK206" i="9"/>
  <c r="AO206" i="9" s="1"/>
  <c r="AJ206" i="9"/>
  <c r="AI206" i="9"/>
  <c r="BB205" i="9"/>
  <c r="AK205" i="9"/>
  <c r="AO205" i="9" s="1"/>
  <c r="AJ205" i="9"/>
  <c r="AI205" i="9"/>
  <c r="BB204" i="9"/>
  <c r="AK204" i="9"/>
  <c r="AO204" i="9" s="1"/>
  <c r="AJ204" i="9"/>
  <c r="AI204" i="9"/>
  <c r="BB203" i="9"/>
  <c r="AK203" i="9"/>
  <c r="AO203" i="9" s="1"/>
  <c r="AJ203" i="9"/>
  <c r="AI203" i="9"/>
  <c r="BB202" i="9"/>
  <c r="AK202" i="9"/>
  <c r="AO202" i="9" s="1"/>
  <c r="AJ202" i="9"/>
  <c r="AI202" i="9"/>
  <c r="BB201" i="9"/>
  <c r="AK201" i="9"/>
  <c r="AO201" i="9" s="1"/>
  <c r="AJ201" i="9"/>
  <c r="AI201" i="9"/>
  <c r="BB200" i="9"/>
  <c r="AK200" i="9"/>
  <c r="AO200" i="9" s="1"/>
  <c r="AJ200" i="9"/>
  <c r="AI200" i="9"/>
  <c r="BB199" i="9"/>
  <c r="AK199" i="9"/>
  <c r="AO199" i="9" s="1"/>
  <c r="AJ199" i="9"/>
  <c r="AI199" i="9"/>
  <c r="BB198" i="9"/>
  <c r="AK198" i="9"/>
  <c r="AO198" i="9" s="1"/>
  <c r="AJ198" i="9"/>
  <c r="AI198" i="9"/>
  <c r="BB197" i="9"/>
  <c r="AK197" i="9"/>
  <c r="AO197" i="9" s="1"/>
  <c r="AJ197" i="9"/>
  <c r="AI197" i="9"/>
  <c r="BB196" i="9"/>
  <c r="AK196" i="9"/>
  <c r="AO196" i="9" s="1"/>
  <c r="AJ196" i="9"/>
  <c r="AI196" i="9"/>
  <c r="BB195" i="9"/>
  <c r="AK195" i="9"/>
  <c r="AO195" i="9" s="1"/>
  <c r="AJ195" i="9"/>
  <c r="AI195" i="9"/>
  <c r="BB194" i="9"/>
  <c r="AK194" i="9"/>
  <c r="AO194" i="9" s="1"/>
  <c r="AJ194" i="9"/>
  <c r="AI194" i="9"/>
  <c r="BB193" i="9"/>
  <c r="AK193" i="9"/>
  <c r="AO193" i="9" s="1"/>
  <c r="AJ193" i="9"/>
  <c r="AI193" i="9"/>
  <c r="BB192" i="9"/>
  <c r="AK192" i="9"/>
  <c r="AO192" i="9" s="1"/>
  <c r="AJ192" i="9"/>
  <c r="AI192" i="9"/>
  <c r="BB191" i="9"/>
  <c r="AK191" i="9"/>
  <c r="AO191" i="9" s="1"/>
  <c r="AJ191" i="9"/>
  <c r="AI191" i="9"/>
  <c r="BB190" i="9"/>
  <c r="AK190" i="9"/>
  <c r="AO190" i="9" s="1"/>
  <c r="AJ190" i="9"/>
  <c r="AI190" i="9"/>
  <c r="BB189" i="9"/>
  <c r="AK189" i="9"/>
  <c r="AO189" i="9" s="1"/>
  <c r="AJ189" i="9"/>
  <c r="AI189" i="9"/>
  <c r="BB188" i="9"/>
  <c r="AK188" i="9"/>
  <c r="AO188" i="9" s="1"/>
  <c r="AJ188" i="9"/>
  <c r="AI188" i="9"/>
  <c r="BB187" i="9"/>
  <c r="AK187" i="9"/>
  <c r="AO187" i="9" s="1"/>
  <c r="AJ187" i="9"/>
  <c r="AI187" i="9"/>
  <c r="BB186" i="9"/>
  <c r="AK186" i="9"/>
  <c r="AO186" i="9" s="1"/>
  <c r="AJ186" i="9"/>
  <c r="AI186" i="9"/>
  <c r="BB185" i="9"/>
  <c r="AK185" i="9"/>
  <c r="AO185" i="9" s="1"/>
  <c r="AJ185" i="9"/>
  <c r="AI185" i="9"/>
  <c r="BB184" i="9"/>
  <c r="AK184" i="9"/>
  <c r="AO184" i="9" s="1"/>
  <c r="AJ184" i="9"/>
  <c r="AI184" i="9"/>
  <c r="BB183" i="9"/>
  <c r="AK183" i="9"/>
  <c r="AO183" i="9" s="1"/>
  <c r="AJ183" i="9"/>
  <c r="AI183" i="9"/>
  <c r="BB182" i="9"/>
  <c r="AK182" i="9"/>
  <c r="AO182" i="9" s="1"/>
  <c r="AJ182" i="9"/>
  <c r="AI182" i="9"/>
  <c r="BB181" i="9"/>
  <c r="AK181" i="9"/>
  <c r="AO181" i="9" s="1"/>
  <c r="AJ181" i="9"/>
  <c r="AI181" i="9"/>
  <c r="BB180" i="9"/>
  <c r="AK180" i="9"/>
  <c r="AO180" i="9" s="1"/>
  <c r="AJ180" i="9"/>
  <c r="AI180" i="9"/>
  <c r="BB179" i="9"/>
  <c r="AK179" i="9"/>
  <c r="AO179" i="9" s="1"/>
  <c r="AJ179" i="9"/>
  <c r="AI179" i="9"/>
  <c r="BB178" i="9"/>
  <c r="AK178" i="9"/>
  <c r="AO178" i="9" s="1"/>
  <c r="AJ178" i="9"/>
  <c r="AI178" i="9"/>
  <c r="BB177" i="9"/>
  <c r="AK177" i="9"/>
  <c r="AO177" i="9" s="1"/>
  <c r="AJ177" i="9"/>
  <c r="AI177" i="9"/>
  <c r="BB176" i="9"/>
  <c r="AK176" i="9"/>
  <c r="AO176" i="9" s="1"/>
  <c r="AJ176" i="9"/>
  <c r="AI176" i="9"/>
  <c r="BB175" i="9"/>
  <c r="AK175" i="9"/>
  <c r="AO175" i="9" s="1"/>
  <c r="AJ175" i="9"/>
  <c r="AI175" i="9"/>
  <c r="BB174" i="9"/>
  <c r="AK174" i="9"/>
  <c r="AO174" i="9" s="1"/>
  <c r="AJ174" i="9"/>
  <c r="AI174" i="9"/>
  <c r="BB173" i="9"/>
  <c r="AK173" i="9"/>
  <c r="AO173" i="9" s="1"/>
  <c r="AJ173" i="9"/>
  <c r="AI173" i="9"/>
  <c r="BB172" i="9"/>
  <c r="AK172" i="9"/>
  <c r="AO172" i="9" s="1"/>
  <c r="AJ172" i="9"/>
  <c r="AI172" i="9"/>
  <c r="BB171" i="9"/>
  <c r="AK171" i="9"/>
  <c r="AO171" i="9" s="1"/>
  <c r="AJ171" i="9"/>
  <c r="AI171" i="9"/>
  <c r="BB170" i="9"/>
  <c r="AK170" i="9"/>
  <c r="AO170" i="9" s="1"/>
  <c r="AJ170" i="9"/>
  <c r="AI170" i="9"/>
  <c r="BB169" i="9"/>
  <c r="AK169" i="9"/>
  <c r="AO169" i="9" s="1"/>
  <c r="AJ169" i="9"/>
  <c r="AI169" i="9"/>
  <c r="BB168" i="9"/>
  <c r="AK168" i="9"/>
  <c r="AO168" i="9" s="1"/>
  <c r="AJ168" i="9"/>
  <c r="AI168" i="9"/>
  <c r="BB167" i="9"/>
  <c r="AK167" i="9"/>
  <c r="AO167" i="9" s="1"/>
  <c r="AJ167" i="9"/>
  <c r="AI167" i="9"/>
  <c r="BB166" i="9"/>
  <c r="AK166" i="9"/>
  <c r="AO166" i="9" s="1"/>
  <c r="AJ166" i="9"/>
  <c r="AI166" i="9"/>
  <c r="BB165" i="9"/>
  <c r="AK165" i="9"/>
  <c r="AO165" i="9" s="1"/>
  <c r="AJ165" i="9"/>
  <c r="AI165" i="9"/>
  <c r="BB164" i="9"/>
  <c r="AK164" i="9"/>
  <c r="AO164" i="9" s="1"/>
  <c r="AJ164" i="9"/>
  <c r="AI164" i="9"/>
  <c r="BB163" i="9"/>
  <c r="AK163" i="9"/>
  <c r="AO163" i="9" s="1"/>
  <c r="AJ163" i="9"/>
  <c r="AI163" i="9"/>
  <c r="BB162" i="9"/>
  <c r="AK162" i="9"/>
  <c r="AO162" i="9" s="1"/>
  <c r="AJ162" i="9"/>
  <c r="AI162" i="9"/>
  <c r="BB161" i="9"/>
  <c r="AK161" i="9"/>
  <c r="AO161" i="9" s="1"/>
  <c r="AJ161" i="9"/>
  <c r="AI161" i="9"/>
  <c r="BB160" i="9"/>
  <c r="AK160" i="9"/>
  <c r="AO160" i="9" s="1"/>
  <c r="AJ160" i="9"/>
  <c r="AI160" i="9"/>
  <c r="BB159" i="9"/>
  <c r="AK159" i="9"/>
  <c r="AO159" i="9" s="1"/>
  <c r="AJ159" i="9"/>
  <c r="AI159" i="9"/>
  <c r="BB158" i="9"/>
  <c r="AK158" i="9"/>
  <c r="AO158" i="9" s="1"/>
  <c r="AJ158" i="9"/>
  <c r="AI158" i="9"/>
  <c r="BB157" i="9"/>
  <c r="AK157" i="9"/>
  <c r="AO157" i="9" s="1"/>
  <c r="AJ157" i="9"/>
  <c r="AI157" i="9"/>
  <c r="BB156" i="9"/>
  <c r="AK156" i="9"/>
  <c r="AO156" i="9" s="1"/>
  <c r="AJ156" i="9"/>
  <c r="AI156" i="9"/>
  <c r="BB155" i="9"/>
  <c r="AK155" i="9"/>
  <c r="AO155" i="9" s="1"/>
  <c r="AJ155" i="9"/>
  <c r="AI155" i="9"/>
  <c r="BB154" i="9"/>
  <c r="AK154" i="9"/>
  <c r="AO154" i="9" s="1"/>
  <c r="AJ154" i="9"/>
  <c r="AI154" i="9"/>
  <c r="BB153" i="9"/>
  <c r="AK153" i="9"/>
  <c r="AO153" i="9" s="1"/>
  <c r="AJ153" i="9"/>
  <c r="AI153" i="9"/>
  <c r="BB152" i="9"/>
  <c r="AK152" i="9"/>
  <c r="AO152" i="9" s="1"/>
  <c r="AJ152" i="9"/>
  <c r="AI152" i="9"/>
  <c r="BB151" i="9"/>
  <c r="AK151" i="9"/>
  <c r="AO151" i="9" s="1"/>
  <c r="AJ151" i="9"/>
  <c r="AI151" i="9"/>
  <c r="BB150" i="9"/>
  <c r="AK150" i="9"/>
  <c r="AO150" i="9" s="1"/>
  <c r="AJ150" i="9"/>
  <c r="AI150" i="9"/>
  <c r="BB149" i="9"/>
  <c r="AK149" i="9"/>
  <c r="AO149" i="9" s="1"/>
  <c r="AJ149" i="9"/>
  <c r="AI149" i="9"/>
  <c r="BB148" i="9"/>
  <c r="AK148" i="9"/>
  <c r="AO148" i="9" s="1"/>
  <c r="AJ148" i="9"/>
  <c r="AI148" i="9"/>
  <c r="BB147" i="9"/>
  <c r="AK147" i="9"/>
  <c r="AO147" i="9" s="1"/>
  <c r="AJ147" i="9"/>
  <c r="AI147" i="9"/>
  <c r="BB146" i="9"/>
  <c r="AK146" i="9"/>
  <c r="AO146" i="9" s="1"/>
  <c r="AJ146" i="9"/>
  <c r="AI146" i="9"/>
  <c r="BB145" i="9"/>
  <c r="AK145" i="9"/>
  <c r="AO145" i="9" s="1"/>
  <c r="AJ145" i="9"/>
  <c r="AI145" i="9"/>
  <c r="BB144" i="9"/>
  <c r="AK144" i="9"/>
  <c r="AO144" i="9" s="1"/>
  <c r="AJ144" i="9"/>
  <c r="AI144" i="9"/>
  <c r="BB143" i="9"/>
  <c r="AK143" i="9"/>
  <c r="AO143" i="9" s="1"/>
  <c r="AJ143" i="9"/>
  <c r="AI143" i="9"/>
  <c r="BB142" i="9"/>
  <c r="AK142" i="9"/>
  <c r="AO142" i="9" s="1"/>
  <c r="AJ142" i="9"/>
  <c r="AI142" i="9"/>
  <c r="BB141" i="9"/>
  <c r="AK141" i="9"/>
  <c r="AO141" i="9" s="1"/>
  <c r="AJ141" i="9"/>
  <c r="AI141" i="9"/>
  <c r="BB140" i="9"/>
  <c r="AK140" i="9"/>
  <c r="AO140" i="9" s="1"/>
  <c r="AJ140" i="9"/>
  <c r="AI140" i="9"/>
  <c r="BB139" i="9"/>
  <c r="AK139" i="9"/>
  <c r="AO139" i="9" s="1"/>
  <c r="AJ139" i="9"/>
  <c r="AI139" i="9"/>
  <c r="BB138" i="9"/>
  <c r="AK138" i="9"/>
  <c r="AO138" i="9" s="1"/>
  <c r="AJ138" i="9"/>
  <c r="AI138" i="9"/>
  <c r="BB137" i="9"/>
  <c r="AK137" i="9"/>
  <c r="AO137" i="9" s="1"/>
  <c r="AJ137" i="9"/>
  <c r="AI137" i="9"/>
  <c r="BB136" i="9"/>
  <c r="AK136" i="9"/>
  <c r="AO136" i="9" s="1"/>
  <c r="AJ136" i="9"/>
  <c r="AI136" i="9"/>
  <c r="BB135" i="9"/>
  <c r="AK135" i="9"/>
  <c r="AO135" i="9" s="1"/>
  <c r="AJ135" i="9"/>
  <c r="AI135" i="9"/>
  <c r="BB134" i="9"/>
  <c r="AK134" i="9"/>
  <c r="AO134" i="9" s="1"/>
  <c r="AJ134" i="9"/>
  <c r="AI134" i="9"/>
  <c r="BB133" i="9"/>
  <c r="AK133" i="9"/>
  <c r="AO133" i="9" s="1"/>
  <c r="AJ133" i="9"/>
  <c r="AI133" i="9"/>
  <c r="BB132" i="9"/>
  <c r="AK132" i="9"/>
  <c r="AO132" i="9" s="1"/>
  <c r="AJ132" i="9"/>
  <c r="AI132" i="9"/>
  <c r="BB131" i="9"/>
  <c r="AK131" i="9"/>
  <c r="AO131" i="9" s="1"/>
  <c r="AJ131" i="9"/>
  <c r="AI131" i="9"/>
  <c r="BB130" i="9"/>
  <c r="AK130" i="9"/>
  <c r="AO130" i="9" s="1"/>
  <c r="AJ130" i="9"/>
  <c r="AI130" i="9"/>
  <c r="BB129" i="9"/>
  <c r="AK129" i="9"/>
  <c r="AO129" i="9" s="1"/>
  <c r="AJ129" i="9"/>
  <c r="AI129" i="9"/>
  <c r="BB128" i="9"/>
  <c r="AK128" i="9"/>
  <c r="AO128" i="9" s="1"/>
  <c r="AJ128" i="9"/>
  <c r="AI128" i="9"/>
  <c r="BB127" i="9"/>
  <c r="AK127" i="9"/>
  <c r="AO127" i="9" s="1"/>
  <c r="AJ127" i="9"/>
  <c r="AI127" i="9"/>
  <c r="BB126" i="9"/>
  <c r="AK126" i="9"/>
  <c r="AO126" i="9" s="1"/>
  <c r="AJ126" i="9"/>
  <c r="AI126" i="9"/>
  <c r="BB125" i="9"/>
  <c r="AK125" i="9"/>
  <c r="AO125" i="9" s="1"/>
  <c r="AJ125" i="9"/>
  <c r="AI125" i="9"/>
  <c r="BB124" i="9"/>
  <c r="AK124" i="9"/>
  <c r="AO124" i="9" s="1"/>
  <c r="AJ124" i="9"/>
  <c r="AI124" i="9"/>
  <c r="BB123" i="9"/>
  <c r="AK123" i="9"/>
  <c r="AO123" i="9" s="1"/>
  <c r="AJ123" i="9"/>
  <c r="AI123" i="9"/>
  <c r="BB122" i="9"/>
  <c r="AK122" i="9"/>
  <c r="AO122" i="9" s="1"/>
  <c r="AJ122" i="9"/>
  <c r="AI122" i="9"/>
  <c r="BB121" i="9"/>
  <c r="AK121" i="9"/>
  <c r="AO121" i="9" s="1"/>
  <c r="AJ121" i="9"/>
  <c r="AI121" i="9"/>
  <c r="BB120" i="9"/>
  <c r="AK120" i="9"/>
  <c r="AO120" i="9" s="1"/>
  <c r="AJ120" i="9"/>
  <c r="AI120" i="9"/>
  <c r="BB119" i="9"/>
  <c r="AK119" i="9"/>
  <c r="AO119" i="9" s="1"/>
  <c r="AJ119" i="9"/>
  <c r="AI119" i="9"/>
  <c r="BB118" i="9"/>
  <c r="AK118" i="9"/>
  <c r="AO118" i="9" s="1"/>
  <c r="AJ118" i="9"/>
  <c r="AI118" i="9"/>
  <c r="BB117" i="9"/>
  <c r="AK117" i="9"/>
  <c r="AO117" i="9" s="1"/>
  <c r="AJ117" i="9"/>
  <c r="AI117" i="9"/>
  <c r="BB116" i="9"/>
  <c r="AK116" i="9"/>
  <c r="AO116" i="9" s="1"/>
  <c r="AJ116" i="9"/>
  <c r="AI116" i="9"/>
  <c r="BB115" i="9"/>
  <c r="AK115" i="9"/>
  <c r="AO115" i="9" s="1"/>
  <c r="AJ115" i="9"/>
  <c r="AI115" i="9"/>
  <c r="BB114" i="9"/>
  <c r="AK114" i="9"/>
  <c r="AO114" i="9" s="1"/>
  <c r="AJ114" i="9"/>
  <c r="AI114" i="9"/>
  <c r="BB113" i="9"/>
  <c r="AK113" i="9"/>
  <c r="AO113" i="9" s="1"/>
  <c r="AJ113" i="9"/>
  <c r="AI113" i="9"/>
  <c r="BB112" i="9"/>
  <c r="AK112" i="9"/>
  <c r="AO112" i="9" s="1"/>
  <c r="AJ112" i="9"/>
  <c r="AI112" i="9"/>
  <c r="BB111" i="9"/>
  <c r="AK111" i="9"/>
  <c r="AO111" i="9" s="1"/>
  <c r="AJ111" i="9"/>
  <c r="AI111" i="9"/>
  <c r="BB110" i="9"/>
  <c r="AK110" i="9"/>
  <c r="AO110" i="9" s="1"/>
  <c r="AJ110" i="9"/>
  <c r="AI110" i="9"/>
  <c r="BB109" i="9"/>
  <c r="AK109" i="9"/>
  <c r="AO109" i="9" s="1"/>
  <c r="AJ109" i="9"/>
  <c r="AI109" i="9"/>
  <c r="BB108" i="9"/>
  <c r="AK108" i="9"/>
  <c r="AO108" i="9" s="1"/>
  <c r="AJ108" i="9"/>
  <c r="AI108" i="9"/>
  <c r="BB107" i="9"/>
  <c r="AK107" i="9"/>
  <c r="AO107" i="9" s="1"/>
  <c r="AJ107" i="9"/>
  <c r="AI107" i="9"/>
  <c r="BB106" i="9"/>
  <c r="AK106" i="9"/>
  <c r="AO106" i="9" s="1"/>
  <c r="AJ106" i="9"/>
  <c r="AI106" i="9"/>
  <c r="BB105" i="9"/>
  <c r="AK105" i="9"/>
  <c r="AO105" i="9" s="1"/>
  <c r="AJ105" i="9"/>
  <c r="AI105" i="9"/>
  <c r="BB104" i="9"/>
  <c r="AK104" i="9"/>
  <c r="AO104" i="9" s="1"/>
  <c r="AJ104" i="9"/>
  <c r="AI104" i="9"/>
  <c r="BB103" i="9"/>
  <c r="AK103" i="9"/>
  <c r="AO103" i="9" s="1"/>
  <c r="AJ103" i="9"/>
  <c r="AI103" i="9"/>
  <c r="BB102" i="9"/>
  <c r="AK102" i="9"/>
  <c r="AO102" i="9" s="1"/>
  <c r="AJ102" i="9"/>
  <c r="AI102" i="9"/>
  <c r="BB101" i="9"/>
  <c r="AK101" i="9"/>
  <c r="AO101" i="9" s="1"/>
  <c r="AJ101" i="9"/>
  <c r="AI101" i="9"/>
  <c r="BB100" i="9"/>
  <c r="AK100" i="9"/>
  <c r="AO100" i="9" s="1"/>
  <c r="AJ100" i="9"/>
  <c r="AI100" i="9"/>
  <c r="BB99" i="9"/>
  <c r="AK99" i="9"/>
  <c r="AO99" i="9" s="1"/>
  <c r="AJ99" i="9"/>
  <c r="AI99" i="9"/>
  <c r="BB98" i="9"/>
  <c r="AK98" i="9"/>
  <c r="AO98" i="9" s="1"/>
  <c r="AJ98" i="9"/>
  <c r="AI98" i="9"/>
  <c r="BB97" i="9"/>
  <c r="AK97" i="9"/>
  <c r="AO97" i="9" s="1"/>
  <c r="AJ97" i="9"/>
  <c r="AI97" i="9"/>
  <c r="BB96" i="9"/>
  <c r="AK96" i="9"/>
  <c r="AO96" i="9" s="1"/>
  <c r="AJ96" i="9"/>
  <c r="AI96" i="9"/>
  <c r="BB95" i="9"/>
  <c r="AK95" i="9"/>
  <c r="AO95" i="9" s="1"/>
  <c r="AJ95" i="9"/>
  <c r="AI95" i="9"/>
  <c r="BB94" i="9"/>
  <c r="AK94" i="9"/>
  <c r="AO94" i="9" s="1"/>
  <c r="AJ94" i="9"/>
  <c r="AI94" i="9"/>
  <c r="BB93" i="9"/>
  <c r="AK93" i="9"/>
  <c r="AO93" i="9" s="1"/>
  <c r="AJ93" i="9"/>
  <c r="AI93" i="9"/>
  <c r="BB92" i="9"/>
  <c r="AK92" i="9"/>
  <c r="AO92" i="9" s="1"/>
  <c r="AJ92" i="9"/>
  <c r="AI92" i="9"/>
  <c r="BB91" i="9"/>
  <c r="AK91" i="9"/>
  <c r="AO91" i="9" s="1"/>
  <c r="AJ91" i="9"/>
  <c r="AI91" i="9"/>
  <c r="BB90" i="9"/>
  <c r="AK90" i="9"/>
  <c r="AO90" i="9" s="1"/>
  <c r="AJ90" i="9"/>
  <c r="AI90" i="9"/>
  <c r="BB89" i="9"/>
  <c r="AK89" i="9"/>
  <c r="AO89" i="9" s="1"/>
  <c r="AJ89" i="9"/>
  <c r="AI89" i="9"/>
  <c r="BB88" i="9"/>
  <c r="AK88" i="9"/>
  <c r="AO88" i="9" s="1"/>
  <c r="AJ88" i="9"/>
  <c r="AI88" i="9"/>
  <c r="BB87" i="9"/>
  <c r="AK87" i="9"/>
  <c r="AO87" i="9" s="1"/>
  <c r="AJ87" i="9"/>
  <c r="AI87" i="9"/>
  <c r="BB86" i="9"/>
  <c r="AK86" i="9"/>
  <c r="AO86" i="9" s="1"/>
  <c r="AJ86" i="9"/>
  <c r="AI86" i="9"/>
  <c r="BB85" i="9"/>
  <c r="AK85" i="9"/>
  <c r="AO85" i="9" s="1"/>
  <c r="AJ85" i="9"/>
  <c r="AI85" i="9"/>
  <c r="BB84" i="9"/>
  <c r="AK84" i="9"/>
  <c r="AO84" i="9" s="1"/>
  <c r="AJ84" i="9"/>
  <c r="AI84" i="9"/>
  <c r="BB83" i="9"/>
  <c r="AK83" i="9"/>
  <c r="AO83" i="9" s="1"/>
  <c r="AJ83" i="9"/>
  <c r="AI83" i="9"/>
  <c r="BB82" i="9"/>
  <c r="AK82" i="9"/>
  <c r="AO82" i="9" s="1"/>
  <c r="AJ82" i="9"/>
  <c r="AI82" i="9"/>
  <c r="BB81" i="9"/>
  <c r="AK81" i="9"/>
  <c r="AO81" i="9" s="1"/>
  <c r="AJ81" i="9"/>
  <c r="AI81" i="9"/>
  <c r="BB80" i="9"/>
  <c r="AK80" i="9"/>
  <c r="AO80" i="9" s="1"/>
  <c r="AJ80" i="9"/>
  <c r="AI80" i="9"/>
  <c r="BB79" i="9"/>
  <c r="AK79" i="9"/>
  <c r="AO79" i="9" s="1"/>
  <c r="AJ79" i="9"/>
  <c r="AI79" i="9"/>
  <c r="BB78" i="9"/>
  <c r="AK78" i="9"/>
  <c r="AO78" i="9" s="1"/>
  <c r="AJ78" i="9"/>
  <c r="AI78" i="9"/>
  <c r="BB77" i="9"/>
  <c r="AK77" i="9"/>
  <c r="AO77" i="9" s="1"/>
  <c r="AJ77" i="9"/>
  <c r="AI77" i="9"/>
  <c r="BB76" i="9"/>
  <c r="AK76" i="9"/>
  <c r="AO76" i="9" s="1"/>
  <c r="AJ76" i="9"/>
  <c r="AI76" i="9"/>
  <c r="BB75" i="9"/>
  <c r="AK75" i="9"/>
  <c r="AO75" i="9" s="1"/>
  <c r="AJ75" i="9"/>
  <c r="AI75" i="9"/>
  <c r="BB74" i="9"/>
  <c r="AK74" i="9"/>
  <c r="AO74" i="9" s="1"/>
  <c r="AJ74" i="9"/>
  <c r="AI74" i="9"/>
  <c r="BB73" i="9"/>
  <c r="AK73" i="9"/>
  <c r="AO73" i="9" s="1"/>
  <c r="AJ73" i="9"/>
  <c r="AI73" i="9"/>
  <c r="BB72" i="9"/>
  <c r="AK72" i="9"/>
  <c r="AO72" i="9" s="1"/>
  <c r="AJ72" i="9"/>
  <c r="AI72" i="9"/>
  <c r="BB71" i="9"/>
  <c r="AK71" i="9"/>
  <c r="AO71" i="9" s="1"/>
  <c r="AJ71" i="9"/>
  <c r="AI71" i="9"/>
  <c r="BB70" i="9"/>
  <c r="AK70" i="9"/>
  <c r="AO70" i="9" s="1"/>
  <c r="AJ70" i="9"/>
  <c r="AI70" i="9"/>
  <c r="BB69" i="9"/>
  <c r="AK69" i="9"/>
  <c r="AO69" i="9" s="1"/>
  <c r="AJ69" i="9"/>
  <c r="AI69" i="9"/>
  <c r="BB68" i="9"/>
  <c r="AK68" i="9"/>
  <c r="AO68" i="9" s="1"/>
  <c r="AJ68" i="9"/>
  <c r="AI68" i="9"/>
  <c r="BB67" i="9"/>
  <c r="AK67" i="9"/>
  <c r="AO67" i="9" s="1"/>
  <c r="AJ67" i="9"/>
  <c r="AI67" i="9"/>
  <c r="BB66" i="9"/>
  <c r="AK66" i="9"/>
  <c r="AO66" i="9" s="1"/>
  <c r="AJ66" i="9"/>
  <c r="AI66" i="9"/>
  <c r="BB65" i="9"/>
  <c r="AK65" i="9"/>
  <c r="AO65" i="9" s="1"/>
  <c r="AJ65" i="9"/>
  <c r="AI65" i="9"/>
  <c r="BB64" i="9"/>
  <c r="AK64" i="9"/>
  <c r="AO64" i="9" s="1"/>
  <c r="AJ64" i="9"/>
  <c r="AI64" i="9"/>
  <c r="BB63" i="9"/>
  <c r="AK63" i="9"/>
  <c r="AO63" i="9" s="1"/>
  <c r="AJ63" i="9"/>
  <c r="AI63" i="9"/>
  <c r="BB62" i="9"/>
  <c r="AK62" i="9"/>
  <c r="AO62" i="9" s="1"/>
  <c r="AJ62" i="9"/>
  <c r="AI62" i="9"/>
  <c r="BB61" i="9"/>
  <c r="AK61" i="9"/>
  <c r="AO61" i="9" s="1"/>
  <c r="AJ61" i="9"/>
  <c r="AI61" i="9"/>
  <c r="BB60" i="9"/>
  <c r="AK60" i="9"/>
  <c r="AO60" i="9" s="1"/>
  <c r="AJ60" i="9"/>
  <c r="AI60" i="9"/>
  <c r="BB59" i="9"/>
  <c r="AK59" i="9"/>
  <c r="AO59" i="9" s="1"/>
  <c r="AJ59" i="9"/>
  <c r="AI59" i="9"/>
  <c r="BB58" i="9"/>
  <c r="AK58" i="9"/>
  <c r="AO58" i="9" s="1"/>
  <c r="AJ58" i="9"/>
  <c r="AI58" i="9"/>
  <c r="BB57" i="9"/>
  <c r="AK57" i="9"/>
  <c r="AO57" i="9" s="1"/>
  <c r="AJ57" i="9"/>
  <c r="AI57" i="9"/>
  <c r="BB56" i="9"/>
  <c r="AK56" i="9"/>
  <c r="AO56" i="9" s="1"/>
  <c r="AJ56" i="9"/>
  <c r="AI56" i="9"/>
  <c r="BB55" i="9"/>
  <c r="AK55" i="9"/>
  <c r="AO55" i="9" s="1"/>
  <c r="AJ55" i="9"/>
  <c r="AI55" i="9"/>
  <c r="BB54" i="9"/>
  <c r="AK54" i="9"/>
  <c r="AO54" i="9" s="1"/>
  <c r="AJ54" i="9"/>
  <c r="AI54" i="9"/>
  <c r="BB53" i="9"/>
  <c r="AK53" i="9"/>
  <c r="AO53" i="9" s="1"/>
  <c r="AJ53" i="9"/>
  <c r="AI53" i="9"/>
  <c r="BB52" i="9"/>
  <c r="AK52" i="9"/>
  <c r="AO52" i="9" s="1"/>
  <c r="AJ52" i="9"/>
  <c r="AI52" i="9"/>
  <c r="BB51" i="9"/>
  <c r="AK51" i="9"/>
  <c r="AO51" i="9" s="1"/>
  <c r="AJ51" i="9"/>
  <c r="AI51" i="9"/>
  <c r="BB50" i="9"/>
  <c r="AK50" i="9"/>
  <c r="AO50" i="9" s="1"/>
  <c r="AJ50" i="9"/>
  <c r="AI50" i="9"/>
  <c r="BB49" i="9"/>
  <c r="AK49" i="9"/>
  <c r="AO49" i="9" s="1"/>
  <c r="AJ49" i="9"/>
  <c r="AI49" i="9"/>
  <c r="BB48" i="9"/>
  <c r="AK48" i="9"/>
  <c r="AO48" i="9" s="1"/>
  <c r="AJ48" i="9"/>
  <c r="AI48" i="9"/>
  <c r="BB47" i="9"/>
  <c r="AK47" i="9"/>
  <c r="AO47" i="9" s="1"/>
  <c r="AJ47" i="9"/>
  <c r="AI47" i="9"/>
  <c r="BB46" i="9"/>
  <c r="AK46" i="9"/>
  <c r="AO46" i="9" s="1"/>
  <c r="AJ46" i="9"/>
  <c r="AI46" i="9"/>
  <c r="BB45" i="9"/>
  <c r="AK45" i="9"/>
  <c r="AO45" i="9" s="1"/>
  <c r="AJ45" i="9"/>
  <c r="AI45" i="9"/>
  <c r="BB44" i="9"/>
  <c r="AK44" i="9"/>
  <c r="AO44" i="9" s="1"/>
  <c r="AJ44" i="9"/>
  <c r="AI44" i="9"/>
  <c r="BB43" i="9"/>
  <c r="AK43" i="9"/>
  <c r="AO43" i="9" s="1"/>
  <c r="AJ43" i="9"/>
  <c r="AI43" i="9"/>
  <c r="BB42" i="9"/>
  <c r="AK42" i="9"/>
  <c r="AO42" i="9" s="1"/>
  <c r="AJ42" i="9"/>
  <c r="AI42" i="9"/>
  <c r="BB41" i="9"/>
  <c r="AK41" i="9"/>
  <c r="AO41" i="9" s="1"/>
  <c r="AJ41" i="9"/>
  <c r="AI41" i="9"/>
  <c r="BB40" i="9"/>
  <c r="AK40" i="9"/>
  <c r="AO40" i="9" s="1"/>
  <c r="AJ40" i="9"/>
  <c r="AI40" i="9"/>
  <c r="BB39" i="9"/>
  <c r="AK39" i="9"/>
  <c r="AO39" i="9" s="1"/>
  <c r="AJ39" i="9"/>
  <c r="AI39" i="9"/>
  <c r="BB38" i="9"/>
  <c r="AK38" i="9"/>
  <c r="AO38" i="9" s="1"/>
  <c r="AJ38" i="9"/>
  <c r="AI38" i="9"/>
  <c r="BB37" i="9"/>
  <c r="AK37" i="9"/>
  <c r="AO37" i="9" s="1"/>
  <c r="AJ37" i="9"/>
  <c r="AI37" i="9"/>
  <c r="BB36" i="9"/>
  <c r="AK36" i="9"/>
  <c r="AO36" i="9" s="1"/>
  <c r="AJ36" i="9"/>
  <c r="AI36" i="9"/>
  <c r="BB35" i="9"/>
  <c r="AK35" i="9"/>
  <c r="AO35" i="9" s="1"/>
  <c r="AJ35" i="9"/>
  <c r="AI35" i="9"/>
  <c r="BB34" i="9"/>
  <c r="AK34" i="9"/>
  <c r="AO34" i="9" s="1"/>
  <c r="AJ34" i="9"/>
  <c r="AI34" i="9"/>
  <c r="BB33" i="9"/>
  <c r="AK33" i="9"/>
  <c r="AO33" i="9" s="1"/>
  <c r="AJ33" i="9"/>
  <c r="AI33" i="9"/>
  <c r="BB32" i="9"/>
  <c r="AK32" i="9"/>
  <c r="AO32" i="9" s="1"/>
  <c r="AJ32" i="9"/>
  <c r="AI32" i="9"/>
  <c r="BB31" i="9"/>
  <c r="AK31" i="9"/>
  <c r="AO31" i="9" s="1"/>
  <c r="AJ31" i="9"/>
  <c r="AI31" i="9"/>
  <c r="BB30" i="9"/>
  <c r="AK30" i="9"/>
  <c r="AO30" i="9" s="1"/>
  <c r="AJ30" i="9"/>
  <c r="AI30" i="9"/>
  <c r="BB29" i="9"/>
  <c r="AK29" i="9"/>
  <c r="AO29" i="9" s="1"/>
  <c r="AJ29" i="9"/>
  <c r="AI29" i="9"/>
  <c r="BB28" i="9"/>
  <c r="AK28" i="9"/>
  <c r="AO28" i="9" s="1"/>
  <c r="AJ28" i="9"/>
  <c r="AI28" i="9"/>
  <c r="BB27" i="9"/>
  <c r="AK27" i="9"/>
  <c r="AO27" i="9" s="1"/>
  <c r="AJ27" i="9"/>
  <c r="AI27" i="9"/>
  <c r="BB26" i="9"/>
  <c r="AK26" i="9"/>
  <c r="AO26" i="9" s="1"/>
  <c r="AJ26" i="9"/>
  <c r="AI26" i="9"/>
  <c r="BB25" i="9"/>
  <c r="AK25" i="9"/>
  <c r="AO25" i="9" s="1"/>
  <c r="AJ25" i="9"/>
  <c r="AI25" i="9"/>
  <c r="BB24" i="9"/>
  <c r="AK24" i="9"/>
  <c r="AO24" i="9" s="1"/>
  <c r="AJ24" i="9"/>
  <c r="AI24" i="9"/>
  <c r="BB23" i="9"/>
  <c r="AK23" i="9"/>
  <c r="AO23" i="9" s="1"/>
  <c r="AJ23" i="9"/>
  <c r="AI23" i="9"/>
  <c r="BB22" i="9"/>
  <c r="AK22" i="9"/>
  <c r="AO22" i="9" s="1"/>
  <c r="AJ22" i="9"/>
  <c r="AI22" i="9"/>
  <c r="BB21" i="9"/>
  <c r="AK21" i="9"/>
  <c r="AO21" i="9" s="1"/>
  <c r="AJ21" i="9"/>
  <c r="AI21" i="9"/>
  <c r="BB20" i="9"/>
  <c r="AK20" i="9"/>
  <c r="AO20" i="9" s="1"/>
  <c r="AJ20" i="9"/>
  <c r="AI20" i="9"/>
  <c r="BB19" i="9"/>
  <c r="AK19" i="9"/>
  <c r="AO19" i="9" s="1"/>
  <c r="AJ19" i="9"/>
  <c r="AI19" i="9"/>
  <c r="BB18" i="9"/>
  <c r="AK18" i="9"/>
  <c r="AO18" i="9" s="1"/>
  <c r="AJ18" i="9"/>
  <c r="AI18" i="9"/>
  <c r="BB17" i="9"/>
  <c r="AK17" i="9"/>
  <c r="AO17" i="9" s="1"/>
  <c r="AJ17" i="9"/>
  <c r="AI17" i="9"/>
  <c r="BB16" i="9"/>
  <c r="AK16" i="9"/>
  <c r="AO16" i="9" s="1"/>
  <c r="AJ16" i="9"/>
  <c r="AI16" i="9"/>
  <c r="BB15" i="9"/>
  <c r="AK15" i="9"/>
  <c r="AO15" i="9" s="1"/>
  <c r="AJ15" i="9"/>
  <c r="AI15" i="9"/>
  <c r="AK14" i="9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R61" i="5"/>
  <c r="H61" i="5"/>
  <c r="G61" i="5" s="1"/>
  <c r="E61" i="5"/>
  <c r="R60" i="5"/>
  <c r="H60" i="5"/>
  <c r="G60" i="5" s="1"/>
  <c r="E60" i="5"/>
  <c r="R59" i="5"/>
  <c r="H59" i="5"/>
  <c r="G59" i="5" s="1"/>
  <c r="K59" i="5" s="1"/>
  <c r="E59" i="5"/>
  <c r="R58" i="5"/>
  <c r="H58" i="5"/>
  <c r="G58" i="5" s="1"/>
  <c r="I58" i="5" s="1"/>
  <c r="E58" i="5"/>
  <c r="R57" i="5"/>
  <c r="H57" i="5"/>
  <c r="G57" i="5" s="1"/>
  <c r="K57" i="5" s="1"/>
  <c r="E57" i="5"/>
  <c r="R56" i="5"/>
  <c r="H56" i="5"/>
  <c r="G56" i="5" s="1"/>
  <c r="E56" i="5"/>
  <c r="R55" i="5"/>
  <c r="H55" i="5"/>
  <c r="G55" i="5" s="1"/>
  <c r="E55" i="5"/>
  <c r="R54" i="5"/>
  <c r="H54" i="5"/>
  <c r="G54" i="5" s="1"/>
  <c r="E54" i="5"/>
  <c r="R53" i="5"/>
  <c r="H53" i="5"/>
  <c r="G53" i="5" s="1"/>
  <c r="E53" i="5"/>
  <c r="R52" i="5"/>
  <c r="H52" i="5"/>
  <c r="G52" i="5" s="1"/>
  <c r="E52" i="5"/>
  <c r="R51" i="5"/>
  <c r="H51" i="5"/>
  <c r="G51" i="5" s="1"/>
  <c r="K51" i="5" s="1"/>
  <c r="E51" i="5"/>
  <c r="R50" i="5"/>
  <c r="H50" i="5"/>
  <c r="G50" i="5" s="1"/>
  <c r="E50" i="5"/>
  <c r="R49" i="5"/>
  <c r="H49" i="5"/>
  <c r="G49" i="5" s="1"/>
  <c r="E49" i="5"/>
  <c r="R48" i="5"/>
  <c r="H48" i="5"/>
  <c r="G48" i="5" s="1"/>
  <c r="E48" i="5"/>
  <c r="R47" i="5"/>
  <c r="H47" i="5"/>
  <c r="G47" i="5" s="1"/>
  <c r="E47" i="5"/>
  <c r="R46" i="5"/>
  <c r="H46" i="5"/>
  <c r="G46" i="5" s="1"/>
  <c r="E46" i="5"/>
  <c r="R45" i="5"/>
  <c r="H45" i="5"/>
  <c r="G45" i="5" s="1"/>
  <c r="E45" i="5"/>
  <c r="R44" i="5"/>
  <c r="H44" i="5"/>
  <c r="G44" i="5" s="1"/>
  <c r="E44" i="5"/>
  <c r="R43" i="5"/>
  <c r="H43" i="5"/>
  <c r="G43" i="5" s="1"/>
  <c r="E43" i="5"/>
  <c r="R42" i="5"/>
  <c r="H42" i="5"/>
  <c r="G42" i="5" s="1"/>
  <c r="E42" i="5"/>
  <c r="R41" i="5"/>
  <c r="H41" i="5"/>
  <c r="G41" i="5" s="1"/>
  <c r="K41" i="5" s="1"/>
  <c r="E41" i="5"/>
  <c r="R40" i="5"/>
  <c r="H40" i="5"/>
  <c r="G40" i="5" s="1"/>
  <c r="E40" i="5"/>
  <c r="R39" i="5"/>
  <c r="H39" i="5"/>
  <c r="G39" i="5" s="1"/>
  <c r="E39" i="5"/>
  <c r="R38" i="5"/>
  <c r="H38" i="5"/>
  <c r="G38" i="5" s="1"/>
  <c r="E38" i="5"/>
  <c r="R37" i="5"/>
  <c r="H37" i="5"/>
  <c r="G37" i="5" s="1"/>
  <c r="E37" i="5"/>
  <c r="R36" i="5"/>
  <c r="H36" i="5"/>
  <c r="G36" i="5" s="1"/>
  <c r="E36" i="5"/>
  <c r="R35" i="5"/>
  <c r="H35" i="5"/>
  <c r="G35" i="5" s="1"/>
  <c r="E35" i="5"/>
  <c r="R34" i="5"/>
  <c r="H34" i="5"/>
  <c r="G34" i="5" s="1"/>
  <c r="E34" i="5"/>
  <c r="R33" i="5"/>
  <c r="H33" i="5"/>
  <c r="G33" i="5" s="1"/>
  <c r="K33" i="5" s="1"/>
  <c r="E33" i="5"/>
  <c r="R32" i="5"/>
  <c r="H32" i="5"/>
  <c r="G32" i="5" s="1"/>
  <c r="E32" i="5"/>
  <c r="R31" i="5"/>
  <c r="H31" i="5"/>
  <c r="G31" i="5" s="1"/>
  <c r="E31" i="5"/>
  <c r="R30" i="5"/>
  <c r="H30" i="5"/>
  <c r="G30" i="5" s="1"/>
  <c r="E30" i="5"/>
  <c r="R29" i="5"/>
  <c r="H29" i="5"/>
  <c r="G29" i="5" s="1"/>
  <c r="E29" i="5"/>
  <c r="R28" i="5"/>
  <c r="H28" i="5"/>
  <c r="G28" i="5" s="1"/>
  <c r="E28" i="5"/>
  <c r="R27" i="5"/>
  <c r="H27" i="5"/>
  <c r="G27" i="5" s="1"/>
  <c r="E27" i="5"/>
  <c r="R26" i="5"/>
  <c r="E26" i="5"/>
  <c r="R25" i="5"/>
  <c r="E25" i="5"/>
  <c r="R24" i="5"/>
  <c r="E24" i="5"/>
  <c r="R23" i="5"/>
  <c r="E23" i="5"/>
  <c r="R22" i="5"/>
  <c r="E22" i="5"/>
  <c r="R21" i="5"/>
  <c r="E21" i="5"/>
  <c r="R20" i="5"/>
  <c r="E20" i="5"/>
  <c r="R19" i="5"/>
  <c r="E19" i="5"/>
  <c r="R18" i="5"/>
  <c r="E18" i="5"/>
  <c r="R17" i="5"/>
  <c r="E17" i="5"/>
  <c r="R16" i="5"/>
  <c r="E16" i="5"/>
  <c r="R15" i="5"/>
  <c r="E15" i="5"/>
  <c r="R14" i="5"/>
  <c r="E14" i="5"/>
  <c r="R13" i="5"/>
  <c r="E13" i="5"/>
  <c r="R12" i="5"/>
  <c r="E12" i="5"/>
  <c r="J56" i="4"/>
  <c r="N52" i="4" s="1"/>
  <c r="S51" i="4"/>
  <c r="S47" i="4"/>
  <c r="Q24" i="4"/>
  <c r="Q18" i="4"/>
  <c r="C51" i="3"/>
  <c r="C50" i="3"/>
  <c r="C49" i="3"/>
  <c r="C40" i="3"/>
  <c r="C39" i="3"/>
  <c r="L38" i="3"/>
  <c r="C38" i="3"/>
  <c r="C37" i="3"/>
  <c r="C36" i="3"/>
  <c r="C34" i="3"/>
  <c r="H32" i="3"/>
  <c r="C32" i="3" s="1"/>
  <c r="C31" i="3"/>
  <c r="H30" i="3"/>
  <c r="C30" i="3" s="1"/>
  <c r="C29" i="3"/>
  <c r="H28" i="3"/>
  <c r="E28" i="3" s="1"/>
  <c r="H25" i="3"/>
  <c r="C25" i="3" s="1"/>
  <c r="H23" i="3"/>
  <c r="C24" i="3" s="1"/>
  <c r="E23" i="3"/>
  <c r="C22" i="3"/>
  <c r="E21" i="3"/>
  <c r="C21" i="3"/>
  <c r="B21" i="3" s="1"/>
  <c r="B54" i="3"/>
  <c r="Z12" i="9" s="1"/>
  <c r="G57" i="2"/>
  <c r="N36" i="2"/>
  <c r="V35" i="2"/>
  <c r="V33" i="2" a="1"/>
  <c r="V33" i="2" s="1"/>
  <c r="H29" i="2"/>
  <c r="H28" i="2"/>
  <c r="H27" i="2"/>
  <c r="H26" i="2"/>
  <c r="N19" i="2"/>
  <c r="Z10" i="2" s="1"/>
  <c r="AB18" i="2"/>
  <c r="AB16" i="2"/>
  <c r="AB19" i="2" s="1"/>
  <c r="N16" i="2"/>
  <c r="AE11" i="2" s="1"/>
  <c r="U15" i="2"/>
  <c r="G12" i="2"/>
  <c r="G11" i="2"/>
  <c r="F11" i="2"/>
  <c r="F13" i="2" s="1"/>
  <c r="AB9" i="2"/>
  <c r="AB10" i="2" s="1"/>
  <c r="AB11" i="2" s="1"/>
  <c r="N10" i="2" s="1"/>
  <c r="N12" i="2" s="1"/>
  <c r="AE8" i="2"/>
  <c r="AB8" i="2"/>
  <c r="AO14" i="9" l="1"/>
  <c r="AK11" i="9"/>
  <c r="D29" i="3"/>
  <c r="D22" i="3"/>
  <c r="BD35" i="16"/>
  <c r="BB37" i="16"/>
  <c r="BC36" i="16"/>
  <c r="BD36" i="16" s="1"/>
  <c r="Y35" i="16"/>
  <c r="AS35" i="16"/>
  <c r="AQ37" i="16"/>
  <c r="AR36" i="16"/>
  <c r="AS36" i="16" s="1"/>
  <c r="AN35" i="16"/>
  <c r="AM36" i="16"/>
  <c r="AN36" i="16" s="1"/>
  <c r="AL37" i="16"/>
  <c r="W37" i="16"/>
  <c r="X36" i="16"/>
  <c r="Y36" i="16" s="1"/>
  <c r="AG37" i="16"/>
  <c r="AH36" i="16"/>
  <c r="AI36" i="16" s="1"/>
  <c r="AC36" i="16"/>
  <c r="AD36" i="16" s="1"/>
  <c r="AB37" i="16"/>
  <c r="AD35" i="16"/>
  <c r="AI35" i="16"/>
  <c r="AV38" i="16"/>
  <c r="AW37" i="16"/>
  <c r="AX37" i="16" s="1"/>
  <c r="E25" i="3"/>
  <c r="C23" i="3"/>
  <c r="B23" i="3" s="1"/>
  <c r="E30" i="3"/>
  <c r="E32" i="3"/>
  <c r="C28" i="3"/>
  <c r="B28" i="3" s="1"/>
  <c r="E39" i="3"/>
  <c r="E40" i="3"/>
  <c r="AV18" i="9"/>
  <c r="AV321" i="9"/>
  <c r="AV324" i="9"/>
  <c r="AV327" i="9"/>
  <c r="AV333" i="9"/>
  <c r="AV339" i="9"/>
  <c r="AV345" i="9"/>
  <c r="AV351" i="9"/>
  <c r="AV354" i="9"/>
  <c r="AV357" i="9"/>
  <c r="AV363" i="9"/>
  <c r="AV366" i="9"/>
  <c r="AV369" i="9"/>
  <c r="AV375" i="9"/>
  <c r="AV378" i="9"/>
  <c r="AV381" i="9"/>
  <c r="AV387" i="9"/>
  <c r="AV372" i="9"/>
  <c r="AV360" i="9"/>
  <c r="AV348" i="9"/>
  <c r="AV342" i="9"/>
  <c r="AV336" i="9"/>
  <c r="AV330" i="9"/>
  <c r="AY37" i="16"/>
  <c r="AZ37" i="16" s="1"/>
  <c r="BA37" i="16" s="1"/>
  <c r="AK37" i="16"/>
  <c r="AP37" i="16"/>
  <c r="AF37" i="16"/>
  <c r="V37" i="16"/>
  <c r="AA37" i="16"/>
  <c r="T38" i="16"/>
  <c r="AU37" i="16"/>
  <c r="AV819" i="9"/>
  <c r="AV822" i="9"/>
  <c r="AV825" i="9"/>
  <c r="AV828" i="9"/>
  <c r="AV831" i="9"/>
  <c r="AV834" i="9"/>
  <c r="AV21" i="9"/>
  <c r="AV24" i="9"/>
  <c r="AV27" i="9"/>
  <c r="AV30" i="9"/>
  <c r="AV33" i="9"/>
  <c r="AV36" i="9"/>
  <c r="AV39" i="9"/>
  <c r="AV42" i="9"/>
  <c r="AV45" i="9"/>
  <c r="AV48" i="9"/>
  <c r="AV51" i="9"/>
  <c r="AV54" i="9"/>
  <c r="AV57" i="9"/>
  <c r="AV60" i="9"/>
  <c r="AV63" i="9"/>
  <c r="AV69" i="9"/>
  <c r="AV72" i="9"/>
  <c r="AV75" i="9"/>
  <c r="AV78" i="9"/>
  <c r="AV81" i="9"/>
  <c r="AV84" i="9"/>
  <c r="AV87" i="9"/>
  <c r="AV90" i="9"/>
  <c r="AV93" i="9"/>
  <c r="AV96" i="9"/>
  <c r="AV99" i="9"/>
  <c r="AV102" i="9"/>
  <c r="AV105" i="9"/>
  <c r="AV108" i="9"/>
  <c r="AV111" i="9"/>
  <c r="AV114" i="9"/>
  <c r="AV117" i="9"/>
  <c r="AV120" i="9"/>
  <c r="AV123" i="9"/>
  <c r="AV126" i="9"/>
  <c r="AV129" i="9"/>
  <c r="AV132" i="9"/>
  <c r="AV135" i="9"/>
  <c r="AV138" i="9"/>
  <c r="AV141" i="9"/>
  <c r="AV144" i="9"/>
  <c r="AV147" i="9"/>
  <c r="AV150" i="9"/>
  <c r="AV153" i="9"/>
  <c r="AV156" i="9"/>
  <c r="AV159" i="9"/>
  <c r="AV162" i="9"/>
  <c r="AV165" i="9"/>
  <c r="AV168" i="9"/>
  <c r="AV171" i="9"/>
  <c r="AV174" i="9"/>
  <c r="AV177" i="9"/>
  <c r="AV180" i="9"/>
  <c r="AV183" i="9"/>
  <c r="AV186" i="9"/>
  <c r="AV189" i="9"/>
  <c r="AV192" i="9"/>
  <c r="AV195" i="9"/>
  <c r="AV198" i="9"/>
  <c r="AV201" i="9"/>
  <c r="AV204" i="9"/>
  <c r="AV207" i="9"/>
  <c r="AV210" i="9"/>
  <c r="AV213" i="9"/>
  <c r="AV216" i="9"/>
  <c r="AV219" i="9"/>
  <c r="AV222" i="9"/>
  <c r="AV225" i="9"/>
  <c r="AV228" i="9"/>
  <c r="AV231" i="9"/>
  <c r="AV234" i="9"/>
  <c r="AV237" i="9"/>
  <c r="AV240" i="9"/>
  <c r="AV243" i="9"/>
  <c r="AV249" i="9"/>
  <c r="AV252" i="9"/>
  <c r="AV255" i="9"/>
  <c r="AV258" i="9"/>
  <c r="AV261" i="9"/>
  <c r="AV264" i="9"/>
  <c r="AV267" i="9"/>
  <c r="AV270" i="9"/>
  <c r="AV273" i="9"/>
  <c r="AV276" i="9"/>
  <c r="AV279" i="9"/>
  <c r="AV282" i="9"/>
  <c r="AV285" i="9"/>
  <c r="AV288" i="9"/>
  <c r="AV291" i="9"/>
  <c r="AV294" i="9"/>
  <c r="AV297" i="9"/>
  <c r="AV300" i="9"/>
  <c r="AV303" i="9"/>
  <c r="AV306" i="9"/>
  <c r="AV309" i="9"/>
  <c r="AV312" i="9"/>
  <c r="AV315" i="9"/>
  <c r="AV318" i="9"/>
  <c r="AV807" i="9"/>
  <c r="AV813" i="9"/>
  <c r="AV816" i="9"/>
  <c r="AV837" i="9"/>
  <c r="AV840" i="9"/>
  <c r="AV843" i="9"/>
  <c r="AV384" i="9"/>
  <c r="AV390" i="9"/>
  <c r="AV393" i="9"/>
  <c r="AV396" i="9"/>
  <c r="AV399" i="9"/>
  <c r="AV402" i="9"/>
  <c r="AV405" i="9"/>
  <c r="AV408" i="9"/>
  <c r="AV411" i="9"/>
  <c r="AV414" i="9"/>
  <c r="AV417" i="9"/>
  <c r="AV420" i="9"/>
  <c r="AV423" i="9"/>
  <c r="AV426" i="9"/>
  <c r="AV429" i="9"/>
  <c r="AV432" i="9"/>
  <c r="AV435" i="9"/>
  <c r="AV438" i="9"/>
  <c r="AV441" i="9"/>
  <c r="AV444" i="9"/>
  <c r="AV447" i="9"/>
  <c r="AV450" i="9"/>
  <c r="AV453" i="9"/>
  <c r="AV456" i="9"/>
  <c r="AV459" i="9"/>
  <c r="AV462" i="9"/>
  <c r="AV465" i="9"/>
  <c r="AV468" i="9"/>
  <c r="AV471" i="9"/>
  <c r="AV474" i="9"/>
  <c r="AV477" i="9"/>
  <c r="AV480" i="9"/>
  <c r="AV483" i="9"/>
  <c r="AV486" i="9"/>
  <c r="AV489" i="9"/>
  <c r="AV492" i="9"/>
  <c r="AV495" i="9"/>
  <c r="AV498" i="9"/>
  <c r="AV501" i="9"/>
  <c r="AV504" i="9"/>
  <c r="AV507" i="9"/>
  <c r="AV510" i="9"/>
  <c r="AV513" i="9"/>
  <c r="AV516" i="9"/>
  <c r="AV519" i="9"/>
  <c r="AV522" i="9"/>
  <c r="AV525" i="9"/>
  <c r="AV528" i="9"/>
  <c r="AV531" i="9"/>
  <c r="AV534" i="9"/>
  <c r="AV537" i="9"/>
  <c r="AV540" i="9"/>
  <c r="AV543" i="9"/>
  <c r="AV546" i="9"/>
  <c r="AV549" i="9"/>
  <c r="AV552" i="9"/>
  <c r="AV555" i="9"/>
  <c r="AV558" i="9"/>
  <c r="AV561" i="9"/>
  <c r="AV564" i="9"/>
  <c r="AV567" i="9"/>
  <c r="AV570" i="9"/>
  <c r="AV573" i="9"/>
  <c r="AV576" i="9"/>
  <c r="AV579" i="9"/>
  <c r="AV582" i="9"/>
  <c r="AV585" i="9"/>
  <c r="AV588" i="9"/>
  <c r="AV591" i="9"/>
  <c r="AV594" i="9"/>
  <c r="AV597" i="9"/>
  <c r="AV600" i="9"/>
  <c r="AV603" i="9"/>
  <c r="AV606" i="9"/>
  <c r="AV609" i="9"/>
  <c r="AV612" i="9"/>
  <c r="AV615" i="9"/>
  <c r="AV618" i="9"/>
  <c r="AV621" i="9"/>
  <c r="AV624" i="9"/>
  <c r="AV627" i="9"/>
  <c r="AV630" i="9"/>
  <c r="AV633" i="9"/>
  <c r="AV636" i="9"/>
  <c r="AV639" i="9"/>
  <c r="AV642" i="9"/>
  <c r="AV645" i="9"/>
  <c r="AV648" i="9"/>
  <c r="AV651" i="9"/>
  <c r="AV654" i="9"/>
  <c r="AV657" i="9"/>
  <c r="AV660" i="9"/>
  <c r="AV663" i="9"/>
  <c r="AV666" i="9"/>
  <c r="AV669" i="9"/>
  <c r="AV672" i="9"/>
  <c r="AV675" i="9"/>
  <c r="AV678" i="9"/>
  <c r="AV681" i="9"/>
  <c r="AV684" i="9"/>
  <c r="AV687" i="9"/>
  <c r="AV690" i="9"/>
  <c r="AV693" i="9"/>
  <c r="AV696" i="9"/>
  <c r="AV699" i="9"/>
  <c r="AV702" i="9"/>
  <c r="AV705" i="9"/>
  <c r="AV708" i="9"/>
  <c r="AV711" i="9"/>
  <c r="AV714" i="9"/>
  <c r="AV717" i="9"/>
  <c r="AV720" i="9"/>
  <c r="AV723" i="9"/>
  <c r="AV726" i="9"/>
  <c r="AV729" i="9"/>
  <c r="AV732" i="9"/>
  <c r="AV735" i="9"/>
  <c r="AV738" i="9"/>
  <c r="AV741" i="9"/>
  <c r="AV744" i="9"/>
  <c r="AV747" i="9"/>
  <c r="AV750" i="9"/>
  <c r="AV753" i="9"/>
  <c r="AV756" i="9"/>
  <c r="AV759" i="9"/>
  <c r="AV762" i="9"/>
  <c r="AV765" i="9"/>
  <c r="AV768" i="9"/>
  <c r="AV771" i="9"/>
  <c r="AV774" i="9"/>
  <c r="AV777" i="9"/>
  <c r="AV780" i="9"/>
  <c r="AV783" i="9"/>
  <c r="AV786" i="9"/>
  <c r="AV789" i="9"/>
  <c r="AV792" i="9"/>
  <c r="AV795" i="9"/>
  <c r="AV798" i="9"/>
  <c r="AV801" i="9"/>
  <c r="AV804" i="9"/>
  <c r="AV846" i="9"/>
  <c r="AV16" i="9"/>
  <c r="AV22" i="9"/>
  <c r="AV25" i="9"/>
  <c r="AV28" i="9"/>
  <c r="AV31" i="9"/>
  <c r="AV34" i="9"/>
  <c r="AV37" i="9"/>
  <c r="AV40" i="9"/>
  <c r="AV43" i="9"/>
  <c r="AV49" i="9"/>
  <c r="AV52" i="9"/>
  <c r="AV55" i="9"/>
  <c r="AV58" i="9"/>
  <c r="AV61" i="9"/>
  <c r="AV64" i="9"/>
  <c r="AV67" i="9"/>
  <c r="AV70" i="9"/>
  <c r="AV73" i="9"/>
  <c r="AV76" i="9"/>
  <c r="AV79" i="9"/>
  <c r="AV82" i="9"/>
  <c r="AV85" i="9"/>
  <c r="AV88" i="9"/>
  <c r="AV91" i="9"/>
  <c r="AV94" i="9"/>
  <c r="AV97" i="9"/>
  <c r="AV100" i="9"/>
  <c r="AV103" i="9"/>
  <c r="AV106" i="9"/>
  <c r="AV109" i="9"/>
  <c r="AV112" i="9"/>
  <c r="AV115" i="9"/>
  <c r="AV118" i="9"/>
  <c r="AV121" i="9"/>
  <c r="AV127" i="9"/>
  <c r="AV130" i="9"/>
  <c r="AV133" i="9"/>
  <c r="AV136" i="9"/>
  <c r="AV139" i="9"/>
  <c r="AV142" i="9"/>
  <c r="AV145" i="9"/>
  <c r="AV148" i="9"/>
  <c r="AV151" i="9"/>
  <c r="AV154" i="9"/>
  <c r="AV157" i="9"/>
  <c r="AV160" i="9"/>
  <c r="AV163" i="9"/>
  <c r="AV169" i="9"/>
  <c r="AV172" i="9"/>
  <c r="AV175" i="9"/>
  <c r="AV178" i="9"/>
  <c r="AV187" i="9"/>
  <c r="AV190" i="9"/>
  <c r="AV193" i="9"/>
  <c r="AV196" i="9"/>
  <c r="AV199" i="9"/>
  <c r="AV202" i="9"/>
  <c r="AV205" i="9"/>
  <c r="AV208" i="9"/>
  <c r="AV211" i="9"/>
  <c r="AV214" i="9"/>
  <c r="AV217" i="9"/>
  <c r="AV220" i="9"/>
  <c r="AV223" i="9"/>
  <c r="AV226" i="9"/>
  <c r="AV232" i="9"/>
  <c r="AV238" i="9"/>
  <c r="AV241" i="9"/>
  <c r="AV244" i="9"/>
  <c r="AV247" i="9"/>
  <c r="AV250" i="9"/>
  <c r="AV256" i="9"/>
  <c r="AV259" i="9"/>
  <c r="AV262" i="9"/>
  <c r="AV265" i="9"/>
  <c r="AV268" i="9"/>
  <c r="AV271" i="9"/>
  <c r="AV274" i="9"/>
  <c r="AV277" i="9"/>
  <c r="AV280" i="9"/>
  <c r="AV283" i="9"/>
  <c r="AV286" i="9"/>
  <c r="AV289" i="9"/>
  <c r="AV292" i="9"/>
  <c r="AV295" i="9"/>
  <c r="AV298" i="9"/>
  <c r="AV304" i="9"/>
  <c r="AV307" i="9"/>
  <c r="AV310" i="9"/>
  <c r="AV313" i="9"/>
  <c r="AV316" i="9"/>
  <c r="AV319" i="9"/>
  <c r="AV322" i="9"/>
  <c r="AV325" i="9"/>
  <c r="AV328" i="9"/>
  <c r="AV331" i="9"/>
  <c r="AV334" i="9"/>
  <c r="AV337" i="9"/>
  <c r="AV340" i="9"/>
  <c r="AV343" i="9"/>
  <c r="AV346" i="9"/>
  <c r="AV349" i="9"/>
  <c r="AV352" i="9"/>
  <c r="AV355" i="9"/>
  <c r="AV358" i="9"/>
  <c r="AV364" i="9"/>
  <c r="AV367" i="9"/>
  <c r="AV370" i="9"/>
  <c r="AV376" i="9"/>
  <c r="AV379" i="9"/>
  <c r="AV382" i="9"/>
  <c r="AV385" i="9"/>
  <c r="AV391" i="9"/>
  <c r="AV397" i="9"/>
  <c r="AV400" i="9"/>
  <c r="AV403" i="9"/>
  <c r="AV406" i="9"/>
  <c r="AV409" i="9"/>
  <c r="AV412" i="9"/>
  <c r="AV418" i="9"/>
  <c r="AV421" i="9"/>
  <c r="AV424" i="9"/>
  <c r="AV427" i="9"/>
  <c r="AV430" i="9"/>
  <c r="AV433" i="9"/>
  <c r="AV436" i="9"/>
  <c r="AV439" i="9"/>
  <c r="AV442" i="9"/>
  <c r="AV448" i="9"/>
  <c r="AV451" i="9"/>
  <c r="AV454" i="9"/>
  <c r="AV457" i="9"/>
  <c r="AV460" i="9"/>
  <c r="AV463" i="9"/>
  <c r="AV466" i="9"/>
  <c r="AV469" i="9"/>
  <c r="AV472" i="9"/>
  <c r="AV478" i="9"/>
  <c r="AV481" i="9"/>
  <c r="AV484" i="9"/>
  <c r="AV487" i="9"/>
  <c r="AV490" i="9"/>
  <c r="AV493" i="9"/>
  <c r="AV496" i="9"/>
  <c r="AV499" i="9"/>
  <c r="AV502" i="9"/>
  <c r="AV505" i="9"/>
  <c r="AV508" i="9"/>
  <c r="AV511" i="9"/>
  <c r="AV514" i="9"/>
  <c r="AV520" i="9"/>
  <c r="AV523" i="9"/>
  <c r="AV526" i="9"/>
  <c r="AV529" i="9"/>
  <c r="AV532" i="9"/>
  <c r="AV849" i="9"/>
  <c r="AV852" i="9"/>
  <c r="AV855" i="9"/>
  <c r="AV858" i="9"/>
  <c r="AV861" i="9"/>
  <c r="AV517" i="9"/>
  <c r="AV535" i="9"/>
  <c r="AV541" i="9"/>
  <c r="AV544" i="9"/>
  <c r="AV547" i="9"/>
  <c r="AV550" i="9"/>
  <c r="AV553" i="9"/>
  <c r="AV556" i="9"/>
  <c r="AV559" i="9"/>
  <c r="AV562" i="9"/>
  <c r="AV565" i="9"/>
  <c r="AV568" i="9"/>
  <c r="AV574" i="9"/>
  <c r="AV577" i="9"/>
  <c r="AV580" i="9"/>
  <c r="AV826" i="9"/>
  <c r="AV832" i="9"/>
  <c r="AV835" i="9"/>
  <c r="AV838" i="9"/>
  <c r="AV841" i="9"/>
  <c r="AV847" i="9"/>
  <c r="AV850" i="9"/>
  <c r="AV856" i="9"/>
  <c r="AV859" i="9"/>
  <c r="AV865" i="9"/>
  <c r="AV868" i="9"/>
  <c r="AV871" i="9"/>
  <c r="AV877" i="9"/>
  <c r="AV880" i="9"/>
  <c r="AV886" i="9"/>
  <c r="AV889" i="9"/>
  <c r="AV892" i="9"/>
  <c r="AV901" i="9"/>
  <c r="AV904" i="9"/>
  <c r="AV907" i="9"/>
  <c r="AV910" i="9"/>
  <c r="AV913" i="9"/>
  <c r="AV864" i="9"/>
  <c r="AV583" i="9"/>
  <c r="AV586" i="9"/>
  <c r="AV589" i="9"/>
  <c r="AV592" i="9"/>
  <c r="AV595" i="9"/>
  <c r="AV598" i="9"/>
  <c r="AV601" i="9"/>
  <c r="AV604" i="9"/>
  <c r="AV607" i="9"/>
  <c r="AV610" i="9"/>
  <c r="AV613" i="9"/>
  <c r="AV616" i="9"/>
  <c r="AV619" i="9"/>
  <c r="AV622" i="9"/>
  <c r="AV625" i="9"/>
  <c r="AV628" i="9"/>
  <c r="AV631" i="9"/>
  <c r="AV634" i="9"/>
  <c r="AV637" i="9"/>
  <c r="AV640" i="9"/>
  <c r="AV643" i="9"/>
  <c r="AV646" i="9"/>
  <c r="AV649" i="9"/>
  <c r="AV652" i="9"/>
  <c r="AV655" i="9"/>
  <c r="AV658" i="9"/>
  <c r="AV661" i="9"/>
  <c r="AV664" i="9"/>
  <c r="AV667" i="9"/>
  <c r="AV670" i="9"/>
  <c r="AV673" i="9"/>
  <c r="AV676" i="9"/>
  <c r="AV679" i="9"/>
  <c r="AV682" i="9"/>
  <c r="AV685" i="9"/>
  <c r="AV691" i="9"/>
  <c r="AV694" i="9"/>
  <c r="AV700" i="9"/>
  <c r="AV703" i="9"/>
  <c r="AV706" i="9"/>
  <c r="AV709" i="9"/>
  <c r="AV712" i="9"/>
  <c r="AV715" i="9"/>
  <c r="AV718" i="9"/>
  <c r="AV721" i="9"/>
  <c r="AV867" i="9"/>
  <c r="AV870" i="9"/>
  <c r="AV873" i="9"/>
  <c r="AV876" i="9"/>
  <c r="AV879" i="9"/>
  <c r="AV882" i="9"/>
  <c r="AV885" i="9"/>
  <c r="AV888" i="9"/>
  <c r="AV891" i="9"/>
  <c r="AV894" i="9"/>
  <c r="AV897" i="9"/>
  <c r="AV900" i="9"/>
  <c r="AV903" i="9"/>
  <c r="AV912" i="9"/>
  <c r="AV915" i="9"/>
  <c r="AV918" i="9"/>
  <c r="AV921" i="9"/>
  <c r="AV924" i="9"/>
  <c r="AV927" i="9"/>
  <c r="AV930" i="9"/>
  <c r="AV724" i="9"/>
  <c r="AV727" i="9"/>
  <c r="AV730" i="9"/>
  <c r="AV736" i="9"/>
  <c r="AV739" i="9"/>
  <c r="AV742" i="9"/>
  <c r="AV748" i="9"/>
  <c r="AV754" i="9"/>
  <c r="AV757" i="9"/>
  <c r="AV760" i="9"/>
  <c r="AV763" i="9"/>
  <c r="AV766" i="9"/>
  <c r="AV769" i="9"/>
  <c r="AV772" i="9"/>
  <c r="AV775" i="9"/>
  <c r="AV781" i="9"/>
  <c r="AV787" i="9"/>
  <c r="AV790" i="9"/>
  <c r="AV793" i="9"/>
  <c r="AV796" i="9"/>
  <c r="AV799" i="9"/>
  <c r="AV805" i="9"/>
  <c r="AV808" i="9"/>
  <c r="AV814" i="9"/>
  <c r="AV820" i="9"/>
  <c r="AV823" i="9"/>
  <c r="AV933" i="9"/>
  <c r="AV906" i="9"/>
  <c r="AV909" i="9"/>
  <c r="AV936" i="9"/>
  <c r="AV939" i="9"/>
  <c r="AV942" i="9"/>
  <c r="AV945" i="9"/>
  <c r="AV951" i="9"/>
  <c r="AV954" i="9"/>
  <c r="AV957" i="9"/>
  <c r="AV960" i="9"/>
  <c r="AV963" i="9"/>
  <c r="AV966" i="9"/>
  <c r="AV972" i="9"/>
  <c r="AV975" i="9"/>
  <c r="AV978" i="9"/>
  <c r="AV981" i="9"/>
  <c r="AV984" i="9"/>
  <c r="AV987" i="9"/>
  <c r="AV990" i="9"/>
  <c r="AV993" i="9"/>
  <c r="AV996" i="9"/>
  <c r="AV999" i="9"/>
  <c r="AV1002" i="9"/>
  <c r="AV1005" i="9"/>
  <c r="AV1008" i="9"/>
  <c r="AV1011" i="9"/>
  <c r="AV1013" i="9"/>
  <c r="AV17" i="9"/>
  <c r="AV23" i="9"/>
  <c r="AV26" i="9"/>
  <c r="AV29" i="9"/>
  <c r="AV32" i="9"/>
  <c r="AV35" i="9"/>
  <c r="AV41" i="9"/>
  <c r="AV47" i="9"/>
  <c r="AV53" i="9"/>
  <c r="AV59" i="9"/>
  <c r="AV62" i="9"/>
  <c r="AV65" i="9"/>
  <c r="AV68" i="9"/>
  <c r="AV77" i="9"/>
  <c r="AV80" i="9"/>
  <c r="AV83" i="9"/>
  <c r="AV86" i="9"/>
  <c r="AV101" i="9"/>
  <c r="AV104" i="9"/>
  <c r="AV107" i="9"/>
  <c r="AV110" i="9"/>
  <c r="AV113" i="9"/>
  <c r="AV116" i="9"/>
  <c r="AV119" i="9"/>
  <c r="AV122" i="9"/>
  <c r="AV125" i="9"/>
  <c r="AV128" i="9"/>
  <c r="AV131" i="9"/>
  <c r="AV137" i="9"/>
  <c r="AV140" i="9"/>
  <c r="AV143" i="9"/>
  <c r="AV146" i="9"/>
  <c r="AV152" i="9"/>
  <c r="AV155" i="9"/>
  <c r="AV161" i="9"/>
  <c r="AV167" i="9"/>
  <c r="AV170" i="9"/>
  <c r="AV173" i="9"/>
  <c r="AV176" i="9"/>
  <c r="AV179" i="9"/>
  <c r="AV182" i="9"/>
  <c r="AV185" i="9"/>
  <c r="AV188" i="9"/>
  <c r="AV194" i="9"/>
  <c r="AV197" i="9"/>
  <c r="AV200" i="9"/>
  <c r="AV203" i="9"/>
  <c r="AV215" i="9"/>
  <c r="AV218" i="9"/>
  <c r="AV221" i="9"/>
  <c r="AV224" i="9"/>
  <c r="AV230" i="9"/>
  <c r="AV233" i="9"/>
  <c r="AV236" i="9"/>
  <c r="AV242" i="9"/>
  <c r="AV245" i="9"/>
  <c r="AV257" i="9"/>
  <c r="AV272" i="9"/>
  <c r="AV275" i="9"/>
  <c r="AV281" i="9"/>
  <c r="AV284" i="9"/>
  <c r="AV287" i="9"/>
  <c r="AV290" i="9"/>
  <c r="AV293" i="9"/>
  <c r="AV296" i="9"/>
  <c r="AV302" i="9"/>
  <c r="AV305" i="9"/>
  <c r="AV311" i="9"/>
  <c r="AV314" i="9"/>
  <c r="AV317" i="9"/>
  <c r="AV320" i="9"/>
  <c r="AV323" i="9"/>
  <c r="AV329" i="9"/>
  <c r="AV332" i="9"/>
  <c r="AV347" i="9"/>
  <c r="AV350" i="9"/>
  <c r="AV353" i="9"/>
  <c r="AV356" i="9"/>
  <c r="AV359" i="9"/>
  <c r="AV362" i="9"/>
  <c r="AV368" i="9"/>
  <c r="AV371" i="9"/>
  <c r="AV374" i="9"/>
  <c r="AV377" i="9"/>
  <c r="AV969" i="9"/>
  <c r="AV948" i="9"/>
  <c r="AV898" i="9"/>
  <c r="AV895" i="9"/>
  <c r="AV883" i="9"/>
  <c r="AV874" i="9"/>
  <c r="AV862" i="9"/>
  <c r="AV853" i="9"/>
  <c r="AV844" i="9"/>
  <c r="AV829" i="9"/>
  <c r="AV817" i="9"/>
  <c r="AV811" i="9"/>
  <c r="AV810" i="9"/>
  <c r="AV802" i="9"/>
  <c r="AV784" i="9"/>
  <c r="AV778" i="9"/>
  <c r="AV751" i="9"/>
  <c r="AV745" i="9"/>
  <c r="AV733" i="9"/>
  <c r="AV697" i="9"/>
  <c r="AV688" i="9"/>
  <c r="AV571" i="9"/>
  <c r="AV538" i="9"/>
  <c r="AV475" i="9"/>
  <c r="AV445" i="9"/>
  <c r="AV415" i="9"/>
  <c r="AV394" i="9"/>
  <c r="AV388" i="9"/>
  <c r="AV373" i="9"/>
  <c r="AV365" i="9"/>
  <c r="AV361" i="9"/>
  <c r="AV344" i="9"/>
  <c r="AV341" i="9"/>
  <c r="AV338" i="9"/>
  <c r="AV335" i="9"/>
  <c r="AV326" i="9"/>
  <c r="AV308" i="9"/>
  <c r="AV301" i="9"/>
  <c r="AV299" i="9"/>
  <c r="AV278" i="9"/>
  <c r="AV269" i="9"/>
  <c r="AV266" i="9"/>
  <c r="AV263" i="9"/>
  <c r="AV260" i="9"/>
  <c r="AV254" i="9"/>
  <c r="AV253" i="9"/>
  <c r="AV251" i="9"/>
  <c r="AV248" i="9"/>
  <c r="AV246" i="9"/>
  <c r="AV239" i="9"/>
  <c r="AV235" i="9"/>
  <c r="AV229" i="9"/>
  <c r="AV227" i="9"/>
  <c r="AV212" i="9"/>
  <c r="AV209" i="9"/>
  <c r="AV206" i="9"/>
  <c r="AV191" i="9"/>
  <c r="AV184" i="9"/>
  <c r="AV181" i="9"/>
  <c r="AV166" i="9"/>
  <c r="AV164" i="9"/>
  <c r="AV158" i="9"/>
  <c r="AV149" i="9"/>
  <c r="AV134" i="9"/>
  <c r="AV124" i="9"/>
  <c r="AV98" i="9"/>
  <c r="AV95" i="9"/>
  <c r="AV92" i="9"/>
  <c r="AV89" i="9"/>
  <c r="AV74" i="9"/>
  <c r="AV71" i="9"/>
  <c r="AV66" i="9"/>
  <c r="AV56" i="9"/>
  <c r="AV50" i="9"/>
  <c r="AV46" i="9"/>
  <c r="AV44" i="9"/>
  <c r="AV38" i="9"/>
  <c r="AV20" i="9"/>
  <c r="AV15" i="9"/>
  <c r="AI11" i="9"/>
  <c r="AJ11" i="9"/>
  <c r="AV19" i="9"/>
  <c r="AV380" i="9"/>
  <c r="AV383" i="9"/>
  <c r="AV386" i="9"/>
  <c r="AV389" i="9"/>
  <c r="AV392" i="9"/>
  <c r="AV395" i="9"/>
  <c r="AV398" i="9"/>
  <c r="AV401" i="9"/>
  <c r="AV404" i="9"/>
  <c r="AV407" i="9"/>
  <c r="AV410" i="9"/>
  <c r="AV413" i="9"/>
  <c r="AV416" i="9"/>
  <c r="AV419" i="9"/>
  <c r="AV422" i="9"/>
  <c r="AV425" i="9"/>
  <c r="AV428" i="9"/>
  <c r="AV431" i="9"/>
  <c r="AV434" i="9"/>
  <c r="AV437" i="9"/>
  <c r="AV440" i="9"/>
  <c r="AV443" i="9"/>
  <c r="AV446" i="9"/>
  <c r="AV449" i="9"/>
  <c r="AV452" i="9"/>
  <c r="AV455" i="9"/>
  <c r="AV458" i="9"/>
  <c r="AV461" i="9"/>
  <c r="AV464" i="9"/>
  <c r="AV467" i="9"/>
  <c r="AV470" i="9"/>
  <c r="AV473" i="9"/>
  <c r="AV476" i="9"/>
  <c r="AV479" i="9"/>
  <c r="AV482" i="9"/>
  <c r="AV485" i="9"/>
  <c r="AV488" i="9"/>
  <c r="AV491" i="9"/>
  <c r="AV494" i="9"/>
  <c r="AV497" i="9"/>
  <c r="AV500" i="9"/>
  <c r="AV503" i="9"/>
  <c r="AV506" i="9"/>
  <c r="AV509" i="9"/>
  <c r="AV512" i="9"/>
  <c r="AV515" i="9"/>
  <c r="AV518" i="9"/>
  <c r="AV521" i="9"/>
  <c r="AV524" i="9"/>
  <c r="AV527" i="9"/>
  <c r="AV530" i="9"/>
  <c r="AV533" i="9"/>
  <c r="AV536" i="9"/>
  <c r="AV539" i="9"/>
  <c r="AV542" i="9"/>
  <c r="AV545" i="9"/>
  <c r="AV548" i="9"/>
  <c r="AV551" i="9"/>
  <c r="AV554" i="9"/>
  <c r="AV557" i="9"/>
  <c r="AV560" i="9"/>
  <c r="AV563" i="9"/>
  <c r="AV566" i="9"/>
  <c r="AV569" i="9"/>
  <c r="AV572" i="9"/>
  <c r="AV575" i="9"/>
  <c r="AV578" i="9"/>
  <c r="AV581" i="9"/>
  <c r="AV584" i="9"/>
  <c r="AV587" i="9"/>
  <c r="AV590" i="9"/>
  <c r="AV593" i="9"/>
  <c r="AV596" i="9"/>
  <c r="AV599" i="9"/>
  <c r="AV602" i="9"/>
  <c r="AV605" i="9"/>
  <c r="AV608" i="9"/>
  <c r="AV611" i="9"/>
  <c r="AV614" i="9"/>
  <c r="AV617" i="9"/>
  <c r="AV620" i="9"/>
  <c r="AV623" i="9"/>
  <c r="AV626" i="9"/>
  <c r="AV629" i="9"/>
  <c r="AV632" i="9"/>
  <c r="AV635" i="9"/>
  <c r="AV638" i="9"/>
  <c r="AV641" i="9"/>
  <c r="AV644" i="9"/>
  <c r="AV647" i="9"/>
  <c r="AV650" i="9"/>
  <c r="AV653" i="9"/>
  <c r="AV656" i="9"/>
  <c r="AV659" i="9"/>
  <c r="AV662" i="9"/>
  <c r="AV665" i="9"/>
  <c r="AV668" i="9"/>
  <c r="AV671" i="9"/>
  <c r="AV674" i="9"/>
  <c r="AV677" i="9"/>
  <c r="AV680" i="9"/>
  <c r="AV683" i="9"/>
  <c r="AV686" i="9"/>
  <c r="AV689" i="9"/>
  <c r="AV692" i="9"/>
  <c r="AV695" i="9"/>
  <c r="AV698" i="9"/>
  <c r="AV701" i="9"/>
  <c r="AV704" i="9"/>
  <c r="AV707" i="9"/>
  <c r="AV710" i="9"/>
  <c r="AV713" i="9"/>
  <c r="AV716" i="9"/>
  <c r="AV719" i="9"/>
  <c r="AV722" i="9"/>
  <c r="AV725" i="9"/>
  <c r="AV728" i="9"/>
  <c r="AV731" i="9"/>
  <c r="AV734" i="9"/>
  <c r="AV737" i="9"/>
  <c r="AV740" i="9"/>
  <c r="AV743" i="9"/>
  <c r="AV746" i="9"/>
  <c r="AV749" i="9"/>
  <c r="AV752" i="9"/>
  <c r="AV755" i="9"/>
  <c r="AV916" i="9"/>
  <c r="AV919" i="9"/>
  <c r="AV922" i="9"/>
  <c r="AV925" i="9"/>
  <c r="AV928" i="9"/>
  <c r="AV931" i="9"/>
  <c r="AV934" i="9"/>
  <c r="AV937" i="9"/>
  <c r="AV940" i="9"/>
  <c r="AV943" i="9"/>
  <c r="AV946" i="9"/>
  <c r="AV949" i="9"/>
  <c r="AV952" i="9"/>
  <c r="AV955" i="9"/>
  <c r="AV958" i="9"/>
  <c r="AV961" i="9"/>
  <c r="AV964" i="9"/>
  <c r="AV967" i="9"/>
  <c r="AV970" i="9"/>
  <c r="AV973" i="9"/>
  <c r="AV976" i="9"/>
  <c r="AV979" i="9"/>
  <c r="AV982" i="9"/>
  <c r="AV985" i="9"/>
  <c r="AV988" i="9"/>
  <c r="AV991" i="9"/>
  <c r="AV994" i="9"/>
  <c r="AV997" i="9"/>
  <c r="AV1000" i="9"/>
  <c r="AV1003" i="9"/>
  <c r="AV1006" i="9"/>
  <c r="AV1009" i="9"/>
  <c r="AV1012" i="9"/>
  <c r="AV758" i="9"/>
  <c r="AV761" i="9"/>
  <c r="AV764" i="9"/>
  <c r="AV767" i="9"/>
  <c r="AV770" i="9"/>
  <c r="AV773" i="9"/>
  <c r="AV776" i="9"/>
  <c r="AV779" i="9"/>
  <c r="AV782" i="9"/>
  <c r="AV785" i="9"/>
  <c r="AV788" i="9"/>
  <c r="AV791" i="9"/>
  <c r="AV794" i="9"/>
  <c r="AV797" i="9"/>
  <c r="AV800" i="9"/>
  <c r="AV803" i="9"/>
  <c r="AV806" i="9"/>
  <c r="AV809" i="9"/>
  <c r="AV812" i="9"/>
  <c r="AV815" i="9"/>
  <c r="AV818" i="9"/>
  <c r="AV821" i="9"/>
  <c r="AV824" i="9"/>
  <c r="AV827" i="9"/>
  <c r="AV830" i="9"/>
  <c r="AV833" i="9"/>
  <c r="AV836" i="9"/>
  <c r="AV839" i="9"/>
  <c r="AV842" i="9"/>
  <c r="AV845" i="9"/>
  <c r="AV848" i="9"/>
  <c r="AV851" i="9"/>
  <c r="AV854" i="9"/>
  <c r="AV857" i="9"/>
  <c r="AV860" i="9"/>
  <c r="AV863" i="9"/>
  <c r="AV866" i="9"/>
  <c r="AV869" i="9"/>
  <c r="AV872" i="9"/>
  <c r="AV875" i="9"/>
  <c r="AV878" i="9"/>
  <c r="AV881" i="9"/>
  <c r="AV884" i="9"/>
  <c r="AV887" i="9"/>
  <c r="AV890" i="9"/>
  <c r="AV893" i="9"/>
  <c r="AV896" i="9"/>
  <c r="AV899" i="9"/>
  <c r="AV902" i="9"/>
  <c r="AV905" i="9"/>
  <c r="AV908" i="9"/>
  <c r="AV911" i="9"/>
  <c r="AV914" i="9"/>
  <c r="AV917" i="9"/>
  <c r="AV920" i="9"/>
  <c r="AV923" i="9"/>
  <c r="AV926" i="9"/>
  <c r="AV929" i="9"/>
  <c r="AV932" i="9"/>
  <c r="AV935" i="9"/>
  <c r="AV938" i="9"/>
  <c r="AV941" i="9"/>
  <c r="AV944" i="9"/>
  <c r="AV947" i="9"/>
  <c r="AV950" i="9"/>
  <c r="AV953" i="9"/>
  <c r="AV956" i="9"/>
  <c r="AV959" i="9"/>
  <c r="AV962" i="9"/>
  <c r="AV965" i="9"/>
  <c r="AV968" i="9"/>
  <c r="AV971" i="9"/>
  <c r="AV974" i="9"/>
  <c r="AV977" i="9"/>
  <c r="AV980" i="9"/>
  <c r="AV983" i="9"/>
  <c r="AV986" i="9"/>
  <c r="AV989" i="9"/>
  <c r="AV992" i="9"/>
  <c r="AV995" i="9"/>
  <c r="AV998" i="9"/>
  <c r="AV1001" i="9"/>
  <c r="AV1004" i="9"/>
  <c r="AV1007" i="9"/>
  <c r="AV1010" i="9"/>
  <c r="AM1012" i="9"/>
  <c r="AN635" i="9"/>
  <c r="AN983" i="9"/>
  <c r="AN992" i="9"/>
  <c r="AN1010" i="9"/>
  <c r="AM672" i="9"/>
  <c r="AM675" i="9"/>
  <c r="AM708" i="9"/>
  <c r="AM711" i="9"/>
  <c r="AM714" i="9"/>
  <c r="AN726" i="9"/>
  <c r="AM744" i="9"/>
  <c r="AN52" i="9"/>
  <c r="AN1008" i="9"/>
  <c r="AN381" i="9"/>
  <c r="AN108" i="9"/>
  <c r="AN156" i="9"/>
  <c r="AN159" i="9"/>
  <c r="AN198" i="9"/>
  <c r="AM420" i="9"/>
  <c r="AM436" i="9"/>
  <c r="AN406" i="9"/>
  <c r="AM783" i="9"/>
  <c r="AN457" i="9"/>
  <c r="AM676" i="9"/>
  <c r="AM679" i="9"/>
  <c r="AN119" i="9"/>
  <c r="AN206" i="9"/>
  <c r="AM236" i="9"/>
  <c r="AM893" i="9"/>
  <c r="AM278" i="9"/>
  <c r="AM281" i="9"/>
  <c r="AN759" i="9"/>
  <c r="AN768" i="9"/>
  <c r="AN771" i="9"/>
  <c r="AN774" i="9"/>
  <c r="AM386" i="9"/>
  <c r="AM258" i="9"/>
  <c r="AM285" i="9"/>
  <c r="AM291" i="9"/>
  <c r="AN452" i="9"/>
  <c r="AN542" i="9"/>
  <c r="AN862" i="9"/>
  <c r="AN874" i="9"/>
  <c r="AN877" i="9"/>
  <c r="AN211" i="9"/>
  <c r="AN214" i="9"/>
  <c r="AN220" i="9"/>
  <c r="AM277" i="9"/>
  <c r="AM453" i="9"/>
  <c r="AN943" i="9"/>
  <c r="AN967" i="9"/>
  <c r="AM582" i="9"/>
  <c r="AN630" i="9"/>
  <c r="AN860" i="9"/>
  <c r="AN866" i="9"/>
  <c r="AN896" i="9"/>
  <c r="AN97" i="9"/>
  <c r="AN100" i="9"/>
  <c r="AN103" i="9"/>
  <c r="AN118" i="9"/>
  <c r="AN196" i="9"/>
  <c r="AN500" i="9"/>
  <c r="AN506" i="9"/>
  <c r="AN509" i="9"/>
  <c r="AM596" i="9"/>
  <c r="AM301" i="9"/>
  <c r="AM322" i="9"/>
  <c r="AM665" i="9"/>
  <c r="AM671" i="9"/>
  <c r="AM674" i="9"/>
  <c r="AN850" i="9"/>
  <c r="AM170" i="9"/>
  <c r="AN173" i="9"/>
  <c r="AM176" i="9"/>
  <c r="AN468" i="9"/>
  <c r="AM471" i="9"/>
  <c r="AN516" i="9"/>
  <c r="AN546" i="9"/>
  <c r="AM341" i="9"/>
  <c r="AM421" i="9"/>
  <c r="AN678" i="9"/>
  <c r="AM684" i="9"/>
  <c r="AM687" i="9"/>
  <c r="AM69" i="9"/>
  <c r="AN380" i="9"/>
  <c r="AN451" i="9"/>
  <c r="AM544" i="9"/>
  <c r="AM914" i="9"/>
  <c r="AN598" i="9"/>
  <c r="AM798" i="9"/>
  <c r="AM959" i="9"/>
  <c r="AM962" i="9"/>
  <c r="AN300" i="9"/>
  <c r="AM339" i="9"/>
  <c r="AM345" i="9"/>
  <c r="AM691" i="9"/>
  <c r="AM697" i="9"/>
  <c r="AM700" i="9"/>
  <c r="AM703" i="9"/>
  <c r="AM998" i="9"/>
  <c r="AN21" i="9"/>
  <c r="AN268" i="9"/>
  <c r="AN310" i="9"/>
  <c r="AN363" i="9"/>
  <c r="AN416" i="9"/>
  <c r="AN478" i="9"/>
  <c r="AN484" i="9"/>
  <c r="AN505" i="9"/>
  <c r="AN514" i="9"/>
  <c r="AN523" i="9"/>
  <c r="AN535" i="9"/>
  <c r="AM594" i="9"/>
  <c r="AN612" i="9"/>
  <c r="AN746" i="9"/>
  <c r="AN749" i="9"/>
  <c r="AN830" i="9"/>
  <c r="AN836" i="9"/>
  <c r="AM839" i="9"/>
  <c r="AN45" i="9"/>
  <c r="AN48" i="9"/>
  <c r="AM457" i="9"/>
  <c r="AN984" i="9"/>
  <c r="AM987" i="9"/>
  <c r="AN245" i="9"/>
  <c r="AM402" i="9"/>
  <c r="AM574" i="9"/>
  <c r="AM580" i="9"/>
  <c r="AM165" i="9"/>
  <c r="AM189" i="9"/>
  <c r="AN473" i="9"/>
  <c r="AN952" i="9"/>
  <c r="AN263" i="9"/>
  <c r="AN266" i="9"/>
  <c r="AM311" i="9"/>
  <c r="AN352" i="9"/>
  <c r="AN379" i="9"/>
  <c r="AN429" i="9"/>
  <c r="AM435" i="9"/>
  <c r="AN530" i="9"/>
  <c r="AM533" i="9"/>
  <c r="AM801" i="9"/>
  <c r="AN73" i="9"/>
  <c r="AM82" i="9"/>
  <c r="AM127" i="9"/>
  <c r="AM130" i="9"/>
  <c r="AN133" i="9"/>
  <c r="AM148" i="9"/>
  <c r="AN246" i="9"/>
  <c r="AM249" i="9"/>
  <c r="AN252" i="9"/>
  <c r="AN388" i="9"/>
  <c r="AM400" i="9"/>
  <c r="AN548" i="9"/>
  <c r="AN664" i="9"/>
  <c r="AN879" i="9"/>
  <c r="AM166" i="9"/>
  <c r="AM175" i="9"/>
  <c r="AM181" i="9"/>
  <c r="AM187" i="9"/>
  <c r="AM226" i="9"/>
  <c r="AM306" i="9"/>
  <c r="AN315" i="9"/>
  <c r="AN365" i="9"/>
  <c r="AM433" i="9"/>
  <c r="AN436" i="9"/>
  <c r="AM531" i="9"/>
  <c r="AN534" i="9"/>
  <c r="AM605" i="9"/>
  <c r="AM620" i="9"/>
  <c r="AM635" i="9"/>
  <c r="AM832" i="9"/>
  <c r="AN838" i="9"/>
  <c r="AM841" i="9"/>
  <c r="AM844" i="9"/>
  <c r="AN882" i="9"/>
  <c r="AM950" i="9"/>
  <c r="AN125" i="9"/>
  <c r="AM131" i="9"/>
  <c r="AN244" i="9"/>
  <c r="AM253" i="9"/>
  <c r="AN318" i="9"/>
  <c r="AN389" i="9"/>
  <c r="AN404" i="9"/>
  <c r="AM561" i="9"/>
  <c r="AM576" i="9"/>
  <c r="AM579" i="9"/>
  <c r="AN582" i="9"/>
  <c r="AM662" i="9"/>
  <c r="AN692" i="9"/>
  <c r="AN707" i="9"/>
  <c r="AM710" i="9"/>
  <c r="AM725" i="9"/>
  <c r="AM728" i="9"/>
  <c r="AM734" i="9"/>
  <c r="AM743" i="9"/>
  <c r="AN66" i="9"/>
  <c r="AN301" i="9"/>
  <c r="AM354" i="9"/>
  <c r="AM881" i="9"/>
  <c r="AM96" i="9"/>
  <c r="AN264" i="9"/>
  <c r="AN267" i="9"/>
  <c r="AM296" i="9"/>
  <c r="AM299" i="9"/>
  <c r="AM328" i="9"/>
  <c r="AN331" i="9"/>
  <c r="AN372" i="9"/>
  <c r="AM398" i="9"/>
  <c r="AN415" i="9"/>
  <c r="AN427" i="9"/>
  <c r="AN450" i="9"/>
  <c r="AN467" i="9"/>
  <c r="AM470" i="9"/>
  <c r="AM488" i="9"/>
  <c r="AN491" i="9"/>
  <c r="AM591" i="9"/>
  <c r="AN594" i="9"/>
  <c r="AM608" i="9"/>
  <c r="AM655" i="9"/>
  <c r="AM28" i="9"/>
  <c r="AM34" i="9"/>
  <c r="AM126" i="9"/>
  <c r="AM132" i="9"/>
  <c r="AM135" i="9"/>
  <c r="AM144" i="9"/>
  <c r="AM147" i="9"/>
  <c r="AN908" i="9"/>
  <c r="AM958" i="9"/>
  <c r="AM961" i="9"/>
  <c r="AM964" i="9"/>
  <c r="AN990" i="9"/>
  <c r="AN273" i="9"/>
  <c r="AN285" i="9"/>
  <c r="AN334" i="9"/>
  <c r="AN810" i="9"/>
  <c r="AM1002" i="9"/>
  <c r="AN168" i="9"/>
  <c r="AN230" i="9"/>
  <c r="AM323" i="9"/>
  <c r="AM422" i="9"/>
  <c r="AM450" i="9"/>
  <c r="AN459" i="9"/>
  <c r="AN600" i="9"/>
  <c r="AN979" i="9"/>
  <c r="AM97" i="9"/>
  <c r="AM112" i="9"/>
  <c r="AM115" i="9"/>
  <c r="AM201" i="9"/>
  <c r="AM326" i="9"/>
  <c r="AM329" i="9"/>
  <c r="AN332" i="9"/>
  <c r="AM370" i="9"/>
  <c r="AM381" i="9"/>
  <c r="AM387" i="9"/>
  <c r="AN445" i="9"/>
  <c r="AM501" i="9"/>
  <c r="AN545" i="9"/>
  <c r="AN562" i="9"/>
  <c r="AN583" i="9"/>
  <c r="AM586" i="9"/>
  <c r="AN659" i="9"/>
  <c r="AN718" i="9"/>
  <c r="AN721" i="9"/>
  <c r="AN727" i="9"/>
  <c r="AM745" i="9"/>
  <c r="AM778" i="9"/>
  <c r="AN781" i="9"/>
  <c r="AN873" i="9"/>
  <c r="AM994" i="9"/>
  <c r="AM1000" i="9"/>
  <c r="AM405" i="9"/>
  <c r="AM528" i="9"/>
  <c r="AM540" i="9"/>
  <c r="AM618" i="9"/>
  <c r="AN627" i="9"/>
  <c r="AM633" i="9"/>
  <c r="AN802" i="9"/>
  <c r="AN811" i="9"/>
  <c r="AN823" i="9"/>
  <c r="AN65" i="9"/>
  <c r="AN68" i="9"/>
  <c r="AN292" i="9"/>
  <c r="AM332" i="9"/>
  <c r="AM382" i="9"/>
  <c r="AM408" i="9"/>
  <c r="AM411" i="9"/>
  <c r="AN466" i="9"/>
  <c r="AM472" i="9"/>
  <c r="AM478" i="9"/>
  <c r="AM560" i="9"/>
  <c r="AM572" i="9"/>
  <c r="AM581" i="9"/>
  <c r="AM871" i="9"/>
  <c r="AN921" i="9"/>
  <c r="AN924" i="9"/>
  <c r="AM110" i="9"/>
  <c r="AM113" i="9"/>
  <c r="AM220" i="9"/>
  <c r="AM237" i="9"/>
  <c r="AN269" i="9"/>
  <c r="AM295" i="9"/>
  <c r="AM327" i="9"/>
  <c r="AM368" i="9"/>
  <c r="AM371" i="9"/>
  <c r="AM380" i="9"/>
  <c r="AM423" i="9"/>
  <c r="AN610" i="9"/>
  <c r="AN648" i="9"/>
  <c r="AN651" i="9"/>
  <c r="AM654" i="9"/>
  <c r="AM657" i="9"/>
  <c r="AM752" i="9"/>
  <c r="AN758" i="9"/>
  <c r="AM761" i="9"/>
  <c r="AM764" i="9"/>
  <c r="AM767" i="9"/>
  <c r="AM773" i="9"/>
  <c r="AM776" i="9"/>
  <c r="AM27" i="9"/>
  <c r="AN54" i="9"/>
  <c r="AN149" i="9"/>
  <c r="AN158" i="9"/>
  <c r="AN229" i="9"/>
  <c r="AM275" i="9"/>
  <c r="AN307" i="9"/>
  <c r="AM403" i="9"/>
  <c r="AM455" i="9"/>
  <c r="AM625" i="9"/>
  <c r="AM696" i="9"/>
  <c r="AM699" i="9"/>
  <c r="AN785" i="9"/>
  <c r="AN898" i="9"/>
  <c r="AN907" i="9"/>
  <c r="AN957" i="9"/>
  <c r="AN963" i="9"/>
  <c r="AN975" i="9"/>
  <c r="AM981" i="9"/>
  <c r="AM505" i="9"/>
  <c r="AN662" i="9"/>
  <c r="AM709" i="9"/>
  <c r="AM712" i="9"/>
  <c r="AN744" i="9"/>
  <c r="AN27" i="9"/>
  <c r="AN33" i="9"/>
  <c r="AN36" i="9"/>
  <c r="AM39" i="9"/>
  <c r="AN111" i="9"/>
  <c r="AN114" i="9"/>
  <c r="AM117" i="9"/>
  <c r="AN140" i="9"/>
  <c r="AN143" i="9"/>
  <c r="AN146" i="9"/>
  <c r="AM149" i="9"/>
  <c r="AN172" i="9"/>
  <c r="AN236" i="9"/>
  <c r="AN247" i="9"/>
  <c r="AN253" i="9"/>
  <c r="AN287" i="9"/>
  <c r="AM290" i="9"/>
  <c r="AM366" i="9"/>
  <c r="AM385" i="9"/>
  <c r="AM404" i="9"/>
  <c r="AM449" i="9"/>
  <c r="AN539" i="9"/>
  <c r="AM542" i="9"/>
  <c r="AN842" i="9"/>
  <c r="AM845" i="9"/>
  <c r="AN927" i="9"/>
  <c r="AM16" i="9"/>
  <c r="AM74" i="9"/>
  <c r="AM164" i="9"/>
  <c r="AM167" i="9"/>
  <c r="AM199" i="9"/>
  <c r="AM202" i="9"/>
  <c r="AN228" i="9"/>
  <c r="AM338" i="9"/>
  <c r="AM369" i="9"/>
  <c r="AN471" i="9"/>
  <c r="AM474" i="9"/>
  <c r="AM512" i="9"/>
  <c r="AN571" i="9"/>
  <c r="AN605" i="9"/>
  <c r="AM698" i="9"/>
  <c r="AN736" i="9"/>
  <c r="AN739" i="9"/>
  <c r="AN780" i="9"/>
  <c r="AM851" i="9"/>
  <c r="AN854" i="9"/>
  <c r="AM857" i="9"/>
  <c r="AM892" i="9"/>
  <c r="AN999" i="9"/>
  <c r="AM22" i="9"/>
  <c r="AM77" i="9"/>
  <c r="AM83" i="9"/>
  <c r="AM86" i="9"/>
  <c r="AM89" i="9"/>
  <c r="AN106" i="9"/>
  <c r="AM242" i="9"/>
  <c r="AM262" i="9"/>
  <c r="AM293" i="9"/>
  <c r="AM375" i="9"/>
  <c r="AN397" i="9"/>
  <c r="AM419" i="9"/>
  <c r="AN438" i="9"/>
  <c r="AN480" i="9"/>
  <c r="AM486" i="9"/>
  <c r="AM515" i="9"/>
  <c r="AM526" i="9"/>
  <c r="AM603" i="9"/>
  <c r="AM617" i="9"/>
  <c r="AN646" i="9"/>
  <c r="AM649" i="9"/>
  <c r="AM652" i="9"/>
  <c r="AM804" i="9"/>
  <c r="AN825" i="9"/>
  <c r="AM828" i="9"/>
  <c r="AM872" i="9"/>
  <c r="AM878" i="9"/>
  <c r="AN965" i="9"/>
  <c r="AM988" i="9"/>
  <c r="AN789" i="9"/>
  <c r="AN55" i="9"/>
  <c r="AM58" i="9"/>
  <c r="AN61" i="9"/>
  <c r="AM121" i="9"/>
  <c r="AN129" i="9"/>
  <c r="AN150" i="9"/>
  <c r="AN167" i="9"/>
  <c r="AM197" i="9"/>
  <c r="AM254" i="9"/>
  <c r="AM271" i="9"/>
  <c r="AM288" i="9"/>
  <c r="AN333" i="9"/>
  <c r="AN347" i="9"/>
  <c r="AN383" i="9"/>
  <c r="AN444" i="9"/>
  <c r="AM452" i="9"/>
  <c r="AN489" i="9"/>
  <c r="AN518" i="9"/>
  <c r="AN529" i="9"/>
  <c r="AN551" i="9"/>
  <c r="AN554" i="9"/>
  <c r="AM571" i="9"/>
  <c r="AN666" i="9"/>
  <c r="AN719" i="9"/>
  <c r="AN751" i="9"/>
  <c r="AN769" i="9"/>
  <c r="AN840" i="9"/>
  <c r="AM843" i="9"/>
  <c r="AM846" i="9"/>
  <c r="AM849" i="9"/>
  <c r="AM887" i="9"/>
  <c r="AN951" i="9"/>
  <c r="AM980" i="9"/>
  <c r="AM200" i="9"/>
  <c r="AN367" i="9"/>
  <c r="AM397" i="9"/>
  <c r="AN447" i="9"/>
  <c r="AN495" i="9"/>
  <c r="AM702" i="9"/>
  <c r="AM784" i="9"/>
  <c r="AN828" i="9"/>
  <c r="AM864" i="9"/>
  <c r="AN870" i="9"/>
  <c r="AN934" i="9"/>
  <c r="AM986" i="9"/>
  <c r="AM17" i="9"/>
  <c r="AM20" i="9"/>
  <c r="AM23" i="9"/>
  <c r="AN26" i="9"/>
  <c r="AM67" i="9"/>
  <c r="AM78" i="9"/>
  <c r="AM84" i="9"/>
  <c r="AM98" i="9"/>
  <c r="AM104" i="9"/>
  <c r="AN162" i="9"/>
  <c r="AN212" i="9"/>
  <c r="AN218" i="9"/>
  <c r="AM243" i="9"/>
  <c r="AN299" i="9"/>
  <c r="AN302" i="9"/>
  <c r="AM365" i="9"/>
  <c r="AM373" i="9"/>
  <c r="AM376" i="9"/>
  <c r="AM379" i="9"/>
  <c r="AM392" i="9"/>
  <c r="AN420" i="9"/>
  <c r="AN422" i="9"/>
  <c r="AN425" i="9"/>
  <c r="AM428" i="9"/>
  <c r="AN524" i="9"/>
  <c r="AM535" i="9"/>
  <c r="AM546" i="9"/>
  <c r="AM549" i="9"/>
  <c r="AN566" i="9"/>
  <c r="AN595" i="9"/>
  <c r="AM598" i="9"/>
  <c r="AM604" i="9"/>
  <c r="AN632" i="9"/>
  <c r="AM641" i="9"/>
  <c r="AM647" i="9"/>
  <c r="AM653" i="9"/>
  <c r="AN687" i="9"/>
  <c r="AN690" i="9"/>
  <c r="AN693" i="9"/>
  <c r="AN790" i="9"/>
  <c r="AM793" i="9"/>
  <c r="AM796" i="9"/>
  <c r="AN799" i="9"/>
  <c r="AM879" i="9"/>
  <c r="AN905" i="9"/>
  <c r="AN32" i="9"/>
  <c r="AM38" i="9"/>
  <c r="AM41" i="9"/>
  <c r="AM44" i="9"/>
  <c r="AM47" i="9"/>
  <c r="AM50" i="9"/>
  <c r="AM56" i="9"/>
  <c r="AM73" i="9"/>
  <c r="AM116" i="9"/>
  <c r="AN139" i="9"/>
  <c r="AN145" i="9"/>
  <c r="AN235" i="9"/>
  <c r="AM289" i="9"/>
  <c r="AN317" i="9"/>
  <c r="AN434" i="9"/>
  <c r="AM448" i="9"/>
  <c r="AM456" i="9"/>
  <c r="AN487" i="9"/>
  <c r="AM522" i="9"/>
  <c r="AN541" i="9"/>
  <c r="AN575" i="9"/>
  <c r="AM587" i="9"/>
  <c r="AM593" i="9"/>
  <c r="AN621" i="9"/>
  <c r="AM847" i="9"/>
  <c r="AM850" i="9"/>
  <c r="AM917" i="9"/>
  <c r="AM929" i="9"/>
  <c r="AN738" i="9"/>
  <c r="AN885" i="9"/>
  <c r="AN891" i="9"/>
  <c r="AM24" i="9"/>
  <c r="AN62" i="9"/>
  <c r="AM76" i="9"/>
  <c r="AM88" i="9"/>
  <c r="AN96" i="9"/>
  <c r="AM99" i="9"/>
  <c r="AM105" i="9"/>
  <c r="AM108" i="9"/>
  <c r="AN148" i="9"/>
  <c r="AM169" i="9"/>
  <c r="AN213" i="9"/>
  <c r="AM238" i="9"/>
  <c r="AN261" i="9"/>
  <c r="AM292" i="9"/>
  <c r="AN320" i="9"/>
  <c r="AN340" i="9"/>
  <c r="AM374" i="9"/>
  <c r="AM390" i="9"/>
  <c r="AM396" i="9"/>
  <c r="AN412" i="9"/>
  <c r="AM418" i="9"/>
  <c r="AM437" i="9"/>
  <c r="AM445" i="9"/>
  <c r="AM465" i="9"/>
  <c r="AN476" i="9"/>
  <c r="AM485" i="9"/>
  <c r="AN508" i="9"/>
  <c r="AN525" i="9"/>
  <c r="AM547" i="9"/>
  <c r="AN567" i="9"/>
  <c r="AM570" i="9"/>
  <c r="AM599" i="9"/>
  <c r="AM602" i="9"/>
  <c r="AM619" i="9"/>
  <c r="AN639" i="9"/>
  <c r="AM642" i="9"/>
  <c r="AN776" i="9"/>
  <c r="AM794" i="9"/>
  <c r="AM797" i="9"/>
  <c r="AM800" i="9"/>
  <c r="AM803" i="9"/>
  <c r="AN806" i="9"/>
  <c r="AM821" i="9"/>
  <c r="AN871" i="9"/>
  <c r="AN903" i="9"/>
  <c r="AN935" i="9"/>
  <c r="AN950" i="9"/>
  <c r="AN22" i="9"/>
  <c r="AM25" i="9"/>
  <c r="AN30" i="9"/>
  <c r="AM33" i="9"/>
  <c r="AN38" i="9"/>
  <c r="AM71" i="9"/>
  <c r="AM85" i="9"/>
  <c r="AN742" i="9"/>
  <c r="AM205" i="9"/>
  <c r="AN205" i="9"/>
  <c r="AN413" i="9"/>
  <c r="AM413" i="9"/>
  <c r="AN20" i="9"/>
  <c r="AN53" i="9"/>
  <c r="AM64" i="9"/>
  <c r="AM94" i="9"/>
  <c r="AN102" i="9"/>
  <c r="AN113" i="9"/>
  <c r="AN124" i="9"/>
  <c r="AN135" i="9"/>
  <c r="AN147" i="9"/>
  <c r="AM719" i="9"/>
  <c r="AM36" i="9"/>
  <c r="AN132" i="9"/>
  <c r="AM316" i="9"/>
  <c r="AN316" i="9"/>
  <c r="AN498" i="9"/>
  <c r="AM498" i="9"/>
  <c r="AM42" i="9"/>
  <c r="AN56" i="9"/>
  <c r="AN67" i="9"/>
  <c r="AN72" i="9"/>
  <c r="AN116" i="9"/>
  <c r="AN308" i="9"/>
  <c r="AN356" i="9"/>
  <c r="AM356" i="9"/>
  <c r="AN464" i="9"/>
  <c r="AM464" i="9"/>
  <c r="AN90" i="9"/>
  <c r="AM90" i="9"/>
  <c r="AN18" i="9"/>
  <c r="AM21" i="9"/>
  <c r="AN51" i="9"/>
  <c r="AM62" i="9"/>
  <c r="AM395" i="9"/>
  <c r="AN395" i="9"/>
  <c r="AN601" i="9"/>
  <c r="AN644" i="9"/>
  <c r="AN29" i="9"/>
  <c r="AM37" i="9"/>
  <c r="AN39" i="9"/>
  <c r="AN89" i="9"/>
  <c r="AN92" i="9"/>
  <c r="AM95" i="9"/>
  <c r="AN130" i="9"/>
  <c r="AM163" i="9"/>
  <c r="AN163" i="9"/>
  <c r="AM35" i="9"/>
  <c r="AM40" i="9"/>
  <c r="AN43" i="9"/>
  <c r="AN46" i="9"/>
  <c r="AM57" i="9"/>
  <c r="AM68" i="9"/>
  <c r="AN81" i="9"/>
  <c r="AN84" i="9"/>
  <c r="AN87" i="9"/>
  <c r="AM227" i="9"/>
  <c r="AN227" i="9"/>
  <c r="AN284" i="9"/>
  <c r="AM284" i="9"/>
  <c r="AM694" i="9"/>
  <c r="AN694" i="9"/>
  <c r="AM32" i="9"/>
  <c r="AM49" i="9"/>
  <c r="AM63" i="9"/>
  <c r="AM65" i="9"/>
  <c r="AN120" i="9"/>
  <c r="AM120" i="9"/>
  <c r="AM891" i="9"/>
  <c r="AM899" i="9"/>
  <c r="AM910" i="9"/>
  <c r="AM996" i="9"/>
  <c r="AM151" i="9"/>
  <c r="AM154" i="9"/>
  <c r="AN157" i="9"/>
  <c r="AN179" i="9"/>
  <c r="AN182" i="9"/>
  <c r="AN188" i="9"/>
  <c r="AN190" i="9"/>
  <c r="AM196" i="9"/>
  <c r="AN204" i="9"/>
  <c r="AM207" i="9"/>
  <c r="AM210" i="9"/>
  <c r="AN239" i="9"/>
  <c r="AM272" i="9"/>
  <c r="AN326" i="9"/>
  <c r="AM350" i="9"/>
  <c r="AN399" i="9"/>
  <c r="AN435" i="9"/>
  <c r="AN437" i="9"/>
  <c r="AM487" i="9"/>
  <c r="AN492" i="9"/>
  <c r="AM503" i="9"/>
  <c r="AN579" i="9"/>
  <c r="AN584" i="9"/>
  <c r="AN590" i="9"/>
  <c r="AN673" i="9"/>
  <c r="AN685" i="9"/>
  <c r="AN724" i="9"/>
  <c r="AN783" i="9"/>
  <c r="AN797" i="9"/>
  <c r="AM160" i="9"/>
  <c r="AM224" i="9"/>
  <c r="AM248" i="9"/>
  <c r="AM256" i="9"/>
  <c r="AM259" i="9"/>
  <c r="AM305" i="9"/>
  <c r="AM313" i="9"/>
  <c r="AM321" i="9"/>
  <c r="AM337" i="9"/>
  <c r="AM342" i="9"/>
  <c r="AM353" i="9"/>
  <c r="AM358" i="9"/>
  <c r="AM384" i="9"/>
  <c r="AM389" i="9"/>
  <c r="AM407" i="9"/>
  <c r="AM430" i="9"/>
  <c r="AM440" i="9"/>
  <c r="AM443" i="9"/>
  <c r="AM476" i="9"/>
  <c r="AM490" i="9"/>
  <c r="AM517" i="9"/>
  <c r="AM519" i="9"/>
  <c r="AM552" i="9"/>
  <c r="AM555" i="9"/>
  <c r="AM563" i="9"/>
  <c r="AN611" i="9"/>
  <c r="AN622" i="9"/>
  <c r="AM636" i="9"/>
  <c r="AM646" i="9"/>
  <c r="AM705" i="9"/>
  <c r="AN716" i="9"/>
  <c r="AM730" i="9"/>
  <c r="AN733" i="9"/>
  <c r="AM739" i="9"/>
  <c r="AN755" i="9"/>
  <c r="AM758" i="9"/>
  <c r="AN775" i="9"/>
  <c r="AN829" i="9"/>
  <c r="AN857" i="9"/>
  <c r="AN880" i="9"/>
  <c r="AM883" i="9"/>
  <c r="AM886" i="9"/>
  <c r="AM916" i="9"/>
  <c r="AM919" i="9"/>
  <c r="AM933" i="9"/>
  <c r="AM939" i="9"/>
  <c r="AM942" i="9"/>
  <c r="AN1005" i="9"/>
  <c r="AM1008" i="9"/>
  <c r="AN237" i="9"/>
  <c r="AN270" i="9"/>
  <c r="AN278" i="9"/>
  <c r="AN286" i="9"/>
  <c r="AN294" i="9"/>
  <c r="AN324" i="9"/>
  <c r="AM340" i="9"/>
  <c r="AN361" i="9"/>
  <c r="AN387" i="9"/>
  <c r="AN461" i="9"/>
  <c r="AN469" i="9"/>
  <c r="AN482" i="9"/>
  <c r="AN485" i="9"/>
  <c r="AN512" i="9"/>
  <c r="AM639" i="9"/>
  <c r="AN660" i="9"/>
  <c r="AN668" i="9"/>
  <c r="AN671" i="9"/>
  <c r="AN688" i="9"/>
  <c r="AN750" i="9"/>
  <c r="AN767" i="9"/>
  <c r="AN770" i="9"/>
  <c r="AN778" i="9"/>
  <c r="AN792" i="9"/>
  <c r="AM809" i="9"/>
  <c r="AN812" i="9"/>
  <c r="AN821" i="9"/>
  <c r="AM838" i="9"/>
  <c r="AN875" i="9"/>
  <c r="AN897" i="9"/>
  <c r="AN922" i="9"/>
  <c r="AN1011" i="9"/>
  <c r="AM114" i="9"/>
  <c r="AM122" i="9"/>
  <c r="AM125" i="9"/>
  <c r="AN174" i="9"/>
  <c r="AN180" i="9"/>
  <c r="AN183" i="9"/>
  <c r="AN186" i="9"/>
  <c r="AM194" i="9"/>
  <c r="AN222" i="9"/>
  <c r="AM235" i="9"/>
  <c r="AN262" i="9"/>
  <c r="AM265" i="9"/>
  <c r="AM268" i="9"/>
  <c r="AM300" i="9"/>
  <c r="AM308" i="9"/>
  <c r="AN348" i="9"/>
  <c r="AN364" i="9"/>
  <c r="AN377" i="9"/>
  <c r="AN443" i="9"/>
  <c r="AN517" i="9"/>
  <c r="AN532" i="9"/>
  <c r="AN558" i="9"/>
  <c r="AN577" i="9"/>
  <c r="AN585" i="9"/>
  <c r="AN588" i="9"/>
  <c r="AN591" i="9"/>
  <c r="AM601" i="9"/>
  <c r="AN609" i="9"/>
  <c r="AN634" i="9"/>
  <c r="AM644" i="9"/>
  <c r="AN677" i="9"/>
  <c r="AN680" i="9"/>
  <c r="AN683" i="9"/>
  <c r="AN686" i="9"/>
  <c r="AM742" i="9"/>
  <c r="AN753" i="9"/>
  <c r="AN827" i="9"/>
  <c r="AN847" i="9"/>
  <c r="AN852" i="9"/>
  <c r="AN855" i="9"/>
  <c r="AN886" i="9"/>
  <c r="AM908" i="9"/>
  <c r="AN928" i="9"/>
  <c r="AN942" i="9"/>
  <c r="AN997" i="9"/>
  <c r="AN335" i="9"/>
  <c r="AN351" i="9"/>
  <c r="AN405" i="9"/>
  <c r="AN472" i="9"/>
  <c r="AN493" i="9"/>
  <c r="AN504" i="9"/>
  <c r="AN537" i="9"/>
  <c r="AN550" i="9"/>
  <c r="AM612" i="9"/>
  <c r="AN655" i="9"/>
  <c r="AN703" i="9"/>
  <c r="AN804" i="9"/>
  <c r="AM833" i="9"/>
  <c r="AN940" i="9"/>
  <c r="AN978" i="9"/>
  <c r="AN981" i="9"/>
  <c r="AN989" i="9"/>
  <c r="AM79" i="9"/>
  <c r="AM128" i="9"/>
  <c r="AM136" i="9"/>
  <c r="AN142" i="9"/>
  <c r="AM161" i="9"/>
  <c r="AN189" i="9"/>
  <c r="AN197" i="9"/>
  <c r="AM230" i="9"/>
  <c r="AN243" i="9"/>
  <c r="AN257" i="9"/>
  <c r="AN260" i="9"/>
  <c r="AN276" i="9"/>
  <c r="AM279" i="9"/>
  <c r="AN303" i="9"/>
  <c r="AN306" i="9"/>
  <c r="AN319" i="9"/>
  <c r="AM325" i="9"/>
  <c r="AM343" i="9"/>
  <c r="AM359" i="9"/>
  <c r="AM372" i="9"/>
  <c r="AM393" i="9"/>
  <c r="AM416" i="9"/>
  <c r="AN431" i="9"/>
  <c r="AN441" i="9"/>
  <c r="AM444" i="9"/>
  <c r="AM446" i="9"/>
  <c r="AM462" i="9"/>
  <c r="AM475" i="9"/>
  <c r="AM483" i="9"/>
  <c r="AM496" i="9"/>
  <c r="AN507" i="9"/>
  <c r="AN510" i="9"/>
  <c r="AN520" i="9"/>
  <c r="AN540" i="9"/>
  <c r="AM545" i="9"/>
  <c r="AM553" i="9"/>
  <c r="AM556" i="9"/>
  <c r="AN564" i="9"/>
  <c r="AM567" i="9"/>
  <c r="AM597" i="9"/>
  <c r="AN629" i="9"/>
  <c r="AM632" i="9"/>
  <c r="AM650" i="9"/>
  <c r="AN658" i="9"/>
  <c r="AM661" i="9"/>
  <c r="AM666" i="9"/>
  <c r="AM689" i="9"/>
  <c r="AM720" i="9"/>
  <c r="AN737" i="9"/>
  <c r="AN748" i="9"/>
  <c r="AM762" i="9"/>
  <c r="AN765" i="9"/>
  <c r="AM771" i="9"/>
  <c r="AN779" i="9"/>
  <c r="AN807" i="9"/>
  <c r="AN867" i="9"/>
  <c r="AM876" i="9"/>
  <c r="AM898" i="9"/>
  <c r="AM903" i="9"/>
  <c r="AM920" i="9"/>
  <c r="AM926" i="9"/>
  <c r="AN964" i="9"/>
  <c r="AM970" i="9"/>
  <c r="AN959" i="9"/>
  <c r="AN1009" i="9"/>
  <c r="AN101" i="9"/>
  <c r="AN109" i="9"/>
  <c r="AM156" i="9"/>
  <c r="AN164" i="9"/>
  <c r="AN178" i="9"/>
  <c r="AN187" i="9"/>
  <c r="AM192" i="9"/>
  <c r="AN195" i="9"/>
  <c r="AM209" i="9"/>
  <c r="AM223" i="9"/>
  <c r="AM244" i="9"/>
  <c r="AM255" i="9"/>
  <c r="AM274" i="9"/>
  <c r="AN309" i="9"/>
  <c r="AM317" i="9"/>
  <c r="AM333" i="9"/>
  <c r="AN349" i="9"/>
  <c r="AN390" i="9"/>
  <c r="AM401" i="9"/>
  <c r="AM406" i="9"/>
  <c r="AN411" i="9"/>
  <c r="AN419" i="9"/>
  <c r="AN421" i="9"/>
  <c r="AM491" i="9"/>
  <c r="AM516" i="9"/>
  <c r="AN578" i="9"/>
  <c r="AM583" i="9"/>
  <c r="AM621" i="9"/>
  <c r="AM627" i="9"/>
  <c r="AM645" i="9"/>
  <c r="AN653" i="9"/>
  <c r="AM664" i="9"/>
  <c r="AN675" i="9"/>
  <c r="AN681" i="9"/>
  <c r="AN698" i="9"/>
  <c r="AN723" i="9"/>
  <c r="AM726" i="9"/>
  <c r="AN743" i="9"/>
  <c r="AM757" i="9"/>
  <c r="AN782" i="9"/>
  <c r="AM805" i="9"/>
  <c r="AM834" i="9"/>
  <c r="AM837" i="9"/>
  <c r="AN848" i="9"/>
  <c r="AM856" i="9"/>
  <c r="AN909" i="9"/>
  <c r="AM915" i="9"/>
  <c r="AN976" i="9"/>
  <c r="AM990" i="9"/>
  <c r="AN1001" i="9"/>
  <c r="AN123" i="9"/>
  <c r="AM304" i="9"/>
  <c r="AM312" i="9"/>
  <c r="AM315" i="9"/>
  <c r="AM320" i="9"/>
  <c r="AM336" i="9"/>
  <c r="AM357" i="9"/>
  <c r="AM388" i="9"/>
  <c r="AM409" i="9"/>
  <c r="AM414" i="9"/>
  <c r="AM424" i="9"/>
  <c r="AM427" i="9"/>
  <c r="AM429" i="9"/>
  <c r="AM434" i="9"/>
  <c r="AM439" i="9"/>
  <c r="AM494" i="9"/>
  <c r="AM518" i="9"/>
  <c r="AM523" i="9"/>
  <c r="AM538" i="9"/>
  <c r="AM562" i="9"/>
  <c r="AM565" i="9"/>
  <c r="AM630" i="9"/>
  <c r="AM659" i="9"/>
  <c r="AM704" i="9"/>
  <c r="AM707" i="9"/>
  <c r="AM729" i="9"/>
  <c r="AM732" i="9"/>
  <c r="AM735" i="9"/>
  <c r="AM741" i="9"/>
  <c r="AM746" i="9"/>
  <c r="AM751" i="9"/>
  <c r="AM774" i="9"/>
  <c r="AM808" i="9"/>
  <c r="AN859" i="9"/>
  <c r="AM862" i="9"/>
  <c r="AM868" i="9"/>
  <c r="AM904" i="9"/>
  <c r="AN918" i="9"/>
  <c r="AM952" i="9"/>
  <c r="AM1013" i="9"/>
  <c r="AN80" i="9"/>
  <c r="AM137" i="9"/>
  <c r="AM198" i="9"/>
  <c r="AN221" i="9"/>
  <c r="AM280" i="9"/>
  <c r="AN283" i="9"/>
  <c r="AM344" i="9"/>
  <c r="AM347" i="9"/>
  <c r="AM355" i="9"/>
  <c r="AM360" i="9"/>
  <c r="AM363" i="9"/>
  <c r="AM391" i="9"/>
  <c r="AN396" i="9"/>
  <c r="AM417" i="9"/>
  <c r="AM432" i="9"/>
  <c r="AM460" i="9"/>
  <c r="AM481" i="9"/>
  <c r="AM497" i="9"/>
  <c r="AM541" i="9"/>
  <c r="AM568" i="9"/>
  <c r="AM616" i="9"/>
  <c r="AM667" i="9"/>
  <c r="AM670" i="9"/>
  <c r="AM690" i="9"/>
  <c r="AN712" i="9"/>
  <c r="AM721" i="9"/>
  <c r="AM760" i="9"/>
  <c r="AM766" i="9"/>
  <c r="AM777" i="9"/>
  <c r="AM791" i="9"/>
  <c r="AM817" i="9"/>
  <c r="AM820" i="9"/>
  <c r="AM971" i="9"/>
  <c r="AN15" i="9"/>
  <c r="AM18" i="9"/>
  <c r="AN25" i="9"/>
  <c r="AN37" i="9"/>
  <c r="AN42" i="9"/>
  <c r="AN59" i="9"/>
  <c r="AN78" i="9"/>
  <c r="AM81" i="9"/>
  <c r="AN151" i="9"/>
  <c r="AN175" i="9"/>
  <c r="AM182" i="9"/>
  <c r="AN194" i="9"/>
  <c r="AM208" i="9"/>
  <c r="AM213" i="9"/>
  <c r="AM215" i="9"/>
  <c r="AM225" i="9"/>
  <c r="AM246" i="9"/>
  <c r="AN290" i="9"/>
  <c r="AN297" i="9"/>
  <c r="AN304" i="9"/>
  <c r="AM309" i="9"/>
  <c r="AN311" i="9"/>
  <c r="AN314" i="9"/>
  <c r="AN342" i="9"/>
  <c r="AN345" i="9"/>
  <c r="AN355" i="9"/>
  <c r="AN357" i="9"/>
  <c r="AM30" i="9"/>
  <c r="AN35" i="9"/>
  <c r="AM45" i="9"/>
  <c r="AN47" i="9"/>
  <c r="AN64" i="9"/>
  <c r="AN71" i="9"/>
  <c r="AN76" i="9"/>
  <c r="AN86" i="9"/>
  <c r="AN93" i="9"/>
  <c r="AN107" i="9"/>
  <c r="AN128" i="9"/>
  <c r="AN137" i="9"/>
  <c r="AM140" i="9"/>
  <c r="AM142" i="9"/>
  <c r="AM145" i="9"/>
  <c r="AM157" i="9"/>
  <c r="AN166" i="9"/>
  <c r="AN171" i="9"/>
  <c r="AM173" i="9"/>
  <c r="AM185" i="9"/>
  <c r="AM206" i="9"/>
  <c r="AM232" i="9"/>
  <c r="AM239" i="9"/>
  <c r="AM283" i="9"/>
  <c r="AM302" i="9"/>
  <c r="AM331" i="9"/>
  <c r="AN350" i="9"/>
  <c r="AN400" i="9"/>
  <c r="AN458" i="9"/>
  <c r="AM458" i="9"/>
  <c r="AM479" i="9"/>
  <c r="AN479" i="9"/>
  <c r="AM52" i="9"/>
  <c r="AM100" i="9"/>
  <c r="AM109" i="9"/>
  <c r="AM123" i="9"/>
  <c r="AM162" i="9"/>
  <c r="AM178" i="9"/>
  <c r="AM180" i="9"/>
  <c r="AM204" i="9"/>
  <c r="AM211" i="9"/>
  <c r="AM307" i="9"/>
  <c r="AM348" i="9"/>
  <c r="AN403" i="9"/>
  <c r="AN563" i="9"/>
  <c r="AN16" i="9"/>
  <c r="AN23" i="9"/>
  <c r="AN40" i="9"/>
  <c r="AN50" i="9"/>
  <c r="AN57" i="9"/>
  <c r="AM60" i="9"/>
  <c r="AN69" i="9"/>
  <c r="AN74" i="9"/>
  <c r="AM91" i="9"/>
  <c r="AN105" i="9"/>
  <c r="AN121" i="9"/>
  <c r="AN152" i="9"/>
  <c r="AN155" i="9"/>
  <c r="AN160" i="9"/>
  <c r="AN202" i="9"/>
  <c r="AM252" i="9"/>
  <c r="AN254" i="9"/>
  <c r="AN259" i="9"/>
  <c r="AN271" i="9"/>
  <c r="AM276" i="9"/>
  <c r="AN281" i="9"/>
  <c r="AN298" i="9"/>
  <c r="AN322" i="9"/>
  <c r="AM324" i="9"/>
  <c r="AN329" i="9"/>
  <c r="AN336" i="9"/>
  <c r="AN343" i="9"/>
  <c r="AN346" i="9"/>
  <c r="AN368" i="9"/>
  <c r="AN393" i="9"/>
  <c r="AN19" i="9"/>
  <c r="AN28" i="9"/>
  <c r="AN77" i="9"/>
  <c r="AN82" i="9"/>
  <c r="AN98" i="9"/>
  <c r="AM103" i="9"/>
  <c r="AN112" i="9"/>
  <c r="AM124" i="9"/>
  <c r="AN126" i="9"/>
  <c r="AM129" i="9"/>
  <c r="AN131" i="9"/>
  <c r="AN138" i="9"/>
  <c r="AM150" i="9"/>
  <c r="AN169" i="9"/>
  <c r="AM172" i="9"/>
  <c r="AN176" i="9"/>
  <c r="AM190" i="9"/>
  <c r="AN216" i="9"/>
  <c r="AN219" i="9"/>
  <c r="AM247" i="9"/>
  <c r="AM257" i="9"/>
  <c r="AM264" i="9"/>
  <c r="AN291" i="9"/>
  <c r="AN293" i="9"/>
  <c r="AM310" i="9"/>
  <c r="AN339" i="9"/>
  <c r="AN341" i="9"/>
  <c r="AM361" i="9"/>
  <c r="AN371" i="9"/>
  <c r="AN373" i="9"/>
  <c r="AN428" i="9"/>
  <c r="AN477" i="9"/>
  <c r="AM477" i="9"/>
  <c r="AM26" i="9"/>
  <c r="AM31" i="9"/>
  <c r="AM43" i="9"/>
  <c r="AM53" i="9"/>
  <c r="AM55" i="9"/>
  <c r="AN60" i="9"/>
  <c r="AM87" i="9"/>
  <c r="AN91" i="9"/>
  <c r="AM119" i="9"/>
  <c r="AN141" i="9"/>
  <c r="AM146" i="9"/>
  <c r="AM158" i="9"/>
  <c r="AM174" i="9"/>
  <c r="AM183" i="9"/>
  <c r="AM188" i="9"/>
  <c r="AM195" i="9"/>
  <c r="AM214" i="9"/>
  <c r="AM221" i="9"/>
  <c r="AM228" i="9"/>
  <c r="AM233" i="9"/>
  <c r="AM240" i="9"/>
  <c r="AM245" i="9"/>
  <c r="AM269" i="9"/>
  <c r="AM286" i="9"/>
  <c r="AM334" i="9"/>
  <c r="AN358" i="9"/>
  <c r="AM364" i="9"/>
  <c r="AN14" i="9"/>
  <c r="AN24" i="9"/>
  <c r="AN41" i="9"/>
  <c r="AN58" i="9"/>
  <c r="AN94" i="9"/>
  <c r="AN110" i="9"/>
  <c r="AN153" i="9"/>
  <c r="AN165" i="9"/>
  <c r="AN193" i="9"/>
  <c r="AN282" i="9"/>
  <c r="AN313" i="9"/>
  <c r="AN327" i="9"/>
  <c r="AN330" i="9"/>
  <c r="AN17" i="9"/>
  <c r="AN34" i="9"/>
  <c r="AN70" i="9"/>
  <c r="AN75" i="9"/>
  <c r="AN85" i="9"/>
  <c r="AN99" i="9"/>
  <c r="AM101" i="9"/>
  <c r="AN115" i="9"/>
  <c r="AN117" i="9"/>
  <c r="AN122" i="9"/>
  <c r="AN177" i="9"/>
  <c r="AM179" i="9"/>
  <c r="AN203" i="9"/>
  <c r="AN210" i="9"/>
  <c r="AM212" i="9"/>
  <c r="AN217" i="9"/>
  <c r="AN255" i="9"/>
  <c r="AM260" i="9"/>
  <c r="AN275" i="9"/>
  <c r="AN277" i="9"/>
  <c r="AM294" i="9"/>
  <c r="AN323" i="9"/>
  <c r="AN325" i="9"/>
  <c r="AM349" i="9"/>
  <c r="AN384" i="9"/>
  <c r="AN409" i="9"/>
  <c r="AM412" i="9"/>
  <c r="AN499" i="9"/>
  <c r="AM499" i="9"/>
  <c r="AN44" i="9"/>
  <c r="AN49" i="9"/>
  <c r="AM54" i="9"/>
  <c r="AM66" i="9"/>
  <c r="AN83" i="9"/>
  <c r="AM106" i="9"/>
  <c r="AN134" i="9"/>
  <c r="AN144" i="9"/>
  <c r="AM159" i="9"/>
  <c r="AM184" i="9"/>
  <c r="AM191" i="9"/>
  <c r="AM222" i="9"/>
  <c r="AM229" i="9"/>
  <c r="AM231" i="9"/>
  <c r="AN238" i="9"/>
  <c r="AM241" i="9"/>
  <c r="AN251" i="9"/>
  <c r="AM270" i="9"/>
  <c r="AM318" i="9"/>
  <c r="AM352" i="9"/>
  <c r="AM377" i="9"/>
  <c r="AN374" i="9"/>
  <c r="AN511" i="9"/>
  <c r="AM511" i="9"/>
  <c r="AM261" i="9"/>
  <c r="AM263" i="9"/>
  <c r="AM273" i="9"/>
  <c r="AN289" i="9"/>
  <c r="AN305" i="9"/>
  <c r="AN321" i="9"/>
  <c r="AN337" i="9"/>
  <c r="AN353" i="9"/>
  <c r="AN369" i="9"/>
  <c r="AN385" i="9"/>
  <c r="AN401" i="9"/>
  <c r="AN417" i="9"/>
  <c r="AN433" i="9"/>
  <c r="AM451" i="9"/>
  <c r="AN453" i="9"/>
  <c r="AN460" i="9"/>
  <c r="AN463" i="9"/>
  <c r="AM492" i="9"/>
  <c r="AN501" i="9"/>
  <c r="AM504" i="9"/>
  <c r="AM513" i="9"/>
  <c r="AN522" i="9"/>
  <c r="AN527" i="9"/>
  <c r="AM532" i="9"/>
  <c r="AM534" i="9"/>
  <c r="AN547" i="9"/>
  <c r="AN555" i="9"/>
  <c r="AM566" i="9"/>
  <c r="AN587" i="9"/>
  <c r="AN682" i="9"/>
  <c r="AM682" i="9"/>
  <c r="AN710" i="9"/>
  <c r="AM869" i="9"/>
  <c r="AN869" i="9"/>
  <c r="AN280" i="9"/>
  <c r="AM287" i="9"/>
  <c r="AN296" i="9"/>
  <c r="AM303" i="9"/>
  <c r="AN312" i="9"/>
  <c r="AM319" i="9"/>
  <c r="AN328" i="9"/>
  <c r="AM335" i="9"/>
  <c r="AN344" i="9"/>
  <c r="AM351" i="9"/>
  <c r="AN360" i="9"/>
  <c r="AM367" i="9"/>
  <c r="AN376" i="9"/>
  <c r="AM383" i="9"/>
  <c r="AN392" i="9"/>
  <c r="AM399" i="9"/>
  <c r="AN408" i="9"/>
  <c r="AM415" i="9"/>
  <c r="AN424" i="9"/>
  <c r="AM431" i="9"/>
  <c r="AN440" i="9"/>
  <c r="AM447" i="9"/>
  <c r="AN456" i="9"/>
  <c r="AM468" i="9"/>
  <c r="AN475" i="9"/>
  <c r="AN488" i="9"/>
  <c r="AM495" i="9"/>
  <c r="AM520" i="9"/>
  <c r="AM530" i="9"/>
  <c r="AM577" i="9"/>
  <c r="AN614" i="9"/>
  <c r="AM614" i="9"/>
  <c r="AN628" i="9"/>
  <c r="AM628" i="9"/>
  <c r="AM438" i="9"/>
  <c r="AM473" i="9"/>
  <c r="AM482" i="9"/>
  <c r="AM484" i="9"/>
  <c r="AM506" i="9"/>
  <c r="AM537" i="9"/>
  <c r="AM539" i="9"/>
  <c r="AM551" i="9"/>
  <c r="AM558" i="9"/>
  <c r="AN818" i="9"/>
  <c r="AM818" i="9"/>
  <c r="AN925" i="9"/>
  <c r="AM925" i="9"/>
  <c r="AN338" i="9"/>
  <c r="AN354" i="9"/>
  <c r="AN370" i="9"/>
  <c r="AN386" i="9"/>
  <c r="AN402" i="9"/>
  <c r="AN418" i="9"/>
  <c r="AN454" i="9"/>
  <c r="AM466" i="9"/>
  <c r="AN486" i="9"/>
  <c r="AN502" i="9"/>
  <c r="AN533" i="9"/>
  <c r="AM425" i="9"/>
  <c r="AM441" i="9"/>
  <c r="AM459" i="9"/>
  <c r="AM480" i="9"/>
  <c r="AM489" i="9"/>
  <c r="AM514" i="9"/>
  <c r="AN528" i="9"/>
  <c r="AM575" i="9"/>
  <c r="AM469" i="9"/>
  <c r="AM500" i="9"/>
  <c r="AM507" i="9"/>
  <c r="AN607" i="9"/>
  <c r="AM607" i="9"/>
  <c r="AM884" i="9"/>
  <c r="AN884" i="9"/>
  <c r="AN816" i="9"/>
  <c r="AM816" i="9"/>
  <c r="AN432" i="9"/>
  <c r="AN448" i="9"/>
  <c r="AN462" i="9"/>
  <c r="AN483" i="9"/>
  <c r="AN496" i="9"/>
  <c r="AN521" i="9"/>
  <c r="AN589" i="9"/>
  <c r="AN973" i="9"/>
  <c r="AM973" i="9"/>
  <c r="AN503" i="9"/>
  <c r="AN526" i="9"/>
  <c r="AN531" i="9"/>
  <c r="AN557" i="9"/>
  <c r="AM643" i="9"/>
  <c r="AN643" i="9"/>
  <c r="AN359" i="9"/>
  <c r="AN362" i="9"/>
  <c r="AN366" i="9"/>
  <c r="AN375" i="9"/>
  <c r="AN378" i="9"/>
  <c r="AN382" i="9"/>
  <c r="AN391" i="9"/>
  <c r="AN394" i="9"/>
  <c r="AN398" i="9"/>
  <c r="AN407" i="9"/>
  <c r="AN410" i="9"/>
  <c r="AN414" i="9"/>
  <c r="AN423" i="9"/>
  <c r="AN426" i="9"/>
  <c r="AN430" i="9"/>
  <c r="AN439" i="9"/>
  <c r="AN442" i="9"/>
  <c r="AN446" i="9"/>
  <c r="AN455" i="9"/>
  <c r="AM467" i="9"/>
  <c r="AN470" i="9"/>
  <c r="AN474" i="9"/>
  <c r="AN490" i="9"/>
  <c r="AN494" i="9"/>
  <c r="AM508" i="9"/>
  <c r="AN515" i="9"/>
  <c r="AN519" i="9"/>
  <c r="AM524" i="9"/>
  <c r="AM536" i="9"/>
  <c r="AM550" i="9"/>
  <c r="AN568" i="9"/>
  <c r="AN735" i="9"/>
  <c r="AN932" i="9"/>
  <c r="AM932" i="9"/>
  <c r="AM548" i="9"/>
  <c r="AN553" i="9"/>
  <c r="AN560" i="9"/>
  <c r="AN570" i="9"/>
  <c r="AM584" i="9"/>
  <c r="AM606" i="9"/>
  <c r="AM611" i="9"/>
  <c r="AM613" i="9"/>
  <c r="AN618" i="9"/>
  <c r="AN623" i="9"/>
  <c r="AM640" i="9"/>
  <c r="AN647" i="9"/>
  <c r="AM677" i="9"/>
  <c r="AM692" i="9"/>
  <c r="AN702" i="9"/>
  <c r="AM717" i="9"/>
  <c r="AM727" i="9"/>
  <c r="AN732" i="9"/>
  <c r="AM737" i="9"/>
  <c r="AN754" i="9"/>
  <c r="AM759" i="9"/>
  <c r="AN764" i="9"/>
  <c r="AM769" i="9"/>
  <c r="AN786" i="9"/>
  <c r="AM789" i="9"/>
  <c r="AN791" i="9"/>
  <c r="AN801" i="9"/>
  <c r="AM811" i="9"/>
  <c r="AM823" i="9"/>
  <c r="AN831" i="9"/>
  <c r="AN841" i="9"/>
  <c r="AN846" i="9"/>
  <c r="AM866" i="9"/>
  <c r="AM874" i="9"/>
  <c r="AN889" i="9"/>
  <c r="AN894" i="9"/>
  <c r="AN914" i="9"/>
  <c r="AM927" i="9"/>
  <c r="AM955" i="9"/>
  <c r="AM960" i="9"/>
  <c r="AM978" i="9"/>
  <c r="AN1003" i="9"/>
  <c r="AN604" i="9"/>
  <c r="AM626" i="9"/>
  <c r="AN633" i="9"/>
  <c r="AN638" i="9"/>
  <c r="AN645" i="9"/>
  <c r="AN650" i="9"/>
  <c r="AN657" i="9"/>
  <c r="AN667" i="9"/>
  <c r="AN672" i="9"/>
  <c r="AM680" i="9"/>
  <c r="AN725" i="9"/>
  <c r="AN757" i="9"/>
  <c r="AN794" i="9"/>
  <c r="AM799" i="9"/>
  <c r="AN839" i="9"/>
  <c r="AN844" i="9"/>
  <c r="AN849" i="9"/>
  <c r="AM897" i="9"/>
  <c r="AN902" i="9"/>
  <c r="AM907" i="9"/>
  <c r="AN912" i="9"/>
  <c r="AN917" i="9"/>
  <c r="AM937" i="9"/>
  <c r="AN945" i="9"/>
  <c r="AN948" i="9"/>
  <c r="AM968" i="9"/>
  <c r="AM976" i="9"/>
  <c r="AN993" i="9"/>
  <c r="AM1006" i="9"/>
  <c r="AN580" i="9"/>
  <c r="AM592" i="9"/>
  <c r="AM609" i="9"/>
  <c r="AN616" i="9"/>
  <c r="AM631" i="9"/>
  <c r="AM648" i="9"/>
  <c r="AM660" i="9"/>
  <c r="AN670" i="9"/>
  <c r="AM695" i="9"/>
  <c r="AN700" i="9"/>
  <c r="AN705" i="9"/>
  <c r="AM718" i="9"/>
  <c r="AN720" i="9"/>
  <c r="AM723" i="9"/>
  <c r="AN730" i="9"/>
  <c r="AM750" i="9"/>
  <c r="AN752" i="9"/>
  <c r="AM755" i="9"/>
  <c r="AN762" i="9"/>
  <c r="AM782" i="9"/>
  <c r="AN784" i="9"/>
  <c r="AN787" i="9"/>
  <c r="AM792" i="9"/>
  <c r="AM814" i="9"/>
  <c r="AN826" i="9"/>
  <c r="AN834" i="9"/>
  <c r="AN837" i="9"/>
  <c r="AN864" i="9"/>
  <c r="AN892" i="9"/>
  <c r="AN923" i="9"/>
  <c r="AN930" i="9"/>
  <c r="AN937" i="9"/>
  <c r="AN953" i="9"/>
  <c r="AN971" i="9"/>
  <c r="AN991" i="9"/>
  <c r="AM1004" i="9"/>
  <c r="AN544" i="9"/>
  <c r="AN561" i="9"/>
  <c r="AN573" i="9"/>
  <c r="AM578" i="9"/>
  <c r="AM585" i="9"/>
  <c r="AM595" i="9"/>
  <c r="AN602" i="9"/>
  <c r="AN619" i="9"/>
  <c r="AM624" i="9"/>
  <c r="AM629" i="9"/>
  <c r="AN636" i="9"/>
  <c r="AN641" i="9"/>
  <c r="AN665" i="9"/>
  <c r="AM668" i="9"/>
  <c r="AM673" i="9"/>
  <c r="AM683" i="9"/>
  <c r="AM688" i="9"/>
  <c r="AM693" i="9"/>
  <c r="AN708" i="9"/>
  <c r="AM713" i="9"/>
  <c r="AM733" i="9"/>
  <c r="AN745" i="9"/>
  <c r="AM748" i="9"/>
  <c r="AM765" i="9"/>
  <c r="AN777" i="9"/>
  <c r="AM780" i="9"/>
  <c r="AN814" i="9"/>
  <c r="AM819" i="9"/>
  <c r="AN832" i="9"/>
  <c r="AM840" i="9"/>
  <c r="AM852" i="9"/>
  <c r="AM875" i="9"/>
  <c r="AM885" i="9"/>
  <c r="AN887" i="9"/>
  <c r="AN890" i="9"/>
  <c r="AN895" i="9"/>
  <c r="AN900" i="9"/>
  <c r="AM905" i="9"/>
  <c r="AN910" i="9"/>
  <c r="AM928" i="9"/>
  <c r="AM956" i="9"/>
  <c r="AN961" i="9"/>
  <c r="AN966" i="9"/>
  <c r="AM974" i="9"/>
  <c r="AM984" i="9"/>
  <c r="AN559" i="9"/>
  <c r="AM564" i="9"/>
  <c r="AM651" i="9"/>
  <c r="AM658" i="9"/>
  <c r="AM663" i="9"/>
  <c r="AM686" i="9"/>
  <c r="AM716" i="9"/>
  <c r="AM753" i="9"/>
  <c r="AM775" i="9"/>
  <c r="AM785" i="9"/>
  <c r="AN795" i="9"/>
  <c r="AN809" i="9"/>
  <c r="AM824" i="9"/>
  <c r="AM827" i="9"/>
  <c r="AM835" i="9"/>
  <c r="AM880" i="9"/>
  <c r="AN920" i="9"/>
  <c r="AN996" i="9"/>
  <c r="AM678" i="9"/>
  <c r="AN728" i="9"/>
  <c r="AN760" i="9"/>
  <c r="AM790" i="9"/>
  <c r="AN913" i="9"/>
  <c r="AN946" i="9"/>
  <c r="AN949" i="9"/>
  <c r="AN969" i="9"/>
  <c r="AN1007" i="9"/>
  <c r="AN552" i="9"/>
  <c r="AM554" i="9"/>
  <c r="AN569" i="9"/>
  <c r="AM588" i="9"/>
  <c r="AN593" i="9"/>
  <c r="AN617" i="9"/>
  <c r="AM622" i="9"/>
  <c r="AM634" i="9"/>
  <c r="AN661" i="9"/>
  <c r="AN676" i="9"/>
  <c r="AM681" i="9"/>
  <c r="AM701" i="9"/>
  <c r="AN711" i="9"/>
  <c r="AM736" i="9"/>
  <c r="AN741" i="9"/>
  <c r="AM768" i="9"/>
  <c r="AN773" i="9"/>
  <c r="AN788" i="9"/>
  <c r="AN800" i="9"/>
  <c r="AN815" i="9"/>
  <c r="AN817" i="9"/>
  <c r="AN822" i="9"/>
  <c r="AN845" i="9"/>
  <c r="AN865" i="9"/>
  <c r="AM873" i="9"/>
  <c r="AN878" i="9"/>
  <c r="AM888" i="9"/>
  <c r="AN893" i="9"/>
  <c r="AM921" i="9"/>
  <c r="AM924" i="9"/>
  <c r="AN926" i="9"/>
  <c r="AM931" i="9"/>
  <c r="AN933" i="9"/>
  <c r="AM936" i="9"/>
  <c r="AN938" i="9"/>
  <c r="AN941" i="9"/>
  <c r="AM954" i="9"/>
  <c r="AM972" i="9"/>
  <c r="AN977" i="9"/>
  <c r="AM982" i="9"/>
  <c r="AN987" i="9"/>
  <c r="AM992" i="9"/>
  <c r="AM944" i="9"/>
  <c r="AM1010" i="9"/>
  <c r="AN576" i="9"/>
  <c r="AN586" i="9"/>
  <c r="AN603" i="9"/>
  <c r="AN620" i="9"/>
  <c r="AN625" i="9"/>
  <c r="AN637" i="9"/>
  <c r="AN656" i="9"/>
  <c r="AN684" i="9"/>
  <c r="AN689" i="9"/>
  <c r="AN691" i="9"/>
  <c r="AN696" i="9"/>
  <c r="AN709" i="9"/>
  <c r="AN714" i="9"/>
  <c r="AN734" i="9"/>
  <c r="AN766" i="9"/>
  <c r="AN793" i="9"/>
  <c r="AN798" i="9"/>
  <c r="AN805" i="9"/>
  <c r="AN813" i="9"/>
  <c r="AN820" i="9"/>
  <c r="AN863" i="9"/>
  <c r="AN868" i="9"/>
  <c r="AN876" i="9"/>
  <c r="AM896" i="9"/>
  <c r="AN901" i="9"/>
  <c r="AN911" i="9"/>
  <c r="AN916" i="9"/>
  <c r="AN929" i="9"/>
  <c r="AN543" i="9"/>
  <c r="AN596" i="9"/>
  <c r="AN615" i="9"/>
  <c r="AN652" i="9"/>
  <c r="AN654" i="9"/>
  <c r="AN669" i="9"/>
  <c r="AN704" i="9"/>
  <c r="AM749" i="9"/>
  <c r="AN761" i="9"/>
  <c r="AM781" i="9"/>
  <c r="AN796" i="9"/>
  <c r="AN843" i="9"/>
  <c r="AN853" i="9"/>
  <c r="AN858" i="9"/>
  <c r="AN861" i="9"/>
  <c r="AN881" i="9"/>
  <c r="AN906" i="9"/>
  <c r="AN919" i="9"/>
  <c r="AN947" i="9"/>
  <c r="AN985" i="9"/>
  <c r="AN995" i="9"/>
  <c r="AM1005" i="9"/>
  <c r="E41" i="3"/>
  <c r="O50" i="4"/>
  <c r="N51" i="4"/>
  <c r="O51" i="4"/>
  <c r="O52" i="4"/>
  <c r="P52" i="4" s="1"/>
  <c r="N50" i="4"/>
  <c r="Z9" i="2"/>
  <c r="V21" i="2" s="1" a="1"/>
  <c r="V21" i="2" s="1"/>
  <c r="K32" i="5"/>
  <c r="I32" i="5"/>
  <c r="E34" i="3"/>
  <c r="I46" i="5"/>
  <c r="K46" i="5"/>
  <c r="K37" i="5"/>
  <c r="I37" i="5"/>
  <c r="K28" i="5"/>
  <c r="I28" i="5"/>
  <c r="K56" i="5"/>
  <c r="I56" i="5"/>
  <c r="K42" i="5"/>
  <c r="I42" i="5"/>
  <c r="I38" i="5"/>
  <c r="K38" i="5"/>
  <c r="I52" i="5"/>
  <c r="K52" i="5"/>
  <c r="K61" i="5"/>
  <c r="I61" i="5"/>
  <c r="N24" i="2"/>
  <c r="N26" i="2" s="1"/>
  <c r="Z11" i="2" s="1"/>
  <c r="AB22" i="2"/>
  <c r="AB24" i="2" s="1"/>
  <c r="K29" i="5"/>
  <c r="I29" i="5"/>
  <c r="K34" i="5"/>
  <c r="I34" i="5"/>
  <c r="K48" i="5"/>
  <c r="I48" i="5"/>
  <c r="K53" i="5"/>
  <c r="I53" i="5"/>
  <c r="I30" i="5"/>
  <c r="K30" i="5"/>
  <c r="K44" i="5"/>
  <c r="I44" i="5"/>
  <c r="K49" i="5"/>
  <c r="I49" i="5"/>
  <c r="K40" i="5"/>
  <c r="I40" i="5"/>
  <c r="B29" i="3"/>
  <c r="B22" i="3"/>
  <c r="K45" i="5"/>
  <c r="I45" i="5"/>
  <c r="K50" i="5"/>
  <c r="I50" i="5"/>
  <c r="K36" i="5"/>
  <c r="I36" i="5"/>
  <c r="B30" i="3"/>
  <c r="B35" i="3"/>
  <c r="I51" i="5"/>
  <c r="B24" i="3"/>
  <c r="B36" i="3"/>
  <c r="B40" i="3"/>
  <c r="I59" i="5"/>
  <c r="B25" i="3"/>
  <c r="B31" i="3"/>
  <c r="E36" i="3"/>
  <c r="I27" i="5"/>
  <c r="I35" i="5"/>
  <c r="I43" i="5"/>
  <c r="I55" i="5"/>
  <c r="K27" i="5"/>
  <c r="K35" i="5"/>
  <c r="K43" i="5"/>
  <c r="K55" i="5"/>
  <c r="B32" i="3"/>
  <c r="I54" i="5"/>
  <c r="I33" i="5"/>
  <c r="I41" i="5"/>
  <c r="K58" i="5"/>
  <c r="B38" i="3"/>
  <c r="K54" i="5"/>
  <c r="X12" i="9"/>
  <c r="I57" i="5"/>
  <c r="B34" i="3"/>
  <c r="E38" i="3"/>
  <c r="B53" i="3"/>
  <c r="Y12" i="9" s="1"/>
  <c r="I31" i="5"/>
  <c r="I39" i="5"/>
  <c r="I47" i="5"/>
  <c r="I60" i="5"/>
  <c r="B39" i="3"/>
  <c r="K31" i="5"/>
  <c r="K39" i="5"/>
  <c r="K47" i="5"/>
  <c r="K60" i="5"/>
  <c r="AO12" i="9"/>
  <c r="AM118" i="9"/>
  <c r="AN31" i="9"/>
  <c r="AM152" i="9"/>
  <c r="AN170" i="9"/>
  <c r="AM217" i="9"/>
  <c r="AN226" i="9"/>
  <c r="AN241" i="9"/>
  <c r="AN256" i="9"/>
  <c r="AM14" i="9"/>
  <c r="AM19" i="9"/>
  <c r="AM48" i="9"/>
  <c r="AM70" i="9"/>
  <c r="AM72" i="9"/>
  <c r="AM111" i="9"/>
  <c r="AM193" i="9"/>
  <c r="AN232" i="9"/>
  <c r="AN104" i="9"/>
  <c r="AM155" i="9"/>
  <c r="AN184" i="9"/>
  <c r="AN208" i="9"/>
  <c r="AN223" i="9"/>
  <c r="AM29" i="9"/>
  <c r="AN63" i="9"/>
  <c r="AM75" i="9"/>
  <c r="AM168" i="9"/>
  <c r="AN199" i="9"/>
  <c r="AN242" i="9"/>
  <c r="AM251" i="9"/>
  <c r="AN272" i="9"/>
  <c r="AM15" i="9"/>
  <c r="AM46" i="9"/>
  <c r="AM51" i="9"/>
  <c r="AM80" i="9"/>
  <c r="AM92" i="9"/>
  <c r="AM102" i="9"/>
  <c r="AM133" i="9"/>
  <c r="AM138" i="9"/>
  <c r="AM143" i="9"/>
  <c r="AN181" i="9"/>
  <c r="AM297" i="9"/>
  <c r="AN233" i="9"/>
  <c r="AN248" i="9"/>
  <c r="AN136" i="9"/>
  <c r="AM153" i="9"/>
  <c r="AM171" i="9"/>
  <c r="AN185" i="9"/>
  <c r="AM203" i="9"/>
  <c r="AN209" i="9"/>
  <c r="AM218" i="9"/>
  <c r="AM61" i="9"/>
  <c r="AN95" i="9"/>
  <c r="AM107" i="9"/>
  <c r="AN200" i="9"/>
  <c r="AN224" i="9"/>
  <c r="AN258" i="9"/>
  <c r="AM267" i="9"/>
  <c r="AN288" i="9"/>
  <c r="AN88" i="9"/>
  <c r="AM134" i="9"/>
  <c r="AN161" i="9"/>
  <c r="AN191" i="9"/>
  <c r="AN215" i="9"/>
  <c r="AM59" i="9"/>
  <c r="AM141" i="9"/>
  <c r="AM177" i="9"/>
  <c r="AN234" i="9"/>
  <c r="AM234" i="9"/>
  <c r="AN249" i="9"/>
  <c r="AN279" i="9"/>
  <c r="AM93" i="9"/>
  <c r="AN127" i="9"/>
  <c r="AM139" i="9"/>
  <c r="AN154" i="9"/>
  <c r="AN201" i="9"/>
  <c r="AM216" i="9"/>
  <c r="AM219" i="9"/>
  <c r="AN225" i="9"/>
  <c r="AN240" i="9"/>
  <c r="AN274" i="9"/>
  <c r="AM186" i="9"/>
  <c r="AN79" i="9"/>
  <c r="AN192" i="9"/>
  <c r="AN207" i="9"/>
  <c r="AN231" i="9"/>
  <c r="AN250" i="9"/>
  <c r="AM250" i="9"/>
  <c r="AN265" i="9"/>
  <c r="AN295" i="9"/>
  <c r="AN706" i="9"/>
  <c r="AM706" i="9"/>
  <c r="AN497" i="9"/>
  <c r="AN574" i="9"/>
  <c r="AM590" i="9"/>
  <c r="AN538" i="9"/>
  <c r="AN624" i="9"/>
  <c r="AN729" i="9"/>
  <c r="AN772" i="9"/>
  <c r="AM772" i="9"/>
  <c r="AN481" i="9"/>
  <c r="AM509" i="9"/>
  <c r="AM521" i="9"/>
  <c r="AN556" i="9"/>
  <c r="AM569" i="9"/>
  <c r="AM610" i="9"/>
  <c r="AN642" i="9"/>
  <c r="AN697" i="9"/>
  <c r="AN713" i="9"/>
  <c r="AM502" i="9"/>
  <c r="AN572" i="9"/>
  <c r="AN599" i="9"/>
  <c r="AN613" i="9"/>
  <c r="AN663" i="9"/>
  <c r="AM669" i="9"/>
  <c r="AN756" i="9"/>
  <c r="AM756" i="9"/>
  <c r="AM543" i="9"/>
  <c r="AN465" i="9"/>
  <c r="AM493" i="9"/>
  <c r="AM529" i="9"/>
  <c r="AM559" i="9"/>
  <c r="AM685" i="9"/>
  <c r="AN740" i="9"/>
  <c r="AM740" i="9"/>
  <c r="AN763" i="9"/>
  <c r="AM763" i="9"/>
  <c r="AN536" i="9"/>
  <c r="AM600" i="9"/>
  <c r="AN608" i="9"/>
  <c r="AN679" i="9"/>
  <c r="AN717" i="9"/>
  <c r="AN701" i="9"/>
  <c r="AN747" i="9"/>
  <c r="AM747" i="9"/>
  <c r="AN449" i="9"/>
  <c r="AN549" i="9"/>
  <c r="AN597" i="9"/>
  <c r="AN631" i="9"/>
  <c r="AN649" i="9"/>
  <c r="AN695" i="9"/>
  <c r="AM724" i="9"/>
  <c r="AM266" i="9"/>
  <c r="AM282" i="9"/>
  <c r="AM298" i="9"/>
  <c r="AM314" i="9"/>
  <c r="AM330" i="9"/>
  <c r="AM346" i="9"/>
  <c r="AM362" i="9"/>
  <c r="AM378" i="9"/>
  <c r="AM394" i="9"/>
  <c r="AM410" i="9"/>
  <c r="AM426" i="9"/>
  <c r="AM442" i="9"/>
  <c r="AM463" i="9"/>
  <c r="AM510" i="9"/>
  <c r="AM557" i="9"/>
  <c r="AN565" i="9"/>
  <c r="AM637" i="9"/>
  <c r="AN640" i="9"/>
  <c r="AN731" i="9"/>
  <c r="AM731" i="9"/>
  <c r="AM527" i="9"/>
  <c r="AM573" i="9"/>
  <c r="AN581" i="9"/>
  <c r="AN715" i="9"/>
  <c r="AM715" i="9"/>
  <c r="AM461" i="9"/>
  <c r="AM589" i="9"/>
  <c r="AN592" i="9"/>
  <c r="AN606" i="9"/>
  <c r="AN626" i="9"/>
  <c r="AN674" i="9"/>
  <c r="AM454" i="9"/>
  <c r="AN513" i="9"/>
  <c r="AM525" i="9"/>
  <c r="AM623" i="9"/>
  <c r="AM615" i="9"/>
  <c r="AM638" i="9"/>
  <c r="AM656" i="9"/>
  <c r="AN699" i="9"/>
  <c r="AN722" i="9"/>
  <c r="AM722" i="9"/>
  <c r="AM826" i="9"/>
  <c r="AN819" i="9"/>
  <c r="AM867" i="9"/>
  <c r="AM906" i="9"/>
  <c r="AM967" i="9"/>
  <c r="AM993" i="9"/>
  <c r="AM788" i="9"/>
  <c r="AM802" i="9"/>
  <c r="AM831" i="9"/>
  <c r="AM855" i="9"/>
  <c r="AM860" i="9"/>
  <c r="AM877" i="9"/>
  <c r="AM901" i="9"/>
  <c r="AM913" i="9"/>
  <c r="AM930" i="9"/>
  <c r="AM945" i="9"/>
  <c r="AM953" i="9"/>
  <c r="AM999" i="9"/>
  <c r="AM779" i="9"/>
  <c r="AM795" i="9"/>
  <c r="AM836" i="9"/>
  <c r="AM848" i="9"/>
  <c r="AM858" i="9"/>
  <c r="AN872" i="9"/>
  <c r="AM889" i="9"/>
  <c r="AM894" i="9"/>
  <c r="AN899" i="9"/>
  <c r="AM918" i="9"/>
  <c r="AM923" i="9"/>
  <c r="AM940" i="9"/>
  <c r="AM948" i="9"/>
  <c r="AN956" i="9"/>
  <c r="AN970" i="9"/>
  <c r="AN1002" i="9"/>
  <c r="AM738" i="9"/>
  <c r="AM754" i="9"/>
  <c r="AM770" i="9"/>
  <c r="AM786" i="9"/>
  <c r="AM807" i="9"/>
  <c r="AM812" i="9"/>
  <c r="AM829" i="9"/>
  <c r="AM853" i="9"/>
  <c r="AM865" i="9"/>
  <c r="AM882" i="9"/>
  <c r="AM911" i="9"/>
  <c r="AM935" i="9"/>
  <c r="AM979" i="9"/>
  <c r="AM1011" i="9"/>
  <c r="AM810" i="9"/>
  <c r="AN824" i="9"/>
  <c r="AN851" i="9"/>
  <c r="AM870" i="9"/>
  <c r="AM938" i="9"/>
  <c r="AM946" i="9"/>
  <c r="AN962" i="9"/>
  <c r="AM965" i="9"/>
  <c r="AN982" i="9"/>
  <c r="AM985" i="9"/>
  <c r="AM863" i="9"/>
  <c r="AM909" i="9"/>
  <c r="AM943" i="9"/>
  <c r="AM951" i="9"/>
  <c r="AN988" i="9"/>
  <c r="AM991" i="9"/>
  <c r="AN803" i="9"/>
  <c r="AM822" i="9"/>
  <c r="AM890" i="9"/>
  <c r="AN904" i="9"/>
  <c r="AN931" i="9"/>
  <c r="AN968" i="9"/>
  <c r="AN994" i="9"/>
  <c r="AM997" i="9"/>
  <c r="AM815" i="9"/>
  <c r="AM861" i="9"/>
  <c r="AN954" i="9"/>
  <c r="AM957" i="9"/>
  <c r="AN1000" i="9"/>
  <c r="AM1003" i="9"/>
  <c r="AM842" i="9"/>
  <c r="AN856" i="9"/>
  <c r="AN883" i="9"/>
  <c r="AM902" i="9"/>
  <c r="AM941" i="9"/>
  <c r="AM949" i="9"/>
  <c r="AN974" i="9"/>
  <c r="AM977" i="9"/>
  <c r="AN1006" i="9"/>
  <c r="AM1009" i="9"/>
  <c r="AM813" i="9"/>
  <c r="AM895" i="9"/>
  <c r="AN960" i="9"/>
  <c r="AM963" i="9"/>
  <c r="AN980" i="9"/>
  <c r="AM983" i="9"/>
  <c r="AN1012" i="9"/>
  <c r="AM787" i="9"/>
  <c r="AN808" i="9"/>
  <c r="AM825" i="9"/>
  <c r="AM830" i="9"/>
  <c r="AN835" i="9"/>
  <c r="AM854" i="9"/>
  <c r="AM859" i="9"/>
  <c r="AM900" i="9"/>
  <c r="AM912" i="9"/>
  <c r="AM922" i="9"/>
  <c r="AN936" i="9"/>
  <c r="AN939" i="9"/>
  <c r="AN955" i="9"/>
  <c r="AM966" i="9"/>
  <c r="AN986" i="9"/>
  <c r="AM989" i="9"/>
  <c r="AM995" i="9"/>
  <c r="AM806" i="9"/>
  <c r="AN888" i="9"/>
  <c r="AN915" i="9"/>
  <c r="AM934" i="9"/>
  <c r="AN944" i="9"/>
  <c r="AM947" i="9"/>
  <c r="AM969" i="9"/>
  <c r="AN998" i="9"/>
  <c r="AM1001" i="9"/>
  <c r="AN833" i="9"/>
  <c r="AN958" i="9"/>
  <c r="AN972" i="9"/>
  <c r="AM975" i="9"/>
  <c r="AN1004" i="9"/>
  <c r="AM1007" i="9"/>
  <c r="AN1013" i="9"/>
  <c r="BB38" i="16" l="1"/>
  <c r="BC37" i="16"/>
  <c r="BD37" i="16"/>
  <c r="AR37" i="16"/>
  <c r="AS37" i="16" s="1"/>
  <c r="AQ38" i="16"/>
  <c r="AM37" i="16"/>
  <c r="AN37" i="16" s="1"/>
  <c r="AL38" i="16"/>
  <c r="AC37" i="16"/>
  <c r="AD37" i="16" s="1"/>
  <c r="AB38" i="16"/>
  <c r="X37" i="16"/>
  <c r="Y37" i="16" s="1"/>
  <c r="W38" i="16"/>
  <c r="AH37" i="16"/>
  <c r="AI37" i="16" s="1"/>
  <c r="AG38" i="16"/>
  <c r="D37" i="3"/>
  <c r="B37" i="3" s="1"/>
  <c r="AU38" i="16"/>
  <c r="AW38" i="16"/>
  <c r="AX38" i="16" s="1"/>
  <c r="AV39" i="16"/>
  <c r="T39" i="16"/>
  <c r="AY38" i="16"/>
  <c r="AZ38" i="16" s="1"/>
  <c r="BA38" i="16" s="1"/>
  <c r="AP38" i="16"/>
  <c r="AA38" i="16"/>
  <c r="AF38" i="16"/>
  <c r="AK38" i="16"/>
  <c r="V38" i="16"/>
  <c r="AV12" i="9"/>
  <c r="AV6" i="9" s="1"/>
  <c r="AN12" i="9"/>
  <c r="L30" i="5"/>
  <c r="L60" i="5"/>
  <c r="L32" i="5"/>
  <c r="L54" i="5"/>
  <c r="L61" i="5"/>
  <c r="L55" i="5"/>
  <c r="L58" i="5"/>
  <c r="L59" i="5"/>
  <c r="L41" i="5"/>
  <c r="L48" i="5"/>
  <c r="L57" i="5"/>
  <c r="L47" i="5"/>
  <c r="L46" i="5"/>
  <c r="L49" i="5"/>
  <c r="L43" i="5"/>
  <c r="L52" i="5"/>
  <c r="L45" i="5"/>
  <c r="L56" i="5"/>
  <c r="L36" i="5"/>
  <c r="L40" i="5"/>
  <c r="L53" i="5"/>
  <c r="L51" i="5"/>
  <c r="L29" i="5"/>
  <c r="L37" i="5"/>
  <c r="L27" i="5"/>
  <c r="L31" i="5"/>
  <c r="L42" i="5"/>
  <c r="P50" i="4"/>
  <c r="P51" i="4"/>
  <c r="Q12" i="9"/>
  <c r="G20" i="4"/>
  <c r="F20" i="4"/>
  <c r="L12" i="9"/>
  <c r="F16" i="4"/>
  <c r="C12" i="9"/>
  <c r="F11" i="4"/>
  <c r="M12" i="9"/>
  <c r="G16" i="4"/>
  <c r="I12" i="9"/>
  <c r="G12" i="4"/>
  <c r="O49" i="4" s="1"/>
  <c r="P12" i="9"/>
  <c r="G19" i="4"/>
  <c r="R50" i="4" s="1"/>
  <c r="F19" i="4"/>
  <c r="Q50" i="4" s="1"/>
  <c r="T12" i="9"/>
  <c r="H12" i="9"/>
  <c r="G11" i="4"/>
  <c r="R12" i="9"/>
  <c r="G21" i="4"/>
  <c r="F21" i="4"/>
  <c r="D12" i="9"/>
  <c r="F12" i="4"/>
  <c r="N49" i="4" s="1"/>
  <c r="G12" i="9"/>
  <c r="G10" i="4"/>
  <c r="AM12" i="9"/>
  <c r="U12" i="9"/>
  <c r="K12" i="9"/>
  <c r="G14" i="4"/>
  <c r="N12" i="9"/>
  <c r="G17" i="4"/>
  <c r="R52" i="4" s="1"/>
  <c r="F17" i="4"/>
  <c r="Q52" i="4" s="1"/>
  <c r="J12" i="9"/>
  <c r="G13" i="4"/>
  <c r="E12" i="9"/>
  <c r="F13" i="4"/>
  <c r="L39" i="5"/>
  <c r="L33" i="5"/>
  <c r="F12" i="9"/>
  <c r="F14" i="4"/>
  <c r="L50" i="5"/>
  <c r="L44" i="5"/>
  <c r="B12" i="9"/>
  <c r="F10" i="4"/>
  <c r="L35" i="5"/>
  <c r="L34" i="5"/>
  <c r="L38" i="5"/>
  <c r="L28" i="5"/>
  <c r="T16" i="2"/>
  <c r="Z12" i="2" s="1"/>
  <c r="E37" i="3" l="1"/>
  <c r="BB39" i="16"/>
  <c r="BC38" i="16"/>
  <c r="BD38" i="16"/>
  <c r="AQ39" i="16"/>
  <c r="AR38" i="16"/>
  <c r="AS38" i="16" s="1"/>
  <c r="AM38" i="16"/>
  <c r="AN38" i="16" s="1"/>
  <c r="AL39" i="16"/>
  <c r="AC38" i="16"/>
  <c r="AD38" i="16" s="1"/>
  <c r="AB39" i="16"/>
  <c r="AG39" i="16"/>
  <c r="AH38" i="16"/>
  <c r="AI38" i="16" s="1"/>
  <c r="X38" i="16"/>
  <c r="Y38" i="16" s="1"/>
  <c r="W39" i="16"/>
  <c r="O12" i="9"/>
  <c r="G18" i="4"/>
  <c r="G30" i="4" s="1"/>
  <c r="N26" i="4" s="1"/>
  <c r="F18" i="4"/>
  <c r="F30" i="4" s="1"/>
  <c r="N11" i="4" s="1"/>
  <c r="AV40" i="16"/>
  <c r="AW39" i="16"/>
  <c r="AX39" i="16" s="1"/>
  <c r="T40" i="16"/>
  <c r="AY39" i="16"/>
  <c r="AZ39" i="16" s="1"/>
  <c r="BA39" i="16" s="1"/>
  <c r="AK39" i="16"/>
  <c r="AP39" i="16"/>
  <c r="AA39" i="16"/>
  <c r="AF39" i="16"/>
  <c r="AU39" i="16"/>
  <c r="V39" i="16"/>
  <c r="S52" i="4"/>
  <c r="R49" i="4"/>
  <c r="O11" i="4"/>
  <c r="O15" i="4"/>
  <c r="O26" i="4"/>
  <c r="O21" i="4"/>
  <c r="O23" i="4"/>
  <c r="O25" i="4"/>
  <c r="O47" i="4"/>
  <c r="O28" i="4"/>
  <c r="O22" i="4"/>
  <c r="O27" i="4"/>
  <c r="P27" i="4" s="1"/>
  <c r="O24" i="4"/>
  <c r="O12" i="4"/>
  <c r="R12" i="4" s="1"/>
  <c r="O17" i="4"/>
  <c r="O14" i="4"/>
  <c r="O16" i="4"/>
  <c r="N47" i="4"/>
  <c r="O13" i="4"/>
  <c r="O18" i="4"/>
  <c r="Q49" i="4"/>
  <c r="P49" i="4"/>
  <c r="N17" i="4"/>
  <c r="Q46" i="4"/>
  <c r="N18" i="4"/>
  <c r="S50" i="4"/>
  <c r="R11" i="4" l="1"/>
  <c r="N41" i="4"/>
  <c r="BB40" i="16"/>
  <c r="BC39" i="16"/>
  <c r="BD39" i="16"/>
  <c r="AQ40" i="16"/>
  <c r="AR39" i="16"/>
  <c r="AS39" i="16" s="1"/>
  <c r="AL40" i="16"/>
  <c r="AM39" i="16"/>
  <c r="AN39" i="16" s="1"/>
  <c r="X39" i="16"/>
  <c r="Y39" i="16" s="1"/>
  <c r="W40" i="16"/>
  <c r="AH39" i="16"/>
  <c r="AI39" i="16" s="1"/>
  <c r="AG40" i="16"/>
  <c r="AB40" i="16"/>
  <c r="AC39" i="16"/>
  <c r="AD39" i="16" s="1"/>
  <c r="AV41" i="16"/>
  <c r="AW40" i="16"/>
  <c r="AX40" i="16" s="1"/>
  <c r="T41" i="16"/>
  <c r="AY40" i="16"/>
  <c r="AZ40" i="16" s="1"/>
  <c r="BA40" i="16" s="1"/>
  <c r="AK40" i="16"/>
  <c r="AP40" i="16"/>
  <c r="AA40" i="16"/>
  <c r="AF40" i="16"/>
  <c r="AU40" i="16"/>
  <c r="V40" i="16"/>
  <c r="N13" i="4"/>
  <c r="P13" i="4" s="1"/>
  <c r="N42" i="4"/>
  <c r="N25" i="4"/>
  <c r="P25" i="4" s="1"/>
  <c r="R17" i="4"/>
  <c r="R13" i="4"/>
  <c r="P17" i="4"/>
  <c r="S49" i="4"/>
  <c r="P11" i="4"/>
  <c r="R25" i="4"/>
  <c r="R14" i="4"/>
  <c r="S46" i="4"/>
  <c r="R28" i="4"/>
  <c r="P28" i="4"/>
  <c r="R48" i="4"/>
  <c r="O53" i="4"/>
  <c r="R53" i="4" s="1"/>
  <c r="R24" i="4"/>
  <c r="N14" i="4"/>
  <c r="P14" i="4" s="1"/>
  <c r="R15" i="4"/>
  <c r="N24" i="4"/>
  <c r="P24" i="4" s="1"/>
  <c r="N21" i="4"/>
  <c r="P21" i="4" s="1"/>
  <c r="N23" i="4"/>
  <c r="P23" i="4" s="1"/>
  <c r="N22" i="4"/>
  <c r="P22" i="4" s="1"/>
  <c r="N16" i="4"/>
  <c r="P16" i="4" s="1"/>
  <c r="R22" i="4"/>
  <c r="N12" i="4"/>
  <c r="P12" i="4" s="1"/>
  <c r="N15" i="4"/>
  <c r="P15" i="4" s="1"/>
  <c r="R27" i="4"/>
  <c r="P18" i="4"/>
  <c r="R18" i="4"/>
  <c r="P26" i="4"/>
  <c r="R26" i="4"/>
  <c r="Q48" i="4"/>
  <c r="P47" i="4"/>
  <c r="N53" i="4"/>
  <c r="R21" i="4"/>
  <c r="R23" i="4"/>
  <c r="R16" i="4"/>
  <c r="AJ13" i="31" l="1"/>
  <c r="T11" i="31" s="1"/>
  <c r="AJ13" i="35"/>
  <c r="T11" i="35" s="1"/>
  <c r="AJ13" i="34"/>
  <c r="T11" i="34" s="1"/>
  <c r="AI13" i="31"/>
  <c r="G11" i="31" s="1"/>
  <c r="AI13" i="34"/>
  <c r="G11" i="34" s="1"/>
  <c r="AI13" i="35"/>
  <c r="G11" i="35" s="1"/>
  <c r="U11" i="31"/>
  <c r="U12" i="31" s="1"/>
  <c r="X11" i="31"/>
  <c r="K11" i="31"/>
  <c r="H11" i="31"/>
  <c r="H12" i="31" s="1"/>
  <c r="AJ13" i="26"/>
  <c r="AI13" i="26"/>
  <c r="G11" i="26" s="1"/>
  <c r="H11" i="26" s="1"/>
  <c r="BB41" i="16"/>
  <c r="BC40" i="16"/>
  <c r="BD40" i="16" s="1"/>
  <c r="AQ41" i="16"/>
  <c r="AR40" i="16"/>
  <c r="AS40" i="16" s="1"/>
  <c r="AM40" i="16"/>
  <c r="AN40" i="16" s="1"/>
  <c r="AL41" i="16"/>
  <c r="AH40" i="16"/>
  <c r="AI40" i="16" s="1"/>
  <c r="AG41" i="16"/>
  <c r="AB41" i="16"/>
  <c r="AC40" i="16"/>
  <c r="AD40" i="16" s="1"/>
  <c r="X40" i="16"/>
  <c r="Y40" i="16" s="1"/>
  <c r="W41" i="16"/>
  <c r="AV42" i="16"/>
  <c r="AW41" i="16"/>
  <c r="AX41" i="16" s="1"/>
  <c r="O35" i="4"/>
  <c r="AI13" i="6"/>
  <c r="G11" i="6" s="1"/>
  <c r="H11" i="6" s="1"/>
  <c r="H12" i="6" s="1"/>
  <c r="G12" i="6" s="1"/>
  <c r="T42" i="16"/>
  <c r="AY41" i="16"/>
  <c r="AZ41" i="16" s="1"/>
  <c r="BA41" i="16" s="1"/>
  <c r="AP41" i="16"/>
  <c r="AF41" i="16"/>
  <c r="AA41" i="16"/>
  <c r="AK41" i="16"/>
  <c r="V41" i="16"/>
  <c r="AU41" i="16"/>
  <c r="N35" i="4"/>
  <c r="N36" i="4"/>
  <c r="O36" i="4"/>
  <c r="S48" i="4"/>
  <c r="AG13" i="5"/>
  <c r="G11" i="5" s="1"/>
  <c r="R54" i="4"/>
  <c r="Q53" i="4"/>
  <c r="S53" i="4" s="1"/>
  <c r="P53" i="4"/>
  <c r="AJ13" i="6"/>
  <c r="T11" i="6" s="1"/>
  <c r="X11" i="6" s="1"/>
  <c r="AH13" i="5"/>
  <c r="T11" i="5" s="1"/>
  <c r="K11" i="35" l="1"/>
  <c r="H11" i="35"/>
  <c r="H12" i="35" s="1"/>
  <c r="H11" i="34"/>
  <c r="H12" i="34" s="1"/>
  <c r="I11" i="34"/>
  <c r="K11" i="34"/>
  <c r="AI11" i="31"/>
  <c r="L11" i="31" s="1"/>
  <c r="AI11" i="34"/>
  <c r="L11" i="34" s="1"/>
  <c r="AI11" i="35"/>
  <c r="L11" i="35" s="1"/>
  <c r="AJ11" i="31"/>
  <c r="Y11" i="31" s="1"/>
  <c r="AJ11" i="34"/>
  <c r="Y11" i="34" s="1"/>
  <c r="AJ11" i="35"/>
  <c r="Y11" i="35" s="1"/>
  <c r="U11" i="34"/>
  <c r="U12" i="34" s="1"/>
  <c r="X11" i="34"/>
  <c r="X11" i="35"/>
  <c r="U11" i="35"/>
  <c r="U12" i="35" s="1"/>
  <c r="AJ8" i="34"/>
  <c r="W11" i="34" s="1"/>
  <c r="AJ8" i="35"/>
  <c r="W11" i="35" s="1"/>
  <c r="AI8" i="34"/>
  <c r="J11" i="34" s="1"/>
  <c r="AI8" i="35"/>
  <c r="J11" i="35" s="1"/>
  <c r="I11" i="31"/>
  <c r="V11" i="31"/>
  <c r="G12" i="31"/>
  <c r="H13" i="31" s="1"/>
  <c r="G13" i="31" s="1"/>
  <c r="T11" i="26"/>
  <c r="X11" i="26" s="1"/>
  <c r="T12" i="31"/>
  <c r="U13" i="31" s="1"/>
  <c r="T13" i="31" s="1"/>
  <c r="AJ8" i="31"/>
  <c r="W11" i="31" s="1"/>
  <c r="AI8" i="31"/>
  <c r="J11" i="31" s="1"/>
  <c r="AI11" i="26"/>
  <c r="AJ11" i="26"/>
  <c r="BB42" i="16"/>
  <c r="BC41" i="16"/>
  <c r="BD41" i="16"/>
  <c r="AR41" i="16"/>
  <c r="AS41" i="16" s="1"/>
  <c r="AQ42" i="16"/>
  <c r="AM41" i="16"/>
  <c r="AN41" i="16" s="1"/>
  <c r="AL42" i="16"/>
  <c r="X41" i="16"/>
  <c r="Y41" i="16" s="1"/>
  <c r="W42" i="16"/>
  <c r="AB42" i="16"/>
  <c r="AC41" i="16"/>
  <c r="AD41" i="16" s="1"/>
  <c r="AH41" i="16"/>
  <c r="AI41" i="16" s="1"/>
  <c r="AG42" i="16"/>
  <c r="AI8" i="26"/>
  <c r="J11" i="26" s="1"/>
  <c r="AW42" i="16"/>
  <c r="AX42" i="16" s="1"/>
  <c r="AV43" i="16"/>
  <c r="AJ8" i="26"/>
  <c r="W11" i="26" s="1"/>
  <c r="AI11" i="6"/>
  <c r="L11" i="6" s="1"/>
  <c r="T43" i="16"/>
  <c r="AY42" i="16"/>
  <c r="AZ42" i="16" s="1"/>
  <c r="BA42" i="16" s="1"/>
  <c r="AP42" i="16"/>
  <c r="AA42" i="16"/>
  <c r="AF42" i="16"/>
  <c r="V42" i="16"/>
  <c r="AK42" i="16"/>
  <c r="AU42" i="16"/>
  <c r="AJ8" i="6"/>
  <c r="W11" i="6" s="1"/>
  <c r="K11" i="6"/>
  <c r="AH8" i="5"/>
  <c r="W11" i="5" s="1"/>
  <c r="W12" i="5" s="1"/>
  <c r="W13" i="5" s="1"/>
  <c r="W14" i="5" s="1"/>
  <c r="W15" i="5" s="1"/>
  <c r="W16" i="5" s="1"/>
  <c r="W17" i="5" s="1"/>
  <c r="W18" i="5" s="1"/>
  <c r="W19" i="5" s="1"/>
  <c r="W20" i="5" s="1"/>
  <c r="W21" i="5" s="1"/>
  <c r="W22" i="5" s="1"/>
  <c r="W23" i="5" s="1"/>
  <c r="W24" i="5" s="1"/>
  <c r="W25" i="5" s="1"/>
  <c r="W26" i="5" s="1"/>
  <c r="W27" i="5" s="1"/>
  <c r="W28" i="5" s="1"/>
  <c r="W29" i="5" s="1"/>
  <c r="W30" i="5" s="1"/>
  <c r="W31" i="5" s="1"/>
  <c r="W32" i="5" s="1"/>
  <c r="W33" i="5" s="1"/>
  <c r="W34" i="5" s="1"/>
  <c r="W35" i="5" s="1"/>
  <c r="W36" i="5" s="1"/>
  <c r="W37" i="5" s="1"/>
  <c r="W38" i="5" s="1"/>
  <c r="W39" i="5" s="1"/>
  <c r="W40" i="5" s="1"/>
  <c r="W41" i="5" s="1"/>
  <c r="W42" i="5" s="1"/>
  <c r="W43" i="5" s="1"/>
  <c r="W44" i="5" s="1"/>
  <c r="W45" i="5" s="1"/>
  <c r="W46" i="5" s="1"/>
  <c r="W47" i="5" s="1"/>
  <c r="W48" i="5" s="1"/>
  <c r="W49" i="5" s="1"/>
  <c r="W50" i="5" s="1"/>
  <c r="W51" i="5" s="1"/>
  <c r="W52" i="5" s="1"/>
  <c r="W53" i="5" s="1"/>
  <c r="W54" i="5" s="1"/>
  <c r="W55" i="5" s="1"/>
  <c r="W56" i="5" s="1"/>
  <c r="W57" i="5" s="1"/>
  <c r="W58" i="5" s="1"/>
  <c r="W59" i="5" s="1"/>
  <c r="W60" i="5" s="1"/>
  <c r="W61" i="5" s="1"/>
  <c r="P36" i="4"/>
  <c r="Q36" i="4"/>
  <c r="K11" i="5"/>
  <c r="H11" i="5"/>
  <c r="H12" i="5" s="1"/>
  <c r="G12" i="5" s="1"/>
  <c r="AH11" i="5"/>
  <c r="Y11" i="5" s="1"/>
  <c r="AJ11" i="6"/>
  <c r="Y11" i="6" s="1"/>
  <c r="AI8" i="6"/>
  <c r="J11" i="6" s="1"/>
  <c r="AG8" i="5"/>
  <c r="J11" i="5" s="1"/>
  <c r="AG11" i="5"/>
  <c r="L11" i="5" s="1"/>
  <c r="Q54" i="4"/>
  <c r="S54" i="4" s="1"/>
  <c r="X11" i="5"/>
  <c r="U11" i="5"/>
  <c r="V11" i="5" s="1"/>
  <c r="U11" i="6"/>
  <c r="U12" i="6" s="1"/>
  <c r="T12" i="6" s="1"/>
  <c r="X12" i="6" s="1"/>
  <c r="V11" i="34" l="1"/>
  <c r="T12" i="35"/>
  <c r="U13" i="35"/>
  <c r="T13" i="35" s="1"/>
  <c r="V11" i="35"/>
  <c r="G12" i="34"/>
  <c r="H13" i="34"/>
  <c r="G12" i="35"/>
  <c r="H13" i="35" s="1"/>
  <c r="T12" i="34"/>
  <c r="U13" i="34" s="1"/>
  <c r="I11" i="35"/>
  <c r="U11" i="26"/>
  <c r="U12" i="26" s="1"/>
  <c r="T12" i="26" s="1"/>
  <c r="U13" i="26" s="1"/>
  <c r="T13" i="26" s="1"/>
  <c r="U14" i="26" s="1"/>
  <c r="Y11" i="26"/>
  <c r="U14" i="31"/>
  <c r="T14" i="31" s="1"/>
  <c r="Y13" i="31"/>
  <c r="X13" i="31"/>
  <c r="V13" i="31"/>
  <c r="Y12" i="31"/>
  <c r="X12" i="31"/>
  <c r="V12" i="31"/>
  <c r="H14" i="31"/>
  <c r="I13" i="31"/>
  <c r="K13" i="31"/>
  <c r="L13" i="31"/>
  <c r="L12" i="31"/>
  <c r="K12" i="31"/>
  <c r="I12" i="31"/>
  <c r="L11" i="26"/>
  <c r="H12" i="26"/>
  <c r="I11" i="26"/>
  <c r="K11" i="26"/>
  <c r="BB43" i="16"/>
  <c r="BC42" i="16"/>
  <c r="BD42" i="16" s="1"/>
  <c r="AR42" i="16"/>
  <c r="AS42" i="16" s="1"/>
  <c r="AQ43" i="16"/>
  <c r="AM42" i="16"/>
  <c r="AN42" i="16" s="1"/>
  <c r="AL43" i="16"/>
  <c r="X42" i="16"/>
  <c r="Y42" i="16" s="1"/>
  <c r="W43" i="16"/>
  <c r="AH42" i="16"/>
  <c r="AI42" i="16" s="1"/>
  <c r="AG43" i="16"/>
  <c r="AB43" i="16"/>
  <c r="AC42" i="16"/>
  <c r="AD42" i="16" s="1"/>
  <c r="AW43" i="16"/>
  <c r="AX43" i="16" s="1"/>
  <c r="AV44" i="16"/>
  <c r="Y12" i="6"/>
  <c r="U13" i="6"/>
  <c r="T13" i="6" s="1"/>
  <c r="T44" i="16"/>
  <c r="AY43" i="16"/>
  <c r="AZ43" i="16" s="1"/>
  <c r="BA43" i="16" s="1"/>
  <c r="AP43" i="16"/>
  <c r="AF43" i="16"/>
  <c r="AK43" i="16"/>
  <c r="AA43" i="16"/>
  <c r="AU43" i="16"/>
  <c r="V43" i="16"/>
  <c r="L12" i="6"/>
  <c r="I12" i="6"/>
  <c r="K12" i="6"/>
  <c r="R36" i="4"/>
  <c r="I11" i="5"/>
  <c r="V12" i="6"/>
  <c r="U12" i="5"/>
  <c r="T12" i="5" s="1"/>
  <c r="H13" i="5"/>
  <c r="G13" i="5" s="1"/>
  <c r="L12" i="5"/>
  <c r="L64" i="5" s="1"/>
  <c r="K12" i="5"/>
  <c r="K63" i="5" s="1"/>
  <c r="I12" i="5"/>
  <c r="I11" i="6"/>
  <c r="V11" i="6"/>
  <c r="J12" i="5"/>
  <c r="J13" i="5" s="1"/>
  <c r="J14" i="5" s="1"/>
  <c r="J15" i="5" s="1"/>
  <c r="J16" i="5" s="1"/>
  <c r="J17" i="5" s="1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J41" i="5" s="1"/>
  <c r="J42" i="5" s="1"/>
  <c r="J43" i="5" s="1"/>
  <c r="J44" i="5" s="1"/>
  <c r="J45" i="5" s="1"/>
  <c r="J46" i="5" s="1"/>
  <c r="J47" i="5" s="1"/>
  <c r="J48" i="5" s="1"/>
  <c r="J49" i="5" s="1"/>
  <c r="J50" i="5" s="1"/>
  <c r="J51" i="5" s="1"/>
  <c r="J52" i="5" s="1"/>
  <c r="J53" i="5" s="1"/>
  <c r="J54" i="5" s="1"/>
  <c r="J55" i="5" s="1"/>
  <c r="J56" i="5" s="1"/>
  <c r="J57" i="5" s="1"/>
  <c r="J58" i="5" s="1"/>
  <c r="J59" i="5" s="1"/>
  <c r="J60" i="5" s="1"/>
  <c r="J61" i="5" s="1"/>
  <c r="W63" i="5"/>
  <c r="T13" i="34" l="1"/>
  <c r="U14" i="34" s="1"/>
  <c r="G13" i="35"/>
  <c r="H14" i="35"/>
  <c r="V12" i="34"/>
  <c r="Y12" i="34"/>
  <c r="X12" i="34"/>
  <c r="I12" i="35"/>
  <c r="K12" i="35"/>
  <c r="L12" i="35"/>
  <c r="G13" i="34"/>
  <c r="H14" i="34" s="1"/>
  <c r="K12" i="34"/>
  <c r="L12" i="34"/>
  <c r="I12" i="34"/>
  <c r="U14" i="35"/>
  <c r="Y13" i="35"/>
  <c r="X13" i="35"/>
  <c r="V13" i="35"/>
  <c r="Y12" i="35"/>
  <c r="X12" i="35"/>
  <c r="V12" i="35"/>
  <c r="X12" i="26"/>
  <c r="Y12" i="26"/>
  <c r="V12" i="26"/>
  <c r="V11" i="26"/>
  <c r="G14" i="31"/>
  <c r="H15" i="31" s="1"/>
  <c r="U15" i="31"/>
  <c r="T15" i="31" s="1"/>
  <c r="Y14" i="31"/>
  <c r="X14" i="31"/>
  <c r="V14" i="31"/>
  <c r="G12" i="26"/>
  <c r="BB44" i="16"/>
  <c r="BC43" i="16"/>
  <c r="BD43" i="16" s="1"/>
  <c r="AR43" i="16"/>
  <c r="AS43" i="16" s="1"/>
  <c r="AQ44" i="16"/>
  <c r="AL44" i="16"/>
  <c r="AM43" i="16"/>
  <c r="AN43" i="16" s="1"/>
  <c r="AG44" i="16"/>
  <c r="AH43" i="16"/>
  <c r="AI43" i="16"/>
  <c r="W44" i="16"/>
  <c r="X43" i="16"/>
  <c r="Y43" i="16" s="1"/>
  <c r="AB44" i="16"/>
  <c r="AC43" i="16"/>
  <c r="AD43" i="16" s="1"/>
  <c r="AW44" i="16"/>
  <c r="AX44" i="16" s="1"/>
  <c r="AV45" i="16"/>
  <c r="T14" i="26"/>
  <c r="U15" i="26" s="1"/>
  <c r="Y13" i="26"/>
  <c r="V13" i="26"/>
  <c r="X13" i="26"/>
  <c r="Y13" i="6"/>
  <c r="U14" i="6"/>
  <c r="T14" i="6" s="1"/>
  <c r="Y14" i="6" s="1"/>
  <c r="T45" i="16"/>
  <c r="AY44" i="16"/>
  <c r="AZ44" i="16" s="1"/>
  <c r="BA44" i="16" s="1"/>
  <c r="AP44" i="16"/>
  <c r="AK44" i="16"/>
  <c r="AA44" i="16"/>
  <c r="AF44" i="16"/>
  <c r="V44" i="16"/>
  <c r="AU44" i="16"/>
  <c r="J63" i="5"/>
  <c r="L63" i="5"/>
  <c r="J64" i="5"/>
  <c r="K64" i="5"/>
  <c r="I13" i="5"/>
  <c r="H14" i="5"/>
  <c r="G14" i="5" s="1"/>
  <c r="L13" i="5"/>
  <c r="K13" i="5"/>
  <c r="X13" i="6"/>
  <c r="V13" i="6"/>
  <c r="Y12" i="5"/>
  <c r="Y63" i="5" s="1"/>
  <c r="X12" i="5"/>
  <c r="X63" i="5" s="1"/>
  <c r="V12" i="5"/>
  <c r="U13" i="5"/>
  <c r="T13" i="5" s="1"/>
  <c r="H13" i="6"/>
  <c r="G13" i="6" s="1"/>
  <c r="T14" i="35" l="1"/>
  <c r="U15" i="35"/>
  <c r="G14" i="35"/>
  <c r="H15" i="35"/>
  <c r="L13" i="35"/>
  <c r="I13" i="35"/>
  <c r="K13" i="35"/>
  <c r="G14" i="34"/>
  <c r="H15" i="34" s="1"/>
  <c r="T14" i="34"/>
  <c r="U15" i="34" s="1"/>
  <c r="I13" i="34"/>
  <c r="K13" i="34"/>
  <c r="L13" i="34"/>
  <c r="Y13" i="34"/>
  <c r="X13" i="34"/>
  <c r="V13" i="34"/>
  <c r="U16" i="31"/>
  <c r="V15" i="31"/>
  <c r="Y15" i="31"/>
  <c r="X15" i="31"/>
  <c r="G15" i="31"/>
  <c r="H16" i="31" s="1"/>
  <c r="L14" i="31"/>
  <c r="K14" i="31"/>
  <c r="I14" i="31"/>
  <c r="K12" i="26"/>
  <c r="L12" i="26"/>
  <c r="I12" i="26"/>
  <c r="H13" i="26"/>
  <c r="BB45" i="16"/>
  <c r="BC44" i="16"/>
  <c r="BD44" i="16"/>
  <c r="AQ45" i="16"/>
  <c r="AR44" i="16"/>
  <c r="AS44" i="16" s="1"/>
  <c r="AL45" i="16"/>
  <c r="AM44" i="16"/>
  <c r="AN44" i="16" s="1"/>
  <c r="X44" i="16"/>
  <c r="W45" i="16"/>
  <c r="AC44" i="16"/>
  <c r="AD44" i="16" s="1"/>
  <c r="AB45" i="16"/>
  <c r="AG45" i="16"/>
  <c r="AH44" i="16"/>
  <c r="AI44" i="16" s="1"/>
  <c r="Y44" i="16"/>
  <c r="AV46" i="16"/>
  <c r="AW45" i="16"/>
  <c r="AX45" i="16" s="1"/>
  <c r="T15" i="26"/>
  <c r="U16" i="26" s="1"/>
  <c r="V14" i="26"/>
  <c r="Y14" i="26"/>
  <c r="X14" i="26"/>
  <c r="T46" i="16"/>
  <c r="AY45" i="16"/>
  <c r="AZ45" i="16" s="1"/>
  <c r="BA45" i="16" s="1"/>
  <c r="AF45" i="16"/>
  <c r="AP45" i="16"/>
  <c r="V45" i="16"/>
  <c r="AA45" i="16"/>
  <c r="AK45" i="16"/>
  <c r="AU45" i="16"/>
  <c r="L13" i="6"/>
  <c r="K66" i="5"/>
  <c r="H2" i="5" s="1"/>
  <c r="U15" i="6"/>
  <c r="T15" i="6" s="1"/>
  <c r="Y15" i="6" s="1"/>
  <c r="X14" i="6"/>
  <c r="V14" i="6"/>
  <c r="Y13" i="5"/>
  <c r="X13" i="5"/>
  <c r="V13" i="5"/>
  <c r="U14" i="5"/>
  <c r="T14" i="5" s="1"/>
  <c r="I14" i="5"/>
  <c r="H15" i="5"/>
  <c r="G15" i="5" s="1"/>
  <c r="L14" i="5"/>
  <c r="K14" i="5"/>
  <c r="T15" i="34" l="1"/>
  <c r="U16" i="34"/>
  <c r="T16" i="34" s="1"/>
  <c r="G15" i="34"/>
  <c r="H16" i="34"/>
  <c r="V14" i="34"/>
  <c r="X14" i="34"/>
  <c r="Y14" i="34"/>
  <c r="K14" i="34"/>
  <c r="I14" i="34"/>
  <c r="L14" i="34"/>
  <c r="G15" i="35"/>
  <c r="H16" i="35"/>
  <c r="K14" i="35"/>
  <c r="L14" i="35"/>
  <c r="I14" i="35"/>
  <c r="T15" i="35"/>
  <c r="U16" i="35"/>
  <c r="Y14" i="35"/>
  <c r="V14" i="35"/>
  <c r="X14" i="35"/>
  <c r="G16" i="31"/>
  <c r="H17" i="31" s="1"/>
  <c r="I15" i="31"/>
  <c r="K15" i="31"/>
  <c r="L15" i="31"/>
  <c r="T16" i="31"/>
  <c r="U17" i="31" s="1"/>
  <c r="G13" i="26"/>
  <c r="K13" i="26" s="1"/>
  <c r="BB46" i="16"/>
  <c r="BC45" i="16"/>
  <c r="BD45" i="16"/>
  <c r="AR45" i="16"/>
  <c r="AQ46" i="16"/>
  <c r="AS45" i="16"/>
  <c r="AL46" i="16"/>
  <c r="AM45" i="16"/>
  <c r="AN45" i="16" s="1"/>
  <c r="AH45" i="16"/>
  <c r="AI45" i="16" s="1"/>
  <c r="AG46" i="16"/>
  <c r="AC45" i="16"/>
  <c r="AD45" i="16" s="1"/>
  <c r="AB46" i="16"/>
  <c r="X45" i="16"/>
  <c r="Y45" i="16" s="1"/>
  <c r="W46" i="16"/>
  <c r="AV47" i="16"/>
  <c r="AW46" i="16"/>
  <c r="AX46" i="16" s="1"/>
  <c r="T16" i="26"/>
  <c r="U17" i="26" s="1"/>
  <c r="Y15" i="26"/>
  <c r="V15" i="26"/>
  <c r="X15" i="26"/>
  <c r="T47" i="16"/>
  <c r="AY46" i="16"/>
  <c r="AZ46" i="16" s="1"/>
  <c r="BA46" i="16" s="1"/>
  <c r="AK46" i="16"/>
  <c r="AP46" i="16"/>
  <c r="AF46" i="16"/>
  <c r="AA46" i="16"/>
  <c r="V46" i="16"/>
  <c r="AU46" i="16"/>
  <c r="K13" i="6"/>
  <c r="L15" i="5"/>
  <c r="K15" i="5"/>
  <c r="I15" i="5"/>
  <c r="H16" i="5"/>
  <c r="G16" i="5" s="1"/>
  <c r="X15" i="6"/>
  <c r="V15" i="6"/>
  <c r="U16" i="6"/>
  <c r="T16" i="6" s="1"/>
  <c r="Y16" i="6" s="1"/>
  <c r="I13" i="6"/>
  <c r="H14" i="6"/>
  <c r="G14" i="6" s="1"/>
  <c r="Y14" i="5"/>
  <c r="X14" i="5"/>
  <c r="V14" i="5"/>
  <c r="U15" i="5"/>
  <c r="T15" i="5" s="1"/>
  <c r="T16" i="35" l="1"/>
  <c r="U17" i="35"/>
  <c r="Y15" i="35"/>
  <c r="V15" i="35"/>
  <c r="X15" i="35"/>
  <c r="G16" i="34"/>
  <c r="H17" i="34" s="1"/>
  <c r="G17" i="34" s="1"/>
  <c r="K15" i="34"/>
  <c r="L15" i="34"/>
  <c r="I15" i="34"/>
  <c r="G16" i="35"/>
  <c r="H17" i="35"/>
  <c r="U17" i="34"/>
  <c r="V16" i="34"/>
  <c r="X16" i="34"/>
  <c r="Y16" i="34"/>
  <c r="L15" i="35"/>
  <c r="K15" i="35"/>
  <c r="I15" i="35"/>
  <c r="V15" i="34"/>
  <c r="X15" i="34"/>
  <c r="Y15" i="34"/>
  <c r="H14" i="26"/>
  <c r="G14" i="26" s="1"/>
  <c r="L14" i="26" s="1"/>
  <c r="T17" i="31"/>
  <c r="U18" i="31" s="1"/>
  <c r="Y16" i="31"/>
  <c r="X16" i="31"/>
  <c r="V16" i="31"/>
  <c r="G17" i="31"/>
  <c r="H18" i="31" s="1"/>
  <c r="K16" i="31"/>
  <c r="I16" i="31"/>
  <c r="L16" i="31"/>
  <c r="L13" i="26"/>
  <c r="I13" i="26"/>
  <c r="BB47" i="16"/>
  <c r="BC46" i="16"/>
  <c r="BD46" i="16" s="1"/>
  <c r="AR46" i="16"/>
  <c r="AS46" i="16" s="1"/>
  <c r="AQ47" i="16"/>
  <c r="AL47" i="16"/>
  <c r="AM46" i="16"/>
  <c r="AN46" i="16"/>
  <c r="AH46" i="16"/>
  <c r="AI46" i="16" s="1"/>
  <c r="AG47" i="16"/>
  <c r="X46" i="16"/>
  <c r="Y46" i="16" s="1"/>
  <c r="W47" i="16"/>
  <c r="AC46" i="16"/>
  <c r="AD46" i="16" s="1"/>
  <c r="AB47" i="16"/>
  <c r="AW47" i="16"/>
  <c r="AX47" i="16" s="1"/>
  <c r="AV48" i="16"/>
  <c r="Y16" i="26"/>
  <c r="X16" i="26"/>
  <c r="V16" i="26"/>
  <c r="T17" i="26"/>
  <c r="U18" i="26" s="1"/>
  <c r="T48" i="16"/>
  <c r="AY47" i="16"/>
  <c r="AZ47" i="16" s="1"/>
  <c r="BA47" i="16" s="1"/>
  <c r="AP47" i="16"/>
  <c r="AK47" i="16"/>
  <c r="AA47" i="16"/>
  <c r="AF47" i="16"/>
  <c r="V47" i="16"/>
  <c r="AU47" i="16"/>
  <c r="L14" i="6"/>
  <c r="Y15" i="5"/>
  <c r="X15" i="5"/>
  <c r="V15" i="5"/>
  <c r="U16" i="5"/>
  <c r="T16" i="5" s="1"/>
  <c r="U17" i="6"/>
  <c r="T17" i="6" s="1"/>
  <c r="Y17" i="6" s="1"/>
  <c r="X16" i="6"/>
  <c r="V16" i="6"/>
  <c r="L16" i="5"/>
  <c r="K16" i="5"/>
  <c r="I16" i="5"/>
  <c r="H17" i="5"/>
  <c r="G17" i="5" s="1"/>
  <c r="H18" i="34" l="1"/>
  <c r="K17" i="34"/>
  <c r="L17" i="34"/>
  <c r="I17" i="34"/>
  <c r="L16" i="34"/>
  <c r="K16" i="34"/>
  <c r="I16" i="34"/>
  <c r="T17" i="34"/>
  <c r="U18" i="34"/>
  <c r="G17" i="35"/>
  <c r="T17" i="35"/>
  <c r="U18" i="35"/>
  <c r="L16" i="35"/>
  <c r="K16" i="35"/>
  <c r="I16" i="35"/>
  <c r="Y16" i="35"/>
  <c r="X16" i="35"/>
  <c r="V16" i="35"/>
  <c r="K14" i="26"/>
  <c r="I14" i="26"/>
  <c r="H15" i="26"/>
  <c r="G15" i="26" s="1"/>
  <c r="I15" i="26" s="1"/>
  <c r="G18" i="31"/>
  <c r="H19" i="31" s="1"/>
  <c r="L17" i="31"/>
  <c r="K17" i="31"/>
  <c r="I17" i="31"/>
  <c r="T18" i="31"/>
  <c r="U19" i="31" s="1"/>
  <c r="Y17" i="31"/>
  <c r="V17" i="31"/>
  <c r="X17" i="31"/>
  <c r="BB48" i="16"/>
  <c r="BC47" i="16"/>
  <c r="BD47" i="16" s="1"/>
  <c r="AQ48" i="16"/>
  <c r="AR47" i="16"/>
  <c r="AS47" i="16" s="1"/>
  <c r="AM47" i="16"/>
  <c r="AN47" i="16" s="1"/>
  <c r="AL48" i="16"/>
  <c r="W48" i="16"/>
  <c r="X47" i="16"/>
  <c r="AG48" i="16"/>
  <c r="AH47" i="16"/>
  <c r="AI47" i="16" s="1"/>
  <c r="AC47" i="16"/>
  <c r="AD47" i="16" s="1"/>
  <c r="AB48" i="16"/>
  <c r="Y47" i="16"/>
  <c r="AV49" i="16"/>
  <c r="AW48" i="16"/>
  <c r="AX48" i="16" s="1"/>
  <c r="T18" i="26"/>
  <c r="U19" i="26" s="1"/>
  <c r="X17" i="26"/>
  <c r="V17" i="26"/>
  <c r="Y17" i="26"/>
  <c r="T49" i="16"/>
  <c r="AY48" i="16"/>
  <c r="AZ48" i="16" s="1"/>
  <c r="BA48" i="16" s="1"/>
  <c r="AK48" i="16"/>
  <c r="AP48" i="16"/>
  <c r="AA48" i="16"/>
  <c r="V48" i="16"/>
  <c r="AF48" i="16"/>
  <c r="AU48" i="16"/>
  <c r="X17" i="6"/>
  <c r="K14" i="6"/>
  <c r="L17" i="5"/>
  <c r="K17" i="5"/>
  <c r="I17" i="5"/>
  <c r="H18" i="5"/>
  <c r="G18" i="5" s="1"/>
  <c r="U17" i="5"/>
  <c r="T17" i="5" s="1"/>
  <c r="Y16" i="5"/>
  <c r="X16" i="5"/>
  <c r="V16" i="5"/>
  <c r="I14" i="6"/>
  <c r="V17" i="6"/>
  <c r="U18" i="6"/>
  <c r="T18" i="6" s="1"/>
  <c r="Y18" i="6" s="1"/>
  <c r="H15" i="6"/>
  <c r="G15" i="6" s="1"/>
  <c r="L17" i="35" l="1"/>
  <c r="K17" i="35"/>
  <c r="I17" i="35"/>
  <c r="Y17" i="34"/>
  <c r="X17" i="34"/>
  <c r="V17" i="34"/>
  <c r="T18" i="34"/>
  <c r="U19" i="34"/>
  <c r="T18" i="35"/>
  <c r="U19" i="35" s="1"/>
  <c r="X17" i="35"/>
  <c r="V17" i="35"/>
  <c r="Y17" i="35"/>
  <c r="H18" i="35"/>
  <c r="G18" i="34"/>
  <c r="H19" i="34" s="1"/>
  <c r="L15" i="26"/>
  <c r="K15" i="26"/>
  <c r="H16" i="26"/>
  <c r="G16" i="26" s="1"/>
  <c r="I16" i="26" s="1"/>
  <c r="T19" i="31"/>
  <c r="U20" i="31" s="1"/>
  <c r="T20" i="31" s="1"/>
  <c r="V18" i="31"/>
  <c r="Y18" i="31"/>
  <c r="X18" i="31"/>
  <c r="G19" i="31"/>
  <c r="H20" i="31" s="1"/>
  <c r="L18" i="31"/>
  <c r="K18" i="31"/>
  <c r="I18" i="31"/>
  <c r="BB49" i="16"/>
  <c r="BC48" i="16"/>
  <c r="BD48" i="16" s="1"/>
  <c r="AQ49" i="16"/>
  <c r="AR48" i="16"/>
  <c r="AS48" i="16"/>
  <c r="AL49" i="16"/>
  <c r="AM48" i="16"/>
  <c r="AN48" i="16" s="1"/>
  <c r="AB49" i="16"/>
  <c r="AC48" i="16"/>
  <c r="AD48" i="16" s="1"/>
  <c r="AG49" i="16"/>
  <c r="AH48" i="16"/>
  <c r="AI48" i="16" s="1"/>
  <c r="W49" i="16"/>
  <c r="X48" i="16"/>
  <c r="Y48" i="16" s="1"/>
  <c r="AV50" i="16"/>
  <c r="AW49" i="16"/>
  <c r="AX49" i="16" s="1"/>
  <c r="T19" i="26"/>
  <c r="U20" i="26" s="1"/>
  <c r="X18" i="26"/>
  <c r="V18" i="26"/>
  <c r="Y18" i="26"/>
  <c r="T50" i="16"/>
  <c r="AY49" i="16"/>
  <c r="AZ49" i="16" s="1"/>
  <c r="BA49" i="16" s="1"/>
  <c r="AK49" i="16"/>
  <c r="AP49" i="16"/>
  <c r="V49" i="16"/>
  <c r="AA49" i="16"/>
  <c r="AF49" i="16"/>
  <c r="AU49" i="16"/>
  <c r="L15" i="6"/>
  <c r="L18" i="5"/>
  <c r="K18" i="5"/>
  <c r="I18" i="5"/>
  <c r="H19" i="5"/>
  <c r="G19" i="5" s="1"/>
  <c r="V17" i="5"/>
  <c r="U18" i="5"/>
  <c r="T18" i="5" s="1"/>
  <c r="Y17" i="5"/>
  <c r="X17" i="5"/>
  <c r="X18" i="6"/>
  <c r="V18" i="6"/>
  <c r="U19" i="6"/>
  <c r="T19" i="6" s="1"/>
  <c r="Y19" i="6" s="1"/>
  <c r="K15" i="6"/>
  <c r="T19" i="35" l="1"/>
  <c r="U20" i="35"/>
  <c r="G19" i="34"/>
  <c r="H20" i="34"/>
  <c r="G20" i="34" s="1"/>
  <c r="T19" i="34"/>
  <c r="U20" i="34"/>
  <c r="T20" i="34" s="1"/>
  <c r="V18" i="34"/>
  <c r="Y18" i="34"/>
  <c r="X18" i="34"/>
  <c r="L18" i="34"/>
  <c r="K18" i="34"/>
  <c r="I18" i="34"/>
  <c r="G18" i="35"/>
  <c r="H19" i="35"/>
  <c r="Y18" i="35"/>
  <c r="X18" i="35"/>
  <c r="V18" i="35"/>
  <c r="K16" i="26"/>
  <c r="L16" i="26"/>
  <c r="H17" i="26"/>
  <c r="G17" i="26" s="1"/>
  <c r="K17" i="26" s="1"/>
  <c r="G20" i="31"/>
  <c r="H21" i="31" s="1"/>
  <c r="L19" i="31"/>
  <c r="I19" i="31"/>
  <c r="K19" i="31"/>
  <c r="U21" i="31"/>
  <c r="V20" i="31"/>
  <c r="Y20" i="31"/>
  <c r="X20" i="31"/>
  <c r="Y19" i="31"/>
  <c r="X19" i="31"/>
  <c r="V19" i="31"/>
  <c r="BB50" i="16"/>
  <c r="BC49" i="16"/>
  <c r="BD49" i="16" s="1"/>
  <c r="AR49" i="16"/>
  <c r="AS49" i="16" s="1"/>
  <c r="AQ50" i="16"/>
  <c r="AM49" i="16"/>
  <c r="AL50" i="16"/>
  <c r="AN49" i="16"/>
  <c r="AC49" i="16"/>
  <c r="AB50" i="16"/>
  <c r="AD49" i="16"/>
  <c r="AH49" i="16"/>
  <c r="AI49" i="16" s="1"/>
  <c r="AG50" i="16"/>
  <c r="X49" i="16"/>
  <c r="Y49" i="16" s="1"/>
  <c r="W50" i="16"/>
  <c r="AW50" i="16"/>
  <c r="AX50" i="16" s="1"/>
  <c r="AV51" i="16"/>
  <c r="T20" i="26"/>
  <c r="U21" i="26" s="1"/>
  <c r="V19" i="26"/>
  <c r="Y19" i="26"/>
  <c r="X19" i="26"/>
  <c r="T51" i="16"/>
  <c r="AY50" i="16"/>
  <c r="AZ50" i="16" s="1"/>
  <c r="BA50" i="16" s="1"/>
  <c r="AP50" i="16"/>
  <c r="AK50" i="16"/>
  <c r="AA50" i="16"/>
  <c r="AF50" i="16"/>
  <c r="AU50" i="16"/>
  <c r="V50" i="16"/>
  <c r="H16" i="6"/>
  <c r="G16" i="6" s="1"/>
  <c r="I15" i="6"/>
  <c r="L19" i="5"/>
  <c r="K19" i="5"/>
  <c r="I19" i="5"/>
  <c r="H20" i="5"/>
  <c r="G20" i="5" s="1"/>
  <c r="X19" i="6"/>
  <c r="V19" i="6"/>
  <c r="U20" i="6"/>
  <c r="T20" i="6" s="1"/>
  <c r="Y20" i="6" s="1"/>
  <c r="X18" i="5"/>
  <c r="V18" i="5"/>
  <c r="U19" i="5"/>
  <c r="T19" i="5" s="1"/>
  <c r="Y18" i="5"/>
  <c r="U21" i="34" l="1"/>
  <c r="Y20" i="34"/>
  <c r="X20" i="34"/>
  <c r="V20" i="34"/>
  <c r="V19" i="34"/>
  <c r="Y19" i="34"/>
  <c r="X19" i="34"/>
  <c r="G19" i="35"/>
  <c r="H20" i="35"/>
  <c r="H21" i="34"/>
  <c r="K20" i="34"/>
  <c r="I20" i="34"/>
  <c r="L20" i="34"/>
  <c r="L18" i="35"/>
  <c r="K18" i="35"/>
  <c r="I18" i="35"/>
  <c r="I19" i="34"/>
  <c r="K19" i="34"/>
  <c r="L19" i="34"/>
  <c r="T20" i="35"/>
  <c r="U21" i="35"/>
  <c r="Y19" i="35"/>
  <c r="V19" i="35"/>
  <c r="X19" i="35"/>
  <c r="I17" i="26"/>
  <c r="L17" i="26"/>
  <c r="H18" i="26"/>
  <c r="G18" i="26" s="1"/>
  <c r="K18" i="26" s="1"/>
  <c r="T21" i="31"/>
  <c r="U22" i="31" s="1"/>
  <c r="G21" i="31"/>
  <c r="H22" i="31" s="1"/>
  <c r="L20" i="31"/>
  <c r="K20" i="31"/>
  <c r="I20" i="31"/>
  <c r="BB51" i="16"/>
  <c r="BC50" i="16"/>
  <c r="BD50" i="16" s="1"/>
  <c r="AQ51" i="16"/>
  <c r="AR50" i="16"/>
  <c r="AS50" i="16" s="1"/>
  <c r="AM50" i="16"/>
  <c r="AN50" i="16" s="1"/>
  <c r="AL51" i="16"/>
  <c r="AG51" i="16"/>
  <c r="AH50" i="16"/>
  <c r="AC50" i="16"/>
  <c r="AD50" i="16" s="1"/>
  <c r="AB51" i="16"/>
  <c r="AI50" i="16"/>
  <c r="X50" i="16"/>
  <c r="Y50" i="16" s="1"/>
  <c r="W51" i="16"/>
  <c r="AV52" i="16"/>
  <c r="AW51" i="16"/>
  <c r="AX51" i="16" s="1"/>
  <c r="T21" i="26"/>
  <c r="U22" i="26" s="1"/>
  <c r="Y20" i="26"/>
  <c r="X20" i="26"/>
  <c r="V20" i="26"/>
  <c r="T52" i="16"/>
  <c r="AY51" i="16"/>
  <c r="AZ51" i="16" s="1"/>
  <c r="BA51" i="16" s="1"/>
  <c r="AK51" i="16"/>
  <c r="AP51" i="16"/>
  <c r="AA51" i="16"/>
  <c r="AF51" i="16"/>
  <c r="AU51" i="16"/>
  <c r="V51" i="16"/>
  <c r="L16" i="6"/>
  <c r="K16" i="6"/>
  <c r="H21" i="5"/>
  <c r="G21" i="5" s="1"/>
  <c r="L20" i="5"/>
  <c r="K20" i="5"/>
  <c r="I20" i="5"/>
  <c r="Y19" i="5"/>
  <c r="X19" i="5"/>
  <c r="V19" i="5"/>
  <c r="U20" i="5"/>
  <c r="T20" i="5" s="1"/>
  <c r="I16" i="6"/>
  <c r="X20" i="6"/>
  <c r="V20" i="6"/>
  <c r="U21" i="6"/>
  <c r="T21" i="6" s="1"/>
  <c r="Y21" i="6" s="1"/>
  <c r="H17" i="6"/>
  <c r="G17" i="6" s="1"/>
  <c r="G21" i="34" l="1"/>
  <c r="H22" i="34"/>
  <c r="G20" i="35"/>
  <c r="H21" i="35"/>
  <c r="I19" i="35"/>
  <c r="L19" i="35"/>
  <c r="K19" i="35"/>
  <c r="T21" i="35"/>
  <c r="U22" i="35" s="1"/>
  <c r="Y20" i="35"/>
  <c r="X20" i="35"/>
  <c r="V20" i="35"/>
  <c r="T21" i="34"/>
  <c r="U22" i="34" s="1"/>
  <c r="L18" i="26"/>
  <c r="I18" i="26"/>
  <c r="H19" i="26"/>
  <c r="G19" i="26" s="1"/>
  <c r="I19" i="26" s="1"/>
  <c r="G22" i="31"/>
  <c r="H23" i="31" s="1"/>
  <c r="I21" i="31"/>
  <c r="K21" i="31"/>
  <c r="L21" i="31"/>
  <c r="T22" i="31"/>
  <c r="U23" i="31" s="1"/>
  <c r="T23" i="31" s="1"/>
  <c r="V21" i="31"/>
  <c r="Y21" i="31"/>
  <c r="X21" i="31"/>
  <c r="BB52" i="16"/>
  <c r="BC51" i="16"/>
  <c r="BD51" i="16" s="1"/>
  <c r="AR51" i="16"/>
  <c r="AS51" i="16" s="1"/>
  <c r="AQ52" i="16"/>
  <c r="AL52" i="16"/>
  <c r="AM51" i="16"/>
  <c r="AN51" i="16" s="1"/>
  <c r="AG52" i="16"/>
  <c r="AH51" i="16"/>
  <c r="X51" i="16"/>
  <c r="Y51" i="16" s="1"/>
  <c r="W52" i="16"/>
  <c r="AI51" i="16"/>
  <c r="AC51" i="16"/>
  <c r="AD51" i="16" s="1"/>
  <c r="AB52" i="16"/>
  <c r="AW52" i="16"/>
  <c r="AX52" i="16" s="1"/>
  <c r="AV53" i="16"/>
  <c r="T22" i="26"/>
  <c r="U23" i="26" s="1"/>
  <c r="Y21" i="26"/>
  <c r="X21" i="26"/>
  <c r="V21" i="26"/>
  <c r="T53" i="16"/>
  <c r="AY52" i="16"/>
  <c r="AZ52" i="16" s="1"/>
  <c r="BA52" i="16" s="1"/>
  <c r="AK52" i="16"/>
  <c r="AP52" i="16"/>
  <c r="AA52" i="16"/>
  <c r="AF52" i="16"/>
  <c r="AU52" i="16"/>
  <c r="V52" i="16"/>
  <c r="L17" i="6"/>
  <c r="U22" i="6"/>
  <c r="T22" i="6" s="1"/>
  <c r="X21" i="6"/>
  <c r="V21" i="6"/>
  <c r="H22" i="5"/>
  <c r="G22" i="5" s="1"/>
  <c r="L21" i="5"/>
  <c r="K21" i="5"/>
  <c r="I21" i="5"/>
  <c r="Y20" i="5"/>
  <c r="X20" i="5"/>
  <c r="V20" i="5"/>
  <c r="U21" i="5"/>
  <c r="T21" i="5" s="1"/>
  <c r="T22" i="35" l="1"/>
  <c r="U23" i="35"/>
  <c r="Y21" i="35"/>
  <c r="X21" i="35"/>
  <c r="V21" i="35"/>
  <c r="T22" i="34"/>
  <c r="U23" i="34"/>
  <c r="G21" i="35"/>
  <c r="H22" i="35"/>
  <c r="V21" i="34"/>
  <c r="Y21" i="34"/>
  <c r="X21" i="34"/>
  <c r="L20" i="35"/>
  <c r="I20" i="35"/>
  <c r="K20" i="35"/>
  <c r="G22" i="34"/>
  <c r="H23" i="34"/>
  <c r="L21" i="34"/>
  <c r="K21" i="34"/>
  <c r="I21" i="34"/>
  <c r="L19" i="26"/>
  <c r="K19" i="26"/>
  <c r="H20" i="26"/>
  <c r="G20" i="26" s="1"/>
  <c r="L20" i="26" s="1"/>
  <c r="U24" i="31"/>
  <c r="V23" i="31"/>
  <c r="Y23" i="31"/>
  <c r="X23" i="31"/>
  <c r="X22" i="31"/>
  <c r="Y22" i="31"/>
  <c r="V22" i="31"/>
  <c r="G23" i="31"/>
  <c r="H24" i="31" s="1"/>
  <c r="G24" i="31" s="1"/>
  <c r="I22" i="31"/>
  <c r="L22" i="31"/>
  <c r="K22" i="31"/>
  <c r="BB53" i="16"/>
  <c r="BC52" i="16"/>
  <c r="BD52" i="16"/>
  <c r="AR52" i="16"/>
  <c r="AS52" i="16" s="1"/>
  <c r="AQ53" i="16"/>
  <c r="AM52" i="16"/>
  <c r="AL53" i="16"/>
  <c r="AN52" i="16"/>
  <c r="AG53" i="16"/>
  <c r="AH52" i="16"/>
  <c r="AI52" i="16" s="1"/>
  <c r="X52" i="16"/>
  <c r="W53" i="16"/>
  <c r="AB53" i="16"/>
  <c r="AC52" i="16"/>
  <c r="AD52" i="16" s="1"/>
  <c r="Y52" i="16"/>
  <c r="AV54" i="16"/>
  <c r="AW53" i="16"/>
  <c r="AX53" i="16" s="1"/>
  <c r="T23" i="26"/>
  <c r="U24" i="26" s="1"/>
  <c r="Y22" i="26"/>
  <c r="V22" i="26"/>
  <c r="X22" i="26"/>
  <c r="T54" i="16"/>
  <c r="AY53" i="16"/>
  <c r="AZ53" i="16" s="1"/>
  <c r="BA53" i="16" s="1"/>
  <c r="AP53" i="16"/>
  <c r="AK53" i="16"/>
  <c r="AF53" i="16"/>
  <c r="AA53" i="16"/>
  <c r="V53" i="16"/>
  <c r="AU53" i="16"/>
  <c r="Y22" i="6"/>
  <c r="H18" i="6"/>
  <c r="X22" i="6"/>
  <c r="V22" i="6"/>
  <c r="U23" i="6"/>
  <c r="T23" i="6" s="1"/>
  <c r="Y23" i="6" s="1"/>
  <c r="I22" i="5"/>
  <c r="H23" i="5"/>
  <c r="G23" i="5" s="1"/>
  <c r="L22" i="5"/>
  <c r="K22" i="5"/>
  <c r="K17" i="6"/>
  <c r="I17" i="6"/>
  <c r="Y21" i="5"/>
  <c r="X21" i="5"/>
  <c r="V21" i="5"/>
  <c r="U22" i="5"/>
  <c r="T22" i="5" s="1"/>
  <c r="G22" i="35" l="1"/>
  <c r="H23" i="35"/>
  <c r="L21" i="35"/>
  <c r="K21" i="35"/>
  <c r="I21" i="35"/>
  <c r="G23" i="34"/>
  <c r="H24" i="34"/>
  <c r="T23" i="34"/>
  <c r="U24" i="34"/>
  <c r="L22" i="34"/>
  <c r="K22" i="34"/>
  <c r="I22" i="34"/>
  <c r="V22" i="34"/>
  <c r="Y22" i="34"/>
  <c r="X22" i="34"/>
  <c r="T23" i="35"/>
  <c r="U24" i="35"/>
  <c r="Y22" i="35"/>
  <c r="X22" i="35"/>
  <c r="V22" i="35"/>
  <c r="H21" i="26"/>
  <c r="G21" i="26" s="1"/>
  <c r="L21" i="26" s="1"/>
  <c r="I20" i="26"/>
  <c r="K20" i="26"/>
  <c r="H25" i="31"/>
  <c r="G25" i="31" s="1"/>
  <c r="L24" i="31"/>
  <c r="K24" i="31"/>
  <c r="J24" i="31"/>
  <c r="I24" i="31"/>
  <c r="L23" i="31"/>
  <c r="K23" i="31"/>
  <c r="I23" i="31"/>
  <c r="T24" i="31"/>
  <c r="U25" i="31" s="1"/>
  <c r="BB54" i="16"/>
  <c r="BC53" i="16"/>
  <c r="BD53" i="16" s="1"/>
  <c r="AQ54" i="16"/>
  <c r="AR53" i="16"/>
  <c r="AS53" i="16" s="1"/>
  <c r="AM53" i="16"/>
  <c r="AL54" i="16"/>
  <c r="AN53" i="16"/>
  <c r="X53" i="16"/>
  <c r="Y53" i="16" s="1"/>
  <c r="W54" i="16"/>
  <c r="AH53" i="16"/>
  <c r="AI53" i="16" s="1"/>
  <c r="AG54" i="16"/>
  <c r="AB54" i="16"/>
  <c r="AC53" i="16"/>
  <c r="AD53" i="16" s="1"/>
  <c r="AW54" i="16"/>
  <c r="AV55" i="16"/>
  <c r="AX54" i="16"/>
  <c r="T24" i="26"/>
  <c r="U25" i="26" s="1"/>
  <c r="X23" i="26"/>
  <c r="Y23" i="26"/>
  <c r="V23" i="26"/>
  <c r="T55" i="16"/>
  <c r="AY54" i="16"/>
  <c r="AZ54" i="16" s="1"/>
  <c r="BA54" i="16" s="1"/>
  <c r="AP54" i="16"/>
  <c r="AA54" i="16"/>
  <c r="AF54" i="16"/>
  <c r="V54" i="16"/>
  <c r="AK54" i="16"/>
  <c r="AU54" i="16"/>
  <c r="G18" i="6"/>
  <c r="Y22" i="5"/>
  <c r="X22" i="5"/>
  <c r="V22" i="5"/>
  <c r="U23" i="5"/>
  <c r="T23" i="5" s="1"/>
  <c r="U24" i="6"/>
  <c r="T24" i="6" s="1"/>
  <c r="Y24" i="6" s="1"/>
  <c r="X23" i="6"/>
  <c r="V23" i="6"/>
  <c r="L23" i="5"/>
  <c r="K23" i="5"/>
  <c r="I23" i="5"/>
  <c r="H24" i="5"/>
  <c r="G24" i="5" s="1"/>
  <c r="T24" i="34" l="1"/>
  <c r="U25" i="34"/>
  <c r="V23" i="34"/>
  <c r="X23" i="34"/>
  <c r="Y23" i="34"/>
  <c r="T24" i="35"/>
  <c r="U25" i="35"/>
  <c r="G24" i="34"/>
  <c r="H25" i="34"/>
  <c r="Y23" i="35"/>
  <c r="X23" i="35"/>
  <c r="V23" i="35"/>
  <c r="K23" i="34"/>
  <c r="L23" i="34"/>
  <c r="I23" i="34"/>
  <c r="G23" i="35"/>
  <c r="H24" i="35"/>
  <c r="L22" i="35"/>
  <c r="K22" i="35"/>
  <c r="I22" i="35"/>
  <c r="I21" i="26"/>
  <c r="K21" i="26"/>
  <c r="H22" i="26"/>
  <c r="G22" i="26" s="1"/>
  <c r="I22" i="26" s="1"/>
  <c r="Y24" i="31"/>
  <c r="W24" i="31"/>
  <c r="X24" i="31"/>
  <c r="V24" i="31"/>
  <c r="T25" i="31"/>
  <c r="U26" i="31" s="1"/>
  <c r="H26" i="31"/>
  <c r="G26" i="31" s="1"/>
  <c r="L25" i="31"/>
  <c r="K25" i="31"/>
  <c r="J25" i="31"/>
  <c r="I25" i="31"/>
  <c r="BB55" i="16"/>
  <c r="BC54" i="16"/>
  <c r="BD54" i="16" s="1"/>
  <c r="AQ55" i="16"/>
  <c r="AR54" i="16"/>
  <c r="AS54" i="16"/>
  <c r="AM54" i="16"/>
  <c r="AN54" i="16" s="1"/>
  <c r="AL55" i="16"/>
  <c r="AH54" i="16"/>
  <c r="AI54" i="16" s="1"/>
  <c r="AG55" i="16"/>
  <c r="AB55" i="16"/>
  <c r="AC54" i="16"/>
  <c r="X54" i="16"/>
  <c r="W55" i="16"/>
  <c r="AD54" i="16"/>
  <c r="Y54" i="16"/>
  <c r="AW55" i="16"/>
  <c r="AX55" i="16" s="1"/>
  <c r="AV56" i="16"/>
  <c r="T25" i="26"/>
  <c r="U26" i="26" s="1"/>
  <c r="V24" i="26"/>
  <c r="Y24" i="26"/>
  <c r="X24" i="26"/>
  <c r="W24" i="26"/>
  <c r="T56" i="16"/>
  <c r="AY55" i="16"/>
  <c r="AZ55" i="16" s="1"/>
  <c r="BA55" i="16" s="1"/>
  <c r="AP55" i="16"/>
  <c r="AK55" i="16"/>
  <c r="AF55" i="16"/>
  <c r="AA55" i="16"/>
  <c r="V55" i="16"/>
  <c r="AU55" i="16"/>
  <c r="L18" i="6"/>
  <c r="H19" i="6"/>
  <c r="G19" i="6" s="1"/>
  <c r="I18" i="6"/>
  <c r="K18" i="6"/>
  <c r="W24" i="6"/>
  <c r="L24" i="5"/>
  <c r="K24" i="5"/>
  <c r="I24" i="5"/>
  <c r="H25" i="5"/>
  <c r="G25" i="5" s="1"/>
  <c r="Y23" i="5"/>
  <c r="X23" i="5"/>
  <c r="V23" i="5"/>
  <c r="U24" i="5"/>
  <c r="T24" i="5" s="1"/>
  <c r="U25" i="6"/>
  <c r="T25" i="6" s="1"/>
  <c r="Y25" i="6" s="1"/>
  <c r="X24" i="6"/>
  <c r="V24" i="6"/>
  <c r="G25" i="34" l="1"/>
  <c r="H26" i="34"/>
  <c r="I24" i="34"/>
  <c r="K24" i="34"/>
  <c r="J24" i="34"/>
  <c r="L24" i="34"/>
  <c r="G24" i="35"/>
  <c r="H25" i="35"/>
  <c r="T25" i="35"/>
  <c r="U26" i="35"/>
  <c r="L23" i="35"/>
  <c r="K23" i="35"/>
  <c r="I23" i="35"/>
  <c r="Y24" i="35"/>
  <c r="W24" i="35"/>
  <c r="X24" i="35"/>
  <c r="V24" i="35"/>
  <c r="T25" i="34"/>
  <c r="U26" i="34" s="1"/>
  <c r="V24" i="34"/>
  <c r="Y24" i="34"/>
  <c r="X24" i="34"/>
  <c r="W24" i="34"/>
  <c r="L22" i="26"/>
  <c r="H23" i="26"/>
  <c r="G23" i="26" s="1"/>
  <c r="L23" i="26" s="1"/>
  <c r="K22" i="26"/>
  <c r="H27" i="31"/>
  <c r="L26" i="31"/>
  <c r="K26" i="31"/>
  <c r="J26" i="31"/>
  <c r="I26" i="31"/>
  <c r="T26" i="31"/>
  <c r="U27" i="31" s="1"/>
  <c r="V25" i="31"/>
  <c r="Y25" i="31"/>
  <c r="X25" i="31"/>
  <c r="W25" i="31"/>
  <c r="BB56" i="16"/>
  <c r="BC55" i="16"/>
  <c r="BD55" i="16" s="1"/>
  <c r="AQ56" i="16"/>
  <c r="AR55" i="16"/>
  <c r="AS55" i="16" s="1"/>
  <c r="AM55" i="16"/>
  <c r="AL56" i="16"/>
  <c r="AN55" i="16"/>
  <c r="X55" i="16"/>
  <c r="Y55" i="16" s="1"/>
  <c r="W56" i="16"/>
  <c r="AB56" i="16"/>
  <c r="AC55" i="16"/>
  <c r="AD55" i="16" s="1"/>
  <c r="AG56" i="16"/>
  <c r="AH55" i="16"/>
  <c r="AI55" i="16" s="1"/>
  <c r="AW56" i="16"/>
  <c r="AX56" i="16" s="1"/>
  <c r="AV57" i="16"/>
  <c r="T26" i="26"/>
  <c r="U27" i="26" s="1"/>
  <c r="V25" i="26"/>
  <c r="Y25" i="26"/>
  <c r="W25" i="26"/>
  <c r="X25" i="26"/>
  <c r="T57" i="16"/>
  <c r="AY56" i="16"/>
  <c r="AZ56" i="16" s="1"/>
  <c r="BA56" i="16" s="1"/>
  <c r="AP56" i="16"/>
  <c r="AA56" i="16"/>
  <c r="AK56" i="16"/>
  <c r="AF56" i="16"/>
  <c r="V56" i="16"/>
  <c r="AU56" i="16"/>
  <c r="L19" i="6"/>
  <c r="H20" i="6"/>
  <c r="W25" i="6"/>
  <c r="U25" i="5"/>
  <c r="T25" i="5" s="1"/>
  <c r="Y24" i="5"/>
  <c r="X24" i="5"/>
  <c r="V24" i="5"/>
  <c r="L25" i="5"/>
  <c r="K25" i="5"/>
  <c r="I25" i="5"/>
  <c r="H26" i="5"/>
  <c r="G26" i="5" s="1"/>
  <c r="K19" i="6"/>
  <c r="I19" i="6"/>
  <c r="V25" i="6"/>
  <c r="U26" i="6"/>
  <c r="T26" i="6" s="1"/>
  <c r="X25" i="6"/>
  <c r="T26" i="35" l="1"/>
  <c r="U27" i="35"/>
  <c r="T27" i="35" s="1"/>
  <c r="Y25" i="35"/>
  <c r="X25" i="35"/>
  <c r="W25" i="35"/>
  <c r="V25" i="35"/>
  <c r="T26" i="34"/>
  <c r="U27" i="34"/>
  <c r="G25" i="35"/>
  <c r="H26" i="35" s="1"/>
  <c r="V25" i="34"/>
  <c r="Y25" i="34"/>
  <c r="X25" i="34"/>
  <c r="W25" i="34"/>
  <c r="K24" i="35"/>
  <c r="J24" i="35"/>
  <c r="I24" i="35"/>
  <c r="L24" i="35"/>
  <c r="G26" i="34"/>
  <c r="H27" i="34"/>
  <c r="J25" i="34"/>
  <c r="I25" i="34"/>
  <c r="L25" i="34"/>
  <c r="K25" i="34"/>
  <c r="K23" i="26"/>
  <c r="I23" i="26"/>
  <c r="H24" i="26"/>
  <c r="G24" i="26" s="1"/>
  <c r="L24" i="26" s="1"/>
  <c r="T27" i="31"/>
  <c r="U28" i="31" s="1"/>
  <c r="T28" i="31" s="1"/>
  <c r="X26" i="31"/>
  <c r="W26" i="31"/>
  <c r="V26" i="31"/>
  <c r="Y26" i="31"/>
  <c r="G27" i="31"/>
  <c r="H28" i="31" s="1"/>
  <c r="BB57" i="16"/>
  <c r="BC56" i="16"/>
  <c r="BD56" i="16"/>
  <c r="AR56" i="16"/>
  <c r="AS56" i="16" s="1"/>
  <c r="AQ57" i="16"/>
  <c r="AM56" i="16"/>
  <c r="AN56" i="16" s="1"/>
  <c r="AL57" i="16"/>
  <c r="X56" i="16"/>
  <c r="Y56" i="16" s="1"/>
  <c r="W57" i="16"/>
  <c r="AH56" i="16"/>
  <c r="AG57" i="16"/>
  <c r="AC56" i="16"/>
  <c r="AD56" i="16" s="1"/>
  <c r="AB57" i="16"/>
  <c r="AI56" i="16"/>
  <c r="AV58" i="16"/>
  <c r="AW57" i="16"/>
  <c r="AX57" i="16" s="1"/>
  <c r="T27" i="26"/>
  <c r="U28" i="26" s="1"/>
  <c r="X26" i="26"/>
  <c r="V26" i="26"/>
  <c r="Y26" i="26"/>
  <c r="W26" i="26"/>
  <c r="Y26" i="6"/>
  <c r="U27" i="6"/>
  <c r="T27" i="6" s="1"/>
  <c r="Y27" i="6" s="1"/>
  <c r="T58" i="16"/>
  <c r="AY57" i="16"/>
  <c r="AZ57" i="16" s="1"/>
  <c r="BA57" i="16" s="1"/>
  <c r="AF57" i="16"/>
  <c r="AP57" i="16"/>
  <c r="AK57" i="16"/>
  <c r="AA57" i="16"/>
  <c r="V57" i="16"/>
  <c r="AU57" i="16"/>
  <c r="G20" i="6"/>
  <c r="W26" i="6"/>
  <c r="X26" i="6"/>
  <c r="V26" i="6"/>
  <c r="V25" i="5"/>
  <c r="U26" i="5"/>
  <c r="T26" i="5" s="1"/>
  <c r="Y25" i="5"/>
  <c r="X25" i="5"/>
  <c r="L26" i="5"/>
  <c r="K26" i="5"/>
  <c r="I26" i="5"/>
  <c r="G26" i="35" l="1"/>
  <c r="H27" i="35"/>
  <c r="I25" i="35"/>
  <c r="L25" i="35"/>
  <c r="J25" i="35"/>
  <c r="K25" i="35"/>
  <c r="G27" i="34"/>
  <c r="H28" i="34"/>
  <c r="T27" i="34"/>
  <c r="U28" i="34"/>
  <c r="L26" i="34"/>
  <c r="K26" i="34"/>
  <c r="J26" i="34"/>
  <c r="I26" i="34"/>
  <c r="X26" i="34"/>
  <c r="W26" i="34"/>
  <c r="Y26" i="34"/>
  <c r="V26" i="34"/>
  <c r="U28" i="35"/>
  <c r="X27" i="35"/>
  <c r="V27" i="35"/>
  <c r="W27" i="35"/>
  <c r="Y27" i="35"/>
  <c r="Y26" i="35"/>
  <c r="X26" i="35"/>
  <c r="V26" i="35"/>
  <c r="W26" i="35"/>
  <c r="J24" i="26"/>
  <c r="I24" i="26"/>
  <c r="K24" i="26"/>
  <c r="H25" i="26"/>
  <c r="G25" i="26" s="1"/>
  <c r="K25" i="26" s="1"/>
  <c r="G28" i="31"/>
  <c r="H29" i="31" s="1"/>
  <c r="L27" i="31"/>
  <c r="K27" i="31"/>
  <c r="J27" i="31"/>
  <c r="I27" i="31"/>
  <c r="U29" i="31"/>
  <c r="W28" i="31"/>
  <c r="V28" i="31"/>
  <c r="Y28" i="31"/>
  <c r="X28" i="31"/>
  <c r="V27" i="31"/>
  <c r="Y27" i="31"/>
  <c r="X27" i="31"/>
  <c r="W27" i="31"/>
  <c r="BB58" i="16"/>
  <c r="BC57" i="16"/>
  <c r="BD57" i="16"/>
  <c r="AR57" i="16"/>
  <c r="AS57" i="16" s="1"/>
  <c r="AQ58" i="16"/>
  <c r="AM57" i="16"/>
  <c r="AN57" i="16" s="1"/>
  <c r="AL58" i="16"/>
  <c r="AH57" i="16"/>
  <c r="AI57" i="16" s="1"/>
  <c r="AG58" i="16"/>
  <c r="X57" i="16"/>
  <c r="Y57" i="16" s="1"/>
  <c r="W58" i="16"/>
  <c r="AC57" i="16"/>
  <c r="AD57" i="16" s="1"/>
  <c r="AB58" i="16"/>
  <c r="AV59" i="16"/>
  <c r="AW58" i="16"/>
  <c r="AX58" i="16" s="1"/>
  <c r="T28" i="26"/>
  <c r="U29" i="26" s="1"/>
  <c r="W27" i="26"/>
  <c r="X27" i="26"/>
  <c r="V27" i="26"/>
  <c r="Y27" i="26"/>
  <c r="T59" i="16"/>
  <c r="AY58" i="16"/>
  <c r="AZ58" i="16" s="1"/>
  <c r="BA58" i="16" s="1"/>
  <c r="AK58" i="16"/>
  <c r="AP58" i="16"/>
  <c r="AF58" i="16"/>
  <c r="AA58" i="16"/>
  <c r="V58" i="16"/>
  <c r="AU58" i="16"/>
  <c r="L20" i="6"/>
  <c r="K20" i="6"/>
  <c r="I20" i="6"/>
  <c r="H21" i="6"/>
  <c r="G21" i="6" s="1"/>
  <c r="W27" i="6"/>
  <c r="X26" i="5"/>
  <c r="V26" i="5"/>
  <c r="U27" i="5"/>
  <c r="T27" i="5" s="1"/>
  <c r="Y26" i="5"/>
  <c r="X27" i="6"/>
  <c r="V27" i="6"/>
  <c r="U28" i="6"/>
  <c r="T28" i="6" s="1"/>
  <c r="Y28" i="6" s="1"/>
  <c r="T28" i="34" l="1"/>
  <c r="U29" i="34"/>
  <c r="V27" i="34"/>
  <c r="X27" i="34"/>
  <c r="Y27" i="34"/>
  <c r="W27" i="34"/>
  <c r="G28" i="34"/>
  <c r="H29" i="34"/>
  <c r="T28" i="35"/>
  <c r="U29" i="35"/>
  <c r="L27" i="34"/>
  <c r="K27" i="34"/>
  <c r="J27" i="34"/>
  <c r="I27" i="34"/>
  <c r="G27" i="35"/>
  <c r="H28" i="35"/>
  <c r="L26" i="35"/>
  <c r="K26" i="35"/>
  <c r="J26" i="35"/>
  <c r="I26" i="35"/>
  <c r="I25" i="26"/>
  <c r="H26" i="26"/>
  <c r="G26" i="26" s="1"/>
  <c r="L26" i="26" s="1"/>
  <c r="L25" i="26"/>
  <c r="J25" i="26"/>
  <c r="T29" i="31"/>
  <c r="U30" i="31" s="1"/>
  <c r="G29" i="31"/>
  <c r="H30" i="31" s="1"/>
  <c r="I28" i="31"/>
  <c r="L28" i="31"/>
  <c r="K28" i="31"/>
  <c r="J28" i="31"/>
  <c r="BB59" i="16"/>
  <c r="BC58" i="16"/>
  <c r="BD58" i="16"/>
  <c r="AR58" i="16"/>
  <c r="AS58" i="16" s="1"/>
  <c r="AQ59" i="16"/>
  <c r="AM58" i="16"/>
  <c r="AN58" i="16" s="1"/>
  <c r="AL59" i="16"/>
  <c r="AH58" i="16"/>
  <c r="AI58" i="16" s="1"/>
  <c r="AG59" i="16"/>
  <c r="AC58" i="16"/>
  <c r="AD58" i="16" s="1"/>
  <c r="AB59" i="16"/>
  <c r="X58" i="16"/>
  <c r="Y58" i="16" s="1"/>
  <c r="W59" i="16"/>
  <c r="AW59" i="16"/>
  <c r="AX59" i="16" s="1"/>
  <c r="AV60" i="16"/>
  <c r="T29" i="26"/>
  <c r="U30" i="26" s="1"/>
  <c r="X28" i="26"/>
  <c r="V28" i="26"/>
  <c r="Y28" i="26"/>
  <c r="W28" i="26"/>
  <c r="T60" i="16"/>
  <c r="AY59" i="16"/>
  <c r="AZ59" i="16" s="1"/>
  <c r="BA59" i="16" s="1"/>
  <c r="AF59" i="16"/>
  <c r="AP59" i="16"/>
  <c r="AA59" i="16"/>
  <c r="AK59" i="16"/>
  <c r="V59" i="16"/>
  <c r="AU59" i="16"/>
  <c r="L21" i="6"/>
  <c r="W28" i="6"/>
  <c r="I21" i="6"/>
  <c r="K21" i="6"/>
  <c r="X28" i="6"/>
  <c r="V28" i="6"/>
  <c r="U29" i="6"/>
  <c r="T29" i="6" s="1"/>
  <c r="Y29" i="6" s="1"/>
  <c r="Y27" i="5"/>
  <c r="X27" i="5"/>
  <c r="V27" i="5"/>
  <c r="U28" i="5"/>
  <c r="T28" i="5" s="1"/>
  <c r="H22" i="6"/>
  <c r="T29" i="35" l="1"/>
  <c r="U30" i="35"/>
  <c r="Y28" i="35"/>
  <c r="X28" i="35"/>
  <c r="V28" i="35"/>
  <c r="W28" i="35"/>
  <c r="G29" i="34"/>
  <c r="H30" i="34"/>
  <c r="L28" i="34"/>
  <c r="K28" i="34"/>
  <c r="J28" i="34"/>
  <c r="I28" i="34"/>
  <c r="G28" i="35"/>
  <c r="H29" i="35"/>
  <c r="I27" i="35"/>
  <c r="L27" i="35"/>
  <c r="K27" i="35"/>
  <c r="J27" i="35"/>
  <c r="T29" i="34"/>
  <c r="U30" i="34"/>
  <c r="V28" i="34"/>
  <c r="W28" i="34"/>
  <c r="Y28" i="34"/>
  <c r="X28" i="34"/>
  <c r="K26" i="26"/>
  <c r="I26" i="26"/>
  <c r="J26" i="26"/>
  <c r="H27" i="26"/>
  <c r="G27" i="26" s="1"/>
  <c r="J27" i="26" s="1"/>
  <c r="G30" i="31"/>
  <c r="H31" i="31" s="1"/>
  <c r="L29" i="31"/>
  <c r="K29" i="31"/>
  <c r="J29" i="31"/>
  <c r="I29" i="31"/>
  <c r="T30" i="31"/>
  <c r="U31" i="31" s="1"/>
  <c r="X29" i="31"/>
  <c r="W29" i="31"/>
  <c r="V29" i="31"/>
  <c r="Y29" i="31"/>
  <c r="BB60" i="16"/>
  <c r="BC59" i="16"/>
  <c r="BD59" i="16" s="1"/>
  <c r="AR59" i="16"/>
  <c r="AS59" i="16" s="1"/>
  <c r="AQ60" i="16"/>
  <c r="AM59" i="16"/>
  <c r="AL60" i="16"/>
  <c r="AN59" i="16"/>
  <c r="AC59" i="16"/>
  <c r="AB60" i="16"/>
  <c r="AG60" i="16"/>
  <c r="AH59" i="16"/>
  <c r="AI59" i="16" s="1"/>
  <c r="AD59" i="16"/>
  <c r="X59" i="16"/>
  <c r="Y59" i="16" s="1"/>
  <c r="W60" i="16"/>
  <c r="AW60" i="16"/>
  <c r="AX60" i="16" s="1"/>
  <c r="AV61" i="16"/>
  <c r="T30" i="26"/>
  <c r="U31" i="26" s="1"/>
  <c r="W29" i="26"/>
  <c r="X29" i="26"/>
  <c r="V29" i="26"/>
  <c r="Y29" i="26"/>
  <c r="T61" i="16"/>
  <c r="AY60" i="16"/>
  <c r="AZ60" i="16" s="1"/>
  <c r="BA60" i="16" s="1"/>
  <c r="AK60" i="16"/>
  <c r="AP60" i="16"/>
  <c r="AA60" i="16"/>
  <c r="AF60" i="16"/>
  <c r="V60" i="16"/>
  <c r="AU60" i="16"/>
  <c r="W29" i="6"/>
  <c r="X29" i="6"/>
  <c r="V29" i="6"/>
  <c r="U30" i="6"/>
  <c r="T30" i="6" s="1"/>
  <c r="Y30" i="6" s="1"/>
  <c r="G22" i="6"/>
  <c r="Y28" i="5"/>
  <c r="X28" i="5"/>
  <c r="V28" i="5"/>
  <c r="U29" i="5"/>
  <c r="T29" i="5" s="1"/>
  <c r="T30" i="34" l="1"/>
  <c r="U31" i="34"/>
  <c r="G30" i="34"/>
  <c r="H31" i="34"/>
  <c r="W29" i="34"/>
  <c r="X29" i="34"/>
  <c r="V29" i="34"/>
  <c r="Y29" i="34"/>
  <c r="I29" i="34"/>
  <c r="L29" i="34"/>
  <c r="K29" i="34"/>
  <c r="J29" i="34"/>
  <c r="G29" i="35"/>
  <c r="H30" i="35"/>
  <c r="T30" i="35"/>
  <c r="U31" i="35"/>
  <c r="I28" i="35"/>
  <c r="L28" i="35"/>
  <c r="K28" i="35"/>
  <c r="J28" i="35"/>
  <c r="Y29" i="35"/>
  <c r="X29" i="35"/>
  <c r="W29" i="35"/>
  <c r="V29" i="35"/>
  <c r="L27" i="26"/>
  <c r="K27" i="26"/>
  <c r="I27" i="26"/>
  <c r="H28" i="26"/>
  <c r="G28" i="26" s="1"/>
  <c r="K28" i="26" s="1"/>
  <c r="T31" i="31"/>
  <c r="U32" i="31" s="1"/>
  <c r="Y30" i="31"/>
  <c r="X30" i="31"/>
  <c r="W30" i="31"/>
  <c r="V30" i="31"/>
  <c r="G31" i="31"/>
  <c r="H32" i="31" s="1"/>
  <c r="G32" i="31" s="1"/>
  <c r="L30" i="31"/>
  <c r="K30" i="31"/>
  <c r="J30" i="31"/>
  <c r="I30" i="31"/>
  <c r="BB61" i="16"/>
  <c r="BC60" i="16"/>
  <c r="BD60" i="16"/>
  <c r="AR60" i="16"/>
  <c r="AS60" i="16" s="1"/>
  <c r="AQ61" i="16"/>
  <c r="AM60" i="16"/>
  <c r="AL61" i="16"/>
  <c r="AN60" i="16"/>
  <c r="AB61" i="16"/>
  <c r="AC60" i="16"/>
  <c r="AD60" i="16"/>
  <c r="AG61" i="16"/>
  <c r="AH60" i="16"/>
  <c r="AI60" i="16" s="1"/>
  <c r="W61" i="16"/>
  <c r="X60" i="16"/>
  <c r="Y60" i="16" s="1"/>
  <c r="AW61" i="16"/>
  <c r="AX61" i="16" s="1"/>
  <c r="AV62" i="16"/>
  <c r="T31" i="26"/>
  <c r="U32" i="26" s="1"/>
  <c r="Y30" i="26"/>
  <c r="X30" i="26"/>
  <c r="W30" i="26"/>
  <c r="V30" i="26"/>
  <c r="T62" i="16"/>
  <c r="AY61" i="16"/>
  <c r="AZ61" i="16" s="1"/>
  <c r="BA61" i="16" s="1"/>
  <c r="AK61" i="16"/>
  <c r="AP61" i="16"/>
  <c r="AF61" i="16"/>
  <c r="AA61" i="16"/>
  <c r="AU61" i="16"/>
  <c r="V61" i="16"/>
  <c r="L22" i="6"/>
  <c r="W30" i="6"/>
  <c r="H23" i="6"/>
  <c r="X30" i="6"/>
  <c r="V30" i="6"/>
  <c r="U31" i="6"/>
  <c r="T31" i="6" s="1"/>
  <c r="Y31" i="6" s="1"/>
  <c r="Y29" i="5"/>
  <c r="X29" i="5"/>
  <c r="V29" i="5"/>
  <c r="U30" i="5"/>
  <c r="T30" i="5" s="1"/>
  <c r="I22" i="6"/>
  <c r="K22" i="6"/>
  <c r="T31" i="35" l="1"/>
  <c r="U32" i="35"/>
  <c r="G31" i="34"/>
  <c r="H32" i="34"/>
  <c r="W30" i="35"/>
  <c r="Y30" i="35"/>
  <c r="X30" i="35"/>
  <c r="V30" i="35"/>
  <c r="L30" i="34"/>
  <c r="K30" i="34"/>
  <c r="J30" i="34"/>
  <c r="I30" i="34"/>
  <c r="G30" i="35"/>
  <c r="H31" i="35"/>
  <c r="T31" i="34"/>
  <c r="U32" i="34"/>
  <c r="L29" i="35"/>
  <c r="K29" i="35"/>
  <c r="J29" i="35"/>
  <c r="I29" i="35"/>
  <c r="W30" i="34"/>
  <c r="Y30" i="34"/>
  <c r="X30" i="34"/>
  <c r="V30" i="34"/>
  <c r="I28" i="26"/>
  <c r="L28" i="26"/>
  <c r="J28" i="26"/>
  <c r="H29" i="26"/>
  <c r="G29" i="26" s="1"/>
  <c r="L29" i="26" s="1"/>
  <c r="H33" i="31"/>
  <c r="L32" i="31"/>
  <c r="K32" i="31"/>
  <c r="I32" i="31"/>
  <c r="J32" i="31"/>
  <c r="L31" i="31"/>
  <c r="K31" i="31"/>
  <c r="J31" i="31"/>
  <c r="I31" i="31"/>
  <c r="T32" i="31"/>
  <c r="U33" i="31" s="1"/>
  <c r="Y31" i="31"/>
  <c r="X31" i="31"/>
  <c r="W31" i="31"/>
  <c r="V31" i="31"/>
  <c r="BB62" i="16"/>
  <c r="BC61" i="16"/>
  <c r="BD61" i="16"/>
  <c r="AQ62" i="16"/>
  <c r="AR61" i="16"/>
  <c r="AS61" i="16" s="1"/>
  <c r="AM61" i="16"/>
  <c r="AN61" i="16" s="1"/>
  <c r="AL62" i="16"/>
  <c r="AC61" i="16"/>
  <c r="AB62" i="16"/>
  <c r="AH61" i="16"/>
  <c r="AI61" i="16" s="1"/>
  <c r="AG62" i="16"/>
  <c r="AD61" i="16"/>
  <c r="X61" i="16"/>
  <c r="Y61" i="16" s="1"/>
  <c r="W62" i="16"/>
  <c r="AW62" i="16"/>
  <c r="AX62" i="16" s="1"/>
  <c r="AV63" i="16"/>
  <c r="T32" i="26"/>
  <c r="U33" i="26" s="1"/>
  <c r="V31" i="26"/>
  <c r="X31" i="26"/>
  <c r="W31" i="26"/>
  <c r="Y31" i="26"/>
  <c r="G23" i="6"/>
  <c r="H24" i="6" s="1"/>
  <c r="T63" i="16"/>
  <c r="AP62" i="16"/>
  <c r="AY62" i="16"/>
  <c r="AZ62" i="16" s="1"/>
  <c r="BA62" i="16" s="1"/>
  <c r="AA62" i="16"/>
  <c r="AK62" i="16"/>
  <c r="AF62" i="16"/>
  <c r="V62" i="16"/>
  <c r="AU62" i="16"/>
  <c r="W31" i="6"/>
  <c r="U32" i="6"/>
  <c r="T32" i="6" s="1"/>
  <c r="Y32" i="6" s="1"/>
  <c r="V31" i="6"/>
  <c r="X31" i="6"/>
  <c r="Y30" i="5"/>
  <c r="X30" i="5"/>
  <c r="V30" i="5"/>
  <c r="U31" i="5"/>
  <c r="T31" i="5" s="1"/>
  <c r="T32" i="34" l="1"/>
  <c r="U33" i="34"/>
  <c r="G32" i="34"/>
  <c r="H33" i="34"/>
  <c r="V31" i="34"/>
  <c r="W31" i="34"/>
  <c r="Y31" i="34"/>
  <c r="X31" i="34"/>
  <c r="L31" i="34"/>
  <c r="K31" i="34"/>
  <c r="J31" i="34"/>
  <c r="I31" i="34"/>
  <c r="G31" i="35"/>
  <c r="H32" i="35"/>
  <c r="T32" i="35"/>
  <c r="U33" i="35"/>
  <c r="L30" i="35"/>
  <c r="K30" i="35"/>
  <c r="J30" i="35"/>
  <c r="I30" i="35"/>
  <c r="W31" i="35"/>
  <c r="Y31" i="35"/>
  <c r="X31" i="35"/>
  <c r="V31" i="35"/>
  <c r="H30" i="26"/>
  <c r="G30" i="26" s="1"/>
  <c r="L30" i="26" s="1"/>
  <c r="K29" i="26"/>
  <c r="I29" i="26"/>
  <c r="J29" i="26"/>
  <c r="T33" i="31"/>
  <c r="U34" i="31" s="1"/>
  <c r="Y32" i="31"/>
  <c r="X32" i="31"/>
  <c r="W32" i="31"/>
  <c r="V32" i="31"/>
  <c r="G33" i="31"/>
  <c r="H34" i="31" s="1"/>
  <c r="G34" i="31" s="1"/>
  <c r="BB63" i="16"/>
  <c r="BC62" i="16"/>
  <c r="BD62" i="16"/>
  <c r="AQ63" i="16"/>
  <c r="AR62" i="16"/>
  <c r="AS62" i="16" s="1"/>
  <c r="AM62" i="16"/>
  <c r="AN62" i="16" s="1"/>
  <c r="AL63" i="16"/>
  <c r="AH62" i="16"/>
  <c r="AG63" i="16"/>
  <c r="X62" i="16"/>
  <c r="Y62" i="16" s="1"/>
  <c r="W63" i="16"/>
  <c r="AC62" i="16"/>
  <c r="AD62" i="16" s="1"/>
  <c r="AB63" i="16"/>
  <c r="AI62" i="16"/>
  <c r="AW63" i="16"/>
  <c r="AX63" i="16" s="1"/>
  <c r="AV64" i="16"/>
  <c r="T33" i="26"/>
  <c r="U34" i="26" s="1"/>
  <c r="X32" i="26"/>
  <c r="V32" i="26"/>
  <c r="W32" i="26"/>
  <c r="Y32" i="26"/>
  <c r="I23" i="6"/>
  <c r="K23" i="6"/>
  <c r="L23" i="6"/>
  <c r="T64" i="16"/>
  <c r="AK63" i="16"/>
  <c r="AP63" i="16"/>
  <c r="AY63" i="16"/>
  <c r="AZ63" i="16" s="1"/>
  <c r="BA63" i="16" s="1"/>
  <c r="AA63" i="16"/>
  <c r="AF63" i="16"/>
  <c r="AU63" i="16"/>
  <c r="V63" i="16"/>
  <c r="W32" i="6"/>
  <c r="V32" i="6"/>
  <c r="U33" i="6"/>
  <c r="T33" i="6" s="1"/>
  <c r="Y33" i="6" s="1"/>
  <c r="X32" i="6"/>
  <c r="G24" i="6"/>
  <c r="L24" i="6" s="1"/>
  <c r="Y31" i="5"/>
  <c r="X31" i="5"/>
  <c r="V31" i="5"/>
  <c r="U32" i="5"/>
  <c r="T32" i="5" s="1"/>
  <c r="T33" i="35" l="1"/>
  <c r="U34" i="35"/>
  <c r="G33" i="34"/>
  <c r="H34" i="34" s="1"/>
  <c r="W32" i="35"/>
  <c r="X32" i="35"/>
  <c r="Y32" i="35"/>
  <c r="V32" i="35"/>
  <c r="L32" i="34"/>
  <c r="K32" i="34"/>
  <c r="J32" i="34"/>
  <c r="I32" i="34"/>
  <c r="G32" i="35"/>
  <c r="H33" i="35"/>
  <c r="T33" i="34"/>
  <c r="U34" i="34" s="1"/>
  <c r="L31" i="35"/>
  <c r="K31" i="35"/>
  <c r="J31" i="35"/>
  <c r="I31" i="35"/>
  <c r="W32" i="34"/>
  <c r="X32" i="34"/>
  <c r="Y32" i="34"/>
  <c r="V32" i="34"/>
  <c r="K30" i="26"/>
  <c r="J30" i="26"/>
  <c r="H31" i="26"/>
  <c r="G31" i="26" s="1"/>
  <c r="L31" i="26" s="1"/>
  <c r="I30" i="26"/>
  <c r="H35" i="31"/>
  <c r="G35" i="31" s="1"/>
  <c r="L34" i="31"/>
  <c r="K34" i="31"/>
  <c r="J34" i="31"/>
  <c r="I34" i="31"/>
  <c r="L33" i="31"/>
  <c r="K33" i="31"/>
  <c r="J33" i="31"/>
  <c r="I33" i="31"/>
  <c r="T34" i="31"/>
  <c r="U35" i="31" s="1"/>
  <c r="T35" i="31" s="1"/>
  <c r="X35" i="31" s="1"/>
  <c r="Y33" i="31"/>
  <c r="X33" i="31"/>
  <c r="W33" i="31"/>
  <c r="V33" i="31"/>
  <c r="BB64" i="16"/>
  <c r="BC63" i="16"/>
  <c r="BD63" i="16" s="1"/>
  <c r="AQ64" i="16"/>
  <c r="AR63" i="16"/>
  <c r="AS63" i="16" s="1"/>
  <c r="AM63" i="16"/>
  <c r="AL64" i="16"/>
  <c r="AN63" i="16"/>
  <c r="AG64" i="16"/>
  <c r="AH63" i="16"/>
  <c r="AC63" i="16"/>
  <c r="AB64" i="16"/>
  <c r="AI63" i="16"/>
  <c r="AD63" i="16"/>
  <c r="X63" i="16"/>
  <c r="Y63" i="16" s="1"/>
  <c r="W64" i="16"/>
  <c r="AV65" i="16"/>
  <c r="AW64" i="16"/>
  <c r="AX64" i="16" s="1"/>
  <c r="T34" i="26"/>
  <c r="U35" i="26" s="1"/>
  <c r="V33" i="26"/>
  <c r="Y33" i="26"/>
  <c r="X33" i="26"/>
  <c r="W33" i="26"/>
  <c r="T65" i="16"/>
  <c r="AY64" i="16"/>
  <c r="AZ64" i="16" s="1"/>
  <c r="BA64" i="16" s="1"/>
  <c r="AK64" i="16"/>
  <c r="AP64" i="16"/>
  <c r="AA64" i="16"/>
  <c r="AF64" i="16"/>
  <c r="AU64" i="16"/>
  <c r="V64" i="16"/>
  <c r="J24" i="6"/>
  <c r="W33" i="6"/>
  <c r="U33" i="5"/>
  <c r="T33" i="5" s="1"/>
  <c r="Y32" i="5"/>
  <c r="X32" i="5"/>
  <c r="V32" i="5"/>
  <c r="X33" i="6"/>
  <c r="V33" i="6"/>
  <c r="U34" i="6"/>
  <c r="T34" i="6" s="1"/>
  <c r="Y34" i="6" s="1"/>
  <c r="K24" i="6"/>
  <c r="I24" i="6"/>
  <c r="H25" i="6"/>
  <c r="T34" i="34" l="1"/>
  <c r="U35" i="34"/>
  <c r="T35" i="34" s="1"/>
  <c r="V35" i="34" s="1"/>
  <c r="G34" i="34"/>
  <c r="H35" i="34"/>
  <c r="V33" i="34"/>
  <c r="W33" i="34"/>
  <c r="X33" i="34"/>
  <c r="Y33" i="34"/>
  <c r="L33" i="34"/>
  <c r="K33" i="34"/>
  <c r="J33" i="34"/>
  <c r="I33" i="34"/>
  <c r="G33" i="35"/>
  <c r="H34" i="35"/>
  <c r="T34" i="35"/>
  <c r="U35" i="35"/>
  <c r="L32" i="35"/>
  <c r="K32" i="35"/>
  <c r="J32" i="35"/>
  <c r="I32" i="35"/>
  <c r="V33" i="35"/>
  <c r="Y33" i="35"/>
  <c r="W33" i="35"/>
  <c r="X33" i="35"/>
  <c r="W35" i="34"/>
  <c r="X35" i="34"/>
  <c r="Y35" i="34"/>
  <c r="U36" i="34"/>
  <c r="I31" i="26"/>
  <c r="H32" i="26"/>
  <c r="G32" i="26" s="1"/>
  <c r="K32" i="26" s="1"/>
  <c r="K31" i="26"/>
  <c r="J31" i="26"/>
  <c r="U36" i="31"/>
  <c r="T36" i="31" s="1"/>
  <c r="Y35" i="31"/>
  <c r="V35" i="31"/>
  <c r="V34" i="31"/>
  <c r="Y34" i="31"/>
  <c r="X34" i="31"/>
  <c r="W34" i="31"/>
  <c r="W35" i="31"/>
  <c r="H36" i="31"/>
  <c r="L35" i="31"/>
  <c r="K35" i="31"/>
  <c r="J35" i="31"/>
  <c r="I35" i="31"/>
  <c r="BB65" i="16"/>
  <c r="BC64" i="16"/>
  <c r="BD64" i="16"/>
  <c r="AR64" i="16"/>
  <c r="AS64" i="16" s="1"/>
  <c r="AQ65" i="16"/>
  <c r="AM64" i="16"/>
  <c r="AN64" i="16" s="1"/>
  <c r="AL65" i="16"/>
  <c r="X64" i="16"/>
  <c r="Y64" i="16" s="1"/>
  <c r="W65" i="16"/>
  <c r="AG65" i="16"/>
  <c r="AH64" i="16"/>
  <c r="AC64" i="16"/>
  <c r="AD64" i="16" s="1"/>
  <c r="AB65" i="16"/>
  <c r="AI64" i="16"/>
  <c r="AV66" i="16"/>
  <c r="AW65" i="16"/>
  <c r="AX65" i="16" s="1"/>
  <c r="T35" i="26"/>
  <c r="U36" i="26" s="1"/>
  <c r="V34" i="26"/>
  <c r="W34" i="26"/>
  <c r="X34" i="26"/>
  <c r="Y34" i="26"/>
  <c r="T66" i="16"/>
  <c r="AY65" i="16"/>
  <c r="AZ65" i="16" s="1"/>
  <c r="BA65" i="16" s="1"/>
  <c r="AP65" i="16"/>
  <c r="AK65" i="16"/>
  <c r="AF65" i="16"/>
  <c r="AA65" i="16"/>
  <c r="AU65" i="16"/>
  <c r="V65" i="16"/>
  <c r="W34" i="6"/>
  <c r="V34" i="6"/>
  <c r="X34" i="6"/>
  <c r="U35" i="6"/>
  <c r="T35" i="6" s="1"/>
  <c r="Y35" i="6" s="1"/>
  <c r="G25" i="6"/>
  <c r="L25" i="6" s="1"/>
  <c r="V33" i="5"/>
  <c r="U34" i="5"/>
  <c r="T34" i="5" s="1"/>
  <c r="Y33" i="5"/>
  <c r="X33" i="5"/>
  <c r="T35" i="35" l="1"/>
  <c r="G35" i="34"/>
  <c r="H36" i="34"/>
  <c r="W34" i="35"/>
  <c r="V34" i="35"/>
  <c r="Y34" i="35"/>
  <c r="X34" i="35"/>
  <c r="J34" i="34"/>
  <c r="I34" i="34"/>
  <c r="L34" i="34"/>
  <c r="K34" i="34"/>
  <c r="G34" i="35"/>
  <c r="H35" i="35" s="1"/>
  <c r="L33" i="35"/>
  <c r="K33" i="35"/>
  <c r="J33" i="35"/>
  <c r="I33" i="35"/>
  <c r="V34" i="34"/>
  <c r="W34" i="34"/>
  <c r="Y34" i="34"/>
  <c r="X34" i="34"/>
  <c r="I32" i="26"/>
  <c r="T36" i="34"/>
  <c r="L32" i="26"/>
  <c r="J32" i="26"/>
  <c r="H33" i="26"/>
  <c r="G33" i="26" s="1"/>
  <c r="L33" i="26" s="1"/>
  <c r="G36" i="31"/>
  <c r="H37" i="31" s="1"/>
  <c r="Y36" i="31"/>
  <c r="X36" i="31"/>
  <c r="W36" i="31"/>
  <c r="V36" i="31"/>
  <c r="U37" i="31"/>
  <c r="BB66" i="16"/>
  <c r="BC65" i="16"/>
  <c r="BD65" i="16" s="1"/>
  <c r="AR65" i="16"/>
  <c r="AQ66" i="16"/>
  <c r="AS65" i="16"/>
  <c r="AM65" i="16"/>
  <c r="AN65" i="16" s="1"/>
  <c r="AL66" i="16"/>
  <c r="AB66" i="16"/>
  <c r="AC65" i="16"/>
  <c r="AG66" i="16"/>
  <c r="AH65" i="16"/>
  <c r="AI65" i="16" s="1"/>
  <c r="AD65" i="16"/>
  <c r="X65" i="16"/>
  <c r="Y65" i="16" s="1"/>
  <c r="W66" i="16"/>
  <c r="AW66" i="16"/>
  <c r="AX66" i="16" s="1"/>
  <c r="AV67" i="16"/>
  <c r="T36" i="26"/>
  <c r="U37" i="26" s="1"/>
  <c r="X35" i="26"/>
  <c r="V35" i="26"/>
  <c r="Y35" i="26"/>
  <c r="W35" i="26"/>
  <c r="T67" i="16"/>
  <c r="AY66" i="16"/>
  <c r="AZ66" i="16" s="1"/>
  <c r="BA66" i="16" s="1"/>
  <c r="AP66" i="16"/>
  <c r="AA66" i="16"/>
  <c r="AF66" i="16"/>
  <c r="AK66" i="16"/>
  <c r="AU66" i="16"/>
  <c r="V66" i="16"/>
  <c r="W35" i="6"/>
  <c r="J25" i="6"/>
  <c r="H26" i="6"/>
  <c r="G26" i="6" s="1"/>
  <c r="L26" i="6" s="1"/>
  <c r="K25" i="6"/>
  <c r="I25" i="6"/>
  <c r="X34" i="5"/>
  <c r="V34" i="5"/>
  <c r="U35" i="5"/>
  <c r="T35" i="5" s="1"/>
  <c r="Y34" i="5"/>
  <c r="X35" i="6"/>
  <c r="V35" i="6"/>
  <c r="U36" i="6"/>
  <c r="T36" i="6" s="1"/>
  <c r="Y36" i="6" s="1"/>
  <c r="G36" i="34" l="1"/>
  <c r="H37" i="34"/>
  <c r="G37" i="34" s="1"/>
  <c r="J35" i="34"/>
  <c r="I35" i="34"/>
  <c r="L35" i="34"/>
  <c r="K35" i="34"/>
  <c r="G35" i="35"/>
  <c r="H36" i="35" s="1"/>
  <c r="G36" i="35" s="1"/>
  <c r="X35" i="35"/>
  <c r="W35" i="35"/>
  <c r="V35" i="35"/>
  <c r="Y35" i="35"/>
  <c r="L34" i="35"/>
  <c r="K34" i="35"/>
  <c r="J34" i="35"/>
  <c r="I34" i="35"/>
  <c r="U36" i="35"/>
  <c r="T36" i="35" s="1"/>
  <c r="U37" i="35" s="1"/>
  <c r="W36" i="35"/>
  <c r="V36" i="35"/>
  <c r="T37" i="35"/>
  <c r="U38" i="35" s="1"/>
  <c r="J37" i="34"/>
  <c r="L37" i="34"/>
  <c r="K37" i="34"/>
  <c r="I37" i="34"/>
  <c r="H38" i="34"/>
  <c r="I33" i="26"/>
  <c r="K33" i="26"/>
  <c r="V36" i="34"/>
  <c r="W36" i="34"/>
  <c r="Y36" i="34"/>
  <c r="X36" i="34"/>
  <c r="U37" i="34"/>
  <c r="J33" i="26"/>
  <c r="H34" i="26"/>
  <c r="G34" i="26" s="1"/>
  <c r="L34" i="26" s="1"/>
  <c r="G37" i="31"/>
  <c r="H38" i="31" s="1"/>
  <c r="G38" i="31" s="1"/>
  <c r="L36" i="31"/>
  <c r="K36" i="31"/>
  <c r="J36" i="31"/>
  <c r="I36" i="31"/>
  <c r="T37" i="31"/>
  <c r="H35" i="26"/>
  <c r="G35" i="26" s="1"/>
  <c r="BB67" i="16"/>
  <c r="BC66" i="16"/>
  <c r="BD66" i="16"/>
  <c r="AR66" i="16"/>
  <c r="AQ67" i="16"/>
  <c r="AS66" i="16"/>
  <c r="AM66" i="16"/>
  <c r="AN66" i="16" s="1"/>
  <c r="AL67" i="16"/>
  <c r="X66" i="16"/>
  <c r="Y66" i="16" s="1"/>
  <c r="W67" i="16"/>
  <c r="AH66" i="16"/>
  <c r="AI66" i="16" s="1"/>
  <c r="AG67" i="16"/>
  <c r="AB67" i="16"/>
  <c r="AC66" i="16"/>
  <c r="AD66" i="16"/>
  <c r="AW67" i="16"/>
  <c r="AX67" i="16" s="1"/>
  <c r="AV68" i="16"/>
  <c r="T37" i="26"/>
  <c r="U38" i="26" s="1"/>
  <c r="W36" i="26"/>
  <c r="X36" i="26"/>
  <c r="V36" i="26"/>
  <c r="Y36" i="26"/>
  <c r="T68" i="16"/>
  <c r="AY67" i="16"/>
  <c r="AZ67" i="16" s="1"/>
  <c r="BA67" i="16" s="1"/>
  <c r="AP67" i="16"/>
  <c r="AF67" i="16"/>
  <c r="AK67" i="16"/>
  <c r="AA67" i="16"/>
  <c r="V67" i="16"/>
  <c r="AU67" i="16"/>
  <c r="J26" i="6"/>
  <c r="W36" i="6"/>
  <c r="Y35" i="5"/>
  <c r="X35" i="5"/>
  <c r="V35" i="5"/>
  <c r="U36" i="5"/>
  <c r="T36" i="5" s="1"/>
  <c r="K26" i="6"/>
  <c r="I26" i="6"/>
  <c r="U37" i="6"/>
  <c r="T37" i="6" s="1"/>
  <c r="Y37" i="6" s="1"/>
  <c r="X36" i="6"/>
  <c r="V36" i="6"/>
  <c r="H27" i="6"/>
  <c r="I34" i="26" l="1"/>
  <c r="H37" i="35"/>
  <c r="J36" i="35"/>
  <c r="I36" i="35"/>
  <c r="L36" i="35"/>
  <c r="K36" i="35"/>
  <c r="X36" i="35"/>
  <c r="L35" i="35"/>
  <c r="K35" i="35"/>
  <c r="J35" i="35"/>
  <c r="I35" i="35"/>
  <c r="Y36" i="35"/>
  <c r="K36" i="34"/>
  <c r="J36" i="34"/>
  <c r="L36" i="34"/>
  <c r="I36" i="34"/>
  <c r="Y37" i="35"/>
  <c r="X37" i="35"/>
  <c r="W37" i="35"/>
  <c r="V37" i="35"/>
  <c r="G37" i="35"/>
  <c r="H38" i="35" s="1"/>
  <c r="J34" i="26"/>
  <c r="K34" i="26"/>
  <c r="G38" i="34"/>
  <c r="H39" i="34" s="1"/>
  <c r="T37" i="34"/>
  <c r="H39" i="31"/>
  <c r="L38" i="31"/>
  <c r="K38" i="31"/>
  <c r="I38" i="31"/>
  <c r="J38" i="31"/>
  <c r="L37" i="31"/>
  <c r="K37" i="31"/>
  <c r="J37" i="31"/>
  <c r="I37" i="31"/>
  <c r="Y37" i="31"/>
  <c r="X37" i="31"/>
  <c r="W37" i="31"/>
  <c r="V37" i="31"/>
  <c r="U38" i="31"/>
  <c r="H36" i="26"/>
  <c r="G36" i="26" s="1"/>
  <c r="L35" i="26"/>
  <c r="J35" i="26"/>
  <c r="K35" i="26"/>
  <c r="I35" i="26"/>
  <c r="BB68" i="16"/>
  <c r="BC67" i="16"/>
  <c r="BD67" i="16"/>
  <c r="AQ68" i="16"/>
  <c r="AR67" i="16"/>
  <c r="AS67" i="16" s="1"/>
  <c r="AM67" i="16"/>
  <c r="AN67" i="16" s="1"/>
  <c r="AL68" i="16"/>
  <c r="AB68" i="16"/>
  <c r="AC67" i="16"/>
  <c r="AD67" i="16" s="1"/>
  <c r="AG68" i="16"/>
  <c r="AH67" i="16"/>
  <c r="AI67" i="16"/>
  <c r="W68" i="16"/>
  <c r="X67" i="16"/>
  <c r="Y67" i="16" s="1"/>
  <c r="AW68" i="16"/>
  <c r="AX68" i="16" s="1"/>
  <c r="AV69" i="16"/>
  <c r="T38" i="26"/>
  <c r="U39" i="26" s="1"/>
  <c r="W37" i="26"/>
  <c r="V37" i="26"/>
  <c r="X37" i="26"/>
  <c r="Y37" i="26"/>
  <c r="T69" i="16"/>
  <c r="AY68" i="16"/>
  <c r="AZ68" i="16" s="1"/>
  <c r="BA68" i="16" s="1"/>
  <c r="AP68" i="16"/>
  <c r="AF68" i="16"/>
  <c r="AK68" i="16"/>
  <c r="AA68" i="16"/>
  <c r="V68" i="16"/>
  <c r="AU68" i="16"/>
  <c r="W37" i="6"/>
  <c r="G27" i="6"/>
  <c r="L27" i="6" s="1"/>
  <c r="U38" i="6"/>
  <c r="T38" i="6" s="1"/>
  <c r="Y38" i="6" s="1"/>
  <c r="V37" i="6"/>
  <c r="X37" i="6"/>
  <c r="Y36" i="5"/>
  <c r="X36" i="5"/>
  <c r="V36" i="5"/>
  <c r="U37" i="5"/>
  <c r="T37" i="5" s="1"/>
  <c r="L37" i="35" l="1"/>
  <c r="K37" i="35"/>
  <c r="I37" i="35"/>
  <c r="J37" i="35"/>
  <c r="T38" i="35"/>
  <c r="U39" i="35" s="1"/>
  <c r="W37" i="34"/>
  <c r="V37" i="34"/>
  <c r="X37" i="34"/>
  <c r="Y37" i="34"/>
  <c r="U38" i="34"/>
  <c r="G39" i="34"/>
  <c r="H40" i="34" s="1"/>
  <c r="J38" i="34"/>
  <c r="L38" i="34"/>
  <c r="K38" i="34"/>
  <c r="I38" i="34"/>
  <c r="G39" i="31"/>
  <c r="H40" i="31" s="1"/>
  <c r="G40" i="31" s="1"/>
  <c r="T38" i="31"/>
  <c r="H37" i="26"/>
  <c r="G37" i="26" s="1"/>
  <c r="I36" i="26"/>
  <c r="L36" i="26"/>
  <c r="J36" i="26"/>
  <c r="K36" i="26"/>
  <c r="BC68" i="16"/>
  <c r="BD68" i="16" s="1"/>
  <c r="BB69" i="16"/>
  <c r="AQ69" i="16"/>
  <c r="AR68" i="16"/>
  <c r="AS68" i="16"/>
  <c r="AM68" i="16"/>
  <c r="AN68" i="16" s="1"/>
  <c r="AL69" i="16"/>
  <c r="AC68" i="16"/>
  <c r="AD68" i="16" s="1"/>
  <c r="AB69" i="16"/>
  <c r="AH68" i="16"/>
  <c r="AG69" i="16"/>
  <c r="AI68" i="16"/>
  <c r="X68" i="16"/>
  <c r="Y68" i="16" s="1"/>
  <c r="W69" i="16"/>
  <c r="AW69" i="16"/>
  <c r="AX69" i="16" s="1"/>
  <c r="AV70" i="16"/>
  <c r="T39" i="26"/>
  <c r="U40" i="26" s="1"/>
  <c r="W38" i="26"/>
  <c r="Y38" i="26"/>
  <c r="V38" i="26"/>
  <c r="X38" i="26"/>
  <c r="T70" i="16"/>
  <c r="AY69" i="16"/>
  <c r="AZ69" i="16" s="1"/>
  <c r="BA69" i="16" s="1"/>
  <c r="AK69" i="16"/>
  <c r="AP69" i="16"/>
  <c r="AF69" i="16"/>
  <c r="AA69" i="16"/>
  <c r="AU69" i="16"/>
  <c r="V69" i="16"/>
  <c r="W38" i="6"/>
  <c r="J27" i="6"/>
  <c r="V38" i="6"/>
  <c r="U39" i="6"/>
  <c r="T39" i="6" s="1"/>
  <c r="Y39" i="6" s="1"/>
  <c r="X38" i="6"/>
  <c r="I27" i="6"/>
  <c r="K27" i="6"/>
  <c r="H28" i="6"/>
  <c r="Y37" i="5"/>
  <c r="X37" i="5"/>
  <c r="V37" i="5"/>
  <c r="U38" i="5"/>
  <c r="T38" i="5" s="1"/>
  <c r="Y38" i="35" l="1"/>
  <c r="X38" i="35"/>
  <c r="W38" i="35"/>
  <c r="V38" i="35"/>
  <c r="G38" i="35"/>
  <c r="H39" i="35" s="1"/>
  <c r="G40" i="34"/>
  <c r="J39" i="34"/>
  <c r="L39" i="34"/>
  <c r="K39" i="34"/>
  <c r="I39" i="34"/>
  <c r="T38" i="34"/>
  <c r="L40" i="31"/>
  <c r="I40" i="31"/>
  <c r="J40" i="31"/>
  <c r="K40" i="31"/>
  <c r="H41" i="31"/>
  <c r="G41" i="31" s="1"/>
  <c r="H42" i="31" s="1"/>
  <c r="L39" i="31"/>
  <c r="K39" i="31"/>
  <c r="J39" i="31"/>
  <c r="I39" i="31"/>
  <c r="Y38" i="31"/>
  <c r="X38" i="31"/>
  <c r="W38" i="31"/>
  <c r="V38" i="31"/>
  <c r="U39" i="31"/>
  <c r="H38" i="26"/>
  <c r="K37" i="26"/>
  <c r="I37" i="26"/>
  <c r="L37" i="26"/>
  <c r="J37" i="26"/>
  <c r="BB70" i="16"/>
  <c r="BC69" i="16"/>
  <c r="BD69" i="16"/>
  <c r="AQ70" i="16"/>
  <c r="AR69" i="16"/>
  <c r="AS69" i="16"/>
  <c r="AM69" i="16"/>
  <c r="AN69" i="16" s="1"/>
  <c r="AL70" i="16"/>
  <c r="X69" i="16"/>
  <c r="W70" i="16"/>
  <c r="AC69" i="16"/>
  <c r="AB70" i="16"/>
  <c r="AH69" i="16"/>
  <c r="AI69" i="16" s="1"/>
  <c r="AG70" i="16"/>
  <c r="AD69" i="16"/>
  <c r="Y69" i="16"/>
  <c r="AW70" i="16"/>
  <c r="AX70" i="16" s="1"/>
  <c r="AV71" i="16"/>
  <c r="T40" i="26"/>
  <c r="U41" i="26" s="1"/>
  <c r="W39" i="26"/>
  <c r="Y39" i="26"/>
  <c r="X39" i="26"/>
  <c r="V39" i="26"/>
  <c r="T71" i="16"/>
  <c r="AY70" i="16"/>
  <c r="AZ70" i="16" s="1"/>
  <c r="BA70" i="16" s="1"/>
  <c r="AK70" i="16"/>
  <c r="AP70" i="16"/>
  <c r="AF70" i="16"/>
  <c r="AA70" i="16"/>
  <c r="AU70" i="16"/>
  <c r="V70" i="16"/>
  <c r="W39" i="6"/>
  <c r="Y38" i="5"/>
  <c r="X38" i="5"/>
  <c r="V38" i="5"/>
  <c r="U39" i="5"/>
  <c r="T39" i="5" s="1"/>
  <c r="X39" i="6"/>
  <c r="V39" i="6"/>
  <c r="U40" i="6"/>
  <c r="T40" i="6" s="1"/>
  <c r="Y40" i="6" s="1"/>
  <c r="G28" i="6"/>
  <c r="L28" i="6" s="1"/>
  <c r="J38" i="35" l="1"/>
  <c r="L38" i="35"/>
  <c r="K38" i="35"/>
  <c r="I38" i="35"/>
  <c r="T39" i="35"/>
  <c r="U40" i="35" s="1"/>
  <c r="X38" i="34"/>
  <c r="W38" i="34"/>
  <c r="V38" i="34"/>
  <c r="Y38" i="34"/>
  <c r="U39" i="34"/>
  <c r="J40" i="34"/>
  <c r="L40" i="34"/>
  <c r="K40" i="34"/>
  <c r="I40" i="34"/>
  <c r="H41" i="34"/>
  <c r="G42" i="31"/>
  <c r="L41" i="31"/>
  <c r="K41" i="31"/>
  <c r="J41" i="31"/>
  <c r="I41" i="31"/>
  <c r="T39" i="31"/>
  <c r="G38" i="26"/>
  <c r="H39" i="26" s="1"/>
  <c r="G39" i="26" s="1"/>
  <c r="BB71" i="16"/>
  <c r="BC70" i="16"/>
  <c r="BD70" i="16"/>
  <c r="AQ71" i="16"/>
  <c r="AR70" i="16"/>
  <c r="AS70" i="16" s="1"/>
  <c r="AM70" i="16"/>
  <c r="AN70" i="16" s="1"/>
  <c r="AL71" i="16"/>
  <c r="X70" i="16"/>
  <c r="Y70" i="16" s="1"/>
  <c r="W71" i="16"/>
  <c r="AC70" i="16"/>
  <c r="AD70" i="16" s="1"/>
  <c r="AB71" i="16"/>
  <c r="AH70" i="16"/>
  <c r="AG71" i="16"/>
  <c r="AI70" i="16"/>
  <c r="AW71" i="16"/>
  <c r="AX71" i="16" s="1"/>
  <c r="AV72" i="16"/>
  <c r="T41" i="26"/>
  <c r="U42" i="26" s="1"/>
  <c r="V40" i="26"/>
  <c r="W40" i="26"/>
  <c r="Y40" i="26"/>
  <c r="X40" i="26"/>
  <c r="T72" i="16"/>
  <c r="AY71" i="16"/>
  <c r="AZ71" i="16" s="1"/>
  <c r="BA71" i="16" s="1"/>
  <c r="AF71" i="16"/>
  <c r="AP71" i="16"/>
  <c r="AK71" i="16"/>
  <c r="AA71" i="16"/>
  <c r="V71" i="16"/>
  <c r="AU71" i="16"/>
  <c r="J28" i="6"/>
  <c r="W40" i="6"/>
  <c r="X40" i="6"/>
  <c r="V40" i="6"/>
  <c r="U41" i="6"/>
  <c r="T41" i="6" s="1"/>
  <c r="Y41" i="6" s="1"/>
  <c r="K28" i="6"/>
  <c r="I28" i="6"/>
  <c r="H29" i="6"/>
  <c r="Y39" i="5"/>
  <c r="X39" i="5"/>
  <c r="V39" i="5"/>
  <c r="U40" i="5"/>
  <c r="T40" i="5" s="1"/>
  <c r="Y39" i="35" l="1"/>
  <c r="X39" i="35"/>
  <c r="W39" i="35"/>
  <c r="V39" i="35"/>
  <c r="G39" i="35"/>
  <c r="H40" i="35" s="1"/>
  <c r="G41" i="34"/>
  <c r="T39" i="34"/>
  <c r="Y39" i="31"/>
  <c r="X39" i="31"/>
  <c r="W39" i="31"/>
  <c r="V39" i="31"/>
  <c r="U40" i="31"/>
  <c r="L42" i="31"/>
  <c r="K42" i="31"/>
  <c r="J42" i="31"/>
  <c r="I42" i="31"/>
  <c r="H43" i="31"/>
  <c r="H40" i="26"/>
  <c r="G40" i="26" s="1"/>
  <c r="K39" i="26"/>
  <c r="I39" i="26"/>
  <c r="J39" i="26"/>
  <c r="L39" i="26"/>
  <c r="K38" i="26"/>
  <c r="L38" i="26"/>
  <c r="I38" i="26"/>
  <c r="J38" i="26"/>
  <c r="BB72" i="16"/>
  <c r="BC71" i="16"/>
  <c r="BD71" i="16" s="1"/>
  <c r="AQ72" i="16"/>
  <c r="AR71" i="16"/>
  <c r="AS71" i="16" s="1"/>
  <c r="AM71" i="16"/>
  <c r="AN71" i="16" s="1"/>
  <c r="AL72" i="16"/>
  <c r="AC71" i="16"/>
  <c r="AD71" i="16" s="1"/>
  <c r="AB72" i="16"/>
  <c r="W72" i="16"/>
  <c r="X71" i="16"/>
  <c r="Y71" i="16" s="1"/>
  <c r="AH71" i="16"/>
  <c r="AG72" i="16"/>
  <c r="AI71" i="16"/>
  <c r="AW72" i="16"/>
  <c r="AX72" i="16" s="1"/>
  <c r="AV73" i="16"/>
  <c r="T42" i="26"/>
  <c r="U43" i="26" s="1"/>
  <c r="W41" i="26"/>
  <c r="Y41" i="26"/>
  <c r="V41" i="26"/>
  <c r="X41" i="26"/>
  <c r="T73" i="16"/>
  <c r="AY72" i="16"/>
  <c r="AZ72" i="16" s="1"/>
  <c r="BA72" i="16" s="1"/>
  <c r="AK72" i="16"/>
  <c r="AP72" i="16"/>
  <c r="AA72" i="16"/>
  <c r="AF72" i="16"/>
  <c r="V72" i="16"/>
  <c r="AU72" i="16"/>
  <c r="W41" i="6"/>
  <c r="G29" i="6"/>
  <c r="L29" i="6" s="1"/>
  <c r="V41" i="6"/>
  <c r="X41" i="6"/>
  <c r="U42" i="6"/>
  <c r="T42" i="6" s="1"/>
  <c r="Y42" i="6" s="1"/>
  <c r="U41" i="5"/>
  <c r="T41" i="5" s="1"/>
  <c r="Y40" i="5"/>
  <c r="X40" i="5"/>
  <c r="V40" i="5"/>
  <c r="K39" i="35" l="1"/>
  <c r="L39" i="35"/>
  <c r="J39" i="35"/>
  <c r="I39" i="35"/>
  <c r="T40" i="35"/>
  <c r="U41" i="35" s="1"/>
  <c r="Y39" i="34"/>
  <c r="X39" i="34"/>
  <c r="W39" i="34"/>
  <c r="V39" i="34"/>
  <c r="U40" i="34"/>
  <c r="J41" i="34"/>
  <c r="L41" i="34"/>
  <c r="K41" i="34"/>
  <c r="I41" i="34"/>
  <c r="H42" i="34"/>
  <c r="G43" i="31"/>
  <c r="T40" i="31"/>
  <c r="H41" i="26"/>
  <c r="G41" i="26" s="1"/>
  <c r="H42" i="26" s="1"/>
  <c r="G42" i="26" s="1"/>
  <c r="H43" i="26" s="1"/>
  <c r="G43" i="26" s="1"/>
  <c r="H44" i="26" s="1"/>
  <c r="L40" i="26"/>
  <c r="J40" i="26"/>
  <c r="K40" i="26"/>
  <c r="I40" i="26"/>
  <c r="BB73" i="16"/>
  <c r="BC72" i="16"/>
  <c r="BD72" i="16"/>
  <c r="AR72" i="16"/>
  <c r="AS72" i="16" s="1"/>
  <c r="AQ73" i="16"/>
  <c r="AL73" i="16"/>
  <c r="AM72" i="16"/>
  <c r="AN72" i="16" s="1"/>
  <c r="W73" i="16"/>
  <c r="X72" i="16"/>
  <c r="Y72" i="16" s="1"/>
  <c r="AG73" i="16"/>
  <c r="AH72" i="16"/>
  <c r="AB73" i="16"/>
  <c r="AC72" i="16"/>
  <c r="AD72" i="16" s="1"/>
  <c r="AI72" i="16"/>
  <c r="AW73" i="16"/>
  <c r="AX73" i="16" s="1"/>
  <c r="AV74" i="16"/>
  <c r="T43" i="26"/>
  <c r="U44" i="26" s="1"/>
  <c r="W42" i="26"/>
  <c r="V42" i="26"/>
  <c r="Y42" i="26"/>
  <c r="X42" i="26"/>
  <c r="T74" i="16"/>
  <c r="AY73" i="16"/>
  <c r="AZ73" i="16" s="1"/>
  <c r="BA73" i="16" s="1"/>
  <c r="AK73" i="16"/>
  <c r="AP73" i="16"/>
  <c r="AF73" i="16"/>
  <c r="AA73" i="16"/>
  <c r="AU73" i="16"/>
  <c r="V73" i="16"/>
  <c r="W42" i="6"/>
  <c r="J29" i="6"/>
  <c r="V41" i="5"/>
  <c r="U42" i="5"/>
  <c r="T42" i="5" s="1"/>
  <c r="Y41" i="5"/>
  <c r="X41" i="5"/>
  <c r="V42" i="6"/>
  <c r="U43" i="6"/>
  <c r="T43" i="6" s="1"/>
  <c r="Y43" i="6" s="1"/>
  <c r="X42" i="6"/>
  <c r="K29" i="6"/>
  <c r="I29" i="6"/>
  <c r="H30" i="6"/>
  <c r="Y40" i="35" l="1"/>
  <c r="X40" i="35"/>
  <c r="W40" i="35"/>
  <c r="V40" i="35"/>
  <c r="G40" i="35"/>
  <c r="H41" i="35" s="1"/>
  <c r="G42" i="34"/>
  <c r="T40" i="34"/>
  <c r="V40" i="31"/>
  <c r="Y40" i="31"/>
  <c r="X40" i="31"/>
  <c r="W40" i="31"/>
  <c r="U41" i="31"/>
  <c r="L43" i="31"/>
  <c r="K43" i="31"/>
  <c r="J43" i="31"/>
  <c r="I43" i="31"/>
  <c r="H44" i="31"/>
  <c r="J41" i="26"/>
  <c r="L41" i="26"/>
  <c r="I41" i="26"/>
  <c r="K41" i="26"/>
  <c r="BB74" i="16"/>
  <c r="BC73" i="16"/>
  <c r="BD73" i="16"/>
  <c r="AR73" i="16"/>
  <c r="AS73" i="16" s="1"/>
  <c r="AQ74" i="16"/>
  <c r="AM73" i="16"/>
  <c r="AN73" i="16" s="1"/>
  <c r="AL74" i="16"/>
  <c r="X73" i="16"/>
  <c r="Y73" i="16" s="1"/>
  <c r="W74" i="16"/>
  <c r="AC73" i="16"/>
  <c r="AD73" i="16" s="1"/>
  <c r="AB74" i="16"/>
  <c r="AH73" i="16"/>
  <c r="AI73" i="16" s="1"/>
  <c r="AG74" i="16"/>
  <c r="AV75" i="16"/>
  <c r="AW74" i="16"/>
  <c r="AX74" i="16" s="1"/>
  <c r="G44" i="26"/>
  <c r="H45" i="26" s="1"/>
  <c r="G45" i="26" s="1"/>
  <c r="T44" i="26"/>
  <c r="U45" i="26" s="1"/>
  <c r="W43" i="26"/>
  <c r="X43" i="26"/>
  <c r="Y43" i="26"/>
  <c r="V43" i="26"/>
  <c r="T75" i="16"/>
  <c r="AP74" i="16"/>
  <c r="AY74" i="16"/>
  <c r="AZ74" i="16" s="1"/>
  <c r="BA74" i="16" s="1"/>
  <c r="AA74" i="16"/>
  <c r="AK74" i="16"/>
  <c r="AF74" i="16"/>
  <c r="V74" i="16"/>
  <c r="AU74" i="16"/>
  <c r="W43" i="6"/>
  <c r="X42" i="5"/>
  <c r="V42" i="5"/>
  <c r="U43" i="5"/>
  <c r="T43" i="5" s="1"/>
  <c r="Y42" i="5"/>
  <c r="G30" i="6"/>
  <c r="L30" i="6" s="1"/>
  <c r="X43" i="6"/>
  <c r="U44" i="6"/>
  <c r="T44" i="6" s="1"/>
  <c r="Y44" i="6" s="1"/>
  <c r="V43" i="6"/>
  <c r="I40" i="35" l="1"/>
  <c r="L40" i="35"/>
  <c r="K40" i="35"/>
  <c r="J40" i="35"/>
  <c r="T41" i="35"/>
  <c r="U42" i="35" s="1"/>
  <c r="Y40" i="34"/>
  <c r="X40" i="34"/>
  <c r="W40" i="34"/>
  <c r="V40" i="34"/>
  <c r="U41" i="34"/>
  <c r="J42" i="34"/>
  <c r="I42" i="34"/>
  <c r="L42" i="34"/>
  <c r="K42" i="34"/>
  <c r="H43" i="34"/>
  <c r="G44" i="31"/>
  <c r="H45" i="31" s="1"/>
  <c r="T41" i="31"/>
  <c r="BB75" i="16"/>
  <c r="BC74" i="16"/>
  <c r="BD74" i="16"/>
  <c r="AQ75" i="16"/>
  <c r="AR74" i="16"/>
  <c r="AS74" i="16" s="1"/>
  <c r="AM74" i="16"/>
  <c r="AN74" i="16" s="1"/>
  <c r="AL75" i="16"/>
  <c r="X74" i="16"/>
  <c r="Y74" i="16" s="1"/>
  <c r="W75" i="16"/>
  <c r="AG75" i="16"/>
  <c r="AH74" i="16"/>
  <c r="AI74" i="16" s="1"/>
  <c r="AC74" i="16"/>
  <c r="AD74" i="16" s="1"/>
  <c r="AB75" i="16"/>
  <c r="AV76" i="16"/>
  <c r="AW75" i="16"/>
  <c r="AX75" i="16" s="1"/>
  <c r="T45" i="26"/>
  <c r="V44" i="26"/>
  <c r="Y44" i="26"/>
  <c r="W44" i="26"/>
  <c r="X44" i="26"/>
  <c r="H46" i="26"/>
  <c r="G46" i="26" s="1"/>
  <c r="K42" i="26"/>
  <c r="I42" i="26"/>
  <c r="J42" i="26"/>
  <c r="L42" i="26"/>
  <c r="T76" i="16"/>
  <c r="AY75" i="16"/>
  <c r="AZ75" i="16" s="1"/>
  <c r="BA75" i="16" s="1"/>
  <c r="AK75" i="16"/>
  <c r="AP75" i="16"/>
  <c r="AA75" i="16"/>
  <c r="AF75" i="16"/>
  <c r="AU75" i="16"/>
  <c r="V75" i="16"/>
  <c r="J30" i="6"/>
  <c r="W44" i="6"/>
  <c r="Y43" i="5"/>
  <c r="X43" i="5"/>
  <c r="V43" i="5"/>
  <c r="U44" i="5"/>
  <c r="T44" i="5" s="1"/>
  <c r="X44" i="6"/>
  <c r="V44" i="6"/>
  <c r="U45" i="6"/>
  <c r="T45" i="6" s="1"/>
  <c r="Y45" i="6" s="1"/>
  <c r="K30" i="6"/>
  <c r="I30" i="6"/>
  <c r="H31" i="6"/>
  <c r="Y41" i="35" l="1"/>
  <c r="X41" i="35"/>
  <c r="W41" i="35"/>
  <c r="V41" i="35"/>
  <c r="G41" i="35"/>
  <c r="H42" i="35" s="1"/>
  <c r="G43" i="34"/>
  <c r="T41" i="34"/>
  <c r="X41" i="31"/>
  <c r="W41" i="31"/>
  <c r="V41" i="31"/>
  <c r="Y41" i="31"/>
  <c r="U42" i="31"/>
  <c r="G45" i="31"/>
  <c r="L44" i="31"/>
  <c r="K44" i="31"/>
  <c r="I44" i="31"/>
  <c r="J44" i="31"/>
  <c r="BB76" i="16"/>
  <c r="BC75" i="16"/>
  <c r="BD75" i="16" s="1"/>
  <c r="AQ76" i="16"/>
  <c r="AR75" i="16"/>
  <c r="AS75" i="16" s="1"/>
  <c r="AM75" i="16"/>
  <c r="AN75" i="16" s="1"/>
  <c r="AL76" i="16"/>
  <c r="X75" i="16"/>
  <c r="Y75" i="16" s="1"/>
  <c r="W76" i="16"/>
  <c r="AH75" i="16"/>
  <c r="AG76" i="16"/>
  <c r="AI75" i="16"/>
  <c r="AC75" i="16"/>
  <c r="AD75" i="16" s="1"/>
  <c r="AB76" i="16"/>
  <c r="AW76" i="16"/>
  <c r="AX76" i="16" s="1"/>
  <c r="AV77" i="16"/>
  <c r="W45" i="26"/>
  <c r="Y45" i="26"/>
  <c r="X45" i="26"/>
  <c r="V45" i="26"/>
  <c r="U46" i="26"/>
  <c r="K43" i="26"/>
  <c r="I43" i="26"/>
  <c r="J43" i="26"/>
  <c r="L43" i="26"/>
  <c r="T77" i="16"/>
  <c r="AY76" i="16"/>
  <c r="AZ76" i="16" s="1"/>
  <c r="BA76" i="16" s="1"/>
  <c r="AK76" i="16"/>
  <c r="AP76" i="16"/>
  <c r="AA76" i="16"/>
  <c r="AF76" i="16"/>
  <c r="V76" i="16"/>
  <c r="AU76" i="16"/>
  <c r="W45" i="6"/>
  <c r="X45" i="6"/>
  <c r="V45" i="6"/>
  <c r="U46" i="6"/>
  <c r="T46" i="6" s="1"/>
  <c r="Y46" i="6" s="1"/>
  <c r="G31" i="6"/>
  <c r="L31" i="6" s="1"/>
  <c r="Y44" i="5"/>
  <c r="X44" i="5"/>
  <c r="V44" i="5"/>
  <c r="U45" i="5"/>
  <c r="T45" i="5" s="1"/>
  <c r="J41" i="35" l="1"/>
  <c r="I41" i="35"/>
  <c r="L41" i="35"/>
  <c r="K41" i="35"/>
  <c r="T42" i="35"/>
  <c r="U43" i="35" s="1"/>
  <c r="Y41" i="34"/>
  <c r="X41" i="34"/>
  <c r="W41" i="34"/>
  <c r="V41" i="34"/>
  <c r="U42" i="34"/>
  <c r="J43" i="34"/>
  <c r="I43" i="34"/>
  <c r="K43" i="34"/>
  <c r="L43" i="34"/>
  <c r="H44" i="34"/>
  <c r="L45" i="31"/>
  <c r="K45" i="31"/>
  <c r="I45" i="31"/>
  <c r="J45" i="31"/>
  <c r="H46" i="31"/>
  <c r="T42" i="31"/>
  <c r="BB77" i="16"/>
  <c r="BC76" i="16"/>
  <c r="BD76" i="16"/>
  <c r="AQ77" i="16"/>
  <c r="AR76" i="16"/>
  <c r="AS76" i="16"/>
  <c r="AM76" i="16"/>
  <c r="AN76" i="16" s="1"/>
  <c r="AL77" i="16"/>
  <c r="AH76" i="16"/>
  <c r="AG77" i="16"/>
  <c r="X76" i="16"/>
  <c r="Y76" i="16" s="1"/>
  <c r="W77" i="16"/>
  <c r="AC76" i="16"/>
  <c r="AD76" i="16" s="1"/>
  <c r="AB77" i="16"/>
  <c r="AI76" i="16"/>
  <c r="AW77" i="16"/>
  <c r="AX77" i="16" s="1"/>
  <c r="AV78" i="16"/>
  <c r="T46" i="26"/>
  <c r="U47" i="26" s="1"/>
  <c r="H47" i="26"/>
  <c r="G47" i="26" s="1"/>
  <c r="K44" i="26"/>
  <c r="I44" i="26"/>
  <c r="L44" i="26"/>
  <c r="J44" i="26"/>
  <c r="T78" i="16"/>
  <c r="AY77" i="16"/>
  <c r="AZ77" i="16" s="1"/>
  <c r="BA77" i="16" s="1"/>
  <c r="AP77" i="16"/>
  <c r="AK77" i="16"/>
  <c r="AF77" i="16"/>
  <c r="AA77" i="16"/>
  <c r="V77" i="16"/>
  <c r="AU77" i="16"/>
  <c r="J31" i="6"/>
  <c r="W46" i="6"/>
  <c r="K31" i="6"/>
  <c r="I31" i="6"/>
  <c r="Y45" i="5"/>
  <c r="X45" i="5"/>
  <c r="V45" i="5"/>
  <c r="U46" i="5"/>
  <c r="T46" i="5" s="1"/>
  <c r="H32" i="6"/>
  <c r="X46" i="6"/>
  <c r="V46" i="6"/>
  <c r="U47" i="6"/>
  <c r="T47" i="6" s="1"/>
  <c r="Y47" i="6" s="1"/>
  <c r="V42" i="35" l="1"/>
  <c r="Y42" i="35"/>
  <c r="X42" i="35"/>
  <c r="W42" i="35"/>
  <c r="G42" i="35"/>
  <c r="H43" i="35" s="1"/>
  <c r="G44" i="34"/>
  <c r="T42" i="34"/>
  <c r="Y42" i="31"/>
  <c r="X42" i="31"/>
  <c r="W42" i="31"/>
  <c r="V42" i="31"/>
  <c r="U43" i="31"/>
  <c r="G46" i="31"/>
  <c r="BB78" i="16"/>
  <c r="BC77" i="16"/>
  <c r="BD77" i="16"/>
  <c r="AQ78" i="16"/>
  <c r="AR77" i="16"/>
  <c r="AS77" i="16"/>
  <c r="AM77" i="16"/>
  <c r="AN77" i="16" s="1"/>
  <c r="AL78" i="16"/>
  <c r="AC77" i="16"/>
  <c r="AB78" i="16"/>
  <c r="AD77" i="16"/>
  <c r="W78" i="16"/>
  <c r="X77" i="16"/>
  <c r="AG78" i="16"/>
  <c r="AH77" i="16"/>
  <c r="AI77" i="16" s="1"/>
  <c r="Y77" i="16"/>
  <c r="AV79" i="16"/>
  <c r="AW78" i="16"/>
  <c r="AX78" i="16" s="1"/>
  <c r="T47" i="26"/>
  <c r="U48" i="26" s="1"/>
  <c r="V46" i="26"/>
  <c r="X46" i="26"/>
  <c r="Y46" i="26"/>
  <c r="W46" i="26"/>
  <c r="T79" i="16"/>
  <c r="AY78" i="16"/>
  <c r="AZ78" i="16" s="1"/>
  <c r="BA78" i="16" s="1"/>
  <c r="AP78" i="16"/>
  <c r="AA78" i="16"/>
  <c r="AK78" i="16"/>
  <c r="AF78" i="16"/>
  <c r="AU78" i="16"/>
  <c r="V78" i="16"/>
  <c r="W47" i="6"/>
  <c r="V47" i="6"/>
  <c r="U48" i="6"/>
  <c r="T48" i="6" s="1"/>
  <c r="Y48" i="6" s="1"/>
  <c r="X47" i="6"/>
  <c r="G32" i="6"/>
  <c r="L32" i="6" s="1"/>
  <c r="U47" i="5"/>
  <c r="T47" i="5" s="1"/>
  <c r="Y46" i="5"/>
  <c r="X46" i="5"/>
  <c r="V46" i="5"/>
  <c r="K42" i="35" l="1"/>
  <c r="J42" i="35"/>
  <c r="I42" i="35"/>
  <c r="L42" i="35"/>
  <c r="T43" i="35"/>
  <c r="U44" i="35" s="1"/>
  <c r="Y42" i="34"/>
  <c r="X42" i="34"/>
  <c r="W42" i="34"/>
  <c r="V42" i="34"/>
  <c r="U43" i="34"/>
  <c r="J44" i="34"/>
  <c r="K44" i="34"/>
  <c r="I44" i="34"/>
  <c r="L44" i="34"/>
  <c r="H45" i="34"/>
  <c r="L46" i="31"/>
  <c r="K46" i="31"/>
  <c r="I46" i="31"/>
  <c r="J46" i="31"/>
  <c r="H47" i="31"/>
  <c r="T43" i="31"/>
  <c r="U44" i="31" s="1"/>
  <c r="BB79" i="16"/>
  <c r="BC78" i="16"/>
  <c r="BD78" i="16"/>
  <c r="AQ79" i="16"/>
  <c r="AR78" i="16"/>
  <c r="AS78" i="16"/>
  <c r="AM78" i="16"/>
  <c r="AN78" i="16" s="1"/>
  <c r="AL79" i="16"/>
  <c r="X78" i="16"/>
  <c r="Y78" i="16" s="1"/>
  <c r="W79" i="16"/>
  <c r="AH78" i="16"/>
  <c r="AI78" i="16" s="1"/>
  <c r="AG79" i="16"/>
  <c r="AB79" i="16"/>
  <c r="AC78" i="16"/>
  <c r="AD78" i="16" s="1"/>
  <c r="AW79" i="16"/>
  <c r="AX79" i="16" s="1"/>
  <c r="AV80" i="16"/>
  <c r="T48" i="26"/>
  <c r="U49" i="26" s="1"/>
  <c r="W47" i="26"/>
  <c r="X47" i="26"/>
  <c r="Y47" i="26"/>
  <c r="V47" i="26"/>
  <c r="H48" i="26"/>
  <c r="G48" i="26" s="1"/>
  <c r="K45" i="26"/>
  <c r="I45" i="26"/>
  <c r="L45" i="26"/>
  <c r="J45" i="26"/>
  <c r="T80" i="16"/>
  <c r="AY79" i="16"/>
  <c r="AZ79" i="16" s="1"/>
  <c r="BA79" i="16" s="1"/>
  <c r="AP79" i="16"/>
  <c r="AF79" i="16"/>
  <c r="AK79" i="16"/>
  <c r="AA79" i="16"/>
  <c r="V79" i="16"/>
  <c r="AU79" i="16"/>
  <c r="J32" i="6"/>
  <c r="W48" i="6"/>
  <c r="H33" i="6"/>
  <c r="G33" i="6" s="1"/>
  <c r="L33" i="6" s="1"/>
  <c r="K32" i="6"/>
  <c r="I32" i="6"/>
  <c r="U48" i="5"/>
  <c r="T48" i="5" s="1"/>
  <c r="Y47" i="5"/>
  <c r="X47" i="5"/>
  <c r="V47" i="5"/>
  <c r="U49" i="6"/>
  <c r="T49" i="6" s="1"/>
  <c r="Y49" i="6" s="1"/>
  <c r="X48" i="6"/>
  <c r="V48" i="6"/>
  <c r="Y43" i="35" l="1"/>
  <c r="W43" i="35"/>
  <c r="X43" i="35"/>
  <c r="V43" i="35"/>
  <c r="G43" i="35"/>
  <c r="H44" i="35" s="1"/>
  <c r="G45" i="34"/>
  <c r="T43" i="34"/>
  <c r="Y43" i="31"/>
  <c r="X43" i="31"/>
  <c r="W43" i="31"/>
  <c r="V43" i="31"/>
  <c r="T44" i="31"/>
  <c r="G47" i="31"/>
  <c r="BB80" i="16"/>
  <c r="BC79" i="16"/>
  <c r="BD79" i="16" s="1"/>
  <c r="AR79" i="16"/>
  <c r="AQ80" i="16"/>
  <c r="AS79" i="16"/>
  <c r="AL80" i="16"/>
  <c r="AM79" i="16"/>
  <c r="AN79" i="16" s="1"/>
  <c r="AB80" i="16"/>
  <c r="AC79" i="16"/>
  <c r="X79" i="16"/>
  <c r="W80" i="16"/>
  <c r="AD79" i="16"/>
  <c r="AG80" i="16"/>
  <c r="AH79" i="16"/>
  <c r="AI79" i="16" s="1"/>
  <c r="Y79" i="16"/>
  <c r="AV81" i="16"/>
  <c r="AW80" i="16"/>
  <c r="AX80" i="16" s="1"/>
  <c r="T49" i="26"/>
  <c r="U50" i="26" s="1"/>
  <c r="V48" i="26"/>
  <c r="W48" i="26"/>
  <c r="X48" i="26"/>
  <c r="Y48" i="26"/>
  <c r="K46" i="26"/>
  <c r="I46" i="26"/>
  <c r="J46" i="26"/>
  <c r="L46" i="26"/>
  <c r="T81" i="16"/>
  <c r="AY80" i="16"/>
  <c r="AZ80" i="16" s="1"/>
  <c r="BA80" i="16" s="1"/>
  <c r="AP80" i="16"/>
  <c r="AF80" i="16"/>
  <c r="AA80" i="16"/>
  <c r="AK80" i="16"/>
  <c r="AU80" i="16"/>
  <c r="V80" i="16"/>
  <c r="J33" i="6"/>
  <c r="W49" i="6"/>
  <c r="U49" i="5"/>
  <c r="T49" i="5" s="1"/>
  <c r="Y48" i="5"/>
  <c r="X48" i="5"/>
  <c r="V48" i="5"/>
  <c r="K33" i="6"/>
  <c r="I33" i="6"/>
  <c r="V49" i="6"/>
  <c r="U50" i="6"/>
  <c r="T50" i="6" s="1"/>
  <c r="Y50" i="6" s="1"/>
  <c r="X49" i="6"/>
  <c r="H34" i="6"/>
  <c r="L43" i="35" l="1"/>
  <c r="K43" i="35"/>
  <c r="J43" i="35"/>
  <c r="I43" i="35"/>
  <c r="T44" i="35"/>
  <c r="U45" i="35" s="1"/>
  <c r="Y43" i="34"/>
  <c r="X43" i="34"/>
  <c r="W43" i="34"/>
  <c r="V43" i="34"/>
  <c r="U44" i="34"/>
  <c r="J45" i="34"/>
  <c r="L45" i="34"/>
  <c r="K45" i="34"/>
  <c r="I45" i="34"/>
  <c r="H46" i="34"/>
  <c r="L47" i="31"/>
  <c r="K47" i="31"/>
  <c r="I47" i="31"/>
  <c r="J47" i="31"/>
  <c r="H48" i="31"/>
  <c r="Y44" i="31"/>
  <c r="X44" i="31"/>
  <c r="W44" i="31"/>
  <c r="V44" i="31"/>
  <c r="U45" i="31"/>
  <c r="BB81" i="16"/>
  <c r="BC80" i="16"/>
  <c r="BD80" i="16"/>
  <c r="AR80" i="16"/>
  <c r="AQ81" i="16"/>
  <c r="AS80" i="16"/>
  <c r="AM80" i="16"/>
  <c r="AN80" i="16" s="1"/>
  <c r="AL81" i="16"/>
  <c r="AG81" i="16"/>
  <c r="AH80" i="16"/>
  <c r="AI80" i="16"/>
  <c r="X80" i="16"/>
  <c r="Y80" i="16" s="1"/>
  <c r="W81" i="16"/>
  <c r="AC80" i="16"/>
  <c r="AD80" i="16" s="1"/>
  <c r="AB81" i="16"/>
  <c r="AW81" i="16"/>
  <c r="AX81" i="16" s="1"/>
  <c r="AV82" i="16"/>
  <c r="T50" i="26"/>
  <c r="U51" i="26" s="1"/>
  <c r="V49" i="26"/>
  <c r="Y49" i="26"/>
  <c r="X49" i="26"/>
  <c r="W49" i="26"/>
  <c r="H49" i="26"/>
  <c r="G49" i="26" s="1"/>
  <c r="K47" i="26"/>
  <c r="I47" i="26"/>
  <c r="J47" i="26"/>
  <c r="L47" i="26"/>
  <c r="T82" i="16"/>
  <c r="AY81" i="16"/>
  <c r="AZ81" i="16" s="1"/>
  <c r="BA81" i="16" s="1"/>
  <c r="AF81" i="16"/>
  <c r="AP81" i="16"/>
  <c r="AK81" i="16"/>
  <c r="AA81" i="16"/>
  <c r="V81" i="16"/>
  <c r="AU81" i="16"/>
  <c r="W50" i="6"/>
  <c r="G34" i="6"/>
  <c r="L34" i="6" s="1"/>
  <c r="V50" i="6"/>
  <c r="X50" i="6"/>
  <c r="U51" i="6"/>
  <c r="T51" i="6" s="1"/>
  <c r="Y51" i="6" s="1"/>
  <c r="Y49" i="5"/>
  <c r="X49" i="5"/>
  <c r="V49" i="5"/>
  <c r="U50" i="5"/>
  <c r="T50" i="5" s="1"/>
  <c r="Y44" i="35" l="1"/>
  <c r="X44" i="35"/>
  <c r="W44" i="35"/>
  <c r="V44" i="35"/>
  <c r="G44" i="35"/>
  <c r="H45" i="35" s="1"/>
  <c r="G46" i="34"/>
  <c r="T44" i="34"/>
  <c r="T45" i="31"/>
  <c r="G48" i="31"/>
  <c r="BB82" i="16"/>
  <c r="BC81" i="16"/>
  <c r="BD81" i="16" s="1"/>
  <c r="AR81" i="16"/>
  <c r="AQ82" i="16"/>
  <c r="AS81" i="16"/>
  <c r="AM81" i="16"/>
  <c r="AN81" i="16" s="1"/>
  <c r="AL82" i="16"/>
  <c r="X81" i="16"/>
  <c r="Y81" i="16" s="1"/>
  <c r="W82" i="16"/>
  <c r="AC81" i="16"/>
  <c r="AD81" i="16" s="1"/>
  <c r="AB82" i="16"/>
  <c r="AH81" i="16"/>
  <c r="AI81" i="16" s="1"/>
  <c r="AG82" i="16"/>
  <c r="AV83" i="16"/>
  <c r="AW82" i="16"/>
  <c r="AX82" i="16" s="1"/>
  <c r="T51" i="26"/>
  <c r="U52" i="26" s="1"/>
  <c r="V50" i="26"/>
  <c r="X50" i="26"/>
  <c r="W50" i="26"/>
  <c r="Y50" i="26"/>
  <c r="K48" i="26"/>
  <c r="I48" i="26"/>
  <c r="L48" i="26"/>
  <c r="J48" i="26"/>
  <c r="T83" i="16"/>
  <c r="AK82" i="16"/>
  <c r="AY82" i="16"/>
  <c r="AZ82" i="16" s="1"/>
  <c r="BA82" i="16" s="1"/>
  <c r="AP82" i="16"/>
  <c r="V82" i="16"/>
  <c r="AA82" i="16"/>
  <c r="AF82" i="16"/>
  <c r="AU82" i="16"/>
  <c r="J34" i="6"/>
  <c r="W51" i="6"/>
  <c r="H35" i="6"/>
  <c r="G35" i="6" s="1"/>
  <c r="L35" i="6" s="1"/>
  <c r="K34" i="6"/>
  <c r="I34" i="6"/>
  <c r="Y50" i="5"/>
  <c r="X50" i="5"/>
  <c r="V50" i="5"/>
  <c r="U51" i="5"/>
  <c r="T51" i="5" s="1"/>
  <c r="X51" i="6"/>
  <c r="V51" i="6"/>
  <c r="U52" i="6"/>
  <c r="T52" i="6" s="1"/>
  <c r="Y52" i="6" s="1"/>
  <c r="L44" i="35" l="1"/>
  <c r="K44" i="35"/>
  <c r="J44" i="35"/>
  <c r="I44" i="35"/>
  <c r="T45" i="35"/>
  <c r="U46" i="35" s="1"/>
  <c r="Y44" i="34"/>
  <c r="X44" i="34"/>
  <c r="W44" i="34"/>
  <c r="V44" i="34"/>
  <c r="U45" i="34"/>
  <c r="J46" i="34"/>
  <c r="L46" i="34"/>
  <c r="K46" i="34"/>
  <c r="I46" i="34"/>
  <c r="H47" i="34"/>
  <c r="L48" i="31"/>
  <c r="K48" i="31"/>
  <c r="I48" i="31"/>
  <c r="J48" i="31"/>
  <c r="H49" i="31"/>
  <c r="Y45" i="31"/>
  <c r="X45" i="31"/>
  <c r="V45" i="31"/>
  <c r="W45" i="31"/>
  <c r="U46" i="31"/>
  <c r="BB83" i="16"/>
  <c r="BC82" i="16"/>
  <c r="BD82" i="16"/>
  <c r="AR82" i="16"/>
  <c r="AQ83" i="16"/>
  <c r="AS82" i="16"/>
  <c r="AM82" i="16"/>
  <c r="AN82" i="16" s="1"/>
  <c r="AL83" i="16"/>
  <c r="AG83" i="16"/>
  <c r="AH82" i="16"/>
  <c r="AI82" i="16" s="1"/>
  <c r="AC82" i="16"/>
  <c r="AB83" i="16"/>
  <c r="X82" i="16"/>
  <c r="Y82" i="16" s="1"/>
  <c r="W83" i="16"/>
  <c r="AD82" i="16"/>
  <c r="AW83" i="16"/>
  <c r="AX83" i="16" s="1"/>
  <c r="AV84" i="16"/>
  <c r="T52" i="26"/>
  <c r="U53" i="26" s="1"/>
  <c r="X51" i="26"/>
  <c r="W51" i="26"/>
  <c r="Y51" i="26"/>
  <c r="V51" i="26"/>
  <c r="H50" i="26"/>
  <c r="G50" i="26" s="1"/>
  <c r="T84" i="16"/>
  <c r="AY83" i="16"/>
  <c r="AZ83" i="16" s="1"/>
  <c r="BA83" i="16" s="1"/>
  <c r="AF83" i="16"/>
  <c r="AP83" i="16"/>
  <c r="AK83" i="16"/>
  <c r="AA83" i="16"/>
  <c r="V83" i="16"/>
  <c r="AU83" i="16"/>
  <c r="W52" i="6"/>
  <c r="J35" i="6"/>
  <c r="Y51" i="5"/>
  <c r="X51" i="5"/>
  <c r="V51" i="5"/>
  <c r="U52" i="5"/>
  <c r="T52" i="5" s="1"/>
  <c r="I35" i="6"/>
  <c r="K35" i="6"/>
  <c r="X52" i="6"/>
  <c r="U53" i="6"/>
  <c r="T53" i="6" s="1"/>
  <c r="Y53" i="6" s="1"/>
  <c r="V52" i="6"/>
  <c r="H36" i="6"/>
  <c r="W45" i="35" l="1"/>
  <c r="X45" i="35"/>
  <c r="V45" i="35"/>
  <c r="Y45" i="35"/>
  <c r="G45" i="35"/>
  <c r="H46" i="35" s="1"/>
  <c r="G47" i="34"/>
  <c r="H48" i="34" s="1"/>
  <c r="T45" i="34"/>
  <c r="T46" i="31"/>
  <c r="G49" i="31"/>
  <c r="BB84" i="16"/>
  <c r="BC83" i="16"/>
  <c r="BD83" i="16"/>
  <c r="AQ84" i="16"/>
  <c r="AR83" i="16"/>
  <c r="AS83" i="16"/>
  <c r="AM83" i="16"/>
  <c r="AN83" i="16" s="1"/>
  <c r="AL84" i="16"/>
  <c r="X83" i="16"/>
  <c r="Y83" i="16" s="1"/>
  <c r="W84" i="16"/>
  <c r="AC83" i="16"/>
  <c r="AD83" i="16" s="1"/>
  <c r="AB84" i="16"/>
  <c r="AH83" i="16"/>
  <c r="AI83" i="16" s="1"/>
  <c r="AG84" i="16"/>
  <c r="AW84" i="16"/>
  <c r="AV85" i="16"/>
  <c r="AX84" i="16"/>
  <c r="T53" i="26"/>
  <c r="U54" i="26" s="1"/>
  <c r="V52" i="26"/>
  <c r="W52" i="26"/>
  <c r="X52" i="26"/>
  <c r="Y52" i="26"/>
  <c r="K49" i="26"/>
  <c r="I49" i="26"/>
  <c r="L49" i="26"/>
  <c r="J49" i="26"/>
  <c r="T85" i="16"/>
  <c r="AY84" i="16"/>
  <c r="AZ84" i="16" s="1"/>
  <c r="BA84" i="16" s="1"/>
  <c r="AK84" i="16"/>
  <c r="AP84" i="16"/>
  <c r="AF84" i="16"/>
  <c r="AA84" i="16"/>
  <c r="AU84" i="16"/>
  <c r="V84" i="16"/>
  <c r="W53" i="6"/>
  <c r="U53" i="5"/>
  <c r="T53" i="5" s="1"/>
  <c r="Y52" i="5"/>
  <c r="X52" i="5"/>
  <c r="V52" i="5"/>
  <c r="G36" i="6"/>
  <c r="L36" i="6" s="1"/>
  <c r="V53" i="6"/>
  <c r="U54" i="6"/>
  <c r="T54" i="6" s="1"/>
  <c r="Y54" i="6" s="1"/>
  <c r="X53" i="6"/>
  <c r="K45" i="35" l="1"/>
  <c r="L45" i="35"/>
  <c r="J45" i="35"/>
  <c r="I45" i="35"/>
  <c r="T46" i="35"/>
  <c r="U47" i="35" s="1"/>
  <c r="Y45" i="34"/>
  <c r="X45" i="34"/>
  <c r="W45" i="34"/>
  <c r="V45" i="34"/>
  <c r="U46" i="34"/>
  <c r="G48" i="34"/>
  <c r="J47" i="34"/>
  <c r="L47" i="34"/>
  <c r="K47" i="34"/>
  <c r="I47" i="34"/>
  <c r="L49" i="31"/>
  <c r="K49" i="31"/>
  <c r="I49" i="31"/>
  <c r="J49" i="31"/>
  <c r="H50" i="31"/>
  <c r="X46" i="31"/>
  <c r="W46" i="31"/>
  <c r="V46" i="31"/>
  <c r="Y46" i="31"/>
  <c r="U47" i="31"/>
  <c r="BB85" i="16"/>
  <c r="BC84" i="16"/>
  <c r="BD84" i="16" s="1"/>
  <c r="AQ85" i="16"/>
  <c r="AR84" i="16"/>
  <c r="AS84" i="16"/>
  <c r="AM84" i="16"/>
  <c r="AN84" i="16" s="1"/>
  <c r="AL85" i="16"/>
  <c r="AC84" i="16"/>
  <c r="AD84" i="16" s="1"/>
  <c r="AB85" i="16"/>
  <c r="W85" i="16"/>
  <c r="X84" i="16"/>
  <c r="Y84" i="16" s="1"/>
  <c r="AG85" i="16"/>
  <c r="AH84" i="16"/>
  <c r="AI84" i="16" s="1"/>
  <c r="AW85" i="16"/>
  <c r="AX85" i="16" s="1"/>
  <c r="AV86" i="16"/>
  <c r="T54" i="26"/>
  <c r="U55" i="26" s="1"/>
  <c r="Y53" i="26"/>
  <c r="X53" i="26"/>
  <c r="W53" i="26"/>
  <c r="V53" i="26"/>
  <c r="H51" i="26"/>
  <c r="G51" i="26" s="1"/>
  <c r="T86" i="16"/>
  <c r="AY85" i="16"/>
  <c r="AZ85" i="16" s="1"/>
  <c r="BA85" i="16" s="1"/>
  <c r="AK85" i="16"/>
  <c r="AP85" i="16"/>
  <c r="AA85" i="16"/>
  <c r="AF85" i="16"/>
  <c r="AU85" i="16"/>
  <c r="V85" i="16"/>
  <c r="J36" i="6"/>
  <c r="W54" i="6"/>
  <c r="H37" i="6"/>
  <c r="G37" i="6" s="1"/>
  <c r="L37" i="6" s="1"/>
  <c r="U54" i="5"/>
  <c r="T54" i="5" s="1"/>
  <c r="Y53" i="5"/>
  <c r="X53" i="5"/>
  <c r="V53" i="5"/>
  <c r="K36" i="6"/>
  <c r="I36" i="6"/>
  <c r="U55" i="6"/>
  <c r="T55" i="6" s="1"/>
  <c r="Y55" i="6" s="1"/>
  <c r="X54" i="6"/>
  <c r="V54" i="6"/>
  <c r="W46" i="35" l="1"/>
  <c r="Y46" i="35"/>
  <c r="X46" i="35"/>
  <c r="V46" i="35"/>
  <c r="G46" i="35"/>
  <c r="H47" i="35" s="1"/>
  <c r="J48" i="34"/>
  <c r="L48" i="34"/>
  <c r="K48" i="34"/>
  <c r="I48" i="34"/>
  <c r="H49" i="34"/>
  <c r="T46" i="34"/>
  <c r="T47" i="31"/>
  <c r="G50" i="31"/>
  <c r="BB86" i="16"/>
  <c r="BC85" i="16"/>
  <c r="BD85" i="16" s="1"/>
  <c r="AQ86" i="16"/>
  <c r="AR85" i="16"/>
  <c r="AS85" i="16"/>
  <c r="AM85" i="16"/>
  <c r="AN85" i="16" s="1"/>
  <c r="AL86" i="16"/>
  <c r="X85" i="16"/>
  <c r="Y85" i="16" s="1"/>
  <c r="W86" i="16"/>
  <c r="AH85" i="16"/>
  <c r="AI85" i="16" s="1"/>
  <c r="AG86" i="16"/>
  <c r="AC85" i="16"/>
  <c r="AD85" i="16" s="1"/>
  <c r="AB86" i="16"/>
  <c r="AW86" i="16"/>
  <c r="AX86" i="16" s="1"/>
  <c r="AV87" i="16"/>
  <c r="T55" i="26"/>
  <c r="U56" i="26" s="1"/>
  <c r="V54" i="26"/>
  <c r="W54" i="26"/>
  <c r="X54" i="26"/>
  <c r="Y54" i="26"/>
  <c r="K50" i="26"/>
  <c r="I50" i="26"/>
  <c r="J50" i="26"/>
  <c r="L50" i="26"/>
  <c r="T87" i="16"/>
  <c r="AY86" i="16"/>
  <c r="AZ86" i="16" s="1"/>
  <c r="BA86" i="16" s="1"/>
  <c r="AP86" i="16"/>
  <c r="AA86" i="16"/>
  <c r="AK86" i="16"/>
  <c r="AF86" i="16"/>
  <c r="V86" i="16"/>
  <c r="AU86" i="16"/>
  <c r="W55" i="6"/>
  <c r="J37" i="6"/>
  <c r="V55" i="6"/>
  <c r="U56" i="6"/>
  <c r="T56" i="6" s="1"/>
  <c r="Y56" i="6" s="1"/>
  <c r="X55" i="6"/>
  <c r="K37" i="6"/>
  <c r="I37" i="6"/>
  <c r="U55" i="5"/>
  <c r="T55" i="5" s="1"/>
  <c r="X54" i="5"/>
  <c r="V54" i="5"/>
  <c r="Y54" i="5"/>
  <c r="H38" i="6"/>
  <c r="K46" i="35" l="1"/>
  <c r="L46" i="35"/>
  <c r="J46" i="35"/>
  <c r="I46" i="35"/>
  <c r="T47" i="35"/>
  <c r="U48" i="35" s="1"/>
  <c r="Y46" i="34"/>
  <c r="X46" i="34"/>
  <c r="V46" i="34"/>
  <c r="W46" i="34"/>
  <c r="U47" i="34"/>
  <c r="G49" i="34"/>
  <c r="L50" i="31"/>
  <c r="K50" i="31"/>
  <c r="I50" i="31"/>
  <c r="J50" i="31"/>
  <c r="H51" i="31"/>
  <c r="Y47" i="31"/>
  <c r="X47" i="31"/>
  <c r="W47" i="31"/>
  <c r="V47" i="31"/>
  <c r="U48" i="31"/>
  <c r="BB87" i="16"/>
  <c r="BC86" i="16"/>
  <c r="BD86" i="16"/>
  <c r="AR86" i="16"/>
  <c r="AS86" i="16" s="1"/>
  <c r="AQ87" i="16"/>
  <c r="AM86" i="16"/>
  <c r="AL87" i="16"/>
  <c r="AN86" i="16"/>
  <c r="X86" i="16"/>
  <c r="Y86" i="16" s="1"/>
  <c r="W87" i="16"/>
  <c r="AH86" i="16"/>
  <c r="AI86" i="16" s="1"/>
  <c r="AG87" i="16"/>
  <c r="AC86" i="16"/>
  <c r="AD86" i="16" s="1"/>
  <c r="AB87" i="16"/>
  <c r="AV88" i="16"/>
  <c r="AW87" i="16"/>
  <c r="AX87" i="16" s="1"/>
  <c r="T56" i="26"/>
  <c r="U57" i="26" s="1"/>
  <c r="W55" i="26"/>
  <c r="X55" i="26"/>
  <c r="Y55" i="26"/>
  <c r="V55" i="26"/>
  <c r="H52" i="26"/>
  <c r="G52" i="26" s="1"/>
  <c r="T88" i="16"/>
  <c r="AY87" i="16"/>
  <c r="AZ87" i="16" s="1"/>
  <c r="BA87" i="16" s="1"/>
  <c r="AK87" i="16"/>
  <c r="AP87" i="16"/>
  <c r="AA87" i="16"/>
  <c r="AF87" i="16"/>
  <c r="V87" i="16"/>
  <c r="AU87" i="16"/>
  <c r="W56" i="6"/>
  <c r="X56" i="6"/>
  <c r="V56" i="6"/>
  <c r="U57" i="6"/>
  <c r="T57" i="6" s="1"/>
  <c r="Y57" i="6" s="1"/>
  <c r="G38" i="6"/>
  <c r="L38" i="6" s="1"/>
  <c r="Y55" i="5"/>
  <c r="X55" i="5"/>
  <c r="V55" i="5"/>
  <c r="U56" i="5"/>
  <c r="T56" i="5" s="1"/>
  <c r="W47" i="35" l="1"/>
  <c r="Y47" i="35"/>
  <c r="X47" i="35"/>
  <c r="V47" i="35"/>
  <c r="G47" i="35"/>
  <c r="H48" i="35" s="1"/>
  <c r="J49" i="34"/>
  <c r="I49" i="34"/>
  <c r="L49" i="34"/>
  <c r="K49" i="34"/>
  <c r="H50" i="34"/>
  <c r="T47" i="34"/>
  <c r="T48" i="31"/>
  <c r="G51" i="31"/>
  <c r="BB88" i="16"/>
  <c r="BC87" i="16"/>
  <c r="BD87" i="16"/>
  <c r="AR87" i="16"/>
  <c r="AS87" i="16" s="1"/>
  <c r="AQ88" i="16"/>
  <c r="AM87" i="16"/>
  <c r="AN87" i="16" s="1"/>
  <c r="AL88" i="16"/>
  <c r="AH87" i="16"/>
  <c r="AI87" i="16" s="1"/>
  <c r="AG88" i="16"/>
  <c r="X87" i="16"/>
  <c r="Y87" i="16" s="1"/>
  <c r="W88" i="16"/>
  <c r="AC87" i="16"/>
  <c r="AD87" i="16" s="1"/>
  <c r="AB88" i="16"/>
  <c r="AW88" i="16"/>
  <c r="AX88" i="16" s="1"/>
  <c r="AV89" i="16"/>
  <c r="T57" i="26"/>
  <c r="U58" i="26" s="1"/>
  <c r="V56" i="26"/>
  <c r="Y56" i="26"/>
  <c r="W56" i="26"/>
  <c r="X56" i="26"/>
  <c r="K51" i="26"/>
  <c r="I51" i="26"/>
  <c r="J51" i="26"/>
  <c r="L51" i="26"/>
  <c r="T89" i="16"/>
  <c r="AY88" i="16"/>
  <c r="AZ88" i="16" s="1"/>
  <c r="BA88" i="16" s="1"/>
  <c r="AK88" i="16"/>
  <c r="AP88" i="16"/>
  <c r="AA88" i="16"/>
  <c r="AF88" i="16"/>
  <c r="V88" i="16"/>
  <c r="AU88" i="16"/>
  <c r="W57" i="6"/>
  <c r="J38" i="6"/>
  <c r="X57" i="6"/>
  <c r="V57" i="6"/>
  <c r="U58" i="6"/>
  <c r="T58" i="6" s="1"/>
  <c r="Y58" i="6" s="1"/>
  <c r="K38" i="6"/>
  <c r="I38" i="6"/>
  <c r="H39" i="6"/>
  <c r="V56" i="5"/>
  <c r="Y56" i="5"/>
  <c r="X56" i="5"/>
  <c r="U57" i="5"/>
  <c r="T57" i="5" s="1"/>
  <c r="L47" i="35" l="1"/>
  <c r="K47" i="35"/>
  <c r="I47" i="35"/>
  <c r="J47" i="35"/>
  <c r="T48" i="35"/>
  <c r="U49" i="35" s="1"/>
  <c r="Y47" i="34"/>
  <c r="W47" i="34"/>
  <c r="V47" i="34"/>
  <c r="X47" i="34"/>
  <c r="U48" i="34"/>
  <c r="G50" i="34"/>
  <c r="L51" i="31"/>
  <c r="K51" i="31"/>
  <c r="I51" i="31"/>
  <c r="J51" i="31"/>
  <c r="H52" i="31"/>
  <c r="Y48" i="31"/>
  <c r="X48" i="31"/>
  <c r="W48" i="31"/>
  <c r="V48" i="31"/>
  <c r="U49" i="31"/>
  <c r="BB89" i="16"/>
  <c r="BC88" i="16"/>
  <c r="BD88" i="16" s="1"/>
  <c r="AQ89" i="16"/>
  <c r="AR88" i="16"/>
  <c r="AS88" i="16"/>
  <c r="AM88" i="16"/>
  <c r="AN88" i="16" s="1"/>
  <c r="AL89" i="16"/>
  <c r="X88" i="16"/>
  <c r="Y88" i="16" s="1"/>
  <c r="W89" i="16"/>
  <c r="AH88" i="16"/>
  <c r="AI88" i="16" s="1"/>
  <c r="AG89" i="16"/>
  <c r="AC88" i="16"/>
  <c r="AD88" i="16" s="1"/>
  <c r="AB89" i="16"/>
  <c r="AW89" i="16"/>
  <c r="AX89" i="16" s="1"/>
  <c r="AV90" i="16"/>
  <c r="T58" i="26"/>
  <c r="U59" i="26" s="1"/>
  <c r="Y57" i="26"/>
  <c r="X57" i="26"/>
  <c r="W57" i="26"/>
  <c r="V57" i="26"/>
  <c r="H53" i="26"/>
  <c r="G53" i="26" s="1"/>
  <c r="K52" i="26"/>
  <c r="I52" i="26"/>
  <c r="L52" i="26"/>
  <c r="J52" i="26"/>
  <c r="T90" i="16"/>
  <c r="AY89" i="16"/>
  <c r="AZ89" i="16" s="1"/>
  <c r="BA89" i="16" s="1"/>
  <c r="AP89" i="16"/>
  <c r="AF89" i="16"/>
  <c r="V89" i="16"/>
  <c r="AA89" i="16"/>
  <c r="AK89" i="16"/>
  <c r="AU89" i="16"/>
  <c r="W58" i="6"/>
  <c r="G39" i="6"/>
  <c r="L39" i="6" s="1"/>
  <c r="V58" i="6"/>
  <c r="X58" i="6"/>
  <c r="U59" i="6"/>
  <c r="T59" i="6" s="1"/>
  <c r="Y59" i="6" s="1"/>
  <c r="Y57" i="5"/>
  <c r="X57" i="5"/>
  <c r="U58" i="5"/>
  <c r="T58" i="5" s="1"/>
  <c r="V57" i="5"/>
  <c r="W48" i="35" l="1"/>
  <c r="V48" i="35"/>
  <c r="Y48" i="35"/>
  <c r="X48" i="35"/>
  <c r="G48" i="35"/>
  <c r="H49" i="35" s="1"/>
  <c r="J50" i="34"/>
  <c r="L50" i="34"/>
  <c r="K50" i="34"/>
  <c r="I50" i="34"/>
  <c r="H51" i="34"/>
  <c r="T48" i="34"/>
  <c r="T49" i="31"/>
  <c r="G52" i="31"/>
  <c r="BB90" i="16"/>
  <c r="BC89" i="16"/>
  <c r="BD89" i="16"/>
  <c r="AQ90" i="16"/>
  <c r="AR89" i="16"/>
  <c r="AS89" i="16" s="1"/>
  <c r="AM89" i="16"/>
  <c r="AN89" i="16" s="1"/>
  <c r="AL90" i="16"/>
  <c r="AG90" i="16"/>
  <c r="AH89" i="16"/>
  <c r="AI89" i="16" s="1"/>
  <c r="AC89" i="16"/>
  <c r="AD89" i="16" s="1"/>
  <c r="AB90" i="16"/>
  <c r="X89" i="16"/>
  <c r="Y89" i="16" s="1"/>
  <c r="W90" i="16"/>
  <c r="AV91" i="16"/>
  <c r="AW90" i="16"/>
  <c r="AX90" i="16" s="1"/>
  <c r="T59" i="26"/>
  <c r="U60" i="26" s="1"/>
  <c r="V58" i="26"/>
  <c r="X58" i="26"/>
  <c r="W58" i="26"/>
  <c r="Y58" i="26"/>
  <c r="T91" i="16"/>
  <c r="AY90" i="16"/>
  <c r="AZ90" i="16" s="1"/>
  <c r="BA90" i="16" s="1"/>
  <c r="AP90" i="16"/>
  <c r="AA90" i="16"/>
  <c r="AK90" i="16"/>
  <c r="AF90" i="16"/>
  <c r="V90" i="16"/>
  <c r="AU90" i="16"/>
  <c r="W59" i="6"/>
  <c r="J39" i="6"/>
  <c r="H40" i="6"/>
  <c r="G40" i="6" s="1"/>
  <c r="L40" i="6" s="1"/>
  <c r="X59" i="6"/>
  <c r="V59" i="6"/>
  <c r="U60" i="6"/>
  <c r="T60" i="6" s="1"/>
  <c r="Y60" i="6" s="1"/>
  <c r="K39" i="6"/>
  <c r="I39" i="6"/>
  <c r="X58" i="5"/>
  <c r="V58" i="5"/>
  <c r="U59" i="5"/>
  <c r="T59" i="5" s="1"/>
  <c r="Y58" i="5"/>
  <c r="L48" i="35" l="1"/>
  <c r="K48" i="35"/>
  <c r="J48" i="35"/>
  <c r="I48" i="35"/>
  <c r="T49" i="35"/>
  <c r="U50" i="35" s="1"/>
  <c r="Y48" i="34"/>
  <c r="W48" i="34"/>
  <c r="X48" i="34"/>
  <c r="V48" i="34"/>
  <c r="U49" i="34"/>
  <c r="G51" i="34"/>
  <c r="H52" i="34" s="1"/>
  <c r="L52" i="31"/>
  <c r="K52" i="31"/>
  <c r="I52" i="31"/>
  <c r="J52" i="31"/>
  <c r="H53" i="31"/>
  <c r="W49" i="31"/>
  <c r="Y49" i="31"/>
  <c r="X49" i="31"/>
  <c r="V49" i="31"/>
  <c r="U50" i="31"/>
  <c r="BB91" i="16"/>
  <c r="BC90" i="16"/>
  <c r="BD90" i="16"/>
  <c r="AR90" i="16"/>
  <c r="AS90" i="16" s="1"/>
  <c r="AQ91" i="16"/>
  <c r="AM90" i="16"/>
  <c r="AN90" i="16" s="1"/>
  <c r="AL91" i="16"/>
  <c r="AC90" i="16"/>
  <c r="AD90" i="16" s="1"/>
  <c r="AB91" i="16"/>
  <c r="X90" i="16"/>
  <c r="Y90" i="16" s="1"/>
  <c r="W91" i="16"/>
  <c r="AH90" i="16"/>
  <c r="AI90" i="16" s="1"/>
  <c r="AG91" i="16"/>
  <c r="AW91" i="16"/>
  <c r="AX91" i="16" s="1"/>
  <c r="AV92" i="16"/>
  <c r="T60" i="26"/>
  <c r="U61" i="26" s="1"/>
  <c r="V59" i="26"/>
  <c r="W59" i="26"/>
  <c r="Y59" i="26"/>
  <c r="X59" i="26"/>
  <c r="H54" i="26"/>
  <c r="G54" i="26" s="1"/>
  <c r="K53" i="26"/>
  <c r="I53" i="26"/>
  <c r="L53" i="26"/>
  <c r="J53" i="26"/>
  <c r="T92" i="16"/>
  <c r="AY91" i="16"/>
  <c r="AZ91" i="16" s="1"/>
  <c r="BA91" i="16" s="1"/>
  <c r="AP91" i="16"/>
  <c r="AK91" i="16"/>
  <c r="AF91" i="16"/>
  <c r="AA91" i="16"/>
  <c r="V91" i="16"/>
  <c r="AU91" i="16"/>
  <c r="W60" i="6"/>
  <c r="J40" i="6"/>
  <c r="U61" i="6"/>
  <c r="T61" i="6" s="1"/>
  <c r="Y61" i="6" s="1"/>
  <c r="X60" i="6"/>
  <c r="V60" i="6"/>
  <c r="Y59" i="5"/>
  <c r="X59" i="5"/>
  <c r="V59" i="5"/>
  <c r="U60" i="5"/>
  <c r="T60" i="5" s="1"/>
  <c r="K40" i="6"/>
  <c r="I40" i="6"/>
  <c r="H41" i="6"/>
  <c r="W49" i="35" l="1"/>
  <c r="Y49" i="35"/>
  <c r="X49" i="35"/>
  <c r="V49" i="35"/>
  <c r="G49" i="35"/>
  <c r="H50" i="35" s="1"/>
  <c r="G52" i="34"/>
  <c r="J51" i="34"/>
  <c r="L51" i="34"/>
  <c r="K51" i="34"/>
  <c r="I51" i="34"/>
  <c r="T49" i="34"/>
  <c r="T50" i="31"/>
  <c r="G53" i="31"/>
  <c r="BB92" i="16"/>
  <c r="BC91" i="16"/>
  <c r="BD91" i="16" s="1"/>
  <c r="AQ92" i="16"/>
  <c r="AR91" i="16"/>
  <c r="AS91" i="16"/>
  <c r="AL92" i="16"/>
  <c r="AM91" i="16"/>
  <c r="AN91" i="16"/>
  <c r="X91" i="16"/>
  <c r="Y91" i="16" s="1"/>
  <c r="W92" i="16"/>
  <c r="AB92" i="16"/>
  <c r="AC91" i="16"/>
  <c r="AD91" i="16" s="1"/>
  <c r="AG92" i="16"/>
  <c r="AH91" i="16"/>
  <c r="AI91" i="16" s="1"/>
  <c r="AV93" i="16"/>
  <c r="AW92" i="16"/>
  <c r="AX92" i="16" s="1"/>
  <c r="T61" i="26"/>
  <c r="U62" i="26" s="1"/>
  <c r="V60" i="26"/>
  <c r="X60" i="26"/>
  <c r="Y60" i="26"/>
  <c r="W60" i="26"/>
  <c r="T93" i="16"/>
  <c r="AY92" i="16"/>
  <c r="AZ92" i="16" s="1"/>
  <c r="BA92" i="16" s="1"/>
  <c r="AP92" i="16"/>
  <c r="AK92" i="16"/>
  <c r="AF92" i="16"/>
  <c r="AA92" i="16"/>
  <c r="AU92" i="16"/>
  <c r="V92" i="16"/>
  <c r="W61" i="6"/>
  <c r="G41" i="6"/>
  <c r="L41" i="6" s="1"/>
  <c r="V61" i="6"/>
  <c r="U62" i="6"/>
  <c r="T62" i="6" s="1"/>
  <c r="Y62" i="6" s="1"/>
  <c r="X61" i="6"/>
  <c r="U61" i="5"/>
  <c r="T61" i="5" s="1"/>
  <c r="Y60" i="5"/>
  <c r="X60" i="5"/>
  <c r="V60" i="5"/>
  <c r="L49" i="35" l="1"/>
  <c r="K49" i="35"/>
  <c r="J49" i="35"/>
  <c r="I49" i="35"/>
  <c r="T50" i="35"/>
  <c r="U51" i="35" s="1"/>
  <c r="Y49" i="34"/>
  <c r="W49" i="34"/>
  <c r="X49" i="34"/>
  <c r="V49" i="34"/>
  <c r="U50" i="34"/>
  <c r="J52" i="34"/>
  <c r="L52" i="34"/>
  <c r="K52" i="34"/>
  <c r="I52" i="34"/>
  <c r="H53" i="34"/>
  <c r="L53" i="31"/>
  <c r="K53" i="31"/>
  <c r="I53" i="31"/>
  <c r="J53" i="31"/>
  <c r="H54" i="31"/>
  <c r="W50" i="31"/>
  <c r="Y50" i="31"/>
  <c r="X50" i="31"/>
  <c r="V50" i="31"/>
  <c r="U51" i="31"/>
  <c r="BB93" i="16"/>
  <c r="BC92" i="16"/>
  <c r="BD92" i="16"/>
  <c r="AQ93" i="16"/>
  <c r="AR92" i="16"/>
  <c r="AS92" i="16"/>
  <c r="AL93" i="16"/>
  <c r="AM92" i="16"/>
  <c r="AN92" i="16" s="1"/>
  <c r="X92" i="16"/>
  <c r="W93" i="16"/>
  <c r="AC92" i="16"/>
  <c r="AD92" i="16" s="1"/>
  <c r="AB93" i="16"/>
  <c r="AG93" i="16"/>
  <c r="AH92" i="16"/>
  <c r="AI92" i="16" s="1"/>
  <c r="Y92" i="16"/>
  <c r="AW93" i="16"/>
  <c r="AX93" i="16" s="1"/>
  <c r="AV94" i="16"/>
  <c r="T62" i="26"/>
  <c r="U63" i="26" s="1"/>
  <c r="X61" i="26"/>
  <c r="W61" i="26"/>
  <c r="Y61" i="26"/>
  <c r="V61" i="26"/>
  <c r="H55" i="26"/>
  <c r="G55" i="26" s="1"/>
  <c r="K54" i="26"/>
  <c r="I54" i="26"/>
  <c r="J54" i="26"/>
  <c r="L54" i="26"/>
  <c r="T94" i="16"/>
  <c r="AY93" i="16"/>
  <c r="AZ93" i="16" s="1"/>
  <c r="BA93" i="16" s="1"/>
  <c r="AF93" i="16"/>
  <c r="AP93" i="16"/>
  <c r="AA93" i="16"/>
  <c r="AK93" i="16"/>
  <c r="AU93" i="16"/>
  <c r="V93" i="16"/>
  <c r="W62" i="6"/>
  <c r="J41" i="6"/>
  <c r="Y61" i="5"/>
  <c r="X61" i="5"/>
  <c r="V61" i="5"/>
  <c r="X62" i="6"/>
  <c r="V62" i="6"/>
  <c r="U63" i="6"/>
  <c r="T63" i="6" s="1"/>
  <c r="Y63" i="6" s="1"/>
  <c r="I41" i="6"/>
  <c r="K41" i="6"/>
  <c r="H42" i="6"/>
  <c r="W50" i="35" l="1"/>
  <c r="Y50" i="35"/>
  <c r="X50" i="35"/>
  <c r="V50" i="35"/>
  <c r="G50" i="35"/>
  <c r="H51" i="35" s="1"/>
  <c r="G53" i="34"/>
  <c r="T50" i="34"/>
  <c r="T51" i="31"/>
  <c r="G54" i="31"/>
  <c r="BB94" i="16"/>
  <c r="BC93" i="16"/>
  <c r="BD93" i="16"/>
  <c r="AQ94" i="16"/>
  <c r="AR93" i="16"/>
  <c r="AS93" i="16"/>
  <c r="AM93" i="16"/>
  <c r="AN93" i="16" s="1"/>
  <c r="AL94" i="16"/>
  <c r="AB94" i="16"/>
  <c r="AC93" i="16"/>
  <c r="AD93" i="16" s="1"/>
  <c r="AH93" i="16"/>
  <c r="AI93" i="16" s="1"/>
  <c r="AG94" i="16"/>
  <c r="X93" i="16"/>
  <c r="Y93" i="16" s="1"/>
  <c r="W94" i="16"/>
  <c r="AW94" i="16"/>
  <c r="AX94" i="16" s="1"/>
  <c r="AV95" i="16"/>
  <c r="T63" i="26"/>
  <c r="U64" i="26" s="1"/>
  <c r="X62" i="26"/>
  <c r="Y62" i="26"/>
  <c r="W62" i="26"/>
  <c r="V62" i="26"/>
  <c r="T95" i="16"/>
  <c r="AY94" i="16"/>
  <c r="AZ94" i="16" s="1"/>
  <c r="BA94" i="16" s="1"/>
  <c r="AK94" i="16"/>
  <c r="AP94" i="16"/>
  <c r="AF94" i="16"/>
  <c r="AA94" i="16"/>
  <c r="AU94" i="16"/>
  <c r="V94" i="16"/>
  <c r="W63" i="6"/>
  <c r="X63" i="6"/>
  <c r="V63" i="6"/>
  <c r="U64" i="6"/>
  <c r="T64" i="6" s="1"/>
  <c r="Y64" i="6" s="1"/>
  <c r="G42" i="6"/>
  <c r="L42" i="6" s="1"/>
  <c r="L50" i="35" l="1"/>
  <c r="K50" i="35"/>
  <c r="J50" i="35"/>
  <c r="I50" i="35"/>
  <c r="T51" i="35"/>
  <c r="U52" i="35" s="1"/>
  <c r="Y50" i="34"/>
  <c r="W50" i="34"/>
  <c r="X50" i="34"/>
  <c r="V50" i="34"/>
  <c r="U51" i="34"/>
  <c r="J53" i="34"/>
  <c r="I53" i="34"/>
  <c r="K53" i="34"/>
  <c r="L53" i="34"/>
  <c r="H54" i="34"/>
  <c r="L54" i="31"/>
  <c r="K54" i="31"/>
  <c r="I54" i="31"/>
  <c r="J54" i="31"/>
  <c r="H55" i="31"/>
  <c r="W51" i="31"/>
  <c r="V51" i="31"/>
  <c r="Y51" i="31"/>
  <c r="X51" i="31"/>
  <c r="U52" i="31"/>
  <c r="BB95" i="16"/>
  <c r="BC94" i="16"/>
  <c r="BD94" i="16"/>
  <c r="AQ95" i="16"/>
  <c r="AR94" i="16"/>
  <c r="AS94" i="16"/>
  <c r="AM94" i="16"/>
  <c r="AN94" i="16" s="1"/>
  <c r="AL95" i="16"/>
  <c r="X94" i="16"/>
  <c r="Y94" i="16" s="1"/>
  <c r="W95" i="16"/>
  <c r="AC94" i="16"/>
  <c r="AD94" i="16" s="1"/>
  <c r="AB95" i="16"/>
  <c r="AG95" i="16"/>
  <c r="AH94" i="16"/>
  <c r="AI94" i="16" s="1"/>
  <c r="AW95" i="16"/>
  <c r="AX95" i="16" s="1"/>
  <c r="AV96" i="16"/>
  <c r="T64" i="26"/>
  <c r="U65" i="26" s="1"/>
  <c r="W63" i="26"/>
  <c r="Y63" i="26"/>
  <c r="X63" i="26"/>
  <c r="V63" i="26"/>
  <c r="H56" i="26"/>
  <c r="G56" i="26" s="1"/>
  <c r="K55" i="26"/>
  <c r="I55" i="26"/>
  <c r="J55" i="26"/>
  <c r="L55" i="26"/>
  <c r="T96" i="16"/>
  <c r="AY95" i="16"/>
  <c r="AZ95" i="16" s="1"/>
  <c r="BA95" i="16" s="1"/>
  <c r="AF95" i="16"/>
  <c r="AP95" i="16"/>
  <c r="AK95" i="16"/>
  <c r="AA95" i="16"/>
  <c r="AU95" i="16"/>
  <c r="V95" i="16"/>
  <c r="W64" i="6"/>
  <c r="J42" i="6"/>
  <c r="K42" i="6"/>
  <c r="I42" i="6"/>
  <c r="H43" i="6"/>
  <c r="U65" i="6"/>
  <c r="T65" i="6" s="1"/>
  <c r="Y65" i="6" s="1"/>
  <c r="X64" i="6"/>
  <c r="V64" i="6"/>
  <c r="W51" i="35" l="1"/>
  <c r="V51" i="35"/>
  <c r="Y51" i="35"/>
  <c r="X51" i="35"/>
  <c r="G51" i="35"/>
  <c r="H52" i="35" s="1"/>
  <c r="G54" i="34"/>
  <c r="T51" i="34"/>
  <c r="T52" i="31"/>
  <c r="G55" i="31"/>
  <c r="BB96" i="16"/>
  <c r="BC95" i="16"/>
  <c r="BD95" i="16" s="1"/>
  <c r="AR95" i="16"/>
  <c r="AQ96" i="16"/>
  <c r="AS95" i="16"/>
  <c r="AM95" i="16"/>
  <c r="AL96" i="16"/>
  <c r="AN95" i="16"/>
  <c r="AC95" i="16"/>
  <c r="AB96" i="16"/>
  <c r="AD95" i="16"/>
  <c r="W96" i="16"/>
  <c r="X95" i="16"/>
  <c r="Y95" i="16" s="1"/>
  <c r="AG96" i="16"/>
  <c r="AH95" i="16"/>
  <c r="AI95" i="16" s="1"/>
  <c r="AW96" i="16"/>
  <c r="AX96" i="16" s="1"/>
  <c r="AV97" i="16"/>
  <c r="T65" i="26"/>
  <c r="U66" i="26" s="1"/>
  <c r="W64" i="26"/>
  <c r="Y64" i="26"/>
  <c r="X64" i="26"/>
  <c r="V64" i="26"/>
  <c r="K56" i="26"/>
  <c r="T97" i="16"/>
  <c r="AY96" i="16"/>
  <c r="AZ96" i="16" s="1"/>
  <c r="BA96" i="16" s="1"/>
  <c r="AK96" i="16"/>
  <c r="AP96" i="16"/>
  <c r="AA96" i="16"/>
  <c r="V96" i="16"/>
  <c r="AF96" i="16"/>
  <c r="AU96" i="16"/>
  <c r="W65" i="6"/>
  <c r="G43" i="6"/>
  <c r="L43" i="6" s="1"/>
  <c r="U66" i="6"/>
  <c r="T66" i="6" s="1"/>
  <c r="Y66" i="6" s="1"/>
  <c r="V65" i="6"/>
  <c r="X65" i="6"/>
  <c r="L51" i="35" l="1"/>
  <c r="K51" i="35"/>
  <c r="J51" i="35"/>
  <c r="I51" i="35"/>
  <c r="T52" i="35"/>
  <c r="U53" i="35" s="1"/>
  <c r="Y51" i="34"/>
  <c r="W51" i="34"/>
  <c r="V51" i="34"/>
  <c r="X51" i="34"/>
  <c r="U52" i="34"/>
  <c r="J54" i="34"/>
  <c r="L54" i="34"/>
  <c r="K54" i="34"/>
  <c r="I54" i="34"/>
  <c r="H55" i="34"/>
  <c r="L55" i="31"/>
  <c r="K55" i="31"/>
  <c r="I55" i="31"/>
  <c r="J55" i="31"/>
  <c r="H56" i="31"/>
  <c r="V52" i="31"/>
  <c r="W52" i="31"/>
  <c r="Y52" i="31"/>
  <c r="X52" i="31"/>
  <c r="U53" i="31"/>
  <c r="BB97" i="16"/>
  <c r="BC96" i="16"/>
  <c r="BD96" i="16" s="1"/>
  <c r="AQ97" i="16"/>
  <c r="AR96" i="16"/>
  <c r="AS96" i="16"/>
  <c r="AM96" i="16"/>
  <c r="AN96" i="16" s="1"/>
  <c r="AL97" i="16"/>
  <c r="AG97" i="16"/>
  <c r="AH96" i="16"/>
  <c r="AI96" i="16" s="1"/>
  <c r="W97" i="16"/>
  <c r="X96" i="16"/>
  <c r="Y96" i="16" s="1"/>
  <c r="AC96" i="16"/>
  <c r="AB97" i="16"/>
  <c r="AD96" i="16"/>
  <c r="AV98" i="16"/>
  <c r="AW97" i="16"/>
  <c r="AX97" i="16" s="1"/>
  <c r="T66" i="26"/>
  <c r="U67" i="26" s="1"/>
  <c r="Y65" i="26"/>
  <c r="X65" i="26"/>
  <c r="W65" i="26"/>
  <c r="V65" i="26"/>
  <c r="L56" i="26"/>
  <c r="J56" i="26"/>
  <c r="I56" i="26"/>
  <c r="H57" i="26"/>
  <c r="G57" i="26" s="1"/>
  <c r="T98" i="16"/>
  <c r="AY97" i="16"/>
  <c r="AZ97" i="16" s="1"/>
  <c r="BA97" i="16" s="1"/>
  <c r="AK97" i="16"/>
  <c r="AP97" i="16"/>
  <c r="AF97" i="16"/>
  <c r="AA97" i="16"/>
  <c r="AU97" i="16"/>
  <c r="V97" i="16"/>
  <c r="W66" i="6"/>
  <c r="J43" i="6"/>
  <c r="K43" i="6"/>
  <c r="I43" i="6"/>
  <c r="V66" i="6"/>
  <c r="X66" i="6"/>
  <c r="U67" i="6"/>
  <c r="T67" i="6" s="1"/>
  <c r="Y67" i="6" s="1"/>
  <c r="H44" i="6"/>
  <c r="W52" i="35" l="1"/>
  <c r="Y52" i="35"/>
  <c r="X52" i="35"/>
  <c r="V52" i="35"/>
  <c r="G52" i="35"/>
  <c r="H53" i="35" s="1"/>
  <c r="G55" i="34"/>
  <c r="H56" i="34" s="1"/>
  <c r="T52" i="34"/>
  <c r="T53" i="31"/>
  <c r="G56" i="31"/>
  <c r="BB98" i="16"/>
  <c r="BC97" i="16"/>
  <c r="BD97" i="16"/>
  <c r="AQ98" i="16"/>
  <c r="AR97" i="16"/>
  <c r="AS97" i="16" s="1"/>
  <c r="AM97" i="16"/>
  <c r="AN97" i="16" s="1"/>
  <c r="AL98" i="16"/>
  <c r="X97" i="16"/>
  <c r="Y97" i="16" s="1"/>
  <c r="W98" i="16"/>
  <c r="AB98" i="16"/>
  <c r="AC97" i="16"/>
  <c r="AD97" i="16" s="1"/>
  <c r="AH97" i="16"/>
  <c r="AI97" i="16" s="1"/>
  <c r="AG98" i="16"/>
  <c r="AW98" i="16"/>
  <c r="AX98" i="16" s="1"/>
  <c r="AV99" i="16"/>
  <c r="T67" i="26"/>
  <c r="U68" i="26" s="1"/>
  <c r="Y66" i="26"/>
  <c r="W66" i="26"/>
  <c r="X66" i="26"/>
  <c r="V66" i="26"/>
  <c r="K57" i="26"/>
  <c r="I57" i="26"/>
  <c r="L57" i="26"/>
  <c r="J57" i="26"/>
  <c r="T99" i="16"/>
  <c r="AY98" i="16"/>
  <c r="AZ98" i="16" s="1"/>
  <c r="BA98" i="16" s="1"/>
  <c r="AP98" i="16"/>
  <c r="AA98" i="16"/>
  <c r="AF98" i="16"/>
  <c r="AK98" i="16"/>
  <c r="AU98" i="16"/>
  <c r="V98" i="16"/>
  <c r="W67" i="6"/>
  <c r="G44" i="6"/>
  <c r="L44" i="6" s="1"/>
  <c r="X67" i="6"/>
  <c r="V67" i="6"/>
  <c r="U68" i="6"/>
  <c r="T68" i="6" s="1"/>
  <c r="Y68" i="6" s="1"/>
  <c r="L52" i="35" l="1"/>
  <c r="K52" i="35"/>
  <c r="J52" i="35"/>
  <c r="I52" i="35"/>
  <c r="T53" i="35"/>
  <c r="U54" i="35" s="1"/>
  <c r="G56" i="34"/>
  <c r="Y52" i="34"/>
  <c r="W52" i="34"/>
  <c r="X52" i="34"/>
  <c r="V52" i="34"/>
  <c r="U53" i="34"/>
  <c r="J55" i="34"/>
  <c r="L55" i="34"/>
  <c r="K55" i="34"/>
  <c r="I55" i="34"/>
  <c r="L56" i="31"/>
  <c r="K56" i="31"/>
  <c r="I56" i="31"/>
  <c r="J56" i="31"/>
  <c r="H57" i="31"/>
  <c r="V53" i="31"/>
  <c r="W53" i="31"/>
  <c r="X53" i="31"/>
  <c r="Y53" i="31"/>
  <c r="U54" i="31"/>
  <c r="BC98" i="16"/>
  <c r="BB99" i="16"/>
  <c r="BD98" i="16"/>
  <c r="AQ99" i="16"/>
  <c r="AR98" i="16"/>
  <c r="AS98" i="16"/>
  <c r="AM98" i="16"/>
  <c r="AN98" i="16" s="1"/>
  <c r="AL99" i="16"/>
  <c r="AB99" i="16"/>
  <c r="AC98" i="16"/>
  <c r="AD98" i="16" s="1"/>
  <c r="X98" i="16"/>
  <c r="Y98" i="16" s="1"/>
  <c r="W99" i="16"/>
  <c r="AH98" i="16"/>
  <c r="AI98" i="16" s="1"/>
  <c r="AG99" i="16"/>
  <c r="AW99" i="16"/>
  <c r="AX99" i="16" s="1"/>
  <c r="AV100" i="16"/>
  <c r="T68" i="26"/>
  <c r="U69" i="26" s="1"/>
  <c r="W67" i="26"/>
  <c r="X67" i="26"/>
  <c r="V67" i="26"/>
  <c r="Y67" i="26"/>
  <c r="H58" i="26"/>
  <c r="G58" i="26" s="1"/>
  <c r="T100" i="16"/>
  <c r="AK99" i="16"/>
  <c r="AY99" i="16"/>
  <c r="AZ99" i="16" s="1"/>
  <c r="BA99" i="16" s="1"/>
  <c r="AP99" i="16"/>
  <c r="AA99" i="16"/>
  <c r="AF99" i="16"/>
  <c r="AU99" i="16"/>
  <c r="V99" i="16"/>
  <c r="J44" i="6"/>
  <c r="W68" i="6"/>
  <c r="X68" i="6"/>
  <c r="U69" i="6"/>
  <c r="T69" i="6" s="1"/>
  <c r="Y69" i="6" s="1"/>
  <c r="V68" i="6"/>
  <c r="K44" i="6"/>
  <c r="I44" i="6"/>
  <c r="H45" i="6"/>
  <c r="W53" i="35" l="1"/>
  <c r="Y53" i="35"/>
  <c r="X53" i="35"/>
  <c r="V53" i="35"/>
  <c r="G53" i="35"/>
  <c r="H54" i="35" s="1"/>
  <c r="T53" i="34"/>
  <c r="J56" i="34"/>
  <c r="L56" i="34"/>
  <c r="K56" i="34"/>
  <c r="I56" i="34"/>
  <c r="H57" i="34"/>
  <c r="T54" i="31"/>
  <c r="G57" i="31"/>
  <c r="H58" i="31" s="1"/>
  <c r="BB100" i="16"/>
  <c r="BC99" i="16"/>
  <c r="BD99" i="16" s="1"/>
  <c r="AQ100" i="16"/>
  <c r="AR99" i="16"/>
  <c r="AS99" i="16"/>
  <c r="AM99" i="16"/>
  <c r="AL100" i="16"/>
  <c r="AN99" i="16"/>
  <c r="X99" i="16"/>
  <c r="W100" i="16"/>
  <c r="AC99" i="16"/>
  <c r="AD99" i="16" s="1"/>
  <c r="AB100" i="16"/>
  <c r="AH99" i="16"/>
  <c r="AI99" i="16" s="1"/>
  <c r="AG100" i="16"/>
  <c r="Y99" i="16"/>
  <c r="AW100" i="16"/>
  <c r="AX100" i="16" s="1"/>
  <c r="AV101" i="16"/>
  <c r="T69" i="26"/>
  <c r="U70" i="26" s="1"/>
  <c r="X68" i="26"/>
  <c r="W68" i="26"/>
  <c r="V68" i="26"/>
  <c r="Y68" i="26"/>
  <c r="K58" i="26"/>
  <c r="I58" i="26"/>
  <c r="J58" i="26"/>
  <c r="L58" i="26"/>
  <c r="T101" i="16"/>
  <c r="AY100" i="16"/>
  <c r="AZ100" i="16" s="1"/>
  <c r="BA100" i="16" s="1"/>
  <c r="AK100" i="16"/>
  <c r="AP100" i="16"/>
  <c r="AA100" i="16"/>
  <c r="AF100" i="16"/>
  <c r="V100" i="16"/>
  <c r="AU100" i="16"/>
  <c r="W69" i="6"/>
  <c r="X69" i="6"/>
  <c r="V69" i="6"/>
  <c r="U70" i="6"/>
  <c r="T70" i="6" s="1"/>
  <c r="Y70" i="6" s="1"/>
  <c r="G45" i="6"/>
  <c r="L45" i="6" s="1"/>
  <c r="L53" i="35" l="1"/>
  <c r="K53" i="35"/>
  <c r="I53" i="35"/>
  <c r="J53" i="35"/>
  <c r="T54" i="35"/>
  <c r="U55" i="35" s="1"/>
  <c r="G57" i="34"/>
  <c r="Y53" i="34"/>
  <c r="W53" i="34"/>
  <c r="X53" i="34"/>
  <c r="V53" i="34"/>
  <c r="U54" i="34"/>
  <c r="L57" i="31"/>
  <c r="K57" i="31"/>
  <c r="I57" i="31"/>
  <c r="J57" i="31"/>
  <c r="G58" i="31"/>
  <c r="V54" i="31"/>
  <c r="W54" i="31"/>
  <c r="Y54" i="31"/>
  <c r="X54" i="31"/>
  <c r="U55" i="31"/>
  <c r="BB101" i="16"/>
  <c r="BC100" i="16"/>
  <c r="BD100" i="16" s="1"/>
  <c r="AQ101" i="16"/>
  <c r="AR100" i="16"/>
  <c r="AS100" i="16" s="1"/>
  <c r="AM100" i="16"/>
  <c r="AL101" i="16"/>
  <c r="AN100" i="16"/>
  <c r="X100" i="16"/>
  <c r="Y100" i="16" s="1"/>
  <c r="W101" i="16"/>
  <c r="AH100" i="16"/>
  <c r="AI100" i="16" s="1"/>
  <c r="AG101" i="16"/>
  <c r="AC100" i="16"/>
  <c r="AD100" i="16" s="1"/>
  <c r="AB101" i="16"/>
  <c r="AW101" i="16"/>
  <c r="AX101" i="16" s="1"/>
  <c r="AV102" i="16"/>
  <c r="T70" i="26"/>
  <c r="U71" i="26" s="1"/>
  <c r="Y69" i="26"/>
  <c r="X69" i="26"/>
  <c r="W69" i="26"/>
  <c r="V69" i="26"/>
  <c r="H59" i="26"/>
  <c r="G59" i="26" s="1"/>
  <c r="T102" i="16"/>
  <c r="AP101" i="16"/>
  <c r="AY101" i="16"/>
  <c r="AZ101" i="16" s="1"/>
  <c r="BA101" i="16" s="1"/>
  <c r="AK101" i="16"/>
  <c r="AF101" i="16"/>
  <c r="AA101" i="16"/>
  <c r="V101" i="16"/>
  <c r="AU101" i="16"/>
  <c r="W70" i="6"/>
  <c r="J45" i="6"/>
  <c r="H46" i="6"/>
  <c r="G46" i="6" s="1"/>
  <c r="L46" i="6" s="1"/>
  <c r="X70" i="6"/>
  <c r="V70" i="6"/>
  <c r="U71" i="6"/>
  <c r="T71" i="6" s="1"/>
  <c r="Y71" i="6" s="1"/>
  <c r="K45" i="6"/>
  <c r="I45" i="6"/>
  <c r="W54" i="35" l="1"/>
  <c r="X54" i="35"/>
  <c r="V54" i="35"/>
  <c r="Y54" i="35"/>
  <c r="G54" i="35"/>
  <c r="H55" i="35" s="1"/>
  <c r="T54" i="34"/>
  <c r="J57" i="34"/>
  <c r="I57" i="34"/>
  <c r="K57" i="34"/>
  <c r="L57" i="34"/>
  <c r="H58" i="34"/>
  <c r="L58" i="31"/>
  <c r="K58" i="31"/>
  <c r="I58" i="31"/>
  <c r="J58" i="31"/>
  <c r="H59" i="31"/>
  <c r="T55" i="31"/>
  <c r="BB102" i="16"/>
  <c r="BC101" i="16"/>
  <c r="BD101" i="16"/>
  <c r="AR101" i="16"/>
  <c r="AQ102" i="16"/>
  <c r="AS101" i="16"/>
  <c r="AM101" i="16"/>
  <c r="AN101" i="16" s="1"/>
  <c r="AL102" i="16"/>
  <c r="AH101" i="16"/>
  <c r="AI101" i="16" s="1"/>
  <c r="AG102" i="16"/>
  <c r="W102" i="16"/>
  <c r="X101" i="16"/>
  <c r="Y101" i="16" s="1"/>
  <c r="AC101" i="16"/>
  <c r="AD101" i="16" s="1"/>
  <c r="AB102" i="16"/>
  <c r="AW102" i="16"/>
  <c r="AX102" i="16" s="1"/>
  <c r="AV103" i="16"/>
  <c r="T71" i="26"/>
  <c r="U72" i="26" s="1"/>
  <c r="W70" i="26"/>
  <c r="V70" i="26"/>
  <c r="X70" i="26"/>
  <c r="Y70" i="26"/>
  <c r="H60" i="26"/>
  <c r="G60" i="26" s="1"/>
  <c r="K59" i="26"/>
  <c r="I59" i="26"/>
  <c r="J59" i="26"/>
  <c r="L59" i="26"/>
  <c r="T103" i="16"/>
  <c r="AY102" i="16"/>
  <c r="AZ102" i="16" s="1"/>
  <c r="BA102" i="16" s="1"/>
  <c r="AP102" i="16"/>
  <c r="AA102" i="16"/>
  <c r="AF102" i="16"/>
  <c r="AK102" i="16"/>
  <c r="V102" i="16"/>
  <c r="AU102" i="16"/>
  <c r="J46" i="6"/>
  <c r="W71" i="6"/>
  <c r="U72" i="6"/>
  <c r="T72" i="6" s="1"/>
  <c r="Y72" i="6" s="1"/>
  <c r="X71" i="6"/>
  <c r="V71" i="6"/>
  <c r="I46" i="6"/>
  <c r="K46" i="6"/>
  <c r="H47" i="6"/>
  <c r="L54" i="35" l="1"/>
  <c r="K54" i="35"/>
  <c r="I54" i="35"/>
  <c r="J54" i="35"/>
  <c r="T55" i="35"/>
  <c r="U56" i="35" s="1"/>
  <c r="G58" i="34"/>
  <c r="Y54" i="34"/>
  <c r="W54" i="34"/>
  <c r="X54" i="34"/>
  <c r="V54" i="34"/>
  <c r="U55" i="34"/>
  <c r="V55" i="31"/>
  <c r="W55" i="31"/>
  <c r="X55" i="31"/>
  <c r="Y55" i="31"/>
  <c r="U56" i="31"/>
  <c r="G59" i="31"/>
  <c r="BB103" i="16"/>
  <c r="BC102" i="16"/>
  <c r="BD102" i="16"/>
  <c r="AQ103" i="16"/>
  <c r="AR102" i="16"/>
  <c r="AS102" i="16"/>
  <c r="AM102" i="16"/>
  <c r="AN102" i="16" s="1"/>
  <c r="AL103" i="16"/>
  <c r="AH102" i="16"/>
  <c r="AI102" i="16" s="1"/>
  <c r="AG103" i="16"/>
  <c r="X102" i="16"/>
  <c r="Y102" i="16" s="1"/>
  <c r="W103" i="16"/>
  <c r="AC102" i="16"/>
  <c r="AB103" i="16"/>
  <c r="AD102" i="16"/>
  <c r="AW103" i="16"/>
  <c r="AX103" i="16" s="1"/>
  <c r="AV104" i="16"/>
  <c r="T72" i="26"/>
  <c r="U73" i="26" s="1"/>
  <c r="Y71" i="26"/>
  <c r="W71" i="26"/>
  <c r="X71" i="26"/>
  <c r="V71" i="26"/>
  <c r="H61" i="26"/>
  <c r="G61" i="26" s="1"/>
  <c r="T104" i="16"/>
  <c r="AY103" i="16"/>
  <c r="AZ103" i="16" s="1"/>
  <c r="BA103" i="16" s="1"/>
  <c r="AP103" i="16"/>
  <c r="AF103" i="16"/>
  <c r="AA103" i="16"/>
  <c r="AK103" i="16"/>
  <c r="V103" i="16"/>
  <c r="AU103" i="16"/>
  <c r="W72" i="6"/>
  <c r="X72" i="6"/>
  <c r="V72" i="6"/>
  <c r="U73" i="6"/>
  <c r="T73" i="6" s="1"/>
  <c r="Y73" i="6" s="1"/>
  <c r="G47" i="6"/>
  <c r="L47" i="6" s="1"/>
  <c r="W55" i="35" l="1"/>
  <c r="Y55" i="35"/>
  <c r="X55" i="35"/>
  <c r="V55" i="35"/>
  <c r="G55" i="35"/>
  <c r="H56" i="35" s="1"/>
  <c r="T55" i="34"/>
  <c r="J58" i="34"/>
  <c r="L58" i="34"/>
  <c r="K58" i="34"/>
  <c r="I58" i="34"/>
  <c r="H59" i="34"/>
  <c r="L59" i="31"/>
  <c r="K59" i="31"/>
  <c r="I59" i="31"/>
  <c r="J59" i="31"/>
  <c r="H60" i="31"/>
  <c r="T56" i="31"/>
  <c r="BB104" i="16"/>
  <c r="BC103" i="16"/>
  <c r="BD103" i="16" s="1"/>
  <c r="AQ104" i="16"/>
  <c r="AR103" i="16"/>
  <c r="AS103" i="16"/>
  <c r="AL104" i="16"/>
  <c r="AM103" i="16"/>
  <c r="AN103" i="16" s="1"/>
  <c r="W104" i="16"/>
  <c r="X103" i="16"/>
  <c r="Y103" i="16" s="1"/>
  <c r="AC103" i="16"/>
  <c r="AD103" i="16" s="1"/>
  <c r="AB104" i="16"/>
  <c r="AG104" i="16"/>
  <c r="AH103" i="16"/>
  <c r="AI103" i="16" s="1"/>
  <c r="AW104" i="16"/>
  <c r="AX104" i="16" s="1"/>
  <c r="AV105" i="16"/>
  <c r="T73" i="26"/>
  <c r="U74" i="26" s="1"/>
  <c r="X72" i="26"/>
  <c r="W72" i="26"/>
  <c r="Y72" i="26"/>
  <c r="V72" i="26"/>
  <c r="H62" i="26"/>
  <c r="G62" i="26" s="1"/>
  <c r="K60" i="26"/>
  <c r="I60" i="26"/>
  <c r="L60" i="26"/>
  <c r="J60" i="26"/>
  <c r="T105" i="16"/>
  <c r="AY104" i="16"/>
  <c r="AZ104" i="16" s="1"/>
  <c r="BA104" i="16" s="1"/>
  <c r="AP104" i="16"/>
  <c r="AK104" i="16"/>
  <c r="AA104" i="16"/>
  <c r="AF104" i="16"/>
  <c r="V104" i="16"/>
  <c r="AU104" i="16"/>
  <c r="W73" i="6"/>
  <c r="J47" i="6"/>
  <c r="H48" i="6"/>
  <c r="G48" i="6" s="1"/>
  <c r="L48" i="6" s="1"/>
  <c r="I47" i="6"/>
  <c r="K47" i="6"/>
  <c r="U74" i="6"/>
  <c r="T74" i="6" s="1"/>
  <c r="Y74" i="6" s="1"/>
  <c r="X73" i="6"/>
  <c r="V73" i="6"/>
  <c r="L55" i="35" l="1"/>
  <c r="K55" i="35"/>
  <c r="I55" i="35"/>
  <c r="J55" i="35"/>
  <c r="T56" i="35"/>
  <c r="U57" i="35" s="1"/>
  <c r="G59" i="34"/>
  <c r="H60" i="34" s="1"/>
  <c r="Y55" i="34"/>
  <c r="W55" i="34"/>
  <c r="V55" i="34"/>
  <c r="X55" i="34"/>
  <c r="U56" i="34"/>
  <c r="V56" i="31"/>
  <c r="W56" i="31"/>
  <c r="X56" i="31"/>
  <c r="Y56" i="31"/>
  <c r="U57" i="31"/>
  <c r="G60" i="31"/>
  <c r="BB105" i="16"/>
  <c r="BC104" i="16"/>
  <c r="BD104" i="16"/>
  <c r="AQ105" i="16"/>
  <c r="AR104" i="16"/>
  <c r="AS104" i="16"/>
  <c r="AL105" i="16"/>
  <c r="AM104" i="16"/>
  <c r="AN104" i="16" s="1"/>
  <c r="W105" i="16"/>
  <c r="X104" i="16"/>
  <c r="Y104" i="16" s="1"/>
  <c r="AC104" i="16"/>
  <c r="AD104" i="16" s="1"/>
  <c r="AB105" i="16"/>
  <c r="AH104" i="16"/>
  <c r="AI104" i="16" s="1"/>
  <c r="AG105" i="16"/>
  <c r="AW105" i="16"/>
  <c r="AX105" i="16" s="1"/>
  <c r="AV106" i="16"/>
  <c r="T74" i="26"/>
  <c r="U75" i="26" s="1"/>
  <c r="V73" i="26"/>
  <c r="W73" i="26"/>
  <c r="Y73" i="26"/>
  <c r="X73" i="26"/>
  <c r="K61" i="26"/>
  <c r="I61" i="26"/>
  <c r="J61" i="26"/>
  <c r="L61" i="26"/>
  <c r="H63" i="26"/>
  <c r="G63" i="26" s="1"/>
  <c r="T106" i="16"/>
  <c r="AY105" i="16"/>
  <c r="AZ105" i="16" s="1"/>
  <c r="BA105" i="16" s="1"/>
  <c r="AP105" i="16"/>
  <c r="AF105" i="16"/>
  <c r="AK105" i="16"/>
  <c r="AA105" i="16"/>
  <c r="V105" i="16"/>
  <c r="AU105" i="16"/>
  <c r="W74" i="6"/>
  <c r="J48" i="6"/>
  <c r="V74" i="6"/>
  <c r="U75" i="6"/>
  <c r="T75" i="6" s="1"/>
  <c r="Y75" i="6" s="1"/>
  <c r="X74" i="6"/>
  <c r="K48" i="6"/>
  <c r="I48" i="6"/>
  <c r="H49" i="6"/>
  <c r="G56" i="35" l="1"/>
  <c r="H57" i="35" s="1"/>
  <c r="W56" i="35"/>
  <c r="Y56" i="35"/>
  <c r="V56" i="35"/>
  <c r="X56" i="35"/>
  <c r="T57" i="35"/>
  <c r="U58" i="35" s="1"/>
  <c r="T56" i="34"/>
  <c r="G60" i="34"/>
  <c r="H61" i="34" s="1"/>
  <c r="J59" i="34"/>
  <c r="L59" i="34"/>
  <c r="K59" i="34"/>
  <c r="I59" i="34"/>
  <c r="L60" i="31"/>
  <c r="K60" i="31"/>
  <c r="I60" i="31"/>
  <c r="J60" i="31"/>
  <c r="H61" i="31"/>
  <c r="T57" i="31"/>
  <c r="BB106" i="16"/>
  <c r="BC105" i="16"/>
  <c r="BD105" i="16"/>
  <c r="AQ106" i="16"/>
  <c r="AR105" i="16"/>
  <c r="AS105" i="16"/>
  <c r="AM105" i="16"/>
  <c r="AL106" i="16"/>
  <c r="AN105" i="16"/>
  <c r="X105" i="16"/>
  <c r="Y105" i="16" s="1"/>
  <c r="W106" i="16"/>
  <c r="AB106" i="16"/>
  <c r="AC105" i="16"/>
  <c r="AD105" i="16" s="1"/>
  <c r="AH105" i="16"/>
  <c r="AI105" i="16" s="1"/>
  <c r="AG106" i="16"/>
  <c r="AV107" i="16"/>
  <c r="AW106" i="16"/>
  <c r="AX106" i="16" s="1"/>
  <c r="T75" i="26"/>
  <c r="U76" i="26" s="1"/>
  <c r="X74" i="26"/>
  <c r="Y74" i="26"/>
  <c r="V74" i="26"/>
  <c r="W74" i="26"/>
  <c r="H64" i="26"/>
  <c r="G64" i="26" s="1"/>
  <c r="K62" i="26"/>
  <c r="I62" i="26"/>
  <c r="L62" i="26"/>
  <c r="J62" i="26"/>
  <c r="T107" i="16"/>
  <c r="AY106" i="16"/>
  <c r="AZ106" i="16" s="1"/>
  <c r="BA106" i="16" s="1"/>
  <c r="AP106" i="16"/>
  <c r="AK106" i="16"/>
  <c r="AF106" i="16"/>
  <c r="AA106" i="16"/>
  <c r="AU106" i="16"/>
  <c r="V106" i="16"/>
  <c r="W75" i="6"/>
  <c r="G49" i="6"/>
  <c r="L49" i="6" s="1"/>
  <c r="X75" i="6"/>
  <c r="V75" i="6"/>
  <c r="U76" i="6"/>
  <c r="T76" i="6" s="1"/>
  <c r="Y76" i="6" s="1"/>
  <c r="W57" i="35" l="1"/>
  <c r="Y57" i="35"/>
  <c r="X57" i="35"/>
  <c r="V57" i="35"/>
  <c r="L56" i="35"/>
  <c r="K56" i="35"/>
  <c r="I56" i="35"/>
  <c r="J56" i="35"/>
  <c r="J60" i="34"/>
  <c r="L60" i="34"/>
  <c r="K60" i="34"/>
  <c r="I60" i="34"/>
  <c r="Y56" i="34"/>
  <c r="W56" i="34"/>
  <c r="X56" i="34"/>
  <c r="V56" i="34"/>
  <c r="U57" i="34"/>
  <c r="V57" i="31"/>
  <c r="W57" i="31"/>
  <c r="Y57" i="31"/>
  <c r="X57" i="31"/>
  <c r="U58" i="31"/>
  <c r="G61" i="31"/>
  <c r="BB107" i="16"/>
  <c r="BC106" i="16"/>
  <c r="BD106" i="16"/>
  <c r="AQ107" i="16"/>
  <c r="AR106" i="16"/>
  <c r="AS106" i="16"/>
  <c r="AM106" i="16"/>
  <c r="AN106" i="16" s="1"/>
  <c r="AL107" i="16"/>
  <c r="X106" i="16"/>
  <c r="Y106" i="16" s="1"/>
  <c r="W107" i="16"/>
  <c r="AB107" i="16"/>
  <c r="AC106" i="16"/>
  <c r="AD106" i="16" s="1"/>
  <c r="AG107" i="16"/>
  <c r="AH106" i="16"/>
  <c r="AI106" i="16" s="1"/>
  <c r="AW107" i="16"/>
  <c r="AX107" i="16" s="1"/>
  <c r="AV108" i="16"/>
  <c r="T76" i="26"/>
  <c r="U77" i="26" s="1"/>
  <c r="X75" i="26"/>
  <c r="Y75" i="26"/>
  <c r="W75" i="26"/>
  <c r="V75" i="26"/>
  <c r="K63" i="26"/>
  <c r="I63" i="26"/>
  <c r="L63" i="26"/>
  <c r="J63" i="26"/>
  <c r="T108" i="16"/>
  <c r="AY107" i="16"/>
  <c r="AZ107" i="16" s="1"/>
  <c r="BA107" i="16" s="1"/>
  <c r="AF107" i="16"/>
  <c r="AP107" i="16"/>
  <c r="AA107" i="16"/>
  <c r="AK107" i="16"/>
  <c r="AU107" i="16"/>
  <c r="V107" i="16"/>
  <c r="W76" i="6"/>
  <c r="J49" i="6"/>
  <c r="X76" i="6"/>
  <c r="V76" i="6"/>
  <c r="U77" i="6"/>
  <c r="T77" i="6" s="1"/>
  <c r="Y77" i="6" s="1"/>
  <c r="K49" i="6"/>
  <c r="I49" i="6"/>
  <c r="H50" i="6"/>
  <c r="G57" i="35" l="1"/>
  <c r="H58" i="35" s="1"/>
  <c r="T58" i="35"/>
  <c r="U59" i="35" s="1"/>
  <c r="T57" i="34"/>
  <c r="U58" i="34" s="1"/>
  <c r="G61" i="34"/>
  <c r="H62" i="34" s="1"/>
  <c r="L61" i="31"/>
  <c r="K61" i="31"/>
  <c r="I61" i="31"/>
  <c r="J61" i="31"/>
  <c r="H62" i="31"/>
  <c r="T58" i="31"/>
  <c r="BB108" i="16"/>
  <c r="BC107" i="16"/>
  <c r="BD107" i="16" s="1"/>
  <c r="AR107" i="16"/>
  <c r="AS107" i="16" s="1"/>
  <c r="AQ108" i="16"/>
  <c r="AM107" i="16"/>
  <c r="AL108" i="16"/>
  <c r="AN107" i="16"/>
  <c r="X107" i="16"/>
  <c r="Y107" i="16" s="1"/>
  <c r="W108" i="16"/>
  <c r="AC107" i="16"/>
  <c r="AD107" i="16" s="1"/>
  <c r="AB108" i="16"/>
  <c r="AG108" i="16"/>
  <c r="AH107" i="16"/>
  <c r="AI107" i="16" s="1"/>
  <c r="AW108" i="16"/>
  <c r="AX108" i="16" s="1"/>
  <c r="AV109" i="16"/>
  <c r="T77" i="26"/>
  <c r="U78" i="26" s="1"/>
  <c r="X76" i="26"/>
  <c r="W76" i="26"/>
  <c r="Y76" i="26"/>
  <c r="V76" i="26"/>
  <c r="H65" i="26"/>
  <c r="G65" i="26" s="1"/>
  <c r="T109" i="16"/>
  <c r="AY108" i="16"/>
  <c r="AZ108" i="16" s="1"/>
  <c r="BA108" i="16" s="1"/>
  <c r="AF108" i="16"/>
  <c r="AK108" i="16"/>
  <c r="AP108" i="16"/>
  <c r="AA108" i="16"/>
  <c r="V108" i="16"/>
  <c r="AU108" i="16"/>
  <c r="W77" i="6"/>
  <c r="G50" i="6"/>
  <c r="L50" i="6" s="1"/>
  <c r="X77" i="6"/>
  <c r="U78" i="6"/>
  <c r="T78" i="6" s="1"/>
  <c r="Y78" i="6" s="1"/>
  <c r="V77" i="6"/>
  <c r="W58" i="35" l="1"/>
  <c r="V58" i="35"/>
  <c r="Y58" i="35"/>
  <c r="X58" i="35"/>
  <c r="L57" i="35"/>
  <c r="K57" i="35"/>
  <c r="I57" i="35"/>
  <c r="J57" i="35"/>
  <c r="J61" i="34"/>
  <c r="I61" i="34"/>
  <c r="K61" i="34"/>
  <c r="L61" i="34"/>
  <c r="Y57" i="34"/>
  <c r="W57" i="34"/>
  <c r="X57" i="34"/>
  <c r="V57" i="34"/>
  <c r="T58" i="34"/>
  <c r="V58" i="31"/>
  <c r="W58" i="31"/>
  <c r="Y58" i="31"/>
  <c r="X58" i="31"/>
  <c r="U59" i="31"/>
  <c r="G62" i="31"/>
  <c r="BB109" i="16"/>
  <c r="BC108" i="16"/>
  <c r="BD108" i="16" s="1"/>
  <c r="AQ109" i="16"/>
  <c r="AR108" i="16"/>
  <c r="AS108" i="16" s="1"/>
  <c r="AM108" i="16"/>
  <c r="AL109" i="16"/>
  <c r="AN108" i="16"/>
  <c r="AG109" i="16"/>
  <c r="AH108" i="16"/>
  <c r="AI108" i="16" s="1"/>
  <c r="AC108" i="16"/>
  <c r="AD108" i="16" s="1"/>
  <c r="AB109" i="16"/>
  <c r="W109" i="16"/>
  <c r="X108" i="16"/>
  <c r="Y108" i="16" s="1"/>
  <c r="AW109" i="16"/>
  <c r="AX109" i="16" s="1"/>
  <c r="AV110" i="16"/>
  <c r="T78" i="26"/>
  <c r="U79" i="26" s="1"/>
  <c r="Y77" i="26"/>
  <c r="X77" i="26"/>
  <c r="V77" i="26"/>
  <c r="W77" i="26"/>
  <c r="K64" i="26"/>
  <c r="I64" i="26"/>
  <c r="L64" i="26"/>
  <c r="J64" i="26"/>
  <c r="T110" i="16"/>
  <c r="AY109" i="16"/>
  <c r="AZ109" i="16" s="1"/>
  <c r="BA109" i="16" s="1"/>
  <c r="AK109" i="16"/>
  <c r="AP109" i="16"/>
  <c r="AF109" i="16"/>
  <c r="AA109" i="16"/>
  <c r="AU109" i="16"/>
  <c r="V109" i="16"/>
  <c r="J50" i="6"/>
  <c r="W78" i="6"/>
  <c r="K50" i="6"/>
  <c r="I50" i="6"/>
  <c r="X78" i="6"/>
  <c r="V78" i="6"/>
  <c r="U79" i="6"/>
  <c r="T79" i="6" s="1"/>
  <c r="Y79" i="6" s="1"/>
  <c r="H51" i="6"/>
  <c r="T59" i="35" l="1"/>
  <c r="G58" i="35"/>
  <c r="H59" i="35" s="1"/>
  <c r="Y58" i="34"/>
  <c r="W58" i="34"/>
  <c r="X58" i="34"/>
  <c r="V58" i="34"/>
  <c r="G62" i="34"/>
  <c r="H63" i="34" s="1"/>
  <c r="U59" i="34"/>
  <c r="L62" i="31"/>
  <c r="K62" i="31"/>
  <c r="I62" i="31"/>
  <c r="J62" i="31"/>
  <c r="H63" i="31"/>
  <c r="T59" i="31"/>
  <c r="BB110" i="16"/>
  <c r="BC109" i="16"/>
  <c r="BD109" i="16"/>
  <c r="AR109" i="16"/>
  <c r="AQ110" i="16"/>
  <c r="AS109" i="16"/>
  <c r="AM109" i="16"/>
  <c r="AN109" i="16" s="1"/>
  <c r="AL110" i="16"/>
  <c r="AH109" i="16"/>
  <c r="AI109" i="16" s="1"/>
  <c r="AG110" i="16"/>
  <c r="X109" i="16"/>
  <c r="Y109" i="16" s="1"/>
  <c r="W110" i="16"/>
  <c r="AC109" i="16"/>
  <c r="AD109" i="16" s="1"/>
  <c r="AB110" i="16"/>
  <c r="AV111" i="16"/>
  <c r="AW110" i="16"/>
  <c r="AX110" i="16" s="1"/>
  <c r="T79" i="26"/>
  <c r="U80" i="26" s="1"/>
  <c r="V78" i="26"/>
  <c r="W78" i="26"/>
  <c r="X78" i="26"/>
  <c r="Y78" i="26"/>
  <c r="H66" i="26"/>
  <c r="G66" i="26" s="1"/>
  <c r="T111" i="16"/>
  <c r="AY110" i="16"/>
  <c r="AZ110" i="16" s="1"/>
  <c r="BA110" i="16" s="1"/>
  <c r="AP110" i="16"/>
  <c r="AK110" i="16"/>
  <c r="AA110" i="16"/>
  <c r="AF110" i="16"/>
  <c r="AU110" i="16"/>
  <c r="V110" i="16"/>
  <c r="W79" i="6"/>
  <c r="G51" i="6"/>
  <c r="L51" i="6" s="1"/>
  <c r="U80" i="6"/>
  <c r="T80" i="6" s="1"/>
  <c r="Y80" i="6" s="1"/>
  <c r="X79" i="6"/>
  <c r="V79" i="6"/>
  <c r="L58" i="35" l="1"/>
  <c r="K58" i="35"/>
  <c r="I58" i="35"/>
  <c r="J58" i="35"/>
  <c r="W59" i="35"/>
  <c r="X59" i="35"/>
  <c r="Y59" i="35"/>
  <c r="V59" i="35"/>
  <c r="U60" i="35"/>
  <c r="T59" i="34"/>
  <c r="U60" i="34" s="1"/>
  <c r="J62" i="34"/>
  <c r="L62" i="34"/>
  <c r="K62" i="34"/>
  <c r="I62" i="34"/>
  <c r="V59" i="31"/>
  <c r="W59" i="31"/>
  <c r="Y59" i="31"/>
  <c r="X59" i="31"/>
  <c r="U60" i="31"/>
  <c r="G63" i="31"/>
  <c r="BB111" i="16"/>
  <c r="BC110" i="16"/>
  <c r="BD110" i="16"/>
  <c r="AR110" i="16"/>
  <c r="AS110" i="16" s="1"/>
  <c r="AQ111" i="16"/>
  <c r="AM110" i="16"/>
  <c r="AL111" i="16"/>
  <c r="AN110" i="16"/>
  <c r="AG111" i="16"/>
  <c r="AH110" i="16"/>
  <c r="AI110" i="16" s="1"/>
  <c r="X110" i="16"/>
  <c r="Y110" i="16" s="1"/>
  <c r="W111" i="16"/>
  <c r="AB111" i="16"/>
  <c r="AC110" i="16"/>
  <c r="AD110" i="16" s="1"/>
  <c r="AV112" i="16"/>
  <c r="AW111" i="16"/>
  <c r="AX111" i="16" s="1"/>
  <c r="T80" i="26"/>
  <c r="U81" i="26" s="1"/>
  <c r="X79" i="26"/>
  <c r="V79" i="26"/>
  <c r="W79" i="26"/>
  <c r="Y79" i="26"/>
  <c r="K65" i="26"/>
  <c r="I65" i="26"/>
  <c r="L65" i="26"/>
  <c r="J65" i="26"/>
  <c r="T112" i="16"/>
  <c r="AY111" i="16"/>
  <c r="AZ111" i="16" s="1"/>
  <c r="BA111" i="16" s="1"/>
  <c r="AK111" i="16"/>
  <c r="AP111" i="16"/>
  <c r="AF111" i="16"/>
  <c r="AA111" i="16"/>
  <c r="AU111" i="16"/>
  <c r="V111" i="16"/>
  <c r="W80" i="6"/>
  <c r="J51" i="6"/>
  <c r="V80" i="6"/>
  <c r="U81" i="6"/>
  <c r="T81" i="6" s="1"/>
  <c r="Y81" i="6" s="1"/>
  <c r="X80" i="6"/>
  <c r="K51" i="6"/>
  <c r="I51" i="6"/>
  <c r="H52" i="6"/>
  <c r="T60" i="35" l="1"/>
  <c r="G59" i="35"/>
  <c r="G63" i="34"/>
  <c r="H64" i="34" s="1"/>
  <c r="Y59" i="34"/>
  <c r="W59" i="34"/>
  <c r="V59" i="34"/>
  <c r="X59" i="34"/>
  <c r="L63" i="31"/>
  <c r="K63" i="31"/>
  <c r="I63" i="31"/>
  <c r="J63" i="31"/>
  <c r="H64" i="31"/>
  <c r="T60" i="31"/>
  <c r="BB112" i="16"/>
  <c r="BC111" i="16"/>
  <c r="BD111" i="16" s="1"/>
  <c r="AQ112" i="16"/>
  <c r="AR111" i="16"/>
  <c r="AS111" i="16"/>
  <c r="AM111" i="16"/>
  <c r="AL112" i="16"/>
  <c r="AN111" i="16"/>
  <c r="AG112" i="16"/>
  <c r="AH111" i="16"/>
  <c r="AI111" i="16" s="1"/>
  <c r="X111" i="16"/>
  <c r="Y111" i="16" s="1"/>
  <c r="W112" i="16"/>
  <c r="AC111" i="16"/>
  <c r="AD111" i="16" s="1"/>
  <c r="AB112" i="16"/>
  <c r="AV113" i="16"/>
  <c r="AW112" i="16"/>
  <c r="AX112" i="16" s="1"/>
  <c r="T81" i="26"/>
  <c r="U82" i="26" s="1"/>
  <c r="V80" i="26"/>
  <c r="W80" i="26"/>
  <c r="Y80" i="26"/>
  <c r="X80" i="26"/>
  <c r="H67" i="26"/>
  <c r="G67" i="26" s="1"/>
  <c r="T113" i="16"/>
  <c r="AY112" i="16"/>
  <c r="AZ112" i="16" s="1"/>
  <c r="BA112" i="16" s="1"/>
  <c r="AP112" i="16"/>
  <c r="AK112" i="16"/>
  <c r="AA112" i="16"/>
  <c r="AF112" i="16"/>
  <c r="V112" i="16"/>
  <c r="AU112" i="16"/>
  <c r="W81" i="6"/>
  <c r="G52" i="6"/>
  <c r="L52" i="6" s="1"/>
  <c r="U82" i="6"/>
  <c r="T82" i="6" s="1"/>
  <c r="Y82" i="6" s="1"/>
  <c r="X81" i="6"/>
  <c r="V81" i="6"/>
  <c r="L59" i="35" l="1"/>
  <c r="K59" i="35"/>
  <c r="I59" i="35"/>
  <c r="J59" i="35"/>
  <c r="H60" i="35"/>
  <c r="W60" i="35"/>
  <c r="X60" i="35"/>
  <c r="Y60" i="35"/>
  <c r="V60" i="35"/>
  <c r="U61" i="35"/>
  <c r="T60" i="34"/>
  <c r="U61" i="34" s="1"/>
  <c r="J63" i="34"/>
  <c r="L63" i="34"/>
  <c r="K63" i="34"/>
  <c r="I63" i="34"/>
  <c r="V60" i="31"/>
  <c r="W60" i="31"/>
  <c r="Y60" i="31"/>
  <c r="X60" i="31"/>
  <c r="U61" i="31"/>
  <c r="G64" i="31"/>
  <c r="BB113" i="16"/>
  <c r="BC112" i="16"/>
  <c r="BD112" i="16"/>
  <c r="AQ113" i="16"/>
  <c r="AR112" i="16"/>
  <c r="AS112" i="16"/>
  <c r="AM112" i="16"/>
  <c r="AL113" i="16"/>
  <c r="AN112" i="16"/>
  <c r="X112" i="16"/>
  <c r="Y112" i="16" s="1"/>
  <c r="W113" i="16"/>
  <c r="AH112" i="16"/>
  <c r="AI112" i="16" s="1"/>
  <c r="AG113" i="16"/>
  <c r="AC112" i="16"/>
  <c r="AD112" i="16" s="1"/>
  <c r="AB113" i="16"/>
  <c r="AV114" i="16"/>
  <c r="AW113" i="16"/>
  <c r="AX113" i="16" s="1"/>
  <c r="T82" i="26"/>
  <c r="U83" i="26" s="1"/>
  <c r="V81" i="26"/>
  <c r="X81" i="26"/>
  <c r="W81" i="26"/>
  <c r="Y81" i="26"/>
  <c r="K66" i="26"/>
  <c r="I66" i="26"/>
  <c r="L66" i="26"/>
  <c r="J66" i="26"/>
  <c r="T114" i="16"/>
  <c r="AY113" i="16"/>
  <c r="AZ113" i="16" s="1"/>
  <c r="BA113" i="16" s="1"/>
  <c r="AP113" i="16"/>
  <c r="AK113" i="16"/>
  <c r="AF113" i="16"/>
  <c r="AA113" i="16"/>
  <c r="AU113" i="16"/>
  <c r="V113" i="16"/>
  <c r="W82" i="6"/>
  <c r="J52" i="6"/>
  <c r="V82" i="6"/>
  <c r="U83" i="6"/>
  <c r="T83" i="6" s="1"/>
  <c r="Y83" i="6" s="1"/>
  <c r="X82" i="6"/>
  <c r="K52" i="6"/>
  <c r="I52" i="6"/>
  <c r="H53" i="6"/>
  <c r="T61" i="35" l="1"/>
  <c r="G60" i="35"/>
  <c r="G64" i="34"/>
  <c r="H65" i="34" s="1"/>
  <c r="Y60" i="34"/>
  <c r="W60" i="34"/>
  <c r="X60" i="34"/>
  <c r="V60" i="34"/>
  <c r="L64" i="31"/>
  <c r="K64" i="31"/>
  <c r="I64" i="31"/>
  <c r="J64" i="31"/>
  <c r="H65" i="31"/>
  <c r="T61" i="31"/>
  <c r="BB114" i="16"/>
  <c r="BC113" i="16"/>
  <c r="BD113" i="16" s="1"/>
  <c r="AR113" i="16"/>
  <c r="AQ114" i="16"/>
  <c r="AS113" i="16"/>
  <c r="AM113" i="16"/>
  <c r="AN113" i="16" s="1"/>
  <c r="AL114" i="16"/>
  <c r="AG114" i="16"/>
  <c r="AH113" i="16"/>
  <c r="AI113" i="16" s="1"/>
  <c r="X113" i="16"/>
  <c r="Y113" i="16" s="1"/>
  <c r="W114" i="16"/>
  <c r="AC113" i="16"/>
  <c r="AD113" i="16" s="1"/>
  <c r="AB114" i="16"/>
  <c r="AV115" i="16"/>
  <c r="AW114" i="16"/>
  <c r="AX114" i="16" s="1"/>
  <c r="T83" i="26"/>
  <c r="U84" i="26" s="1"/>
  <c r="V82" i="26"/>
  <c r="W82" i="26"/>
  <c r="Y82" i="26"/>
  <c r="X82" i="26"/>
  <c r="H68" i="26"/>
  <c r="G68" i="26" s="1"/>
  <c r="T115" i="16"/>
  <c r="AY114" i="16"/>
  <c r="AZ114" i="16" s="1"/>
  <c r="BA114" i="16" s="1"/>
  <c r="AP114" i="16"/>
  <c r="AA114" i="16"/>
  <c r="AK114" i="16"/>
  <c r="AF114" i="16"/>
  <c r="AU114" i="16"/>
  <c r="V114" i="16"/>
  <c r="W83" i="6"/>
  <c r="G53" i="6"/>
  <c r="L53" i="6" s="1"/>
  <c r="X83" i="6"/>
  <c r="V83" i="6"/>
  <c r="U84" i="6"/>
  <c r="T84" i="6" s="1"/>
  <c r="Y84" i="6" s="1"/>
  <c r="L60" i="35" l="1"/>
  <c r="K60" i="35"/>
  <c r="I60" i="35"/>
  <c r="J60" i="35"/>
  <c r="H61" i="35"/>
  <c r="W61" i="35"/>
  <c r="X61" i="35"/>
  <c r="Y61" i="35"/>
  <c r="V61" i="35"/>
  <c r="U62" i="35"/>
  <c r="T61" i="34"/>
  <c r="U62" i="34" s="1"/>
  <c r="J64" i="34"/>
  <c r="L64" i="34"/>
  <c r="K64" i="34"/>
  <c r="I64" i="34"/>
  <c r="V61" i="31"/>
  <c r="W61" i="31"/>
  <c r="Y61" i="31"/>
  <c r="X61" i="31"/>
  <c r="U62" i="31"/>
  <c r="G65" i="31"/>
  <c r="BB115" i="16"/>
  <c r="BC114" i="16"/>
  <c r="BD114" i="16"/>
  <c r="AQ115" i="16"/>
  <c r="AR114" i="16"/>
  <c r="AS114" i="16"/>
  <c r="AM114" i="16"/>
  <c r="AL115" i="16"/>
  <c r="AN114" i="16"/>
  <c r="AH114" i="16"/>
  <c r="AI114" i="16" s="1"/>
  <c r="AG115" i="16"/>
  <c r="X114" i="16"/>
  <c r="Y114" i="16" s="1"/>
  <c r="W115" i="16"/>
  <c r="AC114" i="16"/>
  <c r="AD114" i="16" s="1"/>
  <c r="AB115" i="16"/>
  <c r="AW115" i="16"/>
  <c r="AX115" i="16" s="1"/>
  <c r="AV116" i="16"/>
  <c r="T84" i="26"/>
  <c r="U85" i="26" s="1"/>
  <c r="Y83" i="26"/>
  <c r="X83" i="26"/>
  <c r="V83" i="26"/>
  <c r="W83" i="26"/>
  <c r="K67" i="26"/>
  <c r="I67" i="26"/>
  <c r="L67" i="26"/>
  <c r="J67" i="26"/>
  <c r="T116" i="16"/>
  <c r="AY115" i="16"/>
  <c r="AZ115" i="16" s="1"/>
  <c r="BA115" i="16" s="1"/>
  <c r="AP115" i="16"/>
  <c r="AK115" i="16"/>
  <c r="AA115" i="16"/>
  <c r="V115" i="16"/>
  <c r="AF115" i="16"/>
  <c r="AU115" i="16"/>
  <c r="W84" i="6"/>
  <c r="J53" i="6"/>
  <c r="X84" i="6"/>
  <c r="V84" i="6"/>
  <c r="U85" i="6"/>
  <c r="T85" i="6" s="1"/>
  <c r="Y85" i="6" s="1"/>
  <c r="I53" i="6"/>
  <c r="K53" i="6"/>
  <c r="H54" i="6"/>
  <c r="T62" i="35" l="1"/>
  <c r="G61" i="35"/>
  <c r="G65" i="34"/>
  <c r="H66" i="34" s="1"/>
  <c r="Y61" i="34"/>
  <c r="W61" i="34"/>
  <c r="X61" i="34"/>
  <c r="V61" i="34"/>
  <c r="L65" i="31"/>
  <c r="K65" i="31"/>
  <c r="I65" i="31"/>
  <c r="J65" i="31"/>
  <c r="H66" i="31"/>
  <c r="T62" i="31"/>
  <c r="BB116" i="16"/>
  <c r="BC115" i="16"/>
  <c r="BD115" i="16" s="1"/>
  <c r="AR115" i="16"/>
  <c r="AQ116" i="16"/>
  <c r="AS115" i="16"/>
  <c r="AM115" i="16"/>
  <c r="AL116" i="16"/>
  <c r="AN115" i="16"/>
  <c r="AC115" i="16"/>
  <c r="AD115" i="16" s="1"/>
  <c r="AB116" i="16"/>
  <c r="AG116" i="16"/>
  <c r="AH115" i="16"/>
  <c r="AI115" i="16" s="1"/>
  <c r="X115" i="16"/>
  <c r="Y115" i="16" s="1"/>
  <c r="W116" i="16"/>
  <c r="AW116" i="16"/>
  <c r="AX116" i="16" s="1"/>
  <c r="AV117" i="16"/>
  <c r="T85" i="26"/>
  <c r="U86" i="26" s="1"/>
  <c r="W84" i="26"/>
  <c r="Y84" i="26"/>
  <c r="X84" i="26"/>
  <c r="V84" i="26"/>
  <c r="H69" i="26"/>
  <c r="G69" i="26" s="1"/>
  <c r="T117" i="16"/>
  <c r="AY116" i="16"/>
  <c r="AZ116" i="16" s="1"/>
  <c r="BA116" i="16" s="1"/>
  <c r="AP116" i="16"/>
  <c r="AK116" i="16"/>
  <c r="AF116" i="16"/>
  <c r="AA116" i="16"/>
  <c r="V116" i="16"/>
  <c r="AU116" i="16"/>
  <c r="W85" i="6"/>
  <c r="G54" i="6"/>
  <c r="L54" i="6" s="1"/>
  <c r="X85" i="6"/>
  <c r="U86" i="6"/>
  <c r="T86" i="6" s="1"/>
  <c r="Y86" i="6" s="1"/>
  <c r="V85" i="6"/>
  <c r="L61" i="35" l="1"/>
  <c r="K61" i="35"/>
  <c r="I61" i="35"/>
  <c r="J61" i="35"/>
  <c r="H62" i="35"/>
  <c r="W62" i="35"/>
  <c r="X62" i="35"/>
  <c r="Y62" i="35"/>
  <c r="V62" i="35"/>
  <c r="U63" i="35"/>
  <c r="T62" i="34"/>
  <c r="U63" i="34" s="1"/>
  <c r="J65" i="34"/>
  <c r="L65" i="34"/>
  <c r="K65" i="34"/>
  <c r="I65" i="34"/>
  <c r="V62" i="31"/>
  <c r="W62" i="31"/>
  <c r="Y62" i="31"/>
  <c r="X62" i="31"/>
  <c r="U63" i="31"/>
  <c r="G66" i="31"/>
  <c r="BB117" i="16"/>
  <c r="BC116" i="16"/>
  <c r="BD116" i="16"/>
  <c r="AR116" i="16"/>
  <c r="AS116" i="16" s="1"/>
  <c r="AQ117" i="16"/>
  <c r="AM116" i="16"/>
  <c r="AL117" i="16"/>
  <c r="AN116" i="16"/>
  <c r="X116" i="16"/>
  <c r="Y116" i="16" s="1"/>
  <c r="W117" i="16"/>
  <c r="AH116" i="16"/>
  <c r="AI116" i="16" s="1"/>
  <c r="AG117" i="16"/>
  <c r="AC116" i="16"/>
  <c r="AD116" i="16" s="1"/>
  <c r="AB117" i="16"/>
  <c r="AW117" i="16"/>
  <c r="AX117" i="16" s="1"/>
  <c r="AV118" i="16"/>
  <c r="T86" i="26"/>
  <c r="U87" i="26" s="1"/>
  <c r="Y85" i="26"/>
  <c r="X85" i="26"/>
  <c r="V85" i="26"/>
  <c r="W85" i="26"/>
  <c r="K68" i="26"/>
  <c r="I68" i="26"/>
  <c r="L68" i="26"/>
  <c r="J68" i="26"/>
  <c r="T118" i="16"/>
  <c r="AY117" i="16"/>
  <c r="AZ117" i="16" s="1"/>
  <c r="BA117" i="16" s="1"/>
  <c r="AP117" i="16"/>
  <c r="AF117" i="16"/>
  <c r="AK117" i="16"/>
  <c r="AA117" i="16"/>
  <c r="V117" i="16"/>
  <c r="AU117" i="16"/>
  <c r="W86" i="6"/>
  <c r="J54" i="6"/>
  <c r="X86" i="6"/>
  <c r="V86" i="6"/>
  <c r="U87" i="6"/>
  <c r="T87" i="6" s="1"/>
  <c r="Y87" i="6" s="1"/>
  <c r="K54" i="6"/>
  <c r="I54" i="6"/>
  <c r="H55" i="6"/>
  <c r="G62" i="35" l="1"/>
  <c r="T63" i="35"/>
  <c r="G66" i="34"/>
  <c r="H67" i="34" s="1"/>
  <c r="Y62" i="34"/>
  <c r="W62" i="34"/>
  <c r="V62" i="34"/>
  <c r="X62" i="34"/>
  <c r="L66" i="31"/>
  <c r="K66" i="31"/>
  <c r="I66" i="31"/>
  <c r="J66" i="31"/>
  <c r="H67" i="31"/>
  <c r="T63" i="31"/>
  <c r="BB118" i="16"/>
  <c r="BC117" i="16"/>
  <c r="BD117" i="16"/>
  <c r="AQ118" i="16"/>
  <c r="AR117" i="16"/>
  <c r="AS117" i="16"/>
  <c r="AM117" i="16"/>
  <c r="AL118" i="16"/>
  <c r="AN117" i="16"/>
  <c r="AH117" i="16"/>
  <c r="AI117" i="16" s="1"/>
  <c r="AG118" i="16"/>
  <c r="AC117" i="16"/>
  <c r="AD117" i="16" s="1"/>
  <c r="AB118" i="16"/>
  <c r="X117" i="16"/>
  <c r="Y117" i="16" s="1"/>
  <c r="W118" i="16"/>
  <c r="AV119" i="16"/>
  <c r="AW118" i="16"/>
  <c r="AX118" i="16" s="1"/>
  <c r="T87" i="26"/>
  <c r="U88" i="26" s="1"/>
  <c r="W86" i="26"/>
  <c r="X86" i="26"/>
  <c r="V86" i="26"/>
  <c r="Y86" i="26"/>
  <c r="H70" i="26"/>
  <c r="G70" i="26" s="1"/>
  <c r="T119" i="16"/>
  <c r="AY118" i="16"/>
  <c r="AZ118" i="16" s="1"/>
  <c r="BA118" i="16" s="1"/>
  <c r="AP118" i="16"/>
  <c r="AK118" i="16"/>
  <c r="AA118" i="16"/>
  <c r="AF118" i="16"/>
  <c r="V118" i="16"/>
  <c r="AU118" i="16"/>
  <c r="W87" i="6"/>
  <c r="G55" i="6"/>
  <c r="L55" i="6" s="1"/>
  <c r="U88" i="6"/>
  <c r="T88" i="6" s="1"/>
  <c r="Y88" i="6" s="1"/>
  <c r="X87" i="6"/>
  <c r="V87" i="6"/>
  <c r="W63" i="35" l="1"/>
  <c r="X63" i="35"/>
  <c r="Y63" i="35"/>
  <c r="V63" i="35"/>
  <c r="U64" i="35"/>
  <c r="L62" i="35"/>
  <c r="K62" i="35"/>
  <c r="I62" i="35"/>
  <c r="J62" i="35"/>
  <c r="H63" i="35"/>
  <c r="T63" i="34"/>
  <c r="U64" i="34" s="1"/>
  <c r="J66" i="34"/>
  <c r="L66" i="34"/>
  <c r="K66" i="34"/>
  <c r="I66" i="34"/>
  <c r="V63" i="31"/>
  <c r="W63" i="31"/>
  <c r="Y63" i="31"/>
  <c r="X63" i="31"/>
  <c r="U64" i="31"/>
  <c r="G67" i="31"/>
  <c r="BB119" i="16"/>
  <c r="BC118" i="16"/>
  <c r="BD118" i="16"/>
  <c r="AQ119" i="16"/>
  <c r="AR118" i="16"/>
  <c r="AS118" i="16"/>
  <c r="AM118" i="16"/>
  <c r="AL119" i="16"/>
  <c r="AN118" i="16"/>
  <c r="AH118" i="16"/>
  <c r="AI118" i="16" s="1"/>
  <c r="AG119" i="16"/>
  <c r="AC118" i="16"/>
  <c r="AB119" i="16"/>
  <c r="AD118" i="16"/>
  <c r="X118" i="16"/>
  <c r="Y118" i="16" s="1"/>
  <c r="W119" i="16"/>
  <c r="AV120" i="16"/>
  <c r="AW119" i="16"/>
  <c r="AX119" i="16" s="1"/>
  <c r="T88" i="26"/>
  <c r="U89" i="26" s="1"/>
  <c r="Y87" i="26"/>
  <c r="X87" i="26"/>
  <c r="V87" i="26"/>
  <c r="W87" i="26"/>
  <c r="K69" i="26"/>
  <c r="I69" i="26"/>
  <c r="L69" i="26"/>
  <c r="J69" i="26"/>
  <c r="H71" i="26"/>
  <c r="G71" i="26" s="1"/>
  <c r="T120" i="16"/>
  <c r="AY119" i="16"/>
  <c r="AZ119" i="16" s="1"/>
  <c r="BA119" i="16" s="1"/>
  <c r="AF119" i="16"/>
  <c r="AP119" i="16"/>
  <c r="AA119" i="16"/>
  <c r="AK119" i="16"/>
  <c r="V119" i="16"/>
  <c r="AU119" i="16"/>
  <c r="W88" i="6"/>
  <c r="J55" i="6"/>
  <c r="X88" i="6"/>
  <c r="V88" i="6"/>
  <c r="U89" i="6"/>
  <c r="T89" i="6" s="1"/>
  <c r="Y89" i="6" s="1"/>
  <c r="K55" i="6"/>
  <c r="I55" i="6"/>
  <c r="H56" i="6"/>
  <c r="T64" i="35" l="1"/>
  <c r="U65" i="35" s="1"/>
  <c r="G63" i="35"/>
  <c r="G67" i="34"/>
  <c r="H68" i="34" s="1"/>
  <c r="Y63" i="34"/>
  <c r="W63" i="34"/>
  <c r="X63" i="34"/>
  <c r="V63" i="34"/>
  <c r="L67" i="31"/>
  <c r="K67" i="31"/>
  <c r="I67" i="31"/>
  <c r="J67" i="31"/>
  <c r="H68" i="31"/>
  <c r="T64" i="31"/>
  <c r="BB120" i="16"/>
  <c r="BC119" i="16"/>
  <c r="BD119" i="16" s="1"/>
  <c r="AQ120" i="16"/>
  <c r="AR119" i="16"/>
  <c r="AS119" i="16"/>
  <c r="AM119" i="16"/>
  <c r="AL120" i="16"/>
  <c r="AN119" i="16"/>
  <c r="W120" i="16"/>
  <c r="X119" i="16"/>
  <c r="Y119" i="16" s="1"/>
  <c r="AC119" i="16"/>
  <c r="AD119" i="16" s="1"/>
  <c r="AB120" i="16"/>
  <c r="AH119" i="16"/>
  <c r="AI119" i="16" s="1"/>
  <c r="AG120" i="16"/>
  <c r="AW120" i="16"/>
  <c r="AX120" i="16" s="1"/>
  <c r="AV121" i="16"/>
  <c r="T89" i="26"/>
  <c r="U90" i="26" s="1"/>
  <c r="Y88" i="26"/>
  <c r="W88" i="26"/>
  <c r="X88" i="26"/>
  <c r="V88" i="26"/>
  <c r="K70" i="26"/>
  <c r="I70" i="26"/>
  <c r="L70" i="26"/>
  <c r="J70" i="26"/>
  <c r="T121" i="16"/>
  <c r="AF120" i="16"/>
  <c r="AP120" i="16"/>
  <c r="AY120" i="16"/>
  <c r="AZ120" i="16" s="1"/>
  <c r="BA120" i="16" s="1"/>
  <c r="AK120" i="16"/>
  <c r="AA120" i="16"/>
  <c r="AU120" i="16"/>
  <c r="V120" i="16"/>
  <c r="W89" i="6"/>
  <c r="G56" i="6"/>
  <c r="L56" i="6" s="1"/>
  <c r="U90" i="6"/>
  <c r="T90" i="6" s="1"/>
  <c r="Y90" i="6" s="1"/>
  <c r="X89" i="6"/>
  <c r="V89" i="6"/>
  <c r="L63" i="35" l="1"/>
  <c r="K63" i="35"/>
  <c r="J63" i="35"/>
  <c r="I63" i="35"/>
  <c r="H64" i="35"/>
  <c r="W64" i="35"/>
  <c r="X64" i="35"/>
  <c r="Y64" i="35"/>
  <c r="V64" i="35"/>
  <c r="T65" i="35"/>
  <c r="U66" i="35" s="1"/>
  <c r="T64" i="34"/>
  <c r="U65" i="34" s="1"/>
  <c r="J67" i="34"/>
  <c r="L67" i="34"/>
  <c r="I67" i="34"/>
  <c r="K67" i="34"/>
  <c r="V64" i="31"/>
  <c r="W64" i="31"/>
  <c r="Y64" i="31"/>
  <c r="X64" i="31"/>
  <c r="U65" i="31"/>
  <c r="G68" i="31"/>
  <c r="BB121" i="16"/>
  <c r="BC120" i="16"/>
  <c r="BD120" i="16" s="1"/>
  <c r="AR120" i="16"/>
  <c r="AS120" i="16" s="1"/>
  <c r="AQ121" i="16"/>
  <c r="AM120" i="16"/>
  <c r="AL121" i="16"/>
  <c r="AN120" i="16"/>
  <c r="AC120" i="16"/>
  <c r="AD120" i="16" s="1"/>
  <c r="AB121" i="16"/>
  <c r="AG121" i="16"/>
  <c r="AH120" i="16"/>
  <c r="AI120" i="16" s="1"/>
  <c r="W121" i="16"/>
  <c r="X120" i="16"/>
  <c r="Y120" i="16" s="1"/>
  <c r="AW121" i="16"/>
  <c r="AX121" i="16" s="1"/>
  <c r="AV122" i="16"/>
  <c r="T90" i="26"/>
  <c r="U91" i="26" s="1"/>
  <c r="V89" i="26"/>
  <c r="Y89" i="26"/>
  <c r="X89" i="26"/>
  <c r="W89" i="26"/>
  <c r="H72" i="26"/>
  <c r="G72" i="26" s="1"/>
  <c r="T122" i="16"/>
  <c r="AY121" i="16"/>
  <c r="AZ121" i="16" s="1"/>
  <c r="BA121" i="16" s="1"/>
  <c r="AP121" i="16"/>
  <c r="AK121" i="16"/>
  <c r="AF121" i="16"/>
  <c r="AA121" i="16"/>
  <c r="AU121" i="16"/>
  <c r="V121" i="16"/>
  <c r="W90" i="6"/>
  <c r="J56" i="6"/>
  <c r="V90" i="6"/>
  <c r="U91" i="6"/>
  <c r="T91" i="6" s="1"/>
  <c r="Y91" i="6" s="1"/>
  <c r="X90" i="6"/>
  <c r="K56" i="6"/>
  <c r="I56" i="6"/>
  <c r="H57" i="6"/>
  <c r="T66" i="35" l="1"/>
  <c r="G64" i="35"/>
  <c r="W65" i="35"/>
  <c r="X65" i="35"/>
  <c r="Y65" i="35"/>
  <c r="V65" i="35"/>
  <c r="G68" i="34"/>
  <c r="H69" i="34" s="1"/>
  <c r="Y64" i="34"/>
  <c r="W64" i="34"/>
  <c r="V64" i="34"/>
  <c r="X64" i="34"/>
  <c r="L68" i="31"/>
  <c r="K68" i="31"/>
  <c r="I68" i="31"/>
  <c r="J68" i="31"/>
  <c r="H69" i="31"/>
  <c r="T65" i="31"/>
  <c r="BB122" i="16"/>
  <c r="BC121" i="16"/>
  <c r="BD121" i="16" s="1"/>
  <c r="AR121" i="16"/>
  <c r="AS121" i="16" s="1"/>
  <c r="AQ122" i="16"/>
  <c r="AM121" i="16"/>
  <c r="AL122" i="16"/>
  <c r="AN121" i="16"/>
  <c r="X121" i="16"/>
  <c r="Y121" i="16" s="1"/>
  <c r="W122" i="16"/>
  <c r="AC121" i="16"/>
  <c r="AD121" i="16" s="1"/>
  <c r="AB122" i="16"/>
  <c r="AH121" i="16"/>
  <c r="AI121" i="16" s="1"/>
  <c r="AG122" i="16"/>
  <c r="AV123" i="16"/>
  <c r="AW122" i="16"/>
  <c r="AX122" i="16" s="1"/>
  <c r="T91" i="26"/>
  <c r="U92" i="26" s="1"/>
  <c r="W90" i="26"/>
  <c r="X90" i="26"/>
  <c r="V90" i="26"/>
  <c r="Y90" i="26"/>
  <c r="K71" i="26"/>
  <c r="I71" i="26"/>
  <c r="L71" i="26"/>
  <c r="J71" i="26"/>
  <c r="H73" i="26"/>
  <c r="G73" i="26" s="1"/>
  <c r="T123" i="16"/>
  <c r="AY122" i="16"/>
  <c r="AZ122" i="16" s="1"/>
  <c r="BA122" i="16" s="1"/>
  <c r="AP122" i="16"/>
  <c r="AF122" i="16"/>
  <c r="AA122" i="16"/>
  <c r="AK122" i="16"/>
  <c r="AU122" i="16"/>
  <c r="V122" i="16"/>
  <c r="W91" i="6"/>
  <c r="G57" i="6"/>
  <c r="L57" i="6" s="1"/>
  <c r="X91" i="6"/>
  <c r="V91" i="6"/>
  <c r="U92" i="6"/>
  <c r="T92" i="6" s="1"/>
  <c r="Y92" i="6" s="1"/>
  <c r="L64" i="35" l="1"/>
  <c r="K64" i="35"/>
  <c r="J64" i="35"/>
  <c r="I64" i="35"/>
  <c r="H65" i="35"/>
  <c r="W66" i="35"/>
  <c r="X66" i="35"/>
  <c r="Y66" i="35"/>
  <c r="V66" i="35"/>
  <c r="U67" i="35"/>
  <c r="T65" i="34"/>
  <c r="U66" i="34" s="1"/>
  <c r="J68" i="34"/>
  <c r="L68" i="34"/>
  <c r="K68" i="34"/>
  <c r="I68" i="34"/>
  <c r="V65" i="31"/>
  <c r="W65" i="31"/>
  <c r="X65" i="31"/>
  <c r="Y65" i="31"/>
  <c r="U66" i="31"/>
  <c r="G69" i="31"/>
  <c r="BB123" i="16"/>
  <c r="BC122" i="16"/>
  <c r="BD122" i="16"/>
  <c r="AR122" i="16"/>
  <c r="AQ123" i="16"/>
  <c r="AS122" i="16"/>
  <c r="AM122" i="16"/>
  <c r="AN122" i="16" s="1"/>
  <c r="AL123" i="16"/>
  <c r="AG123" i="16"/>
  <c r="AH122" i="16"/>
  <c r="AI122" i="16" s="1"/>
  <c r="X122" i="16"/>
  <c r="Y122" i="16" s="1"/>
  <c r="W123" i="16"/>
  <c r="AB123" i="16"/>
  <c r="AC122" i="16"/>
  <c r="AD122" i="16" s="1"/>
  <c r="AV124" i="16"/>
  <c r="AW123" i="16"/>
  <c r="AX123" i="16" s="1"/>
  <c r="T92" i="26"/>
  <c r="U93" i="26" s="1"/>
  <c r="W91" i="26"/>
  <c r="Y91" i="26"/>
  <c r="X91" i="26"/>
  <c r="V91" i="26"/>
  <c r="H74" i="26"/>
  <c r="G74" i="26" s="1"/>
  <c r="K72" i="26"/>
  <c r="I72" i="26"/>
  <c r="L72" i="26"/>
  <c r="J72" i="26"/>
  <c r="T124" i="16"/>
  <c r="AY123" i="16"/>
  <c r="AZ123" i="16" s="1"/>
  <c r="BA123" i="16" s="1"/>
  <c r="AK123" i="16"/>
  <c r="AP123" i="16"/>
  <c r="AF123" i="16"/>
  <c r="AA123" i="16"/>
  <c r="AU123" i="16"/>
  <c r="V123" i="16"/>
  <c r="W92" i="6"/>
  <c r="J57" i="6"/>
  <c r="X92" i="6"/>
  <c r="V92" i="6"/>
  <c r="U93" i="6"/>
  <c r="T93" i="6" s="1"/>
  <c r="Y93" i="6" s="1"/>
  <c r="K57" i="6"/>
  <c r="I57" i="6"/>
  <c r="H58" i="6"/>
  <c r="T67" i="35" l="1"/>
  <c r="G65" i="35"/>
  <c r="G69" i="34"/>
  <c r="H70" i="34" s="1"/>
  <c r="Y65" i="34"/>
  <c r="X65" i="34"/>
  <c r="W65" i="34"/>
  <c r="V65" i="34"/>
  <c r="L69" i="31"/>
  <c r="K69" i="31"/>
  <c r="I69" i="31"/>
  <c r="J69" i="31"/>
  <c r="H70" i="31"/>
  <c r="T66" i="31"/>
  <c r="BB124" i="16"/>
  <c r="BC123" i="16"/>
  <c r="BD123" i="16" s="1"/>
  <c r="AQ124" i="16"/>
  <c r="AR123" i="16"/>
  <c r="AS123" i="16" s="1"/>
  <c r="AM123" i="16"/>
  <c r="AL124" i="16"/>
  <c r="AN123" i="16"/>
  <c r="X123" i="16"/>
  <c r="Y123" i="16" s="1"/>
  <c r="W124" i="16"/>
  <c r="AG124" i="16"/>
  <c r="AH123" i="16"/>
  <c r="AI123" i="16" s="1"/>
  <c r="AB124" i="16"/>
  <c r="AC123" i="16"/>
  <c r="AD123" i="16" s="1"/>
  <c r="AW124" i="16"/>
  <c r="AX124" i="16" s="1"/>
  <c r="AV125" i="16"/>
  <c r="T93" i="26"/>
  <c r="U94" i="26" s="1"/>
  <c r="W92" i="26"/>
  <c r="Y92" i="26"/>
  <c r="X92" i="26"/>
  <c r="V92" i="26"/>
  <c r="K73" i="26"/>
  <c r="I73" i="26"/>
  <c r="J73" i="26"/>
  <c r="L73" i="26"/>
  <c r="T125" i="16"/>
  <c r="AP124" i="16"/>
  <c r="AY124" i="16"/>
  <c r="AZ124" i="16" s="1"/>
  <c r="BA124" i="16" s="1"/>
  <c r="AK124" i="16"/>
  <c r="AA124" i="16"/>
  <c r="AF124" i="16"/>
  <c r="V124" i="16"/>
  <c r="AU124" i="16"/>
  <c r="W93" i="6"/>
  <c r="G58" i="6"/>
  <c r="L58" i="6" s="1"/>
  <c r="X93" i="6"/>
  <c r="V93" i="6"/>
  <c r="U94" i="6"/>
  <c r="T94" i="6" s="1"/>
  <c r="Y94" i="6" s="1"/>
  <c r="L65" i="35" l="1"/>
  <c r="K65" i="35"/>
  <c r="J65" i="35"/>
  <c r="I65" i="35"/>
  <c r="H66" i="35"/>
  <c r="W67" i="35"/>
  <c r="X67" i="35"/>
  <c r="Y67" i="35"/>
  <c r="V67" i="35"/>
  <c r="U68" i="35"/>
  <c r="T66" i="34"/>
  <c r="U67" i="34" s="1"/>
  <c r="J69" i="34"/>
  <c r="I69" i="34"/>
  <c r="K69" i="34"/>
  <c r="L69" i="34"/>
  <c r="V66" i="31"/>
  <c r="W66" i="31"/>
  <c r="Y66" i="31"/>
  <c r="X66" i="31"/>
  <c r="U67" i="31"/>
  <c r="G70" i="31"/>
  <c r="BB125" i="16"/>
  <c r="BC124" i="16"/>
  <c r="BD124" i="16"/>
  <c r="AQ125" i="16"/>
  <c r="AR124" i="16"/>
  <c r="AS124" i="16"/>
  <c r="AM124" i="16"/>
  <c r="AN124" i="16" s="1"/>
  <c r="AL125" i="16"/>
  <c r="X124" i="16"/>
  <c r="Y124" i="16" s="1"/>
  <c r="W125" i="16"/>
  <c r="AG125" i="16"/>
  <c r="AH124" i="16"/>
  <c r="AC124" i="16"/>
  <c r="AD124" i="16" s="1"/>
  <c r="AB125" i="16"/>
  <c r="AI124" i="16"/>
  <c r="AV126" i="16"/>
  <c r="AW125" i="16"/>
  <c r="AX125" i="16" s="1"/>
  <c r="T94" i="26"/>
  <c r="U95" i="26" s="1"/>
  <c r="Y93" i="26"/>
  <c r="W93" i="26"/>
  <c r="X93" i="26"/>
  <c r="V93" i="26"/>
  <c r="H75" i="26"/>
  <c r="G75" i="26" s="1"/>
  <c r="T126" i="16"/>
  <c r="AP125" i="16"/>
  <c r="AY125" i="16"/>
  <c r="AZ125" i="16" s="1"/>
  <c r="BA125" i="16" s="1"/>
  <c r="AF125" i="16"/>
  <c r="AK125" i="16"/>
  <c r="AA125" i="16"/>
  <c r="AU125" i="16"/>
  <c r="V125" i="16"/>
  <c r="J58" i="6"/>
  <c r="W94" i="6"/>
  <c r="U95" i="6"/>
  <c r="T95" i="6" s="1"/>
  <c r="Y95" i="6" s="1"/>
  <c r="X94" i="6"/>
  <c r="V94" i="6"/>
  <c r="K58" i="6"/>
  <c r="I58" i="6"/>
  <c r="H59" i="6"/>
  <c r="T68" i="35" l="1"/>
  <c r="G66" i="35"/>
  <c r="G70" i="34"/>
  <c r="H71" i="34" s="1"/>
  <c r="Y66" i="34"/>
  <c r="X66" i="34"/>
  <c r="W66" i="34"/>
  <c r="V66" i="34"/>
  <c r="L70" i="31"/>
  <c r="K70" i="31"/>
  <c r="I70" i="31"/>
  <c r="J70" i="31"/>
  <c r="H71" i="31"/>
  <c r="T67" i="31"/>
  <c r="BB126" i="16"/>
  <c r="BC125" i="16"/>
  <c r="BD125" i="16"/>
  <c r="AQ126" i="16"/>
  <c r="AR125" i="16"/>
  <c r="AS125" i="16"/>
  <c r="AM125" i="16"/>
  <c r="AN125" i="16" s="1"/>
  <c r="AL126" i="16"/>
  <c r="AG126" i="16"/>
  <c r="AH125" i="16"/>
  <c r="AI125" i="16"/>
  <c r="AC125" i="16"/>
  <c r="AD125" i="16" s="1"/>
  <c r="AB126" i="16"/>
  <c r="W126" i="16"/>
  <c r="X125" i="16"/>
  <c r="Y125" i="16" s="1"/>
  <c r="AW126" i="16"/>
  <c r="AX126" i="16" s="1"/>
  <c r="AV127" i="16"/>
  <c r="T95" i="26"/>
  <c r="U96" i="26" s="1"/>
  <c r="W94" i="26"/>
  <c r="Y94" i="26"/>
  <c r="X94" i="26"/>
  <c r="V94" i="26"/>
  <c r="K74" i="26"/>
  <c r="I74" i="26"/>
  <c r="L74" i="26"/>
  <c r="J74" i="26"/>
  <c r="T127" i="16"/>
  <c r="AY126" i="16"/>
  <c r="AZ126" i="16" s="1"/>
  <c r="BA126" i="16" s="1"/>
  <c r="AP126" i="16"/>
  <c r="AA126" i="16"/>
  <c r="AK126" i="16"/>
  <c r="V126" i="16"/>
  <c r="AF126" i="16"/>
  <c r="AU126" i="16"/>
  <c r="W95" i="6"/>
  <c r="G59" i="6"/>
  <c r="L59" i="6" s="1"/>
  <c r="V95" i="6"/>
  <c r="U96" i="6"/>
  <c r="T96" i="6" s="1"/>
  <c r="Y96" i="6" s="1"/>
  <c r="X95" i="6"/>
  <c r="L66" i="35" l="1"/>
  <c r="K66" i="35"/>
  <c r="J66" i="35"/>
  <c r="I66" i="35"/>
  <c r="H67" i="35"/>
  <c r="W68" i="35"/>
  <c r="X68" i="35"/>
  <c r="Y68" i="35"/>
  <c r="V68" i="35"/>
  <c r="U69" i="35"/>
  <c r="T67" i="34"/>
  <c r="U68" i="34" s="1"/>
  <c r="J70" i="34"/>
  <c r="L70" i="34"/>
  <c r="K70" i="34"/>
  <c r="I70" i="34"/>
  <c r="V67" i="31"/>
  <c r="W67" i="31"/>
  <c r="Y67" i="31"/>
  <c r="X67" i="31"/>
  <c r="U68" i="31"/>
  <c r="G71" i="31"/>
  <c r="BB127" i="16"/>
  <c r="BC126" i="16"/>
  <c r="BD126" i="16"/>
  <c r="AR126" i="16"/>
  <c r="AQ127" i="16"/>
  <c r="AS126" i="16"/>
  <c r="AM126" i="16"/>
  <c r="AN126" i="16" s="1"/>
  <c r="AL127" i="16"/>
  <c r="X126" i="16"/>
  <c r="Y126" i="16" s="1"/>
  <c r="W127" i="16"/>
  <c r="AH126" i="16"/>
  <c r="AG127" i="16"/>
  <c r="AC126" i="16"/>
  <c r="AD126" i="16" s="1"/>
  <c r="AB127" i="16"/>
  <c r="AI126" i="16"/>
  <c r="AV128" i="16"/>
  <c r="AW127" i="16"/>
  <c r="AX127" i="16" s="1"/>
  <c r="T96" i="26"/>
  <c r="U97" i="26" s="1"/>
  <c r="W95" i="26"/>
  <c r="Y95" i="26"/>
  <c r="X95" i="26"/>
  <c r="V95" i="26"/>
  <c r="H76" i="26"/>
  <c r="G76" i="26" s="1"/>
  <c r="T128" i="16"/>
  <c r="AY127" i="16"/>
  <c r="AZ127" i="16" s="1"/>
  <c r="BA127" i="16" s="1"/>
  <c r="AP127" i="16"/>
  <c r="AK127" i="16"/>
  <c r="AF127" i="16"/>
  <c r="AA127" i="16"/>
  <c r="AU127" i="16"/>
  <c r="V127" i="16"/>
  <c r="W96" i="6"/>
  <c r="J59" i="6"/>
  <c r="U97" i="6"/>
  <c r="T97" i="6" s="1"/>
  <c r="Y97" i="6" s="1"/>
  <c r="X96" i="6"/>
  <c r="V96" i="6"/>
  <c r="K59" i="6"/>
  <c r="I59" i="6"/>
  <c r="H60" i="6"/>
  <c r="T69" i="35" l="1"/>
  <c r="G67" i="35"/>
  <c r="G71" i="34"/>
  <c r="H72" i="34" s="1"/>
  <c r="Y67" i="34"/>
  <c r="X67" i="34"/>
  <c r="W67" i="34"/>
  <c r="V67" i="34"/>
  <c r="L71" i="31"/>
  <c r="K71" i="31"/>
  <c r="I71" i="31"/>
  <c r="J71" i="31"/>
  <c r="H72" i="31"/>
  <c r="T68" i="31"/>
  <c r="BB128" i="16"/>
  <c r="BC127" i="16"/>
  <c r="BD127" i="16" s="1"/>
  <c r="AR127" i="16"/>
  <c r="AS127" i="16" s="1"/>
  <c r="AQ128" i="16"/>
  <c r="AM127" i="16"/>
  <c r="AN127" i="16" s="1"/>
  <c r="AL128" i="16"/>
  <c r="AG128" i="16"/>
  <c r="AH127" i="16"/>
  <c r="AI127" i="16" s="1"/>
  <c r="W128" i="16"/>
  <c r="X127" i="16"/>
  <c r="Y127" i="16" s="1"/>
  <c r="AC127" i="16"/>
  <c r="AD127" i="16" s="1"/>
  <c r="AB128" i="16"/>
  <c r="AW128" i="16"/>
  <c r="AX128" i="16" s="1"/>
  <c r="AV129" i="16"/>
  <c r="T97" i="26"/>
  <c r="U98" i="26" s="1"/>
  <c r="W96" i="26"/>
  <c r="X96" i="26"/>
  <c r="V96" i="26"/>
  <c r="Y96" i="26"/>
  <c r="H77" i="26"/>
  <c r="G77" i="26" s="1"/>
  <c r="K75" i="26"/>
  <c r="I75" i="26"/>
  <c r="L75" i="26"/>
  <c r="J75" i="26"/>
  <c r="T129" i="16"/>
  <c r="AY128" i="16"/>
  <c r="AZ128" i="16" s="1"/>
  <c r="BA128" i="16" s="1"/>
  <c r="AP128" i="16"/>
  <c r="AA128" i="16"/>
  <c r="AF128" i="16"/>
  <c r="AK128" i="16"/>
  <c r="AU128" i="16"/>
  <c r="V128" i="16"/>
  <c r="W97" i="6"/>
  <c r="G60" i="6"/>
  <c r="L60" i="6" s="1"/>
  <c r="U98" i="6"/>
  <c r="T98" i="6" s="1"/>
  <c r="Y98" i="6" s="1"/>
  <c r="X97" i="6"/>
  <c r="V97" i="6"/>
  <c r="L67" i="35" l="1"/>
  <c r="K67" i="35"/>
  <c r="J67" i="35"/>
  <c r="I67" i="35"/>
  <c r="H68" i="35"/>
  <c r="W69" i="35"/>
  <c r="X69" i="35"/>
  <c r="Y69" i="35"/>
  <c r="V69" i="35"/>
  <c r="U70" i="35"/>
  <c r="T68" i="34"/>
  <c r="U69" i="34" s="1"/>
  <c r="J71" i="34"/>
  <c r="L71" i="34"/>
  <c r="K71" i="34"/>
  <c r="I71" i="34"/>
  <c r="V68" i="31"/>
  <c r="W68" i="31"/>
  <c r="Y68" i="31"/>
  <c r="X68" i="31"/>
  <c r="U69" i="31"/>
  <c r="G72" i="31"/>
  <c r="BB129" i="16"/>
  <c r="BC128" i="16"/>
  <c r="BD128" i="16" s="1"/>
  <c r="AR128" i="16"/>
  <c r="AQ129" i="16"/>
  <c r="AS128" i="16"/>
  <c r="AM128" i="16"/>
  <c r="AN128" i="16" s="1"/>
  <c r="AL129" i="16"/>
  <c r="X128" i="16"/>
  <c r="Y128" i="16" s="1"/>
  <c r="W129" i="16"/>
  <c r="AH128" i="16"/>
  <c r="AG129" i="16"/>
  <c r="AC128" i="16"/>
  <c r="AD128" i="16" s="1"/>
  <c r="AB129" i="16"/>
  <c r="AI128" i="16"/>
  <c r="AW129" i="16"/>
  <c r="AX129" i="16" s="1"/>
  <c r="AV130" i="16"/>
  <c r="T98" i="26"/>
  <c r="U99" i="26" s="1"/>
  <c r="W97" i="26"/>
  <c r="Y97" i="26"/>
  <c r="X97" i="26"/>
  <c r="V97" i="26"/>
  <c r="K76" i="26"/>
  <c r="I76" i="26"/>
  <c r="L76" i="26"/>
  <c r="J76" i="26"/>
  <c r="T130" i="16"/>
  <c r="AY129" i="16"/>
  <c r="AZ129" i="16" s="1"/>
  <c r="BA129" i="16" s="1"/>
  <c r="AP129" i="16"/>
  <c r="AK129" i="16"/>
  <c r="AA129" i="16"/>
  <c r="AF129" i="16"/>
  <c r="V129" i="16"/>
  <c r="AU129" i="16"/>
  <c r="W98" i="6"/>
  <c r="J60" i="6"/>
  <c r="H61" i="6"/>
  <c r="G61" i="6" s="1"/>
  <c r="L61" i="6" s="1"/>
  <c r="V98" i="6"/>
  <c r="U99" i="6"/>
  <c r="T99" i="6" s="1"/>
  <c r="Y99" i="6" s="1"/>
  <c r="X98" i="6"/>
  <c r="K60" i="6"/>
  <c r="I60" i="6"/>
  <c r="T70" i="35" l="1"/>
  <c r="G68" i="35"/>
  <c r="G72" i="34"/>
  <c r="H73" i="34" s="1"/>
  <c r="Y68" i="34"/>
  <c r="X68" i="34"/>
  <c r="W68" i="34"/>
  <c r="V68" i="34"/>
  <c r="L72" i="31"/>
  <c r="K72" i="31"/>
  <c r="I72" i="31"/>
  <c r="J72" i="31"/>
  <c r="H73" i="31"/>
  <c r="T69" i="31"/>
  <c r="BB130" i="16"/>
  <c r="BC129" i="16"/>
  <c r="BD129" i="16"/>
  <c r="AR129" i="16"/>
  <c r="AQ130" i="16"/>
  <c r="AS129" i="16"/>
  <c r="AM129" i="16"/>
  <c r="AN129" i="16" s="1"/>
  <c r="AL130" i="16"/>
  <c r="AH129" i="16"/>
  <c r="AG130" i="16"/>
  <c r="AI129" i="16"/>
  <c r="AB130" i="16"/>
  <c r="AC129" i="16"/>
  <c r="AD129" i="16" s="1"/>
  <c r="X129" i="16"/>
  <c r="Y129" i="16" s="1"/>
  <c r="W130" i="16"/>
  <c r="AV131" i="16"/>
  <c r="AW130" i="16"/>
  <c r="AX130" i="16" s="1"/>
  <c r="T99" i="26"/>
  <c r="U100" i="26" s="1"/>
  <c r="V98" i="26"/>
  <c r="Y98" i="26"/>
  <c r="W98" i="26"/>
  <c r="X98" i="26"/>
  <c r="H78" i="26"/>
  <c r="G78" i="26" s="1"/>
  <c r="T131" i="16"/>
  <c r="AY130" i="16"/>
  <c r="AZ130" i="16" s="1"/>
  <c r="BA130" i="16" s="1"/>
  <c r="AP130" i="16"/>
  <c r="AK130" i="16"/>
  <c r="AF130" i="16"/>
  <c r="AA130" i="16"/>
  <c r="V130" i="16"/>
  <c r="AU130" i="16"/>
  <c r="J61" i="6"/>
  <c r="W99" i="6"/>
  <c r="X99" i="6"/>
  <c r="V99" i="6"/>
  <c r="U100" i="6"/>
  <c r="T100" i="6" s="1"/>
  <c r="Y100" i="6" s="1"/>
  <c r="K61" i="6"/>
  <c r="I61" i="6"/>
  <c r="H62" i="6"/>
  <c r="L68" i="35" l="1"/>
  <c r="K68" i="35"/>
  <c r="J68" i="35"/>
  <c r="I68" i="35"/>
  <c r="H69" i="35"/>
  <c r="W70" i="35"/>
  <c r="V70" i="35"/>
  <c r="X70" i="35"/>
  <c r="Y70" i="35"/>
  <c r="U71" i="35"/>
  <c r="T69" i="34"/>
  <c r="U70" i="34" s="1"/>
  <c r="J72" i="34"/>
  <c r="L72" i="34"/>
  <c r="K72" i="34"/>
  <c r="I72" i="34"/>
  <c r="V69" i="31"/>
  <c r="W69" i="31"/>
  <c r="Y69" i="31"/>
  <c r="X69" i="31"/>
  <c r="U70" i="31"/>
  <c r="G73" i="31"/>
  <c r="BB131" i="16"/>
  <c r="BC130" i="16"/>
  <c r="BD130" i="16" s="1"/>
  <c r="AQ131" i="16"/>
  <c r="AR130" i="16"/>
  <c r="AS130" i="16" s="1"/>
  <c r="AM130" i="16"/>
  <c r="AL131" i="16"/>
  <c r="AN130" i="16"/>
  <c r="W131" i="16"/>
  <c r="X130" i="16"/>
  <c r="Y130" i="16" s="1"/>
  <c r="AB131" i="16"/>
  <c r="AC130" i="16"/>
  <c r="AD130" i="16" s="1"/>
  <c r="AG131" i="16"/>
  <c r="AH130" i="16"/>
  <c r="AI130" i="16" s="1"/>
  <c r="AW131" i="16"/>
  <c r="AX131" i="16" s="1"/>
  <c r="AV132" i="16"/>
  <c r="T100" i="26"/>
  <c r="U101" i="26" s="1"/>
  <c r="V99" i="26"/>
  <c r="W99" i="26"/>
  <c r="X99" i="26"/>
  <c r="Y99" i="26"/>
  <c r="K77" i="26"/>
  <c r="I77" i="26"/>
  <c r="L77" i="26"/>
  <c r="J77" i="26"/>
  <c r="T132" i="16"/>
  <c r="AY131" i="16"/>
  <c r="AZ131" i="16" s="1"/>
  <c r="BA131" i="16" s="1"/>
  <c r="AF131" i="16"/>
  <c r="AP131" i="16"/>
  <c r="AK131" i="16"/>
  <c r="AA131" i="16"/>
  <c r="V131" i="16"/>
  <c r="AU131" i="16"/>
  <c r="W100" i="6"/>
  <c r="G62" i="6"/>
  <c r="L62" i="6" s="1"/>
  <c r="X100" i="6"/>
  <c r="V100" i="6"/>
  <c r="U101" i="6"/>
  <c r="T101" i="6" s="1"/>
  <c r="Y101" i="6" s="1"/>
  <c r="G69" i="35" l="1"/>
  <c r="T71" i="35"/>
  <c r="G73" i="34"/>
  <c r="H74" i="34" s="1"/>
  <c r="Y69" i="34"/>
  <c r="X69" i="34"/>
  <c r="W69" i="34"/>
  <c r="V69" i="34"/>
  <c r="L73" i="31"/>
  <c r="J73" i="31"/>
  <c r="I73" i="31"/>
  <c r="K73" i="31"/>
  <c r="H74" i="31"/>
  <c r="T70" i="31"/>
  <c r="BB132" i="16"/>
  <c r="BC131" i="16"/>
  <c r="BD131" i="16" s="1"/>
  <c r="AQ132" i="16"/>
  <c r="AR131" i="16"/>
  <c r="AS131" i="16"/>
  <c r="AM131" i="16"/>
  <c r="AL132" i="16"/>
  <c r="AN131" i="16"/>
  <c r="AB132" i="16"/>
  <c r="AC131" i="16"/>
  <c r="AG132" i="16"/>
  <c r="AH131" i="16"/>
  <c r="AI131" i="16" s="1"/>
  <c r="AD131" i="16"/>
  <c r="X131" i="16"/>
  <c r="Y131" i="16" s="1"/>
  <c r="W132" i="16"/>
  <c r="AW132" i="16"/>
  <c r="AX132" i="16" s="1"/>
  <c r="AV133" i="16"/>
  <c r="T101" i="26"/>
  <c r="U102" i="26" s="1"/>
  <c r="W100" i="26"/>
  <c r="Y100" i="26"/>
  <c r="X100" i="26"/>
  <c r="V100" i="26"/>
  <c r="H79" i="26"/>
  <c r="G79" i="26" s="1"/>
  <c r="T133" i="16"/>
  <c r="AY132" i="16"/>
  <c r="AZ132" i="16" s="1"/>
  <c r="BA132" i="16" s="1"/>
  <c r="AF132" i="16"/>
  <c r="AP132" i="16"/>
  <c r="AK132" i="16"/>
  <c r="AA132" i="16"/>
  <c r="V132" i="16"/>
  <c r="AU132" i="16"/>
  <c r="J62" i="6"/>
  <c r="W101" i="6"/>
  <c r="X101" i="6"/>
  <c r="U102" i="6"/>
  <c r="T102" i="6" s="1"/>
  <c r="Y102" i="6" s="1"/>
  <c r="V101" i="6"/>
  <c r="K62" i="6"/>
  <c r="I62" i="6"/>
  <c r="H63" i="6"/>
  <c r="W71" i="35" l="1"/>
  <c r="V71" i="35"/>
  <c r="X71" i="35"/>
  <c r="Y71" i="35"/>
  <c r="U72" i="35"/>
  <c r="L69" i="35"/>
  <c r="K69" i="35"/>
  <c r="J69" i="35"/>
  <c r="I69" i="35"/>
  <c r="H70" i="35"/>
  <c r="T70" i="34"/>
  <c r="U71" i="34" s="1"/>
  <c r="J73" i="34"/>
  <c r="L73" i="34"/>
  <c r="K73" i="34"/>
  <c r="I73" i="34"/>
  <c r="V70" i="31"/>
  <c r="W70" i="31"/>
  <c r="Y70" i="31"/>
  <c r="X70" i="31"/>
  <c r="U71" i="31"/>
  <c r="G74" i="31"/>
  <c r="BB133" i="16"/>
  <c r="BC132" i="16"/>
  <c r="BD132" i="16"/>
  <c r="AQ133" i="16"/>
  <c r="AR132" i="16"/>
  <c r="AS132" i="16"/>
  <c r="AM132" i="16"/>
  <c r="AN132" i="16" s="1"/>
  <c r="AL133" i="16"/>
  <c r="AC132" i="16"/>
  <c r="AD132" i="16" s="1"/>
  <c r="AB133" i="16"/>
  <c r="W133" i="16"/>
  <c r="X132" i="16"/>
  <c r="Y132" i="16" s="1"/>
  <c r="AG133" i="16"/>
  <c r="AH132" i="16"/>
  <c r="AI132" i="16" s="1"/>
  <c r="AW133" i="16"/>
  <c r="AX133" i="16" s="1"/>
  <c r="AV134" i="16"/>
  <c r="T102" i="26"/>
  <c r="U103" i="26" s="1"/>
  <c r="W101" i="26"/>
  <c r="V101" i="26"/>
  <c r="Y101" i="26"/>
  <c r="X101" i="26"/>
  <c r="K78" i="26"/>
  <c r="I78" i="26"/>
  <c r="J78" i="26"/>
  <c r="L78" i="26"/>
  <c r="T134" i="16"/>
  <c r="AY133" i="16"/>
  <c r="AZ133" i="16" s="1"/>
  <c r="BA133" i="16" s="1"/>
  <c r="AP133" i="16"/>
  <c r="AK133" i="16"/>
  <c r="AF133" i="16"/>
  <c r="AA133" i="16"/>
  <c r="AU133" i="16"/>
  <c r="V133" i="16"/>
  <c r="W102" i="6"/>
  <c r="G63" i="6"/>
  <c r="L63" i="6" s="1"/>
  <c r="U103" i="6"/>
  <c r="T103" i="6" s="1"/>
  <c r="Y103" i="6" s="1"/>
  <c r="V102" i="6"/>
  <c r="X102" i="6"/>
  <c r="T72" i="35" l="1"/>
  <c r="G70" i="35"/>
  <c r="H71" i="35" s="1"/>
  <c r="G74" i="34"/>
  <c r="H75" i="34" s="1"/>
  <c r="Y70" i="34"/>
  <c r="X70" i="34"/>
  <c r="W70" i="34"/>
  <c r="V70" i="34"/>
  <c r="K74" i="31"/>
  <c r="J74" i="31"/>
  <c r="L74" i="31"/>
  <c r="I74" i="31"/>
  <c r="H75" i="31"/>
  <c r="T71" i="31"/>
  <c r="BB134" i="16"/>
  <c r="BC133" i="16"/>
  <c r="BD133" i="16"/>
  <c r="AR133" i="16"/>
  <c r="AQ134" i="16"/>
  <c r="AS133" i="16"/>
  <c r="AM133" i="16"/>
  <c r="AN133" i="16" s="1"/>
  <c r="AL134" i="16"/>
  <c r="AH133" i="16"/>
  <c r="AG134" i="16"/>
  <c r="X133" i="16"/>
  <c r="W134" i="16"/>
  <c r="AI133" i="16"/>
  <c r="AC133" i="16"/>
  <c r="AD133" i="16" s="1"/>
  <c r="AB134" i="16"/>
  <c r="Y133" i="16"/>
  <c r="AV135" i="16"/>
  <c r="AW134" i="16"/>
  <c r="AX134" i="16" s="1"/>
  <c r="T103" i="26"/>
  <c r="U104" i="26" s="1"/>
  <c r="W102" i="26"/>
  <c r="Y102" i="26"/>
  <c r="X102" i="26"/>
  <c r="V102" i="26"/>
  <c r="H80" i="26"/>
  <c r="G80" i="26" s="1"/>
  <c r="T135" i="16"/>
  <c r="AY134" i="16"/>
  <c r="AZ134" i="16" s="1"/>
  <c r="BA134" i="16" s="1"/>
  <c r="AP134" i="16"/>
  <c r="AK134" i="16"/>
  <c r="AA134" i="16"/>
  <c r="AF134" i="16"/>
  <c r="AU134" i="16"/>
  <c r="V134" i="16"/>
  <c r="W103" i="6"/>
  <c r="J63" i="6"/>
  <c r="V103" i="6"/>
  <c r="U104" i="6"/>
  <c r="T104" i="6" s="1"/>
  <c r="Y104" i="6" s="1"/>
  <c r="X103" i="6"/>
  <c r="K63" i="6"/>
  <c r="I63" i="6"/>
  <c r="H64" i="6"/>
  <c r="L70" i="35" l="1"/>
  <c r="K70" i="35"/>
  <c r="J70" i="35"/>
  <c r="I70" i="35"/>
  <c r="G71" i="35"/>
  <c r="W72" i="35"/>
  <c r="V72" i="35"/>
  <c r="X72" i="35"/>
  <c r="Y72" i="35"/>
  <c r="U73" i="35"/>
  <c r="T71" i="34"/>
  <c r="U72" i="34" s="1"/>
  <c r="J74" i="34"/>
  <c r="L74" i="34"/>
  <c r="K74" i="34"/>
  <c r="I74" i="34"/>
  <c r="V71" i="31"/>
  <c r="W71" i="31"/>
  <c r="Y71" i="31"/>
  <c r="X71" i="31"/>
  <c r="U72" i="31"/>
  <c r="G75" i="31"/>
  <c r="BB135" i="16"/>
  <c r="BC134" i="16"/>
  <c r="BD134" i="16"/>
  <c r="AR134" i="16"/>
  <c r="AQ135" i="16"/>
  <c r="AS134" i="16"/>
  <c r="AM134" i="16"/>
  <c r="AN134" i="16" s="1"/>
  <c r="AL135" i="16"/>
  <c r="AH134" i="16"/>
  <c r="AG135" i="16"/>
  <c r="AB135" i="16"/>
  <c r="AC134" i="16"/>
  <c r="AD134" i="16" s="1"/>
  <c r="AI134" i="16"/>
  <c r="X134" i="16"/>
  <c r="Y134" i="16" s="1"/>
  <c r="W135" i="16"/>
  <c r="AV136" i="16"/>
  <c r="AW135" i="16"/>
  <c r="AX135" i="16" s="1"/>
  <c r="T104" i="26"/>
  <c r="U105" i="26" s="1"/>
  <c r="W103" i="26"/>
  <c r="Y103" i="26"/>
  <c r="X103" i="26"/>
  <c r="V103" i="26"/>
  <c r="H81" i="26"/>
  <c r="G81" i="26" s="1"/>
  <c r="K79" i="26"/>
  <c r="I79" i="26"/>
  <c r="L79" i="26"/>
  <c r="J79" i="26"/>
  <c r="T136" i="16"/>
  <c r="AY135" i="16"/>
  <c r="AZ135" i="16" s="1"/>
  <c r="BA135" i="16" s="1"/>
  <c r="AP135" i="16"/>
  <c r="AK135" i="16"/>
  <c r="AA135" i="16"/>
  <c r="AF135" i="16"/>
  <c r="AU135" i="16"/>
  <c r="V135" i="16"/>
  <c r="W104" i="6"/>
  <c r="G64" i="6"/>
  <c r="L64" i="6" s="1"/>
  <c r="X104" i="6"/>
  <c r="V104" i="6"/>
  <c r="U105" i="6"/>
  <c r="T105" i="6" s="1"/>
  <c r="Y105" i="6" s="1"/>
  <c r="T73" i="35" l="1"/>
  <c r="L71" i="35"/>
  <c r="K71" i="35"/>
  <c r="J71" i="35"/>
  <c r="I71" i="35"/>
  <c r="H72" i="35"/>
  <c r="G75" i="34"/>
  <c r="H76" i="34" s="1"/>
  <c r="Y71" i="34"/>
  <c r="X71" i="34"/>
  <c r="W71" i="34"/>
  <c r="V71" i="34"/>
  <c r="L75" i="31"/>
  <c r="K75" i="31"/>
  <c r="J75" i="31"/>
  <c r="I75" i="31"/>
  <c r="H76" i="31"/>
  <c r="T72" i="31"/>
  <c r="BB136" i="16"/>
  <c r="BC135" i="16"/>
  <c r="BD135" i="16" s="1"/>
  <c r="AR135" i="16"/>
  <c r="AQ136" i="16"/>
  <c r="AS135" i="16"/>
  <c r="AM135" i="16"/>
  <c r="AN135" i="16" s="1"/>
  <c r="AL136" i="16"/>
  <c r="AH135" i="16"/>
  <c r="AI135" i="16" s="1"/>
  <c r="AG136" i="16"/>
  <c r="AC135" i="16"/>
  <c r="AD135" i="16" s="1"/>
  <c r="AB136" i="16"/>
  <c r="X135" i="16"/>
  <c r="Y135" i="16" s="1"/>
  <c r="W136" i="16"/>
  <c r="AW136" i="16"/>
  <c r="AX136" i="16" s="1"/>
  <c r="AV137" i="16"/>
  <c r="T105" i="26"/>
  <c r="U106" i="26" s="1"/>
  <c r="W104" i="26"/>
  <c r="Y104" i="26"/>
  <c r="V104" i="26"/>
  <c r="X104" i="26"/>
  <c r="K80" i="26"/>
  <c r="I80" i="26"/>
  <c r="L80" i="26"/>
  <c r="J80" i="26"/>
  <c r="H82" i="26"/>
  <c r="G82" i="26" s="1"/>
  <c r="T137" i="16"/>
  <c r="AY136" i="16"/>
  <c r="AZ136" i="16" s="1"/>
  <c r="BA136" i="16" s="1"/>
  <c r="AP136" i="16"/>
  <c r="AK136" i="16"/>
  <c r="AA136" i="16"/>
  <c r="AF136" i="16"/>
  <c r="V136" i="16"/>
  <c r="AU136" i="16"/>
  <c r="W105" i="6"/>
  <c r="J64" i="6"/>
  <c r="U106" i="6"/>
  <c r="T106" i="6" s="1"/>
  <c r="Y106" i="6" s="1"/>
  <c r="X105" i="6"/>
  <c r="V105" i="6"/>
  <c r="K64" i="6"/>
  <c r="I64" i="6"/>
  <c r="H65" i="6"/>
  <c r="G72" i="35" l="1"/>
  <c r="W73" i="35"/>
  <c r="V73" i="35"/>
  <c r="X73" i="35"/>
  <c r="Y73" i="35"/>
  <c r="U74" i="35"/>
  <c r="T72" i="34"/>
  <c r="U73" i="34" s="1"/>
  <c r="J75" i="34"/>
  <c r="L75" i="34"/>
  <c r="I75" i="34"/>
  <c r="K75" i="34"/>
  <c r="W72" i="31"/>
  <c r="X72" i="31"/>
  <c r="Y72" i="31"/>
  <c r="V72" i="31"/>
  <c r="U73" i="31"/>
  <c r="G76" i="31"/>
  <c r="BB137" i="16"/>
  <c r="BC136" i="16"/>
  <c r="BD136" i="16"/>
  <c r="AR136" i="16"/>
  <c r="AQ137" i="16"/>
  <c r="AS136" i="16"/>
  <c r="AM136" i="16"/>
  <c r="AN136" i="16" s="1"/>
  <c r="AL137" i="16"/>
  <c r="X136" i="16"/>
  <c r="W137" i="16"/>
  <c r="AH136" i="16"/>
  <c r="AG137" i="16"/>
  <c r="AI136" i="16"/>
  <c r="AB137" i="16"/>
  <c r="AC136" i="16"/>
  <c r="AD136" i="16" s="1"/>
  <c r="Y136" i="16"/>
  <c r="AV138" i="16"/>
  <c r="AW137" i="16"/>
  <c r="AX137" i="16" s="1"/>
  <c r="T106" i="26"/>
  <c r="U107" i="26" s="1"/>
  <c r="W105" i="26"/>
  <c r="V105" i="26"/>
  <c r="Y105" i="26"/>
  <c r="X105" i="26"/>
  <c r="K81" i="26"/>
  <c r="I81" i="26"/>
  <c r="L81" i="26"/>
  <c r="J81" i="26"/>
  <c r="T138" i="16"/>
  <c r="AP137" i="16"/>
  <c r="AY137" i="16"/>
  <c r="AZ137" i="16" s="1"/>
  <c r="BA137" i="16" s="1"/>
  <c r="AF137" i="16"/>
  <c r="AA137" i="16"/>
  <c r="AK137" i="16"/>
  <c r="V137" i="16"/>
  <c r="AU137" i="16"/>
  <c r="W106" i="6"/>
  <c r="G65" i="6"/>
  <c r="L65" i="6" s="1"/>
  <c r="V106" i="6"/>
  <c r="U107" i="6"/>
  <c r="T107" i="6" s="1"/>
  <c r="Y107" i="6" s="1"/>
  <c r="X106" i="6"/>
  <c r="T74" i="35" l="1"/>
  <c r="L72" i="35"/>
  <c r="K72" i="35"/>
  <c r="J72" i="35"/>
  <c r="I72" i="35"/>
  <c r="H73" i="35"/>
  <c r="G76" i="34"/>
  <c r="H77" i="34" s="1"/>
  <c r="Y72" i="34"/>
  <c r="X72" i="34"/>
  <c r="W72" i="34"/>
  <c r="V72" i="34"/>
  <c r="I76" i="31"/>
  <c r="K76" i="31"/>
  <c r="L76" i="31"/>
  <c r="J76" i="31"/>
  <c r="H77" i="31"/>
  <c r="T73" i="31"/>
  <c r="BB138" i="16"/>
  <c r="BC137" i="16"/>
  <c r="BD137" i="16"/>
  <c r="AQ138" i="16"/>
  <c r="AR137" i="16"/>
  <c r="AS137" i="16"/>
  <c r="AM137" i="16"/>
  <c r="AN137" i="16" s="1"/>
  <c r="AL138" i="16"/>
  <c r="X137" i="16"/>
  <c r="Y137" i="16" s="1"/>
  <c r="W138" i="16"/>
  <c r="AC137" i="16"/>
  <c r="AD137" i="16" s="1"/>
  <c r="AB138" i="16"/>
  <c r="AG138" i="16"/>
  <c r="AH137" i="16"/>
  <c r="AI137" i="16" s="1"/>
  <c r="AW138" i="16"/>
  <c r="AX138" i="16" s="1"/>
  <c r="AV139" i="16"/>
  <c r="T107" i="26"/>
  <c r="U108" i="26" s="1"/>
  <c r="W106" i="26"/>
  <c r="Y106" i="26"/>
  <c r="X106" i="26"/>
  <c r="V106" i="26"/>
  <c r="H83" i="26"/>
  <c r="G83" i="26" s="1"/>
  <c r="T139" i="16"/>
  <c r="AY138" i="16"/>
  <c r="AZ138" i="16" s="1"/>
  <c r="BA138" i="16" s="1"/>
  <c r="AP138" i="16"/>
  <c r="AK138" i="16"/>
  <c r="AA138" i="16"/>
  <c r="AF138" i="16"/>
  <c r="AU138" i="16"/>
  <c r="V138" i="16"/>
  <c r="W107" i="6"/>
  <c r="J65" i="6"/>
  <c r="X107" i="6"/>
  <c r="V107" i="6"/>
  <c r="U108" i="6"/>
  <c r="T108" i="6" s="1"/>
  <c r="Y108" i="6" s="1"/>
  <c r="K65" i="6"/>
  <c r="I65" i="6"/>
  <c r="H66" i="6"/>
  <c r="G73" i="35" l="1"/>
  <c r="W74" i="35"/>
  <c r="V74" i="35"/>
  <c r="X74" i="35"/>
  <c r="Y74" i="35"/>
  <c r="U75" i="35"/>
  <c r="T73" i="34"/>
  <c r="U74" i="34" s="1"/>
  <c r="J76" i="34"/>
  <c r="L76" i="34"/>
  <c r="K76" i="34"/>
  <c r="I76" i="34"/>
  <c r="X73" i="31"/>
  <c r="Y73" i="31"/>
  <c r="W73" i="31"/>
  <c r="V73" i="31"/>
  <c r="U74" i="31"/>
  <c r="G77" i="31"/>
  <c r="BB139" i="16"/>
  <c r="BC138" i="16"/>
  <c r="BD138" i="16"/>
  <c r="AQ139" i="16"/>
  <c r="AR138" i="16"/>
  <c r="AS138" i="16"/>
  <c r="AM138" i="16"/>
  <c r="AN138" i="16" s="1"/>
  <c r="AL139" i="16"/>
  <c r="X138" i="16"/>
  <c r="W139" i="16"/>
  <c r="AH138" i="16"/>
  <c r="AI138" i="16" s="1"/>
  <c r="AG139" i="16"/>
  <c r="AC138" i="16"/>
  <c r="AB139" i="16"/>
  <c r="AD138" i="16"/>
  <c r="Y138" i="16"/>
  <c r="AV140" i="16"/>
  <c r="AW139" i="16"/>
  <c r="AX139" i="16" s="1"/>
  <c r="T108" i="26"/>
  <c r="U109" i="26" s="1"/>
  <c r="W107" i="26"/>
  <c r="Y107" i="26"/>
  <c r="X107" i="26"/>
  <c r="V107" i="26"/>
  <c r="K82" i="26"/>
  <c r="I82" i="26"/>
  <c r="L82" i="26"/>
  <c r="J82" i="26"/>
  <c r="T140" i="16"/>
  <c r="AY139" i="16"/>
  <c r="AZ139" i="16" s="1"/>
  <c r="BA139" i="16" s="1"/>
  <c r="AP139" i="16"/>
  <c r="AF139" i="16"/>
  <c r="AK139" i="16"/>
  <c r="AA139" i="16"/>
  <c r="AU139" i="16"/>
  <c r="V139" i="16"/>
  <c r="W108" i="6"/>
  <c r="G66" i="6"/>
  <c r="L66" i="6" s="1"/>
  <c r="X108" i="6"/>
  <c r="V108" i="6"/>
  <c r="U109" i="6"/>
  <c r="T109" i="6" s="1"/>
  <c r="Y109" i="6" s="1"/>
  <c r="T75" i="35" l="1"/>
  <c r="L73" i="35"/>
  <c r="K73" i="35"/>
  <c r="J73" i="35"/>
  <c r="I73" i="35"/>
  <c r="H74" i="35"/>
  <c r="G77" i="34"/>
  <c r="H78" i="34" s="1"/>
  <c r="Y73" i="34"/>
  <c r="X73" i="34"/>
  <c r="W73" i="34"/>
  <c r="V73" i="34"/>
  <c r="J77" i="31"/>
  <c r="K77" i="31"/>
  <c r="L77" i="31"/>
  <c r="I77" i="31"/>
  <c r="H78" i="31"/>
  <c r="T74" i="31"/>
  <c r="BB140" i="16"/>
  <c r="BC139" i="16"/>
  <c r="BD139" i="16" s="1"/>
  <c r="AR139" i="16"/>
  <c r="AS139" i="16" s="1"/>
  <c r="AQ140" i="16"/>
  <c r="AM139" i="16"/>
  <c r="AL140" i="16"/>
  <c r="AN139" i="16"/>
  <c r="W140" i="16"/>
  <c r="X139" i="16"/>
  <c r="Y139" i="16" s="1"/>
  <c r="AB140" i="16"/>
  <c r="AC139" i="16"/>
  <c r="AD139" i="16" s="1"/>
  <c r="AG140" i="16"/>
  <c r="AH139" i="16"/>
  <c r="AI139" i="16" s="1"/>
  <c r="AW140" i="16"/>
  <c r="AV141" i="16"/>
  <c r="AX140" i="16"/>
  <c r="T109" i="26"/>
  <c r="U110" i="26" s="1"/>
  <c r="V108" i="26"/>
  <c r="W108" i="26"/>
  <c r="X108" i="26"/>
  <c r="Y108" i="26"/>
  <c r="H84" i="26"/>
  <c r="G84" i="26" s="1"/>
  <c r="T141" i="16"/>
  <c r="AY140" i="16"/>
  <c r="AZ140" i="16" s="1"/>
  <c r="BA140" i="16" s="1"/>
  <c r="AP140" i="16"/>
  <c r="AK140" i="16"/>
  <c r="AA140" i="16"/>
  <c r="V140" i="16"/>
  <c r="AF140" i="16"/>
  <c r="AU140" i="16"/>
  <c r="W109" i="6"/>
  <c r="J66" i="6"/>
  <c r="H67" i="6"/>
  <c r="G67" i="6" s="1"/>
  <c r="L67" i="6" s="1"/>
  <c r="X109" i="6"/>
  <c r="V109" i="6"/>
  <c r="U110" i="6"/>
  <c r="T110" i="6" s="1"/>
  <c r="Y110" i="6" s="1"/>
  <c r="K66" i="6"/>
  <c r="I66" i="6"/>
  <c r="G74" i="35" l="1"/>
  <c r="W75" i="35"/>
  <c r="V75" i="35"/>
  <c r="X75" i="35"/>
  <c r="Y75" i="35"/>
  <c r="U76" i="35"/>
  <c r="T74" i="34"/>
  <c r="U75" i="34" s="1"/>
  <c r="J77" i="34"/>
  <c r="L77" i="34"/>
  <c r="K77" i="34"/>
  <c r="I77" i="34"/>
  <c r="Y74" i="31"/>
  <c r="V74" i="31"/>
  <c r="X74" i="31"/>
  <c r="W74" i="31"/>
  <c r="U75" i="31"/>
  <c r="G78" i="31"/>
  <c r="BC140" i="16"/>
  <c r="BD140" i="16" s="1"/>
  <c r="BB141" i="16"/>
  <c r="AR140" i="16"/>
  <c r="AQ141" i="16"/>
  <c r="AS140" i="16"/>
  <c r="AL141" i="16"/>
  <c r="AM140" i="16"/>
  <c r="AN140" i="16" s="1"/>
  <c r="X140" i="16"/>
  <c r="Y140" i="16" s="1"/>
  <c r="W141" i="16"/>
  <c r="AG141" i="16"/>
  <c r="AH140" i="16"/>
  <c r="AI140" i="16" s="1"/>
  <c r="AC140" i="16"/>
  <c r="AD140" i="16" s="1"/>
  <c r="AB141" i="16"/>
  <c r="AW141" i="16"/>
  <c r="AX141" i="16" s="1"/>
  <c r="AV142" i="16"/>
  <c r="T110" i="26"/>
  <c r="U111" i="26" s="1"/>
  <c r="W109" i="26"/>
  <c r="Y109" i="26"/>
  <c r="X109" i="26"/>
  <c r="V109" i="26"/>
  <c r="K83" i="26"/>
  <c r="I83" i="26"/>
  <c r="J83" i="26"/>
  <c r="L83" i="26"/>
  <c r="H85" i="26"/>
  <c r="G85" i="26" s="1"/>
  <c r="T142" i="16"/>
  <c r="AY141" i="16"/>
  <c r="AZ141" i="16" s="1"/>
  <c r="BA141" i="16" s="1"/>
  <c r="AP141" i="16"/>
  <c r="AF141" i="16"/>
  <c r="AK141" i="16"/>
  <c r="AA141" i="16"/>
  <c r="AU141" i="16"/>
  <c r="V141" i="16"/>
  <c r="W110" i="6"/>
  <c r="J67" i="6"/>
  <c r="X110" i="6"/>
  <c r="U111" i="6"/>
  <c r="T111" i="6" s="1"/>
  <c r="Y111" i="6" s="1"/>
  <c r="V110" i="6"/>
  <c r="K67" i="6"/>
  <c r="I67" i="6"/>
  <c r="H68" i="6"/>
  <c r="T76" i="35" l="1"/>
  <c r="L74" i="35"/>
  <c r="K74" i="35"/>
  <c r="J74" i="35"/>
  <c r="I74" i="35"/>
  <c r="H75" i="35"/>
  <c r="G78" i="34"/>
  <c r="H79" i="34" s="1"/>
  <c r="Y74" i="34"/>
  <c r="X74" i="34"/>
  <c r="W74" i="34"/>
  <c r="V74" i="34"/>
  <c r="L78" i="31"/>
  <c r="I78" i="31"/>
  <c r="K78" i="31"/>
  <c r="J78" i="31"/>
  <c r="H79" i="31"/>
  <c r="T75" i="31"/>
  <c r="BB142" i="16"/>
  <c r="BC141" i="16"/>
  <c r="BD141" i="16" s="1"/>
  <c r="AQ142" i="16"/>
  <c r="AR141" i="16"/>
  <c r="AS141" i="16" s="1"/>
  <c r="AM141" i="16"/>
  <c r="AL142" i="16"/>
  <c r="AN141" i="16"/>
  <c r="AH141" i="16"/>
  <c r="AI141" i="16" s="1"/>
  <c r="AG142" i="16"/>
  <c r="X141" i="16"/>
  <c r="Y141" i="16" s="1"/>
  <c r="W142" i="16"/>
  <c r="AB142" i="16"/>
  <c r="AC141" i="16"/>
  <c r="AD141" i="16" s="1"/>
  <c r="AW142" i="16"/>
  <c r="AX142" i="16" s="1"/>
  <c r="AV143" i="16"/>
  <c r="T111" i="26"/>
  <c r="U112" i="26" s="1"/>
  <c r="W110" i="26"/>
  <c r="X110" i="26"/>
  <c r="V110" i="26"/>
  <c r="Y110" i="26"/>
  <c r="K84" i="26"/>
  <c r="I84" i="26"/>
  <c r="L84" i="26"/>
  <c r="J84" i="26"/>
  <c r="T143" i="16"/>
  <c r="AY142" i="16"/>
  <c r="AZ142" i="16" s="1"/>
  <c r="BA142" i="16" s="1"/>
  <c r="AK142" i="16"/>
  <c r="AP142" i="16"/>
  <c r="AF142" i="16"/>
  <c r="AA142" i="16"/>
  <c r="AU142" i="16"/>
  <c r="V142" i="16"/>
  <c r="W111" i="6"/>
  <c r="G68" i="6"/>
  <c r="L68" i="6" s="1"/>
  <c r="V111" i="6"/>
  <c r="U112" i="6"/>
  <c r="T112" i="6" s="1"/>
  <c r="Y112" i="6" s="1"/>
  <c r="X111" i="6"/>
  <c r="G75" i="35" l="1"/>
  <c r="W76" i="35"/>
  <c r="V76" i="35"/>
  <c r="X76" i="35"/>
  <c r="Y76" i="35"/>
  <c r="U77" i="35"/>
  <c r="T75" i="34"/>
  <c r="U76" i="34" s="1"/>
  <c r="J78" i="34"/>
  <c r="L78" i="34"/>
  <c r="I78" i="34"/>
  <c r="K78" i="34"/>
  <c r="X75" i="31"/>
  <c r="W75" i="31"/>
  <c r="Y75" i="31"/>
  <c r="V75" i="31"/>
  <c r="U76" i="31"/>
  <c r="G79" i="31"/>
  <c r="BB143" i="16"/>
  <c r="BC142" i="16"/>
  <c r="BD142" i="16"/>
  <c r="AQ143" i="16"/>
  <c r="AR142" i="16"/>
  <c r="AS142" i="16"/>
  <c r="AM142" i="16"/>
  <c r="AN142" i="16" s="1"/>
  <c r="AL143" i="16"/>
  <c r="X142" i="16"/>
  <c r="W143" i="16"/>
  <c r="AG143" i="16"/>
  <c r="AH142" i="16"/>
  <c r="AB143" i="16"/>
  <c r="AC142" i="16"/>
  <c r="AD142" i="16" s="1"/>
  <c r="AI142" i="16"/>
  <c r="Y142" i="16"/>
  <c r="AW143" i="16"/>
  <c r="AX143" i="16" s="1"/>
  <c r="AV144" i="16"/>
  <c r="T112" i="26"/>
  <c r="U113" i="26" s="1"/>
  <c r="W111" i="26"/>
  <c r="Y111" i="26"/>
  <c r="X111" i="26"/>
  <c r="V111" i="26"/>
  <c r="H86" i="26"/>
  <c r="G86" i="26" s="1"/>
  <c r="T144" i="16"/>
  <c r="AY143" i="16"/>
  <c r="AZ143" i="16" s="1"/>
  <c r="BA143" i="16" s="1"/>
  <c r="AF143" i="16"/>
  <c r="AP143" i="16"/>
  <c r="AA143" i="16"/>
  <c r="AK143" i="16"/>
  <c r="AU143" i="16"/>
  <c r="V143" i="16"/>
  <c r="W112" i="6"/>
  <c r="J68" i="6"/>
  <c r="K68" i="6"/>
  <c r="I68" i="6"/>
  <c r="X112" i="6"/>
  <c r="V112" i="6"/>
  <c r="U113" i="6"/>
  <c r="T113" i="6" s="1"/>
  <c r="Y113" i="6" s="1"/>
  <c r="H69" i="6"/>
  <c r="T77" i="35" l="1"/>
  <c r="L75" i="35"/>
  <c r="K75" i="35"/>
  <c r="J75" i="35"/>
  <c r="I75" i="35"/>
  <c r="H76" i="35"/>
  <c r="G79" i="34"/>
  <c r="H80" i="34" s="1"/>
  <c r="Y75" i="34"/>
  <c r="X75" i="34"/>
  <c r="W75" i="34"/>
  <c r="V75" i="34"/>
  <c r="K79" i="31"/>
  <c r="J79" i="31"/>
  <c r="L79" i="31"/>
  <c r="I79" i="31"/>
  <c r="H80" i="31"/>
  <c r="T76" i="31"/>
  <c r="BB144" i="16"/>
  <c r="BC143" i="16"/>
  <c r="BD143" i="16" s="1"/>
  <c r="AQ144" i="16"/>
  <c r="AR143" i="16"/>
  <c r="AS143" i="16"/>
  <c r="AM143" i="16"/>
  <c r="AL144" i="16"/>
  <c r="AN143" i="16"/>
  <c r="AG144" i="16"/>
  <c r="AH143" i="16"/>
  <c r="AI143" i="16" s="1"/>
  <c r="W144" i="16"/>
  <c r="X143" i="16"/>
  <c r="Y143" i="16" s="1"/>
  <c r="AB144" i="16"/>
  <c r="AC143" i="16"/>
  <c r="AD143" i="16" s="1"/>
  <c r="AW144" i="16"/>
  <c r="AX144" i="16" s="1"/>
  <c r="AV145" i="16"/>
  <c r="T113" i="26"/>
  <c r="U114" i="26" s="1"/>
  <c r="V112" i="26"/>
  <c r="X112" i="26"/>
  <c r="W112" i="26"/>
  <c r="Y112" i="26"/>
  <c r="H87" i="26"/>
  <c r="G87" i="26" s="1"/>
  <c r="K85" i="26"/>
  <c r="I85" i="26"/>
  <c r="J85" i="26"/>
  <c r="L85" i="26"/>
  <c r="T145" i="16"/>
  <c r="AY144" i="16"/>
  <c r="AZ144" i="16" s="1"/>
  <c r="BA144" i="16" s="1"/>
  <c r="AF144" i="16"/>
  <c r="AK144" i="16"/>
  <c r="AP144" i="16"/>
  <c r="AA144" i="16"/>
  <c r="V144" i="16"/>
  <c r="AU144" i="16"/>
  <c r="W113" i="6"/>
  <c r="U114" i="6"/>
  <c r="T114" i="6" s="1"/>
  <c r="Y114" i="6" s="1"/>
  <c r="X113" i="6"/>
  <c r="V113" i="6"/>
  <c r="G69" i="6"/>
  <c r="L69" i="6" s="1"/>
  <c r="G76" i="35" l="1"/>
  <c r="W77" i="35"/>
  <c r="V77" i="35"/>
  <c r="X77" i="35"/>
  <c r="Y77" i="35"/>
  <c r="U78" i="35"/>
  <c r="T76" i="34"/>
  <c r="U77" i="34" s="1"/>
  <c r="J79" i="34"/>
  <c r="L79" i="34"/>
  <c r="K79" i="34"/>
  <c r="I79" i="34"/>
  <c r="Y76" i="31"/>
  <c r="W76" i="31"/>
  <c r="V76" i="31"/>
  <c r="X76" i="31"/>
  <c r="U77" i="31"/>
  <c r="G80" i="31"/>
  <c r="BB145" i="16"/>
  <c r="BC144" i="16"/>
  <c r="BD144" i="16"/>
  <c r="AR144" i="16"/>
  <c r="AS144" i="16" s="1"/>
  <c r="AQ145" i="16"/>
  <c r="AM144" i="16"/>
  <c r="AN144" i="16" s="1"/>
  <c r="AL145" i="16"/>
  <c r="W145" i="16"/>
  <c r="X144" i="16"/>
  <c r="Y144" i="16" s="1"/>
  <c r="AG145" i="16"/>
  <c r="AH144" i="16"/>
  <c r="AI144" i="16" s="1"/>
  <c r="AC144" i="16"/>
  <c r="AD144" i="16" s="1"/>
  <c r="AB145" i="16"/>
  <c r="AW145" i="16"/>
  <c r="AX145" i="16" s="1"/>
  <c r="AV146" i="16"/>
  <c r="T114" i="26"/>
  <c r="U115" i="26" s="1"/>
  <c r="Y113" i="26"/>
  <c r="X113" i="26"/>
  <c r="W113" i="26"/>
  <c r="V113" i="26"/>
  <c r="K86" i="26"/>
  <c r="I86" i="26"/>
  <c r="L86" i="26"/>
  <c r="J86" i="26"/>
  <c r="H88" i="26"/>
  <c r="G88" i="26" s="1"/>
  <c r="T146" i="16"/>
  <c r="AY145" i="16"/>
  <c r="AZ145" i="16" s="1"/>
  <c r="BA145" i="16" s="1"/>
  <c r="AP145" i="16"/>
  <c r="AK145" i="16"/>
  <c r="AF145" i="16"/>
  <c r="AA145" i="16"/>
  <c r="V145" i="16"/>
  <c r="AU145" i="16"/>
  <c r="J69" i="6"/>
  <c r="W114" i="6"/>
  <c r="H70" i="6"/>
  <c r="G70" i="6" s="1"/>
  <c r="L70" i="6" s="1"/>
  <c r="K69" i="6"/>
  <c r="I69" i="6"/>
  <c r="V114" i="6"/>
  <c r="U115" i="6"/>
  <c r="T115" i="6" s="1"/>
  <c r="Y115" i="6" s="1"/>
  <c r="X114" i="6"/>
  <c r="T78" i="35" l="1"/>
  <c r="L76" i="35"/>
  <c r="K76" i="35"/>
  <c r="J76" i="35"/>
  <c r="I76" i="35"/>
  <c r="H77" i="35"/>
  <c r="G80" i="34"/>
  <c r="H81" i="34" s="1"/>
  <c r="Y76" i="34"/>
  <c r="X76" i="34"/>
  <c r="W76" i="34"/>
  <c r="V76" i="34"/>
  <c r="L80" i="31"/>
  <c r="J80" i="31"/>
  <c r="I80" i="31"/>
  <c r="K80" i="31"/>
  <c r="H81" i="31"/>
  <c r="T77" i="31"/>
  <c r="BB146" i="16"/>
  <c r="BC145" i="16"/>
  <c r="BD145" i="16" s="1"/>
  <c r="AR145" i="16"/>
  <c r="AQ146" i="16"/>
  <c r="AS145" i="16"/>
  <c r="AM145" i="16"/>
  <c r="AN145" i="16" s="1"/>
  <c r="AL146" i="16"/>
  <c r="X145" i="16"/>
  <c r="Y145" i="16" s="1"/>
  <c r="W146" i="16"/>
  <c r="AC145" i="16"/>
  <c r="AD145" i="16" s="1"/>
  <c r="AB146" i="16"/>
  <c r="AH145" i="16"/>
  <c r="AI145" i="16" s="1"/>
  <c r="AG146" i="16"/>
  <c r="AV147" i="16"/>
  <c r="AW146" i="16"/>
  <c r="AX146" i="16" s="1"/>
  <c r="T115" i="26"/>
  <c r="U116" i="26" s="1"/>
  <c r="W114" i="26"/>
  <c r="Y114" i="26"/>
  <c r="X114" i="26"/>
  <c r="V114" i="26"/>
  <c r="K87" i="26"/>
  <c r="I87" i="26"/>
  <c r="L87" i="26"/>
  <c r="J87" i="26"/>
  <c r="T147" i="16"/>
  <c r="AY146" i="16"/>
  <c r="AZ146" i="16" s="1"/>
  <c r="BA146" i="16" s="1"/>
  <c r="AP146" i="16"/>
  <c r="AA146" i="16"/>
  <c r="AK146" i="16"/>
  <c r="AF146" i="16"/>
  <c r="V146" i="16"/>
  <c r="AU146" i="16"/>
  <c r="W115" i="6"/>
  <c r="J70" i="6"/>
  <c r="X115" i="6"/>
  <c r="V115" i="6"/>
  <c r="U116" i="6"/>
  <c r="T116" i="6" s="1"/>
  <c r="Y116" i="6" s="1"/>
  <c r="K70" i="6"/>
  <c r="I70" i="6"/>
  <c r="H71" i="6"/>
  <c r="G77" i="35" l="1"/>
  <c r="W78" i="35"/>
  <c r="V78" i="35"/>
  <c r="X78" i="35"/>
  <c r="Y78" i="35"/>
  <c r="U79" i="35"/>
  <c r="T77" i="34"/>
  <c r="U78" i="34" s="1"/>
  <c r="J80" i="34"/>
  <c r="L80" i="34"/>
  <c r="K80" i="34"/>
  <c r="I80" i="34"/>
  <c r="Y77" i="31"/>
  <c r="X77" i="31"/>
  <c r="W77" i="31"/>
  <c r="V77" i="31"/>
  <c r="U78" i="31"/>
  <c r="G81" i="31"/>
  <c r="BB147" i="16"/>
  <c r="BC146" i="16"/>
  <c r="BD146" i="16"/>
  <c r="AR146" i="16"/>
  <c r="AQ147" i="16"/>
  <c r="AS146" i="16"/>
  <c r="AM146" i="16"/>
  <c r="AN146" i="16" s="1"/>
  <c r="AL147" i="16"/>
  <c r="AG147" i="16"/>
  <c r="AH146" i="16"/>
  <c r="AI146" i="16" s="1"/>
  <c r="AB147" i="16"/>
  <c r="AC146" i="16"/>
  <c r="AD146" i="16" s="1"/>
  <c r="X146" i="16"/>
  <c r="Y146" i="16" s="1"/>
  <c r="W147" i="16"/>
  <c r="AW147" i="16"/>
  <c r="AX147" i="16" s="1"/>
  <c r="AV148" i="16"/>
  <c r="T116" i="26"/>
  <c r="U117" i="26" s="1"/>
  <c r="X115" i="26"/>
  <c r="V115" i="26"/>
  <c r="Y115" i="26"/>
  <c r="W115" i="26"/>
  <c r="H89" i="26"/>
  <c r="G89" i="26" s="1"/>
  <c r="T148" i="16"/>
  <c r="AY147" i="16"/>
  <c r="AZ147" i="16" s="1"/>
  <c r="BA147" i="16" s="1"/>
  <c r="AK147" i="16"/>
  <c r="AP147" i="16"/>
  <c r="AA147" i="16"/>
  <c r="AF147" i="16"/>
  <c r="V147" i="16"/>
  <c r="AU147" i="16"/>
  <c r="W116" i="6"/>
  <c r="G71" i="6"/>
  <c r="L71" i="6" s="1"/>
  <c r="X116" i="6"/>
  <c r="V116" i="6"/>
  <c r="U117" i="6"/>
  <c r="T117" i="6" s="1"/>
  <c r="Y117" i="6" s="1"/>
  <c r="T79" i="35" l="1"/>
  <c r="L77" i="35"/>
  <c r="K77" i="35"/>
  <c r="J77" i="35"/>
  <c r="I77" i="35"/>
  <c r="H78" i="35"/>
  <c r="G81" i="34"/>
  <c r="H82" i="34" s="1"/>
  <c r="Y77" i="34"/>
  <c r="X77" i="34"/>
  <c r="W77" i="34"/>
  <c r="V77" i="34"/>
  <c r="L81" i="31"/>
  <c r="K81" i="31"/>
  <c r="I81" i="31"/>
  <c r="J81" i="31"/>
  <c r="H82" i="31"/>
  <c r="T78" i="31"/>
  <c r="BB148" i="16"/>
  <c r="BC147" i="16"/>
  <c r="BD147" i="16" s="1"/>
  <c r="AR147" i="16"/>
  <c r="AS147" i="16" s="1"/>
  <c r="AQ148" i="16"/>
  <c r="AM147" i="16"/>
  <c r="AN147" i="16" s="1"/>
  <c r="AL148" i="16"/>
  <c r="AC147" i="16"/>
  <c r="AD147" i="16" s="1"/>
  <c r="AB148" i="16"/>
  <c r="X147" i="16"/>
  <c r="Y147" i="16" s="1"/>
  <c r="W148" i="16"/>
  <c r="AG148" i="16"/>
  <c r="AH147" i="16"/>
  <c r="AI147" i="16" s="1"/>
  <c r="AW148" i="16"/>
  <c r="AX148" i="16" s="1"/>
  <c r="AV149" i="16"/>
  <c r="T117" i="26"/>
  <c r="U118" i="26" s="1"/>
  <c r="Y116" i="26"/>
  <c r="W116" i="26"/>
  <c r="X116" i="26"/>
  <c r="V116" i="26"/>
  <c r="K88" i="26"/>
  <c r="I88" i="26"/>
  <c r="L88" i="26"/>
  <c r="J88" i="26"/>
  <c r="T149" i="16"/>
  <c r="AP148" i="16"/>
  <c r="AY148" i="16"/>
  <c r="AZ148" i="16" s="1"/>
  <c r="BA148" i="16" s="1"/>
  <c r="AK148" i="16"/>
  <c r="AA148" i="16"/>
  <c r="V148" i="16"/>
  <c r="AF148" i="16"/>
  <c r="AU148" i="16"/>
  <c r="W117" i="6"/>
  <c r="J71" i="6"/>
  <c r="X117" i="6"/>
  <c r="V117" i="6"/>
  <c r="U118" i="6"/>
  <c r="T118" i="6" s="1"/>
  <c r="Y118" i="6" s="1"/>
  <c r="I71" i="6"/>
  <c r="K71" i="6"/>
  <c r="H72" i="6"/>
  <c r="G78" i="35" l="1"/>
  <c r="W79" i="35"/>
  <c r="V79" i="35"/>
  <c r="X79" i="35"/>
  <c r="Y79" i="35"/>
  <c r="U80" i="35"/>
  <c r="T78" i="34"/>
  <c r="U79" i="34" s="1"/>
  <c r="K81" i="34"/>
  <c r="I81" i="34"/>
  <c r="L81" i="34"/>
  <c r="J81" i="34"/>
  <c r="V78" i="31"/>
  <c r="X78" i="31"/>
  <c r="Y78" i="31"/>
  <c r="W78" i="31"/>
  <c r="U79" i="31"/>
  <c r="G82" i="31"/>
  <c r="BB149" i="16"/>
  <c r="BC148" i="16"/>
  <c r="BD148" i="16"/>
  <c r="AQ149" i="16"/>
  <c r="AR148" i="16"/>
  <c r="AS148" i="16"/>
  <c r="AM148" i="16"/>
  <c r="AN148" i="16" s="1"/>
  <c r="AL149" i="16"/>
  <c r="AB149" i="16"/>
  <c r="AC148" i="16"/>
  <c r="AD148" i="16" s="1"/>
  <c r="AH148" i="16"/>
  <c r="AI148" i="16" s="1"/>
  <c r="AG149" i="16"/>
  <c r="X148" i="16"/>
  <c r="Y148" i="16" s="1"/>
  <c r="W149" i="16"/>
  <c r="AV150" i="16"/>
  <c r="AW149" i="16"/>
  <c r="AX149" i="16" s="1"/>
  <c r="T118" i="26"/>
  <c r="U119" i="26" s="1"/>
  <c r="W117" i="26"/>
  <c r="X117" i="26"/>
  <c r="V117" i="26"/>
  <c r="Y117" i="26"/>
  <c r="H90" i="26"/>
  <c r="G90" i="26" s="1"/>
  <c r="T150" i="16"/>
  <c r="AP149" i="16"/>
  <c r="AY149" i="16"/>
  <c r="AZ149" i="16" s="1"/>
  <c r="BA149" i="16" s="1"/>
  <c r="AF149" i="16"/>
  <c r="AK149" i="16"/>
  <c r="AA149" i="16"/>
  <c r="AU149" i="16"/>
  <c r="V149" i="16"/>
  <c r="W118" i="6"/>
  <c r="X118" i="6"/>
  <c r="U119" i="6"/>
  <c r="T119" i="6" s="1"/>
  <c r="Y119" i="6" s="1"/>
  <c r="V118" i="6"/>
  <c r="G72" i="6"/>
  <c r="L72" i="6" s="1"/>
  <c r="T80" i="35" l="1"/>
  <c r="L78" i="35"/>
  <c r="K78" i="35"/>
  <c r="J78" i="35"/>
  <c r="I78" i="35"/>
  <c r="H79" i="35"/>
  <c r="G82" i="34"/>
  <c r="H83" i="34" s="1"/>
  <c r="Y78" i="34"/>
  <c r="X78" i="34"/>
  <c r="W78" i="34"/>
  <c r="V78" i="34"/>
  <c r="I82" i="31"/>
  <c r="L82" i="31"/>
  <c r="K82" i="31"/>
  <c r="J82" i="31"/>
  <c r="H83" i="31"/>
  <c r="T79" i="31"/>
  <c r="BB150" i="16"/>
  <c r="BC149" i="16"/>
  <c r="BD149" i="16"/>
  <c r="AQ150" i="16"/>
  <c r="AR149" i="16"/>
  <c r="AS149" i="16"/>
  <c r="AM149" i="16"/>
  <c r="AN149" i="16" s="1"/>
  <c r="AL150" i="16"/>
  <c r="W150" i="16"/>
  <c r="X149" i="16"/>
  <c r="Y149" i="16" s="1"/>
  <c r="AB150" i="16"/>
  <c r="AC149" i="16"/>
  <c r="AD149" i="16" s="1"/>
  <c r="AH149" i="16"/>
  <c r="AI149" i="16" s="1"/>
  <c r="AG150" i="16"/>
  <c r="AW150" i="16"/>
  <c r="AX150" i="16" s="1"/>
  <c r="AV151" i="16"/>
  <c r="T119" i="26"/>
  <c r="U120" i="26" s="1"/>
  <c r="W118" i="26"/>
  <c r="V118" i="26"/>
  <c r="Y118" i="26"/>
  <c r="X118" i="26"/>
  <c r="K89" i="26"/>
  <c r="I89" i="26"/>
  <c r="L89" i="26"/>
  <c r="J89" i="26"/>
  <c r="Y121" i="6"/>
  <c r="Y123" i="6"/>
  <c r="AF13" i="6" s="1"/>
  <c r="T151" i="16"/>
  <c r="AY150" i="16"/>
  <c r="AZ150" i="16" s="1"/>
  <c r="BA150" i="16" s="1"/>
  <c r="AP150" i="16"/>
  <c r="AA150" i="16"/>
  <c r="AF150" i="16"/>
  <c r="AK150" i="16"/>
  <c r="V150" i="16"/>
  <c r="AU150" i="16"/>
  <c r="W119" i="6"/>
  <c r="J72" i="6"/>
  <c r="H73" i="6"/>
  <c r="G73" i="6" s="1"/>
  <c r="L73" i="6" s="1"/>
  <c r="V119" i="6"/>
  <c r="X119" i="6"/>
  <c r="K72" i="6"/>
  <c r="I72" i="6"/>
  <c r="G79" i="35" l="1"/>
  <c r="W80" i="35"/>
  <c r="V80" i="35"/>
  <c r="X80" i="35"/>
  <c r="Y80" i="35"/>
  <c r="U81" i="35"/>
  <c r="T79" i="34"/>
  <c r="U80" i="34" s="1"/>
  <c r="L82" i="34"/>
  <c r="J82" i="34"/>
  <c r="K82" i="34"/>
  <c r="I82" i="34"/>
  <c r="W79" i="31"/>
  <c r="X79" i="31"/>
  <c r="Y79" i="31"/>
  <c r="V79" i="31"/>
  <c r="U80" i="31"/>
  <c r="G83" i="31"/>
  <c r="BB151" i="16"/>
  <c r="BC150" i="16"/>
  <c r="BD150" i="16"/>
  <c r="AQ151" i="16"/>
  <c r="AR150" i="16"/>
  <c r="AS150" i="16"/>
  <c r="AM150" i="16"/>
  <c r="AN150" i="16" s="1"/>
  <c r="AL151" i="16"/>
  <c r="AH150" i="16"/>
  <c r="AI150" i="16" s="1"/>
  <c r="AG151" i="16"/>
  <c r="AC150" i="16"/>
  <c r="AB151" i="16"/>
  <c r="AD150" i="16"/>
  <c r="X150" i="16"/>
  <c r="Y150" i="16" s="1"/>
  <c r="W151" i="16"/>
  <c r="AV152" i="16"/>
  <c r="AW151" i="16"/>
  <c r="AX151" i="16" s="1"/>
  <c r="T120" i="26"/>
  <c r="U121" i="26" s="1"/>
  <c r="W119" i="26"/>
  <c r="X119" i="26"/>
  <c r="Y119" i="26"/>
  <c r="V119" i="26"/>
  <c r="H91" i="26"/>
  <c r="G91" i="26" s="1"/>
  <c r="X121" i="6"/>
  <c r="X123" i="6"/>
  <c r="T152" i="16"/>
  <c r="AY151" i="16"/>
  <c r="AZ151" i="16" s="1"/>
  <c r="BA151" i="16" s="1"/>
  <c r="AP151" i="16"/>
  <c r="AF151" i="16"/>
  <c r="AK151" i="16"/>
  <c r="AA151" i="16"/>
  <c r="V151" i="16"/>
  <c r="AU151" i="16"/>
  <c r="J73" i="6"/>
  <c r="I73" i="6"/>
  <c r="K73" i="6"/>
  <c r="H74" i="6"/>
  <c r="T81" i="35" l="1"/>
  <c r="L79" i="35"/>
  <c r="K79" i="35"/>
  <c r="J79" i="35"/>
  <c r="I79" i="35"/>
  <c r="H80" i="35"/>
  <c r="G83" i="34"/>
  <c r="H84" i="34" s="1"/>
  <c r="Y79" i="34"/>
  <c r="X79" i="34"/>
  <c r="W79" i="34"/>
  <c r="V79" i="34"/>
  <c r="K83" i="31"/>
  <c r="J83" i="31"/>
  <c r="L83" i="31"/>
  <c r="I83" i="31"/>
  <c r="H84" i="31"/>
  <c r="T80" i="31"/>
  <c r="BB152" i="16"/>
  <c r="BC151" i="16"/>
  <c r="BD151" i="16" s="1"/>
  <c r="AR151" i="16"/>
  <c r="AS151" i="16" s="1"/>
  <c r="AQ152" i="16"/>
  <c r="AL152" i="16"/>
  <c r="AM151" i="16"/>
  <c r="AN151" i="16" s="1"/>
  <c r="AB152" i="16"/>
  <c r="AC151" i="16"/>
  <c r="AD151" i="16" s="1"/>
  <c r="AG152" i="16"/>
  <c r="AH151" i="16"/>
  <c r="AI151" i="16" s="1"/>
  <c r="W152" i="16"/>
  <c r="X151" i="16"/>
  <c r="Y151" i="16" s="1"/>
  <c r="AW152" i="16"/>
  <c r="AX152" i="16" s="1"/>
  <c r="AV153" i="16"/>
  <c r="Y422" i="26"/>
  <c r="AF13" i="26" s="1"/>
  <c r="Y420" i="26"/>
  <c r="X420" i="26"/>
  <c r="AG12" i="26" s="1"/>
  <c r="X422" i="26"/>
  <c r="AG13" i="26" s="1"/>
  <c r="T121" i="26"/>
  <c r="U122" i="26" s="1"/>
  <c r="Y120" i="26"/>
  <c r="X120" i="26"/>
  <c r="V120" i="26"/>
  <c r="W120" i="26"/>
  <c r="K90" i="26"/>
  <c r="I90" i="26"/>
  <c r="J90" i="26"/>
  <c r="L90" i="26"/>
  <c r="T153" i="16"/>
  <c r="AY152" i="16"/>
  <c r="AZ152" i="16" s="1"/>
  <c r="BA152" i="16" s="1"/>
  <c r="AP152" i="16"/>
  <c r="AK152" i="16"/>
  <c r="AA152" i="16"/>
  <c r="AF152" i="16"/>
  <c r="V152" i="16"/>
  <c r="AU152" i="16"/>
  <c r="G74" i="6"/>
  <c r="L74" i="6" s="1"/>
  <c r="G80" i="35" l="1"/>
  <c r="W81" i="35"/>
  <c r="V81" i="35"/>
  <c r="X81" i="35"/>
  <c r="Y81" i="35"/>
  <c r="U82" i="35"/>
  <c r="T80" i="34"/>
  <c r="U81" i="34" s="1"/>
  <c r="K83" i="34"/>
  <c r="I83" i="34"/>
  <c r="L83" i="34"/>
  <c r="J83" i="34"/>
  <c r="Y80" i="31"/>
  <c r="V80" i="31"/>
  <c r="X80" i="31"/>
  <c r="W80" i="31"/>
  <c r="U81" i="31"/>
  <c r="G84" i="31"/>
  <c r="BB153" i="16"/>
  <c r="BC152" i="16"/>
  <c r="BD152" i="16"/>
  <c r="AR152" i="16"/>
  <c r="AS152" i="16" s="1"/>
  <c r="AQ153" i="16"/>
  <c r="AL153" i="16"/>
  <c r="AM152" i="16"/>
  <c r="AN152" i="16"/>
  <c r="W153" i="16"/>
  <c r="X152" i="16"/>
  <c r="Y152" i="16" s="1"/>
  <c r="AH152" i="16"/>
  <c r="AI152" i="16" s="1"/>
  <c r="AG153" i="16"/>
  <c r="AC152" i="16"/>
  <c r="AD152" i="16" s="1"/>
  <c r="AB153" i="16"/>
  <c r="AW153" i="16"/>
  <c r="AX153" i="16" s="1"/>
  <c r="AV154" i="16"/>
  <c r="AF12" i="26"/>
  <c r="T122" i="26"/>
  <c r="U123" i="26" s="1"/>
  <c r="Y121" i="26"/>
  <c r="X121" i="26"/>
  <c r="W121" i="26"/>
  <c r="V121" i="26"/>
  <c r="H92" i="26"/>
  <c r="G92" i="26" s="1"/>
  <c r="T154" i="16"/>
  <c r="AY153" i="16"/>
  <c r="AZ153" i="16" s="1"/>
  <c r="BA153" i="16" s="1"/>
  <c r="AP153" i="16"/>
  <c r="AF153" i="16"/>
  <c r="AK153" i="16"/>
  <c r="AA153" i="16"/>
  <c r="V153" i="16"/>
  <c r="AU153" i="16"/>
  <c r="J74" i="6"/>
  <c r="K74" i="6"/>
  <c r="I74" i="6"/>
  <c r="H75" i="6"/>
  <c r="T82" i="35" l="1"/>
  <c r="L80" i="35"/>
  <c r="K80" i="35"/>
  <c r="J80" i="35"/>
  <c r="I80" i="35"/>
  <c r="H81" i="35"/>
  <c r="G84" i="34"/>
  <c r="H85" i="34" s="1"/>
  <c r="Y80" i="34"/>
  <c r="X80" i="34"/>
  <c r="W80" i="34"/>
  <c r="V80" i="34"/>
  <c r="K84" i="31"/>
  <c r="J84" i="31"/>
  <c r="I84" i="31"/>
  <c r="L84" i="31"/>
  <c r="H85" i="31"/>
  <c r="T81" i="31"/>
  <c r="BB154" i="16"/>
  <c r="BC153" i="16"/>
  <c r="BD153" i="16"/>
  <c r="AR153" i="16"/>
  <c r="AS153" i="16" s="1"/>
  <c r="AQ154" i="16"/>
  <c r="AM153" i="16"/>
  <c r="AL154" i="16"/>
  <c r="AN153" i="16"/>
  <c r="AH153" i="16"/>
  <c r="AI153" i="16" s="1"/>
  <c r="AG154" i="16"/>
  <c r="X153" i="16"/>
  <c r="Y153" i="16" s="1"/>
  <c r="W154" i="16"/>
  <c r="AB154" i="16"/>
  <c r="AC153" i="16"/>
  <c r="AD153" i="16" s="1"/>
  <c r="AW154" i="16"/>
  <c r="AX154" i="16" s="1"/>
  <c r="AV155" i="16"/>
  <c r="T123" i="26"/>
  <c r="U124" i="26" s="1"/>
  <c r="X122" i="26"/>
  <c r="W122" i="26"/>
  <c r="V122" i="26"/>
  <c r="Y122" i="26"/>
  <c r="K91" i="26"/>
  <c r="I91" i="26"/>
  <c r="L91" i="26"/>
  <c r="J91" i="26"/>
  <c r="T155" i="16"/>
  <c r="AY154" i="16"/>
  <c r="AZ154" i="16" s="1"/>
  <c r="BA154" i="16" s="1"/>
  <c r="AP154" i="16"/>
  <c r="AK154" i="16"/>
  <c r="AA154" i="16"/>
  <c r="AF154" i="16"/>
  <c r="V154" i="16"/>
  <c r="AU154" i="16"/>
  <c r="G75" i="6"/>
  <c r="L75" i="6" s="1"/>
  <c r="G81" i="35" l="1"/>
  <c r="W82" i="35"/>
  <c r="V82" i="35"/>
  <c r="X82" i="35"/>
  <c r="Y82" i="35"/>
  <c r="U83" i="35"/>
  <c r="T81" i="34"/>
  <c r="U82" i="34" s="1"/>
  <c r="L84" i="34"/>
  <c r="J84" i="34"/>
  <c r="I84" i="34"/>
  <c r="K84" i="34"/>
  <c r="X81" i="31"/>
  <c r="W81" i="31"/>
  <c r="Y81" i="31"/>
  <c r="V81" i="31"/>
  <c r="U82" i="31"/>
  <c r="G85" i="31"/>
  <c r="BB155" i="16"/>
  <c r="BC154" i="16"/>
  <c r="BD154" i="16"/>
  <c r="AR154" i="16"/>
  <c r="AS154" i="16" s="1"/>
  <c r="AQ155" i="16"/>
  <c r="AM154" i="16"/>
  <c r="AL155" i="16"/>
  <c r="AN154" i="16"/>
  <c r="AH154" i="16"/>
  <c r="AI154" i="16" s="1"/>
  <c r="AG155" i="16"/>
  <c r="AB155" i="16"/>
  <c r="AC154" i="16"/>
  <c r="AD154" i="16" s="1"/>
  <c r="X154" i="16"/>
  <c r="Y154" i="16" s="1"/>
  <c r="W155" i="16"/>
  <c r="AW155" i="16"/>
  <c r="AX155" i="16" s="1"/>
  <c r="AV156" i="16"/>
  <c r="T124" i="26"/>
  <c r="U125" i="26" s="1"/>
  <c r="X123" i="26"/>
  <c r="V123" i="26"/>
  <c r="W123" i="26"/>
  <c r="Y123" i="26"/>
  <c r="H93" i="26"/>
  <c r="G93" i="26" s="1"/>
  <c r="T156" i="16"/>
  <c r="AY155" i="16"/>
  <c r="AZ155" i="16" s="1"/>
  <c r="BA155" i="16" s="1"/>
  <c r="AP155" i="16"/>
  <c r="AF155" i="16"/>
  <c r="AA155" i="16"/>
  <c r="AK155" i="16"/>
  <c r="AU155" i="16"/>
  <c r="V155" i="16"/>
  <c r="J75" i="6"/>
  <c r="K75" i="6"/>
  <c r="I75" i="6"/>
  <c r="H76" i="6"/>
  <c r="T83" i="35" l="1"/>
  <c r="L81" i="35"/>
  <c r="K81" i="35"/>
  <c r="J81" i="35"/>
  <c r="I81" i="35"/>
  <c r="H82" i="35"/>
  <c r="G85" i="34"/>
  <c r="H86" i="34" s="1"/>
  <c r="Y81" i="34"/>
  <c r="X81" i="34"/>
  <c r="W81" i="34"/>
  <c r="V81" i="34"/>
  <c r="K85" i="31"/>
  <c r="J85" i="31"/>
  <c r="I85" i="31"/>
  <c r="L85" i="31"/>
  <c r="H86" i="31"/>
  <c r="T82" i="31"/>
  <c r="BB156" i="16"/>
  <c r="BC155" i="16"/>
  <c r="BD155" i="16" s="1"/>
  <c r="AQ156" i="16"/>
  <c r="AR155" i="16"/>
  <c r="AS155" i="16" s="1"/>
  <c r="AM155" i="16"/>
  <c r="AN155" i="16" s="1"/>
  <c r="AL156" i="16"/>
  <c r="AB156" i="16"/>
  <c r="AC155" i="16"/>
  <c r="AD155" i="16" s="1"/>
  <c r="AH155" i="16"/>
  <c r="AI155" i="16" s="1"/>
  <c r="AG156" i="16"/>
  <c r="W156" i="16"/>
  <c r="X155" i="16"/>
  <c r="Y155" i="16" s="1"/>
  <c r="AW156" i="16"/>
  <c r="AX156" i="16" s="1"/>
  <c r="AV157" i="16"/>
  <c r="T125" i="26"/>
  <c r="U126" i="26" s="1"/>
  <c r="V124" i="26"/>
  <c r="Y124" i="26"/>
  <c r="X124" i="26"/>
  <c r="W124" i="26"/>
  <c r="K92" i="26"/>
  <c r="I92" i="26"/>
  <c r="L92" i="26"/>
  <c r="J92" i="26"/>
  <c r="T157" i="16"/>
  <c r="AY156" i="16"/>
  <c r="AZ156" i="16" s="1"/>
  <c r="BA156" i="16" s="1"/>
  <c r="AF156" i="16"/>
  <c r="AK156" i="16"/>
  <c r="AP156" i="16"/>
  <c r="AA156" i="16"/>
  <c r="V156" i="16"/>
  <c r="AU156" i="16"/>
  <c r="G76" i="6"/>
  <c r="L76" i="6" s="1"/>
  <c r="G82" i="35" l="1"/>
  <c r="W83" i="35"/>
  <c r="V83" i="35"/>
  <c r="X83" i="35"/>
  <c r="Y83" i="35"/>
  <c r="U84" i="35"/>
  <c r="T82" i="34"/>
  <c r="U83" i="34" s="1"/>
  <c r="K85" i="34"/>
  <c r="J85" i="34"/>
  <c r="I85" i="34"/>
  <c r="L85" i="34"/>
  <c r="Y82" i="31"/>
  <c r="W82" i="31"/>
  <c r="V82" i="31"/>
  <c r="X82" i="31"/>
  <c r="U83" i="31"/>
  <c r="G86" i="31"/>
  <c r="BB157" i="16"/>
  <c r="BC156" i="16"/>
  <c r="BD156" i="16"/>
  <c r="AR156" i="16"/>
  <c r="AS156" i="16" s="1"/>
  <c r="AQ157" i="16"/>
  <c r="AM156" i="16"/>
  <c r="AL157" i="16"/>
  <c r="AN156" i="16"/>
  <c r="W157" i="16"/>
  <c r="X156" i="16"/>
  <c r="Y156" i="16" s="1"/>
  <c r="AG157" i="16"/>
  <c r="AH156" i="16"/>
  <c r="AI156" i="16" s="1"/>
  <c r="AB157" i="16"/>
  <c r="AC156" i="16"/>
  <c r="AD156" i="16" s="1"/>
  <c r="AW157" i="16"/>
  <c r="AX157" i="16" s="1"/>
  <c r="AV158" i="16"/>
  <c r="T126" i="26"/>
  <c r="U127" i="26" s="1"/>
  <c r="V125" i="26"/>
  <c r="Y125" i="26"/>
  <c r="X125" i="26"/>
  <c r="W125" i="26"/>
  <c r="H94" i="26"/>
  <c r="G94" i="26" s="1"/>
  <c r="T158" i="16"/>
  <c r="AY157" i="16"/>
  <c r="AZ157" i="16" s="1"/>
  <c r="BA157" i="16" s="1"/>
  <c r="AP157" i="16"/>
  <c r="AK157" i="16"/>
  <c r="AF157" i="16"/>
  <c r="AA157" i="16"/>
  <c r="V157" i="16"/>
  <c r="AU157" i="16"/>
  <c r="J76" i="6"/>
  <c r="K76" i="6"/>
  <c r="I76" i="6"/>
  <c r="H77" i="6"/>
  <c r="T84" i="35" l="1"/>
  <c r="L82" i="35"/>
  <c r="K82" i="35"/>
  <c r="J82" i="35"/>
  <c r="I82" i="35"/>
  <c r="H83" i="35"/>
  <c r="G86" i="34"/>
  <c r="H87" i="34" s="1"/>
  <c r="Y82" i="34"/>
  <c r="X82" i="34"/>
  <c r="W82" i="34"/>
  <c r="V82" i="34"/>
  <c r="K86" i="31"/>
  <c r="J86" i="31"/>
  <c r="L86" i="31"/>
  <c r="I86" i="31"/>
  <c r="H87" i="31"/>
  <c r="T83" i="31"/>
  <c r="BB158" i="16"/>
  <c r="BC157" i="16"/>
  <c r="BD157" i="16"/>
  <c r="AR157" i="16"/>
  <c r="AS157" i="16" s="1"/>
  <c r="AQ158" i="16"/>
  <c r="AM157" i="16"/>
  <c r="AN157" i="16" s="1"/>
  <c r="AL158" i="16"/>
  <c r="X157" i="16"/>
  <c r="Y157" i="16" s="1"/>
  <c r="W158" i="16"/>
  <c r="AB158" i="16"/>
  <c r="AC157" i="16"/>
  <c r="AD157" i="16" s="1"/>
  <c r="AH157" i="16"/>
  <c r="AI157" i="16" s="1"/>
  <c r="AG158" i="16"/>
  <c r="AV159" i="16"/>
  <c r="AW158" i="16"/>
  <c r="AX158" i="16" s="1"/>
  <c r="T127" i="26"/>
  <c r="U128" i="26" s="1"/>
  <c r="V126" i="26"/>
  <c r="Y126" i="26"/>
  <c r="X126" i="26"/>
  <c r="W126" i="26"/>
  <c r="K93" i="26"/>
  <c r="I93" i="26"/>
  <c r="L93" i="26"/>
  <c r="J93" i="26"/>
  <c r="T159" i="16"/>
  <c r="AY158" i="16"/>
  <c r="AZ158" i="16" s="1"/>
  <c r="BA158" i="16" s="1"/>
  <c r="AP158" i="16"/>
  <c r="AK158" i="16"/>
  <c r="AA158" i="16"/>
  <c r="AF158" i="16"/>
  <c r="V158" i="16"/>
  <c r="AU158" i="16"/>
  <c r="G77" i="6"/>
  <c r="L77" i="6" s="1"/>
  <c r="G83" i="35" l="1"/>
  <c r="W84" i="35"/>
  <c r="V84" i="35"/>
  <c r="X84" i="35"/>
  <c r="Y84" i="35"/>
  <c r="U85" i="35"/>
  <c r="T83" i="34"/>
  <c r="U84" i="34" s="1"/>
  <c r="L86" i="34"/>
  <c r="K86" i="34"/>
  <c r="J86" i="34"/>
  <c r="I86" i="34"/>
  <c r="Y83" i="31"/>
  <c r="X83" i="31"/>
  <c r="W83" i="31"/>
  <c r="V83" i="31"/>
  <c r="U84" i="31"/>
  <c r="G87" i="31"/>
  <c r="BB159" i="16"/>
  <c r="BC158" i="16"/>
  <c r="BD158" i="16"/>
  <c r="AR158" i="16"/>
  <c r="AQ159" i="16"/>
  <c r="AS158" i="16"/>
  <c r="AM158" i="16"/>
  <c r="AN158" i="16" s="1"/>
  <c r="AL159" i="16"/>
  <c r="AB159" i="16"/>
  <c r="AC158" i="16"/>
  <c r="AH158" i="16"/>
  <c r="AI158" i="16" s="1"/>
  <c r="AG159" i="16"/>
  <c r="AD158" i="16"/>
  <c r="X158" i="16"/>
  <c r="Y158" i="16" s="1"/>
  <c r="W159" i="16"/>
  <c r="AW159" i="16"/>
  <c r="AX159" i="16" s="1"/>
  <c r="AV160" i="16"/>
  <c r="T128" i="26"/>
  <c r="U129" i="26" s="1"/>
  <c r="Y127" i="26"/>
  <c r="X127" i="26"/>
  <c r="W127" i="26"/>
  <c r="V127" i="26"/>
  <c r="H95" i="26"/>
  <c r="G95" i="26" s="1"/>
  <c r="T160" i="16"/>
  <c r="AY159" i="16"/>
  <c r="AZ159" i="16" s="1"/>
  <c r="BA159" i="16" s="1"/>
  <c r="AK159" i="16"/>
  <c r="AP159" i="16"/>
  <c r="AA159" i="16"/>
  <c r="AF159" i="16"/>
  <c r="V159" i="16"/>
  <c r="AU159" i="16"/>
  <c r="J77" i="6"/>
  <c r="K77" i="6"/>
  <c r="I77" i="6"/>
  <c r="H78" i="6"/>
  <c r="T85" i="35" l="1"/>
  <c r="L83" i="35"/>
  <c r="K83" i="35"/>
  <c r="J83" i="35"/>
  <c r="I83" i="35"/>
  <c r="H84" i="35"/>
  <c r="G87" i="34"/>
  <c r="H88" i="34" s="1"/>
  <c r="Y83" i="34"/>
  <c r="X83" i="34"/>
  <c r="W83" i="34"/>
  <c r="V83" i="34"/>
  <c r="K87" i="31"/>
  <c r="J87" i="31"/>
  <c r="L87" i="31"/>
  <c r="I87" i="31"/>
  <c r="H88" i="31"/>
  <c r="T84" i="31"/>
  <c r="BB160" i="16"/>
  <c r="BC159" i="16"/>
  <c r="BD159" i="16" s="1"/>
  <c r="AQ160" i="16"/>
  <c r="AR159" i="16"/>
  <c r="AS159" i="16" s="1"/>
  <c r="AM159" i="16"/>
  <c r="AN159" i="16" s="1"/>
  <c r="AL160" i="16"/>
  <c r="X159" i="16"/>
  <c r="Y159" i="16" s="1"/>
  <c r="W160" i="16"/>
  <c r="AH159" i="16"/>
  <c r="AI159" i="16" s="1"/>
  <c r="AG160" i="16"/>
  <c r="AC159" i="16"/>
  <c r="AD159" i="16" s="1"/>
  <c r="AB160" i="16"/>
  <c r="AW160" i="16"/>
  <c r="AX160" i="16" s="1"/>
  <c r="AV161" i="16"/>
  <c r="T129" i="26"/>
  <c r="U130" i="26" s="1"/>
  <c r="Y128" i="26"/>
  <c r="X128" i="26"/>
  <c r="W128" i="26"/>
  <c r="V128" i="26"/>
  <c r="K94" i="26"/>
  <c r="I94" i="26"/>
  <c r="L94" i="26"/>
  <c r="J94" i="26"/>
  <c r="T161" i="16"/>
  <c r="AP160" i="16"/>
  <c r="AK160" i="16"/>
  <c r="AY160" i="16"/>
  <c r="AZ160" i="16" s="1"/>
  <c r="BA160" i="16" s="1"/>
  <c r="AA160" i="16"/>
  <c r="AF160" i="16"/>
  <c r="AU160" i="16"/>
  <c r="V160" i="16"/>
  <c r="G78" i="6"/>
  <c r="L78" i="6" s="1"/>
  <c r="G84" i="35" l="1"/>
  <c r="H85" i="35" s="1"/>
  <c r="W85" i="35"/>
  <c r="V85" i="35"/>
  <c r="X85" i="35"/>
  <c r="Y85" i="35"/>
  <c r="U86" i="35"/>
  <c r="T84" i="34"/>
  <c r="U85" i="34" s="1"/>
  <c r="L87" i="34"/>
  <c r="K87" i="34"/>
  <c r="J87" i="34"/>
  <c r="I87" i="34"/>
  <c r="W84" i="31"/>
  <c r="X84" i="31"/>
  <c r="Y84" i="31"/>
  <c r="V84" i="31"/>
  <c r="U85" i="31"/>
  <c r="G88" i="31"/>
  <c r="BB161" i="16"/>
  <c r="BC160" i="16"/>
  <c r="BD160" i="16"/>
  <c r="AQ161" i="16"/>
  <c r="AR160" i="16"/>
  <c r="AS160" i="16"/>
  <c r="AM160" i="16"/>
  <c r="AN160" i="16" s="1"/>
  <c r="AL161" i="16"/>
  <c r="AH160" i="16"/>
  <c r="AI160" i="16" s="1"/>
  <c r="AG161" i="16"/>
  <c r="X160" i="16"/>
  <c r="Y160" i="16" s="1"/>
  <c r="W161" i="16"/>
  <c r="AC160" i="16"/>
  <c r="AD160" i="16" s="1"/>
  <c r="AB161" i="16"/>
  <c r="AV162" i="16"/>
  <c r="AW161" i="16"/>
  <c r="AX161" i="16" s="1"/>
  <c r="T130" i="26"/>
  <c r="U131" i="26" s="1"/>
  <c r="Y129" i="26"/>
  <c r="X129" i="26"/>
  <c r="W129" i="26"/>
  <c r="V129" i="26"/>
  <c r="H96" i="26"/>
  <c r="G96" i="26" s="1"/>
  <c r="T162" i="16"/>
  <c r="AP161" i="16"/>
  <c r="AY161" i="16"/>
  <c r="AZ161" i="16" s="1"/>
  <c r="BA161" i="16" s="1"/>
  <c r="AF161" i="16"/>
  <c r="AA161" i="16"/>
  <c r="AK161" i="16"/>
  <c r="V161" i="16"/>
  <c r="AU161" i="16"/>
  <c r="J78" i="6"/>
  <c r="K78" i="6"/>
  <c r="I78" i="6"/>
  <c r="H79" i="6"/>
  <c r="G85" i="35" l="1"/>
  <c r="H86" i="35" s="1"/>
  <c r="T86" i="35"/>
  <c r="L84" i="35"/>
  <c r="K84" i="35"/>
  <c r="J84" i="35"/>
  <c r="I84" i="35"/>
  <c r="G88" i="34"/>
  <c r="H89" i="34" s="1"/>
  <c r="Y84" i="34"/>
  <c r="X84" i="34"/>
  <c r="W84" i="34"/>
  <c r="V84" i="34"/>
  <c r="K88" i="31"/>
  <c r="J88" i="31"/>
  <c r="I88" i="31"/>
  <c r="L88" i="31"/>
  <c r="H89" i="31"/>
  <c r="T85" i="31"/>
  <c r="BB162" i="16"/>
  <c r="BC161" i="16"/>
  <c r="BD161" i="16" s="1"/>
  <c r="AQ162" i="16"/>
  <c r="AR161" i="16"/>
  <c r="AS161" i="16" s="1"/>
  <c r="AM161" i="16"/>
  <c r="AN161" i="16" s="1"/>
  <c r="AL162" i="16"/>
  <c r="X161" i="16"/>
  <c r="Y161" i="16" s="1"/>
  <c r="W162" i="16"/>
  <c r="AC161" i="16"/>
  <c r="AD161" i="16" s="1"/>
  <c r="AB162" i="16"/>
  <c r="AG162" i="16"/>
  <c r="AH161" i="16"/>
  <c r="AI161" i="16" s="1"/>
  <c r="AV163" i="16"/>
  <c r="AW162" i="16"/>
  <c r="AX162" i="16" s="1"/>
  <c r="T131" i="26"/>
  <c r="U132" i="26" s="1"/>
  <c r="Y130" i="26"/>
  <c r="X130" i="26"/>
  <c r="W130" i="26"/>
  <c r="V130" i="26"/>
  <c r="K95" i="26"/>
  <c r="I95" i="26"/>
  <c r="L95" i="26"/>
  <c r="J95" i="26"/>
  <c r="T163" i="16"/>
  <c r="AY162" i="16"/>
  <c r="AZ162" i="16" s="1"/>
  <c r="BA162" i="16" s="1"/>
  <c r="AP162" i="16"/>
  <c r="AA162" i="16"/>
  <c r="AK162" i="16"/>
  <c r="AF162" i="16"/>
  <c r="V162" i="16"/>
  <c r="AU162" i="16"/>
  <c r="G79" i="6"/>
  <c r="L79" i="6" s="1"/>
  <c r="W86" i="35" l="1"/>
  <c r="V86" i="35"/>
  <c r="X86" i="35"/>
  <c r="Y86" i="35"/>
  <c r="U87" i="35"/>
  <c r="L85" i="35"/>
  <c r="K85" i="35"/>
  <c r="J85" i="35"/>
  <c r="I85" i="35"/>
  <c r="G86" i="35"/>
  <c r="H87" i="35" s="1"/>
  <c r="T85" i="34"/>
  <c r="U86" i="34" s="1"/>
  <c r="L88" i="34"/>
  <c r="K88" i="34"/>
  <c r="J88" i="34"/>
  <c r="I88" i="34"/>
  <c r="W85" i="31"/>
  <c r="V85" i="31"/>
  <c r="Y85" i="31"/>
  <c r="X85" i="31"/>
  <c r="U86" i="31"/>
  <c r="G89" i="31"/>
  <c r="BB163" i="16"/>
  <c r="BC162" i="16"/>
  <c r="BD162" i="16" s="1"/>
  <c r="AR162" i="16"/>
  <c r="AS162" i="16" s="1"/>
  <c r="AQ163" i="16"/>
  <c r="AM162" i="16"/>
  <c r="AL163" i="16"/>
  <c r="AN162" i="16"/>
  <c r="X162" i="16"/>
  <c r="Y162" i="16" s="1"/>
  <c r="W163" i="16"/>
  <c r="AH162" i="16"/>
  <c r="AG163" i="16"/>
  <c r="AI162" i="16"/>
  <c r="AC162" i="16"/>
  <c r="AD162" i="16" s="1"/>
  <c r="AB163" i="16"/>
  <c r="AV164" i="16"/>
  <c r="AW163" i="16"/>
  <c r="AX163" i="16" s="1"/>
  <c r="T132" i="26"/>
  <c r="U133" i="26" s="1"/>
  <c r="Y131" i="26"/>
  <c r="X131" i="26"/>
  <c r="W131" i="26"/>
  <c r="V131" i="26"/>
  <c r="H97" i="26"/>
  <c r="G97" i="26" s="1"/>
  <c r="T164" i="16"/>
  <c r="AY163" i="16"/>
  <c r="AZ163" i="16" s="1"/>
  <c r="BA163" i="16" s="1"/>
  <c r="AP163" i="16"/>
  <c r="AF163" i="16"/>
  <c r="AA163" i="16"/>
  <c r="AK163" i="16"/>
  <c r="V163" i="16"/>
  <c r="AU163" i="16"/>
  <c r="AG13" i="6"/>
  <c r="AF12" i="6"/>
  <c r="J79" i="6"/>
  <c r="I79" i="6"/>
  <c r="K79" i="6"/>
  <c r="H80" i="6"/>
  <c r="G87" i="35" l="1"/>
  <c r="H88" i="35" s="1"/>
  <c r="L86" i="35"/>
  <c r="K86" i="35"/>
  <c r="J86" i="35"/>
  <c r="I86" i="35"/>
  <c r="T87" i="35"/>
  <c r="G89" i="34"/>
  <c r="H90" i="34" s="1"/>
  <c r="V85" i="34"/>
  <c r="Y85" i="34"/>
  <c r="X85" i="34"/>
  <c r="W85" i="34"/>
  <c r="K89" i="31"/>
  <c r="L89" i="31"/>
  <c r="J89" i="31"/>
  <c r="I89" i="31"/>
  <c r="H90" i="31"/>
  <c r="T86" i="31"/>
  <c r="BB164" i="16"/>
  <c r="BC163" i="16"/>
  <c r="BD163" i="16" s="1"/>
  <c r="AR163" i="16"/>
  <c r="AS163" i="16" s="1"/>
  <c r="AQ164" i="16"/>
  <c r="AL164" i="16"/>
  <c r="AM163" i="16"/>
  <c r="AN163" i="16" s="1"/>
  <c r="AB164" i="16"/>
  <c r="AC163" i="16"/>
  <c r="AD163" i="16" s="1"/>
  <c r="X163" i="16"/>
  <c r="Y163" i="16" s="1"/>
  <c r="W164" i="16"/>
  <c r="AG164" i="16"/>
  <c r="AH163" i="16"/>
  <c r="AI163" i="16" s="1"/>
  <c r="AW164" i="16"/>
  <c r="AX164" i="16" s="1"/>
  <c r="AV165" i="16"/>
  <c r="T133" i="26"/>
  <c r="U134" i="26" s="1"/>
  <c r="Y132" i="26"/>
  <c r="X132" i="26"/>
  <c r="W132" i="26"/>
  <c r="V132" i="26"/>
  <c r="K96" i="26"/>
  <c r="I96" i="26"/>
  <c r="L96" i="26"/>
  <c r="J96" i="26"/>
  <c r="H98" i="26"/>
  <c r="G98" i="26" s="1"/>
  <c r="T165" i="16"/>
  <c r="AY164" i="16"/>
  <c r="AZ164" i="16" s="1"/>
  <c r="BA164" i="16" s="1"/>
  <c r="AP164" i="16"/>
  <c r="AF164" i="16"/>
  <c r="AA164" i="16"/>
  <c r="AK164" i="16"/>
  <c r="V164" i="16"/>
  <c r="AU164" i="16"/>
  <c r="AG12" i="6"/>
  <c r="G80" i="6"/>
  <c r="L80" i="6" s="1"/>
  <c r="W87" i="35" l="1"/>
  <c r="V87" i="35"/>
  <c r="X87" i="35"/>
  <c r="Y87" i="35"/>
  <c r="G88" i="35"/>
  <c r="U88" i="35"/>
  <c r="L87" i="35"/>
  <c r="K87" i="35"/>
  <c r="J87" i="35"/>
  <c r="I87" i="35"/>
  <c r="T86" i="34"/>
  <c r="U87" i="34" s="1"/>
  <c r="L89" i="34"/>
  <c r="K89" i="34"/>
  <c r="J89" i="34"/>
  <c r="I89" i="34"/>
  <c r="Y86" i="31"/>
  <c r="W86" i="31"/>
  <c r="V86" i="31"/>
  <c r="X86" i="31"/>
  <c r="U87" i="31"/>
  <c r="G90" i="31"/>
  <c r="BC164" i="16"/>
  <c r="BB165" i="16"/>
  <c r="BD164" i="16"/>
  <c r="AR164" i="16"/>
  <c r="AS164" i="16" s="1"/>
  <c r="AQ165" i="16"/>
  <c r="AL165" i="16"/>
  <c r="AM164" i="16"/>
  <c r="AN164" i="16" s="1"/>
  <c r="X164" i="16"/>
  <c r="Y164" i="16" s="1"/>
  <c r="W165" i="16"/>
  <c r="AC164" i="16"/>
  <c r="AD164" i="16" s="1"/>
  <c r="AB165" i="16"/>
  <c r="AH164" i="16"/>
  <c r="AI164" i="16" s="1"/>
  <c r="AG165" i="16"/>
  <c r="AW165" i="16"/>
  <c r="AX165" i="16" s="1"/>
  <c r="AV166" i="16"/>
  <c r="T134" i="26"/>
  <c r="U135" i="26" s="1"/>
  <c r="Y133" i="26"/>
  <c r="X133" i="26"/>
  <c r="W133" i="26"/>
  <c r="V133" i="26"/>
  <c r="K97" i="26"/>
  <c r="I97" i="26"/>
  <c r="J97" i="26"/>
  <c r="L97" i="26"/>
  <c r="T166" i="16"/>
  <c r="AY165" i="16"/>
  <c r="AZ165" i="16" s="1"/>
  <c r="BA165" i="16" s="1"/>
  <c r="AP165" i="16"/>
  <c r="AF165" i="16"/>
  <c r="AK165" i="16"/>
  <c r="AA165" i="16"/>
  <c r="AU165" i="16"/>
  <c r="V165" i="16"/>
  <c r="J80" i="6"/>
  <c r="K80" i="6"/>
  <c r="I80" i="6"/>
  <c r="H81" i="6"/>
  <c r="T88" i="35" l="1"/>
  <c r="L88" i="35"/>
  <c r="K88" i="35"/>
  <c r="J88" i="35"/>
  <c r="I88" i="35"/>
  <c r="H89" i="35"/>
  <c r="G90" i="34"/>
  <c r="H91" i="34" s="1"/>
  <c r="W86" i="34"/>
  <c r="Y86" i="34"/>
  <c r="X86" i="34"/>
  <c r="V86" i="34"/>
  <c r="K90" i="31"/>
  <c r="I90" i="31"/>
  <c r="J90" i="31"/>
  <c r="L90" i="31"/>
  <c r="H91" i="31"/>
  <c r="T87" i="31"/>
  <c r="BB166" i="16"/>
  <c r="BC165" i="16"/>
  <c r="BD165" i="16"/>
  <c r="AR165" i="16"/>
  <c r="AQ166" i="16"/>
  <c r="AS165" i="16"/>
  <c r="AM165" i="16"/>
  <c r="AN165" i="16" s="1"/>
  <c r="AL166" i="16"/>
  <c r="AB166" i="16"/>
  <c r="AC165" i="16"/>
  <c r="X165" i="16"/>
  <c r="Y165" i="16" s="1"/>
  <c r="W166" i="16"/>
  <c r="AD165" i="16"/>
  <c r="AH165" i="16"/>
  <c r="AI165" i="16" s="1"/>
  <c r="AG166" i="16"/>
  <c r="AW166" i="16"/>
  <c r="AX166" i="16" s="1"/>
  <c r="AV167" i="16"/>
  <c r="T135" i="26"/>
  <c r="U136" i="26" s="1"/>
  <c r="V134" i="26"/>
  <c r="Y134" i="26"/>
  <c r="X134" i="26"/>
  <c r="W134" i="26"/>
  <c r="H99" i="26"/>
  <c r="G99" i="26" s="1"/>
  <c r="T167" i="16"/>
  <c r="AY166" i="16"/>
  <c r="AZ166" i="16" s="1"/>
  <c r="BA166" i="16" s="1"/>
  <c r="AP166" i="16"/>
  <c r="AK166" i="16"/>
  <c r="AF166" i="16"/>
  <c r="AA166" i="16"/>
  <c r="AU166" i="16"/>
  <c r="V166" i="16"/>
  <c r="G81" i="6"/>
  <c r="L81" i="6" s="1"/>
  <c r="G89" i="35" l="1"/>
  <c r="W88" i="35"/>
  <c r="V88" i="35"/>
  <c r="X88" i="35"/>
  <c r="Y88" i="35"/>
  <c r="U89" i="35"/>
  <c r="T87" i="34"/>
  <c r="U88" i="34" s="1"/>
  <c r="L90" i="34"/>
  <c r="K90" i="34"/>
  <c r="J90" i="34"/>
  <c r="I90" i="34"/>
  <c r="Y87" i="31"/>
  <c r="X87" i="31"/>
  <c r="W87" i="31"/>
  <c r="V87" i="31"/>
  <c r="U88" i="31"/>
  <c r="G91" i="31"/>
  <c r="BB167" i="16"/>
  <c r="BC166" i="16"/>
  <c r="BD166" i="16"/>
  <c r="AQ167" i="16"/>
  <c r="AR166" i="16"/>
  <c r="AS166" i="16" s="1"/>
  <c r="AM166" i="16"/>
  <c r="AL167" i="16"/>
  <c r="AN166" i="16"/>
  <c r="X166" i="16"/>
  <c r="Y166" i="16" s="1"/>
  <c r="W167" i="16"/>
  <c r="AB167" i="16"/>
  <c r="AC166" i="16"/>
  <c r="AD166" i="16" s="1"/>
  <c r="AG167" i="16"/>
  <c r="AH166" i="16"/>
  <c r="AI166" i="16" s="1"/>
  <c r="AV168" i="16"/>
  <c r="AW167" i="16"/>
  <c r="AX167" i="16" s="1"/>
  <c r="T136" i="26"/>
  <c r="U137" i="26" s="1"/>
  <c r="Y135" i="26"/>
  <c r="X135" i="26"/>
  <c r="V135" i="26"/>
  <c r="W135" i="26"/>
  <c r="K98" i="26"/>
  <c r="I98" i="26"/>
  <c r="L98" i="26"/>
  <c r="J98" i="26"/>
  <c r="T168" i="16"/>
  <c r="AY167" i="16"/>
  <c r="AZ167" i="16" s="1"/>
  <c r="BA167" i="16" s="1"/>
  <c r="AF167" i="16"/>
  <c r="AP167" i="16"/>
  <c r="AK167" i="16"/>
  <c r="AA167" i="16"/>
  <c r="V167" i="16"/>
  <c r="AU167" i="16"/>
  <c r="J81" i="6"/>
  <c r="I81" i="6"/>
  <c r="K81" i="6"/>
  <c r="H82" i="6"/>
  <c r="T89" i="35" l="1"/>
  <c r="L89" i="35"/>
  <c r="K89" i="35"/>
  <c r="J89" i="35"/>
  <c r="I89" i="35"/>
  <c r="H90" i="35"/>
  <c r="G91" i="34"/>
  <c r="H92" i="34" s="1"/>
  <c r="X87" i="34"/>
  <c r="V87" i="34"/>
  <c r="Y87" i="34"/>
  <c r="W87" i="34"/>
  <c r="K91" i="31"/>
  <c r="J91" i="31"/>
  <c r="I91" i="31"/>
  <c r="L91" i="31"/>
  <c r="H92" i="31"/>
  <c r="T88" i="31"/>
  <c r="BB168" i="16"/>
  <c r="BC167" i="16"/>
  <c r="BD167" i="16" s="1"/>
  <c r="AQ168" i="16"/>
  <c r="AR167" i="16"/>
  <c r="AS167" i="16"/>
  <c r="AM167" i="16"/>
  <c r="AL168" i="16"/>
  <c r="AN167" i="16"/>
  <c r="X167" i="16"/>
  <c r="Y167" i="16" s="1"/>
  <c r="W168" i="16"/>
  <c r="AB168" i="16"/>
  <c r="AC167" i="16"/>
  <c r="AD167" i="16" s="1"/>
  <c r="AG168" i="16"/>
  <c r="AH167" i="16"/>
  <c r="AI167" i="16" s="1"/>
  <c r="AW168" i="16"/>
  <c r="AX168" i="16" s="1"/>
  <c r="AV169" i="16"/>
  <c r="T137" i="26"/>
  <c r="U138" i="26" s="1"/>
  <c r="Y136" i="26"/>
  <c r="X136" i="26"/>
  <c r="W136" i="26"/>
  <c r="V136" i="26"/>
  <c r="H100" i="26"/>
  <c r="G100" i="26" s="1"/>
  <c r="T169" i="16"/>
  <c r="AY168" i="16"/>
  <c r="AZ168" i="16" s="1"/>
  <c r="BA168" i="16" s="1"/>
  <c r="AF168" i="16"/>
  <c r="AP168" i="16"/>
  <c r="AK168" i="16"/>
  <c r="AA168" i="16"/>
  <c r="AU168" i="16"/>
  <c r="V168" i="16"/>
  <c r="G82" i="6"/>
  <c r="L82" i="6" s="1"/>
  <c r="G90" i="35" l="1"/>
  <c r="W89" i="35"/>
  <c r="V89" i="35"/>
  <c r="X89" i="35"/>
  <c r="Y89" i="35"/>
  <c r="U90" i="35"/>
  <c r="T88" i="34"/>
  <c r="U89" i="34" s="1"/>
  <c r="I91" i="34"/>
  <c r="L91" i="34"/>
  <c r="K91" i="34"/>
  <c r="J91" i="34"/>
  <c r="Y88" i="31"/>
  <c r="W88" i="31"/>
  <c r="X88" i="31"/>
  <c r="V88" i="31"/>
  <c r="U89" i="31"/>
  <c r="G92" i="31"/>
  <c r="BB169" i="16"/>
  <c r="BC168" i="16"/>
  <c r="BD168" i="16"/>
  <c r="AQ169" i="16"/>
  <c r="AR168" i="16"/>
  <c r="AS168" i="16" s="1"/>
  <c r="AM168" i="16"/>
  <c r="AN168" i="16" s="1"/>
  <c r="AL169" i="16"/>
  <c r="W169" i="16"/>
  <c r="X168" i="16"/>
  <c r="Y168" i="16" s="1"/>
  <c r="AB169" i="16"/>
  <c r="AC168" i="16"/>
  <c r="AD168" i="16" s="1"/>
  <c r="AG169" i="16"/>
  <c r="AH168" i="16"/>
  <c r="AI168" i="16" s="1"/>
  <c r="AW169" i="16"/>
  <c r="AX169" i="16" s="1"/>
  <c r="AV170" i="16"/>
  <c r="T138" i="26"/>
  <c r="U139" i="26" s="1"/>
  <c r="Y137" i="26"/>
  <c r="X137" i="26"/>
  <c r="W137" i="26"/>
  <c r="V137" i="26"/>
  <c r="K99" i="26"/>
  <c r="I99" i="26"/>
  <c r="L99" i="26"/>
  <c r="J99" i="26"/>
  <c r="H101" i="26"/>
  <c r="G101" i="26" s="1"/>
  <c r="T170" i="16"/>
  <c r="AY169" i="16"/>
  <c r="AZ169" i="16" s="1"/>
  <c r="BA169" i="16" s="1"/>
  <c r="AP169" i="16"/>
  <c r="AK169" i="16"/>
  <c r="AF169" i="16"/>
  <c r="AA169" i="16"/>
  <c r="AU169" i="16"/>
  <c r="V169" i="16"/>
  <c r="J82" i="6"/>
  <c r="K82" i="6"/>
  <c r="I82" i="6"/>
  <c r="H83" i="6"/>
  <c r="T90" i="35" l="1"/>
  <c r="L90" i="35"/>
  <c r="K90" i="35"/>
  <c r="J90" i="35"/>
  <c r="I90" i="35"/>
  <c r="H91" i="35"/>
  <c r="G92" i="34"/>
  <c r="H93" i="34" s="1"/>
  <c r="Y88" i="34"/>
  <c r="W88" i="34"/>
  <c r="X88" i="34"/>
  <c r="V88" i="34"/>
  <c r="K92" i="31"/>
  <c r="L92" i="31"/>
  <c r="J92" i="31"/>
  <c r="I92" i="31"/>
  <c r="H93" i="31"/>
  <c r="T89" i="31"/>
  <c r="BB170" i="16"/>
  <c r="BC169" i="16"/>
  <c r="BD169" i="16"/>
  <c r="AR169" i="16"/>
  <c r="AQ170" i="16"/>
  <c r="AS169" i="16"/>
  <c r="AM169" i="16"/>
  <c r="AN169" i="16" s="1"/>
  <c r="AL170" i="16"/>
  <c r="AH169" i="16"/>
  <c r="AI169" i="16" s="1"/>
  <c r="AG170" i="16"/>
  <c r="W170" i="16"/>
  <c r="X169" i="16"/>
  <c r="Y169" i="16" s="1"/>
  <c r="AB170" i="16"/>
  <c r="AC169" i="16"/>
  <c r="AD169" i="16" s="1"/>
  <c r="AV171" i="16"/>
  <c r="AW170" i="16"/>
  <c r="AX170" i="16" s="1"/>
  <c r="T139" i="26"/>
  <c r="U140" i="26" s="1"/>
  <c r="Y138" i="26"/>
  <c r="X138" i="26"/>
  <c r="W138" i="26"/>
  <c r="V138" i="26"/>
  <c r="K100" i="26"/>
  <c r="I100" i="26"/>
  <c r="L100" i="26"/>
  <c r="J100" i="26"/>
  <c r="T171" i="16"/>
  <c r="AY170" i="16"/>
  <c r="AZ170" i="16" s="1"/>
  <c r="BA170" i="16" s="1"/>
  <c r="AP170" i="16"/>
  <c r="AA170" i="16"/>
  <c r="AK170" i="16"/>
  <c r="AF170" i="16"/>
  <c r="AU170" i="16"/>
  <c r="V170" i="16"/>
  <c r="G83" i="6"/>
  <c r="L83" i="6" s="1"/>
  <c r="G91" i="35" l="1"/>
  <c r="W90" i="35"/>
  <c r="V90" i="35"/>
  <c r="X90" i="35"/>
  <c r="Y90" i="35"/>
  <c r="U91" i="35"/>
  <c r="T89" i="34"/>
  <c r="U90" i="34" s="1"/>
  <c r="J92" i="34"/>
  <c r="L92" i="34"/>
  <c r="K92" i="34"/>
  <c r="I92" i="34"/>
  <c r="Y89" i="31"/>
  <c r="X89" i="31"/>
  <c r="W89" i="31"/>
  <c r="V89" i="31"/>
  <c r="U90" i="31"/>
  <c r="G93" i="31"/>
  <c r="BB171" i="16"/>
  <c r="BC170" i="16"/>
  <c r="BD170" i="16" s="1"/>
  <c r="AR170" i="16"/>
  <c r="AQ171" i="16"/>
  <c r="AS170" i="16"/>
  <c r="AM170" i="16"/>
  <c r="AN170" i="16" s="1"/>
  <c r="AL171" i="16"/>
  <c r="W171" i="16"/>
  <c r="X170" i="16"/>
  <c r="Y170" i="16" s="1"/>
  <c r="AH170" i="16"/>
  <c r="AI170" i="16" s="1"/>
  <c r="AG171" i="16"/>
  <c r="AB171" i="16"/>
  <c r="AC170" i="16"/>
  <c r="AD170" i="16" s="1"/>
  <c r="AW171" i="16"/>
  <c r="AX171" i="16" s="1"/>
  <c r="AV172" i="16"/>
  <c r="T140" i="26"/>
  <c r="U141" i="26" s="1"/>
  <c r="X139" i="26"/>
  <c r="W139" i="26"/>
  <c r="V139" i="26"/>
  <c r="Y139" i="26"/>
  <c r="H102" i="26"/>
  <c r="G102" i="26" s="1"/>
  <c r="T172" i="16"/>
  <c r="AY171" i="16"/>
  <c r="AZ171" i="16" s="1"/>
  <c r="BA171" i="16" s="1"/>
  <c r="AP171" i="16"/>
  <c r="AK171" i="16"/>
  <c r="AA171" i="16"/>
  <c r="AF171" i="16"/>
  <c r="AU171" i="16"/>
  <c r="V171" i="16"/>
  <c r="J83" i="6"/>
  <c r="K83" i="6"/>
  <c r="I83" i="6"/>
  <c r="H84" i="6"/>
  <c r="T91" i="35" l="1"/>
  <c r="L91" i="35"/>
  <c r="K91" i="35"/>
  <c r="J91" i="35"/>
  <c r="I91" i="35"/>
  <c r="H92" i="35"/>
  <c r="G93" i="34"/>
  <c r="H94" i="34" s="1"/>
  <c r="X89" i="34"/>
  <c r="V89" i="34"/>
  <c r="Y89" i="34"/>
  <c r="W89" i="34"/>
  <c r="K93" i="31"/>
  <c r="I93" i="31"/>
  <c r="J93" i="31"/>
  <c r="L93" i="31"/>
  <c r="H94" i="31"/>
  <c r="T90" i="31"/>
  <c r="BB172" i="16"/>
  <c r="BC171" i="16"/>
  <c r="BD171" i="16" s="1"/>
  <c r="AR171" i="16"/>
  <c r="AS171" i="16" s="1"/>
  <c r="AQ172" i="16"/>
  <c r="AM171" i="16"/>
  <c r="AN171" i="16" s="1"/>
  <c r="AL172" i="16"/>
  <c r="AH171" i="16"/>
  <c r="AI171" i="16" s="1"/>
  <c r="AG172" i="16"/>
  <c r="AC171" i="16"/>
  <c r="AD171" i="16" s="1"/>
  <c r="AB172" i="16"/>
  <c r="X171" i="16"/>
  <c r="Y171" i="16" s="1"/>
  <c r="W172" i="16"/>
  <c r="AV173" i="16"/>
  <c r="AW172" i="16"/>
  <c r="AX172" i="16" s="1"/>
  <c r="T141" i="26"/>
  <c r="U142" i="26" s="1"/>
  <c r="V140" i="26"/>
  <c r="W140" i="26"/>
  <c r="Y140" i="26"/>
  <c r="X140" i="26"/>
  <c r="K101" i="26"/>
  <c r="I101" i="26"/>
  <c r="L101" i="26"/>
  <c r="J101" i="26"/>
  <c r="T173" i="16"/>
  <c r="AY172" i="16"/>
  <c r="AZ172" i="16" s="1"/>
  <c r="BA172" i="16" s="1"/>
  <c r="AP172" i="16"/>
  <c r="AK172" i="16"/>
  <c r="AA172" i="16"/>
  <c r="AF172" i="16"/>
  <c r="V172" i="16"/>
  <c r="AU172" i="16"/>
  <c r="G84" i="6"/>
  <c r="L84" i="6" s="1"/>
  <c r="G92" i="35" l="1"/>
  <c r="W91" i="35"/>
  <c r="V91" i="35"/>
  <c r="X91" i="35"/>
  <c r="Y91" i="35"/>
  <c r="U92" i="35"/>
  <c r="T90" i="34"/>
  <c r="U91" i="34" s="1"/>
  <c r="K93" i="34"/>
  <c r="I93" i="34"/>
  <c r="L93" i="34"/>
  <c r="J93" i="34"/>
  <c r="Y90" i="31"/>
  <c r="X90" i="31"/>
  <c r="W90" i="31"/>
  <c r="V90" i="31"/>
  <c r="U91" i="31"/>
  <c r="G94" i="31"/>
  <c r="BB173" i="16"/>
  <c r="BC172" i="16"/>
  <c r="BD172" i="16"/>
  <c r="AQ173" i="16"/>
  <c r="AR172" i="16"/>
  <c r="AS172" i="16" s="1"/>
  <c r="AM172" i="16"/>
  <c r="AL173" i="16"/>
  <c r="AN172" i="16"/>
  <c r="X172" i="16"/>
  <c r="Y172" i="16" s="1"/>
  <c r="W173" i="16"/>
  <c r="AG173" i="16"/>
  <c r="AH172" i="16"/>
  <c r="AI172" i="16" s="1"/>
  <c r="AC172" i="16"/>
  <c r="AD172" i="16" s="1"/>
  <c r="AB173" i="16"/>
  <c r="AV174" i="16"/>
  <c r="AW173" i="16"/>
  <c r="AX173" i="16" s="1"/>
  <c r="T142" i="26"/>
  <c r="U143" i="26" s="1"/>
  <c r="W141" i="26"/>
  <c r="V141" i="26"/>
  <c r="Y141" i="26"/>
  <c r="X141" i="26"/>
  <c r="H103" i="26"/>
  <c r="G103" i="26" s="1"/>
  <c r="T174" i="16"/>
  <c r="AY173" i="16"/>
  <c r="AZ173" i="16" s="1"/>
  <c r="BA173" i="16" s="1"/>
  <c r="AP173" i="16"/>
  <c r="AK173" i="16"/>
  <c r="AF173" i="16"/>
  <c r="V173" i="16"/>
  <c r="AA173" i="16"/>
  <c r="AU173" i="16"/>
  <c r="J84" i="6"/>
  <c r="K84" i="6"/>
  <c r="I84" i="6"/>
  <c r="H85" i="6"/>
  <c r="T92" i="35" l="1"/>
  <c r="L92" i="35"/>
  <c r="K92" i="35"/>
  <c r="J92" i="35"/>
  <c r="I92" i="35"/>
  <c r="H93" i="35"/>
  <c r="G94" i="34"/>
  <c r="H95" i="34" s="1"/>
  <c r="Y90" i="34"/>
  <c r="W90" i="34"/>
  <c r="V90" i="34"/>
  <c r="X90" i="34"/>
  <c r="K94" i="31"/>
  <c r="J94" i="31"/>
  <c r="I94" i="31"/>
  <c r="L94" i="31"/>
  <c r="H95" i="31"/>
  <c r="T91" i="31"/>
  <c r="BB174" i="16"/>
  <c r="BC173" i="16"/>
  <c r="BD173" i="16"/>
  <c r="AQ174" i="16"/>
  <c r="AR173" i="16"/>
  <c r="AS173" i="16"/>
  <c r="AM173" i="16"/>
  <c r="AN173" i="16" s="1"/>
  <c r="AL174" i="16"/>
  <c r="AC173" i="16"/>
  <c r="AB174" i="16"/>
  <c r="AD173" i="16"/>
  <c r="X173" i="16"/>
  <c r="Y173" i="16" s="1"/>
  <c r="W174" i="16"/>
  <c r="AG174" i="16"/>
  <c r="AH173" i="16"/>
  <c r="AI173" i="16"/>
  <c r="AW174" i="16"/>
  <c r="AX174" i="16" s="1"/>
  <c r="AV175" i="16"/>
  <c r="T143" i="26"/>
  <c r="U144" i="26" s="1"/>
  <c r="Y142" i="26"/>
  <c r="X142" i="26"/>
  <c r="W142" i="26"/>
  <c r="V142" i="26"/>
  <c r="K102" i="26"/>
  <c r="I102" i="26"/>
  <c r="J102" i="26"/>
  <c r="L102" i="26"/>
  <c r="H104" i="26"/>
  <c r="G104" i="26" s="1"/>
  <c r="T175" i="16"/>
  <c r="AY174" i="16"/>
  <c r="AZ174" i="16" s="1"/>
  <c r="BA174" i="16" s="1"/>
  <c r="AP174" i="16"/>
  <c r="AA174" i="16"/>
  <c r="AK174" i="16"/>
  <c r="AF174" i="16"/>
  <c r="AU174" i="16"/>
  <c r="V174" i="16"/>
  <c r="G85" i="6"/>
  <c r="L85" i="6" s="1"/>
  <c r="G93" i="35" l="1"/>
  <c r="H94" i="35" s="1"/>
  <c r="W92" i="35"/>
  <c r="V92" i="35"/>
  <c r="X92" i="35"/>
  <c r="Y92" i="35"/>
  <c r="U93" i="35"/>
  <c r="T91" i="34"/>
  <c r="U92" i="34" s="1"/>
  <c r="L94" i="34"/>
  <c r="J94" i="34"/>
  <c r="I94" i="34"/>
  <c r="K94" i="34"/>
  <c r="Y91" i="31"/>
  <c r="W91" i="31"/>
  <c r="X91" i="31"/>
  <c r="V91" i="31"/>
  <c r="U92" i="31"/>
  <c r="G95" i="31"/>
  <c r="BB175" i="16"/>
  <c r="BC174" i="16"/>
  <c r="BD174" i="16"/>
  <c r="AQ175" i="16"/>
  <c r="AR174" i="16"/>
  <c r="AS174" i="16"/>
  <c r="AM174" i="16"/>
  <c r="AN174" i="16" s="1"/>
  <c r="AL175" i="16"/>
  <c r="AH174" i="16"/>
  <c r="AI174" i="16" s="1"/>
  <c r="AG175" i="16"/>
  <c r="X174" i="16"/>
  <c r="Y174" i="16" s="1"/>
  <c r="W175" i="16"/>
  <c r="AC174" i="16"/>
  <c r="AB175" i="16"/>
  <c r="AD174" i="16"/>
  <c r="AV176" i="16"/>
  <c r="AW175" i="16"/>
  <c r="AX175" i="16" s="1"/>
  <c r="T144" i="26"/>
  <c r="U145" i="26" s="1"/>
  <c r="V143" i="26"/>
  <c r="Y143" i="26"/>
  <c r="X143" i="26"/>
  <c r="W143" i="26"/>
  <c r="K103" i="26"/>
  <c r="I103" i="26"/>
  <c r="L103" i="26"/>
  <c r="J103" i="26"/>
  <c r="T176" i="16"/>
  <c r="AY175" i="16"/>
  <c r="AZ175" i="16" s="1"/>
  <c r="BA175" i="16" s="1"/>
  <c r="AP175" i="16"/>
  <c r="AK175" i="16"/>
  <c r="AF175" i="16"/>
  <c r="AA175" i="16"/>
  <c r="AU175" i="16"/>
  <c r="V175" i="16"/>
  <c r="J85" i="6"/>
  <c r="K85" i="6"/>
  <c r="I85" i="6"/>
  <c r="H86" i="6"/>
  <c r="T93" i="35" l="1"/>
  <c r="U94" i="35" s="1"/>
  <c r="L93" i="35"/>
  <c r="K93" i="35"/>
  <c r="J93" i="35"/>
  <c r="I93" i="35"/>
  <c r="G94" i="35"/>
  <c r="G95" i="34"/>
  <c r="H96" i="34" s="1"/>
  <c r="X91" i="34"/>
  <c r="W91" i="34"/>
  <c r="V91" i="34"/>
  <c r="Y91" i="34"/>
  <c r="K95" i="31"/>
  <c r="L95" i="31"/>
  <c r="J95" i="31"/>
  <c r="I95" i="31"/>
  <c r="H96" i="31"/>
  <c r="T92" i="31"/>
  <c r="BB176" i="16"/>
  <c r="BC175" i="16"/>
  <c r="BD175" i="16" s="1"/>
  <c r="AR175" i="16"/>
  <c r="AQ176" i="16"/>
  <c r="AS175" i="16"/>
  <c r="AL176" i="16"/>
  <c r="AM175" i="16"/>
  <c r="AN175" i="16"/>
  <c r="AC175" i="16"/>
  <c r="AB176" i="16"/>
  <c r="AG176" i="16"/>
  <c r="AH175" i="16"/>
  <c r="AI175" i="16" s="1"/>
  <c r="AD175" i="16"/>
  <c r="W176" i="16"/>
  <c r="X175" i="16"/>
  <c r="Y175" i="16" s="1"/>
  <c r="AW176" i="16"/>
  <c r="AX176" i="16" s="1"/>
  <c r="AV177" i="16"/>
  <c r="T145" i="26"/>
  <c r="U146" i="26" s="1"/>
  <c r="Y144" i="26"/>
  <c r="X144" i="26"/>
  <c r="V144" i="26"/>
  <c r="W144" i="26"/>
  <c r="H105" i="26"/>
  <c r="G105" i="26" s="1"/>
  <c r="T177" i="16"/>
  <c r="AY176" i="16"/>
  <c r="AZ176" i="16" s="1"/>
  <c r="BA176" i="16" s="1"/>
  <c r="AA176" i="16"/>
  <c r="AK176" i="16"/>
  <c r="AF176" i="16"/>
  <c r="V176" i="16"/>
  <c r="AP176" i="16"/>
  <c r="AU176" i="16"/>
  <c r="G86" i="6"/>
  <c r="L86" i="6" s="1"/>
  <c r="L94" i="35" l="1"/>
  <c r="K94" i="35"/>
  <c r="J94" i="35"/>
  <c r="I94" i="35"/>
  <c r="H95" i="35"/>
  <c r="T94" i="35"/>
  <c r="W93" i="35"/>
  <c r="V93" i="35"/>
  <c r="X93" i="35"/>
  <c r="Y93" i="35"/>
  <c r="T92" i="34"/>
  <c r="U93" i="34" s="1"/>
  <c r="L95" i="34"/>
  <c r="J95" i="34"/>
  <c r="I95" i="34"/>
  <c r="K95" i="34"/>
  <c r="Y92" i="31"/>
  <c r="X92" i="31"/>
  <c r="W92" i="31"/>
  <c r="V92" i="31"/>
  <c r="U93" i="31"/>
  <c r="G96" i="31"/>
  <c r="BB177" i="16"/>
  <c r="BC176" i="16"/>
  <c r="BD176" i="16"/>
  <c r="AR176" i="16"/>
  <c r="AQ177" i="16"/>
  <c r="AS176" i="16"/>
  <c r="AL177" i="16"/>
  <c r="AM176" i="16"/>
  <c r="AN176" i="16" s="1"/>
  <c r="AH176" i="16"/>
  <c r="AG177" i="16"/>
  <c r="AC176" i="16"/>
  <c r="AD176" i="16" s="1"/>
  <c r="AB177" i="16"/>
  <c r="AI176" i="16"/>
  <c r="X176" i="16"/>
  <c r="Y176" i="16" s="1"/>
  <c r="W177" i="16"/>
  <c r="AW177" i="16"/>
  <c r="AX177" i="16" s="1"/>
  <c r="AV178" i="16"/>
  <c r="T146" i="26"/>
  <c r="U147" i="26" s="1"/>
  <c r="V145" i="26"/>
  <c r="Y145" i="26"/>
  <c r="X145" i="26"/>
  <c r="W145" i="26"/>
  <c r="H106" i="26"/>
  <c r="G106" i="26" s="1"/>
  <c r="K104" i="26"/>
  <c r="I104" i="26"/>
  <c r="L104" i="26"/>
  <c r="J104" i="26"/>
  <c r="T178" i="16"/>
  <c r="AY177" i="16"/>
  <c r="AZ177" i="16" s="1"/>
  <c r="BA177" i="16" s="1"/>
  <c r="AK177" i="16"/>
  <c r="AP177" i="16"/>
  <c r="AF177" i="16"/>
  <c r="AA177" i="16"/>
  <c r="AU177" i="16"/>
  <c r="V177" i="16"/>
  <c r="J86" i="6"/>
  <c r="K86" i="6"/>
  <c r="I86" i="6"/>
  <c r="H87" i="6"/>
  <c r="W94" i="35" l="1"/>
  <c r="V94" i="35"/>
  <c r="X94" i="35"/>
  <c r="Y94" i="35"/>
  <c r="U95" i="35"/>
  <c r="G95" i="35"/>
  <c r="G96" i="34"/>
  <c r="H97" i="34" s="1"/>
  <c r="Y92" i="34"/>
  <c r="X92" i="34"/>
  <c r="W92" i="34"/>
  <c r="V92" i="34"/>
  <c r="K96" i="31"/>
  <c r="I96" i="31"/>
  <c r="J96" i="31"/>
  <c r="L96" i="31"/>
  <c r="H97" i="31"/>
  <c r="T93" i="31"/>
  <c r="BB178" i="16"/>
  <c r="BC177" i="16"/>
  <c r="BD177" i="16"/>
  <c r="AQ178" i="16"/>
  <c r="AR177" i="16"/>
  <c r="AS177" i="16"/>
  <c r="AM177" i="16"/>
  <c r="AN177" i="16" s="1"/>
  <c r="AL178" i="16"/>
  <c r="AH177" i="16"/>
  <c r="AI177" i="16" s="1"/>
  <c r="AG178" i="16"/>
  <c r="AB178" i="16"/>
  <c r="AC177" i="16"/>
  <c r="AD177" i="16" s="1"/>
  <c r="X177" i="16"/>
  <c r="Y177" i="16" s="1"/>
  <c r="W178" i="16"/>
  <c r="AW178" i="16"/>
  <c r="AX178" i="16" s="1"/>
  <c r="AV179" i="16"/>
  <c r="T147" i="26"/>
  <c r="U148" i="26" s="1"/>
  <c r="Y146" i="26"/>
  <c r="X146" i="26"/>
  <c r="W146" i="26"/>
  <c r="V146" i="26"/>
  <c r="K105" i="26"/>
  <c r="I105" i="26"/>
  <c r="L105" i="26"/>
  <c r="J105" i="26"/>
  <c r="H107" i="26"/>
  <c r="G107" i="26" s="1"/>
  <c r="T179" i="16"/>
  <c r="AY178" i="16"/>
  <c r="AZ178" i="16" s="1"/>
  <c r="BA178" i="16" s="1"/>
  <c r="AK178" i="16"/>
  <c r="AP178" i="16"/>
  <c r="AF178" i="16"/>
  <c r="AA178" i="16"/>
  <c r="V178" i="16"/>
  <c r="AU178" i="16"/>
  <c r="G87" i="6"/>
  <c r="L87" i="6" s="1"/>
  <c r="L95" i="35" l="1"/>
  <c r="K95" i="35"/>
  <c r="J95" i="35"/>
  <c r="I95" i="35"/>
  <c r="H96" i="35"/>
  <c r="T95" i="35"/>
  <c r="T93" i="34"/>
  <c r="U94" i="34" s="1"/>
  <c r="L96" i="34"/>
  <c r="K96" i="34"/>
  <c r="J96" i="34"/>
  <c r="I96" i="34"/>
  <c r="Y93" i="31"/>
  <c r="X93" i="31"/>
  <c r="W93" i="31"/>
  <c r="V93" i="31"/>
  <c r="U94" i="31"/>
  <c r="G97" i="31"/>
  <c r="BB179" i="16"/>
  <c r="BC178" i="16"/>
  <c r="BD178" i="16" s="1"/>
  <c r="AQ179" i="16"/>
  <c r="AR178" i="16"/>
  <c r="AS178" i="16" s="1"/>
  <c r="AM178" i="16"/>
  <c r="AL179" i="16"/>
  <c r="AN178" i="16"/>
  <c r="AB179" i="16"/>
  <c r="AC178" i="16"/>
  <c r="AD178" i="16" s="1"/>
  <c r="X178" i="16"/>
  <c r="Y178" i="16" s="1"/>
  <c r="W179" i="16"/>
  <c r="AG179" i="16"/>
  <c r="AH178" i="16"/>
  <c r="AI178" i="16" s="1"/>
  <c r="AV180" i="16"/>
  <c r="AW179" i="16"/>
  <c r="AX179" i="16" s="1"/>
  <c r="T148" i="26"/>
  <c r="U149" i="26" s="1"/>
  <c r="W147" i="26"/>
  <c r="Y147" i="26"/>
  <c r="X147" i="26"/>
  <c r="V147" i="26"/>
  <c r="K106" i="26"/>
  <c r="I106" i="26"/>
  <c r="L106" i="26"/>
  <c r="J106" i="26"/>
  <c r="T180" i="16"/>
  <c r="AY179" i="16"/>
  <c r="AZ179" i="16" s="1"/>
  <c r="BA179" i="16" s="1"/>
  <c r="AF179" i="16"/>
  <c r="AP179" i="16"/>
  <c r="AK179" i="16"/>
  <c r="AA179" i="16"/>
  <c r="V179" i="16"/>
  <c r="AU179" i="16"/>
  <c r="J87" i="6"/>
  <c r="I87" i="6"/>
  <c r="K87" i="6"/>
  <c r="H88" i="6"/>
  <c r="W95" i="35" l="1"/>
  <c r="V95" i="35"/>
  <c r="X95" i="35"/>
  <c r="Y95" i="35"/>
  <c r="U96" i="35"/>
  <c r="G96" i="35"/>
  <c r="G97" i="34"/>
  <c r="H98" i="34" s="1"/>
  <c r="Y93" i="34"/>
  <c r="X93" i="34"/>
  <c r="W93" i="34"/>
  <c r="V93" i="34"/>
  <c r="K97" i="31"/>
  <c r="J97" i="31"/>
  <c r="I97" i="31"/>
  <c r="L97" i="31"/>
  <c r="H98" i="31"/>
  <c r="T94" i="31"/>
  <c r="BB180" i="16"/>
  <c r="BC179" i="16"/>
  <c r="BD179" i="16" s="1"/>
  <c r="AQ180" i="16"/>
  <c r="AR179" i="16"/>
  <c r="AS179" i="16"/>
  <c r="AM179" i="16"/>
  <c r="AL180" i="16"/>
  <c r="AN179" i="16"/>
  <c r="AC179" i="16"/>
  <c r="AD179" i="16" s="1"/>
  <c r="AB180" i="16"/>
  <c r="AG180" i="16"/>
  <c r="AH179" i="16"/>
  <c r="AI179" i="16" s="1"/>
  <c r="X179" i="16"/>
  <c r="Y179" i="16" s="1"/>
  <c r="W180" i="16"/>
  <c r="AW180" i="16"/>
  <c r="AX180" i="16" s="1"/>
  <c r="AV181" i="16"/>
  <c r="T149" i="26"/>
  <c r="U150" i="26" s="1"/>
  <c r="V148" i="26"/>
  <c r="Y148" i="26"/>
  <c r="X148" i="26"/>
  <c r="W148" i="26"/>
  <c r="H108" i="26"/>
  <c r="G108" i="26" s="1"/>
  <c r="T181" i="16"/>
  <c r="AY180" i="16"/>
  <c r="AZ180" i="16" s="1"/>
  <c r="BA180" i="16" s="1"/>
  <c r="AF180" i="16"/>
  <c r="AK180" i="16"/>
  <c r="AP180" i="16"/>
  <c r="AA180" i="16"/>
  <c r="AU180" i="16"/>
  <c r="V180" i="16"/>
  <c r="G88" i="6"/>
  <c r="L88" i="6" s="1"/>
  <c r="L96" i="35" l="1"/>
  <c r="K96" i="35"/>
  <c r="J96" i="35"/>
  <c r="I96" i="35"/>
  <c r="H97" i="35"/>
  <c r="T96" i="35"/>
  <c r="T94" i="34"/>
  <c r="U95" i="34" s="1"/>
  <c r="L97" i="34"/>
  <c r="K97" i="34"/>
  <c r="J97" i="34"/>
  <c r="I97" i="34"/>
  <c r="Y94" i="31"/>
  <c r="W94" i="31"/>
  <c r="X94" i="31"/>
  <c r="V94" i="31"/>
  <c r="U95" i="31"/>
  <c r="G98" i="31"/>
  <c r="BB181" i="16"/>
  <c r="BC180" i="16"/>
  <c r="BD180" i="16"/>
  <c r="AR180" i="16"/>
  <c r="AS180" i="16" s="1"/>
  <c r="AQ181" i="16"/>
  <c r="AM180" i="16"/>
  <c r="AL181" i="16"/>
  <c r="AN180" i="16"/>
  <c r="AB181" i="16"/>
  <c r="AC180" i="16"/>
  <c r="AG181" i="16"/>
  <c r="AH180" i="16"/>
  <c r="AD180" i="16"/>
  <c r="AI180" i="16"/>
  <c r="W181" i="16"/>
  <c r="X180" i="16"/>
  <c r="Y180" i="16" s="1"/>
  <c r="AW181" i="16"/>
  <c r="AX181" i="16" s="1"/>
  <c r="AV182" i="16"/>
  <c r="T150" i="26"/>
  <c r="U151" i="26" s="1"/>
  <c r="X149" i="26"/>
  <c r="W149" i="26"/>
  <c r="V149" i="26"/>
  <c r="Y149" i="26"/>
  <c r="K107" i="26"/>
  <c r="I107" i="26"/>
  <c r="L107" i="26"/>
  <c r="J107" i="26"/>
  <c r="T182" i="16"/>
  <c r="AY181" i="16"/>
  <c r="AZ181" i="16" s="1"/>
  <c r="BA181" i="16" s="1"/>
  <c r="AP181" i="16"/>
  <c r="AK181" i="16"/>
  <c r="AF181" i="16"/>
  <c r="AA181" i="16"/>
  <c r="AU181" i="16"/>
  <c r="V181" i="16"/>
  <c r="J88" i="6"/>
  <c r="K88" i="6"/>
  <c r="I88" i="6"/>
  <c r="H89" i="6"/>
  <c r="W96" i="35" l="1"/>
  <c r="V96" i="35"/>
  <c r="X96" i="35"/>
  <c r="Y96" i="35"/>
  <c r="U97" i="35"/>
  <c r="G97" i="35"/>
  <c r="G98" i="34"/>
  <c r="H99" i="34" s="1"/>
  <c r="Y94" i="34"/>
  <c r="X94" i="34"/>
  <c r="W94" i="34"/>
  <c r="V94" i="34"/>
  <c r="K98" i="31"/>
  <c r="L98" i="31"/>
  <c r="J98" i="31"/>
  <c r="I98" i="31"/>
  <c r="H99" i="31"/>
  <c r="T95" i="31"/>
  <c r="BB182" i="16"/>
  <c r="BC181" i="16"/>
  <c r="BD181" i="16"/>
  <c r="AR181" i="16"/>
  <c r="AQ182" i="16"/>
  <c r="AS181" i="16"/>
  <c r="AM181" i="16"/>
  <c r="AL182" i="16"/>
  <c r="AN181" i="16"/>
  <c r="X181" i="16"/>
  <c r="Y181" i="16" s="1"/>
  <c r="W182" i="16"/>
  <c r="AH181" i="16"/>
  <c r="AI181" i="16" s="1"/>
  <c r="AG182" i="16"/>
  <c r="AB182" i="16"/>
  <c r="AC181" i="16"/>
  <c r="AD181" i="16" s="1"/>
  <c r="AV183" i="16"/>
  <c r="AW182" i="16"/>
  <c r="AX182" i="16" s="1"/>
  <c r="T151" i="26"/>
  <c r="U152" i="26" s="1"/>
  <c r="V150" i="26"/>
  <c r="Y150" i="26"/>
  <c r="X150" i="26"/>
  <c r="W150" i="26"/>
  <c r="H109" i="26"/>
  <c r="G109" i="26" s="1"/>
  <c r="T183" i="16"/>
  <c r="AY182" i="16"/>
  <c r="AZ182" i="16" s="1"/>
  <c r="BA182" i="16" s="1"/>
  <c r="AP182" i="16"/>
  <c r="AA182" i="16"/>
  <c r="AK182" i="16"/>
  <c r="AF182" i="16"/>
  <c r="V182" i="16"/>
  <c r="AU182" i="16"/>
  <c r="G89" i="6"/>
  <c r="L89" i="6" s="1"/>
  <c r="L97" i="35" l="1"/>
  <c r="K97" i="35"/>
  <c r="J97" i="35"/>
  <c r="I97" i="35"/>
  <c r="H98" i="35"/>
  <c r="T97" i="35"/>
  <c r="U98" i="35" s="1"/>
  <c r="T95" i="34"/>
  <c r="U96" i="34" s="1"/>
  <c r="L98" i="34"/>
  <c r="K98" i="34"/>
  <c r="J98" i="34"/>
  <c r="I98" i="34"/>
  <c r="Y95" i="31"/>
  <c r="X95" i="31"/>
  <c r="W95" i="31"/>
  <c r="V95" i="31"/>
  <c r="U96" i="31"/>
  <c r="G99" i="31"/>
  <c r="BB183" i="16"/>
  <c r="BC182" i="16"/>
  <c r="BD182" i="16"/>
  <c r="AR182" i="16"/>
  <c r="AS182" i="16" s="1"/>
  <c r="AQ183" i="16"/>
  <c r="AM182" i="16"/>
  <c r="AL183" i="16"/>
  <c r="AN182" i="16"/>
  <c r="X182" i="16"/>
  <c r="Y182" i="16" s="1"/>
  <c r="W183" i="16"/>
  <c r="AG183" i="16"/>
  <c r="AH182" i="16"/>
  <c r="AI182" i="16" s="1"/>
  <c r="AB183" i="16"/>
  <c r="AC182" i="16"/>
  <c r="AD182" i="16" s="1"/>
  <c r="AW183" i="16"/>
  <c r="AX183" i="16" s="1"/>
  <c r="AV184" i="16"/>
  <c r="T152" i="26"/>
  <c r="U153" i="26" s="1"/>
  <c r="X151" i="26"/>
  <c r="Y151" i="26"/>
  <c r="W151" i="26"/>
  <c r="V151" i="26"/>
  <c r="K108" i="26"/>
  <c r="I108" i="26"/>
  <c r="L108" i="26"/>
  <c r="J108" i="26"/>
  <c r="T184" i="16"/>
  <c r="AY183" i="16"/>
  <c r="AZ183" i="16" s="1"/>
  <c r="BA183" i="16" s="1"/>
  <c r="AK183" i="16"/>
  <c r="AP183" i="16"/>
  <c r="AF183" i="16"/>
  <c r="AA183" i="16"/>
  <c r="V183" i="16"/>
  <c r="AU183" i="16"/>
  <c r="J89" i="6"/>
  <c r="K89" i="6"/>
  <c r="I89" i="6"/>
  <c r="H90" i="6"/>
  <c r="W97" i="35" l="1"/>
  <c r="V97" i="35"/>
  <c r="X97" i="35"/>
  <c r="Y97" i="35"/>
  <c r="T98" i="35"/>
  <c r="G98" i="35"/>
  <c r="G99" i="34"/>
  <c r="H100" i="34" s="1"/>
  <c r="Y95" i="34"/>
  <c r="X95" i="34"/>
  <c r="W95" i="34"/>
  <c r="V95" i="34"/>
  <c r="K99" i="31"/>
  <c r="I99" i="31"/>
  <c r="J99" i="31"/>
  <c r="L99" i="31"/>
  <c r="H100" i="31"/>
  <c r="T96" i="31"/>
  <c r="BB184" i="16"/>
  <c r="BC183" i="16"/>
  <c r="BD183" i="16" s="1"/>
  <c r="AR183" i="16"/>
  <c r="AS183" i="16" s="1"/>
  <c r="AQ184" i="16"/>
  <c r="AM183" i="16"/>
  <c r="AL184" i="16"/>
  <c r="AN183" i="16"/>
  <c r="AH183" i="16"/>
  <c r="AI183" i="16" s="1"/>
  <c r="AG184" i="16"/>
  <c r="AB184" i="16"/>
  <c r="AC183" i="16"/>
  <c r="AD183" i="16" s="1"/>
  <c r="X183" i="16"/>
  <c r="Y183" i="16" s="1"/>
  <c r="W184" i="16"/>
  <c r="AV185" i="16"/>
  <c r="AW184" i="16"/>
  <c r="AX184" i="16" s="1"/>
  <c r="T153" i="26"/>
  <c r="U154" i="26" s="1"/>
  <c r="Y152" i="26"/>
  <c r="X152" i="26"/>
  <c r="W152" i="26"/>
  <c r="V152" i="26"/>
  <c r="H110" i="26"/>
  <c r="G110" i="26" s="1"/>
  <c r="T185" i="16"/>
  <c r="AP184" i="16"/>
  <c r="AY184" i="16"/>
  <c r="AZ184" i="16" s="1"/>
  <c r="BA184" i="16" s="1"/>
  <c r="AK184" i="16"/>
  <c r="AA184" i="16"/>
  <c r="AF184" i="16"/>
  <c r="AU184" i="16"/>
  <c r="V184" i="16"/>
  <c r="G90" i="6"/>
  <c r="L90" i="6" s="1"/>
  <c r="L98" i="35" l="1"/>
  <c r="K98" i="35"/>
  <c r="J98" i="35"/>
  <c r="I98" i="35"/>
  <c r="H99" i="35"/>
  <c r="W98" i="35"/>
  <c r="V98" i="35"/>
  <c r="X98" i="35"/>
  <c r="Y98" i="35"/>
  <c r="U99" i="35"/>
  <c r="T96" i="34"/>
  <c r="U97" i="34" s="1"/>
  <c r="I99" i="34"/>
  <c r="K99" i="34"/>
  <c r="L99" i="34"/>
  <c r="J99" i="34"/>
  <c r="Y96" i="31"/>
  <c r="X96" i="31"/>
  <c r="W96" i="31"/>
  <c r="V96" i="31"/>
  <c r="U97" i="31"/>
  <c r="G100" i="31"/>
  <c r="BB185" i="16"/>
  <c r="BC184" i="16"/>
  <c r="BD184" i="16"/>
  <c r="AR184" i="16"/>
  <c r="AS184" i="16" s="1"/>
  <c r="AQ185" i="16"/>
  <c r="AM184" i="16"/>
  <c r="AL185" i="16"/>
  <c r="AN184" i="16"/>
  <c r="AH184" i="16"/>
  <c r="AI184" i="16" s="1"/>
  <c r="AG185" i="16"/>
  <c r="X184" i="16"/>
  <c r="Y184" i="16" s="1"/>
  <c r="W185" i="16"/>
  <c r="AB185" i="16"/>
  <c r="AC184" i="16"/>
  <c r="AD184" i="16" s="1"/>
  <c r="AV186" i="16"/>
  <c r="AW185" i="16"/>
  <c r="AX185" i="16" s="1"/>
  <c r="T154" i="26"/>
  <c r="U155" i="26" s="1"/>
  <c r="Y153" i="26"/>
  <c r="W153" i="26"/>
  <c r="X153" i="26"/>
  <c r="V153" i="26"/>
  <c r="K109" i="26"/>
  <c r="I109" i="26"/>
  <c r="J109" i="26"/>
  <c r="L109" i="26"/>
  <c r="T186" i="16"/>
  <c r="AP185" i="16"/>
  <c r="AY185" i="16"/>
  <c r="AZ185" i="16" s="1"/>
  <c r="BA185" i="16" s="1"/>
  <c r="AK185" i="16"/>
  <c r="AF185" i="16"/>
  <c r="AA185" i="16"/>
  <c r="V185" i="16"/>
  <c r="AU185" i="16"/>
  <c r="J90" i="6"/>
  <c r="K90" i="6"/>
  <c r="I90" i="6"/>
  <c r="H91" i="6"/>
  <c r="T99" i="35" l="1"/>
  <c r="G99" i="35"/>
  <c r="H100" i="35" s="1"/>
  <c r="G100" i="34"/>
  <c r="H101" i="34" s="1"/>
  <c r="W96" i="34"/>
  <c r="Y96" i="34"/>
  <c r="X96" i="34"/>
  <c r="V96" i="34"/>
  <c r="K100" i="31"/>
  <c r="J100" i="31"/>
  <c r="I100" i="31"/>
  <c r="L100" i="31"/>
  <c r="H101" i="31"/>
  <c r="T97" i="31"/>
  <c r="BB186" i="16"/>
  <c r="BC185" i="16"/>
  <c r="BD185" i="16"/>
  <c r="AQ186" i="16"/>
  <c r="AR185" i="16"/>
  <c r="AS185" i="16" s="1"/>
  <c r="AM185" i="16"/>
  <c r="AL186" i="16"/>
  <c r="AN185" i="16"/>
  <c r="X185" i="16"/>
  <c r="Y185" i="16" s="1"/>
  <c r="W186" i="16"/>
  <c r="AC185" i="16"/>
  <c r="AD185" i="16" s="1"/>
  <c r="AB186" i="16"/>
  <c r="AH185" i="16"/>
  <c r="AI185" i="16" s="1"/>
  <c r="AG186" i="16"/>
  <c r="AW186" i="16"/>
  <c r="AX186" i="16" s="1"/>
  <c r="AV187" i="16"/>
  <c r="T155" i="26"/>
  <c r="U156" i="26" s="1"/>
  <c r="X154" i="26"/>
  <c r="V154" i="26"/>
  <c r="W154" i="26"/>
  <c r="Y154" i="26"/>
  <c r="H111" i="26"/>
  <c r="G111" i="26" s="1"/>
  <c r="T187" i="16"/>
  <c r="AY186" i="16"/>
  <c r="AZ186" i="16" s="1"/>
  <c r="BA186" i="16" s="1"/>
  <c r="AP186" i="16"/>
  <c r="AA186" i="16"/>
  <c r="AF186" i="16"/>
  <c r="AK186" i="16"/>
  <c r="V186" i="16"/>
  <c r="AU186" i="16"/>
  <c r="G91" i="6"/>
  <c r="L91" i="6" s="1"/>
  <c r="L99" i="35" l="1"/>
  <c r="K99" i="35"/>
  <c r="J99" i="35"/>
  <c r="I99" i="35"/>
  <c r="G100" i="35"/>
  <c r="W99" i="35"/>
  <c r="V99" i="35"/>
  <c r="X99" i="35"/>
  <c r="Y99" i="35"/>
  <c r="U100" i="35"/>
  <c r="T97" i="34"/>
  <c r="U98" i="34" s="1"/>
  <c r="I100" i="34"/>
  <c r="L100" i="34"/>
  <c r="J100" i="34"/>
  <c r="K100" i="34"/>
  <c r="Y97" i="31"/>
  <c r="W97" i="31"/>
  <c r="X97" i="31"/>
  <c r="V97" i="31"/>
  <c r="U98" i="31"/>
  <c r="G101" i="31"/>
  <c r="BB187" i="16"/>
  <c r="BC186" i="16"/>
  <c r="BD186" i="16"/>
  <c r="AQ187" i="16"/>
  <c r="AR186" i="16"/>
  <c r="AS186" i="16" s="1"/>
  <c r="AM186" i="16"/>
  <c r="AN186" i="16" s="1"/>
  <c r="AL187" i="16"/>
  <c r="AH186" i="16"/>
  <c r="AI186" i="16" s="1"/>
  <c r="AG187" i="16"/>
  <c r="AC186" i="16"/>
  <c r="AB187" i="16"/>
  <c r="AD186" i="16"/>
  <c r="X186" i="16"/>
  <c r="Y186" i="16" s="1"/>
  <c r="W187" i="16"/>
  <c r="AW187" i="16"/>
  <c r="AX187" i="16" s="1"/>
  <c r="AV188" i="16"/>
  <c r="T156" i="26"/>
  <c r="U157" i="26" s="1"/>
  <c r="V155" i="26"/>
  <c r="X155" i="26"/>
  <c r="W155" i="26"/>
  <c r="Y155" i="26"/>
  <c r="K110" i="26"/>
  <c r="I110" i="26"/>
  <c r="L110" i="26"/>
  <c r="J110" i="26"/>
  <c r="T188" i="16"/>
  <c r="AY187" i="16"/>
  <c r="AZ187" i="16" s="1"/>
  <c r="BA187" i="16" s="1"/>
  <c r="AP187" i="16"/>
  <c r="AA187" i="16"/>
  <c r="AF187" i="16"/>
  <c r="AK187" i="16"/>
  <c r="AU187" i="16"/>
  <c r="V187" i="16"/>
  <c r="J91" i="6"/>
  <c r="K91" i="6"/>
  <c r="I91" i="6"/>
  <c r="H92" i="6"/>
  <c r="T100" i="35" l="1"/>
  <c r="L100" i="35"/>
  <c r="K100" i="35"/>
  <c r="J100" i="35"/>
  <c r="I100" i="35"/>
  <c r="H101" i="35"/>
  <c r="G101" i="34"/>
  <c r="H102" i="34" s="1"/>
  <c r="Y97" i="34"/>
  <c r="W97" i="34"/>
  <c r="V97" i="34"/>
  <c r="X97" i="34"/>
  <c r="K101" i="31"/>
  <c r="L101" i="31"/>
  <c r="J101" i="31"/>
  <c r="I101" i="31"/>
  <c r="H102" i="31"/>
  <c r="T98" i="31"/>
  <c r="BB188" i="16"/>
  <c r="BC187" i="16"/>
  <c r="BD187" i="16" s="1"/>
  <c r="AR187" i="16"/>
  <c r="AQ188" i="16"/>
  <c r="AS187" i="16"/>
  <c r="AM187" i="16"/>
  <c r="AL188" i="16"/>
  <c r="AN187" i="16"/>
  <c r="X187" i="16"/>
  <c r="Y187" i="16" s="1"/>
  <c r="W188" i="16"/>
  <c r="AG188" i="16"/>
  <c r="AH187" i="16"/>
  <c r="AI187" i="16" s="1"/>
  <c r="AC187" i="16"/>
  <c r="AD187" i="16" s="1"/>
  <c r="AB188" i="16"/>
  <c r="AV189" i="16"/>
  <c r="AW188" i="16"/>
  <c r="AX188" i="16" s="1"/>
  <c r="T157" i="26"/>
  <c r="U158" i="26" s="1"/>
  <c r="Y156" i="26"/>
  <c r="W156" i="26"/>
  <c r="V156" i="26"/>
  <c r="X156" i="26"/>
  <c r="H112" i="26"/>
  <c r="G112" i="26" s="1"/>
  <c r="T189" i="16"/>
  <c r="AY188" i="16"/>
  <c r="AZ188" i="16" s="1"/>
  <c r="BA188" i="16" s="1"/>
  <c r="AP188" i="16"/>
  <c r="AK188" i="16"/>
  <c r="AF188" i="16"/>
  <c r="AA188" i="16"/>
  <c r="V188" i="16"/>
  <c r="AU188" i="16"/>
  <c r="G92" i="6"/>
  <c r="L92" i="6" s="1"/>
  <c r="G101" i="35" l="1"/>
  <c r="W100" i="35"/>
  <c r="V100" i="35"/>
  <c r="X100" i="35"/>
  <c r="Y100" i="35"/>
  <c r="U101" i="35"/>
  <c r="T98" i="34"/>
  <c r="U99" i="34" s="1"/>
  <c r="I101" i="34"/>
  <c r="L101" i="34"/>
  <c r="K101" i="34"/>
  <c r="J101" i="34"/>
  <c r="Y98" i="31"/>
  <c r="X98" i="31"/>
  <c r="W98" i="31"/>
  <c r="V98" i="31"/>
  <c r="U99" i="31"/>
  <c r="G102" i="31"/>
  <c r="BB189" i="16"/>
  <c r="BC188" i="16"/>
  <c r="BD188" i="16" s="1"/>
  <c r="AR188" i="16"/>
  <c r="AS188" i="16" s="1"/>
  <c r="AQ189" i="16"/>
  <c r="AM188" i="16"/>
  <c r="AN188" i="16" s="1"/>
  <c r="AL189" i="16"/>
  <c r="AC188" i="16"/>
  <c r="AB189" i="16"/>
  <c r="AH188" i="16"/>
  <c r="AI188" i="16" s="1"/>
  <c r="AG189" i="16"/>
  <c r="AD188" i="16"/>
  <c r="W189" i="16"/>
  <c r="X188" i="16"/>
  <c r="Y188" i="16" s="1"/>
  <c r="AV190" i="16"/>
  <c r="AW189" i="16"/>
  <c r="AX189" i="16" s="1"/>
  <c r="T158" i="26"/>
  <c r="U159" i="26" s="1"/>
  <c r="T159" i="26" s="1"/>
  <c r="V157" i="26"/>
  <c r="X157" i="26"/>
  <c r="W157" i="26"/>
  <c r="Y157" i="26"/>
  <c r="H113" i="26"/>
  <c r="G113" i="26" s="1"/>
  <c r="K111" i="26"/>
  <c r="I111" i="26"/>
  <c r="L111" i="26"/>
  <c r="J111" i="26"/>
  <c r="T190" i="16"/>
  <c r="AY189" i="16"/>
  <c r="AZ189" i="16" s="1"/>
  <c r="BA189" i="16" s="1"/>
  <c r="AP189" i="16"/>
  <c r="AK189" i="16"/>
  <c r="AF189" i="16"/>
  <c r="V189" i="16"/>
  <c r="AA189" i="16"/>
  <c r="AU189" i="16"/>
  <c r="J92" i="6"/>
  <c r="K92" i="6"/>
  <c r="I92" i="6"/>
  <c r="H93" i="6"/>
  <c r="T101" i="35" l="1"/>
  <c r="L101" i="35"/>
  <c r="K101" i="35"/>
  <c r="J101" i="35"/>
  <c r="I101" i="35"/>
  <c r="H102" i="35"/>
  <c r="G102" i="34"/>
  <c r="H103" i="34" s="1"/>
  <c r="Y98" i="34"/>
  <c r="W98" i="34"/>
  <c r="V98" i="34"/>
  <c r="X98" i="34"/>
  <c r="K102" i="31"/>
  <c r="I102" i="31"/>
  <c r="J102" i="31"/>
  <c r="L102" i="31"/>
  <c r="H103" i="31"/>
  <c r="T99" i="31"/>
  <c r="BB190" i="16"/>
  <c r="BC189" i="16"/>
  <c r="BD189" i="16"/>
  <c r="AR189" i="16"/>
  <c r="AS189" i="16" s="1"/>
  <c r="AQ190" i="16"/>
  <c r="AM189" i="16"/>
  <c r="AN189" i="16" s="1"/>
  <c r="AL190" i="16"/>
  <c r="AH189" i="16"/>
  <c r="AG190" i="16"/>
  <c r="AC189" i="16"/>
  <c r="AD189" i="16" s="1"/>
  <c r="AB190" i="16"/>
  <c r="AI189" i="16"/>
  <c r="X189" i="16"/>
  <c r="Y189" i="16" s="1"/>
  <c r="W190" i="16"/>
  <c r="AW190" i="16"/>
  <c r="AX190" i="16" s="1"/>
  <c r="AV191" i="16"/>
  <c r="U160" i="26"/>
  <c r="V159" i="26"/>
  <c r="Y159" i="26"/>
  <c r="X159" i="26"/>
  <c r="W159" i="26"/>
  <c r="V158" i="26"/>
  <c r="Y158" i="26"/>
  <c r="X158" i="26"/>
  <c r="W158" i="26"/>
  <c r="K112" i="26"/>
  <c r="I112" i="26"/>
  <c r="L112" i="26"/>
  <c r="J112" i="26"/>
  <c r="H114" i="26"/>
  <c r="G114" i="26" s="1"/>
  <c r="T191" i="16"/>
  <c r="AY190" i="16"/>
  <c r="AZ190" i="16" s="1"/>
  <c r="BA190" i="16" s="1"/>
  <c r="AP190" i="16"/>
  <c r="AK190" i="16"/>
  <c r="AA190" i="16"/>
  <c r="AF190" i="16"/>
  <c r="V190" i="16"/>
  <c r="AU190" i="16"/>
  <c r="G93" i="6"/>
  <c r="L93" i="6" s="1"/>
  <c r="G102" i="35" l="1"/>
  <c r="W101" i="35"/>
  <c r="V101" i="35"/>
  <c r="X101" i="35"/>
  <c r="Y101" i="35"/>
  <c r="U102" i="35"/>
  <c r="T99" i="34"/>
  <c r="U100" i="34" s="1"/>
  <c r="I102" i="34"/>
  <c r="J102" i="34"/>
  <c r="L102" i="34"/>
  <c r="K102" i="34"/>
  <c r="Y99" i="31"/>
  <c r="X99" i="31"/>
  <c r="W99" i="31"/>
  <c r="V99" i="31"/>
  <c r="U100" i="31"/>
  <c r="G103" i="31"/>
  <c r="BB191" i="16"/>
  <c r="BC190" i="16"/>
  <c r="BD190" i="16"/>
  <c r="AQ191" i="16"/>
  <c r="AR190" i="16"/>
  <c r="AS190" i="16" s="1"/>
  <c r="AM190" i="16"/>
  <c r="AL191" i="16"/>
  <c r="AN190" i="16"/>
  <c r="AH190" i="16"/>
  <c r="AI190" i="16" s="1"/>
  <c r="AG191" i="16"/>
  <c r="AC190" i="16"/>
  <c r="AD190" i="16" s="1"/>
  <c r="AB191" i="16"/>
  <c r="X190" i="16"/>
  <c r="Y190" i="16" s="1"/>
  <c r="W191" i="16"/>
  <c r="AV192" i="16"/>
  <c r="AW191" i="16"/>
  <c r="AX191" i="16" s="1"/>
  <c r="T160" i="26"/>
  <c r="U161" i="26" s="1"/>
  <c r="K113" i="26"/>
  <c r="I113" i="26"/>
  <c r="L113" i="26"/>
  <c r="J113" i="26"/>
  <c r="T192" i="16"/>
  <c r="AY191" i="16"/>
  <c r="AZ191" i="16" s="1"/>
  <c r="BA191" i="16" s="1"/>
  <c r="AP191" i="16"/>
  <c r="AF191" i="16"/>
  <c r="AK191" i="16"/>
  <c r="AA191" i="16"/>
  <c r="V191" i="16"/>
  <c r="AU191" i="16"/>
  <c r="J93" i="6"/>
  <c r="K93" i="6"/>
  <c r="I93" i="6"/>
  <c r="H94" i="6"/>
  <c r="T102" i="35" l="1"/>
  <c r="L102" i="35"/>
  <c r="K102" i="35"/>
  <c r="J102" i="35"/>
  <c r="I102" i="35"/>
  <c r="H103" i="35"/>
  <c r="G103" i="34"/>
  <c r="H104" i="34" s="1"/>
  <c r="Y99" i="34"/>
  <c r="X99" i="34"/>
  <c r="W99" i="34"/>
  <c r="V99" i="34"/>
  <c r="K103" i="31"/>
  <c r="J103" i="31"/>
  <c r="I103" i="31"/>
  <c r="L103" i="31"/>
  <c r="H104" i="31"/>
  <c r="T100" i="31"/>
  <c r="BB192" i="16"/>
  <c r="BC191" i="16"/>
  <c r="BD191" i="16" s="1"/>
  <c r="AQ192" i="16"/>
  <c r="AR191" i="16"/>
  <c r="AS191" i="16" s="1"/>
  <c r="AM191" i="16"/>
  <c r="AL192" i="16"/>
  <c r="AN191" i="16"/>
  <c r="AB192" i="16"/>
  <c r="AC191" i="16"/>
  <c r="X191" i="16"/>
  <c r="Y191" i="16" s="1"/>
  <c r="W192" i="16"/>
  <c r="AD191" i="16"/>
  <c r="AH191" i="16"/>
  <c r="AI191" i="16" s="1"/>
  <c r="AG192" i="16"/>
  <c r="AW192" i="16"/>
  <c r="AX192" i="16" s="1"/>
  <c r="AV193" i="16"/>
  <c r="T161" i="26"/>
  <c r="U162" i="26" s="1"/>
  <c r="W160" i="26"/>
  <c r="X160" i="26"/>
  <c r="V160" i="26"/>
  <c r="Y160" i="26"/>
  <c r="H115" i="26"/>
  <c r="G115" i="26" s="1"/>
  <c r="T193" i="16"/>
  <c r="AY192" i="16"/>
  <c r="AZ192" i="16" s="1"/>
  <c r="BA192" i="16" s="1"/>
  <c r="AF192" i="16"/>
  <c r="AK192" i="16"/>
  <c r="AA192" i="16"/>
  <c r="AP192" i="16"/>
  <c r="V192" i="16"/>
  <c r="AU192" i="16"/>
  <c r="G94" i="6"/>
  <c r="L94" i="6" s="1"/>
  <c r="G103" i="35" l="1"/>
  <c r="W102" i="35"/>
  <c r="V102" i="35"/>
  <c r="X102" i="35"/>
  <c r="Y102" i="35"/>
  <c r="U103" i="35"/>
  <c r="T100" i="34"/>
  <c r="U101" i="34" s="1"/>
  <c r="I103" i="34"/>
  <c r="L103" i="34"/>
  <c r="J103" i="34"/>
  <c r="K103" i="34"/>
  <c r="Y100" i="31"/>
  <c r="W100" i="31"/>
  <c r="X100" i="31"/>
  <c r="V100" i="31"/>
  <c r="U101" i="31"/>
  <c r="G104" i="31"/>
  <c r="BB193" i="16"/>
  <c r="BC192" i="16"/>
  <c r="BD192" i="16"/>
  <c r="AQ193" i="16"/>
  <c r="AR192" i="16"/>
  <c r="AS192" i="16"/>
  <c r="AM192" i="16"/>
  <c r="AN192" i="16" s="1"/>
  <c r="AL193" i="16"/>
  <c r="W193" i="16"/>
  <c r="X192" i="16"/>
  <c r="Y192" i="16" s="1"/>
  <c r="AB193" i="16"/>
  <c r="AC192" i="16"/>
  <c r="AD192" i="16" s="1"/>
  <c r="AG193" i="16"/>
  <c r="AH192" i="16"/>
  <c r="AI192" i="16" s="1"/>
  <c r="AW193" i="16"/>
  <c r="AX193" i="16" s="1"/>
  <c r="AV194" i="16"/>
  <c r="T162" i="26"/>
  <c r="U163" i="26" s="1"/>
  <c r="W161" i="26"/>
  <c r="V161" i="26"/>
  <c r="Y161" i="26"/>
  <c r="X161" i="26"/>
  <c r="H116" i="26"/>
  <c r="G116" i="26" s="1"/>
  <c r="K114" i="26"/>
  <c r="I114" i="26"/>
  <c r="J114" i="26"/>
  <c r="L114" i="26"/>
  <c r="T194" i="16"/>
  <c r="AY193" i="16"/>
  <c r="AZ193" i="16" s="1"/>
  <c r="BA193" i="16" s="1"/>
  <c r="AP193" i="16"/>
  <c r="AK193" i="16"/>
  <c r="AF193" i="16"/>
  <c r="AA193" i="16"/>
  <c r="AU193" i="16"/>
  <c r="V193" i="16"/>
  <c r="J94" i="6"/>
  <c r="I94" i="6"/>
  <c r="K94" i="6"/>
  <c r="H95" i="6"/>
  <c r="T103" i="35" l="1"/>
  <c r="L103" i="35"/>
  <c r="K103" i="35"/>
  <c r="J103" i="35"/>
  <c r="I103" i="35"/>
  <c r="H104" i="35"/>
  <c r="G104" i="34"/>
  <c r="H105" i="34" s="1"/>
  <c r="X100" i="34"/>
  <c r="Y100" i="34"/>
  <c r="W100" i="34"/>
  <c r="V100" i="34"/>
  <c r="K104" i="31"/>
  <c r="L104" i="31"/>
  <c r="J104" i="31"/>
  <c r="I104" i="31"/>
  <c r="H105" i="31"/>
  <c r="T101" i="31"/>
  <c r="BB194" i="16"/>
  <c r="BC193" i="16"/>
  <c r="BD193" i="16"/>
  <c r="AR193" i="16"/>
  <c r="AQ194" i="16"/>
  <c r="AS193" i="16"/>
  <c r="AM193" i="16"/>
  <c r="AN193" i="16" s="1"/>
  <c r="AL194" i="16"/>
  <c r="AH193" i="16"/>
  <c r="AI193" i="16" s="1"/>
  <c r="AG194" i="16"/>
  <c r="AC193" i="16"/>
  <c r="AD193" i="16" s="1"/>
  <c r="AB194" i="16"/>
  <c r="X193" i="16"/>
  <c r="Y193" i="16" s="1"/>
  <c r="W194" i="16"/>
  <c r="AV195" i="16"/>
  <c r="AW194" i="16"/>
  <c r="AX194" i="16" s="1"/>
  <c r="T163" i="26"/>
  <c r="U164" i="26" s="1"/>
  <c r="X162" i="26"/>
  <c r="V162" i="26"/>
  <c r="Y162" i="26"/>
  <c r="W162" i="26"/>
  <c r="K115" i="26"/>
  <c r="I115" i="26"/>
  <c r="L115" i="26"/>
  <c r="J115" i="26"/>
  <c r="H117" i="26"/>
  <c r="G117" i="26" s="1"/>
  <c r="T195" i="16"/>
  <c r="AY194" i="16"/>
  <c r="AZ194" i="16" s="1"/>
  <c r="BA194" i="16" s="1"/>
  <c r="AP194" i="16"/>
  <c r="AF194" i="16"/>
  <c r="AA194" i="16"/>
  <c r="AK194" i="16"/>
  <c r="V194" i="16"/>
  <c r="AU194" i="16"/>
  <c r="G95" i="6"/>
  <c r="L95" i="6" s="1"/>
  <c r="G104" i="35" l="1"/>
  <c r="W103" i="35"/>
  <c r="V103" i="35"/>
  <c r="X103" i="35"/>
  <c r="Y103" i="35"/>
  <c r="U104" i="35"/>
  <c r="T101" i="34"/>
  <c r="U102" i="34" s="1"/>
  <c r="I104" i="34"/>
  <c r="L104" i="34"/>
  <c r="K104" i="34"/>
  <c r="J104" i="34"/>
  <c r="Y101" i="31"/>
  <c r="X101" i="31"/>
  <c r="W101" i="31"/>
  <c r="V101" i="31"/>
  <c r="U102" i="31"/>
  <c r="G105" i="31"/>
  <c r="BB195" i="16"/>
  <c r="BC194" i="16"/>
  <c r="BD194" i="16" s="1"/>
  <c r="AR194" i="16"/>
  <c r="AS194" i="16" s="1"/>
  <c r="AQ195" i="16"/>
  <c r="AM194" i="16"/>
  <c r="AL195" i="16"/>
  <c r="AN194" i="16"/>
  <c r="X194" i="16"/>
  <c r="Y194" i="16" s="1"/>
  <c r="W195" i="16"/>
  <c r="AB195" i="16"/>
  <c r="AC194" i="16"/>
  <c r="AD194" i="16" s="1"/>
  <c r="AG195" i="16"/>
  <c r="AH194" i="16"/>
  <c r="AI194" i="16" s="1"/>
  <c r="AW195" i="16"/>
  <c r="AX195" i="16" s="1"/>
  <c r="AV196" i="16"/>
  <c r="T164" i="26"/>
  <c r="U165" i="26" s="1"/>
  <c r="Y163" i="26"/>
  <c r="V163" i="26"/>
  <c r="X163" i="26"/>
  <c r="W163" i="26"/>
  <c r="K116" i="26"/>
  <c r="I116" i="26"/>
  <c r="L116" i="26"/>
  <c r="J116" i="26"/>
  <c r="T196" i="16"/>
  <c r="AY195" i="16"/>
  <c r="AZ195" i="16" s="1"/>
  <c r="BA195" i="16" s="1"/>
  <c r="AK195" i="16"/>
  <c r="AP195" i="16"/>
  <c r="AF195" i="16"/>
  <c r="AA195" i="16"/>
  <c r="AU195" i="16"/>
  <c r="V195" i="16"/>
  <c r="J95" i="6"/>
  <c r="I95" i="6"/>
  <c r="K95" i="6"/>
  <c r="H96" i="6"/>
  <c r="T104" i="35" l="1"/>
  <c r="U105" i="35" s="1"/>
  <c r="L104" i="35"/>
  <c r="K104" i="35"/>
  <c r="J104" i="35"/>
  <c r="I104" i="35"/>
  <c r="H105" i="35"/>
  <c r="G105" i="34"/>
  <c r="H106" i="34" s="1"/>
  <c r="X101" i="34"/>
  <c r="W101" i="34"/>
  <c r="V101" i="34"/>
  <c r="Y101" i="34"/>
  <c r="K105" i="31"/>
  <c r="I105" i="31"/>
  <c r="J105" i="31"/>
  <c r="L105" i="31"/>
  <c r="H106" i="31"/>
  <c r="T102" i="31"/>
  <c r="BB196" i="16"/>
  <c r="BC195" i="16"/>
  <c r="BD195" i="16" s="1"/>
  <c r="AQ196" i="16"/>
  <c r="AR195" i="16"/>
  <c r="AS195" i="16" s="1"/>
  <c r="AM195" i="16"/>
  <c r="AN195" i="16" s="1"/>
  <c r="AL196" i="16"/>
  <c r="AB196" i="16"/>
  <c r="AC195" i="16"/>
  <c r="AG196" i="16"/>
  <c r="AH195" i="16"/>
  <c r="AI195" i="16" s="1"/>
  <c r="AD195" i="16"/>
  <c r="W196" i="16"/>
  <c r="X195" i="16"/>
  <c r="Y195" i="16" s="1"/>
  <c r="AV197" i="16"/>
  <c r="AW196" i="16"/>
  <c r="AX196" i="16" s="1"/>
  <c r="T165" i="26"/>
  <c r="U166" i="26" s="1"/>
  <c r="W164" i="26"/>
  <c r="X164" i="26"/>
  <c r="V164" i="26"/>
  <c r="Y164" i="26"/>
  <c r="H118" i="26"/>
  <c r="G118" i="26" s="1"/>
  <c r="T197" i="16"/>
  <c r="AY196" i="16"/>
  <c r="AZ196" i="16" s="1"/>
  <c r="BA196" i="16" s="1"/>
  <c r="AP196" i="16"/>
  <c r="AK196" i="16"/>
  <c r="AA196" i="16"/>
  <c r="V196" i="16"/>
  <c r="AF196" i="16"/>
  <c r="AU196" i="16"/>
  <c r="G96" i="6"/>
  <c r="L96" i="6" s="1"/>
  <c r="G105" i="35" l="1"/>
  <c r="W104" i="35"/>
  <c r="V104" i="35"/>
  <c r="X104" i="35"/>
  <c r="Y104" i="35"/>
  <c r="T105" i="35"/>
  <c r="T102" i="34"/>
  <c r="U103" i="34" s="1"/>
  <c r="I105" i="34"/>
  <c r="J105" i="34"/>
  <c r="L105" i="34"/>
  <c r="K105" i="34"/>
  <c r="Y102" i="31"/>
  <c r="X102" i="31"/>
  <c r="W102" i="31"/>
  <c r="V102" i="31"/>
  <c r="U103" i="31"/>
  <c r="G106" i="31"/>
  <c r="BB197" i="16"/>
  <c r="BC196" i="16"/>
  <c r="BD196" i="16" s="1"/>
  <c r="AQ197" i="16"/>
  <c r="AR196" i="16"/>
  <c r="AS196" i="16" s="1"/>
  <c r="AM196" i="16"/>
  <c r="AL197" i="16"/>
  <c r="AN196" i="16"/>
  <c r="AG197" i="16"/>
  <c r="AH196" i="16"/>
  <c r="AB197" i="16"/>
  <c r="AC196" i="16"/>
  <c r="AD196" i="16" s="1"/>
  <c r="AI196" i="16"/>
  <c r="W197" i="16"/>
  <c r="X196" i="16"/>
  <c r="Y196" i="16" s="1"/>
  <c r="AV198" i="16"/>
  <c r="AW197" i="16"/>
  <c r="AX197" i="16" s="1"/>
  <c r="T166" i="26"/>
  <c r="U167" i="26" s="1"/>
  <c r="V165" i="26"/>
  <c r="X165" i="26"/>
  <c r="W165" i="26"/>
  <c r="Y165" i="26"/>
  <c r="K117" i="26"/>
  <c r="I117" i="26"/>
  <c r="L117" i="26"/>
  <c r="J117" i="26"/>
  <c r="T198" i="16"/>
  <c r="AY197" i="16"/>
  <c r="AZ197" i="16" s="1"/>
  <c r="BA197" i="16" s="1"/>
  <c r="AP197" i="16"/>
  <c r="AF197" i="16"/>
  <c r="AK197" i="16"/>
  <c r="AA197" i="16"/>
  <c r="AU197" i="16"/>
  <c r="V197" i="16"/>
  <c r="J96" i="6"/>
  <c r="K96" i="6"/>
  <c r="I96" i="6"/>
  <c r="H97" i="6"/>
  <c r="W105" i="35" l="1"/>
  <c r="V105" i="35"/>
  <c r="X105" i="35"/>
  <c r="Y105" i="35"/>
  <c r="U106" i="35"/>
  <c r="L105" i="35"/>
  <c r="K105" i="35"/>
  <c r="J105" i="35"/>
  <c r="I105" i="35"/>
  <c r="H106" i="35"/>
  <c r="G106" i="34"/>
  <c r="H107" i="34" s="1"/>
  <c r="X102" i="34"/>
  <c r="Y102" i="34"/>
  <c r="W102" i="34"/>
  <c r="V102" i="34"/>
  <c r="K106" i="31"/>
  <c r="J106" i="31"/>
  <c r="I106" i="31"/>
  <c r="L106" i="31"/>
  <c r="H107" i="31"/>
  <c r="T103" i="31"/>
  <c r="BB198" i="16"/>
  <c r="BC197" i="16"/>
  <c r="BD197" i="16" s="1"/>
  <c r="AQ198" i="16"/>
  <c r="AR197" i="16"/>
  <c r="AS197" i="16"/>
  <c r="AM197" i="16"/>
  <c r="AN197" i="16" s="1"/>
  <c r="AL198" i="16"/>
  <c r="AH197" i="16"/>
  <c r="AI197" i="16" s="1"/>
  <c r="AG198" i="16"/>
  <c r="AB198" i="16"/>
  <c r="AC197" i="16"/>
  <c r="AD197" i="16" s="1"/>
  <c r="X197" i="16"/>
  <c r="Y197" i="16" s="1"/>
  <c r="W198" i="16"/>
  <c r="AV199" i="16"/>
  <c r="AW198" i="16"/>
  <c r="AX198" i="16" s="1"/>
  <c r="T167" i="26"/>
  <c r="U168" i="26" s="1"/>
  <c r="V166" i="26"/>
  <c r="W166" i="26"/>
  <c r="Y166" i="26"/>
  <c r="X166" i="26"/>
  <c r="H119" i="26"/>
  <c r="K118" i="26"/>
  <c r="I118" i="26"/>
  <c r="L118" i="26"/>
  <c r="J118" i="26"/>
  <c r="T199" i="16"/>
  <c r="AY198" i="16"/>
  <c r="AZ198" i="16" s="1"/>
  <c r="BA198" i="16" s="1"/>
  <c r="AP198" i="16"/>
  <c r="AA198" i="16"/>
  <c r="AK198" i="16"/>
  <c r="AF198" i="16"/>
  <c r="V198" i="16"/>
  <c r="AU198" i="16"/>
  <c r="G97" i="6"/>
  <c r="L97" i="6" s="1"/>
  <c r="G106" i="35" l="1"/>
  <c r="T106" i="35"/>
  <c r="T103" i="34"/>
  <c r="U104" i="34" s="1"/>
  <c r="I106" i="34"/>
  <c r="L106" i="34"/>
  <c r="J106" i="34"/>
  <c r="K106" i="34"/>
  <c r="Y103" i="31"/>
  <c r="W103" i="31"/>
  <c r="X103" i="31"/>
  <c r="V103" i="31"/>
  <c r="U104" i="31"/>
  <c r="G107" i="31"/>
  <c r="BB199" i="16"/>
  <c r="BC198" i="16"/>
  <c r="BD198" i="16"/>
  <c r="AR198" i="16"/>
  <c r="AS198" i="16" s="1"/>
  <c r="AQ199" i="16"/>
  <c r="AM198" i="16"/>
  <c r="AN198" i="16" s="1"/>
  <c r="AL199" i="16"/>
  <c r="X198" i="16"/>
  <c r="Y198" i="16" s="1"/>
  <c r="W199" i="16"/>
  <c r="AH198" i="16"/>
  <c r="AG199" i="16"/>
  <c r="AI198" i="16"/>
  <c r="AC198" i="16"/>
  <c r="AD198" i="16" s="1"/>
  <c r="AB199" i="16"/>
  <c r="AW199" i="16"/>
  <c r="AX199" i="16" s="1"/>
  <c r="AV200" i="16"/>
  <c r="T168" i="26"/>
  <c r="U169" i="26" s="1"/>
  <c r="Y167" i="26"/>
  <c r="X167" i="26"/>
  <c r="V167" i="26"/>
  <c r="W167" i="26"/>
  <c r="G119" i="26"/>
  <c r="H120" i="26" s="1"/>
  <c r="T200" i="16"/>
  <c r="AY199" i="16"/>
  <c r="AZ199" i="16" s="1"/>
  <c r="BA199" i="16" s="1"/>
  <c r="AP199" i="16"/>
  <c r="AK199" i="16"/>
  <c r="AF199" i="16"/>
  <c r="AA199" i="16"/>
  <c r="V199" i="16"/>
  <c r="AU199" i="16"/>
  <c r="J97" i="6"/>
  <c r="K97" i="6"/>
  <c r="I97" i="6"/>
  <c r="H98" i="6"/>
  <c r="W106" i="35" l="1"/>
  <c r="V106" i="35"/>
  <c r="X106" i="35"/>
  <c r="Y106" i="35"/>
  <c r="U107" i="35"/>
  <c r="L106" i="35"/>
  <c r="K106" i="35"/>
  <c r="J106" i="35"/>
  <c r="I106" i="35"/>
  <c r="H107" i="35"/>
  <c r="G107" i="34"/>
  <c r="H108" i="34" s="1"/>
  <c r="X103" i="34"/>
  <c r="Y103" i="34"/>
  <c r="W103" i="34"/>
  <c r="V103" i="34"/>
  <c r="K107" i="31"/>
  <c r="L107" i="31"/>
  <c r="J107" i="31"/>
  <c r="I107" i="31"/>
  <c r="H108" i="31"/>
  <c r="T104" i="31"/>
  <c r="BB200" i="16"/>
  <c r="BC199" i="16"/>
  <c r="BD199" i="16" s="1"/>
  <c r="AR199" i="16"/>
  <c r="AQ200" i="16"/>
  <c r="AS199" i="16"/>
  <c r="AM199" i="16"/>
  <c r="AL200" i="16"/>
  <c r="AN199" i="16"/>
  <c r="X199" i="16"/>
  <c r="Y199" i="16" s="1"/>
  <c r="W200" i="16"/>
  <c r="AC199" i="16"/>
  <c r="AD199" i="16" s="1"/>
  <c r="AB200" i="16"/>
  <c r="AG200" i="16"/>
  <c r="AH199" i="16"/>
  <c r="AI199" i="16" s="1"/>
  <c r="AV201" i="16"/>
  <c r="AW200" i="16"/>
  <c r="AX200" i="16" s="1"/>
  <c r="K119" i="26"/>
  <c r="K420" i="26" s="1"/>
  <c r="AG10" i="26" s="1"/>
  <c r="T169" i="26"/>
  <c r="U170" i="26" s="1"/>
  <c r="I119" i="26"/>
  <c r="X168" i="26"/>
  <c r="W168" i="26"/>
  <c r="V168" i="26"/>
  <c r="Y168" i="26"/>
  <c r="L119" i="26"/>
  <c r="J119" i="26"/>
  <c r="G120" i="26"/>
  <c r="T201" i="16"/>
  <c r="AY200" i="16"/>
  <c r="AZ200" i="16" s="1"/>
  <c r="BA200" i="16" s="1"/>
  <c r="AP200" i="16"/>
  <c r="AK200" i="16"/>
  <c r="AA200" i="16"/>
  <c r="AF200" i="16"/>
  <c r="AU200" i="16"/>
  <c r="V200" i="16"/>
  <c r="G98" i="6"/>
  <c r="L98" i="6" s="1"/>
  <c r="G107" i="35" l="1"/>
  <c r="T107" i="35"/>
  <c r="T104" i="34"/>
  <c r="U105" i="34" s="1"/>
  <c r="I107" i="34"/>
  <c r="L107" i="34"/>
  <c r="K107" i="34"/>
  <c r="J107" i="34"/>
  <c r="Y104" i="31"/>
  <c r="X104" i="31"/>
  <c r="W104" i="31"/>
  <c r="V104" i="31"/>
  <c r="U105" i="31"/>
  <c r="G108" i="31"/>
  <c r="BB201" i="16"/>
  <c r="BC200" i="16"/>
  <c r="BD200" i="16"/>
  <c r="AR200" i="16"/>
  <c r="AS200" i="16" s="1"/>
  <c r="AQ201" i="16"/>
  <c r="AL201" i="16"/>
  <c r="AM200" i="16"/>
  <c r="AN200" i="16" s="1"/>
  <c r="X200" i="16"/>
  <c r="Y200" i="16" s="1"/>
  <c r="W201" i="16"/>
  <c r="AC200" i="16"/>
  <c r="AD200" i="16" s="1"/>
  <c r="AB201" i="16"/>
  <c r="AH200" i="16"/>
  <c r="AI200" i="16" s="1"/>
  <c r="AG201" i="16"/>
  <c r="AV202" i="16"/>
  <c r="AW201" i="16"/>
  <c r="AX201" i="16" s="1"/>
  <c r="K422" i="26"/>
  <c r="AG11" i="26" s="1"/>
  <c r="T170" i="26"/>
  <c r="U171" i="26" s="1"/>
  <c r="Y169" i="26"/>
  <c r="V169" i="26"/>
  <c r="X169" i="26"/>
  <c r="W169" i="26"/>
  <c r="L422" i="26"/>
  <c r="AF11" i="26" s="1"/>
  <c r="L420" i="26"/>
  <c r="L120" i="26"/>
  <c r="J120" i="26"/>
  <c r="I120" i="26"/>
  <c r="K120" i="26"/>
  <c r="H121" i="26"/>
  <c r="T202" i="16"/>
  <c r="AY201" i="16"/>
  <c r="AZ201" i="16" s="1"/>
  <c r="BA201" i="16" s="1"/>
  <c r="AP201" i="16"/>
  <c r="AK201" i="16"/>
  <c r="AF201" i="16"/>
  <c r="AA201" i="16"/>
  <c r="AU201" i="16"/>
  <c r="V201" i="16"/>
  <c r="J98" i="6"/>
  <c r="K98" i="6"/>
  <c r="I98" i="6"/>
  <c r="H99" i="6"/>
  <c r="Y107" i="35" l="1"/>
  <c r="X107" i="35"/>
  <c r="W107" i="35"/>
  <c r="V107" i="35"/>
  <c r="U108" i="35"/>
  <c r="K107" i="35"/>
  <c r="L107" i="35"/>
  <c r="J107" i="35"/>
  <c r="I107" i="35"/>
  <c r="H108" i="35"/>
  <c r="G108" i="34"/>
  <c r="H109" i="34" s="1"/>
  <c r="X104" i="34"/>
  <c r="W104" i="34"/>
  <c r="Y104" i="34"/>
  <c r="V104" i="34"/>
  <c r="K108" i="31"/>
  <c r="I108" i="31"/>
  <c r="J108" i="31"/>
  <c r="L108" i="31"/>
  <c r="H109" i="31"/>
  <c r="T105" i="31"/>
  <c r="BB202" i="16"/>
  <c r="BC201" i="16"/>
  <c r="BD201" i="16"/>
  <c r="AQ202" i="16"/>
  <c r="AR201" i="16"/>
  <c r="AS201" i="16"/>
  <c r="AM201" i="16"/>
  <c r="AL202" i="16"/>
  <c r="AN201" i="16"/>
  <c r="W202" i="16"/>
  <c r="X201" i="16"/>
  <c r="Y201" i="16" s="1"/>
  <c r="AC201" i="16"/>
  <c r="AD201" i="16" s="1"/>
  <c r="AB202" i="16"/>
  <c r="AH201" i="16"/>
  <c r="AI201" i="16" s="1"/>
  <c r="AG202" i="16"/>
  <c r="AW202" i="16"/>
  <c r="AX202" i="16" s="1"/>
  <c r="AV203" i="16"/>
  <c r="AF10" i="26"/>
  <c r="T171" i="26"/>
  <c r="U172" i="26" s="1"/>
  <c r="W170" i="26"/>
  <c r="Y170" i="26"/>
  <c r="X170" i="26"/>
  <c r="V170" i="26"/>
  <c r="G121" i="26"/>
  <c r="T203" i="16"/>
  <c r="AY202" i="16"/>
  <c r="AZ202" i="16" s="1"/>
  <c r="BA202" i="16" s="1"/>
  <c r="AP202" i="16"/>
  <c r="AK202" i="16"/>
  <c r="AF202" i="16"/>
  <c r="AA202" i="16"/>
  <c r="AU202" i="16"/>
  <c r="V202" i="16"/>
  <c r="G99" i="6"/>
  <c r="L99" i="6" s="1"/>
  <c r="G108" i="35" l="1"/>
  <c r="T108" i="35"/>
  <c r="T105" i="34"/>
  <c r="U106" i="34" s="1"/>
  <c r="I108" i="34"/>
  <c r="J108" i="34"/>
  <c r="L108" i="34"/>
  <c r="K108" i="34"/>
  <c r="Y105" i="31"/>
  <c r="X105" i="31"/>
  <c r="W105" i="31"/>
  <c r="V105" i="31"/>
  <c r="U106" i="31"/>
  <c r="G109" i="31"/>
  <c r="BB203" i="16"/>
  <c r="BC202" i="16"/>
  <c r="BD202" i="16"/>
  <c r="AR202" i="16"/>
  <c r="AS202" i="16" s="1"/>
  <c r="AQ203" i="16"/>
  <c r="AM202" i="16"/>
  <c r="AL203" i="16"/>
  <c r="AN202" i="16"/>
  <c r="X202" i="16"/>
  <c r="Y202" i="16" s="1"/>
  <c r="W203" i="16"/>
  <c r="AH202" i="16"/>
  <c r="AI202" i="16" s="1"/>
  <c r="AG203" i="16"/>
  <c r="AC202" i="16"/>
  <c r="AD202" i="16" s="1"/>
  <c r="AB203" i="16"/>
  <c r="AV204" i="16"/>
  <c r="AW203" i="16"/>
  <c r="AX203" i="16" s="1"/>
  <c r="T172" i="26"/>
  <c r="U173" i="26" s="1"/>
  <c r="V171" i="26"/>
  <c r="W171" i="26"/>
  <c r="X171" i="26"/>
  <c r="Y171" i="26"/>
  <c r="H122" i="26"/>
  <c r="G122" i="26" s="1"/>
  <c r="L121" i="26"/>
  <c r="K121" i="26"/>
  <c r="J121" i="26"/>
  <c r="I121" i="26"/>
  <c r="T204" i="16"/>
  <c r="AY203" i="16"/>
  <c r="AZ203" i="16" s="1"/>
  <c r="BA203" i="16" s="1"/>
  <c r="AF203" i="16"/>
  <c r="AP203" i="16"/>
  <c r="AK203" i="16"/>
  <c r="AA203" i="16"/>
  <c r="AU203" i="16"/>
  <c r="V203" i="16"/>
  <c r="J99" i="6"/>
  <c r="I99" i="6"/>
  <c r="K99" i="6"/>
  <c r="H100" i="6"/>
  <c r="Y108" i="35" l="1"/>
  <c r="X108" i="35"/>
  <c r="W108" i="35"/>
  <c r="V108" i="35"/>
  <c r="U109" i="35"/>
  <c r="K108" i="35"/>
  <c r="J108" i="35"/>
  <c r="I108" i="35"/>
  <c r="L108" i="35"/>
  <c r="H109" i="35"/>
  <c r="G109" i="34"/>
  <c r="H110" i="34" s="1"/>
  <c r="X105" i="34"/>
  <c r="Y105" i="34"/>
  <c r="W105" i="34"/>
  <c r="V105" i="34"/>
  <c r="K109" i="31"/>
  <c r="J109" i="31"/>
  <c r="I109" i="31"/>
  <c r="L109" i="31"/>
  <c r="H110" i="31"/>
  <c r="T106" i="31"/>
  <c r="BB204" i="16"/>
  <c r="BC203" i="16"/>
  <c r="BD203" i="16" s="1"/>
  <c r="AQ204" i="16"/>
  <c r="AR203" i="16"/>
  <c r="AS203" i="16" s="1"/>
  <c r="AM203" i="16"/>
  <c r="AN203" i="16" s="1"/>
  <c r="AL204" i="16"/>
  <c r="AC203" i="16"/>
  <c r="AB204" i="16"/>
  <c r="AD203" i="16"/>
  <c r="X203" i="16"/>
  <c r="Y203" i="16" s="1"/>
  <c r="W204" i="16"/>
  <c r="AG204" i="16"/>
  <c r="AH203" i="16"/>
  <c r="AI203" i="16" s="1"/>
  <c r="AW204" i="16"/>
  <c r="AX204" i="16" s="1"/>
  <c r="AV205" i="16"/>
  <c r="T173" i="26"/>
  <c r="U174" i="26" s="1"/>
  <c r="W172" i="26"/>
  <c r="Y172" i="26"/>
  <c r="X172" i="26"/>
  <c r="V172" i="26"/>
  <c r="H123" i="26"/>
  <c r="G123" i="26" s="1"/>
  <c r="L122" i="26"/>
  <c r="K122" i="26"/>
  <c r="J122" i="26"/>
  <c r="I122" i="26"/>
  <c r="T205" i="16"/>
  <c r="AY204" i="16"/>
  <c r="AZ204" i="16" s="1"/>
  <c r="BA204" i="16" s="1"/>
  <c r="AF204" i="16"/>
  <c r="AP204" i="16"/>
  <c r="AK204" i="16"/>
  <c r="AA204" i="16"/>
  <c r="V204" i="16"/>
  <c r="AU204" i="16"/>
  <c r="G100" i="6"/>
  <c r="L100" i="6" s="1"/>
  <c r="G109" i="35" l="1"/>
  <c r="T109" i="35"/>
  <c r="T106" i="34"/>
  <c r="U107" i="34" s="1"/>
  <c r="I109" i="34"/>
  <c r="K109" i="34"/>
  <c r="J109" i="34"/>
  <c r="L109" i="34"/>
  <c r="Y106" i="31"/>
  <c r="W106" i="31"/>
  <c r="X106" i="31"/>
  <c r="V106" i="31"/>
  <c r="U107" i="31"/>
  <c r="G110" i="31"/>
  <c r="BB205" i="16"/>
  <c r="BC204" i="16"/>
  <c r="BD204" i="16"/>
  <c r="AQ205" i="16"/>
  <c r="AR204" i="16"/>
  <c r="AS204" i="16"/>
  <c r="AM204" i="16"/>
  <c r="AL205" i="16"/>
  <c r="AN204" i="16"/>
  <c r="AC204" i="16"/>
  <c r="AD204" i="16" s="1"/>
  <c r="AB205" i="16"/>
  <c r="W205" i="16"/>
  <c r="X204" i="16"/>
  <c r="Y204" i="16" s="1"/>
  <c r="AG205" i="16"/>
  <c r="AH204" i="16"/>
  <c r="AI204" i="16" s="1"/>
  <c r="AW205" i="16"/>
  <c r="AX205" i="16" s="1"/>
  <c r="AV206" i="16"/>
  <c r="T174" i="26"/>
  <c r="U175" i="26" s="1"/>
  <c r="Y173" i="26"/>
  <c r="W173" i="26"/>
  <c r="X173" i="26"/>
  <c r="V173" i="26"/>
  <c r="H124" i="26"/>
  <c r="G124" i="26" s="1"/>
  <c r="L123" i="26"/>
  <c r="K123" i="26"/>
  <c r="J123" i="26"/>
  <c r="I123" i="26"/>
  <c r="T206" i="16"/>
  <c r="AY205" i="16"/>
  <c r="AZ205" i="16" s="1"/>
  <c r="BA205" i="16" s="1"/>
  <c r="AP205" i="16"/>
  <c r="AK205" i="16"/>
  <c r="AF205" i="16"/>
  <c r="AA205" i="16"/>
  <c r="AU205" i="16"/>
  <c r="V205" i="16"/>
  <c r="J100" i="6"/>
  <c r="K100" i="6"/>
  <c r="I100" i="6"/>
  <c r="H101" i="6"/>
  <c r="Y109" i="35" l="1"/>
  <c r="V109" i="35"/>
  <c r="W109" i="35"/>
  <c r="X109" i="35"/>
  <c r="U110" i="35"/>
  <c r="K109" i="35"/>
  <c r="J109" i="35"/>
  <c r="I109" i="35"/>
  <c r="L109" i="35"/>
  <c r="H110" i="35"/>
  <c r="G110" i="34"/>
  <c r="H111" i="34" s="1"/>
  <c r="X106" i="34"/>
  <c r="Y106" i="34"/>
  <c r="W106" i="34"/>
  <c r="V106" i="34"/>
  <c r="K110" i="31"/>
  <c r="L110" i="31"/>
  <c r="J110" i="31"/>
  <c r="I110" i="31"/>
  <c r="H111" i="31"/>
  <c r="T107" i="31"/>
  <c r="BB206" i="16"/>
  <c r="BC205" i="16"/>
  <c r="BD205" i="16"/>
  <c r="AR205" i="16"/>
  <c r="AS205" i="16" s="1"/>
  <c r="AQ206" i="16"/>
  <c r="AM205" i="16"/>
  <c r="AL206" i="16"/>
  <c r="AN205" i="16"/>
  <c r="AH205" i="16"/>
  <c r="AI205" i="16" s="1"/>
  <c r="AG206" i="16"/>
  <c r="X205" i="16"/>
  <c r="Y205" i="16" s="1"/>
  <c r="W206" i="16"/>
  <c r="AB206" i="16"/>
  <c r="AC205" i="16"/>
  <c r="AD205" i="16" s="1"/>
  <c r="AV207" i="16"/>
  <c r="AW206" i="16"/>
  <c r="AX206" i="16" s="1"/>
  <c r="T175" i="26"/>
  <c r="U176" i="26" s="1"/>
  <c r="X174" i="26"/>
  <c r="W174" i="26"/>
  <c r="V174" i="26"/>
  <c r="Y174" i="26"/>
  <c r="H125" i="26"/>
  <c r="G125" i="26" s="1"/>
  <c r="K124" i="26"/>
  <c r="J124" i="26"/>
  <c r="L124" i="26"/>
  <c r="I124" i="26"/>
  <c r="T207" i="16"/>
  <c r="AY206" i="16"/>
  <c r="AZ206" i="16" s="1"/>
  <c r="BA206" i="16" s="1"/>
  <c r="AP206" i="16"/>
  <c r="AA206" i="16"/>
  <c r="AF206" i="16"/>
  <c r="AK206" i="16"/>
  <c r="V206" i="16"/>
  <c r="AU206" i="16"/>
  <c r="G101" i="6"/>
  <c r="L101" i="6" s="1"/>
  <c r="G110" i="35" l="1"/>
  <c r="T110" i="35"/>
  <c r="T107" i="34"/>
  <c r="U108" i="34" s="1"/>
  <c r="I110" i="34"/>
  <c r="L110" i="34"/>
  <c r="K110" i="34"/>
  <c r="J110" i="34"/>
  <c r="Y107" i="31"/>
  <c r="X107" i="31"/>
  <c r="W107" i="31"/>
  <c r="V107" i="31"/>
  <c r="U108" i="31"/>
  <c r="G111" i="31"/>
  <c r="BB207" i="16"/>
  <c r="BC206" i="16"/>
  <c r="BD206" i="16"/>
  <c r="AR206" i="16"/>
  <c r="AQ207" i="16"/>
  <c r="AS206" i="16"/>
  <c r="AM206" i="16"/>
  <c r="AL207" i="16"/>
  <c r="AN206" i="16"/>
  <c r="X206" i="16"/>
  <c r="Y206" i="16" s="1"/>
  <c r="W207" i="16"/>
  <c r="AH206" i="16"/>
  <c r="AI206" i="16" s="1"/>
  <c r="AG207" i="16"/>
  <c r="AB207" i="16"/>
  <c r="AC206" i="16"/>
  <c r="AD206" i="16" s="1"/>
  <c r="AV208" i="16"/>
  <c r="AW207" i="16"/>
  <c r="AX207" i="16" s="1"/>
  <c r="T176" i="26"/>
  <c r="U177" i="26" s="1"/>
  <c r="W175" i="26"/>
  <c r="V175" i="26"/>
  <c r="Y175" i="26"/>
  <c r="X175" i="26"/>
  <c r="H126" i="26"/>
  <c r="G126" i="26" s="1"/>
  <c r="K125" i="26"/>
  <c r="J125" i="26"/>
  <c r="L125" i="26"/>
  <c r="I125" i="26"/>
  <c r="T208" i="16"/>
  <c r="AY207" i="16"/>
  <c r="AZ207" i="16" s="1"/>
  <c r="BA207" i="16" s="1"/>
  <c r="AP207" i="16"/>
  <c r="AK207" i="16"/>
  <c r="AA207" i="16"/>
  <c r="AF207" i="16"/>
  <c r="V207" i="16"/>
  <c r="AU207" i="16"/>
  <c r="J101" i="6"/>
  <c r="K101" i="6"/>
  <c r="I101" i="6"/>
  <c r="H102" i="6"/>
  <c r="Y110" i="35" l="1"/>
  <c r="X110" i="35"/>
  <c r="W110" i="35"/>
  <c r="V110" i="35"/>
  <c r="U111" i="35"/>
  <c r="K110" i="35"/>
  <c r="J110" i="35"/>
  <c r="I110" i="35"/>
  <c r="L110" i="35"/>
  <c r="H111" i="35"/>
  <c r="G111" i="34"/>
  <c r="H112" i="34" s="1"/>
  <c r="X107" i="34"/>
  <c r="W107" i="34"/>
  <c r="Y107" i="34"/>
  <c r="V107" i="34"/>
  <c r="K111" i="31"/>
  <c r="I111" i="31"/>
  <c r="J111" i="31"/>
  <c r="L111" i="31"/>
  <c r="H112" i="31"/>
  <c r="T108" i="31"/>
  <c r="BB208" i="16"/>
  <c r="BC207" i="16"/>
  <c r="BD207" i="16" s="1"/>
  <c r="AR207" i="16"/>
  <c r="AS207" i="16" s="1"/>
  <c r="AQ208" i="16"/>
  <c r="AM207" i="16"/>
  <c r="AN207" i="16" s="1"/>
  <c r="AL208" i="16"/>
  <c r="AG208" i="16"/>
  <c r="AH207" i="16"/>
  <c r="AI207" i="16" s="1"/>
  <c r="W208" i="16"/>
  <c r="X207" i="16"/>
  <c r="AB208" i="16"/>
  <c r="AC207" i="16"/>
  <c r="AD207" i="16" s="1"/>
  <c r="Y207" i="16"/>
  <c r="AV209" i="16"/>
  <c r="AW208" i="16"/>
  <c r="AX208" i="16" s="1"/>
  <c r="T177" i="26"/>
  <c r="U178" i="26" s="1"/>
  <c r="W176" i="26"/>
  <c r="V176" i="26"/>
  <c r="Y176" i="26"/>
  <c r="X176" i="26"/>
  <c r="H127" i="26"/>
  <c r="G127" i="26" s="1"/>
  <c r="J126" i="26"/>
  <c r="K126" i="26"/>
  <c r="I126" i="26"/>
  <c r="L126" i="26"/>
  <c r="T209" i="16"/>
  <c r="AP208" i="16"/>
  <c r="AY208" i="16"/>
  <c r="AZ208" i="16" s="1"/>
  <c r="BA208" i="16" s="1"/>
  <c r="AK208" i="16"/>
  <c r="AA208" i="16"/>
  <c r="AF208" i="16"/>
  <c r="AU208" i="16"/>
  <c r="V208" i="16"/>
  <c r="G102" i="6"/>
  <c r="L102" i="6" s="1"/>
  <c r="G111" i="35" l="1"/>
  <c r="T111" i="35"/>
  <c r="T108" i="34"/>
  <c r="U109" i="34" s="1"/>
  <c r="I111" i="34"/>
  <c r="K111" i="34"/>
  <c r="J111" i="34"/>
  <c r="L111" i="34"/>
  <c r="Y108" i="31"/>
  <c r="X108" i="31"/>
  <c r="W108" i="31"/>
  <c r="V108" i="31"/>
  <c r="U109" i="31"/>
  <c r="G112" i="31"/>
  <c r="BB209" i="16"/>
  <c r="BC208" i="16"/>
  <c r="BD208" i="16"/>
  <c r="AQ209" i="16"/>
  <c r="AR208" i="16"/>
  <c r="AS208" i="16" s="1"/>
  <c r="AM208" i="16"/>
  <c r="AN208" i="16" s="1"/>
  <c r="AL209" i="16"/>
  <c r="X208" i="16"/>
  <c r="Y208" i="16" s="1"/>
  <c r="W209" i="16"/>
  <c r="AG209" i="16"/>
  <c r="AH208" i="16"/>
  <c r="AI208" i="16" s="1"/>
  <c r="AB209" i="16"/>
  <c r="AC208" i="16"/>
  <c r="AD208" i="16" s="1"/>
  <c r="AW209" i="16"/>
  <c r="AX209" i="16" s="1"/>
  <c r="AV210" i="16"/>
  <c r="T178" i="26"/>
  <c r="U179" i="26" s="1"/>
  <c r="Y177" i="26"/>
  <c r="X177" i="26"/>
  <c r="W177" i="26"/>
  <c r="V177" i="26"/>
  <c r="H128" i="26"/>
  <c r="G128" i="26" s="1"/>
  <c r="L127" i="26"/>
  <c r="J127" i="26"/>
  <c r="K127" i="26"/>
  <c r="I127" i="26"/>
  <c r="T210" i="16"/>
  <c r="AP209" i="16"/>
  <c r="AY209" i="16"/>
  <c r="AZ209" i="16" s="1"/>
  <c r="BA209" i="16" s="1"/>
  <c r="AK209" i="16"/>
  <c r="AF209" i="16"/>
  <c r="V209" i="16"/>
  <c r="AA209" i="16"/>
  <c r="AU209" i="16"/>
  <c r="J102" i="6"/>
  <c r="K102" i="6"/>
  <c r="I102" i="6"/>
  <c r="H103" i="6"/>
  <c r="Y111" i="35" l="1"/>
  <c r="X111" i="35"/>
  <c r="W111" i="35"/>
  <c r="V111" i="35"/>
  <c r="U112" i="35"/>
  <c r="K111" i="35"/>
  <c r="J111" i="35"/>
  <c r="I111" i="35"/>
  <c r="L111" i="35"/>
  <c r="H112" i="35"/>
  <c r="G112" i="34"/>
  <c r="H113" i="34" s="1"/>
  <c r="X108" i="34"/>
  <c r="Y108" i="34"/>
  <c r="W108" i="34"/>
  <c r="V108" i="34"/>
  <c r="K112" i="31"/>
  <c r="J112" i="31"/>
  <c r="I112" i="31"/>
  <c r="L112" i="31"/>
  <c r="H113" i="31"/>
  <c r="T109" i="31"/>
  <c r="BB210" i="16"/>
  <c r="BC209" i="16"/>
  <c r="BD209" i="16" s="1"/>
  <c r="AQ210" i="16"/>
  <c r="AR209" i="16"/>
  <c r="AS209" i="16"/>
  <c r="AM209" i="16"/>
  <c r="AN209" i="16" s="1"/>
  <c r="AL210" i="16"/>
  <c r="AB210" i="16"/>
  <c r="AC209" i="16"/>
  <c r="X209" i="16"/>
  <c r="W210" i="16"/>
  <c r="AG210" i="16"/>
  <c r="AH209" i="16"/>
  <c r="AI209" i="16" s="1"/>
  <c r="AD209" i="16"/>
  <c r="Y209" i="16"/>
  <c r="AW210" i="16"/>
  <c r="AX210" i="16" s="1"/>
  <c r="AV211" i="16"/>
  <c r="T179" i="26"/>
  <c r="U180" i="26" s="1"/>
  <c r="W178" i="26"/>
  <c r="V178" i="26"/>
  <c r="X178" i="26"/>
  <c r="Y178" i="26"/>
  <c r="H129" i="26"/>
  <c r="G129" i="26" s="1"/>
  <c r="L128" i="26"/>
  <c r="K128" i="26"/>
  <c r="J128" i="26"/>
  <c r="I128" i="26"/>
  <c r="AY210" i="16"/>
  <c r="AZ210" i="16" s="1"/>
  <c r="BA210" i="16" s="1"/>
  <c r="AP210" i="16"/>
  <c r="AA210" i="16"/>
  <c r="AF210" i="16"/>
  <c r="T211" i="16"/>
  <c r="AK210" i="16"/>
  <c r="V210" i="16"/>
  <c r="AU210" i="16"/>
  <c r="G103" i="6"/>
  <c r="L103" i="6" s="1"/>
  <c r="G112" i="35" l="1"/>
  <c r="T112" i="35"/>
  <c r="T109" i="34"/>
  <c r="U110" i="34" s="1"/>
  <c r="I112" i="34"/>
  <c r="L112" i="34"/>
  <c r="K112" i="34"/>
  <c r="J112" i="34"/>
  <c r="Y109" i="31"/>
  <c r="W109" i="31"/>
  <c r="X109" i="31"/>
  <c r="V109" i="31"/>
  <c r="U110" i="31"/>
  <c r="G113" i="31"/>
  <c r="BB211" i="16"/>
  <c r="BC210" i="16"/>
  <c r="BD210" i="16"/>
  <c r="AR210" i="16"/>
  <c r="AQ211" i="16"/>
  <c r="AS210" i="16"/>
  <c r="AM210" i="16"/>
  <c r="AL211" i="16"/>
  <c r="AN210" i="16"/>
  <c r="X210" i="16"/>
  <c r="Y210" i="16" s="1"/>
  <c r="W211" i="16"/>
  <c r="AH210" i="16"/>
  <c r="AI210" i="16" s="1"/>
  <c r="AG211" i="16"/>
  <c r="AC210" i="16"/>
  <c r="AD210" i="16" s="1"/>
  <c r="AB211" i="16"/>
  <c r="AW211" i="16"/>
  <c r="AX211" i="16" s="1"/>
  <c r="AV212" i="16"/>
  <c r="T180" i="26"/>
  <c r="U181" i="26" s="1"/>
  <c r="X179" i="26"/>
  <c r="V179" i="26"/>
  <c r="W179" i="26"/>
  <c r="Y179" i="26"/>
  <c r="H130" i="26"/>
  <c r="G130" i="26" s="1"/>
  <c r="L129" i="26"/>
  <c r="K129" i="26"/>
  <c r="J129" i="26"/>
  <c r="I129" i="26"/>
  <c r="T212" i="16"/>
  <c r="AY211" i="16"/>
  <c r="AZ211" i="16" s="1"/>
  <c r="BA211" i="16" s="1"/>
  <c r="AP211" i="16"/>
  <c r="AF211" i="16"/>
  <c r="AK211" i="16"/>
  <c r="AA211" i="16"/>
  <c r="V211" i="16"/>
  <c r="AU211" i="16"/>
  <c r="J103" i="6"/>
  <c r="I103" i="6"/>
  <c r="K103" i="6"/>
  <c r="H104" i="6"/>
  <c r="Y112" i="35" l="1"/>
  <c r="X112" i="35"/>
  <c r="W112" i="35"/>
  <c r="V112" i="35"/>
  <c r="U113" i="35"/>
  <c r="K112" i="35"/>
  <c r="J112" i="35"/>
  <c r="I112" i="35"/>
  <c r="L112" i="35"/>
  <c r="H113" i="35"/>
  <c r="G113" i="34"/>
  <c r="H114" i="34" s="1"/>
  <c r="X109" i="34"/>
  <c r="W109" i="34"/>
  <c r="Y109" i="34"/>
  <c r="V109" i="34"/>
  <c r="K113" i="31"/>
  <c r="L113" i="31"/>
  <c r="J113" i="31"/>
  <c r="I113" i="31"/>
  <c r="H114" i="31"/>
  <c r="T110" i="31"/>
  <c r="BB212" i="16"/>
  <c r="BC211" i="16"/>
  <c r="BD211" i="16" s="1"/>
  <c r="AR211" i="16"/>
  <c r="AQ212" i="16"/>
  <c r="AS211" i="16"/>
  <c r="AM211" i="16"/>
  <c r="AL212" i="16"/>
  <c r="AN211" i="16"/>
  <c r="X211" i="16"/>
  <c r="Y211" i="16" s="1"/>
  <c r="W212" i="16"/>
  <c r="AG212" i="16"/>
  <c r="AH211" i="16"/>
  <c r="AI211" i="16" s="1"/>
  <c r="AC211" i="16"/>
  <c r="AD211" i="16" s="1"/>
  <c r="AB212" i="16"/>
  <c r="AV213" i="16"/>
  <c r="AW212" i="16"/>
  <c r="AX212" i="16" s="1"/>
  <c r="T181" i="26"/>
  <c r="U182" i="26" s="1"/>
  <c r="X180" i="26"/>
  <c r="V180" i="26"/>
  <c r="W180" i="26"/>
  <c r="Y180" i="26"/>
  <c r="H131" i="26"/>
  <c r="G131" i="26" s="1"/>
  <c r="L130" i="26"/>
  <c r="K130" i="26"/>
  <c r="J130" i="26"/>
  <c r="I130" i="26"/>
  <c r="T213" i="16"/>
  <c r="AY212" i="16"/>
  <c r="AZ212" i="16" s="1"/>
  <c r="BA212" i="16" s="1"/>
  <c r="AK212" i="16"/>
  <c r="AA212" i="16"/>
  <c r="AF212" i="16"/>
  <c r="AP212" i="16"/>
  <c r="V212" i="16"/>
  <c r="AU212" i="16"/>
  <c r="G104" i="6"/>
  <c r="L104" i="6" s="1"/>
  <c r="G113" i="35" l="1"/>
  <c r="T113" i="35"/>
  <c r="U114" i="35" s="1"/>
  <c r="T110" i="34"/>
  <c r="U111" i="34" s="1"/>
  <c r="I113" i="34"/>
  <c r="K113" i="34"/>
  <c r="L113" i="34"/>
  <c r="J113" i="34"/>
  <c r="Y110" i="31"/>
  <c r="X110" i="31"/>
  <c r="W110" i="31"/>
  <c r="V110" i="31"/>
  <c r="U111" i="31"/>
  <c r="G114" i="31"/>
  <c r="BB213" i="16"/>
  <c r="BC212" i="16"/>
  <c r="BD212" i="16"/>
  <c r="AR212" i="16"/>
  <c r="AS212" i="16" s="1"/>
  <c r="AQ213" i="16"/>
  <c r="AL213" i="16"/>
  <c r="AM212" i="16"/>
  <c r="AN212" i="16" s="1"/>
  <c r="AC212" i="16"/>
  <c r="AB213" i="16"/>
  <c r="X212" i="16"/>
  <c r="Y212" i="16" s="1"/>
  <c r="W213" i="16"/>
  <c r="AD212" i="16"/>
  <c r="AH212" i="16"/>
  <c r="AI212" i="16" s="1"/>
  <c r="AG213" i="16"/>
  <c r="AV214" i="16"/>
  <c r="AW213" i="16"/>
  <c r="AX213" i="16" s="1"/>
  <c r="T182" i="26"/>
  <c r="U183" i="26" s="1"/>
  <c r="X181" i="26"/>
  <c r="W181" i="26"/>
  <c r="Y181" i="26"/>
  <c r="V181" i="26"/>
  <c r="H132" i="26"/>
  <c r="L131" i="26"/>
  <c r="K131" i="26"/>
  <c r="J131" i="26"/>
  <c r="I131" i="26"/>
  <c r="T214" i="16"/>
  <c r="AY213" i="16"/>
  <c r="AZ213" i="16" s="1"/>
  <c r="BA213" i="16" s="1"/>
  <c r="AK213" i="16"/>
  <c r="AP213" i="16"/>
  <c r="AF213" i="16"/>
  <c r="AA213" i="16"/>
  <c r="AU213" i="16"/>
  <c r="V213" i="16"/>
  <c r="J104" i="6"/>
  <c r="K104" i="6"/>
  <c r="I104" i="6"/>
  <c r="H105" i="6"/>
  <c r="Y113" i="35" l="1"/>
  <c r="X113" i="35"/>
  <c r="W113" i="35"/>
  <c r="V113" i="35"/>
  <c r="T114" i="35"/>
  <c r="K113" i="35"/>
  <c r="J113" i="35"/>
  <c r="I113" i="35"/>
  <c r="L113" i="35"/>
  <c r="H114" i="35"/>
  <c r="G114" i="34"/>
  <c r="H115" i="34" s="1"/>
  <c r="X110" i="34"/>
  <c r="Y110" i="34"/>
  <c r="W110" i="34"/>
  <c r="V110" i="34"/>
  <c r="K114" i="31"/>
  <c r="I114" i="31"/>
  <c r="J114" i="31"/>
  <c r="L114" i="31"/>
  <c r="H115" i="31"/>
  <c r="T111" i="31"/>
  <c r="BB214" i="16"/>
  <c r="BC213" i="16"/>
  <c r="BD213" i="16"/>
  <c r="AQ214" i="16"/>
  <c r="AR213" i="16"/>
  <c r="AS213" i="16"/>
  <c r="AM213" i="16"/>
  <c r="AN213" i="16" s="1"/>
  <c r="AL214" i="16"/>
  <c r="X213" i="16"/>
  <c r="Y213" i="16" s="1"/>
  <c r="W214" i="16"/>
  <c r="AH213" i="16"/>
  <c r="AI213" i="16" s="1"/>
  <c r="AG214" i="16"/>
  <c r="AC213" i="16"/>
  <c r="AD213" i="16" s="1"/>
  <c r="AB214" i="16"/>
  <c r="AW214" i="16"/>
  <c r="AX214" i="16" s="1"/>
  <c r="AV215" i="16"/>
  <c r="T183" i="26"/>
  <c r="U184" i="26" s="1"/>
  <c r="Y182" i="26"/>
  <c r="W182" i="26"/>
  <c r="X182" i="26"/>
  <c r="V182" i="26"/>
  <c r="G132" i="26"/>
  <c r="T215" i="16"/>
  <c r="AY214" i="16"/>
  <c r="AZ214" i="16" s="1"/>
  <c r="BA214" i="16" s="1"/>
  <c r="AK214" i="16"/>
  <c r="AP214" i="16"/>
  <c r="AA214" i="16"/>
  <c r="AF214" i="16"/>
  <c r="V214" i="16"/>
  <c r="AU214" i="16"/>
  <c r="G105" i="6"/>
  <c r="L105" i="6" s="1"/>
  <c r="G114" i="35" l="1"/>
  <c r="Y114" i="35"/>
  <c r="X114" i="35"/>
  <c r="W114" i="35"/>
  <c r="V114" i="35"/>
  <c r="U115" i="35"/>
  <c r="T111" i="34"/>
  <c r="U112" i="34" s="1"/>
  <c r="I114" i="34"/>
  <c r="L114" i="34"/>
  <c r="K114" i="34"/>
  <c r="J114" i="34"/>
  <c r="Y111" i="31"/>
  <c r="X111" i="31"/>
  <c r="W111" i="31"/>
  <c r="V111" i="31"/>
  <c r="U112" i="31"/>
  <c r="G115" i="31"/>
  <c r="BB215" i="16"/>
  <c r="BC214" i="16"/>
  <c r="BD214" i="16"/>
  <c r="AQ215" i="16"/>
  <c r="AR214" i="16"/>
  <c r="AS214" i="16"/>
  <c r="AM214" i="16"/>
  <c r="AN214" i="16" s="1"/>
  <c r="AL215" i="16"/>
  <c r="X214" i="16"/>
  <c r="Y214" i="16" s="1"/>
  <c r="W215" i="16"/>
  <c r="AH214" i="16"/>
  <c r="AI214" i="16" s="1"/>
  <c r="AG215" i="16"/>
  <c r="AC214" i="16"/>
  <c r="AD214" i="16" s="1"/>
  <c r="AB215" i="16"/>
  <c r="AV216" i="16"/>
  <c r="AW215" i="16"/>
  <c r="AX215" i="16" s="1"/>
  <c r="T184" i="26"/>
  <c r="U185" i="26" s="1"/>
  <c r="X183" i="26"/>
  <c r="W183" i="26"/>
  <c r="Y183" i="26"/>
  <c r="V183" i="26"/>
  <c r="L132" i="26"/>
  <c r="K132" i="26"/>
  <c r="J132" i="26"/>
  <c r="I132" i="26"/>
  <c r="H133" i="26"/>
  <c r="G133" i="26" s="1"/>
  <c r="T216" i="16"/>
  <c r="AY215" i="16"/>
  <c r="AZ215" i="16" s="1"/>
  <c r="BA215" i="16" s="1"/>
  <c r="AF215" i="16"/>
  <c r="AK215" i="16"/>
  <c r="AP215" i="16"/>
  <c r="AA215" i="16"/>
  <c r="AU215" i="16"/>
  <c r="V215" i="16"/>
  <c r="J105" i="6"/>
  <c r="K105" i="6"/>
  <c r="I105" i="6"/>
  <c r="H106" i="6"/>
  <c r="T115" i="35" l="1"/>
  <c r="K114" i="35"/>
  <c r="J114" i="35"/>
  <c r="I114" i="35"/>
  <c r="L114" i="35"/>
  <c r="H115" i="35"/>
  <c r="G115" i="34"/>
  <c r="H116" i="34" s="1"/>
  <c r="X111" i="34"/>
  <c r="Y111" i="34"/>
  <c r="W111" i="34"/>
  <c r="V111" i="34"/>
  <c r="K115" i="31"/>
  <c r="J115" i="31"/>
  <c r="I115" i="31"/>
  <c r="L115" i="31"/>
  <c r="H116" i="31"/>
  <c r="T112" i="31"/>
  <c r="BB216" i="16"/>
  <c r="BC215" i="16"/>
  <c r="BD215" i="16" s="1"/>
  <c r="AQ216" i="16"/>
  <c r="AR215" i="16"/>
  <c r="AS215" i="16"/>
  <c r="AM215" i="16"/>
  <c r="AL216" i="16"/>
  <c r="AN215" i="16"/>
  <c r="AH215" i="16"/>
  <c r="AI215" i="16" s="1"/>
  <c r="AG216" i="16"/>
  <c r="X215" i="16"/>
  <c r="W216" i="16"/>
  <c r="AC215" i="16"/>
  <c r="AD215" i="16" s="1"/>
  <c r="AB216" i="16"/>
  <c r="Y215" i="16"/>
  <c r="AW216" i="16"/>
  <c r="AX216" i="16" s="1"/>
  <c r="AV217" i="16"/>
  <c r="T185" i="26"/>
  <c r="U186" i="26" s="1"/>
  <c r="V184" i="26"/>
  <c r="W184" i="26"/>
  <c r="Y184" i="26"/>
  <c r="X184" i="26"/>
  <c r="H134" i="26"/>
  <c r="G134" i="26" s="1"/>
  <c r="L133" i="26"/>
  <c r="K133" i="26"/>
  <c r="J133" i="26"/>
  <c r="I133" i="26"/>
  <c r="T217" i="16"/>
  <c r="AY216" i="16"/>
  <c r="AZ216" i="16" s="1"/>
  <c r="BA216" i="16" s="1"/>
  <c r="AF216" i="16"/>
  <c r="AK216" i="16"/>
  <c r="AP216" i="16"/>
  <c r="AA216" i="16"/>
  <c r="V216" i="16"/>
  <c r="AU216" i="16"/>
  <c r="G106" i="6"/>
  <c r="L106" i="6" s="1"/>
  <c r="G115" i="35" l="1"/>
  <c r="Y115" i="35"/>
  <c r="X115" i="35"/>
  <c r="W115" i="35"/>
  <c r="V115" i="35"/>
  <c r="U116" i="35"/>
  <c r="T112" i="34"/>
  <c r="U113" i="34" s="1"/>
  <c r="I115" i="34"/>
  <c r="L115" i="34"/>
  <c r="K115" i="34"/>
  <c r="J115" i="34"/>
  <c r="Y112" i="31"/>
  <c r="W112" i="31"/>
  <c r="X112" i="31"/>
  <c r="V112" i="31"/>
  <c r="U113" i="31"/>
  <c r="G116" i="31"/>
  <c r="BB217" i="16"/>
  <c r="BC216" i="16"/>
  <c r="BD216" i="16" s="1"/>
  <c r="AR216" i="16"/>
  <c r="AQ217" i="16"/>
  <c r="AS216" i="16"/>
  <c r="AM216" i="16"/>
  <c r="AN216" i="16" s="1"/>
  <c r="AL217" i="16"/>
  <c r="X216" i="16"/>
  <c r="Y216" i="16" s="1"/>
  <c r="W217" i="16"/>
  <c r="AC216" i="16"/>
  <c r="AD216" i="16" s="1"/>
  <c r="AB217" i="16"/>
  <c r="AG217" i="16"/>
  <c r="AH216" i="16"/>
  <c r="AI216" i="16" s="1"/>
  <c r="AV218" i="16"/>
  <c r="AW217" i="16"/>
  <c r="AX217" i="16" s="1"/>
  <c r="T186" i="26"/>
  <c r="U187" i="26" s="1"/>
  <c r="V185" i="26"/>
  <c r="X185" i="26"/>
  <c r="W185" i="26"/>
  <c r="Y185" i="26"/>
  <c r="H135" i="26"/>
  <c r="G135" i="26" s="1"/>
  <c r="L134" i="26"/>
  <c r="K134" i="26"/>
  <c r="J134" i="26"/>
  <c r="I134" i="26"/>
  <c r="T218" i="16"/>
  <c r="AY217" i="16"/>
  <c r="AZ217" i="16" s="1"/>
  <c r="BA217" i="16" s="1"/>
  <c r="AP217" i="16"/>
  <c r="AK217" i="16"/>
  <c r="AA217" i="16"/>
  <c r="AF217" i="16"/>
  <c r="AU217" i="16"/>
  <c r="V217" i="16"/>
  <c r="J106" i="6"/>
  <c r="K106" i="6"/>
  <c r="I106" i="6"/>
  <c r="H107" i="6"/>
  <c r="T116" i="35" l="1"/>
  <c r="K115" i="35"/>
  <c r="J115" i="35"/>
  <c r="I115" i="35"/>
  <c r="L115" i="35"/>
  <c r="H116" i="35"/>
  <c r="G116" i="34"/>
  <c r="H117" i="34" s="1"/>
  <c r="X112" i="34"/>
  <c r="Y112" i="34"/>
  <c r="V112" i="34"/>
  <c r="W112" i="34"/>
  <c r="K116" i="31"/>
  <c r="L116" i="31"/>
  <c r="J116" i="31"/>
  <c r="I116" i="31"/>
  <c r="H117" i="31"/>
  <c r="T113" i="31"/>
  <c r="BB218" i="16"/>
  <c r="BC217" i="16"/>
  <c r="BD217" i="16"/>
  <c r="AQ218" i="16"/>
  <c r="AR217" i="16"/>
  <c r="AS217" i="16" s="1"/>
  <c r="AM217" i="16"/>
  <c r="AN217" i="16" s="1"/>
  <c r="AL218" i="16"/>
  <c r="X217" i="16"/>
  <c r="Y217" i="16" s="1"/>
  <c r="W218" i="16"/>
  <c r="AH217" i="16"/>
  <c r="AI217" i="16" s="1"/>
  <c r="AG218" i="16"/>
  <c r="AC217" i="16"/>
  <c r="AD217" i="16" s="1"/>
  <c r="AB218" i="16"/>
  <c r="AV219" i="16"/>
  <c r="AW218" i="16"/>
  <c r="AX218" i="16" s="1"/>
  <c r="T187" i="26"/>
  <c r="U188" i="26" s="1"/>
  <c r="X186" i="26"/>
  <c r="Y186" i="26"/>
  <c r="W186" i="26"/>
  <c r="V186" i="26"/>
  <c r="H136" i="26"/>
  <c r="G136" i="26" s="1"/>
  <c r="L135" i="26"/>
  <c r="K135" i="26"/>
  <c r="J135" i="26"/>
  <c r="I135" i="26"/>
  <c r="T219" i="16"/>
  <c r="AY218" i="16"/>
  <c r="AZ218" i="16" s="1"/>
  <c r="BA218" i="16" s="1"/>
  <c r="AP218" i="16"/>
  <c r="AA218" i="16"/>
  <c r="AF218" i="16"/>
  <c r="AK218" i="16"/>
  <c r="V218" i="16"/>
  <c r="AU218" i="16"/>
  <c r="G107" i="6"/>
  <c r="L107" i="6" s="1"/>
  <c r="G116" i="35" l="1"/>
  <c r="Y116" i="35"/>
  <c r="X116" i="35"/>
  <c r="W116" i="35"/>
  <c r="V116" i="35"/>
  <c r="U117" i="35"/>
  <c r="T113" i="34"/>
  <c r="U114" i="34" s="1"/>
  <c r="I116" i="34"/>
  <c r="L116" i="34"/>
  <c r="J116" i="34"/>
  <c r="K116" i="34"/>
  <c r="Y113" i="31"/>
  <c r="X113" i="31"/>
  <c r="W113" i="31"/>
  <c r="V113" i="31"/>
  <c r="U114" i="31"/>
  <c r="G117" i="31"/>
  <c r="BC218" i="16"/>
  <c r="BB219" i="16"/>
  <c r="BD218" i="16"/>
  <c r="AR218" i="16"/>
  <c r="AS218" i="16" s="1"/>
  <c r="AQ219" i="16"/>
  <c r="AM218" i="16"/>
  <c r="AL219" i="16"/>
  <c r="AN218" i="16"/>
  <c r="X218" i="16"/>
  <c r="W219" i="16"/>
  <c r="AG219" i="16"/>
  <c r="AH218" i="16"/>
  <c r="AI218" i="16" s="1"/>
  <c r="AB219" i="16"/>
  <c r="AC218" i="16"/>
  <c r="AD218" i="16" s="1"/>
  <c r="Y218" i="16"/>
  <c r="AV220" i="16"/>
  <c r="AW219" i="16"/>
  <c r="AX219" i="16" s="1"/>
  <c r="T188" i="26"/>
  <c r="U189" i="26" s="1"/>
  <c r="W187" i="26"/>
  <c r="V187" i="26"/>
  <c r="Y187" i="26"/>
  <c r="X187" i="26"/>
  <c r="H137" i="26"/>
  <c r="G137" i="26" s="1"/>
  <c r="K136" i="26"/>
  <c r="J136" i="26"/>
  <c r="L136" i="26"/>
  <c r="I136" i="26"/>
  <c r="T220" i="16"/>
  <c r="AY219" i="16"/>
  <c r="AZ219" i="16" s="1"/>
  <c r="BA219" i="16" s="1"/>
  <c r="AP219" i="16"/>
  <c r="AK219" i="16"/>
  <c r="AA219" i="16"/>
  <c r="AF219" i="16"/>
  <c r="V219" i="16"/>
  <c r="AU219" i="16"/>
  <c r="J107" i="6"/>
  <c r="K107" i="6"/>
  <c r="I107" i="6"/>
  <c r="H108" i="6"/>
  <c r="T117" i="35" l="1"/>
  <c r="K116" i="35"/>
  <c r="J116" i="35"/>
  <c r="I116" i="35"/>
  <c r="L116" i="35"/>
  <c r="H117" i="35"/>
  <c r="G117" i="34"/>
  <c r="H118" i="34" s="1"/>
  <c r="X113" i="34"/>
  <c r="Y113" i="34"/>
  <c r="W113" i="34"/>
  <c r="V113" i="34"/>
  <c r="K117" i="31"/>
  <c r="I117" i="31"/>
  <c r="J117" i="31"/>
  <c r="L117" i="31"/>
  <c r="H118" i="31"/>
  <c r="T114" i="31"/>
  <c r="BB220" i="16"/>
  <c r="BC219" i="16"/>
  <c r="BD219" i="16" s="1"/>
  <c r="AQ220" i="16"/>
  <c r="AR219" i="16"/>
  <c r="AS219" i="16"/>
  <c r="AM219" i="16"/>
  <c r="AN219" i="16" s="1"/>
  <c r="AL220" i="16"/>
  <c r="AH219" i="16"/>
  <c r="AI219" i="16" s="1"/>
  <c r="AG220" i="16"/>
  <c r="AB220" i="16"/>
  <c r="AC219" i="16"/>
  <c r="AD219" i="16" s="1"/>
  <c r="X219" i="16"/>
  <c r="Y219" i="16" s="1"/>
  <c r="W220" i="16"/>
  <c r="AV221" i="16"/>
  <c r="AW220" i="16"/>
  <c r="AX220" i="16" s="1"/>
  <c r="T189" i="26"/>
  <c r="U190" i="26" s="1"/>
  <c r="W188" i="26"/>
  <c r="Y188" i="26"/>
  <c r="X188" i="26"/>
  <c r="V188" i="26"/>
  <c r="H138" i="26"/>
  <c r="G138" i="26" s="1"/>
  <c r="K137" i="26"/>
  <c r="J137" i="26"/>
  <c r="L137" i="26"/>
  <c r="I137" i="26"/>
  <c r="T221" i="16"/>
  <c r="AP220" i="16"/>
  <c r="AY220" i="16"/>
  <c r="AZ220" i="16" s="1"/>
  <c r="BA220" i="16" s="1"/>
  <c r="AK220" i="16"/>
  <c r="AA220" i="16"/>
  <c r="AF220" i="16"/>
  <c r="V220" i="16"/>
  <c r="AU220" i="16"/>
  <c r="G108" i="6"/>
  <c r="L108" i="6" s="1"/>
  <c r="G117" i="35" l="1"/>
  <c r="Y117" i="35"/>
  <c r="X117" i="35"/>
  <c r="V117" i="35"/>
  <c r="W117" i="35"/>
  <c r="U118" i="35"/>
  <c r="T114" i="34"/>
  <c r="U115" i="34" s="1"/>
  <c r="I117" i="34"/>
  <c r="L117" i="34"/>
  <c r="K117" i="34"/>
  <c r="J117" i="34"/>
  <c r="Y114" i="31"/>
  <c r="X114" i="31"/>
  <c r="W114" i="31"/>
  <c r="V114" i="31"/>
  <c r="U115" i="31"/>
  <c r="G118" i="31"/>
  <c r="BB221" i="16"/>
  <c r="BC220" i="16"/>
  <c r="BD220" i="16" s="1"/>
  <c r="AR220" i="16"/>
  <c r="AQ221" i="16"/>
  <c r="AS220" i="16"/>
  <c r="AM220" i="16"/>
  <c r="AN220" i="16" s="1"/>
  <c r="AL221" i="16"/>
  <c r="X220" i="16"/>
  <c r="Y220" i="16" s="1"/>
  <c r="W221" i="16"/>
  <c r="AC220" i="16"/>
  <c r="AD220" i="16" s="1"/>
  <c r="AB221" i="16"/>
  <c r="AG221" i="16"/>
  <c r="AH220" i="16"/>
  <c r="AI220" i="16" s="1"/>
  <c r="AV222" i="16"/>
  <c r="AW221" i="16"/>
  <c r="AX221" i="16" s="1"/>
  <c r="T190" i="26"/>
  <c r="U191" i="26" s="1"/>
  <c r="X189" i="26"/>
  <c r="V189" i="26"/>
  <c r="Y189" i="26"/>
  <c r="W189" i="26"/>
  <c r="H139" i="26"/>
  <c r="G139" i="26" s="1"/>
  <c r="J138" i="26"/>
  <c r="K138" i="26"/>
  <c r="I138" i="26"/>
  <c r="L138" i="26"/>
  <c r="T222" i="16"/>
  <c r="AP221" i="16"/>
  <c r="AY221" i="16"/>
  <c r="AZ221" i="16" s="1"/>
  <c r="BA221" i="16" s="1"/>
  <c r="AF221" i="16"/>
  <c r="AK221" i="16"/>
  <c r="AA221" i="16"/>
  <c r="V221" i="16"/>
  <c r="AU221" i="16"/>
  <c r="J108" i="6"/>
  <c r="I108" i="6"/>
  <c r="K108" i="6"/>
  <c r="H109" i="6"/>
  <c r="T118" i="35" l="1"/>
  <c r="K117" i="35"/>
  <c r="J117" i="35"/>
  <c r="I117" i="35"/>
  <c r="L117" i="35"/>
  <c r="H118" i="35"/>
  <c r="G118" i="34"/>
  <c r="H119" i="34" s="1"/>
  <c r="X114" i="34"/>
  <c r="Y114" i="34"/>
  <c r="V114" i="34"/>
  <c r="W114" i="34"/>
  <c r="K118" i="31"/>
  <c r="J118" i="31"/>
  <c r="I118" i="31"/>
  <c r="L118" i="31"/>
  <c r="H119" i="31"/>
  <c r="T115" i="31"/>
  <c r="BB222" i="16"/>
  <c r="BC221" i="16"/>
  <c r="BD221" i="16"/>
  <c r="AQ222" i="16"/>
  <c r="AR221" i="16"/>
  <c r="AS221" i="16"/>
  <c r="AM221" i="16"/>
  <c r="AL222" i="16"/>
  <c r="AN221" i="16"/>
  <c r="AB222" i="16"/>
  <c r="AC221" i="16"/>
  <c r="X221" i="16"/>
  <c r="Y221" i="16" s="1"/>
  <c r="W222" i="16"/>
  <c r="AD221" i="16"/>
  <c r="AG222" i="16"/>
  <c r="AH221" i="16"/>
  <c r="AI221" i="16" s="1"/>
  <c r="AW222" i="16"/>
  <c r="AX222" i="16" s="1"/>
  <c r="AV223" i="16"/>
  <c r="T191" i="26"/>
  <c r="U192" i="26" s="1"/>
  <c r="W190" i="26"/>
  <c r="Y190" i="26"/>
  <c r="X190" i="26"/>
  <c r="V190" i="26"/>
  <c r="H140" i="26"/>
  <c r="G140" i="26" s="1"/>
  <c r="L139" i="26"/>
  <c r="J139" i="26"/>
  <c r="K139" i="26"/>
  <c r="I139" i="26"/>
  <c r="AY222" i="16"/>
  <c r="AZ222" i="16" s="1"/>
  <c r="BA222" i="16" s="1"/>
  <c r="AP222" i="16"/>
  <c r="AA222" i="16"/>
  <c r="AF222" i="16"/>
  <c r="AK222" i="16"/>
  <c r="T223" i="16"/>
  <c r="V222" i="16"/>
  <c r="AU222" i="16"/>
  <c r="G109" i="6"/>
  <c r="L109" i="6" s="1"/>
  <c r="G118" i="35" l="1"/>
  <c r="Y118" i="35"/>
  <c r="X118" i="35"/>
  <c r="W118" i="35"/>
  <c r="V118" i="35"/>
  <c r="U119" i="35"/>
  <c r="T115" i="34"/>
  <c r="U116" i="34" s="1"/>
  <c r="I118" i="34"/>
  <c r="L118" i="34"/>
  <c r="J118" i="34"/>
  <c r="K118" i="34"/>
  <c r="Y115" i="31"/>
  <c r="W115" i="31"/>
  <c r="X115" i="31"/>
  <c r="V115" i="31"/>
  <c r="U116" i="31"/>
  <c r="G119" i="31"/>
  <c r="H120" i="31" s="1"/>
  <c r="BB223" i="16"/>
  <c r="BC222" i="16"/>
  <c r="BD222" i="16"/>
  <c r="AQ223" i="16"/>
  <c r="AR222" i="16"/>
  <c r="AS222" i="16"/>
  <c r="AM222" i="16"/>
  <c r="AN222" i="16" s="1"/>
  <c r="AL223" i="16"/>
  <c r="AH222" i="16"/>
  <c r="AG223" i="16"/>
  <c r="AI222" i="16"/>
  <c r="AC222" i="16"/>
  <c r="AD222" i="16" s="1"/>
  <c r="AB223" i="16"/>
  <c r="W223" i="16"/>
  <c r="X222" i="16"/>
  <c r="Y222" i="16" s="1"/>
  <c r="AW223" i="16"/>
  <c r="AX223" i="16" s="1"/>
  <c r="AV224" i="16"/>
  <c r="T192" i="26"/>
  <c r="U193" i="26" s="1"/>
  <c r="W191" i="26"/>
  <c r="X191" i="26"/>
  <c r="V191" i="26"/>
  <c r="Y191" i="26"/>
  <c r="H141" i="26"/>
  <c r="G141" i="26" s="1"/>
  <c r="L140" i="26"/>
  <c r="J140" i="26"/>
  <c r="I140" i="26"/>
  <c r="K140" i="26"/>
  <c r="T224" i="16"/>
  <c r="AY223" i="16"/>
  <c r="AZ223" i="16" s="1"/>
  <c r="BA223" i="16" s="1"/>
  <c r="AP223" i="16"/>
  <c r="AF223" i="16"/>
  <c r="AK223" i="16"/>
  <c r="AA223" i="16"/>
  <c r="V223" i="16"/>
  <c r="AU223" i="16"/>
  <c r="J109" i="6"/>
  <c r="K109" i="6"/>
  <c r="I109" i="6"/>
  <c r="H110" i="6"/>
  <c r="T119" i="35" l="1"/>
  <c r="K118" i="35"/>
  <c r="J118" i="35"/>
  <c r="I118" i="35"/>
  <c r="L118" i="35"/>
  <c r="H119" i="35"/>
  <c r="G119" i="34"/>
  <c r="X115" i="34"/>
  <c r="Y115" i="34"/>
  <c r="W115" i="34"/>
  <c r="V115" i="34"/>
  <c r="K119" i="31"/>
  <c r="L119" i="31"/>
  <c r="J119" i="31"/>
  <c r="I119" i="31"/>
  <c r="T116" i="31"/>
  <c r="BB224" i="16"/>
  <c r="BC223" i="16"/>
  <c r="BD223" i="16" s="1"/>
  <c r="AQ224" i="16"/>
  <c r="AR223" i="16"/>
  <c r="AS223" i="16"/>
  <c r="AL224" i="16"/>
  <c r="AM223" i="16"/>
  <c r="AN223" i="16" s="1"/>
  <c r="AB224" i="16"/>
  <c r="AC223" i="16"/>
  <c r="AG224" i="16"/>
  <c r="AH223" i="16"/>
  <c r="AI223" i="16" s="1"/>
  <c r="AD223" i="16"/>
  <c r="X223" i="16"/>
  <c r="Y223" i="16" s="1"/>
  <c r="W224" i="16"/>
  <c r="AV225" i="16"/>
  <c r="AW224" i="16"/>
  <c r="AX224" i="16" s="1"/>
  <c r="T193" i="26"/>
  <c r="U194" i="26" s="1"/>
  <c r="W192" i="26"/>
  <c r="Y192" i="26"/>
  <c r="V192" i="26"/>
  <c r="X192" i="26"/>
  <c r="H142" i="26"/>
  <c r="G142" i="26" s="1"/>
  <c r="L141" i="26"/>
  <c r="K141" i="26"/>
  <c r="J141" i="26"/>
  <c r="I141" i="26"/>
  <c r="T225" i="16"/>
  <c r="AY224" i="16"/>
  <c r="AZ224" i="16" s="1"/>
  <c r="BA224" i="16" s="1"/>
  <c r="AP224" i="16"/>
  <c r="AK224" i="16"/>
  <c r="AA224" i="16"/>
  <c r="AF224" i="16"/>
  <c r="AU224" i="16"/>
  <c r="V224" i="16"/>
  <c r="G110" i="6"/>
  <c r="L110" i="6" s="1"/>
  <c r="G119" i="35" l="1"/>
  <c r="X119" i="35"/>
  <c r="W119" i="35"/>
  <c r="V119" i="35"/>
  <c r="Y119" i="35"/>
  <c r="U120" i="35"/>
  <c r="T116" i="34"/>
  <c r="U117" i="34" s="1"/>
  <c r="I119" i="34"/>
  <c r="L119" i="34"/>
  <c r="K119" i="34"/>
  <c r="J119" i="34"/>
  <c r="H120" i="34"/>
  <c r="Y116" i="31"/>
  <c r="X116" i="31"/>
  <c r="W116" i="31"/>
  <c r="V116" i="31"/>
  <c r="U117" i="31"/>
  <c r="G120" i="31"/>
  <c r="H121" i="31" s="1"/>
  <c r="L422" i="31"/>
  <c r="AF11" i="31" s="1"/>
  <c r="L420" i="31"/>
  <c r="AF10" i="31" s="1"/>
  <c r="K420" i="31"/>
  <c r="AG10" i="31" s="1"/>
  <c r="K422" i="31"/>
  <c r="AG11" i="31" s="1"/>
  <c r="BB225" i="16"/>
  <c r="BC224" i="16"/>
  <c r="BD224" i="16" s="1"/>
  <c r="AR224" i="16"/>
  <c r="AS224" i="16" s="1"/>
  <c r="AQ225" i="16"/>
  <c r="AL225" i="16"/>
  <c r="AM224" i="16"/>
  <c r="AN224" i="16"/>
  <c r="X224" i="16"/>
  <c r="Y224" i="16" s="1"/>
  <c r="W225" i="16"/>
  <c r="AG225" i="16"/>
  <c r="AH224" i="16"/>
  <c r="AI224" i="16" s="1"/>
  <c r="AC224" i="16"/>
  <c r="AD224" i="16" s="1"/>
  <c r="AB225" i="16"/>
  <c r="AV226" i="16"/>
  <c r="AW225" i="16"/>
  <c r="AX225" i="16" s="1"/>
  <c r="T194" i="26"/>
  <c r="U195" i="26" s="1"/>
  <c r="V193" i="26"/>
  <c r="W193" i="26"/>
  <c r="Y193" i="26"/>
  <c r="X193" i="26"/>
  <c r="H143" i="26"/>
  <c r="G143" i="26" s="1"/>
  <c r="L142" i="26"/>
  <c r="K142" i="26"/>
  <c r="J142" i="26"/>
  <c r="I142" i="26"/>
  <c r="T226" i="16"/>
  <c r="AY225" i="16"/>
  <c r="AZ225" i="16" s="1"/>
  <c r="BA225" i="16" s="1"/>
  <c r="AP225" i="16"/>
  <c r="AK225" i="16"/>
  <c r="AF225" i="16"/>
  <c r="V225" i="16"/>
  <c r="AA225" i="16"/>
  <c r="AU225" i="16"/>
  <c r="J110" i="6"/>
  <c r="K110" i="6"/>
  <c r="I110" i="6"/>
  <c r="H111" i="6"/>
  <c r="T120" i="35" l="1"/>
  <c r="Y420" i="35"/>
  <c r="AF12" i="35" s="1"/>
  <c r="Y422" i="35"/>
  <c r="AF13" i="35" s="1"/>
  <c r="X420" i="35"/>
  <c r="AG12" i="35" s="1"/>
  <c r="X422" i="35"/>
  <c r="AG13" i="35" s="1"/>
  <c r="L119" i="35"/>
  <c r="K119" i="35"/>
  <c r="J119" i="35"/>
  <c r="I119" i="35"/>
  <c r="H120" i="35"/>
  <c r="G120" i="34"/>
  <c r="K422" i="34"/>
  <c r="AG11" i="34" s="1"/>
  <c r="K420" i="34"/>
  <c r="AG10" i="34" s="1"/>
  <c r="L420" i="34"/>
  <c r="AF10" i="34" s="1"/>
  <c r="L422" i="34"/>
  <c r="AF11" i="34" s="1"/>
  <c r="X116" i="34"/>
  <c r="V116" i="34"/>
  <c r="Y116" i="34"/>
  <c r="W116" i="34"/>
  <c r="AC12" i="9"/>
  <c r="K120" i="31"/>
  <c r="I120" i="31"/>
  <c r="J120" i="31"/>
  <c r="L120" i="31"/>
  <c r="T117" i="31"/>
  <c r="BB226" i="16"/>
  <c r="BC225" i="16"/>
  <c r="BD225" i="16" s="1"/>
  <c r="AQ226" i="16"/>
  <c r="AR225" i="16"/>
  <c r="AS225" i="16" s="1"/>
  <c r="AM225" i="16"/>
  <c r="AL226" i="16"/>
  <c r="AN225" i="16"/>
  <c r="X225" i="16"/>
  <c r="Y225" i="16" s="1"/>
  <c r="W226" i="16"/>
  <c r="AC225" i="16"/>
  <c r="AB226" i="16"/>
  <c r="AD225" i="16"/>
  <c r="AH225" i="16"/>
  <c r="AI225" i="16" s="1"/>
  <c r="AG226" i="16"/>
  <c r="AW226" i="16"/>
  <c r="AX226" i="16" s="1"/>
  <c r="AV227" i="16"/>
  <c r="T195" i="26"/>
  <c r="U196" i="26" s="1"/>
  <c r="X194" i="26"/>
  <c r="W194" i="26"/>
  <c r="Y194" i="26"/>
  <c r="V194" i="26"/>
  <c r="H144" i="26"/>
  <c r="L143" i="26"/>
  <c r="K143" i="26"/>
  <c r="I143" i="26"/>
  <c r="J143" i="26"/>
  <c r="T227" i="16"/>
  <c r="AY226" i="16"/>
  <c r="AZ226" i="16" s="1"/>
  <c r="BA226" i="16" s="1"/>
  <c r="AP226" i="16"/>
  <c r="AK226" i="16"/>
  <c r="AF226" i="16"/>
  <c r="AA226" i="16"/>
  <c r="V226" i="16"/>
  <c r="AU226" i="16"/>
  <c r="G111" i="6"/>
  <c r="L111" i="6" s="1"/>
  <c r="L422" i="35" l="1"/>
  <c r="AF11" i="35" s="1"/>
  <c r="L420" i="35"/>
  <c r="AF10" i="35" s="1"/>
  <c r="K422" i="35"/>
  <c r="AG11" i="35" s="1"/>
  <c r="K420" i="35"/>
  <c r="AG10" i="35" s="1"/>
  <c r="Y120" i="35"/>
  <c r="X120" i="35"/>
  <c r="W120" i="35"/>
  <c r="V120" i="35"/>
  <c r="G120" i="35"/>
  <c r="H121" i="35" s="1"/>
  <c r="U121" i="35"/>
  <c r="I120" i="34"/>
  <c r="J120" i="34"/>
  <c r="L120" i="34"/>
  <c r="K120" i="34"/>
  <c r="T117" i="34"/>
  <c r="U118" i="34" s="1"/>
  <c r="H121" i="34"/>
  <c r="Y117" i="31"/>
  <c r="X117" i="31"/>
  <c r="W117" i="31"/>
  <c r="V117" i="31"/>
  <c r="U118" i="31"/>
  <c r="G121" i="31"/>
  <c r="H122" i="31" s="1"/>
  <c r="BB227" i="16"/>
  <c r="BC226" i="16"/>
  <c r="BD226" i="16"/>
  <c r="AQ227" i="16"/>
  <c r="AR226" i="16"/>
  <c r="AS226" i="16" s="1"/>
  <c r="AM226" i="16"/>
  <c r="AN226" i="16" s="1"/>
  <c r="AL227" i="16"/>
  <c r="X226" i="16"/>
  <c r="Y226" i="16" s="1"/>
  <c r="W227" i="16"/>
  <c r="AG227" i="16"/>
  <c r="AH226" i="16"/>
  <c r="AI226" i="16" s="1"/>
  <c r="AC226" i="16"/>
  <c r="AD226" i="16" s="1"/>
  <c r="AB227" i="16"/>
  <c r="AW227" i="16"/>
  <c r="AX227" i="16" s="1"/>
  <c r="AV228" i="16"/>
  <c r="T196" i="26"/>
  <c r="U197" i="26" s="1"/>
  <c r="W195" i="26"/>
  <c r="V195" i="26"/>
  <c r="Y195" i="26"/>
  <c r="X195" i="26"/>
  <c r="G144" i="26"/>
  <c r="T228" i="16"/>
  <c r="AY227" i="16"/>
  <c r="AZ227" i="16" s="1"/>
  <c r="BA227" i="16" s="1"/>
  <c r="AP227" i="16"/>
  <c r="AF227" i="16"/>
  <c r="AK227" i="16"/>
  <c r="AA227" i="16"/>
  <c r="AU227" i="16"/>
  <c r="V227" i="16"/>
  <c r="J111" i="6"/>
  <c r="I111" i="6"/>
  <c r="K111" i="6"/>
  <c r="H112" i="6"/>
  <c r="L120" i="35" l="1"/>
  <c r="K120" i="35"/>
  <c r="J120" i="35"/>
  <c r="I120" i="35"/>
  <c r="G121" i="35"/>
  <c r="T121" i="35"/>
  <c r="G121" i="34"/>
  <c r="X117" i="34"/>
  <c r="W117" i="34"/>
  <c r="V117" i="34"/>
  <c r="Y117" i="34"/>
  <c r="K121" i="31"/>
  <c r="J121" i="31"/>
  <c r="I121" i="31"/>
  <c r="L121" i="31"/>
  <c r="T118" i="31"/>
  <c r="BB228" i="16"/>
  <c r="BC227" i="16"/>
  <c r="BD227" i="16" s="1"/>
  <c r="AR227" i="16"/>
  <c r="AQ228" i="16"/>
  <c r="AS227" i="16"/>
  <c r="AM227" i="16"/>
  <c r="AL228" i="16"/>
  <c r="AN227" i="16"/>
  <c r="AB228" i="16"/>
  <c r="AC227" i="16"/>
  <c r="AD227" i="16" s="1"/>
  <c r="X227" i="16"/>
  <c r="W228" i="16"/>
  <c r="AG228" i="16"/>
  <c r="AH227" i="16"/>
  <c r="AI227" i="16" s="1"/>
  <c r="Y227" i="16"/>
  <c r="AW228" i="16"/>
  <c r="AX228" i="16" s="1"/>
  <c r="AV229" i="16"/>
  <c r="T197" i="26"/>
  <c r="U198" i="26" s="1"/>
  <c r="V196" i="26"/>
  <c r="W196" i="26"/>
  <c r="Y196" i="26"/>
  <c r="X196" i="26"/>
  <c r="L144" i="26"/>
  <c r="K144" i="26"/>
  <c r="J144" i="26"/>
  <c r="I144" i="26"/>
  <c r="H145" i="26"/>
  <c r="T229" i="16"/>
  <c r="AY228" i="16"/>
  <c r="AZ228" i="16" s="1"/>
  <c r="BA228" i="16" s="1"/>
  <c r="AP228" i="16"/>
  <c r="AF228" i="16"/>
  <c r="AK228" i="16"/>
  <c r="AA228" i="16"/>
  <c r="AU228" i="16"/>
  <c r="V228" i="16"/>
  <c r="G112" i="6"/>
  <c r="L112" i="6" s="1"/>
  <c r="V121" i="35" l="1"/>
  <c r="Y121" i="35"/>
  <c r="X121" i="35"/>
  <c r="W121" i="35"/>
  <c r="U122" i="35"/>
  <c r="L121" i="35"/>
  <c r="K121" i="35"/>
  <c r="J121" i="35"/>
  <c r="I121" i="35"/>
  <c r="H122" i="35"/>
  <c r="T118" i="34"/>
  <c r="U119" i="34" s="1"/>
  <c r="I121" i="34"/>
  <c r="K121" i="34"/>
  <c r="J121" i="34"/>
  <c r="L121" i="34"/>
  <c r="H122" i="34"/>
  <c r="Y118" i="31"/>
  <c r="W118" i="31"/>
  <c r="X118" i="31"/>
  <c r="V118" i="31"/>
  <c r="U119" i="31"/>
  <c r="G122" i="31"/>
  <c r="H123" i="31" s="1"/>
  <c r="BB229" i="16"/>
  <c r="BC228" i="16"/>
  <c r="BD228" i="16" s="1"/>
  <c r="AQ229" i="16"/>
  <c r="AR228" i="16"/>
  <c r="AS228" i="16"/>
  <c r="AM228" i="16"/>
  <c r="AN228" i="16" s="1"/>
  <c r="AL229" i="16"/>
  <c r="AG229" i="16"/>
  <c r="AH228" i="16"/>
  <c r="AI228" i="16" s="1"/>
  <c r="W229" i="16"/>
  <c r="X228" i="16"/>
  <c r="Y228" i="16" s="1"/>
  <c r="AC228" i="16"/>
  <c r="AD228" i="16" s="1"/>
  <c r="AB229" i="16"/>
  <c r="AV230" i="16"/>
  <c r="AW229" i="16"/>
  <c r="AX229" i="16" s="1"/>
  <c r="T198" i="26"/>
  <c r="U199" i="26" s="1"/>
  <c r="X197" i="26"/>
  <c r="W197" i="26"/>
  <c r="V197" i="26"/>
  <c r="Y197" i="26"/>
  <c r="G145" i="26"/>
  <c r="H146" i="26" s="1"/>
  <c r="G146" i="26" s="1"/>
  <c r="T230" i="16"/>
  <c r="AY229" i="16"/>
  <c r="AZ229" i="16" s="1"/>
  <c r="BA229" i="16" s="1"/>
  <c r="AP229" i="16"/>
  <c r="AK229" i="16"/>
  <c r="AF229" i="16"/>
  <c r="AA229" i="16"/>
  <c r="AU229" i="16"/>
  <c r="V229" i="16"/>
  <c r="J112" i="6"/>
  <c r="K112" i="6"/>
  <c r="I112" i="6"/>
  <c r="H113" i="6"/>
  <c r="G122" i="35" l="1"/>
  <c r="T122" i="35"/>
  <c r="G122" i="34"/>
  <c r="X118" i="34"/>
  <c r="Y118" i="34"/>
  <c r="W118" i="34"/>
  <c r="V118" i="34"/>
  <c r="K122" i="31"/>
  <c r="L122" i="31"/>
  <c r="J122" i="31"/>
  <c r="I122" i="31"/>
  <c r="T119" i="31"/>
  <c r="U120" i="31" s="1"/>
  <c r="BB230" i="16"/>
  <c r="BC229" i="16"/>
  <c r="BD229" i="16" s="1"/>
  <c r="AQ230" i="16"/>
  <c r="AR229" i="16"/>
  <c r="AS229" i="16"/>
  <c r="AM229" i="16"/>
  <c r="AN229" i="16" s="1"/>
  <c r="AL230" i="16"/>
  <c r="AC229" i="16"/>
  <c r="AD229" i="16" s="1"/>
  <c r="AB230" i="16"/>
  <c r="X229" i="16"/>
  <c r="Y229" i="16" s="1"/>
  <c r="W230" i="16"/>
  <c r="AH229" i="16"/>
  <c r="AI229" i="16" s="1"/>
  <c r="AG230" i="16"/>
  <c r="AV231" i="16"/>
  <c r="AW230" i="16"/>
  <c r="AX230" i="16" s="1"/>
  <c r="T199" i="26"/>
  <c r="U200" i="26" s="1"/>
  <c r="W198" i="26"/>
  <c r="V198" i="26"/>
  <c r="Y198" i="26"/>
  <c r="X198" i="26"/>
  <c r="H147" i="26"/>
  <c r="L146" i="26"/>
  <c r="K146" i="26"/>
  <c r="J146" i="26"/>
  <c r="I146" i="26"/>
  <c r="L145" i="26"/>
  <c r="K145" i="26"/>
  <c r="J145" i="26"/>
  <c r="I145" i="26"/>
  <c r="T231" i="16"/>
  <c r="AY230" i="16"/>
  <c r="AZ230" i="16" s="1"/>
  <c r="BA230" i="16" s="1"/>
  <c r="AA230" i="16"/>
  <c r="AP230" i="16"/>
  <c r="AK230" i="16"/>
  <c r="AF230" i="16"/>
  <c r="AU230" i="16"/>
  <c r="V230" i="16"/>
  <c r="G113" i="6"/>
  <c r="L113" i="6" s="1"/>
  <c r="W122" i="35" l="1"/>
  <c r="V122" i="35"/>
  <c r="X122" i="35"/>
  <c r="Y122" i="35"/>
  <c r="U123" i="35"/>
  <c r="L122" i="35"/>
  <c r="K122" i="35"/>
  <c r="J122" i="35"/>
  <c r="I122" i="35"/>
  <c r="H123" i="35"/>
  <c r="T119" i="34"/>
  <c r="I122" i="34"/>
  <c r="L122" i="34"/>
  <c r="K122" i="34"/>
  <c r="J122" i="34"/>
  <c r="H123" i="34"/>
  <c r="Y119" i="31"/>
  <c r="X119" i="31"/>
  <c r="W119" i="31"/>
  <c r="V119" i="31"/>
  <c r="G123" i="31"/>
  <c r="H124" i="31" s="1"/>
  <c r="BB231" i="16"/>
  <c r="BC230" i="16"/>
  <c r="BD230" i="16"/>
  <c r="AQ231" i="16"/>
  <c r="AR230" i="16"/>
  <c r="AS230" i="16"/>
  <c r="AM230" i="16"/>
  <c r="AL231" i="16"/>
  <c r="AN230" i="16"/>
  <c r="W231" i="16"/>
  <c r="X230" i="16"/>
  <c r="Y230" i="16" s="1"/>
  <c r="AB231" i="16"/>
  <c r="AC230" i="16"/>
  <c r="AD230" i="16"/>
  <c r="AH230" i="16"/>
  <c r="AI230" i="16" s="1"/>
  <c r="AG231" i="16"/>
  <c r="AV232" i="16"/>
  <c r="AW231" i="16"/>
  <c r="AX231" i="16" s="1"/>
  <c r="T200" i="26"/>
  <c r="U201" i="26" s="1"/>
  <c r="V199" i="26"/>
  <c r="W199" i="26"/>
  <c r="Y199" i="26"/>
  <c r="X199" i="26"/>
  <c r="G147" i="26"/>
  <c r="H148" i="26" s="1"/>
  <c r="G148" i="26" s="1"/>
  <c r="T232" i="16"/>
  <c r="AY231" i="16"/>
  <c r="AZ231" i="16" s="1"/>
  <c r="BA231" i="16" s="1"/>
  <c r="AP231" i="16"/>
  <c r="AK231" i="16"/>
  <c r="AA231" i="16"/>
  <c r="AF231" i="16"/>
  <c r="V231" i="16"/>
  <c r="AU231" i="16"/>
  <c r="J113" i="6"/>
  <c r="K113" i="6"/>
  <c r="I113" i="6"/>
  <c r="H114" i="6"/>
  <c r="G123" i="35" l="1"/>
  <c r="T123" i="35"/>
  <c r="G123" i="34"/>
  <c r="X119" i="34"/>
  <c r="W119" i="34"/>
  <c r="Y119" i="34"/>
  <c r="V119" i="34"/>
  <c r="U120" i="34"/>
  <c r="K123" i="31"/>
  <c r="I123" i="31"/>
  <c r="J123" i="31"/>
  <c r="L123" i="31"/>
  <c r="T120" i="31"/>
  <c r="U121" i="31" s="1"/>
  <c r="X420" i="31"/>
  <c r="AG12" i="31" s="1"/>
  <c r="AK6" i="31" s="1"/>
  <c r="X422" i="31"/>
  <c r="AG13" i="31" s="1"/>
  <c r="Y420" i="31"/>
  <c r="AF12" i="31" s="1"/>
  <c r="Y422" i="31"/>
  <c r="AF13" i="31" s="1"/>
  <c r="BB232" i="16"/>
  <c r="BC231" i="16"/>
  <c r="BD231" i="16" s="1"/>
  <c r="AR231" i="16"/>
  <c r="AS231" i="16" s="1"/>
  <c r="AQ232" i="16"/>
  <c r="AM231" i="16"/>
  <c r="AL232" i="16"/>
  <c r="AN231" i="16"/>
  <c r="AH231" i="16"/>
  <c r="AI231" i="16" s="1"/>
  <c r="AG232" i="16"/>
  <c r="W232" i="16"/>
  <c r="X231" i="16"/>
  <c r="Y231" i="16" s="1"/>
  <c r="AC231" i="16"/>
  <c r="AD231" i="16" s="1"/>
  <c r="AB232" i="16"/>
  <c r="AV233" i="16"/>
  <c r="AW232" i="16"/>
  <c r="AX232" i="16" s="1"/>
  <c r="T201" i="26"/>
  <c r="U202" i="26" s="1"/>
  <c r="X200" i="26"/>
  <c r="W200" i="26"/>
  <c r="Y200" i="26"/>
  <c r="V200" i="26"/>
  <c r="H149" i="26"/>
  <c r="G149" i="26" s="1"/>
  <c r="K148" i="26"/>
  <c r="J148" i="26"/>
  <c r="L148" i="26"/>
  <c r="I148" i="26"/>
  <c r="L147" i="26"/>
  <c r="K147" i="26"/>
  <c r="J147" i="26"/>
  <c r="I147" i="26"/>
  <c r="T233" i="16"/>
  <c r="AY232" i="16"/>
  <c r="AZ232" i="16" s="1"/>
  <c r="BA232" i="16" s="1"/>
  <c r="AP232" i="16"/>
  <c r="AK232" i="16"/>
  <c r="AA232" i="16"/>
  <c r="AF232" i="16"/>
  <c r="V232" i="16"/>
  <c r="AU232" i="16"/>
  <c r="G114" i="6"/>
  <c r="L114" i="6" s="1"/>
  <c r="X123" i="35" l="1"/>
  <c r="W123" i="35"/>
  <c r="V123" i="35"/>
  <c r="Y123" i="35"/>
  <c r="U124" i="35"/>
  <c r="L123" i="35"/>
  <c r="K123" i="35"/>
  <c r="J123" i="35"/>
  <c r="I123" i="35"/>
  <c r="H124" i="35"/>
  <c r="T120" i="34"/>
  <c r="Y422" i="34"/>
  <c r="AF13" i="34" s="1"/>
  <c r="Y420" i="34"/>
  <c r="AF12" i="34" s="1"/>
  <c r="X420" i="34"/>
  <c r="AG12" i="34" s="1"/>
  <c r="X422" i="34"/>
  <c r="AG13" i="34" s="1"/>
  <c r="I123" i="34"/>
  <c r="K123" i="34"/>
  <c r="L123" i="34"/>
  <c r="J123" i="34"/>
  <c r="H124" i="34"/>
  <c r="AE12" i="9"/>
  <c r="AJ6" i="31"/>
  <c r="Y120" i="31"/>
  <c r="X120" i="31"/>
  <c r="W120" i="31"/>
  <c r="V120" i="31"/>
  <c r="G124" i="31"/>
  <c r="H125" i="31" s="1"/>
  <c r="BB233" i="16"/>
  <c r="BC232" i="16"/>
  <c r="BD232" i="16" s="1"/>
  <c r="AQ233" i="16"/>
  <c r="AR232" i="16"/>
  <c r="AS232" i="16" s="1"/>
  <c r="AM232" i="16"/>
  <c r="AL233" i="16"/>
  <c r="AN232" i="16"/>
  <c r="AH232" i="16"/>
  <c r="AG233" i="16"/>
  <c r="X232" i="16"/>
  <c r="Y232" i="16" s="1"/>
  <c r="W233" i="16"/>
  <c r="AI232" i="16"/>
  <c r="AC232" i="16"/>
  <c r="AD232" i="16" s="1"/>
  <c r="AB233" i="16"/>
  <c r="AV234" i="16"/>
  <c r="AW233" i="16"/>
  <c r="AX233" i="16" s="1"/>
  <c r="T202" i="26"/>
  <c r="U203" i="26" s="1"/>
  <c r="Y201" i="26"/>
  <c r="V201" i="26"/>
  <c r="X201" i="26"/>
  <c r="W201" i="26"/>
  <c r="H150" i="26"/>
  <c r="G150" i="26" s="1"/>
  <c r="K149" i="26"/>
  <c r="J149" i="26"/>
  <c r="I149" i="26"/>
  <c r="L149" i="26"/>
  <c r="T234" i="16"/>
  <c r="AY233" i="16"/>
  <c r="AZ233" i="16" s="1"/>
  <c r="BA233" i="16" s="1"/>
  <c r="AP233" i="16"/>
  <c r="AK233" i="16"/>
  <c r="AF233" i="16"/>
  <c r="AA233" i="16"/>
  <c r="V233" i="16"/>
  <c r="AU233" i="16"/>
  <c r="J114" i="6"/>
  <c r="K114" i="6"/>
  <c r="I114" i="6"/>
  <c r="H115" i="6"/>
  <c r="G124" i="35" l="1"/>
  <c r="T124" i="35"/>
  <c r="X120" i="34"/>
  <c r="Y120" i="34"/>
  <c r="W120" i="34"/>
  <c r="V120" i="34"/>
  <c r="G124" i="34"/>
  <c r="U121" i="34"/>
  <c r="K124" i="31"/>
  <c r="J124" i="31"/>
  <c r="I124" i="31"/>
  <c r="L124" i="31"/>
  <c r="T121" i="31"/>
  <c r="U122" i="31" s="1"/>
  <c r="BB234" i="16"/>
  <c r="BC233" i="16"/>
  <c r="BD233" i="16"/>
  <c r="AQ234" i="16"/>
  <c r="AR233" i="16"/>
  <c r="AS233" i="16" s="1"/>
  <c r="AM233" i="16"/>
  <c r="AL234" i="16"/>
  <c r="AN233" i="16"/>
  <c r="W234" i="16"/>
  <c r="X233" i="16"/>
  <c r="AH233" i="16"/>
  <c r="AI233" i="16" s="1"/>
  <c r="AG234" i="16"/>
  <c r="AC233" i="16"/>
  <c r="AD233" i="16" s="1"/>
  <c r="AB234" i="16"/>
  <c r="Y233" i="16"/>
  <c r="AW234" i="16"/>
  <c r="AX234" i="16" s="1"/>
  <c r="AV235" i="16"/>
  <c r="T203" i="26"/>
  <c r="U204" i="26" s="1"/>
  <c r="V202" i="26"/>
  <c r="W202" i="26"/>
  <c r="Y202" i="26"/>
  <c r="X202" i="26"/>
  <c r="H151" i="26"/>
  <c r="G151" i="26" s="1"/>
  <c r="J150" i="26"/>
  <c r="K150" i="26"/>
  <c r="I150" i="26"/>
  <c r="L150" i="26"/>
  <c r="T235" i="16"/>
  <c r="AY234" i="16"/>
  <c r="AZ234" i="16" s="1"/>
  <c r="BA234" i="16" s="1"/>
  <c r="AP234" i="16"/>
  <c r="AA234" i="16"/>
  <c r="AK234" i="16"/>
  <c r="AF234" i="16"/>
  <c r="V234" i="16"/>
  <c r="AU234" i="16"/>
  <c r="G115" i="6"/>
  <c r="L115" i="6" s="1"/>
  <c r="Y124" i="35" l="1"/>
  <c r="X124" i="35"/>
  <c r="W124" i="35"/>
  <c r="V124" i="35"/>
  <c r="U125" i="35"/>
  <c r="L124" i="35"/>
  <c r="K124" i="35"/>
  <c r="J124" i="35"/>
  <c r="I124" i="35"/>
  <c r="H125" i="35"/>
  <c r="T121" i="34"/>
  <c r="I124" i="34"/>
  <c r="L124" i="34"/>
  <c r="K124" i="34"/>
  <c r="J124" i="34"/>
  <c r="H125" i="34"/>
  <c r="Y121" i="31"/>
  <c r="W121" i="31"/>
  <c r="X121" i="31"/>
  <c r="V121" i="31"/>
  <c r="G125" i="31"/>
  <c r="H126" i="31" s="1"/>
  <c r="BB235" i="16"/>
  <c r="BC234" i="16"/>
  <c r="BD234" i="16"/>
  <c r="AQ235" i="16"/>
  <c r="AR234" i="16"/>
  <c r="AS234" i="16" s="1"/>
  <c r="AM234" i="16"/>
  <c r="AN234" i="16" s="1"/>
  <c r="AL235" i="16"/>
  <c r="AH234" i="16"/>
  <c r="AI234" i="16" s="1"/>
  <c r="AG235" i="16"/>
  <c r="X234" i="16"/>
  <c r="Y234" i="16" s="1"/>
  <c r="W235" i="16"/>
  <c r="AC234" i="16"/>
  <c r="AD234" i="16" s="1"/>
  <c r="AB235" i="16"/>
  <c r="AW235" i="16"/>
  <c r="AX235" i="16" s="1"/>
  <c r="AV236" i="16"/>
  <c r="T204" i="26"/>
  <c r="U205" i="26" s="1"/>
  <c r="X203" i="26"/>
  <c r="W203" i="26"/>
  <c r="V203" i="26"/>
  <c r="Y203" i="26"/>
  <c r="H152" i="26"/>
  <c r="G152" i="26" s="1"/>
  <c r="L151" i="26"/>
  <c r="J151" i="26"/>
  <c r="K151" i="26"/>
  <c r="I151" i="26"/>
  <c r="T236" i="16"/>
  <c r="AY235" i="16"/>
  <c r="AZ235" i="16" s="1"/>
  <c r="BA235" i="16" s="1"/>
  <c r="AP235" i="16"/>
  <c r="AK235" i="16"/>
  <c r="AF235" i="16"/>
  <c r="AA235" i="16"/>
  <c r="AU235" i="16"/>
  <c r="V235" i="16"/>
  <c r="J115" i="6"/>
  <c r="K115" i="6"/>
  <c r="I115" i="6"/>
  <c r="H116" i="6"/>
  <c r="T125" i="35" l="1"/>
  <c r="G125" i="35"/>
  <c r="G125" i="34"/>
  <c r="X121" i="34"/>
  <c r="W121" i="34"/>
  <c r="Y121" i="34"/>
  <c r="V121" i="34"/>
  <c r="U122" i="34"/>
  <c r="K125" i="31"/>
  <c r="L125" i="31"/>
  <c r="J125" i="31"/>
  <c r="I125" i="31"/>
  <c r="T122" i="31"/>
  <c r="U123" i="31" s="1"/>
  <c r="BB236" i="16"/>
  <c r="BC235" i="16"/>
  <c r="BD235" i="16" s="1"/>
  <c r="AQ236" i="16"/>
  <c r="AR235" i="16"/>
  <c r="AS235" i="16" s="1"/>
  <c r="AL236" i="16"/>
  <c r="AM235" i="16"/>
  <c r="AN235" i="16" s="1"/>
  <c r="W236" i="16"/>
  <c r="X235" i="16"/>
  <c r="Y235" i="16" s="1"/>
  <c r="AC235" i="16"/>
  <c r="AD235" i="16" s="1"/>
  <c r="AB236" i="16"/>
  <c r="AG236" i="16"/>
  <c r="AH235" i="16"/>
  <c r="AI235" i="16" s="1"/>
  <c r="AV237" i="16"/>
  <c r="AW236" i="16"/>
  <c r="AX236" i="16" s="1"/>
  <c r="T205" i="26"/>
  <c r="U206" i="26" s="1"/>
  <c r="W204" i="26"/>
  <c r="V204" i="26"/>
  <c r="Y204" i="26"/>
  <c r="X204" i="26"/>
  <c r="H153" i="26"/>
  <c r="G153" i="26" s="1"/>
  <c r="L152" i="26"/>
  <c r="K152" i="26"/>
  <c r="I152" i="26"/>
  <c r="J152" i="26"/>
  <c r="T237" i="16"/>
  <c r="AY236" i="16"/>
  <c r="AZ236" i="16" s="1"/>
  <c r="BA236" i="16" s="1"/>
  <c r="AK236" i="16"/>
  <c r="AP236" i="16"/>
  <c r="AF236" i="16"/>
  <c r="AA236" i="16"/>
  <c r="AU236" i="16"/>
  <c r="V236" i="16"/>
  <c r="G116" i="6"/>
  <c r="L116" i="6" s="1"/>
  <c r="L125" i="35" l="1"/>
  <c r="I125" i="35"/>
  <c r="J125" i="35"/>
  <c r="K125" i="35"/>
  <c r="H126" i="35"/>
  <c r="Y125" i="35"/>
  <c r="X125" i="35"/>
  <c r="W125" i="35"/>
  <c r="V125" i="35"/>
  <c r="U126" i="35"/>
  <c r="T122" i="34"/>
  <c r="K125" i="34"/>
  <c r="I125" i="34"/>
  <c r="L125" i="34"/>
  <c r="J125" i="34"/>
  <c r="H126" i="34"/>
  <c r="Y122" i="31"/>
  <c r="X122" i="31"/>
  <c r="W122" i="31"/>
  <c r="V122" i="31"/>
  <c r="G126" i="31"/>
  <c r="H127" i="31" s="1"/>
  <c r="BB237" i="16"/>
  <c r="BC236" i="16"/>
  <c r="BD236" i="16"/>
  <c r="AQ237" i="16"/>
  <c r="AR236" i="16"/>
  <c r="AS236" i="16" s="1"/>
  <c r="AL237" i="16"/>
  <c r="AM236" i="16"/>
  <c r="AN236" i="16" s="1"/>
  <c r="AC236" i="16"/>
  <c r="AD236" i="16" s="1"/>
  <c r="AB237" i="16"/>
  <c r="W237" i="16"/>
  <c r="X236" i="16"/>
  <c r="Y236" i="16" s="1"/>
  <c r="AG237" i="16"/>
  <c r="AH236" i="16"/>
  <c r="AI236" i="16" s="1"/>
  <c r="AW237" i="16"/>
  <c r="AX237" i="16" s="1"/>
  <c r="AV238" i="16"/>
  <c r="T206" i="26"/>
  <c r="U207" i="26" s="1"/>
  <c r="V205" i="26"/>
  <c r="W205" i="26"/>
  <c r="Y205" i="26"/>
  <c r="X205" i="26"/>
  <c r="H154" i="26"/>
  <c r="G154" i="26" s="1"/>
  <c r="L153" i="26"/>
  <c r="K153" i="26"/>
  <c r="J153" i="26"/>
  <c r="I153" i="26"/>
  <c r="T238" i="16"/>
  <c r="AY237" i="16"/>
  <c r="AZ237" i="16" s="1"/>
  <c r="BA237" i="16" s="1"/>
  <c r="AF237" i="16"/>
  <c r="AK237" i="16"/>
  <c r="AP237" i="16"/>
  <c r="AA237" i="16"/>
  <c r="V237" i="16"/>
  <c r="AU237" i="16"/>
  <c r="J116" i="6"/>
  <c r="I116" i="6"/>
  <c r="K116" i="6"/>
  <c r="H117" i="6"/>
  <c r="T126" i="35" l="1"/>
  <c r="G126" i="35"/>
  <c r="G126" i="34"/>
  <c r="X122" i="34"/>
  <c r="Y122" i="34"/>
  <c r="W122" i="34"/>
  <c r="V122" i="34"/>
  <c r="U123" i="34"/>
  <c r="K126" i="31"/>
  <c r="I126" i="31"/>
  <c r="J126" i="31"/>
  <c r="L126" i="31"/>
  <c r="T123" i="31"/>
  <c r="U124" i="31" s="1"/>
  <c r="BB238" i="16"/>
  <c r="BC237" i="16"/>
  <c r="BD237" i="16"/>
  <c r="AQ238" i="16"/>
  <c r="AR237" i="16"/>
  <c r="AS237" i="16"/>
  <c r="AM237" i="16"/>
  <c r="AN237" i="16" s="1"/>
  <c r="AL238" i="16"/>
  <c r="X237" i="16"/>
  <c r="W238" i="16"/>
  <c r="AC237" i="16"/>
  <c r="AD237" i="16" s="1"/>
  <c r="AB238" i="16"/>
  <c r="AH237" i="16"/>
  <c r="AI237" i="16" s="1"/>
  <c r="AG238" i="16"/>
  <c r="Y237" i="16"/>
  <c r="AW238" i="16"/>
  <c r="AX238" i="16" s="1"/>
  <c r="AV239" i="16"/>
  <c r="T207" i="26"/>
  <c r="U208" i="26" s="1"/>
  <c r="X206" i="26"/>
  <c r="W206" i="26"/>
  <c r="Y206" i="26"/>
  <c r="V206" i="26"/>
  <c r="H155" i="26"/>
  <c r="G155" i="26" s="1"/>
  <c r="L154" i="26"/>
  <c r="K154" i="26"/>
  <c r="J154" i="26"/>
  <c r="I154" i="26"/>
  <c r="T239" i="16"/>
  <c r="AY238" i="16"/>
  <c r="AZ238" i="16" s="1"/>
  <c r="BA238" i="16" s="1"/>
  <c r="AK238" i="16"/>
  <c r="AP238" i="16"/>
  <c r="AF238" i="16"/>
  <c r="AA238" i="16"/>
  <c r="V238" i="16"/>
  <c r="AU238" i="16"/>
  <c r="G117" i="6"/>
  <c r="L117" i="6" s="1"/>
  <c r="L126" i="35" l="1"/>
  <c r="K126" i="35"/>
  <c r="J126" i="35"/>
  <c r="I126" i="35"/>
  <c r="H127" i="35"/>
  <c r="Y126" i="35"/>
  <c r="X126" i="35"/>
  <c r="W126" i="35"/>
  <c r="V126" i="35"/>
  <c r="U127" i="35"/>
  <c r="T123" i="34"/>
  <c r="K126" i="34"/>
  <c r="J126" i="34"/>
  <c r="L126" i="34"/>
  <c r="I126" i="34"/>
  <c r="H127" i="34"/>
  <c r="Y123" i="31"/>
  <c r="X123" i="31"/>
  <c r="W123" i="31"/>
  <c r="V123" i="31"/>
  <c r="G127" i="31"/>
  <c r="H128" i="31" s="1"/>
  <c r="BB239" i="16"/>
  <c r="BC238" i="16"/>
  <c r="BD238" i="16"/>
  <c r="AQ239" i="16"/>
  <c r="AR238" i="16"/>
  <c r="AS238" i="16" s="1"/>
  <c r="AM238" i="16"/>
  <c r="AN238" i="16" s="1"/>
  <c r="AL239" i="16"/>
  <c r="X238" i="16"/>
  <c r="Y238" i="16" s="1"/>
  <c r="W239" i="16"/>
  <c r="AC238" i="16"/>
  <c r="AB239" i="16"/>
  <c r="AD238" i="16"/>
  <c r="AG239" i="16"/>
  <c r="AH238" i="16"/>
  <c r="AI238" i="16" s="1"/>
  <c r="AV240" i="16"/>
  <c r="AW239" i="16"/>
  <c r="AX239" i="16" s="1"/>
  <c r="T208" i="26"/>
  <c r="U209" i="26" s="1"/>
  <c r="W207" i="26"/>
  <c r="V207" i="26"/>
  <c r="Y207" i="26"/>
  <c r="X207" i="26"/>
  <c r="H156" i="26"/>
  <c r="G156" i="26" s="1"/>
  <c r="L155" i="26"/>
  <c r="K155" i="26"/>
  <c r="I155" i="26"/>
  <c r="J155" i="26"/>
  <c r="T240" i="16"/>
  <c r="AY239" i="16"/>
  <c r="AZ239" i="16" s="1"/>
  <c r="BA239" i="16" s="1"/>
  <c r="AF239" i="16"/>
  <c r="AK239" i="16"/>
  <c r="AP239" i="16"/>
  <c r="AA239" i="16"/>
  <c r="AU239" i="16"/>
  <c r="V239" i="16"/>
  <c r="J117" i="6"/>
  <c r="K117" i="6"/>
  <c r="I117" i="6"/>
  <c r="H118" i="6"/>
  <c r="T127" i="35" l="1"/>
  <c r="G127" i="35"/>
  <c r="G127" i="34"/>
  <c r="X123" i="34"/>
  <c r="Y123" i="34"/>
  <c r="W123" i="34"/>
  <c r="V123" i="34"/>
  <c r="U124" i="34"/>
  <c r="K127" i="31"/>
  <c r="L127" i="31"/>
  <c r="J127" i="31"/>
  <c r="I127" i="31"/>
  <c r="T124" i="31"/>
  <c r="U125" i="31" s="1"/>
  <c r="BB240" i="16"/>
  <c r="BC239" i="16"/>
  <c r="BD239" i="16" s="1"/>
  <c r="AR239" i="16"/>
  <c r="AQ240" i="16"/>
  <c r="AS239" i="16"/>
  <c r="AM239" i="16"/>
  <c r="AL240" i="16"/>
  <c r="AN239" i="16"/>
  <c r="X239" i="16"/>
  <c r="W240" i="16"/>
  <c r="AG240" i="16"/>
  <c r="AH239" i="16"/>
  <c r="AI239" i="16" s="1"/>
  <c r="AC239" i="16"/>
  <c r="AD239" i="16" s="1"/>
  <c r="AB240" i="16"/>
  <c r="Y239" i="16"/>
  <c r="AW240" i="16"/>
  <c r="AX240" i="16" s="1"/>
  <c r="AV241" i="16"/>
  <c r="T209" i="26"/>
  <c r="U210" i="26" s="1"/>
  <c r="V208" i="26"/>
  <c r="W208" i="26"/>
  <c r="Y208" i="26"/>
  <c r="X208" i="26"/>
  <c r="H157" i="26"/>
  <c r="G157" i="26" s="1"/>
  <c r="L156" i="26"/>
  <c r="K156" i="26"/>
  <c r="J156" i="26"/>
  <c r="I156" i="26"/>
  <c r="T241" i="16"/>
  <c r="AY240" i="16"/>
  <c r="AZ240" i="16" s="1"/>
  <c r="BA240" i="16" s="1"/>
  <c r="AF240" i="16"/>
  <c r="AK240" i="16"/>
  <c r="AP240" i="16"/>
  <c r="AA240" i="16"/>
  <c r="V240" i="16"/>
  <c r="AU240" i="16"/>
  <c r="G118" i="6"/>
  <c r="L118" i="6" s="1"/>
  <c r="L127" i="35" l="1"/>
  <c r="K127" i="35"/>
  <c r="J127" i="35"/>
  <c r="I127" i="35"/>
  <c r="H128" i="35"/>
  <c r="Y127" i="35"/>
  <c r="X127" i="35"/>
  <c r="W127" i="35"/>
  <c r="V127" i="35"/>
  <c r="U128" i="35"/>
  <c r="T124" i="34"/>
  <c r="K127" i="34"/>
  <c r="J127" i="34"/>
  <c r="I127" i="34"/>
  <c r="L127" i="34"/>
  <c r="H128" i="34"/>
  <c r="Y124" i="31"/>
  <c r="W124" i="31"/>
  <c r="X124" i="31"/>
  <c r="V124" i="31"/>
  <c r="G128" i="31"/>
  <c r="H129" i="31" s="1"/>
  <c r="BB241" i="16"/>
  <c r="BC240" i="16"/>
  <c r="BD240" i="16"/>
  <c r="AQ241" i="16"/>
  <c r="AR240" i="16"/>
  <c r="AS240" i="16"/>
  <c r="AM240" i="16"/>
  <c r="AN240" i="16" s="1"/>
  <c r="AL241" i="16"/>
  <c r="W241" i="16"/>
  <c r="X240" i="16"/>
  <c r="Y240" i="16" s="1"/>
  <c r="AB241" i="16"/>
  <c r="AC240" i="16"/>
  <c r="AD240" i="16" s="1"/>
  <c r="AG241" i="16"/>
  <c r="AH240" i="16"/>
  <c r="AI240" i="16" s="1"/>
  <c r="AW241" i="16"/>
  <c r="AX241" i="16" s="1"/>
  <c r="AV242" i="16"/>
  <c r="T210" i="26"/>
  <c r="U211" i="26" s="1"/>
  <c r="X209" i="26"/>
  <c r="W209" i="26"/>
  <c r="V209" i="26"/>
  <c r="Y209" i="26"/>
  <c r="H158" i="26"/>
  <c r="L157" i="26"/>
  <c r="K157" i="26"/>
  <c r="J157" i="26"/>
  <c r="I157" i="26"/>
  <c r="T242" i="16"/>
  <c r="AY241" i="16"/>
  <c r="AZ241" i="16" s="1"/>
  <c r="BA241" i="16" s="1"/>
  <c r="AP241" i="16"/>
  <c r="AK241" i="16"/>
  <c r="AF241" i="16"/>
  <c r="AA241" i="16"/>
  <c r="AU241" i="16"/>
  <c r="V241" i="16"/>
  <c r="J118" i="6"/>
  <c r="K118" i="6"/>
  <c r="I118" i="6"/>
  <c r="H119" i="6"/>
  <c r="T128" i="35" l="1"/>
  <c r="G128" i="35"/>
  <c r="G128" i="34"/>
  <c r="X124" i="34"/>
  <c r="Y124" i="34"/>
  <c r="V124" i="34"/>
  <c r="W124" i="34"/>
  <c r="U125" i="34"/>
  <c r="K128" i="31"/>
  <c r="J128" i="31"/>
  <c r="I128" i="31"/>
  <c r="L128" i="31"/>
  <c r="T125" i="31"/>
  <c r="U126" i="31" s="1"/>
  <c r="BB242" i="16"/>
  <c r="BC241" i="16"/>
  <c r="BD241" i="16" s="1"/>
  <c r="AQ242" i="16"/>
  <c r="AR241" i="16"/>
  <c r="AS241" i="16"/>
  <c r="AM241" i="16"/>
  <c r="AL242" i="16"/>
  <c r="AN241" i="16"/>
  <c r="X241" i="16"/>
  <c r="W242" i="16"/>
  <c r="AC241" i="16"/>
  <c r="AD241" i="16" s="1"/>
  <c r="AB242" i="16"/>
  <c r="AH241" i="16"/>
  <c r="AI241" i="16" s="1"/>
  <c r="AG242" i="16"/>
  <c r="Y241" i="16"/>
  <c r="AV243" i="16"/>
  <c r="AW242" i="16"/>
  <c r="AX242" i="16" s="1"/>
  <c r="T211" i="26"/>
  <c r="U212" i="26" s="1"/>
  <c r="W210" i="26"/>
  <c r="V210" i="26"/>
  <c r="Y210" i="26"/>
  <c r="X210" i="26"/>
  <c r="G158" i="26"/>
  <c r="T243" i="16"/>
  <c r="AY242" i="16"/>
  <c r="AZ242" i="16" s="1"/>
  <c r="BA242" i="16" s="1"/>
  <c r="AP242" i="16"/>
  <c r="AF242" i="16"/>
  <c r="AK242" i="16"/>
  <c r="AA242" i="16"/>
  <c r="V242" i="16"/>
  <c r="AU242" i="16"/>
  <c r="G119" i="6"/>
  <c r="L119" i="6" s="1"/>
  <c r="I128" i="35" l="1"/>
  <c r="J128" i="35"/>
  <c r="L128" i="35"/>
  <c r="K128" i="35"/>
  <c r="H129" i="35"/>
  <c r="Y128" i="35"/>
  <c r="X128" i="35"/>
  <c r="W128" i="35"/>
  <c r="V128" i="35"/>
  <c r="U129" i="35"/>
  <c r="T125" i="34"/>
  <c r="K128" i="34"/>
  <c r="J128" i="34"/>
  <c r="L128" i="34"/>
  <c r="I128" i="34"/>
  <c r="H129" i="34"/>
  <c r="Y125" i="31"/>
  <c r="X125" i="31"/>
  <c r="W125" i="31"/>
  <c r="V125" i="31"/>
  <c r="G129" i="31"/>
  <c r="H130" i="31" s="1"/>
  <c r="BB243" i="16"/>
  <c r="BC242" i="16"/>
  <c r="BD242" i="16"/>
  <c r="AQ243" i="16"/>
  <c r="AR242" i="16"/>
  <c r="AS242" i="16" s="1"/>
  <c r="AM242" i="16"/>
  <c r="AL243" i="16"/>
  <c r="AN242" i="16"/>
  <c r="AB243" i="16"/>
  <c r="AC242" i="16"/>
  <c r="AD242" i="16" s="1"/>
  <c r="AG243" i="16"/>
  <c r="AH242" i="16"/>
  <c r="AI242" i="16" s="1"/>
  <c r="X242" i="16"/>
  <c r="Y242" i="16" s="1"/>
  <c r="W243" i="16"/>
  <c r="AV244" i="16"/>
  <c r="AW243" i="16"/>
  <c r="AX243" i="16" s="1"/>
  <c r="T212" i="26"/>
  <c r="U213" i="26" s="1"/>
  <c r="V211" i="26"/>
  <c r="W211" i="26"/>
  <c r="Y211" i="26"/>
  <c r="X211" i="26"/>
  <c r="L158" i="26"/>
  <c r="K158" i="26"/>
  <c r="J158" i="26"/>
  <c r="I158" i="26"/>
  <c r="H159" i="26"/>
  <c r="T244" i="16"/>
  <c r="AP243" i="16"/>
  <c r="AK243" i="16"/>
  <c r="AY243" i="16"/>
  <c r="AZ243" i="16" s="1"/>
  <c r="BA243" i="16" s="1"/>
  <c r="AA243" i="16"/>
  <c r="AF243" i="16"/>
  <c r="V243" i="16"/>
  <c r="AU243" i="16"/>
  <c r="J119" i="6"/>
  <c r="I119" i="6"/>
  <c r="K119" i="6"/>
  <c r="T129" i="35" l="1"/>
  <c r="G129" i="35"/>
  <c r="G129" i="34"/>
  <c r="Y125" i="34"/>
  <c r="X125" i="34"/>
  <c r="W125" i="34"/>
  <c r="V125" i="34"/>
  <c r="U126" i="34"/>
  <c r="K129" i="31"/>
  <c r="L129" i="31"/>
  <c r="J129" i="31"/>
  <c r="I129" i="31"/>
  <c r="T126" i="31"/>
  <c r="U127" i="31" s="1"/>
  <c r="BB244" i="16"/>
  <c r="BC243" i="16"/>
  <c r="BD243" i="16" s="1"/>
  <c r="AR243" i="16"/>
  <c r="AS243" i="16" s="1"/>
  <c r="AQ244" i="16"/>
  <c r="AM243" i="16"/>
  <c r="AN243" i="16" s="1"/>
  <c r="AL244" i="16"/>
  <c r="W244" i="16"/>
  <c r="X243" i="16"/>
  <c r="AG244" i="16"/>
  <c r="AH243" i="16"/>
  <c r="AI243" i="16" s="1"/>
  <c r="AC243" i="16"/>
  <c r="AD243" i="16" s="1"/>
  <c r="AB244" i="16"/>
  <c r="Y243" i="16"/>
  <c r="AV245" i="16"/>
  <c r="AW244" i="16"/>
  <c r="AX244" i="16" s="1"/>
  <c r="T213" i="26"/>
  <c r="U214" i="26" s="1"/>
  <c r="X212" i="26"/>
  <c r="W212" i="26"/>
  <c r="Y212" i="26"/>
  <c r="V212" i="26"/>
  <c r="G159" i="26"/>
  <c r="K123" i="6"/>
  <c r="AG11" i="6" s="1"/>
  <c r="K121" i="6"/>
  <c r="T245" i="16"/>
  <c r="AP244" i="16"/>
  <c r="AY244" i="16"/>
  <c r="AZ244" i="16" s="1"/>
  <c r="BA244" i="16" s="1"/>
  <c r="AK244" i="16"/>
  <c r="AA244" i="16"/>
  <c r="AF244" i="16"/>
  <c r="AU244" i="16"/>
  <c r="V244" i="16"/>
  <c r="J129" i="35" l="1"/>
  <c r="I129" i="35"/>
  <c r="L129" i="35"/>
  <c r="K129" i="35"/>
  <c r="H130" i="35"/>
  <c r="Y129" i="35"/>
  <c r="X129" i="35"/>
  <c r="W129" i="35"/>
  <c r="V129" i="35"/>
  <c r="U130" i="35"/>
  <c r="T126" i="34"/>
  <c r="K129" i="34"/>
  <c r="J129" i="34"/>
  <c r="L129" i="34"/>
  <c r="I129" i="34"/>
  <c r="H130" i="34"/>
  <c r="Y126" i="31"/>
  <c r="X126" i="31"/>
  <c r="W126" i="31"/>
  <c r="V126" i="31"/>
  <c r="G130" i="31"/>
  <c r="H131" i="31" s="1"/>
  <c r="BB245" i="16"/>
  <c r="BC244" i="16"/>
  <c r="BD244" i="16"/>
  <c r="AR244" i="16"/>
  <c r="AS244" i="16" s="1"/>
  <c r="AQ245" i="16"/>
  <c r="AM244" i="16"/>
  <c r="AN244" i="16" s="1"/>
  <c r="AL245" i="16"/>
  <c r="AC244" i="16"/>
  <c r="AD244" i="16" s="1"/>
  <c r="AB245" i="16"/>
  <c r="AH244" i="16"/>
  <c r="AG245" i="16"/>
  <c r="AI244" i="16"/>
  <c r="X244" i="16"/>
  <c r="Y244" i="16" s="1"/>
  <c r="W245" i="16"/>
  <c r="AV246" i="16"/>
  <c r="AW245" i="16"/>
  <c r="AX245" i="16" s="1"/>
  <c r="T214" i="26"/>
  <c r="U215" i="26" s="1"/>
  <c r="W213" i="26"/>
  <c r="V213" i="26"/>
  <c r="Y213" i="26"/>
  <c r="X213" i="26"/>
  <c r="L159" i="26"/>
  <c r="K159" i="26"/>
  <c r="J159" i="26"/>
  <c r="I159" i="26"/>
  <c r="H160" i="26"/>
  <c r="G160" i="26" s="1"/>
  <c r="T246" i="16"/>
  <c r="AP245" i="16"/>
  <c r="AY245" i="16"/>
  <c r="AZ245" i="16" s="1"/>
  <c r="BA245" i="16" s="1"/>
  <c r="AK245" i="16"/>
  <c r="AF245" i="16"/>
  <c r="AA245" i="16"/>
  <c r="AU245" i="16"/>
  <c r="V245" i="16"/>
  <c r="AG10" i="6"/>
  <c r="T130" i="35" l="1"/>
  <c r="G130" i="35"/>
  <c r="G130" i="34"/>
  <c r="W126" i="34"/>
  <c r="Y126" i="34"/>
  <c r="V126" i="34"/>
  <c r="X126" i="34"/>
  <c r="U127" i="34"/>
  <c r="K130" i="31"/>
  <c r="L130" i="31"/>
  <c r="J130" i="31"/>
  <c r="I130" i="31"/>
  <c r="T127" i="31"/>
  <c r="U128" i="31" s="1"/>
  <c r="BB246" i="16"/>
  <c r="BC245" i="16"/>
  <c r="BD245" i="16"/>
  <c r="AQ246" i="16"/>
  <c r="AR245" i="16"/>
  <c r="AS245" i="16" s="1"/>
  <c r="AM245" i="16"/>
  <c r="AL246" i="16"/>
  <c r="AN245" i="16"/>
  <c r="AH245" i="16"/>
  <c r="AI245" i="16" s="1"/>
  <c r="AG246" i="16"/>
  <c r="X245" i="16"/>
  <c r="Y245" i="16" s="1"/>
  <c r="W246" i="16"/>
  <c r="AC245" i="16"/>
  <c r="AD245" i="16" s="1"/>
  <c r="AB246" i="16"/>
  <c r="AV247" i="16"/>
  <c r="AW246" i="16"/>
  <c r="AX246" i="16" s="1"/>
  <c r="T215" i="26"/>
  <c r="U216" i="26" s="1"/>
  <c r="Y214" i="26"/>
  <c r="V214" i="26"/>
  <c r="W214" i="26"/>
  <c r="X214" i="26"/>
  <c r="H161" i="26"/>
  <c r="G161" i="26" s="1"/>
  <c r="K160" i="26"/>
  <c r="J160" i="26"/>
  <c r="L160" i="26"/>
  <c r="I160" i="26"/>
  <c r="T247" i="16"/>
  <c r="AY246" i="16"/>
  <c r="AZ246" i="16" s="1"/>
  <c r="BA246" i="16" s="1"/>
  <c r="AP246" i="16"/>
  <c r="AA246" i="16"/>
  <c r="AF246" i="16"/>
  <c r="V246" i="16"/>
  <c r="AK246" i="16"/>
  <c r="AU246" i="16"/>
  <c r="K130" i="35" l="1"/>
  <c r="J130" i="35"/>
  <c r="I130" i="35"/>
  <c r="L130" i="35"/>
  <c r="H131" i="35"/>
  <c r="Y130" i="35"/>
  <c r="V130" i="35"/>
  <c r="X130" i="35"/>
  <c r="W130" i="35"/>
  <c r="U131" i="35"/>
  <c r="T127" i="34"/>
  <c r="K130" i="34"/>
  <c r="J130" i="34"/>
  <c r="L130" i="34"/>
  <c r="I130" i="34"/>
  <c r="H131" i="34"/>
  <c r="X127" i="31"/>
  <c r="W127" i="31"/>
  <c r="V127" i="31"/>
  <c r="Y127" i="31"/>
  <c r="G131" i="31"/>
  <c r="H132" i="31" s="1"/>
  <c r="BB247" i="16"/>
  <c r="BC246" i="16"/>
  <c r="BD246" i="16" s="1"/>
  <c r="AQ247" i="16"/>
  <c r="AR246" i="16"/>
  <c r="AS246" i="16" s="1"/>
  <c r="AM246" i="16"/>
  <c r="AL247" i="16"/>
  <c r="AN246" i="16"/>
  <c r="AH246" i="16"/>
  <c r="AI246" i="16" s="1"/>
  <c r="AG247" i="16"/>
  <c r="X246" i="16"/>
  <c r="Y246" i="16" s="1"/>
  <c r="W247" i="16"/>
  <c r="AC246" i="16"/>
  <c r="AD246" i="16" s="1"/>
  <c r="AB247" i="16"/>
  <c r="AW247" i="16"/>
  <c r="AX247" i="16" s="1"/>
  <c r="AV248" i="16"/>
  <c r="T216" i="26"/>
  <c r="U217" i="26" s="1"/>
  <c r="X215" i="26"/>
  <c r="W215" i="26"/>
  <c r="V215" i="26"/>
  <c r="Y215" i="26"/>
  <c r="H162" i="26"/>
  <c r="G162" i="26" s="1"/>
  <c r="K161" i="26"/>
  <c r="J161" i="26"/>
  <c r="I161" i="26"/>
  <c r="L161" i="26"/>
  <c r="T248" i="16"/>
  <c r="AY247" i="16"/>
  <c r="AZ247" i="16" s="1"/>
  <c r="BA247" i="16" s="1"/>
  <c r="AP247" i="16"/>
  <c r="AF247" i="16"/>
  <c r="AK247" i="16"/>
  <c r="AA247" i="16"/>
  <c r="V247" i="16"/>
  <c r="AU247" i="16"/>
  <c r="T131" i="35" l="1"/>
  <c r="G131" i="35"/>
  <c r="G131" i="34"/>
  <c r="V127" i="34"/>
  <c r="Y127" i="34"/>
  <c r="X127" i="34"/>
  <c r="W127" i="34"/>
  <c r="U128" i="34"/>
  <c r="K131" i="31"/>
  <c r="I131" i="31"/>
  <c r="L131" i="31"/>
  <c r="J131" i="31"/>
  <c r="T128" i="31"/>
  <c r="U129" i="31" s="1"/>
  <c r="BB248" i="16"/>
  <c r="BC247" i="16"/>
  <c r="BD247" i="16" s="1"/>
  <c r="AQ248" i="16"/>
  <c r="AR247" i="16"/>
  <c r="AS247" i="16" s="1"/>
  <c r="AM247" i="16"/>
  <c r="AL248" i="16"/>
  <c r="AN247" i="16"/>
  <c r="W248" i="16"/>
  <c r="X247" i="16"/>
  <c r="Y247" i="16" s="1"/>
  <c r="AB248" i="16"/>
  <c r="AC247" i="16"/>
  <c r="AD247" i="16" s="1"/>
  <c r="AG248" i="16"/>
  <c r="AH247" i="16"/>
  <c r="AI247" i="16" s="1"/>
  <c r="AV249" i="16"/>
  <c r="AW248" i="16"/>
  <c r="AX248" i="16" s="1"/>
  <c r="T217" i="26"/>
  <c r="U218" i="26" s="1"/>
  <c r="X216" i="26"/>
  <c r="V216" i="26"/>
  <c r="W216" i="26"/>
  <c r="Y216" i="26"/>
  <c r="H163" i="26"/>
  <c r="G163" i="26" s="1"/>
  <c r="J162" i="26"/>
  <c r="K162" i="26"/>
  <c r="I162" i="26"/>
  <c r="L162" i="26"/>
  <c r="T249" i="16"/>
  <c r="AY248" i="16"/>
  <c r="AZ248" i="16" s="1"/>
  <c r="BA248" i="16" s="1"/>
  <c r="AP248" i="16"/>
  <c r="AK248" i="16"/>
  <c r="AF248" i="16"/>
  <c r="AA248" i="16"/>
  <c r="AU248" i="16"/>
  <c r="V248" i="16"/>
  <c r="L131" i="35" l="1"/>
  <c r="K131" i="35"/>
  <c r="J131" i="35"/>
  <c r="I131" i="35"/>
  <c r="H132" i="35"/>
  <c r="X131" i="35"/>
  <c r="Y131" i="35"/>
  <c r="W131" i="35"/>
  <c r="V131" i="35"/>
  <c r="U132" i="35"/>
  <c r="T128" i="34"/>
  <c r="K131" i="34"/>
  <c r="J131" i="34"/>
  <c r="I131" i="34"/>
  <c r="L131" i="34"/>
  <c r="H132" i="34"/>
  <c r="X128" i="31"/>
  <c r="W128" i="31"/>
  <c r="Y128" i="31"/>
  <c r="V128" i="31"/>
  <c r="G132" i="31"/>
  <c r="H133" i="31" s="1"/>
  <c r="BB249" i="16"/>
  <c r="BC248" i="16"/>
  <c r="BD248" i="16" s="1"/>
  <c r="AQ249" i="16"/>
  <c r="AR248" i="16"/>
  <c r="AS248" i="16"/>
  <c r="AL249" i="16"/>
  <c r="AM248" i="16"/>
  <c r="AN248" i="16" s="1"/>
  <c r="W249" i="16"/>
  <c r="X248" i="16"/>
  <c r="Y248" i="16" s="1"/>
  <c r="AH248" i="16"/>
  <c r="AI248" i="16" s="1"/>
  <c r="AG249" i="16"/>
  <c r="AC248" i="16"/>
  <c r="AD248" i="16" s="1"/>
  <c r="AB249" i="16"/>
  <c r="AW249" i="16"/>
  <c r="AX249" i="16" s="1"/>
  <c r="AV250" i="16"/>
  <c r="T218" i="26"/>
  <c r="U219" i="26" s="1"/>
  <c r="X217" i="26"/>
  <c r="Y217" i="26"/>
  <c r="V217" i="26"/>
  <c r="W217" i="26"/>
  <c r="H164" i="26"/>
  <c r="G164" i="26" s="1"/>
  <c r="L163" i="26"/>
  <c r="J163" i="26"/>
  <c r="K163" i="26"/>
  <c r="I163" i="26"/>
  <c r="T250" i="16"/>
  <c r="AY249" i="16"/>
  <c r="AZ249" i="16" s="1"/>
  <c r="BA249" i="16" s="1"/>
  <c r="AP249" i="16"/>
  <c r="AF249" i="16"/>
  <c r="AK249" i="16"/>
  <c r="AA249" i="16"/>
  <c r="V249" i="16"/>
  <c r="AU249" i="16"/>
  <c r="T132" i="35" l="1"/>
  <c r="G132" i="35"/>
  <c r="G132" i="34"/>
  <c r="Y128" i="34"/>
  <c r="X128" i="34"/>
  <c r="W128" i="34"/>
  <c r="V128" i="34"/>
  <c r="U129" i="34"/>
  <c r="K132" i="31"/>
  <c r="L132" i="31"/>
  <c r="J132" i="31"/>
  <c r="I132" i="31"/>
  <c r="T129" i="31"/>
  <c r="U130" i="31" s="1"/>
  <c r="BB250" i="16"/>
  <c r="BC249" i="16"/>
  <c r="BD249" i="16"/>
  <c r="AQ250" i="16"/>
  <c r="AR249" i="16"/>
  <c r="AS249" i="16"/>
  <c r="AM249" i="16"/>
  <c r="AN249" i="16" s="1"/>
  <c r="AL250" i="16"/>
  <c r="W250" i="16"/>
  <c r="X249" i="16"/>
  <c r="AC249" i="16"/>
  <c r="AD249" i="16" s="1"/>
  <c r="AB250" i="16"/>
  <c r="AH249" i="16"/>
  <c r="AI249" i="16" s="1"/>
  <c r="AG250" i="16"/>
  <c r="Y249" i="16"/>
  <c r="AV251" i="16"/>
  <c r="AW250" i="16"/>
  <c r="AX250" i="16" s="1"/>
  <c r="T219" i="26"/>
  <c r="U220" i="26" s="1"/>
  <c r="V218" i="26"/>
  <c r="X218" i="26"/>
  <c r="W218" i="26"/>
  <c r="Y218" i="26"/>
  <c r="H165" i="26"/>
  <c r="G165" i="26" s="1"/>
  <c r="L164" i="26"/>
  <c r="J164" i="26"/>
  <c r="I164" i="26"/>
  <c r="K164" i="26"/>
  <c r="T251" i="16"/>
  <c r="AY250" i="16"/>
  <c r="AZ250" i="16" s="1"/>
  <c r="BA250" i="16" s="1"/>
  <c r="AP250" i="16"/>
  <c r="AK250" i="16"/>
  <c r="AF250" i="16"/>
  <c r="V250" i="16"/>
  <c r="AA250" i="16"/>
  <c r="AU250" i="16"/>
  <c r="L132" i="35" l="1"/>
  <c r="K132" i="35"/>
  <c r="J132" i="35"/>
  <c r="I132" i="35"/>
  <c r="H133" i="35"/>
  <c r="Y132" i="35"/>
  <c r="X132" i="35"/>
  <c r="W132" i="35"/>
  <c r="V132" i="35"/>
  <c r="U133" i="35"/>
  <c r="T129" i="34"/>
  <c r="K132" i="34"/>
  <c r="J132" i="34"/>
  <c r="L132" i="34"/>
  <c r="I132" i="34"/>
  <c r="H133" i="34"/>
  <c r="X129" i="31"/>
  <c r="W129" i="31"/>
  <c r="Y129" i="31"/>
  <c r="V129" i="31"/>
  <c r="G133" i="31"/>
  <c r="H134" i="31" s="1"/>
  <c r="BB251" i="16"/>
  <c r="BC250" i="16"/>
  <c r="BD250" i="16"/>
  <c r="AQ251" i="16"/>
  <c r="AR250" i="16"/>
  <c r="AS250" i="16"/>
  <c r="AM250" i="16"/>
  <c r="AN250" i="16" s="1"/>
  <c r="AL251" i="16"/>
  <c r="X250" i="16"/>
  <c r="Y250" i="16" s="1"/>
  <c r="W251" i="16"/>
  <c r="AC250" i="16"/>
  <c r="AD250" i="16" s="1"/>
  <c r="AB251" i="16"/>
  <c r="AG251" i="16"/>
  <c r="AH250" i="16"/>
  <c r="AI250" i="16" s="1"/>
  <c r="AW251" i="16"/>
  <c r="AX251" i="16" s="1"/>
  <c r="AV252" i="16"/>
  <c r="T220" i="26"/>
  <c r="U221" i="26" s="1"/>
  <c r="W219" i="26"/>
  <c r="V219" i="26"/>
  <c r="Y219" i="26"/>
  <c r="X219" i="26"/>
  <c r="H166" i="26"/>
  <c r="G166" i="26" s="1"/>
  <c r="L165" i="26"/>
  <c r="K165" i="26"/>
  <c r="J165" i="26"/>
  <c r="I165" i="26"/>
  <c r="T252" i="16"/>
  <c r="AY251" i="16"/>
  <c r="AZ251" i="16" s="1"/>
  <c r="BA251" i="16" s="1"/>
  <c r="AF251" i="16"/>
  <c r="AK251" i="16"/>
  <c r="AP251" i="16"/>
  <c r="AA251" i="16"/>
  <c r="AU251" i="16"/>
  <c r="V251" i="16"/>
  <c r="T133" i="35" l="1"/>
  <c r="G133" i="35"/>
  <c r="G133" i="34"/>
  <c r="X129" i="34"/>
  <c r="V129" i="34"/>
  <c r="Y129" i="34"/>
  <c r="W129" i="34"/>
  <c r="U130" i="34"/>
  <c r="K133" i="31"/>
  <c r="L133" i="31"/>
  <c r="I133" i="31"/>
  <c r="J133" i="31"/>
  <c r="T130" i="31"/>
  <c r="U131" i="31" s="1"/>
  <c r="BB252" i="16"/>
  <c r="BC251" i="16"/>
  <c r="BD251" i="16" s="1"/>
  <c r="AQ252" i="16"/>
  <c r="AR251" i="16"/>
  <c r="AS251" i="16" s="1"/>
  <c r="AM251" i="16"/>
  <c r="AL252" i="16"/>
  <c r="AN251" i="16"/>
  <c r="X251" i="16"/>
  <c r="W252" i="16"/>
  <c r="AC251" i="16"/>
  <c r="AB252" i="16"/>
  <c r="AD251" i="16"/>
  <c r="AG252" i="16"/>
  <c r="AH251" i="16"/>
  <c r="AI251" i="16" s="1"/>
  <c r="Y251" i="16"/>
  <c r="AW252" i="16"/>
  <c r="AX252" i="16" s="1"/>
  <c r="AV253" i="16"/>
  <c r="T221" i="26"/>
  <c r="U222" i="26" s="1"/>
  <c r="V220" i="26"/>
  <c r="W220" i="26"/>
  <c r="Y220" i="26"/>
  <c r="X220" i="26"/>
  <c r="H167" i="26"/>
  <c r="G167" i="26" s="1"/>
  <c r="L166" i="26"/>
  <c r="K166" i="26"/>
  <c r="J166" i="26"/>
  <c r="I166" i="26"/>
  <c r="T253" i="16"/>
  <c r="AY252" i="16"/>
  <c r="AZ252" i="16" s="1"/>
  <c r="BA252" i="16" s="1"/>
  <c r="AF252" i="16"/>
  <c r="AK252" i="16"/>
  <c r="AP252" i="16"/>
  <c r="AA252" i="16"/>
  <c r="V252" i="16"/>
  <c r="AU252" i="16"/>
  <c r="L133" i="35" l="1"/>
  <c r="K133" i="35"/>
  <c r="J133" i="35"/>
  <c r="I133" i="35"/>
  <c r="H134" i="35"/>
  <c r="V133" i="35"/>
  <c r="W133" i="35"/>
  <c r="X133" i="35"/>
  <c r="Y133" i="35"/>
  <c r="U134" i="35"/>
  <c r="T130" i="34"/>
  <c r="K133" i="34"/>
  <c r="J133" i="34"/>
  <c r="L133" i="34"/>
  <c r="I133" i="34"/>
  <c r="H134" i="34"/>
  <c r="X130" i="31"/>
  <c r="W130" i="31"/>
  <c r="V130" i="31"/>
  <c r="Y130" i="31"/>
  <c r="G134" i="31"/>
  <c r="H135" i="31" s="1"/>
  <c r="BB253" i="16"/>
  <c r="BC252" i="16"/>
  <c r="BD252" i="16"/>
  <c r="AQ253" i="16"/>
  <c r="AR252" i="16"/>
  <c r="AS252" i="16"/>
  <c r="AM252" i="16"/>
  <c r="AN252" i="16" s="1"/>
  <c r="AL253" i="16"/>
  <c r="AG253" i="16"/>
  <c r="AH252" i="16"/>
  <c r="AI252" i="16" s="1"/>
  <c r="W253" i="16"/>
  <c r="X252" i="16"/>
  <c r="Y252" i="16" s="1"/>
  <c r="AC252" i="16"/>
  <c r="AD252" i="16" s="1"/>
  <c r="AB253" i="16"/>
  <c r="AW253" i="16"/>
  <c r="AX253" i="16" s="1"/>
  <c r="AV254" i="16"/>
  <c r="T222" i="26"/>
  <c r="U223" i="26" s="1"/>
  <c r="X221" i="26"/>
  <c r="W221" i="26"/>
  <c r="Y221" i="26"/>
  <c r="V221" i="26"/>
  <c r="H168" i="26"/>
  <c r="L167" i="26"/>
  <c r="K167" i="26"/>
  <c r="J167" i="26"/>
  <c r="I167" i="26"/>
  <c r="T254" i="16"/>
  <c r="AY253" i="16"/>
  <c r="AZ253" i="16" s="1"/>
  <c r="BA253" i="16" s="1"/>
  <c r="AP253" i="16"/>
  <c r="AK253" i="16"/>
  <c r="AF253" i="16"/>
  <c r="AA253" i="16"/>
  <c r="AU253" i="16"/>
  <c r="V253" i="16"/>
  <c r="T134" i="35" l="1"/>
  <c r="G134" i="35"/>
  <c r="G134" i="34"/>
  <c r="W130" i="34"/>
  <c r="Y130" i="34"/>
  <c r="X130" i="34"/>
  <c r="V130" i="34"/>
  <c r="U131" i="34"/>
  <c r="K134" i="31"/>
  <c r="L134" i="31"/>
  <c r="I134" i="31"/>
  <c r="J134" i="31"/>
  <c r="T131" i="31"/>
  <c r="U132" i="31" s="1"/>
  <c r="BB254" i="16"/>
  <c r="BC253" i="16"/>
  <c r="BD253" i="16" s="1"/>
  <c r="AQ254" i="16"/>
  <c r="AR253" i="16"/>
  <c r="AS253" i="16"/>
  <c r="AM253" i="16"/>
  <c r="AN253" i="16" s="1"/>
  <c r="AL254" i="16"/>
  <c r="AB254" i="16"/>
  <c r="AC253" i="16"/>
  <c r="AD253" i="16" s="1"/>
  <c r="X253" i="16"/>
  <c r="Y253" i="16" s="1"/>
  <c r="W254" i="16"/>
  <c r="AH253" i="16"/>
  <c r="AI253" i="16" s="1"/>
  <c r="AG254" i="16"/>
  <c r="AV255" i="16"/>
  <c r="AW254" i="16"/>
  <c r="AX254" i="16" s="1"/>
  <c r="T223" i="26"/>
  <c r="U224" i="26" s="1"/>
  <c r="W222" i="26"/>
  <c r="V222" i="26"/>
  <c r="Y222" i="26"/>
  <c r="X222" i="26"/>
  <c r="G168" i="26"/>
  <c r="T255" i="16"/>
  <c r="AY254" i="16"/>
  <c r="AZ254" i="16" s="1"/>
  <c r="BA254" i="16" s="1"/>
  <c r="AP254" i="16"/>
  <c r="AF254" i="16"/>
  <c r="AA254" i="16"/>
  <c r="AK254" i="16"/>
  <c r="V254" i="16"/>
  <c r="AU254" i="16"/>
  <c r="L134" i="35" l="1"/>
  <c r="K134" i="35"/>
  <c r="J134" i="35"/>
  <c r="I134" i="35"/>
  <c r="H135" i="35"/>
  <c r="W134" i="35"/>
  <c r="V134" i="35"/>
  <c r="Y134" i="35"/>
  <c r="X134" i="35"/>
  <c r="U135" i="35"/>
  <c r="T131" i="34"/>
  <c r="K134" i="34"/>
  <c r="J134" i="34"/>
  <c r="L134" i="34"/>
  <c r="I134" i="34"/>
  <c r="H135" i="34"/>
  <c r="X131" i="31"/>
  <c r="W131" i="31"/>
  <c r="V131" i="31"/>
  <c r="Y131" i="31"/>
  <c r="G135" i="31"/>
  <c r="H136" i="31" s="1"/>
  <c r="BB255" i="16"/>
  <c r="BC254" i="16"/>
  <c r="BD254" i="16" s="1"/>
  <c r="AQ255" i="16"/>
  <c r="AR254" i="16"/>
  <c r="AS254" i="16" s="1"/>
  <c r="AM254" i="16"/>
  <c r="AL255" i="16"/>
  <c r="AN254" i="16"/>
  <c r="AB255" i="16"/>
  <c r="AC254" i="16"/>
  <c r="AD254" i="16" s="1"/>
  <c r="X254" i="16"/>
  <c r="Y254" i="16" s="1"/>
  <c r="W255" i="16"/>
  <c r="AG255" i="16"/>
  <c r="AH254" i="16"/>
  <c r="AI254" i="16" s="1"/>
  <c r="AV256" i="16"/>
  <c r="AW255" i="16"/>
  <c r="AX255" i="16" s="1"/>
  <c r="T224" i="26"/>
  <c r="U225" i="26" s="1"/>
  <c r="V223" i="26"/>
  <c r="W223" i="26"/>
  <c r="Y223" i="26"/>
  <c r="X223" i="26"/>
  <c r="L168" i="26"/>
  <c r="K168" i="26"/>
  <c r="J168" i="26"/>
  <c r="I168" i="26"/>
  <c r="H169" i="26"/>
  <c r="G169" i="26" s="1"/>
  <c r="T256" i="16"/>
  <c r="AY255" i="16"/>
  <c r="AZ255" i="16" s="1"/>
  <c r="BA255" i="16" s="1"/>
  <c r="AP255" i="16"/>
  <c r="AK255" i="16"/>
  <c r="AF255" i="16"/>
  <c r="AA255" i="16"/>
  <c r="AU255" i="16"/>
  <c r="V255" i="16"/>
  <c r="T135" i="35" l="1"/>
  <c r="G135" i="35"/>
  <c r="G135" i="34"/>
  <c r="V131" i="34"/>
  <c r="Y131" i="34"/>
  <c r="W131" i="34"/>
  <c r="X131" i="34"/>
  <c r="U132" i="34"/>
  <c r="K135" i="31"/>
  <c r="I135" i="31"/>
  <c r="L135" i="31"/>
  <c r="J135" i="31"/>
  <c r="T132" i="31"/>
  <c r="U133" i="31" s="1"/>
  <c r="BB256" i="16"/>
  <c r="BC255" i="16"/>
  <c r="BD255" i="16" s="1"/>
  <c r="AQ256" i="16"/>
  <c r="AR255" i="16"/>
  <c r="AS255" i="16" s="1"/>
  <c r="AM255" i="16"/>
  <c r="AL256" i="16"/>
  <c r="AN255" i="16"/>
  <c r="X255" i="16"/>
  <c r="W256" i="16"/>
  <c r="AG256" i="16"/>
  <c r="AH255" i="16"/>
  <c r="AI255" i="16" s="1"/>
  <c r="AB256" i="16"/>
  <c r="AC255" i="16"/>
  <c r="AD255" i="16" s="1"/>
  <c r="Y255" i="16"/>
  <c r="AV257" i="16"/>
  <c r="AW256" i="16"/>
  <c r="AX256" i="16" s="1"/>
  <c r="T225" i="26"/>
  <c r="U226" i="26" s="1"/>
  <c r="X224" i="26"/>
  <c r="W224" i="26"/>
  <c r="Y224" i="26"/>
  <c r="V224" i="26"/>
  <c r="H170" i="26"/>
  <c r="L169" i="26"/>
  <c r="K169" i="26"/>
  <c r="J169" i="26"/>
  <c r="I169" i="26"/>
  <c r="T257" i="16"/>
  <c r="AY256" i="16"/>
  <c r="AZ256" i="16" s="1"/>
  <c r="BA256" i="16" s="1"/>
  <c r="AP256" i="16"/>
  <c r="AK256" i="16"/>
  <c r="AA256" i="16"/>
  <c r="V256" i="16"/>
  <c r="AF256" i="16"/>
  <c r="AU256" i="16"/>
  <c r="L135" i="35" l="1"/>
  <c r="K135" i="35"/>
  <c r="J135" i="35"/>
  <c r="I135" i="35"/>
  <c r="H136" i="35"/>
  <c r="X135" i="35"/>
  <c r="W135" i="35"/>
  <c r="V135" i="35"/>
  <c r="Y135" i="35"/>
  <c r="U136" i="35"/>
  <c r="T132" i="34"/>
  <c r="K135" i="34"/>
  <c r="J135" i="34"/>
  <c r="I135" i="34"/>
  <c r="L135" i="34"/>
  <c r="H136" i="34"/>
  <c r="X132" i="31"/>
  <c r="W132" i="31"/>
  <c r="Y132" i="31"/>
  <c r="V132" i="31"/>
  <c r="G136" i="31"/>
  <c r="H137" i="31" s="1"/>
  <c r="BB257" i="16"/>
  <c r="BC256" i="16"/>
  <c r="BD256" i="16"/>
  <c r="AQ257" i="16"/>
  <c r="AR256" i="16"/>
  <c r="AS256" i="16"/>
  <c r="AM256" i="16"/>
  <c r="AL257" i="16"/>
  <c r="AN256" i="16"/>
  <c r="AH256" i="16"/>
  <c r="AI256" i="16" s="1"/>
  <c r="AG257" i="16"/>
  <c r="X256" i="16"/>
  <c r="Y256" i="16" s="1"/>
  <c r="W257" i="16"/>
  <c r="AB257" i="16"/>
  <c r="AC256" i="16"/>
  <c r="AD256" i="16" s="1"/>
  <c r="AV258" i="16"/>
  <c r="AW257" i="16"/>
  <c r="AX257" i="16" s="1"/>
  <c r="T226" i="26"/>
  <c r="U227" i="26" s="1"/>
  <c r="W225" i="26"/>
  <c r="V225" i="26"/>
  <c r="Y225" i="26"/>
  <c r="X225" i="26"/>
  <c r="G170" i="26"/>
  <c r="H171" i="26" s="1"/>
  <c r="G171" i="26" s="1"/>
  <c r="T258" i="16"/>
  <c r="AY257" i="16"/>
  <c r="AZ257" i="16" s="1"/>
  <c r="BA257" i="16" s="1"/>
  <c r="AP257" i="16"/>
  <c r="AF257" i="16"/>
  <c r="AK257" i="16"/>
  <c r="AA257" i="16"/>
  <c r="AU257" i="16"/>
  <c r="V257" i="16"/>
  <c r="T136" i="35" l="1"/>
  <c r="G136" i="35"/>
  <c r="G136" i="34"/>
  <c r="Y132" i="34"/>
  <c r="X132" i="34"/>
  <c r="W132" i="34"/>
  <c r="V132" i="34"/>
  <c r="U133" i="34"/>
  <c r="K136" i="31"/>
  <c r="J136" i="31"/>
  <c r="I136" i="31"/>
  <c r="L136" i="31"/>
  <c r="T133" i="31"/>
  <c r="U134" i="31" s="1"/>
  <c r="BB258" i="16"/>
  <c r="BC257" i="16"/>
  <c r="BD257" i="16"/>
  <c r="AQ258" i="16"/>
  <c r="AR257" i="16"/>
  <c r="AS257" i="16"/>
  <c r="AM257" i="16"/>
  <c r="AL258" i="16"/>
  <c r="AN257" i="16"/>
  <c r="AG258" i="16"/>
  <c r="AH257" i="16"/>
  <c r="X257" i="16"/>
  <c r="Y257" i="16" s="1"/>
  <c r="W258" i="16"/>
  <c r="AI257" i="16"/>
  <c r="AC257" i="16"/>
  <c r="AD257" i="16" s="1"/>
  <c r="AB258" i="16"/>
  <c r="AV259" i="16"/>
  <c r="AW258" i="16"/>
  <c r="AX258" i="16" s="1"/>
  <c r="T227" i="26"/>
  <c r="U228" i="26" s="1"/>
  <c r="V226" i="26"/>
  <c r="W226" i="26"/>
  <c r="Y226" i="26"/>
  <c r="X226" i="26"/>
  <c r="H172" i="26"/>
  <c r="G172" i="26" s="1"/>
  <c r="L171" i="26"/>
  <c r="K171" i="26"/>
  <c r="J171" i="26"/>
  <c r="I171" i="26"/>
  <c r="L170" i="26"/>
  <c r="K170" i="26"/>
  <c r="J170" i="26"/>
  <c r="I170" i="26"/>
  <c r="T259" i="16"/>
  <c r="AY258" i="16"/>
  <c r="AZ258" i="16" s="1"/>
  <c r="BA258" i="16" s="1"/>
  <c r="AP258" i="16"/>
  <c r="AA258" i="16"/>
  <c r="AK258" i="16"/>
  <c r="AF258" i="16"/>
  <c r="AU258" i="16"/>
  <c r="V258" i="16"/>
  <c r="L136" i="35" l="1"/>
  <c r="K136" i="35"/>
  <c r="I136" i="35"/>
  <c r="J136" i="35"/>
  <c r="H137" i="35"/>
  <c r="Y136" i="35"/>
  <c r="X136" i="35"/>
  <c r="W136" i="35"/>
  <c r="V136" i="35"/>
  <c r="U137" i="35"/>
  <c r="T133" i="34"/>
  <c r="K136" i="34"/>
  <c r="J136" i="34"/>
  <c r="I136" i="34"/>
  <c r="L136" i="34"/>
  <c r="H137" i="34"/>
  <c r="X133" i="31"/>
  <c r="W133" i="31"/>
  <c r="Y133" i="31"/>
  <c r="V133" i="31"/>
  <c r="G137" i="31"/>
  <c r="H138" i="31" s="1"/>
  <c r="BB259" i="16"/>
  <c r="BC258" i="16"/>
  <c r="BD258" i="16" s="1"/>
  <c r="AQ259" i="16"/>
  <c r="AR258" i="16"/>
  <c r="AS258" i="16" s="1"/>
  <c r="AM258" i="16"/>
  <c r="AN258" i="16" s="1"/>
  <c r="AL259" i="16"/>
  <c r="AB259" i="16"/>
  <c r="AC258" i="16"/>
  <c r="AD258" i="16" s="1"/>
  <c r="X258" i="16"/>
  <c r="Y258" i="16" s="1"/>
  <c r="W259" i="16"/>
  <c r="AH258" i="16"/>
  <c r="AI258" i="16" s="1"/>
  <c r="AG259" i="16"/>
  <c r="AW259" i="16"/>
  <c r="AX259" i="16" s="1"/>
  <c r="AV260" i="16"/>
  <c r="T228" i="26"/>
  <c r="U229" i="26" s="1"/>
  <c r="X227" i="26"/>
  <c r="W227" i="26"/>
  <c r="V227" i="26"/>
  <c r="Y227" i="26"/>
  <c r="H173" i="26"/>
  <c r="G173" i="26" s="1"/>
  <c r="K172" i="26"/>
  <c r="J172" i="26"/>
  <c r="L172" i="26"/>
  <c r="I172" i="26"/>
  <c r="T260" i="16"/>
  <c r="AY259" i="16"/>
  <c r="AZ259" i="16" s="1"/>
  <c r="BA259" i="16" s="1"/>
  <c r="AP259" i="16"/>
  <c r="AK259" i="16"/>
  <c r="AF259" i="16"/>
  <c r="AA259" i="16"/>
  <c r="AU259" i="16"/>
  <c r="V259" i="16"/>
  <c r="T137" i="35" l="1"/>
  <c r="G137" i="35"/>
  <c r="G137" i="34"/>
  <c r="X133" i="34"/>
  <c r="W133" i="34"/>
  <c r="V133" i="34"/>
  <c r="Y133" i="34"/>
  <c r="U134" i="34"/>
  <c r="K137" i="31"/>
  <c r="L137" i="31"/>
  <c r="J137" i="31"/>
  <c r="I137" i="31"/>
  <c r="T134" i="31"/>
  <c r="U135" i="31" s="1"/>
  <c r="BB260" i="16"/>
  <c r="BC259" i="16"/>
  <c r="BD259" i="16" s="1"/>
  <c r="AQ260" i="16"/>
  <c r="AR259" i="16"/>
  <c r="AS259" i="16" s="1"/>
  <c r="AM259" i="16"/>
  <c r="AN259" i="16" s="1"/>
  <c r="AL260" i="16"/>
  <c r="W260" i="16"/>
  <c r="X259" i="16"/>
  <c r="AC259" i="16"/>
  <c r="AD259" i="16" s="1"/>
  <c r="AB260" i="16"/>
  <c r="AG260" i="16"/>
  <c r="AH259" i="16"/>
  <c r="AI259" i="16" s="1"/>
  <c r="Y259" i="16"/>
  <c r="AV261" i="16"/>
  <c r="AW260" i="16"/>
  <c r="AX260" i="16" s="1"/>
  <c r="T229" i="26"/>
  <c r="U230" i="26" s="1"/>
  <c r="W228" i="26"/>
  <c r="V228" i="26"/>
  <c r="Y228" i="26"/>
  <c r="X228" i="26"/>
  <c r="H174" i="26"/>
  <c r="G174" i="26" s="1"/>
  <c r="K173" i="26"/>
  <c r="J173" i="26"/>
  <c r="I173" i="26"/>
  <c r="L173" i="26"/>
  <c r="T261" i="16"/>
  <c r="AY260" i="16"/>
  <c r="AZ260" i="16" s="1"/>
  <c r="BA260" i="16" s="1"/>
  <c r="AP260" i="16"/>
  <c r="AK260" i="16"/>
  <c r="AA260" i="16"/>
  <c r="AF260" i="16"/>
  <c r="AU260" i="16"/>
  <c r="V260" i="16"/>
  <c r="L137" i="35" l="1"/>
  <c r="J137" i="35"/>
  <c r="K137" i="35"/>
  <c r="I137" i="35"/>
  <c r="H138" i="35"/>
  <c r="Y137" i="35"/>
  <c r="X137" i="35"/>
  <c r="W137" i="35"/>
  <c r="V137" i="35"/>
  <c r="U138" i="35"/>
  <c r="T134" i="34"/>
  <c r="K137" i="34"/>
  <c r="J137" i="34"/>
  <c r="L137" i="34"/>
  <c r="I137" i="34"/>
  <c r="H138" i="34"/>
  <c r="X134" i="31"/>
  <c r="W134" i="31"/>
  <c r="Y134" i="31"/>
  <c r="V134" i="31"/>
  <c r="G138" i="31"/>
  <c r="H139" i="31" s="1"/>
  <c r="BB261" i="16"/>
  <c r="BC260" i="16"/>
  <c r="BD260" i="16"/>
  <c r="AQ261" i="16"/>
  <c r="AR260" i="16"/>
  <c r="AS260" i="16"/>
  <c r="AL261" i="16"/>
  <c r="AM260" i="16"/>
  <c r="AN260" i="16" s="1"/>
  <c r="W261" i="16"/>
  <c r="X260" i="16"/>
  <c r="Y260" i="16" s="1"/>
  <c r="AC260" i="16"/>
  <c r="AD260" i="16" s="1"/>
  <c r="AB261" i="16"/>
  <c r="AH260" i="16"/>
  <c r="AI260" i="16" s="1"/>
  <c r="AG261" i="16"/>
  <c r="AW261" i="16"/>
  <c r="AX261" i="16" s="1"/>
  <c r="AV262" i="16"/>
  <c r="T230" i="26"/>
  <c r="U231" i="26" s="1"/>
  <c r="V229" i="26"/>
  <c r="W229" i="26"/>
  <c r="Y229" i="26"/>
  <c r="X229" i="26"/>
  <c r="H175" i="26"/>
  <c r="G175" i="26" s="1"/>
  <c r="J174" i="26"/>
  <c r="K174" i="26"/>
  <c r="L174" i="26"/>
  <c r="I174" i="26"/>
  <c r="T262" i="16"/>
  <c r="AY261" i="16"/>
  <c r="AZ261" i="16" s="1"/>
  <c r="BA261" i="16" s="1"/>
  <c r="AF261" i="16"/>
  <c r="AP261" i="16"/>
  <c r="AK261" i="16"/>
  <c r="AA261" i="16"/>
  <c r="V261" i="16"/>
  <c r="AU261" i="16"/>
  <c r="T138" i="35" l="1"/>
  <c r="G138" i="35"/>
  <c r="G138" i="34"/>
  <c r="W134" i="34"/>
  <c r="Y134" i="34"/>
  <c r="X134" i="34"/>
  <c r="V134" i="34"/>
  <c r="U135" i="34"/>
  <c r="K138" i="31"/>
  <c r="J138" i="31"/>
  <c r="L138" i="31"/>
  <c r="I138" i="31"/>
  <c r="T135" i="31"/>
  <c r="U136" i="31" s="1"/>
  <c r="BB262" i="16"/>
  <c r="BC261" i="16"/>
  <c r="BD261" i="16"/>
  <c r="AQ262" i="16"/>
  <c r="AR261" i="16"/>
  <c r="AS261" i="16"/>
  <c r="AM261" i="16"/>
  <c r="AN261" i="16" s="1"/>
  <c r="AL262" i="16"/>
  <c r="X261" i="16"/>
  <c r="W262" i="16"/>
  <c r="AB262" i="16"/>
  <c r="AC261" i="16"/>
  <c r="AD261" i="16" s="1"/>
  <c r="AH261" i="16"/>
  <c r="AI261" i="16" s="1"/>
  <c r="AG262" i="16"/>
  <c r="Y261" i="16"/>
  <c r="AV263" i="16"/>
  <c r="AW262" i="16"/>
  <c r="AX262" i="16" s="1"/>
  <c r="T231" i="26"/>
  <c r="U232" i="26" s="1"/>
  <c r="X230" i="26"/>
  <c r="W230" i="26"/>
  <c r="Y230" i="26"/>
  <c r="V230" i="26"/>
  <c r="H176" i="26"/>
  <c r="G176" i="26" s="1"/>
  <c r="L175" i="26"/>
  <c r="J175" i="26"/>
  <c r="K175" i="26"/>
  <c r="I175" i="26"/>
  <c r="T263" i="16"/>
  <c r="AY262" i="16"/>
  <c r="AZ262" i="16" s="1"/>
  <c r="BA262" i="16" s="1"/>
  <c r="AP262" i="16"/>
  <c r="AK262" i="16"/>
  <c r="AA262" i="16"/>
  <c r="AF262" i="16"/>
  <c r="AU262" i="16"/>
  <c r="V262" i="16"/>
  <c r="K138" i="35" l="1"/>
  <c r="J138" i="35"/>
  <c r="L138" i="35"/>
  <c r="I138" i="35"/>
  <c r="H139" i="35"/>
  <c r="Y138" i="35"/>
  <c r="X138" i="35"/>
  <c r="W138" i="35"/>
  <c r="V138" i="35"/>
  <c r="U139" i="35"/>
  <c r="T135" i="34"/>
  <c r="K138" i="34"/>
  <c r="J138" i="34"/>
  <c r="L138" i="34"/>
  <c r="I138" i="34"/>
  <c r="H139" i="34"/>
  <c r="X135" i="31"/>
  <c r="W135" i="31"/>
  <c r="Y135" i="31"/>
  <c r="V135" i="31"/>
  <c r="G139" i="31"/>
  <c r="H140" i="31" s="1"/>
  <c r="BB263" i="16"/>
  <c r="BC262" i="16"/>
  <c r="BD262" i="16"/>
  <c r="AQ263" i="16"/>
  <c r="AR262" i="16"/>
  <c r="AS262" i="16"/>
  <c r="AM262" i="16"/>
  <c r="AL263" i="16"/>
  <c r="AN262" i="16"/>
  <c r="X262" i="16"/>
  <c r="Y262" i="16" s="1"/>
  <c r="W263" i="16"/>
  <c r="AC262" i="16"/>
  <c r="AD262" i="16" s="1"/>
  <c r="AB263" i="16"/>
  <c r="AH262" i="16"/>
  <c r="AI262" i="16" s="1"/>
  <c r="AG263" i="16"/>
  <c r="AW263" i="16"/>
  <c r="AX263" i="16" s="1"/>
  <c r="AV264" i="16"/>
  <c r="T232" i="26"/>
  <c r="U233" i="26" s="1"/>
  <c r="V231" i="26"/>
  <c r="Y231" i="26"/>
  <c r="W231" i="26"/>
  <c r="X231" i="26"/>
  <c r="H177" i="26"/>
  <c r="G177" i="26" s="1"/>
  <c r="L176" i="26"/>
  <c r="J176" i="26"/>
  <c r="K176" i="26"/>
  <c r="I176" i="26"/>
  <c r="T264" i="16"/>
  <c r="AY263" i="16"/>
  <c r="AZ263" i="16" s="1"/>
  <c r="BA263" i="16" s="1"/>
  <c r="AF263" i="16"/>
  <c r="AP263" i="16"/>
  <c r="AK263" i="16"/>
  <c r="AA263" i="16"/>
  <c r="AU263" i="16"/>
  <c r="V263" i="16"/>
  <c r="T139" i="35" l="1"/>
  <c r="G139" i="35"/>
  <c r="G139" i="34"/>
  <c r="V135" i="34"/>
  <c r="X135" i="34"/>
  <c r="W135" i="34"/>
  <c r="Y135" i="34"/>
  <c r="U136" i="34"/>
  <c r="K139" i="31"/>
  <c r="J139" i="31"/>
  <c r="L139" i="31"/>
  <c r="I139" i="31"/>
  <c r="T136" i="31"/>
  <c r="U137" i="31" s="1"/>
  <c r="BB264" i="16"/>
  <c r="BC263" i="16"/>
  <c r="BD263" i="16" s="1"/>
  <c r="AQ264" i="16"/>
  <c r="AR263" i="16"/>
  <c r="AS263" i="16" s="1"/>
  <c r="AM263" i="16"/>
  <c r="AL264" i="16"/>
  <c r="AN263" i="16"/>
  <c r="X263" i="16"/>
  <c r="W264" i="16"/>
  <c r="AC263" i="16"/>
  <c r="AD263" i="16" s="1"/>
  <c r="AB264" i="16"/>
  <c r="AH263" i="16"/>
  <c r="AI263" i="16" s="1"/>
  <c r="AG264" i="16"/>
  <c r="Y263" i="16"/>
  <c r="AW264" i="16"/>
  <c r="AX264" i="16" s="1"/>
  <c r="AV265" i="16"/>
  <c r="T233" i="26"/>
  <c r="U234" i="26" s="1"/>
  <c r="V232" i="26"/>
  <c r="W232" i="26"/>
  <c r="Y232" i="26"/>
  <c r="X232" i="26"/>
  <c r="H178" i="26"/>
  <c r="G178" i="26" s="1"/>
  <c r="L177" i="26"/>
  <c r="K177" i="26"/>
  <c r="J177" i="26"/>
  <c r="I177" i="26"/>
  <c r="T265" i="16"/>
  <c r="AF264" i="16"/>
  <c r="AP264" i="16"/>
  <c r="AK264" i="16"/>
  <c r="AY264" i="16"/>
  <c r="AZ264" i="16" s="1"/>
  <c r="BA264" i="16" s="1"/>
  <c r="AA264" i="16"/>
  <c r="V264" i="16"/>
  <c r="AU264" i="16"/>
  <c r="L139" i="35" l="1"/>
  <c r="K139" i="35"/>
  <c r="J139" i="35"/>
  <c r="I139" i="35"/>
  <c r="H140" i="35"/>
  <c r="Y139" i="35"/>
  <c r="X139" i="35"/>
  <c r="W139" i="35"/>
  <c r="V139" i="35"/>
  <c r="U140" i="35"/>
  <c r="T136" i="34"/>
  <c r="K139" i="34"/>
  <c r="J139" i="34"/>
  <c r="I139" i="34"/>
  <c r="L139" i="34"/>
  <c r="H140" i="34"/>
  <c r="X136" i="31"/>
  <c r="W136" i="31"/>
  <c r="Y136" i="31"/>
  <c r="V136" i="31"/>
  <c r="G140" i="31"/>
  <c r="H141" i="31" s="1"/>
  <c r="BB265" i="16"/>
  <c r="BC264" i="16"/>
  <c r="BD264" i="16" s="1"/>
  <c r="AQ265" i="16"/>
  <c r="AR264" i="16"/>
  <c r="AS264" i="16"/>
  <c r="AM264" i="16"/>
  <c r="AN264" i="16" s="1"/>
  <c r="AL265" i="16"/>
  <c r="AC264" i="16"/>
  <c r="AD264" i="16" s="1"/>
  <c r="AB265" i="16"/>
  <c r="W265" i="16"/>
  <c r="X264" i="16"/>
  <c r="Y264" i="16" s="1"/>
  <c r="AG265" i="16"/>
  <c r="AH264" i="16"/>
  <c r="AI264" i="16" s="1"/>
  <c r="AW265" i="16"/>
  <c r="AX265" i="16" s="1"/>
  <c r="AV266" i="16"/>
  <c r="T234" i="26"/>
  <c r="U235" i="26" s="1"/>
  <c r="X233" i="26"/>
  <c r="W233" i="26"/>
  <c r="V233" i="26"/>
  <c r="Y233" i="26"/>
  <c r="H179" i="26"/>
  <c r="G179" i="26" s="1"/>
  <c r="L178" i="26"/>
  <c r="K178" i="26"/>
  <c r="J178" i="26"/>
  <c r="I178" i="26"/>
  <c r="T266" i="16"/>
  <c r="AY265" i="16"/>
  <c r="AZ265" i="16" s="1"/>
  <c r="BA265" i="16" s="1"/>
  <c r="AP265" i="16"/>
  <c r="AK265" i="16"/>
  <c r="AF265" i="16"/>
  <c r="AA265" i="16"/>
  <c r="AU265" i="16"/>
  <c r="V265" i="16"/>
  <c r="T140" i="35" l="1"/>
  <c r="G140" i="35"/>
  <c r="G140" i="34"/>
  <c r="Y136" i="34"/>
  <c r="X136" i="34"/>
  <c r="W136" i="34"/>
  <c r="V136" i="34"/>
  <c r="U137" i="34"/>
  <c r="K140" i="31"/>
  <c r="J140" i="31"/>
  <c r="I140" i="31"/>
  <c r="L140" i="31"/>
  <c r="T137" i="31"/>
  <c r="U138" i="31" s="1"/>
  <c r="BB266" i="16"/>
  <c r="BC265" i="16"/>
  <c r="BD265" i="16"/>
  <c r="AQ266" i="16"/>
  <c r="AR265" i="16"/>
  <c r="AS265" i="16"/>
  <c r="AM265" i="16"/>
  <c r="AN265" i="16" s="1"/>
  <c r="AL266" i="16"/>
  <c r="X265" i="16"/>
  <c r="W266" i="16"/>
  <c r="AH265" i="16"/>
  <c r="AI265" i="16" s="1"/>
  <c r="AG266" i="16"/>
  <c r="AC265" i="16"/>
  <c r="AD265" i="16" s="1"/>
  <c r="AB266" i="16"/>
  <c r="Y265" i="16"/>
  <c r="AV267" i="16"/>
  <c r="AW266" i="16"/>
  <c r="AX266" i="16" s="1"/>
  <c r="T235" i="26"/>
  <c r="U236" i="26" s="1"/>
  <c r="W234" i="26"/>
  <c r="V234" i="26"/>
  <c r="X234" i="26"/>
  <c r="Y234" i="26"/>
  <c r="H180" i="26"/>
  <c r="L179" i="26"/>
  <c r="K179" i="26"/>
  <c r="J179" i="26"/>
  <c r="I179" i="26"/>
  <c r="T267" i="16"/>
  <c r="AY266" i="16"/>
  <c r="AZ266" i="16" s="1"/>
  <c r="BA266" i="16" s="1"/>
  <c r="AP266" i="16"/>
  <c r="AA266" i="16"/>
  <c r="AF266" i="16"/>
  <c r="AK266" i="16"/>
  <c r="AU266" i="16"/>
  <c r="V266" i="16"/>
  <c r="I140" i="35" l="1"/>
  <c r="L140" i="35"/>
  <c r="K140" i="35"/>
  <c r="J140" i="35"/>
  <c r="H141" i="35"/>
  <c r="Y140" i="35"/>
  <c r="X140" i="35"/>
  <c r="W140" i="35"/>
  <c r="V140" i="35"/>
  <c r="U141" i="35"/>
  <c r="T137" i="34"/>
  <c r="K140" i="34"/>
  <c r="J140" i="34"/>
  <c r="L140" i="34"/>
  <c r="I140" i="34"/>
  <c r="H141" i="34"/>
  <c r="X137" i="31"/>
  <c r="W137" i="31"/>
  <c r="Y137" i="31"/>
  <c r="V137" i="31"/>
  <c r="G141" i="31"/>
  <c r="H142" i="31" s="1"/>
  <c r="BB267" i="16"/>
  <c r="BC266" i="16"/>
  <c r="BD266" i="16" s="1"/>
  <c r="AQ267" i="16"/>
  <c r="AR266" i="16"/>
  <c r="AS266" i="16"/>
  <c r="AM266" i="16"/>
  <c r="AL267" i="16"/>
  <c r="AN266" i="16"/>
  <c r="AG267" i="16"/>
  <c r="AH266" i="16"/>
  <c r="AI266" i="16" s="1"/>
  <c r="AB267" i="16"/>
  <c r="AC266" i="16"/>
  <c r="AD266" i="16" s="1"/>
  <c r="X266" i="16"/>
  <c r="Y266" i="16" s="1"/>
  <c r="W267" i="16"/>
  <c r="AV268" i="16"/>
  <c r="AW267" i="16"/>
  <c r="AX267" i="16" s="1"/>
  <c r="T236" i="26"/>
  <c r="U237" i="26" s="1"/>
  <c r="V235" i="26"/>
  <c r="W235" i="26"/>
  <c r="Y235" i="26"/>
  <c r="X235" i="26"/>
  <c r="G180" i="26"/>
  <c r="H181" i="26" s="1"/>
  <c r="G181" i="26" s="1"/>
  <c r="T268" i="16"/>
  <c r="AP267" i="16"/>
  <c r="AY267" i="16"/>
  <c r="AZ267" i="16" s="1"/>
  <c r="BA267" i="16" s="1"/>
  <c r="AK267" i="16"/>
  <c r="AA267" i="16"/>
  <c r="AF267" i="16"/>
  <c r="AU267" i="16"/>
  <c r="V267" i="16"/>
  <c r="T141" i="35" l="1"/>
  <c r="G141" i="35"/>
  <c r="G141" i="34"/>
  <c r="Y137" i="34"/>
  <c r="V137" i="34"/>
  <c r="X137" i="34"/>
  <c r="W137" i="34"/>
  <c r="U138" i="34"/>
  <c r="K141" i="31"/>
  <c r="L141" i="31"/>
  <c r="J141" i="31"/>
  <c r="I141" i="31"/>
  <c r="T138" i="31"/>
  <c r="U139" i="31" s="1"/>
  <c r="BB268" i="16"/>
  <c r="BC267" i="16"/>
  <c r="BD267" i="16" s="1"/>
  <c r="AQ268" i="16"/>
  <c r="AR267" i="16"/>
  <c r="AS267" i="16" s="1"/>
  <c r="AM267" i="16"/>
  <c r="AN267" i="16" s="1"/>
  <c r="AL268" i="16"/>
  <c r="AG268" i="16"/>
  <c r="AH267" i="16"/>
  <c r="AI267" i="16"/>
  <c r="X267" i="16"/>
  <c r="Y267" i="16" s="1"/>
  <c r="W268" i="16"/>
  <c r="AC267" i="16"/>
  <c r="AD267" i="16" s="1"/>
  <c r="AB268" i="16"/>
  <c r="AV269" i="16"/>
  <c r="AW268" i="16"/>
  <c r="AX268" i="16" s="1"/>
  <c r="T237" i="26"/>
  <c r="U238" i="26" s="1"/>
  <c r="X236" i="26"/>
  <c r="W236" i="26"/>
  <c r="V236" i="26"/>
  <c r="Y236" i="26"/>
  <c r="H182" i="26"/>
  <c r="G182" i="26" s="1"/>
  <c r="L181" i="26"/>
  <c r="K181" i="26"/>
  <c r="J181" i="26"/>
  <c r="I181" i="26"/>
  <c r="L180" i="26"/>
  <c r="K180" i="26"/>
  <c r="J180" i="26"/>
  <c r="I180" i="26"/>
  <c r="T269" i="16"/>
  <c r="AP268" i="16"/>
  <c r="AY268" i="16"/>
  <c r="AZ268" i="16" s="1"/>
  <c r="BA268" i="16" s="1"/>
  <c r="AK268" i="16"/>
  <c r="AA268" i="16"/>
  <c r="AF268" i="16"/>
  <c r="V268" i="16"/>
  <c r="AU268" i="16"/>
  <c r="J141" i="35" l="1"/>
  <c r="I141" i="35"/>
  <c r="K141" i="35"/>
  <c r="L141" i="35"/>
  <c r="H142" i="35"/>
  <c r="Y141" i="35"/>
  <c r="X141" i="35"/>
  <c r="V141" i="35"/>
  <c r="W141" i="35"/>
  <c r="U142" i="35"/>
  <c r="T138" i="34"/>
  <c r="K141" i="34"/>
  <c r="J141" i="34"/>
  <c r="L141" i="34"/>
  <c r="I141" i="34"/>
  <c r="H142" i="34"/>
  <c r="X138" i="31"/>
  <c r="W138" i="31"/>
  <c r="Y138" i="31"/>
  <c r="V138" i="31"/>
  <c r="G142" i="31"/>
  <c r="H143" i="31" s="1"/>
  <c r="BB269" i="16"/>
  <c r="BC268" i="16"/>
  <c r="BD268" i="16" s="1"/>
  <c r="AR268" i="16"/>
  <c r="AQ269" i="16"/>
  <c r="AS268" i="16"/>
  <c r="AM268" i="16"/>
  <c r="AL269" i="16"/>
  <c r="AN268" i="16"/>
  <c r="AG269" i="16"/>
  <c r="AH268" i="16"/>
  <c r="AI268" i="16" s="1"/>
  <c r="X268" i="16"/>
  <c r="Y268" i="16" s="1"/>
  <c r="W269" i="16"/>
  <c r="AB269" i="16"/>
  <c r="AC268" i="16"/>
  <c r="AD268" i="16" s="1"/>
  <c r="AV270" i="16"/>
  <c r="AW269" i="16"/>
  <c r="AX269" i="16" s="1"/>
  <c r="T238" i="26"/>
  <c r="U239" i="26" s="1"/>
  <c r="W237" i="26"/>
  <c r="V237" i="26"/>
  <c r="Y237" i="26"/>
  <c r="X237" i="26"/>
  <c r="H183" i="26"/>
  <c r="L182" i="26"/>
  <c r="K182" i="26"/>
  <c r="J182" i="26"/>
  <c r="I182" i="26"/>
  <c r="T270" i="16"/>
  <c r="AP269" i="16"/>
  <c r="AY269" i="16"/>
  <c r="AZ269" i="16" s="1"/>
  <c r="BA269" i="16" s="1"/>
  <c r="AF269" i="16"/>
  <c r="AK269" i="16"/>
  <c r="AA269" i="16"/>
  <c r="AU269" i="16"/>
  <c r="V269" i="16"/>
  <c r="T142" i="35" l="1"/>
  <c r="G142" i="35"/>
  <c r="G142" i="34"/>
  <c r="Y138" i="34"/>
  <c r="W138" i="34"/>
  <c r="V138" i="34"/>
  <c r="X138" i="34"/>
  <c r="U139" i="34"/>
  <c r="K142" i="31"/>
  <c r="L142" i="31"/>
  <c r="I142" i="31"/>
  <c r="J142" i="31"/>
  <c r="T139" i="31"/>
  <c r="U140" i="31" s="1"/>
  <c r="BB270" i="16"/>
  <c r="BC269" i="16"/>
  <c r="BD269" i="16" s="1"/>
  <c r="AQ270" i="16"/>
  <c r="AR269" i="16"/>
  <c r="AS269" i="16" s="1"/>
  <c r="AM269" i="16"/>
  <c r="AN269" i="16" s="1"/>
  <c r="AL270" i="16"/>
  <c r="AB270" i="16"/>
  <c r="AC269" i="16"/>
  <c r="X269" i="16"/>
  <c r="Y269" i="16" s="1"/>
  <c r="W270" i="16"/>
  <c r="AD269" i="16"/>
  <c r="AG270" i="16"/>
  <c r="AH269" i="16"/>
  <c r="AI269" i="16" s="1"/>
  <c r="AV271" i="16"/>
  <c r="AW270" i="16"/>
  <c r="AX270" i="16" s="1"/>
  <c r="T239" i="26"/>
  <c r="U240" i="26" s="1"/>
  <c r="V238" i="26"/>
  <c r="W238" i="26"/>
  <c r="Y238" i="26"/>
  <c r="X238" i="26"/>
  <c r="G183" i="26"/>
  <c r="T271" i="16"/>
  <c r="AY270" i="16"/>
  <c r="AZ270" i="16" s="1"/>
  <c r="BA270" i="16" s="1"/>
  <c r="AP270" i="16"/>
  <c r="AA270" i="16"/>
  <c r="AF270" i="16"/>
  <c r="AK270" i="16"/>
  <c r="V270" i="16"/>
  <c r="AU270" i="16"/>
  <c r="K142" i="35" l="1"/>
  <c r="J142" i="35"/>
  <c r="I142" i="35"/>
  <c r="L142" i="35"/>
  <c r="H143" i="35"/>
  <c r="Y142" i="35"/>
  <c r="W142" i="35"/>
  <c r="V142" i="35"/>
  <c r="X142" i="35"/>
  <c r="U143" i="35"/>
  <c r="T139" i="34"/>
  <c r="K142" i="34"/>
  <c r="J142" i="34"/>
  <c r="I142" i="34"/>
  <c r="L142" i="34"/>
  <c r="H143" i="34"/>
  <c r="X139" i="31"/>
  <c r="W139" i="31"/>
  <c r="V139" i="31"/>
  <c r="Y139" i="31"/>
  <c r="G143" i="31"/>
  <c r="H144" i="31" s="1"/>
  <c r="BB271" i="16"/>
  <c r="BC270" i="16"/>
  <c r="BD270" i="16" s="1"/>
  <c r="AQ271" i="16"/>
  <c r="AR270" i="16"/>
  <c r="AS270" i="16"/>
  <c r="AM270" i="16"/>
  <c r="AN270" i="16" s="1"/>
  <c r="AL271" i="16"/>
  <c r="X270" i="16"/>
  <c r="Y270" i="16" s="1"/>
  <c r="W271" i="16"/>
  <c r="AH270" i="16"/>
  <c r="AI270" i="16" s="1"/>
  <c r="AG271" i="16"/>
  <c r="AC270" i="16"/>
  <c r="AD270" i="16" s="1"/>
  <c r="AB271" i="16"/>
  <c r="AV272" i="16"/>
  <c r="AW271" i="16"/>
  <c r="AX271" i="16" s="1"/>
  <c r="T240" i="26"/>
  <c r="U241" i="26" s="1"/>
  <c r="X239" i="26"/>
  <c r="W239" i="26"/>
  <c r="V239" i="26"/>
  <c r="Y239" i="26"/>
  <c r="L183" i="26"/>
  <c r="K183" i="26"/>
  <c r="J183" i="26"/>
  <c r="I183" i="26"/>
  <c r="H184" i="26"/>
  <c r="G184" i="26" s="1"/>
  <c r="T272" i="16"/>
  <c r="AY271" i="16"/>
  <c r="AZ271" i="16" s="1"/>
  <c r="BA271" i="16" s="1"/>
  <c r="AP271" i="16"/>
  <c r="AK271" i="16"/>
  <c r="AA271" i="16"/>
  <c r="AF271" i="16"/>
  <c r="V271" i="16"/>
  <c r="AU271" i="16"/>
  <c r="G143" i="35" l="1"/>
  <c r="T143" i="35"/>
  <c r="G143" i="34"/>
  <c r="Y139" i="34"/>
  <c r="X139" i="34"/>
  <c r="W139" i="34"/>
  <c r="V139" i="34"/>
  <c r="U140" i="34"/>
  <c r="K143" i="31"/>
  <c r="I143" i="31"/>
  <c r="L143" i="31"/>
  <c r="J143" i="31"/>
  <c r="T140" i="31"/>
  <c r="U141" i="31" s="1"/>
  <c r="BB272" i="16"/>
  <c r="BC271" i="16"/>
  <c r="BD271" i="16" s="1"/>
  <c r="AQ272" i="16"/>
  <c r="AR271" i="16"/>
  <c r="AS271" i="16" s="1"/>
  <c r="AM271" i="16"/>
  <c r="AL272" i="16"/>
  <c r="AN271" i="16"/>
  <c r="AG272" i="16"/>
  <c r="AH271" i="16"/>
  <c r="AI271" i="16" s="1"/>
  <c r="AB272" i="16"/>
  <c r="AC271" i="16"/>
  <c r="AD271" i="16" s="1"/>
  <c r="X271" i="16"/>
  <c r="Y271" i="16" s="1"/>
  <c r="W272" i="16"/>
  <c r="AV273" i="16"/>
  <c r="AW272" i="16"/>
  <c r="AX272" i="16" s="1"/>
  <c r="T241" i="26"/>
  <c r="U242" i="26" s="1"/>
  <c r="W240" i="26"/>
  <c r="V240" i="26"/>
  <c r="X240" i="26"/>
  <c r="Y240" i="26"/>
  <c r="H185" i="26"/>
  <c r="G185" i="26" s="1"/>
  <c r="K184" i="26"/>
  <c r="J184" i="26"/>
  <c r="L184" i="26"/>
  <c r="I184" i="26"/>
  <c r="T273" i="16"/>
  <c r="AY272" i="16"/>
  <c r="AZ272" i="16" s="1"/>
  <c r="BA272" i="16" s="1"/>
  <c r="AP272" i="16"/>
  <c r="AK272" i="16"/>
  <c r="AF272" i="16"/>
  <c r="AA272" i="16"/>
  <c r="AU272" i="16"/>
  <c r="V272" i="16"/>
  <c r="Y143" i="35" l="1"/>
  <c r="X143" i="35"/>
  <c r="W143" i="35"/>
  <c r="V143" i="35"/>
  <c r="U144" i="35"/>
  <c r="L143" i="35"/>
  <c r="K143" i="35"/>
  <c r="J143" i="35"/>
  <c r="I143" i="35"/>
  <c r="H144" i="35"/>
  <c r="T140" i="34"/>
  <c r="K143" i="34"/>
  <c r="J143" i="34"/>
  <c r="L143" i="34"/>
  <c r="I143" i="34"/>
  <c r="H144" i="34"/>
  <c r="X140" i="31"/>
  <c r="W140" i="31"/>
  <c r="V140" i="31"/>
  <c r="Y140" i="31"/>
  <c r="G144" i="31"/>
  <c r="H145" i="31" s="1"/>
  <c r="BB273" i="16"/>
  <c r="BC272" i="16"/>
  <c r="BD272" i="16"/>
  <c r="AQ273" i="16"/>
  <c r="AR272" i="16"/>
  <c r="AS272" i="16" s="1"/>
  <c r="AL273" i="16"/>
  <c r="AM272" i="16"/>
  <c r="AN272" i="16" s="1"/>
  <c r="AC272" i="16"/>
  <c r="AD272" i="16" s="1"/>
  <c r="AB273" i="16"/>
  <c r="W273" i="16"/>
  <c r="X272" i="16"/>
  <c r="Y272" i="16" s="1"/>
  <c r="AH272" i="16"/>
  <c r="AI272" i="16" s="1"/>
  <c r="AG273" i="16"/>
  <c r="AW273" i="16"/>
  <c r="AX273" i="16" s="1"/>
  <c r="AV274" i="16"/>
  <c r="T242" i="26"/>
  <c r="U243" i="26" s="1"/>
  <c r="V241" i="26"/>
  <c r="W241" i="26"/>
  <c r="Y241" i="26"/>
  <c r="X241" i="26"/>
  <c r="H186" i="26"/>
  <c r="G186" i="26" s="1"/>
  <c r="K185" i="26"/>
  <c r="J185" i="26"/>
  <c r="L185" i="26"/>
  <c r="I185" i="26"/>
  <c r="T274" i="16"/>
  <c r="AY273" i="16"/>
  <c r="AZ273" i="16" s="1"/>
  <c r="BA273" i="16" s="1"/>
  <c r="AF273" i="16"/>
  <c r="AK273" i="16"/>
  <c r="AP273" i="16"/>
  <c r="AA273" i="16"/>
  <c r="V273" i="16"/>
  <c r="AU273" i="16"/>
  <c r="G144" i="35" l="1"/>
  <c r="T144" i="35"/>
  <c r="G144" i="34"/>
  <c r="Y140" i="34"/>
  <c r="V140" i="34"/>
  <c r="X140" i="34"/>
  <c r="W140" i="34"/>
  <c r="U141" i="34"/>
  <c r="K144" i="31"/>
  <c r="L144" i="31"/>
  <c r="J144" i="31"/>
  <c r="I144" i="31"/>
  <c r="T141" i="31"/>
  <c r="U142" i="31" s="1"/>
  <c r="BB274" i="16"/>
  <c r="BC273" i="16"/>
  <c r="BD273" i="16"/>
  <c r="AQ274" i="16"/>
  <c r="AR273" i="16"/>
  <c r="AS273" i="16"/>
  <c r="AM273" i="16"/>
  <c r="AL274" i="16"/>
  <c r="AN273" i="16"/>
  <c r="AH273" i="16"/>
  <c r="AI273" i="16" s="1"/>
  <c r="AG274" i="16"/>
  <c r="X273" i="16"/>
  <c r="Y273" i="16" s="1"/>
  <c r="W274" i="16"/>
  <c r="AC273" i="16"/>
  <c r="AD273" i="16" s="1"/>
  <c r="AB274" i="16"/>
  <c r="AV275" i="16"/>
  <c r="AW274" i="16"/>
  <c r="AX274" i="16" s="1"/>
  <c r="T243" i="26"/>
  <c r="U244" i="26" s="1"/>
  <c r="X242" i="26"/>
  <c r="W242" i="26"/>
  <c r="Y242" i="26"/>
  <c r="V242" i="26"/>
  <c r="H187" i="26"/>
  <c r="G187" i="26" s="1"/>
  <c r="J186" i="26"/>
  <c r="K186" i="26"/>
  <c r="L186" i="26"/>
  <c r="I186" i="26"/>
  <c r="T275" i="16"/>
  <c r="AY274" i="16"/>
  <c r="AZ274" i="16" s="1"/>
  <c r="BA274" i="16" s="1"/>
  <c r="AK274" i="16"/>
  <c r="AP274" i="16"/>
  <c r="AA274" i="16"/>
  <c r="AF274" i="16"/>
  <c r="V274" i="16"/>
  <c r="AU274" i="16"/>
  <c r="Y144" i="35" l="1"/>
  <c r="X144" i="35"/>
  <c r="W144" i="35"/>
  <c r="V144" i="35"/>
  <c r="U145" i="35"/>
  <c r="L144" i="35"/>
  <c r="K144" i="35"/>
  <c r="J144" i="35"/>
  <c r="I144" i="35"/>
  <c r="H145" i="35"/>
  <c r="T141" i="34"/>
  <c r="K144" i="34"/>
  <c r="J144" i="34"/>
  <c r="L144" i="34"/>
  <c r="I144" i="34"/>
  <c r="H145" i="34"/>
  <c r="X141" i="31"/>
  <c r="W141" i="31"/>
  <c r="Y141" i="31"/>
  <c r="V141" i="31"/>
  <c r="G145" i="31"/>
  <c r="H146" i="31" s="1"/>
  <c r="BB275" i="16"/>
  <c r="BC274" i="16"/>
  <c r="BD274" i="16"/>
  <c r="AQ275" i="16"/>
  <c r="AR274" i="16"/>
  <c r="AS274" i="16" s="1"/>
  <c r="AM274" i="16"/>
  <c r="AN274" i="16" s="1"/>
  <c r="AL275" i="16"/>
  <c r="AG275" i="16"/>
  <c r="AH274" i="16"/>
  <c r="AI274" i="16" s="1"/>
  <c r="X274" i="16"/>
  <c r="Y274" i="16" s="1"/>
  <c r="W275" i="16"/>
  <c r="AB275" i="16"/>
  <c r="AC274" i="16"/>
  <c r="AD274" i="16" s="1"/>
  <c r="AW275" i="16"/>
  <c r="AX275" i="16" s="1"/>
  <c r="AV276" i="16"/>
  <c r="T244" i="26"/>
  <c r="U245" i="26" s="1"/>
  <c r="W243" i="26"/>
  <c r="V243" i="26"/>
  <c r="Y243" i="26"/>
  <c r="X243" i="26"/>
  <c r="H188" i="26"/>
  <c r="G188" i="26" s="1"/>
  <c r="L187" i="26"/>
  <c r="J187" i="26"/>
  <c r="K187" i="26"/>
  <c r="I187" i="26"/>
  <c r="T276" i="16"/>
  <c r="AY275" i="16"/>
  <c r="AZ275" i="16" s="1"/>
  <c r="BA275" i="16" s="1"/>
  <c r="AF275" i="16"/>
  <c r="AK275" i="16"/>
  <c r="AP275" i="16"/>
  <c r="AA275" i="16"/>
  <c r="AU275" i="16"/>
  <c r="V275" i="16"/>
  <c r="G145" i="35" l="1"/>
  <c r="T145" i="35"/>
  <c r="G145" i="34"/>
  <c r="Y141" i="34"/>
  <c r="W141" i="34"/>
  <c r="V141" i="34"/>
  <c r="X141" i="34"/>
  <c r="U142" i="34"/>
  <c r="K145" i="31"/>
  <c r="L145" i="31"/>
  <c r="J145" i="31"/>
  <c r="I145" i="31"/>
  <c r="T142" i="31"/>
  <c r="U143" i="31" s="1"/>
  <c r="BB276" i="16"/>
  <c r="BC275" i="16"/>
  <c r="BD275" i="16" s="1"/>
  <c r="AQ276" i="16"/>
  <c r="AR275" i="16"/>
  <c r="AS275" i="16" s="1"/>
  <c r="AM275" i="16"/>
  <c r="AL276" i="16"/>
  <c r="AN275" i="16"/>
  <c r="AG276" i="16"/>
  <c r="AH275" i="16"/>
  <c r="AI275" i="16" s="1"/>
  <c r="AC275" i="16"/>
  <c r="AD275" i="16" s="1"/>
  <c r="AB276" i="16"/>
  <c r="X275" i="16"/>
  <c r="Y275" i="16" s="1"/>
  <c r="W276" i="16"/>
  <c r="AW276" i="16"/>
  <c r="AX276" i="16" s="1"/>
  <c r="AV277" i="16"/>
  <c r="T245" i="26"/>
  <c r="U246" i="26" s="1"/>
  <c r="X244" i="26"/>
  <c r="W244" i="26"/>
  <c r="Y244" i="26"/>
  <c r="V244" i="26"/>
  <c r="H189" i="26"/>
  <c r="G189" i="26" s="1"/>
  <c r="L188" i="26"/>
  <c r="K188" i="26"/>
  <c r="I188" i="26"/>
  <c r="J188" i="26"/>
  <c r="T277" i="16"/>
  <c r="AY276" i="16"/>
  <c r="AZ276" i="16" s="1"/>
  <c r="BA276" i="16" s="1"/>
  <c r="AP276" i="16"/>
  <c r="AF276" i="16"/>
  <c r="AK276" i="16"/>
  <c r="AA276" i="16"/>
  <c r="V276" i="16"/>
  <c r="AU276" i="16"/>
  <c r="V145" i="35" l="1"/>
  <c r="Y145" i="35"/>
  <c r="X145" i="35"/>
  <c r="W145" i="35"/>
  <c r="U146" i="35"/>
  <c r="L145" i="35"/>
  <c r="K145" i="35"/>
  <c r="J145" i="35"/>
  <c r="I145" i="35"/>
  <c r="H146" i="35"/>
  <c r="T142" i="34"/>
  <c r="K145" i="34"/>
  <c r="J145" i="34"/>
  <c r="I145" i="34"/>
  <c r="L145" i="34"/>
  <c r="H146" i="34"/>
  <c r="X142" i="31"/>
  <c r="W142" i="31"/>
  <c r="V142" i="31"/>
  <c r="Y142" i="31"/>
  <c r="G146" i="31"/>
  <c r="H147" i="31" s="1"/>
  <c r="BB277" i="16"/>
  <c r="BC276" i="16"/>
  <c r="BD276" i="16"/>
  <c r="AQ277" i="16"/>
  <c r="AR276" i="16"/>
  <c r="AS276" i="16"/>
  <c r="AM276" i="16"/>
  <c r="AN276" i="16" s="1"/>
  <c r="AL277" i="16"/>
  <c r="X276" i="16"/>
  <c r="Y276" i="16" s="1"/>
  <c r="W277" i="16"/>
  <c r="AC276" i="16"/>
  <c r="AD276" i="16" s="1"/>
  <c r="AB277" i="16"/>
  <c r="AG277" i="16"/>
  <c r="AH276" i="16"/>
  <c r="AI276" i="16" s="1"/>
  <c r="AW277" i="16"/>
  <c r="AX277" i="16" s="1"/>
  <c r="AV278" i="16"/>
  <c r="T246" i="26"/>
  <c r="U247" i="26" s="1"/>
  <c r="X245" i="26"/>
  <c r="W245" i="26"/>
  <c r="Y245" i="26"/>
  <c r="V245" i="26"/>
  <c r="H190" i="26"/>
  <c r="G190" i="26" s="1"/>
  <c r="L189" i="26"/>
  <c r="K189" i="26"/>
  <c r="J189" i="26"/>
  <c r="I189" i="26"/>
  <c r="T278" i="16"/>
  <c r="AY277" i="16"/>
  <c r="AZ277" i="16" s="1"/>
  <c r="BA277" i="16" s="1"/>
  <c r="AP277" i="16"/>
  <c r="AK277" i="16"/>
  <c r="AF277" i="16"/>
  <c r="AA277" i="16"/>
  <c r="AU277" i="16"/>
  <c r="V277" i="16"/>
  <c r="G146" i="35" l="1"/>
  <c r="T146" i="35"/>
  <c r="G146" i="34"/>
  <c r="Y142" i="34"/>
  <c r="X142" i="34"/>
  <c r="W142" i="34"/>
  <c r="V142" i="34"/>
  <c r="U143" i="34"/>
  <c r="K146" i="31"/>
  <c r="L146" i="31"/>
  <c r="I146" i="31"/>
  <c r="J146" i="31"/>
  <c r="T143" i="31"/>
  <c r="U144" i="31" s="1"/>
  <c r="BB278" i="16"/>
  <c r="BC277" i="16"/>
  <c r="BD277" i="16" s="1"/>
  <c r="AQ278" i="16"/>
  <c r="AR277" i="16"/>
  <c r="AS277" i="16"/>
  <c r="AM277" i="16"/>
  <c r="AN277" i="16" s="1"/>
  <c r="AL278" i="16"/>
  <c r="AH277" i="16"/>
  <c r="AI277" i="16" s="1"/>
  <c r="AG278" i="16"/>
  <c r="X277" i="16"/>
  <c r="Y277" i="16" s="1"/>
  <c r="W278" i="16"/>
  <c r="AC277" i="16"/>
  <c r="AD277" i="16" s="1"/>
  <c r="AB278" i="16"/>
  <c r="AV279" i="16"/>
  <c r="AW278" i="16"/>
  <c r="AX278" i="16" s="1"/>
  <c r="T247" i="26"/>
  <c r="U248" i="26" s="1"/>
  <c r="W246" i="26"/>
  <c r="X246" i="26"/>
  <c r="V246" i="26"/>
  <c r="Y246" i="26"/>
  <c r="H191" i="26"/>
  <c r="G191" i="26" s="1"/>
  <c r="L190" i="26"/>
  <c r="K190" i="26"/>
  <c r="I190" i="26"/>
  <c r="J190" i="26"/>
  <c r="T279" i="16"/>
  <c r="AY278" i="16"/>
  <c r="AZ278" i="16" s="1"/>
  <c r="BA278" i="16" s="1"/>
  <c r="AP278" i="16"/>
  <c r="AK278" i="16"/>
  <c r="AA278" i="16"/>
  <c r="AF278" i="16"/>
  <c r="AU278" i="16"/>
  <c r="V278" i="16"/>
  <c r="W146" i="35" l="1"/>
  <c r="V146" i="35"/>
  <c r="X146" i="35"/>
  <c r="Y146" i="35"/>
  <c r="U147" i="35"/>
  <c r="L146" i="35"/>
  <c r="K146" i="35"/>
  <c r="J146" i="35"/>
  <c r="I146" i="35"/>
  <c r="H147" i="35"/>
  <c r="T143" i="34"/>
  <c r="K146" i="34"/>
  <c r="J146" i="34"/>
  <c r="L146" i="34"/>
  <c r="I146" i="34"/>
  <c r="H147" i="34"/>
  <c r="X143" i="31"/>
  <c r="W143" i="31"/>
  <c r="V143" i="31"/>
  <c r="Y143" i="31"/>
  <c r="G147" i="31"/>
  <c r="H148" i="31" s="1"/>
  <c r="BB279" i="16"/>
  <c r="BC278" i="16"/>
  <c r="BD278" i="16" s="1"/>
  <c r="AQ279" i="16"/>
  <c r="AR278" i="16"/>
  <c r="AS278" i="16"/>
  <c r="AM278" i="16"/>
  <c r="AN278" i="16" s="1"/>
  <c r="AL279" i="16"/>
  <c r="X278" i="16"/>
  <c r="Y278" i="16" s="1"/>
  <c r="W279" i="16"/>
  <c r="AH278" i="16"/>
  <c r="AG279" i="16"/>
  <c r="AI278" i="16"/>
  <c r="AB279" i="16"/>
  <c r="AC278" i="16"/>
  <c r="AD278" i="16" s="1"/>
  <c r="AV280" i="16"/>
  <c r="AW279" i="16"/>
  <c r="AX279" i="16" s="1"/>
  <c r="T248" i="26"/>
  <c r="U249" i="26" s="1"/>
  <c r="V247" i="26"/>
  <c r="W247" i="26"/>
  <c r="Y247" i="26"/>
  <c r="X247" i="26"/>
  <c r="H192" i="26"/>
  <c r="L191" i="26"/>
  <c r="K191" i="26"/>
  <c r="J191" i="26"/>
  <c r="I191" i="26"/>
  <c r="T280" i="16"/>
  <c r="AY279" i="16"/>
  <c r="AZ279" i="16" s="1"/>
  <c r="BA279" i="16" s="1"/>
  <c r="AP279" i="16"/>
  <c r="AK279" i="16"/>
  <c r="AA279" i="16"/>
  <c r="AF279" i="16"/>
  <c r="AU279" i="16"/>
  <c r="V279" i="16"/>
  <c r="G147" i="35" l="1"/>
  <c r="T147" i="35"/>
  <c r="G147" i="34"/>
  <c r="Y143" i="34"/>
  <c r="V143" i="34"/>
  <c r="X143" i="34"/>
  <c r="W143" i="34"/>
  <c r="U144" i="34"/>
  <c r="K147" i="31"/>
  <c r="I147" i="31"/>
  <c r="J147" i="31"/>
  <c r="L147" i="31"/>
  <c r="T144" i="31"/>
  <c r="U145" i="31" s="1"/>
  <c r="BB280" i="16"/>
  <c r="BC279" i="16"/>
  <c r="BD279" i="16" s="1"/>
  <c r="AQ280" i="16"/>
  <c r="AR279" i="16"/>
  <c r="AS279" i="16" s="1"/>
  <c r="AM279" i="16"/>
  <c r="AN279" i="16" s="1"/>
  <c r="AL280" i="16"/>
  <c r="X279" i="16"/>
  <c r="W280" i="16"/>
  <c r="AG280" i="16"/>
  <c r="AH279" i="16"/>
  <c r="AI279" i="16" s="1"/>
  <c r="AC279" i="16"/>
  <c r="AD279" i="16" s="1"/>
  <c r="AB280" i="16"/>
  <c r="Y279" i="16"/>
  <c r="AW280" i="16"/>
  <c r="AX280" i="16" s="1"/>
  <c r="AV281" i="16"/>
  <c r="T249" i="26"/>
  <c r="U250" i="26" s="1"/>
  <c r="W248" i="26"/>
  <c r="Y248" i="26"/>
  <c r="V248" i="26"/>
  <c r="X248" i="26"/>
  <c r="G192" i="26"/>
  <c r="H193" i="26" s="1"/>
  <c r="G193" i="26" s="1"/>
  <c r="T281" i="16"/>
  <c r="AY280" i="16"/>
  <c r="AZ280" i="16" s="1"/>
  <c r="BA280" i="16" s="1"/>
  <c r="AP280" i="16"/>
  <c r="AK280" i="16"/>
  <c r="AA280" i="16"/>
  <c r="AF280" i="16"/>
  <c r="AU280" i="16"/>
  <c r="V280" i="16"/>
  <c r="X147" i="35" l="1"/>
  <c r="W147" i="35"/>
  <c r="V147" i="35"/>
  <c r="Y147" i="35"/>
  <c r="U148" i="35"/>
  <c r="L147" i="35"/>
  <c r="K147" i="35"/>
  <c r="J147" i="35"/>
  <c r="I147" i="35"/>
  <c r="H148" i="35"/>
  <c r="T144" i="34"/>
  <c r="K147" i="34"/>
  <c r="J147" i="34"/>
  <c r="L147" i="34"/>
  <c r="I147" i="34"/>
  <c r="H148" i="34"/>
  <c r="X144" i="31"/>
  <c r="W144" i="31"/>
  <c r="Y144" i="31"/>
  <c r="V144" i="31"/>
  <c r="G148" i="31"/>
  <c r="H149" i="31" s="1"/>
  <c r="BB281" i="16"/>
  <c r="BC280" i="16"/>
  <c r="BD280" i="16"/>
  <c r="AQ281" i="16"/>
  <c r="AR280" i="16"/>
  <c r="AS280" i="16"/>
  <c r="AM280" i="16"/>
  <c r="AN280" i="16" s="1"/>
  <c r="AL281" i="16"/>
  <c r="AH280" i="16"/>
  <c r="AI280" i="16" s="1"/>
  <c r="AG281" i="16"/>
  <c r="X280" i="16"/>
  <c r="Y280" i="16" s="1"/>
  <c r="W281" i="16"/>
  <c r="AC280" i="16"/>
  <c r="AD280" i="16" s="1"/>
  <c r="AB281" i="16"/>
  <c r="AV282" i="16"/>
  <c r="AW281" i="16"/>
  <c r="AX281" i="16" s="1"/>
  <c r="T250" i="26"/>
  <c r="U251" i="26" s="1"/>
  <c r="W249" i="26"/>
  <c r="V249" i="26"/>
  <c r="Y249" i="26"/>
  <c r="X249" i="26"/>
  <c r="H194" i="26"/>
  <c r="G194" i="26" s="1"/>
  <c r="L193" i="26"/>
  <c r="K193" i="26"/>
  <c r="J193" i="26"/>
  <c r="I193" i="26"/>
  <c r="L192" i="26"/>
  <c r="K192" i="26"/>
  <c r="J192" i="26"/>
  <c r="I192" i="26"/>
  <c r="T282" i="16"/>
  <c r="AP281" i="16"/>
  <c r="AY281" i="16"/>
  <c r="AZ281" i="16" s="1"/>
  <c r="BA281" i="16" s="1"/>
  <c r="AK281" i="16"/>
  <c r="AF281" i="16"/>
  <c r="AA281" i="16"/>
  <c r="AU281" i="16"/>
  <c r="V281" i="16"/>
  <c r="G148" i="35" l="1"/>
  <c r="T148" i="35"/>
  <c r="G148" i="34"/>
  <c r="Y144" i="34"/>
  <c r="W144" i="34"/>
  <c r="V144" i="34"/>
  <c r="X144" i="34"/>
  <c r="U145" i="34"/>
  <c r="K148" i="31"/>
  <c r="J148" i="31"/>
  <c r="I148" i="31"/>
  <c r="L148" i="31"/>
  <c r="T145" i="31"/>
  <c r="U146" i="31" s="1"/>
  <c r="BB282" i="16"/>
  <c r="BC281" i="16"/>
  <c r="BD281" i="16" s="1"/>
  <c r="AQ282" i="16"/>
  <c r="AR281" i="16"/>
  <c r="AS281" i="16" s="1"/>
  <c r="AM281" i="16"/>
  <c r="AN281" i="16" s="1"/>
  <c r="AL282" i="16"/>
  <c r="X281" i="16"/>
  <c r="Y281" i="16" s="1"/>
  <c r="W282" i="16"/>
  <c r="AG282" i="16"/>
  <c r="AH281" i="16"/>
  <c r="AI281" i="16" s="1"/>
  <c r="AC281" i="16"/>
  <c r="AD281" i="16" s="1"/>
  <c r="AB282" i="16"/>
  <c r="AV283" i="16"/>
  <c r="AW282" i="16"/>
  <c r="AX282" i="16" s="1"/>
  <c r="T251" i="26"/>
  <c r="U252" i="26" s="1"/>
  <c r="V250" i="26"/>
  <c r="W250" i="26"/>
  <c r="Y250" i="26"/>
  <c r="X250" i="26"/>
  <c r="H195" i="26"/>
  <c r="L194" i="26"/>
  <c r="K194" i="26"/>
  <c r="J194" i="26"/>
  <c r="I194" i="26"/>
  <c r="T283" i="16"/>
  <c r="AY282" i="16"/>
  <c r="AZ282" i="16" s="1"/>
  <c r="BA282" i="16" s="1"/>
  <c r="AP282" i="16"/>
  <c r="AA282" i="16"/>
  <c r="AK282" i="16"/>
  <c r="AF282" i="16"/>
  <c r="V282" i="16"/>
  <c r="AU282" i="16"/>
  <c r="Y148" i="35" l="1"/>
  <c r="X148" i="35"/>
  <c r="W148" i="35"/>
  <c r="V148" i="35"/>
  <c r="U149" i="35"/>
  <c r="L148" i="35"/>
  <c r="K148" i="35"/>
  <c r="J148" i="35"/>
  <c r="I148" i="35"/>
  <c r="H149" i="35"/>
  <c r="T145" i="34"/>
  <c r="K148" i="34"/>
  <c r="J148" i="34"/>
  <c r="I148" i="34"/>
  <c r="L148" i="34"/>
  <c r="H149" i="34"/>
  <c r="X145" i="31"/>
  <c r="W145" i="31"/>
  <c r="Y145" i="31"/>
  <c r="V145" i="31"/>
  <c r="G149" i="31"/>
  <c r="H150" i="31" s="1"/>
  <c r="BB283" i="16"/>
  <c r="BC282" i="16"/>
  <c r="BD282" i="16" s="1"/>
  <c r="AQ283" i="16"/>
  <c r="AR282" i="16"/>
  <c r="AS282" i="16" s="1"/>
  <c r="AM282" i="16"/>
  <c r="AN282" i="16" s="1"/>
  <c r="AL283" i="16"/>
  <c r="AH282" i="16"/>
  <c r="AI282" i="16" s="1"/>
  <c r="AG283" i="16"/>
  <c r="X282" i="16"/>
  <c r="Y282" i="16" s="1"/>
  <c r="W283" i="16"/>
  <c r="AC282" i="16"/>
  <c r="AD282" i="16" s="1"/>
  <c r="AB283" i="16"/>
  <c r="AV284" i="16"/>
  <c r="AW283" i="16"/>
  <c r="AX283" i="16" s="1"/>
  <c r="T252" i="26"/>
  <c r="U253" i="26" s="1"/>
  <c r="X251" i="26"/>
  <c r="W251" i="26"/>
  <c r="V251" i="26"/>
  <c r="Y251" i="26"/>
  <c r="G195" i="26"/>
  <c r="H196" i="26" s="1"/>
  <c r="G196" i="26" s="1"/>
  <c r="T284" i="16"/>
  <c r="AY283" i="16"/>
  <c r="AZ283" i="16" s="1"/>
  <c r="BA283" i="16" s="1"/>
  <c r="AP283" i="16"/>
  <c r="AF283" i="16"/>
  <c r="AK283" i="16"/>
  <c r="AA283" i="16"/>
  <c r="AU283" i="16"/>
  <c r="V283" i="16"/>
  <c r="G149" i="35" l="1"/>
  <c r="T149" i="35"/>
  <c r="G149" i="34"/>
  <c r="Y145" i="34"/>
  <c r="X145" i="34"/>
  <c r="W145" i="34"/>
  <c r="V145" i="34"/>
  <c r="U146" i="34"/>
  <c r="K149" i="31"/>
  <c r="L149" i="31"/>
  <c r="J149" i="31"/>
  <c r="I149" i="31"/>
  <c r="T146" i="31"/>
  <c r="U147" i="31" s="1"/>
  <c r="BB284" i="16"/>
  <c r="BC283" i="16"/>
  <c r="BD283" i="16" s="1"/>
  <c r="AQ284" i="16"/>
  <c r="AR283" i="16"/>
  <c r="AS283" i="16" s="1"/>
  <c r="AM283" i="16"/>
  <c r="AN283" i="16" s="1"/>
  <c r="AL284" i="16"/>
  <c r="W284" i="16"/>
  <c r="X283" i="16"/>
  <c r="Y283" i="16" s="1"/>
  <c r="AC283" i="16"/>
  <c r="AD283" i="16" s="1"/>
  <c r="AB284" i="16"/>
  <c r="AG284" i="16"/>
  <c r="AH283" i="16"/>
  <c r="AI283" i="16" s="1"/>
  <c r="AV285" i="16"/>
  <c r="AW284" i="16"/>
  <c r="AX284" i="16" s="1"/>
  <c r="T253" i="26"/>
  <c r="U254" i="26" s="1"/>
  <c r="W252" i="26"/>
  <c r="V252" i="26"/>
  <c r="Y252" i="26"/>
  <c r="X252" i="26"/>
  <c r="H197" i="26"/>
  <c r="G197" i="26" s="1"/>
  <c r="K196" i="26"/>
  <c r="J196" i="26"/>
  <c r="L196" i="26"/>
  <c r="I196" i="26"/>
  <c r="L195" i="26"/>
  <c r="K195" i="26"/>
  <c r="J195" i="26"/>
  <c r="I195" i="26"/>
  <c r="T285" i="16"/>
  <c r="AY284" i="16"/>
  <c r="AZ284" i="16" s="1"/>
  <c r="BA284" i="16" s="1"/>
  <c r="AP284" i="16"/>
  <c r="AK284" i="16"/>
  <c r="AF284" i="16"/>
  <c r="AA284" i="16"/>
  <c r="V284" i="16"/>
  <c r="AU284" i="16"/>
  <c r="Y149" i="35" l="1"/>
  <c r="X149" i="35"/>
  <c r="W149" i="35"/>
  <c r="V149" i="35"/>
  <c r="U150" i="35"/>
  <c r="L149" i="35"/>
  <c r="K149" i="35"/>
  <c r="J149" i="35"/>
  <c r="I149" i="35"/>
  <c r="H150" i="35"/>
  <c r="T146" i="34"/>
  <c r="K149" i="34"/>
  <c r="J149" i="34"/>
  <c r="L149" i="34"/>
  <c r="I149" i="34"/>
  <c r="H150" i="34"/>
  <c r="X146" i="31"/>
  <c r="W146" i="31"/>
  <c r="Y146" i="31"/>
  <c r="V146" i="31"/>
  <c r="G150" i="31"/>
  <c r="H151" i="31" s="1"/>
  <c r="BB285" i="16"/>
  <c r="BC284" i="16"/>
  <c r="BD284" i="16"/>
  <c r="AQ285" i="16"/>
  <c r="AR284" i="16"/>
  <c r="AS284" i="16"/>
  <c r="AL285" i="16"/>
  <c r="AM284" i="16"/>
  <c r="AN284" i="16" s="1"/>
  <c r="W285" i="16"/>
  <c r="X284" i="16"/>
  <c r="Y284" i="16" s="1"/>
  <c r="AC284" i="16"/>
  <c r="AD284" i="16" s="1"/>
  <c r="AB285" i="16"/>
  <c r="AG285" i="16"/>
  <c r="AH284" i="16"/>
  <c r="AI284" i="16" s="1"/>
  <c r="AW285" i="16"/>
  <c r="AX285" i="16" s="1"/>
  <c r="AV286" i="16"/>
  <c r="T254" i="26"/>
  <c r="U255" i="26" s="1"/>
  <c r="X253" i="26"/>
  <c r="V253" i="26"/>
  <c r="Y253" i="26"/>
  <c r="W253" i="26"/>
  <c r="H198" i="26"/>
  <c r="G198" i="26" s="1"/>
  <c r="K197" i="26"/>
  <c r="J197" i="26"/>
  <c r="I197" i="26"/>
  <c r="L197" i="26"/>
  <c r="T286" i="16"/>
  <c r="AY285" i="16"/>
  <c r="AZ285" i="16" s="1"/>
  <c r="BA285" i="16" s="1"/>
  <c r="AF285" i="16"/>
  <c r="AP285" i="16"/>
  <c r="AK285" i="16"/>
  <c r="AA285" i="16"/>
  <c r="V285" i="16"/>
  <c r="AU285" i="16"/>
  <c r="G150" i="35" l="1"/>
  <c r="T150" i="35"/>
  <c r="G150" i="34"/>
  <c r="Y146" i="34"/>
  <c r="V146" i="34"/>
  <c r="X146" i="34"/>
  <c r="W146" i="34"/>
  <c r="U147" i="34"/>
  <c r="K150" i="31"/>
  <c r="L150" i="31"/>
  <c r="J150" i="31"/>
  <c r="I150" i="31"/>
  <c r="T147" i="31"/>
  <c r="U148" i="31" s="1"/>
  <c r="BB286" i="16"/>
  <c r="BC285" i="16"/>
  <c r="BD285" i="16" s="1"/>
  <c r="AQ286" i="16"/>
  <c r="AR285" i="16"/>
  <c r="AS285" i="16" s="1"/>
  <c r="AM285" i="16"/>
  <c r="AN285" i="16" s="1"/>
  <c r="AL286" i="16"/>
  <c r="X285" i="16"/>
  <c r="Y285" i="16" s="1"/>
  <c r="W286" i="16"/>
  <c r="AC285" i="16"/>
  <c r="AD285" i="16" s="1"/>
  <c r="AB286" i="16"/>
  <c r="AH285" i="16"/>
  <c r="AI285" i="16" s="1"/>
  <c r="AG286" i="16"/>
  <c r="AW286" i="16"/>
  <c r="AX286" i="16" s="1"/>
  <c r="AV287" i="16"/>
  <c r="T255" i="26"/>
  <c r="U256" i="26" s="1"/>
  <c r="V254" i="26"/>
  <c r="W254" i="26"/>
  <c r="X254" i="26"/>
  <c r="Y254" i="26"/>
  <c r="H199" i="26"/>
  <c r="G199" i="26" s="1"/>
  <c r="J198" i="26"/>
  <c r="K198" i="26"/>
  <c r="L198" i="26"/>
  <c r="I198" i="26"/>
  <c r="T287" i="16"/>
  <c r="AP286" i="16"/>
  <c r="AK286" i="16"/>
  <c r="AY286" i="16"/>
  <c r="AZ286" i="16" s="1"/>
  <c r="BA286" i="16" s="1"/>
  <c r="AF286" i="16"/>
  <c r="V286" i="16"/>
  <c r="AA286" i="16"/>
  <c r="AU286" i="16"/>
  <c r="Y150" i="35" l="1"/>
  <c r="X150" i="35"/>
  <c r="W150" i="35"/>
  <c r="V150" i="35"/>
  <c r="U151" i="35"/>
  <c r="L150" i="35"/>
  <c r="K150" i="35"/>
  <c r="J150" i="35"/>
  <c r="I150" i="35"/>
  <c r="H151" i="35"/>
  <c r="T147" i="34"/>
  <c r="K150" i="34"/>
  <c r="J150" i="34"/>
  <c r="L150" i="34"/>
  <c r="I150" i="34"/>
  <c r="H151" i="34"/>
  <c r="X147" i="31"/>
  <c r="W147" i="31"/>
  <c r="Y147" i="31"/>
  <c r="V147" i="31"/>
  <c r="G151" i="31"/>
  <c r="H152" i="31" s="1"/>
  <c r="BB287" i="16"/>
  <c r="BC286" i="16"/>
  <c r="BD286" i="16" s="1"/>
  <c r="AQ287" i="16"/>
  <c r="AR286" i="16"/>
  <c r="AS286" i="16" s="1"/>
  <c r="AM286" i="16"/>
  <c r="AN286" i="16" s="1"/>
  <c r="AL287" i="16"/>
  <c r="AC286" i="16"/>
  <c r="AD286" i="16" s="1"/>
  <c r="AB287" i="16"/>
  <c r="X286" i="16"/>
  <c r="Y286" i="16" s="1"/>
  <c r="W287" i="16"/>
  <c r="AG287" i="16"/>
  <c r="AH286" i="16"/>
  <c r="AI286" i="16" s="1"/>
  <c r="AV288" i="16"/>
  <c r="AW287" i="16"/>
  <c r="AX287" i="16" s="1"/>
  <c r="T256" i="26"/>
  <c r="U257" i="26" s="1"/>
  <c r="W255" i="26"/>
  <c r="V255" i="26"/>
  <c r="Y255" i="26"/>
  <c r="X255" i="26"/>
  <c r="H200" i="26"/>
  <c r="G200" i="26" s="1"/>
  <c r="L199" i="26"/>
  <c r="J199" i="26"/>
  <c r="K199" i="26"/>
  <c r="I199" i="26"/>
  <c r="T288" i="16"/>
  <c r="AY287" i="16"/>
  <c r="AZ287" i="16" s="1"/>
  <c r="BA287" i="16" s="1"/>
  <c r="AF287" i="16"/>
  <c r="AP287" i="16"/>
  <c r="AK287" i="16"/>
  <c r="AA287" i="16"/>
  <c r="AU287" i="16"/>
  <c r="V287" i="16"/>
  <c r="T151" i="35" l="1"/>
  <c r="G151" i="35"/>
  <c r="H152" i="35" s="1"/>
  <c r="G151" i="34"/>
  <c r="Y147" i="34"/>
  <c r="W147" i="34"/>
  <c r="V147" i="34"/>
  <c r="X147" i="34"/>
  <c r="U148" i="34"/>
  <c r="K151" i="31"/>
  <c r="J151" i="31"/>
  <c r="I151" i="31"/>
  <c r="L151" i="31"/>
  <c r="T148" i="31"/>
  <c r="U149" i="31" s="1"/>
  <c r="BB288" i="16"/>
  <c r="BC287" i="16"/>
  <c r="BD287" i="16" s="1"/>
  <c r="AQ288" i="16"/>
  <c r="AR287" i="16"/>
  <c r="AS287" i="16"/>
  <c r="AM287" i="16"/>
  <c r="AN287" i="16" s="1"/>
  <c r="AL288" i="16"/>
  <c r="AG288" i="16"/>
  <c r="AH287" i="16"/>
  <c r="AI287" i="16" s="1"/>
  <c r="AC287" i="16"/>
  <c r="AD287" i="16" s="1"/>
  <c r="AB288" i="16"/>
  <c r="X287" i="16"/>
  <c r="Y287" i="16" s="1"/>
  <c r="W288" i="16"/>
  <c r="AW288" i="16"/>
  <c r="AX288" i="16" s="1"/>
  <c r="AV289" i="16"/>
  <c r="T257" i="26"/>
  <c r="U258" i="26" s="1"/>
  <c r="W256" i="26"/>
  <c r="V256" i="26"/>
  <c r="Y256" i="26"/>
  <c r="X256" i="26"/>
  <c r="H201" i="26"/>
  <c r="G201" i="26" s="1"/>
  <c r="L200" i="26"/>
  <c r="K200" i="26"/>
  <c r="J200" i="26"/>
  <c r="I200" i="26"/>
  <c r="T289" i="16"/>
  <c r="AY288" i="16"/>
  <c r="AZ288" i="16" s="1"/>
  <c r="BA288" i="16" s="1"/>
  <c r="AP288" i="16"/>
  <c r="AF288" i="16"/>
  <c r="AK288" i="16"/>
  <c r="AA288" i="16"/>
  <c r="V288" i="16"/>
  <c r="AU288" i="16"/>
  <c r="L151" i="35" l="1"/>
  <c r="K151" i="35"/>
  <c r="J151" i="35"/>
  <c r="I151" i="35"/>
  <c r="G152" i="35"/>
  <c r="Y151" i="35"/>
  <c r="X151" i="35"/>
  <c r="W151" i="35"/>
  <c r="V151" i="35"/>
  <c r="U152" i="35"/>
  <c r="T148" i="34"/>
  <c r="K151" i="34"/>
  <c r="J151" i="34"/>
  <c r="I151" i="34"/>
  <c r="L151" i="34"/>
  <c r="H152" i="34"/>
  <c r="X148" i="31"/>
  <c r="W148" i="31"/>
  <c r="Y148" i="31"/>
  <c r="V148" i="31"/>
  <c r="G152" i="31"/>
  <c r="H153" i="31" s="1"/>
  <c r="BB289" i="16"/>
  <c r="BC288" i="16"/>
  <c r="BD288" i="16" s="1"/>
  <c r="AQ289" i="16"/>
  <c r="AR288" i="16"/>
  <c r="AS288" i="16"/>
  <c r="AM288" i="16"/>
  <c r="AN288" i="16" s="1"/>
  <c r="AL289" i="16"/>
  <c r="W289" i="16"/>
  <c r="X288" i="16"/>
  <c r="Y288" i="16" s="1"/>
  <c r="AG289" i="16"/>
  <c r="AH288" i="16"/>
  <c r="AI288" i="16" s="1"/>
  <c r="AC288" i="16"/>
  <c r="AD288" i="16" s="1"/>
  <c r="AB289" i="16"/>
  <c r="AW289" i="16"/>
  <c r="AX289" i="16" s="1"/>
  <c r="AV290" i="16"/>
  <c r="T258" i="26"/>
  <c r="U259" i="26" s="1"/>
  <c r="X257" i="26"/>
  <c r="W257" i="26"/>
  <c r="V257" i="26"/>
  <c r="Y257" i="26"/>
  <c r="H202" i="26"/>
  <c r="G202" i="26" s="1"/>
  <c r="L201" i="26"/>
  <c r="K201" i="26"/>
  <c r="I201" i="26"/>
  <c r="J201" i="26"/>
  <c r="T290" i="16"/>
  <c r="AY289" i="16"/>
  <c r="AZ289" i="16" s="1"/>
  <c r="BA289" i="16" s="1"/>
  <c r="AP289" i="16"/>
  <c r="AK289" i="16"/>
  <c r="AF289" i="16"/>
  <c r="AA289" i="16"/>
  <c r="V289" i="16"/>
  <c r="AU289" i="16"/>
  <c r="T152" i="35" l="1"/>
  <c r="I152" i="35"/>
  <c r="L152" i="35"/>
  <c r="K152" i="35"/>
  <c r="J152" i="35"/>
  <c r="H153" i="35"/>
  <c r="G152" i="34"/>
  <c r="Y148" i="34"/>
  <c r="X148" i="34"/>
  <c r="W148" i="34"/>
  <c r="V148" i="34"/>
  <c r="U149" i="34"/>
  <c r="K152" i="31"/>
  <c r="J152" i="31"/>
  <c r="L152" i="31"/>
  <c r="I152" i="31"/>
  <c r="T149" i="31"/>
  <c r="U150" i="31" s="1"/>
  <c r="BB290" i="16"/>
  <c r="BC289" i="16"/>
  <c r="BD289" i="16"/>
  <c r="AQ290" i="16"/>
  <c r="AR289" i="16"/>
  <c r="AS289" i="16"/>
  <c r="AM289" i="16"/>
  <c r="AN289" i="16" s="1"/>
  <c r="AL290" i="16"/>
  <c r="X289" i="16"/>
  <c r="Y289" i="16" s="1"/>
  <c r="W290" i="16"/>
  <c r="AC289" i="16"/>
  <c r="AB290" i="16"/>
  <c r="AD289" i="16"/>
  <c r="AH289" i="16"/>
  <c r="AI289" i="16" s="1"/>
  <c r="AG290" i="16"/>
  <c r="AV291" i="16"/>
  <c r="AW290" i="16"/>
  <c r="AX290" i="16" s="1"/>
  <c r="T259" i="26"/>
  <c r="U260" i="26" s="1"/>
  <c r="W258" i="26"/>
  <c r="V258" i="26"/>
  <c r="Y258" i="26"/>
  <c r="X258" i="26"/>
  <c r="H203" i="26"/>
  <c r="G203" i="26" s="1"/>
  <c r="L202" i="26"/>
  <c r="K202" i="26"/>
  <c r="I202" i="26"/>
  <c r="J202" i="26"/>
  <c r="T291" i="16"/>
  <c r="AY290" i="16"/>
  <c r="AZ290" i="16" s="1"/>
  <c r="BA290" i="16" s="1"/>
  <c r="AP290" i="16"/>
  <c r="AF290" i="16"/>
  <c r="AA290" i="16"/>
  <c r="AK290" i="16"/>
  <c r="V290" i="16"/>
  <c r="AU290" i="16"/>
  <c r="G153" i="35" l="1"/>
  <c r="Y152" i="35"/>
  <c r="X152" i="35"/>
  <c r="W152" i="35"/>
  <c r="V152" i="35"/>
  <c r="U153" i="35"/>
  <c r="T149" i="34"/>
  <c r="K152" i="34"/>
  <c r="J152" i="34"/>
  <c r="L152" i="34"/>
  <c r="I152" i="34"/>
  <c r="H153" i="34"/>
  <c r="X149" i="31"/>
  <c r="W149" i="31"/>
  <c r="Y149" i="31"/>
  <c r="V149" i="31"/>
  <c r="G153" i="31"/>
  <c r="H154" i="31" s="1"/>
  <c r="BB291" i="16"/>
  <c r="BC290" i="16"/>
  <c r="BD290" i="16"/>
  <c r="AQ291" i="16"/>
  <c r="AR290" i="16"/>
  <c r="AS290" i="16"/>
  <c r="AM290" i="16"/>
  <c r="AN290" i="16" s="1"/>
  <c r="AL291" i="16"/>
  <c r="AG291" i="16"/>
  <c r="AH290" i="16"/>
  <c r="AI290" i="16" s="1"/>
  <c r="X290" i="16"/>
  <c r="Y290" i="16" s="1"/>
  <c r="W291" i="16"/>
  <c r="AB291" i="16"/>
  <c r="AC290" i="16"/>
  <c r="AD290" i="16" s="1"/>
  <c r="AW291" i="16"/>
  <c r="AX291" i="16" s="1"/>
  <c r="AV292" i="16"/>
  <c r="T260" i="26"/>
  <c r="U261" i="26" s="1"/>
  <c r="V259" i="26"/>
  <c r="W259" i="26"/>
  <c r="X259" i="26"/>
  <c r="Y259" i="26"/>
  <c r="H204" i="26"/>
  <c r="L203" i="26"/>
  <c r="K203" i="26"/>
  <c r="J203" i="26"/>
  <c r="I203" i="26"/>
  <c r="T292" i="16"/>
  <c r="AP291" i="16"/>
  <c r="AY291" i="16"/>
  <c r="AZ291" i="16" s="1"/>
  <c r="BA291" i="16" s="1"/>
  <c r="AK291" i="16"/>
  <c r="AA291" i="16"/>
  <c r="AF291" i="16"/>
  <c r="AU291" i="16"/>
  <c r="V291" i="16"/>
  <c r="T153" i="35" l="1"/>
  <c r="J153" i="35"/>
  <c r="I153" i="35"/>
  <c r="K153" i="35"/>
  <c r="L153" i="35"/>
  <c r="H154" i="35"/>
  <c r="G153" i="34"/>
  <c r="Y149" i="34"/>
  <c r="V149" i="34"/>
  <c r="X149" i="34"/>
  <c r="W149" i="34"/>
  <c r="U150" i="34"/>
  <c r="I153" i="31"/>
  <c r="L153" i="31"/>
  <c r="K153" i="31"/>
  <c r="J153" i="31"/>
  <c r="T150" i="31"/>
  <c r="U151" i="31" s="1"/>
  <c r="BB292" i="16"/>
  <c r="BC291" i="16"/>
  <c r="BD291" i="16" s="1"/>
  <c r="AQ292" i="16"/>
  <c r="AR291" i="16"/>
  <c r="AS291" i="16"/>
  <c r="AM291" i="16"/>
  <c r="AL292" i="16"/>
  <c r="AN291" i="16"/>
  <c r="AC291" i="16"/>
  <c r="AB292" i="16"/>
  <c r="AG292" i="16"/>
  <c r="AH291" i="16"/>
  <c r="AI291" i="16" s="1"/>
  <c r="AD291" i="16"/>
  <c r="W292" i="16"/>
  <c r="X291" i="16"/>
  <c r="Y291" i="16" s="1"/>
  <c r="AW292" i="16"/>
  <c r="AX292" i="16" s="1"/>
  <c r="AV293" i="16"/>
  <c r="T261" i="26"/>
  <c r="U262" i="26" s="1"/>
  <c r="X260" i="26"/>
  <c r="W260" i="26"/>
  <c r="Y260" i="26"/>
  <c r="V260" i="26"/>
  <c r="G204" i="26"/>
  <c r="H205" i="26" s="1"/>
  <c r="G205" i="26" s="1"/>
  <c r="T293" i="16"/>
  <c r="AP292" i="16"/>
  <c r="AY292" i="16"/>
  <c r="AZ292" i="16" s="1"/>
  <c r="BA292" i="16" s="1"/>
  <c r="AK292" i="16"/>
  <c r="AA292" i="16"/>
  <c r="AF292" i="16"/>
  <c r="AU292" i="16"/>
  <c r="V292" i="16"/>
  <c r="G154" i="35" l="1"/>
  <c r="Y153" i="35"/>
  <c r="X153" i="35"/>
  <c r="W153" i="35"/>
  <c r="V153" i="35"/>
  <c r="U154" i="35"/>
  <c r="T150" i="34"/>
  <c r="K153" i="34"/>
  <c r="J153" i="34"/>
  <c r="L153" i="34"/>
  <c r="I153" i="34"/>
  <c r="H154" i="34"/>
  <c r="X150" i="31"/>
  <c r="W150" i="31"/>
  <c r="Y150" i="31"/>
  <c r="V150" i="31"/>
  <c r="G154" i="31"/>
  <c r="H155" i="31" s="1"/>
  <c r="BB293" i="16"/>
  <c r="BC292" i="16"/>
  <c r="BD292" i="16"/>
  <c r="AR292" i="16"/>
  <c r="AS292" i="16" s="1"/>
  <c r="AQ293" i="16"/>
  <c r="AM292" i="16"/>
  <c r="AL293" i="16"/>
  <c r="AN292" i="16"/>
  <c r="AH292" i="16"/>
  <c r="AG293" i="16"/>
  <c r="AI292" i="16"/>
  <c r="AC292" i="16"/>
  <c r="AD292" i="16" s="1"/>
  <c r="AB293" i="16"/>
  <c r="X292" i="16"/>
  <c r="Y292" i="16" s="1"/>
  <c r="W293" i="16"/>
  <c r="AV294" i="16"/>
  <c r="AW293" i="16"/>
  <c r="AX293" i="16" s="1"/>
  <c r="T262" i="26"/>
  <c r="U263" i="26" s="1"/>
  <c r="W261" i="26"/>
  <c r="V261" i="26"/>
  <c r="Y261" i="26"/>
  <c r="X261" i="26"/>
  <c r="H206" i="26"/>
  <c r="L205" i="26"/>
  <c r="K205" i="26"/>
  <c r="J205" i="26"/>
  <c r="I205" i="26"/>
  <c r="L204" i="26"/>
  <c r="K204" i="26"/>
  <c r="J204" i="26"/>
  <c r="I204" i="26"/>
  <c r="T294" i="16"/>
  <c r="AP293" i="16"/>
  <c r="AY293" i="16"/>
  <c r="AZ293" i="16" s="1"/>
  <c r="BA293" i="16" s="1"/>
  <c r="AK293" i="16"/>
  <c r="AA293" i="16"/>
  <c r="AF293" i="16"/>
  <c r="AU293" i="16"/>
  <c r="V293" i="16"/>
  <c r="T154" i="35" l="1"/>
  <c r="K154" i="35"/>
  <c r="J154" i="35"/>
  <c r="I154" i="35"/>
  <c r="L154" i="35"/>
  <c r="H155" i="35"/>
  <c r="G154" i="34"/>
  <c r="Y150" i="34"/>
  <c r="W150" i="34"/>
  <c r="V150" i="34"/>
  <c r="X150" i="34"/>
  <c r="U151" i="34"/>
  <c r="J154" i="31"/>
  <c r="I154" i="31"/>
  <c r="L154" i="31"/>
  <c r="K154" i="31"/>
  <c r="T151" i="31"/>
  <c r="U152" i="31" s="1"/>
  <c r="BB294" i="16"/>
  <c r="BC293" i="16"/>
  <c r="BD293" i="16"/>
  <c r="AQ294" i="16"/>
  <c r="AR293" i="16"/>
  <c r="AS293" i="16" s="1"/>
  <c r="AM293" i="16"/>
  <c r="AL294" i="16"/>
  <c r="AN293" i="16"/>
  <c r="W294" i="16"/>
  <c r="X293" i="16"/>
  <c r="Y293" i="16" s="1"/>
  <c r="AH293" i="16"/>
  <c r="AI293" i="16" s="1"/>
  <c r="AG294" i="16"/>
  <c r="AC293" i="16"/>
  <c r="AD293" i="16" s="1"/>
  <c r="AB294" i="16"/>
  <c r="AV295" i="16"/>
  <c r="AW294" i="16"/>
  <c r="AX294" i="16" s="1"/>
  <c r="T263" i="26"/>
  <c r="U264" i="26" s="1"/>
  <c r="V262" i="26"/>
  <c r="W262" i="26"/>
  <c r="Y262" i="26"/>
  <c r="X262" i="26"/>
  <c r="G206" i="26"/>
  <c r="T295" i="16"/>
  <c r="AY294" i="16"/>
  <c r="AZ294" i="16" s="1"/>
  <c r="BA294" i="16" s="1"/>
  <c r="AP294" i="16"/>
  <c r="AK294" i="16"/>
  <c r="AA294" i="16"/>
  <c r="V294" i="16"/>
  <c r="AF294" i="16"/>
  <c r="AU294" i="16"/>
  <c r="G155" i="35" l="1"/>
  <c r="Y154" i="35"/>
  <c r="X154" i="35"/>
  <c r="W154" i="35"/>
  <c r="V154" i="35"/>
  <c r="U155" i="35"/>
  <c r="T151" i="34"/>
  <c r="K154" i="34"/>
  <c r="J154" i="34"/>
  <c r="I154" i="34"/>
  <c r="L154" i="34"/>
  <c r="H155" i="34"/>
  <c r="X151" i="31"/>
  <c r="W151" i="31"/>
  <c r="V151" i="31"/>
  <c r="Y151" i="31"/>
  <c r="G155" i="31"/>
  <c r="H156" i="31" s="1"/>
  <c r="BB295" i="16"/>
  <c r="BC294" i="16"/>
  <c r="BD294" i="16" s="1"/>
  <c r="AQ295" i="16"/>
  <c r="AR294" i="16"/>
  <c r="AS294" i="16" s="1"/>
  <c r="AM294" i="16"/>
  <c r="AN294" i="16" s="1"/>
  <c r="AL295" i="16"/>
  <c r="X294" i="16"/>
  <c r="W295" i="16"/>
  <c r="AC294" i="16"/>
  <c r="AB295" i="16"/>
  <c r="AH294" i="16"/>
  <c r="AI294" i="16" s="1"/>
  <c r="AG295" i="16"/>
  <c r="AD294" i="16"/>
  <c r="Y294" i="16"/>
  <c r="AV296" i="16"/>
  <c r="AW295" i="16"/>
  <c r="AX295" i="16" s="1"/>
  <c r="T264" i="26"/>
  <c r="U265" i="26" s="1"/>
  <c r="X263" i="26"/>
  <c r="W263" i="26"/>
  <c r="V263" i="26"/>
  <c r="Y263" i="26"/>
  <c r="L206" i="26"/>
  <c r="K206" i="26"/>
  <c r="J206" i="26"/>
  <c r="I206" i="26"/>
  <c r="H207" i="26"/>
  <c r="G207" i="26" s="1"/>
  <c r="T296" i="16"/>
  <c r="AY295" i="16"/>
  <c r="AZ295" i="16" s="1"/>
  <c r="BA295" i="16" s="1"/>
  <c r="AP295" i="16"/>
  <c r="AK295" i="16"/>
  <c r="AF295" i="16"/>
  <c r="AA295" i="16"/>
  <c r="V295" i="16"/>
  <c r="AU295" i="16"/>
  <c r="T155" i="35" l="1"/>
  <c r="L155" i="35"/>
  <c r="K155" i="35"/>
  <c r="J155" i="35"/>
  <c r="I155" i="35"/>
  <c r="H156" i="35"/>
  <c r="G155" i="34"/>
  <c r="Y151" i="34"/>
  <c r="X151" i="34"/>
  <c r="W151" i="34"/>
  <c r="V151" i="34"/>
  <c r="U152" i="34"/>
  <c r="K155" i="31"/>
  <c r="L155" i="31"/>
  <c r="J155" i="31"/>
  <c r="I155" i="31"/>
  <c r="T152" i="31"/>
  <c r="U153" i="31" s="1"/>
  <c r="BB296" i="16"/>
  <c r="BC295" i="16"/>
  <c r="BD295" i="16" s="1"/>
  <c r="AQ296" i="16"/>
  <c r="AR295" i="16"/>
  <c r="AS295" i="16"/>
  <c r="AL296" i="16"/>
  <c r="AM295" i="16"/>
  <c r="AN295" i="16" s="1"/>
  <c r="AG296" i="16"/>
  <c r="AH295" i="16"/>
  <c r="AI295" i="16" s="1"/>
  <c r="AC295" i="16"/>
  <c r="AD295" i="16" s="1"/>
  <c r="AB296" i="16"/>
  <c r="W296" i="16"/>
  <c r="X295" i="16"/>
  <c r="Y295" i="16" s="1"/>
  <c r="AV297" i="16"/>
  <c r="AW296" i="16"/>
  <c r="AX296" i="16" s="1"/>
  <c r="T265" i="26"/>
  <c r="U266" i="26" s="1"/>
  <c r="W264" i="26"/>
  <c r="V264" i="26"/>
  <c r="Y264" i="26"/>
  <c r="X264" i="26"/>
  <c r="H208" i="26"/>
  <c r="G208" i="26" s="1"/>
  <c r="L207" i="26"/>
  <c r="K207" i="26"/>
  <c r="J207" i="26"/>
  <c r="I207" i="26"/>
  <c r="T297" i="16"/>
  <c r="AY296" i="16"/>
  <c r="AZ296" i="16" s="1"/>
  <c r="BA296" i="16" s="1"/>
  <c r="AP296" i="16"/>
  <c r="AK296" i="16"/>
  <c r="AF296" i="16"/>
  <c r="AA296" i="16"/>
  <c r="V296" i="16"/>
  <c r="AU296" i="16"/>
  <c r="G156" i="35" l="1"/>
  <c r="Y155" i="35"/>
  <c r="X155" i="35"/>
  <c r="W155" i="35"/>
  <c r="V155" i="35"/>
  <c r="U156" i="35"/>
  <c r="T152" i="34"/>
  <c r="K155" i="34"/>
  <c r="J155" i="34"/>
  <c r="L155" i="34"/>
  <c r="I155" i="34"/>
  <c r="H156" i="34"/>
  <c r="Y152" i="31"/>
  <c r="X152" i="31"/>
  <c r="V152" i="31"/>
  <c r="W152" i="31"/>
  <c r="G156" i="31"/>
  <c r="H157" i="31" s="1"/>
  <c r="BB297" i="16"/>
  <c r="BC296" i="16"/>
  <c r="BD296" i="16"/>
  <c r="AQ297" i="16"/>
  <c r="AR296" i="16"/>
  <c r="AS296" i="16"/>
  <c r="AL297" i="16"/>
  <c r="AM296" i="16"/>
  <c r="AN296" i="16" s="1"/>
  <c r="AH296" i="16"/>
  <c r="AG297" i="16"/>
  <c r="AC296" i="16"/>
  <c r="AB297" i="16"/>
  <c r="AD296" i="16"/>
  <c r="AI296" i="16"/>
  <c r="W297" i="16"/>
  <c r="X296" i="16"/>
  <c r="Y296" i="16" s="1"/>
  <c r="AW297" i="16"/>
  <c r="AX297" i="16" s="1"/>
  <c r="AV298" i="16"/>
  <c r="T266" i="26"/>
  <c r="U267" i="26" s="1"/>
  <c r="V265" i="26"/>
  <c r="X265" i="26"/>
  <c r="W265" i="26"/>
  <c r="Y265" i="26"/>
  <c r="H209" i="26"/>
  <c r="G209" i="26" s="1"/>
  <c r="K208" i="26"/>
  <c r="J208" i="26"/>
  <c r="L208" i="26"/>
  <c r="I208" i="26"/>
  <c r="T298" i="16"/>
  <c r="AY297" i="16"/>
  <c r="AZ297" i="16" s="1"/>
  <c r="BA297" i="16" s="1"/>
  <c r="AF297" i="16"/>
  <c r="AK297" i="16"/>
  <c r="AP297" i="16"/>
  <c r="AA297" i="16"/>
  <c r="AU297" i="16"/>
  <c r="V297" i="16"/>
  <c r="T156" i="35" l="1"/>
  <c r="L156" i="35"/>
  <c r="K156" i="35"/>
  <c r="J156" i="35"/>
  <c r="I156" i="35"/>
  <c r="H157" i="35"/>
  <c r="G156" i="34"/>
  <c r="Y152" i="34"/>
  <c r="V152" i="34"/>
  <c r="X152" i="34"/>
  <c r="W152" i="34"/>
  <c r="U153" i="34"/>
  <c r="L156" i="31"/>
  <c r="I156" i="31"/>
  <c r="K156" i="31"/>
  <c r="J156" i="31"/>
  <c r="T153" i="31"/>
  <c r="U154" i="31" s="1"/>
  <c r="BB298" i="16"/>
  <c r="BC297" i="16"/>
  <c r="BD297" i="16"/>
  <c r="AQ298" i="16"/>
  <c r="AR297" i="16"/>
  <c r="AS297" i="16"/>
  <c r="AM297" i="16"/>
  <c r="AL298" i="16"/>
  <c r="AN297" i="16"/>
  <c r="X297" i="16"/>
  <c r="Y297" i="16" s="1"/>
  <c r="W298" i="16"/>
  <c r="AC297" i="16"/>
  <c r="AD297" i="16" s="1"/>
  <c r="AB298" i="16"/>
  <c r="AH297" i="16"/>
  <c r="AI297" i="16" s="1"/>
  <c r="AG298" i="16"/>
  <c r="AW298" i="16"/>
  <c r="AX298" i="16" s="1"/>
  <c r="AV299" i="16"/>
  <c r="T267" i="26"/>
  <c r="U268" i="26" s="1"/>
  <c r="V266" i="26"/>
  <c r="Y266" i="26"/>
  <c r="X266" i="26"/>
  <c r="W266" i="26"/>
  <c r="H210" i="26"/>
  <c r="G210" i="26" s="1"/>
  <c r="K209" i="26"/>
  <c r="J209" i="26"/>
  <c r="L209" i="26"/>
  <c r="I209" i="26"/>
  <c r="T299" i="16"/>
  <c r="AY298" i="16"/>
  <c r="AZ298" i="16" s="1"/>
  <c r="BA298" i="16" s="1"/>
  <c r="AK298" i="16"/>
  <c r="AP298" i="16"/>
  <c r="AA298" i="16"/>
  <c r="AF298" i="16"/>
  <c r="AU298" i="16"/>
  <c r="V298" i="16"/>
  <c r="G157" i="35" l="1"/>
  <c r="Y156" i="35"/>
  <c r="X156" i="35"/>
  <c r="W156" i="35"/>
  <c r="V156" i="35"/>
  <c r="U157" i="35"/>
  <c r="T153" i="34"/>
  <c r="K156" i="34"/>
  <c r="J156" i="34"/>
  <c r="L156" i="34"/>
  <c r="I156" i="34"/>
  <c r="H157" i="34"/>
  <c r="Y153" i="31"/>
  <c r="W153" i="31"/>
  <c r="X153" i="31"/>
  <c r="V153" i="31"/>
  <c r="G157" i="31"/>
  <c r="H158" i="31" s="1"/>
  <c r="BB299" i="16"/>
  <c r="BC298" i="16"/>
  <c r="BD298" i="16"/>
  <c r="AQ299" i="16"/>
  <c r="AR298" i="16"/>
  <c r="AS298" i="16"/>
  <c r="AM298" i="16"/>
  <c r="AN298" i="16" s="1"/>
  <c r="AL299" i="16"/>
  <c r="X298" i="16"/>
  <c r="Y298" i="16" s="1"/>
  <c r="W299" i="16"/>
  <c r="AG299" i="16"/>
  <c r="AH298" i="16"/>
  <c r="AI298" i="16" s="1"/>
  <c r="AB299" i="16"/>
  <c r="AC298" i="16"/>
  <c r="AD298" i="16" s="1"/>
  <c r="AW299" i="16"/>
  <c r="AX299" i="16" s="1"/>
  <c r="AV300" i="16"/>
  <c r="T268" i="26"/>
  <c r="U269" i="26" s="1"/>
  <c r="X267" i="26"/>
  <c r="W267" i="26"/>
  <c r="V267" i="26"/>
  <c r="Y267" i="26"/>
  <c r="H211" i="26"/>
  <c r="G211" i="26" s="1"/>
  <c r="J210" i="26"/>
  <c r="K210" i="26"/>
  <c r="I210" i="26"/>
  <c r="L210" i="26"/>
  <c r="T300" i="16"/>
  <c r="AY299" i="16"/>
  <c r="AZ299" i="16" s="1"/>
  <c r="BA299" i="16" s="1"/>
  <c r="AF299" i="16"/>
  <c r="AK299" i="16"/>
  <c r="AP299" i="16"/>
  <c r="AA299" i="16"/>
  <c r="AU299" i="16"/>
  <c r="V299" i="16"/>
  <c r="T157" i="35" l="1"/>
  <c r="L157" i="35"/>
  <c r="K157" i="35"/>
  <c r="J157" i="35"/>
  <c r="I157" i="35"/>
  <c r="H158" i="35"/>
  <c r="G157" i="34"/>
  <c r="Y153" i="34"/>
  <c r="W153" i="34"/>
  <c r="V153" i="34"/>
  <c r="X153" i="34"/>
  <c r="U154" i="34"/>
  <c r="K157" i="31"/>
  <c r="J157" i="31"/>
  <c r="L157" i="31"/>
  <c r="I157" i="31"/>
  <c r="T154" i="31"/>
  <c r="U155" i="31" s="1"/>
  <c r="BB300" i="16"/>
  <c r="BC299" i="16"/>
  <c r="BD299" i="16" s="1"/>
  <c r="AQ300" i="16"/>
  <c r="AR299" i="16"/>
  <c r="AS299" i="16" s="1"/>
  <c r="AM299" i="16"/>
  <c r="AN299" i="16" s="1"/>
  <c r="AL300" i="16"/>
  <c r="X299" i="16"/>
  <c r="Y299" i="16" s="1"/>
  <c r="W300" i="16"/>
  <c r="AG300" i="16"/>
  <c r="AH299" i="16"/>
  <c r="AI299" i="16" s="1"/>
  <c r="AC299" i="16"/>
  <c r="AD299" i="16" s="1"/>
  <c r="AB300" i="16"/>
  <c r="AW300" i="16"/>
  <c r="AX300" i="16" s="1"/>
  <c r="AV301" i="16"/>
  <c r="T269" i="26"/>
  <c r="U270" i="26" s="1"/>
  <c r="V268" i="26"/>
  <c r="W268" i="26"/>
  <c r="Y268" i="26"/>
  <c r="X268" i="26"/>
  <c r="H212" i="26"/>
  <c r="G212" i="26" s="1"/>
  <c r="L211" i="26"/>
  <c r="J211" i="26"/>
  <c r="K211" i="26"/>
  <c r="I211" i="26"/>
  <c r="T301" i="16"/>
  <c r="AY300" i="16"/>
  <c r="AZ300" i="16" s="1"/>
  <c r="BA300" i="16" s="1"/>
  <c r="AP300" i="16"/>
  <c r="AF300" i="16"/>
  <c r="AK300" i="16"/>
  <c r="AA300" i="16"/>
  <c r="AU300" i="16"/>
  <c r="V300" i="16"/>
  <c r="G158" i="35" l="1"/>
  <c r="V157" i="35"/>
  <c r="Y157" i="35"/>
  <c r="X157" i="35"/>
  <c r="W157" i="35"/>
  <c r="U158" i="35"/>
  <c r="T154" i="34"/>
  <c r="K157" i="34"/>
  <c r="J157" i="34"/>
  <c r="I157" i="34"/>
  <c r="L157" i="34"/>
  <c r="H158" i="34"/>
  <c r="X154" i="31"/>
  <c r="Y154" i="31"/>
  <c r="W154" i="31"/>
  <c r="V154" i="31"/>
  <c r="G158" i="31"/>
  <c r="H159" i="31" s="1"/>
  <c r="BB301" i="16"/>
  <c r="BC300" i="16"/>
  <c r="BD300" i="16"/>
  <c r="AQ301" i="16"/>
  <c r="AR300" i="16"/>
  <c r="AS300" i="16"/>
  <c r="AM300" i="16"/>
  <c r="AL301" i="16"/>
  <c r="AN300" i="16"/>
  <c r="AB301" i="16"/>
  <c r="AC300" i="16"/>
  <c r="AD300" i="16" s="1"/>
  <c r="AG301" i="16"/>
  <c r="AH300" i="16"/>
  <c r="AI300" i="16" s="1"/>
  <c r="X300" i="16"/>
  <c r="Y300" i="16" s="1"/>
  <c r="W301" i="16"/>
  <c r="AW301" i="16"/>
  <c r="AX301" i="16" s="1"/>
  <c r="AV302" i="16"/>
  <c r="T270" i="26"/>
  <c r="U271" i="26" s="1"/>
  <c r="Y269" i="26"/>
  <c r="W269" i="26"/>
  <c r="X269" i="26"/>
  <c r="V269" i="26"/>
  <c r="H213" i="26"/>
  <c r="G213" i="26" s="1"/>
  <c r="L212" i="26"/>
  <c r="J212" i="26"/>
  <c r="I212" i="26"/>
  <c r="K212" i="26"/>
  <c r="T302" i="16"/>
  <c r="AY301" i="16"/>
  <c r="AZ301" i="16" s="1"/>
  <c r="BA301" i="16" s="1"/>
  <c r="AP301" i="16"/>
  <c r="AK301" i="16"/>
  <c r="AF301" i="16"/>
  <c r="AA301" i="16"/>
  <c r="V301" i="16"/>
  <c r="AU301" i="16"/>
  <c r="T158" i="35" l="1"/>
  <c r="L158" i="35"/>
  <c r="K158" i="35"/>
  <c r="J158" i="35"/>
  <c r="I158" i="35"/>
  <c r="H159" i="35"/>
  <c r="G158" i="34"/>
  <c r="Y154" i="34"/>
  <c r="X154" i="34"/>
  <c r="W154" i="34"/>
  <c r="V154" i="34"/>
  <c r="U155" i="34"/>
  <c r="L158" i="31"/>
  <c r="J158" i="31"/>
  <c r="I158" i="31"/>
  <c r="K158" i="31"/>
  <c r="T155" i="31"/>
  <c r="U156" i="31" s="1"/>
  <c r="BB302" i="16"/>
  <c r="BC301" i="16"/>
  <c r="BD301" i="16"/>
  <c r="AQ302" i="16"/>
  <c r="AR301" i="16"/>
  <c r="AS301" i="16" s="1"/>
  <c r="AM301" i="16"/>
  <c r="AN301" i="16" s="1"/>
  <c r="AL302" i="16"/>
  <c r="AC301" i="16"/>
  <c r="AB302" i="16"/>
  <c r="AD301" i="16"/>
  <c r="W302" i="16"/>
  <c r="X301" i="16"/>
  <c r="Y301" i="16" s="1"/>
  <c r="AH301" i="16"/>
  <c r="AI301" i="16" s="1"/>
  <c r="AG302" i="16"/>
  <c r="AV303" i="16"/>
  <c r="AW302" i="16"/>
  <c r="AX302" i="16" s="1"/>
  <c r="T271" i="26"/>
  <c r="U272" i="26" s="1"/>
  <c r="X270" i="26"/>
  <c r="W270" i="26"/>
  <c r="V270" i="26"/>
  <c r="Y270" i="26"/>
  <c r="H214" i="26"/>
  <c r="G214" i="26" s="1"/>
  <c r="L213" i="26"/>
  <c r="K213" i="26"/>
  <c r="J213" i="26"/>
  <c r="I213" i="26"/>
  <c r="T303" i="16"/>
  <c r="AY302" i="16"/>
  <c r="AZ302" i="16" s="1"/>
  <c r="BA302" i="16" s="1"/>
  <c r="AP302" i="16"/>
  <c r="AF302" i="16"/>
  <c r="AA302" i="16"/>
  <c r="AK302" i="16"/>
  <c r="AU302" i="16"/>
  <c r="V302" i="16"/>
  <c r="G159" i="35" l="1"/>
  <c r="W158" i="35"/>
  <c r="V158" i="35"/>
  <c r="Y158" i="35"/>
  <c r="X158" i="35"/>
  <c r="U159" i="35"/>
  <c r="T155" i="34"/>
  <c r="K158" i="34"/>
  <c r="J158" i="34"/>
  <c r="I158" i="34"/>
  <c r="L158" i="34"/>
  <c r="H159" i="34"/>
  <c r="Y155" i="31"/>
  <c r="V155" i="31"/>
  <c r="X155" i="31"/>
  <c r="W155" i="31"/>
  <c r="G159" i="31"/>
  <c r="H160" i="31" s="1"/>
  <c r="BB303" i="16"/>
  <c r="BC302" i="16"/>
  <c r="BD302" i="16"/>
  <c r="AQ303" i="16"/>
  <c r="AR302" i="16"/>
  <c r="AS302" i="16"/>
  <c r="AM302" i="16"/>
  <c r="AN302" i="16" s="1"/>
  <c r="AL303" i="16"/>
  <c r="AG303" i="16"/>
  <c r="AH302" i="16"/>
  <c r="AB303" i="16"/>
  <c r="AC302" i="16"/>
  <c r="AI302" i="16"/>
  <c r="AD302" i="16"/>
  <c r="X302" i="16"/>
  <c r="Y302" i="16" s="1"/>
  <c r="W303" i="16"/>
  <c r="AW303" i="16"/>
  <c r="AX303" i="16" s="1"/>
  <c r="AV304" i="16"/>
  <c r="T272" i="26"/>
  <c r="U273" i="26" s="1"/>
  <c r="V271" i="26"/>
  <c r="W271" i="26"/>
  <c r="Y271" i="26"/>
  <c r="X271" i="26"/>
  <c r="H215" i="26"/>
  <c r="G215" i="26" s="1"/>
  <c r="L214" i="26"/>
  <c r="K214" i="26"/>
  <c r="J214" i="26"/>
  <c r="I214" i="26"/>
  <c r="T304" i="16"/>
  <c r="AP303" i="16"/>
  <c r="AY303" i="16"/>
  <c r="AZ303" i="16" s="1"/>
  <c r="BA303" i="16" s="1"/>
  <c r="AK303" i="16"/>
  <c r="AF303" i="16"/>
  <c r="AA303" i="16"/>
  <c r="AU303" i="16"/>
  <c r="V303" i="16"/>
  <c r="T159" i="35" l="1"/>
  <c r="L159" i="35"/>
  <c r="K159" i="35"/>
  <c r="J159" i="35"/>
  <c r="I159" i="35"/>
  <c r="H160" i="35"/>
  <c r="G159" i="34"/>
  <c r="Y155" i="34"/>
  <c r="V155" i="34"/>
  <c r="X155" i="34"/>
  <c r="W155" i="34"/>
  <c r="U156" i="34"/>
  <c r="L159" i="31"/>
  <c r="K159" i="31"/>
  <c r="I159" i="31"/>
  <c r="J159" i="31"/>
  <c r="T156" i="31"/>
  <c r="U157" i="31" s="1"/>
  <c r="BB304" i="16"/>
  <c r="BC303" i="16"/>
  <c r="BD303" i="16" s="1"/>
  <c r="AQ304" i="16"/>
  <c r="AR303" i="16"/>
  <c r="AS303" i="16" s="1"/>
  <c r="AM303" i="16"/>
  <c r="AN303" i="16" s="1"/>
  <c r="AL304" i="16"/>
  <c r="W304" i="16"/>
  <c r="X303" i="16"/>
  <c r="Y303" i="16" s="1"/>
  <c r="AG304" i="16"/>
  <c r="AH303" i="16"/>
  <c r="AI303" i="16" s="1"/>
  <c r="AC303" i="16"/>
  <c r="AD303" i="16" s="1"/>
  <c r="AB304" i="16"/>
  <c r="AW304" i="16"/>
  <c r="AX304" i="16" s="1"/>
  <c r="AV305" i="16"/>
  <c r="T273" i="26"/>
  <c r="U274" i="26" s="1"/>
  <c r="X272" i="26"/>
  <c r="W272" i="26"/>
  <c r="Y272" i="26"/>
  <c r="V272" i="26"/>
  <c r="H216" i="26"/>
  <c r="L215" i="26"/>
  <c r="K215" i="26"/>
  <c r="J215" i="26"/>
  <c r="I215" i="26"/>
  <c r="T305" i="16"/>
  <c r="AP304" i="16"/>
  <c r="AK304" i="16"/>
  <c r="AY304" i="16"/>
  <c r="AZ304" i="16" s="1"/>
  <c r="BA304" i="16" s="1"/>
  <c r="AA304" i="16"/>
  <c r="AF304" i="16"/>
  <c r="AU304" i="16"/>
  <c r="V304" i="16"/>
  <c r="G160" i="35" l="1"/>
  <c r="X159" i="35"/>
  <c r="W159" i="35"/>
  <c r="V159" i="35"/>
  <c r="Y159" i="35"/>
  <c r="U160" i="35"/>
  <c r="T156" i="34"/>
  <c r="K159" i="34"/>
  <c r="J159" i="34"/>
  <c r="L159" i="34"/>
  <c r="I159" i="34"/>
  <c r="H160" i="34"/>
  <c r="X156" i="31"/>
  <c r="Y156" i="31"/>
  <c r="V156" i="31"/>
  <c r="W156" i="31"/>
  <c r="G160" i="31"/>
  <c r="H161" i="31" s="1"/>
  <c r="BB305" i="16"/>
  <c r="BC304" i="16"/>
  <c r="BD304" i="16"/>
  <c r="AQ305" i="16"/>
  <c r="AR304" i="16"/>
  <c r="AS304" i="16"/>
  <c r="AM304" i="16"/>
  <c r="AL305" i="16"/>
  <c r="AN304" i="16"/>
  <c r="AH304" i="16"/>
  <c r="AG305" i="16"/>
  <c r="AC304" i="16"/>
  <c r="AB305" i="16"/>
  <c r="AI304" i="16"/>
  <c r="AD304" i="16"/>
  <c r="X304" i="16"/>
  <c r="Y304" i="16" s="1"/>
  <c r="W305" i="16"/>
  <c r="AV306" i="16"/>
  <c r="AW305" i="16"/>
  <c r="AX305" i="16" s="1"/>
  <c r="T274" i="26"/>
  <c r="U275" i="26" s="1"/>
  <c r="W273" i="26"/>
  <c r="V273" i="26"/>
  <c r="Y273" i="26"/>
  <c r="X273" i="26"/>
  <c r="G216" i="26"/>
  <c r="H217" i="26" s="1"/>
  <c r="G217" i="26" s="1"/>
  <c r="T306" i="16"/>
  <c r="AP305" i="16"/>
  <c r="AY305" i="16"/>
  <c r="AZ305" i="16" s="1"/>
  <c r="BA305" i="16" s="1"/>
  <c r="AF305" i="16"/>
  <c r="AA305" i="16"/>
  <c r="AK305" i="16"/>
  <c r="V305" i="16"/>
  <c r="AU305" i="16"/>
  <c r="T160" i="35" l="1"/>
  <c r="L160" i="35"/>
  <c r="K160" i="35"/>
  <c r="J160" i="35"/>
  <c r="I160" i="35"/>
  <c r="H161" i="35"/>
  <c r="G160" i="34"/>
  <c r="Y156" i="34"/>
  <c r="X156" i="34"/>
  <c r="W156" i="34"/>
  <c r="V156" i="34"/>
  <c r="U157" i="34"/>
  <c r="I160" i="31"/>
  <c r="L160" i="31"/>
  <c r="J160" i="31"/>
  <c r="K160" i="31"/>
  <c r="T157" i="31"/>
  <c r="U158" i="31" s="1"/>
  <c r="BB306" i="16"/>
  <c r="BC305" i="16"/>
  <c r="BD305" i="16" s="1"/>
  <c r="AQ306" i="16"/>
  <c r="AR305" i="16"/>
  <c r="AS305" i="16"/>
  <c r="AM305" i="16"/>
  <c r="AN305" i="16" s="1"/>
  <c r="AL306" i="16"/>
  <c r="X305" i="16"/>
  <c r="Y305" i="16" s="1"/>
  <c r="W306" i="16"/>
  <c r="AG306" i="16"/>
  <c r="AH305" i="16"/>
  <c r="AI305" i="16" s="1"/>
  <c r="AC305" i="16"/>
  <c r="AD305" i="16" s="1"/>
  <c r="AB306" i="16"/>
  <c r="AV307" i="16"/>
  <c r="AW306" i="16"/>
  <c r="AX306" i="16" s="1"/>
  <c r="T275" i="26"/>
  <c r="U276" i="26" s="1"/>
  <c r="V274" i="26"/>
  <c r="W274" i="26"/>
  <c r="Y274" i="26"/>
  <c r="X274" i="26"/>
  <c r="H218" i="26"/>
  <c r="G218" i="26" s="1"/>
  <c r="L217" i="26"/>
  <c r="K217" i="26"/>
  <c r="J217" i="26"/>
  <c r="I217" i="26"/>
  <c r="L216" i="26"/>
  <c r="K216" i="26"/>
  <c r="J216" i="26"/>
  <c r="I216" i="26"/>
  <c r="T307" i="16"/>
  <c r="AY306" i="16"/>
  <c r="AZ306" i="16" s="1"/>
  <c r="BA306" i="16" s="1"/>
  <c r="AF306" i="16"/>
  <c r="AP306" i="16"/>
  <c r="AK306" i="16"/>
  <c r="AA306" i="16"/>
  <c r="AU306" i="16"/>
  <c r="V306" i="16"/>
  <c r="G161" i="35" l="1"/>
  <c r="Y160" i="35"/>
  <c r="X160" i="35"/>
  <c r="W160" i="35"/>
  <c r="V160" i="35"/>
  <c r="U161" i="35"/>
  <c r="T157" i="34"/>
  <c r="K160" i="34"/>
  <c r="J160" i="34"/>
  <c r="L160" i="34"/>
  <c r="I160" i="34"/>
  <c r="H161" i="34"/>
  <c r="W157" i="31"/>
  <c r="Y157" i="31"/>
  <c r="X157" i="31"/>
  <c r="V157" i="31"/>
  <c r="G161" i="31"/>
  <c r="H162" i="31" s="1"/>
  <c r="BB307" i="16"/>
  <c r="BC306" i="16"/>
  <c r="BD306" i="16"/>
  <c r="AQ307" i="16"/>
  <c r="AR306" i="16"/>
  <c r="AS306" i="16"/>
  <c r="AM306" i="16"/>
  <c r="AN306" i="16" s="1"/>
  <c r="AL307" i="16"/>
  <c r="AH306" i="16"/>
  <c r="AG307" i="16"/>
  <c r="X306" i="16"/>
  <c r="Y306" i="16" s="1"/>
  <c r="W307" i="16"/>
  <c r="AI306" i="16"/>
  <c r="AB307" i="16"/>
  <c r="AC306" i="16"/>
  <c r="AD306" i="16" s="1"/>
  <c r="AV308" i="16"/>
  <c r="AW307" i="16"/>
  <c r="AX307" i="16" s="1"/>
  <c r="T276" i="26"/>
  <c r="U277" i="26" s="1"/>
  <c r="X275" i="26"/>
  <c r="Y275" i="26"/>
  <c r="W275" i="26"/>
  <c r="V275" i="26"/>
  <c r="H219" i="26"/>
  <c r="L218" i="26"/>
  <c r="K218" i="26"/>
  <c r="J218" i="26"/>
  <c r="I218" i="26"/>
  <c r="T308" i="16"/>
  <c r="AY307" i="16"/>
  <c r="AZ307" i="16" s="1"/>
  <c r="BA307" i="16" s="1"/>
  <c r="AP307" i="16"/>
  <c r="AK307" i="16"/>
  <c r="AA307" i="16"/>
  <c r="AF307" i="16"/>
  <c r="V307" i="16"/>
  <c r="AU307" i="16"/>
  <c r="T161" i="35" l="1"/>
  <c r="L161" i="35"/>
  <c r="K161" i="35"/>
  <c r="J161" i="35"/>
  <c r="I161" i="35"/>
  <c r="H162" i="35"/>
  <c r="G161" i="34"/>
  <c r="X157" i="34"/>
  <c r="Y157" i="34"/>
  <c r="W157" i="34"/>
  <c r="V157" i="34"/>
  <c r="U158" i="34"/>
  <c r="L161" i="31"/>
  <c r="I161" i="31"/>
  <c r="J161" i="31"/>
  <c r="K161" i="31"/>
  <c r="T158" i="31"/>
  <c r="U159" i="31" s="1"/>
  <c r="BB308" i="16"/>
  <c r="BC307" i="16"/>
  <c r="BD307" i="16" s="1"/>
  <c r="AQ308" i="16"/>
  <c r="AR307" i="16"/>
  <c r="AS307" i="16" s="1"/>
  <c r="AL308" i="16"/>
  <c r="AM307" i="16"/>
  <c r="AN307" i="16"/>
  <c r="AG308" i="16"/>
  <c r="AH307" i="16"/>
  <c r="AI307" i="16" s="1"/>
  <c r="X307" i="16"/>
  <c r="Y307" i="16" s="1"/>
  <c r="W308" i="16"/>
  <c r="AC307" i="16"/>
  <c r="AD307" i="16" s="1"/>
  <c r="AB308" i="16"/>
  <c r="AV309" i="16"/>
  <c r="AW308" i="16"/>
  <c r="AX308" i="16" s="1"/>
  <c r="T277" i="26"/>
  <c r="U278" i="26" s="1"/>
  <c r="W276" i="26"/>
  <c r="V276" i="26"/>
  <c r="Y276" i="26"/>
  <c r="X276" i="26"/>
  <c r="G219" i="26"/>
  <c r="H220" i="26" s="1"/>
  <c r="G220" i="26" s="1"/>
  <c r="T309" i="16"/>
  <c r="AY308" i="16"/>
  <c r="AZ308" i="16" s="1"/>
  <c r="BA308" i="16" s="1"/>
  <c r="AP308" i="16"/>
  <c r="AK308" i="16"/>
  <c r="AF308" i="16"/>
  <c r="AA308" i="16"/>
  <c r="AU308" i="16"/>
  <c r="V308" i="16"/>
  <c r="G162" i="35" l="1"/>
  <c r="Y161" i="35"/>
  <c r="X161" i="35"/>
  <c r="W161" i="35"/>
  <c r="V161" i="35"/>
  <c r="U162" i="35"/>
  <c r="T158" i="34"/>
  <c r="K161" i="34"/>
  <c r="J161" i="34"/>
  <c r="L161" i="34"/>
  <c r="I161" i="34"/>
  <c r="H162" i="34"/>
  <c r="Y158" i="31"/>
  <c r="V158" i="31"/>
  <c r="X158" i="31"/>
  <c r="W158" i="31"/>
  <c r="G162" i="31"/>
  <c r="H163" i="31" s="1"/>
  <c r="BB309" i="16"/>
  <c r="BC308" i="16"/>
  <c r="BD308" i="16" s="1"/>
  <c r="AQ309" i="16"/>
  <c r="AR308" i="16"/>
  <c r="AS308" i="16" s="1"/>
  <c r="AL309" i="16"/>
  <c r="AM308" i="16"/>
  <c r="AN308" i="16" s="1"/>
  <c r="AH308" i="16"/>
  <c r="AI308" i="16" s="1"/>
  <c r="AG309" i="16"/>
  <c r="X308" i="16"/>
  <c r="Y308" i="16" s="1"/>
  <c r="W309" i="16"/>
  <c r="AC308" i="16"/>
  <c r="AD308" i="16" s="1"/>
  <c r="AB309" i="16"/>
  <c r="AW309" i="16"/>
  <c r="AX309" i="16" s="1"/>
  <c r="AV310" i="16"/>
  <c r="T278" i="26"/>
  <c r="U279" i="26" s="1"/>
  <c r="V277" i="26"/>
  <c r="W277" i="26"/>
  <c r="X277" i="26"/>
  <c r="Y277" i="26"/>
  <c r="H221" i="26"/>
  <c r="G221" i="26" s="1"/>
  <c r="K220" i="26"/>
  <c r="J220" i="26"/>
  <c r="L220" i="26"/>
  <c r="I220" i="26"/>
  <c r="L219" i="26"/>
  <c r="K219" i="26"/>
  <c r="J219" i="26"/>
  <c r="I219" i="26"/>
  <c r="T310" i="16"/>
  <c r="AY309" i="16"/>
  <c r="AZ309" i="16" s="1"/>
  <c r="BA309" i="16" s="1"/>
  <c r="AF309" i="16"/>
  <c r="AP309" i="16"/>
  <c r="AK309" i="16"/>
  <c r="AA309" i="16"/>
  <c r="AU309" i="16"/>
  <c r="V309" i="16"/>
  <c r="T162" i="35" l="1"/>
  <c r="L162" i="35"/>
  <c r="K162" i="35"/>
  <c r="J162" i="35"/>
  <c r="I162" i="35"/>
  <c r="H163" i="35"/>
  <c r="G162" i="34"/>
  <c r="X158" i="34"/>
  <c r="W158" i="34"/>
  <c r="Y158" i="34"/>
  <c r="V158" i="34"/>
  <c r="U159" i="34"/>
  <c r="L162" i="31"/>
  <c r="K162" i="31"/>
  <c r="J162" i="31"/>
  <c r="I162" i="31"/>
  <c r="T159" i="31"/>
  <c r="U160" i="31" s="1"/>
  <c r="BB310" i="16"/>
  <c r="BC309" i="16"/>
  <c r="BD309" i="16"/>
  <c r="AQ310" i="16"/>
  <c r="AR309" i="16"/>
  <c r="AS309" i="16" s="1"/>
  <c r="AM309" i="16"/>
  <c r="AL310" i="16"/>
  <c r="AN309" i="16"/>
  <c r="AB310" i="16"/>
  <c r="AC309" i="16"/>
  <c r="AD309" i="16" s="1"/>
  <c r="AH309" i="16"/>
  <c r="AI309" i="16" s="1"/>
  <c r="AG310" i="16"/>
  <c r="X309" i="16"/>
  <c r="Y309" i="16" s="1"/>
  <c r="W310" i="16"/>
  <c r="AW310" i="16"/>
  <c r="AX310" i="16" s="1"/>
  <c r="AV311" i="16"/>
  <c r="T279" i="26"/>
  <c r="U280" i="26" s="1"/>
  <c r="V278" i="26"/>
  <c r="W278" i="26"/>
  <c r="X278" i="26"/>
  <c r="Y278" i="26"/>
  <c r="H222" i="26"/>
  <c r="G222" i="26" s="1"/>
  <c r="K221" i="26"/>
  <c r="J221" i="26"/>
  <c r="L221" i="26"/>
  <c r="I221" i="26"/>
  <c r="T311" i="16"/>
  <c r="AY310" i="16"/>
  <c r="AZ310" i="16" s="1"/>
  <c r="BA310" i="16" s="1"/>
  <c r="AP310" i="16"/>
  <c r="AK310" i="16"/>
  <c r="V310" i="16"/>
  <c r="AF310" i="16"/>
  <c r="AA310" i="16"/>
  <c r="AU310" i="16"/>
  <c r="G163" i="35" l="1"/>
  <c r="Y162" i="35"/>
  <c r="X162" i="35"/>
  <c r="W162" i="35"/>
  <c r="V162" i="35"/>
  <c r="U163" i="35"/>
  <c r="T159" i="34"/>
  <c r="U160" i="34" s="1"/>
  <c r="K162" i="34"/>
  <c r="J162" i="34"/>
  <c r="L162" i="34"/>
  <c r="I162" i="34"/>
  <c r="H163" i="34"/>
  <c r="Y159" i="31"/>
  <c r="X159" i="31"/>
  <c r="W159" i="31"/>
  <c r="V159" i="31"/>
  <c r="G163" i="31"/>
  <c r="H164" i="31" s="1"/>
  <c r="BB311" i="16"/>
  <c r="BC310" i="16"/>
  <c r="BD310" i="16" s="1"/>
  <c r="AR310" i="16"/>
  <c r="AS310" i="16" s="1"/>
  <c r="AQ311" i="16"/>
  <c r="AM310" i="16"/>
  <c r="AN310" i="16" s="1"/>
  <c r="AL311" i="16"/>
  <c r="AC310" i="16"/>
  <c r="AD310" i="16" s="1"/>
  <c r="AB311" i="16"/>
  <c r="AH310" i="16"/>
  <c r="AI310" i="16" s="1"/>
  <c r="AG311" i="16"/>
  <c r="X310" i="16"/>
  <c r="Y310" i="16" s="1"/>
  <c r="W311" i="16"/>
  <c r="AV312" i="16"/>
  <c r="AW311" i="16"/>
  <c r="AX311" i="16" s="1"/>
  <c r="T280" i="26"/>
  <c r="U281" i="26" s="1"/>
  <c r="X279" i="26"/>
  <c r="W279" i="26"/>
  <c r="V279" i="26"/>
  <c r="Y279" i="26"/>
  <c r="H223" i="26"/>
  <c r="G223" i="26" s="1"/>
  <c r="J222" i="26"/>
  <c r="K222" i="26"/>
  <c r="I222" i="26"/>
  <c r="L222" i="26"/>
  <c r="T312" i="16"/>
  <c r="AY311" i="16"/>
  <c r="AZ311" i="16" s="1"/>
  <c r="BA311" i="16" s="1"/>
  <c r="AF311" i="16"/>
  <c r="AP311" i="16"/>
  <c r="AK311" i="16"/>
  <c r="AA311" i="16"/>
  <c r="V311" i="16"/>
  <c r="AU311" i="16"/>
  <c r="T163" i="35" l="1"/>
  <c r="L163" i="35"/>
  <c r="K163" i="35"/>
  <c r="J163" i="35"/>
  <c r="I163" i="35"/>
  <c r="H164" i="35"/>
  <c r="G163" i="34"/>
  <c r="Y159" i="34"/>
  <c r="X159" i="34"/>
  <c r="W159" i="34"/>
  <c r="V159" i="34"/>
  <c r="T160" i="34"/>
  <c r="L163" i="31"/>
  <c r="K163" i="31"/>
  <c r="I163" i="31"/>
  <c r="J163" i="31"/>
  <c r="T160" i="31"/>
  <c r="U161" i="31" s="1"/>
  <c r="BB312" i="16"/>
  <c r="BC311" i="16"/>
  <c r="BD311" i="16" s="1"/>
  <c r="AQ312" i="16"/>
  <c r="AR311" i="16"/>
  <c r="AS311" i="16" s="1"/>
  <c r="AM311" i="16"/>
  <c r="AL312" i="16"/>
  <c r="AN311" i="16"/>
  <c r="AB312" i="16"/>
  <c r="AC311" i="16"/>
  <c r="AD311" i="16" s="1"/>
  <c r="X311" i="16"/>
  <c r="Y311" i="16" s="1"/>
  <c r="W312" i="16"/>
  <c r="AH311" i="16"/>
  <c r="AI311" i="16" s="1"/>
  <c r="AG312" i="16"/>
  <c r="AW312" i="16"/>
  <c r="AX312" i="16" s="1"/>
  <c r="AV313" i="16"/>
  <c r="T281" i="26"/>
  <c r="U282" i="26" s="1"/>
  <c r="X280" i="26"/>
  <c r="V280" i="26"/>
  <c r="W280" i="26"/>
  <c r="Y280" i="26"/>
  <c r="H224" i="26"/>
  <c r="G224" i="26" s="1"/>
  <c r="L223" i="26"/>
  <c r="J223" i="26"/>
  <c r="K223" i="26"/>
  <c r="I223" i="26"/>
  <c r="T313" i="16"/>
  <c r="AY312" i="16"/>
  <c r="AZ312" i="16" s="1"/>
  <c r="BA312" i="16" s="1"/>
  <c r="AP312" i="16"/>
  <c r="AF312" i="16"/>
  <c r="AK312" i="16"/>
  <c r="AA312" i="16"/>
  <c r="AU312" i="16"/>
  <c r="V312" i="16"/>
  <c r="G164" i="35" l="1"/>
  <c r="Y163" i="35"/>
  <c r="X163" i="35"/>
  <c r="W163" i="35"/>
  <c r="V163" i="35"/>
  <c r="U164" i="35"/>
  <c r="Y160" i="34"/>
  <c r="X160" i="34"/>
  <c r="W160" i="34"/>
  <c r="V160" i="34"/>
  <c r="U161" i="34"/>
  <c r="K163" i="34"/>
  <c r="J163" i="34"/>
  <c r="L163" i="34"/>
  <c r="I163" i="34"/>
  <c r="H164" i="34"/>
  <c r="Y160" i="31"/>
  <c r="X160" i="31"/>
  <c r="W160" i="31"/>
  <c r="V160" i="31"/>
  <c r="G164" i="31"/>
  <c r="H165" i="31" s="1"/>
  <c r="BB313" i="16"/>
  <c r="BC312" i="16"/>
  <c r="BD312" i="16"/>
  <c r="AQ313" i="16"/>
  <c r="AR312" i="16"/>
  <c r="AS312" i="16" s="1"/>
  <c r="AM312" i="16"/>
  <c r="AL313" i="16"/>
  <c r="AN312" i="16"/>
  <c r="AG313" i="16"/>
  <c r="AH312" i="16"/>
  <c r="AI312" i="16" s="1"/>
  <c r="X312" i="16"/>
  <c r="Y312" i="16" s="1"/>
  <c r="W313" i="16"/>
  <c r="AC312" i="16"/>
  <c r="AD312" i="16" s="1"/>
  <c r="AB313" i="16"/>
  <c r="AW313" i="16"/>
  <c r="AX313" i="16" s="1"/>
  <c r="AV314" i="16"/>
  <c r="T282" i="26"/>
  <c r="U283" i="26" s="1"/>
  <c r="X281" i="26"/>
  <c r="W281" i="26"/>
  <c r="Y281" i="26"/>
  <c r="V281" i="26"/>
  <c r="H225" i="26"/>
  <c r="G225" i="26" s="1"/>
  <c r="L224" i="26"/>
  <c r="J224" i="26"/>
  <c r="I224" i="26"/>
  <c r="K224" i="26"/>
  <c r="T314" i="16"/>
  <c r="AY313" i="16"/>
  <c r="AZ313" i="16" s="1"/>
  <c r="BA313" i="16" s="1"/>
  <c r="AP313" i="16"/>
  <c r="AK313" i="16"/>
  <c r="AF313" i="16"/>
  <c r="AA313" i="16"/>
  <c r="AU313" i="16"/>
  <c r="V313" i="16"/>
  <c r="T164" i="35" l="1"/>
  <c r="I164" i="35"/>
  <c r="L164" i="35"/>
  <c r="K164" i="35"/>
  <c r="J164" i="35"/>
  <c r="H165" i="35"/>
  <c r="G164" i="34"/>
  <c r="T161" i="34"/>
  <c r="I164" i="31"/>
  <c r="L164" i="31"/>
  <c r="K164" i="31"/>
  <c r="J164" i="31"/>
  <c r="T161" i="31"/>
  <c r="U162" i="31" s="1"/>
  <c r="BB314" i="16"/>
  <c r="BC313" i="16"/>
  <c r="BD313" i="16" s="1"/>
  <c r="AQ314" i="16"/>
  <c r="AR313" i="16"/>
  <c r="AS313" i="16" s="1"/>
  <c r="AM313" i="16"/>
  <c r="AL314" i="16"/>
  <c r="AN313" i="16"/>
  <c r="X313" i="16"/>
  <c r="Y313" i="16" s="1"/>
  <c r="W314" i="16"/>
  <c r="AB314" i="16"/>
  <c r="AC313" i="16"/>
  <c r="AD313" i="16" s="1"/>
  <c r="AH313" i="16"/>
  <c r="AI313" i="16" s="1"/>
  <c r="AG314" i="16"/>
  <c r="AV315" i="16"/>
  <c r="AW314" i="16"/>
  <c r="AX314" i="16" s="1"/>
  <c r="T283" i="26"/>
  <c r="U284" i="26" s="1"/>
  <c r="W282" i="26"/>
  <c r="V282" i="26"/>
  <c r="Y282" i="26"/>
  <c r="X282" i="26"/>
  <c r="H226" i="26"/>
  <c r="G226" i="26" s="1"/>
  <c r="L225" i="26"/>
  <c r="K225" i="26"/>
  <c r="J225" i="26"/>
  <c r="I225" i="26"/>
  <c r="T315" i="16"/>
  <c r="AY314" i="16"/>
  <c r="AZ314" i="16" s="1"/>
  <c r="BA314" i="16" s="1"/>
  <c r="AP314" i="16"/>
  <c r="AK314" i="16"/>
  <c r="AA314" i="16"/>
  <c r="AF314" i="16"/>
  <c r="V314" i="16"/>
  <c r="AU314" i="16"/>
  <c r="G165" i="35" l="1"/>
  <c r="Y164" i="35"/>
  <c r="X164" i="35"/>
  <c r="W164" i="35"/>
  <c r="V164" i="35"/>
  <c r="U165" i="35"/>
  <c r="Y161" i="34"/>
  <c r="X161" i="34"/>
  <c r="W161" i="34"/>
  <c r="V161" i="34"/>
  <c r="U162" i="34"/>
  <c r="K164" i="34"/>
  <c r="J164" i="34"/>
  <c r="L164" i="34"/>
  <c r="I164" i="34"/>
  <c r="H165" i="34"/>
  <c r="Y161" i="31"/>
  <c r="X161" i="31"/>
  <c r="W161" i="31"/>
  <c r="V161" i="31"/>
  <c r="G165" i="31"/>
  <c r="H166" i="31" s="1"/>
  <c r="BC314" i="16"/>
  <c r="BB315" i="16"/>
  <c r="BD314" i="16"/>
  <c r="AQ315" i="16"/>
  <c r="AR314" i="16"/>
  <c r="AS314" i="16"/>
  <c r="AM314" i="16"/>
  <c r="AL315" i="16"/>
  <c r="AN314" i="16"/>
  <c r="X314" i="16"/>
  <c r="Y314" i="16" s="1"/>
  <c r="W315" i="16"/>
  <c r="AG315" i="16"/>
  <c r="AH314" i="16"/>
  <c r="AI314" i="16" s="1"/>
  <c r="AC314" i="16"/>
  <c r="AD314" i="16" s="1"/>
  <c r="AB315" i="16"/>
  <c r="AW315" i="16"/>
  <c r="AX315" i="16" s="1"/>
  <c r="AV316" i="16"/>
  <c r="T284" i="26"/>
  <c r="U285" i="26" s="1"/>
  <c r="V283" i="26"/>
  <c r="W283" i="26"/>
  <c r="Y283" i="26"/>
  <c r="X283" i="26"/>
  <c r="H227" i="26"/>
  <c r="G227" i="26" s="1"/>
  <c r="L226" i="26"/>
  <c r="K226" i="26"/>
  <c r="J226" i="26"/>
  <c r="I226" i="26"/>
  <c r="T316" i="16"/>
  <c r="AY315" i="16"/>
  <c r="AZ315" i="16" s="1"/>
  <c r="BA315" i="16" s="1"/>
  <c r="AP315" i="16"/>
  <c r="AK315" i="16"/>
  <c r="AA315" i="16"/>
  <c r="AF315" i="16"/>
  <c r="V315" i="16"/>
  <c r="AU315" i="16"/>
  <c r="T165" i="35" l="1"/>
  <c r="J165" i="35"/>
  <c r="I165" i="35"/>
  <c r="L165" i="35"/>
  <c r="K165" i="35"/>
  <c r="H166" i="35"/>
  <c r="G165" i="34"/>
  <c r="T162" i="34"/>
  <c r="L165" i="31"/>
  <c r="I165" i="31"/>
  <c r="J165" i="31"/>
  <c r="K165" i="31"/>
  <c r="T162" i="31"/>
  <c r="U163" i="31" s="1"/>
  <c r="BB316" i="16"/>
  <c r="BC315" i="16"/>
  <c r="BD315" i="16" s="1"/>
  <c r="AQ316" i="16"/>
  <c r="AR315" i="16"/>
  <c r="AS315" i="16"/>
  <c r="AM315" i="16"/>
  <c r="AN315" i="16" s="1"/>
  <c r="AL316" i="16"/>
  <c r="AG316" i="16"/>
  <c r="AH315" i="16"/>
  <c r="AI315" i="16" s="1"/>
  <c r="AC315" i="16"/>
  <c r="AD315" i="16" s="1"/>
  <c r="AB316" i="16"/>
  <c r="W316" i="16"/>
  <c r="X315" i="16"/>
  <c r="Y315" i="16" s="1"/>
  <c r="AV317" i="16"/>
  <c r="AW316" i="16"/>
  <c r="AX316" i="16" s="1"/>
  <c r="T285" i="26"/>
  <c r="U286" i="26" s="1"/>
  <c r="X284" i="26"/>
  <c r="W284" i="26"/>
  <c r="V284" i="26"/>
  <c r="Y284" i="26"/>
  <c r="H228" i="26"/>
  <c r="L227" i="26"/>
  <c r="K227" i="26"/>
  <c r="J227" i="26"/>
  <c r="I227" i="26"/>
  <c r="T317" i="16"/>
  <c r="AY316" i="16"/>
  <c r="AZ316" i="16" s="1"/>
  <c r="BA316" i="16" s="1"/>
  <c r="AP316" i="16"/>
  <c r="AK316" i="16"/>
  <c r="AA316" i="16"/>
  <c r="AF316" i="16"/>
  <c r="AU316" i="16"/>
  <c r="V316" i="16"/>
  <c r="G166" i="35" l="1"/>
  <c r="Y165" i="35"/>
  <c r="X165" i="35"/>
  <c r="W165" i="35"/>
  <c r="V165" i="35"/>
  <c r="U166" i="35"/>
  <c r="Y162" i="34"/>
  <c r="X162" i="34"/>
  <c r="W162" i="34"/>
  <c r="V162" i="34"/>
  <c r="U163" i="34"/>
  <c r="K165" i="34"/>
  <c r="J165" i="34"/>
  <c r="I165" i="34"/>
  <c r="L165" i="34"/>
  <c r="H166" i="34"/>
  <c r="Y162" i="31"/>
  <c r="X162" i="31"/>
  <c r="W162" i="31"/>
  <c r="V162" i="31"/>
  <c r="G166" i="31"/>
  <c r="H167" i="31" s="1"/>
  <c r="BB317" i="16"/>
  <c r="BC316" i="16"/>
  <c r="BD316" i="16"/>
  <c r="AQ317" i="16"/>
  <c r="AR316" i="16"/>
  <c r="AS316" i="16" s="1"/>
  <c r="AM316" i="16"/>
  <c r="AL317" i="16"/>
  <c r="AN316" i="16"/>
  <c r="X316" i="16"/>
  <c r="Y316" i="16" s="1"/>
  <c r="W317" i="16"/>
  <c r="AG317" i="16"/>
  <c r="AH316" i="16"/>
  <c r="AI316" i="16" s="1"/>
  <c r="AC316" i="16"/>
  <c r="AD316" i="16" s="1"/>
  <c r="AB317" i="16"/>
  <c r="AV318" i="16"/>
  <c r="AW317" i="16"/>
  <c r="AX317" i="16" s="1"/>
  <c r="T286" i="26"/>
  <c r="U287" i="26" s="1"/>
  <c r="W285" i="26"/>
  <c r="V285" i="26"/>
  <c r="X285" i="26"/>
  <c r="Y285" i="26"/>
  <c r="G228" i="26"/>
  <c r="T318" i="16"/>
  <c r="AY317" i="16"/>
  <c r="AZ317" i="16" s="1"/>
  <c r="BA317" i="16" s="1"/>
  <c r="AP317" i="16"/>
  <c r="AK317" i="16"/>
  <c r="AF317" i="16"/>
  <c r="AA317" i="16"/>
  <c r="V317" i="16"/>
  <c r="AU317" i="16"/>
  <c r="T166" i="35" l="1"/>
  <c r="K166" i="35"/>
  <c r="J166" i="35"/>
  <c r="I166" i="35"/>
  <c r="L166" i="35"/>
  <c r="H167" i="35"/>
  <c r="G166" i="34"/>
  <c r="T163" i="34"/>
  <c r="L166" i="31"/>
  <c r="K166" i="31"/>
  <c r="J166" i="31"/>
  <c r="I166" i="31"/>
  <c r="T163" i="31"/>
  <c r="U164" i="31" s="1"/>
  <c r="BB318" i="16"/>
  <c r="BC317" i="16"/>
  <c r="BD317" i="16"/>
  <c r="AQ318" i="16"/>
  <c r="AR317" i="16"/>
  <c r="AS317" i="16" s="1"/>
  <c r="AM317" i="16"/>
  <c r="AN317" i="16" s="1"/>
  <c r="AL318" i="16"/>
  <c r="AC317" i="16"/>
  <c r="AB318" i="16"/>
  <c r="AD317" i="16"/>
  <c r="AG318" i="16"/>
  <c r="AH317" i="16"/>
  <c r="AI317" i="16" s="1"/>
  <c r="X317" i="16"/>
  <c r="Y317" i="16" s="1"/>
  <c r="W318" i="16"/>
  <c r="AW318" i="16"/>
  <c r="AX318" i="16" s="1"/>
  <c r="AV319" i="16"/>
  <c r="T287" i="26"/>
  <c r="U288" i="26" s="1"/>
  <c r="V286" i="26"/>
  <c r="W286" i="26"/>
  <c r="X286" i="26"/>
  <c r="Y286" i="26"/>
  <c r="L228" i="26"/>
  <c r="K228" i="26"/>
  <c r="J228" i="26"/>
  <c r="I228" i="26"/>
  <c r="H229" i="26"/>
  <c r="G229" i="26" s="1"/>
  <c r="T319" i="16"/>
  <c r="AY318" i="16"/>
  <c r="AZ318" i="16" s="1"/>
  <c r="BA318" i="16" s="1"/>
  <c r="AP318" i="16"/>
  <c r="AF318" i="16"/>
  <c r="AK318" i="16"/>
  <c r="AA318" i="16"/>
  <c r="V318" i="16"/>
  <c r="AU318" i="16"/>
  <c r="G167" i="35" l="1"/>
  <c r="Y166" i="35"/>
  <c r="X166" i="35"/>
  <c r="W166" i="35"/>
  <c r="V166" i="35"/>
  <c r="U167" i="35"/>
  <c r="Y163" i="34"/>
  <c r="X163" i="34"/>
  <c r="W163" i="34"/>
  <c r="V163" i="34"/>
  <c r="U164" i="34"/>
  <c r="K166" i="34"/>
  <c r="J166" i="34"/>
  <c r="I166" i="34"/>
  <c r="L166" i="34"/>
  <c r="H167" i="34"/>
  <c r="Y163" i="31"/>
  <c r="X163" i="31"/>
  <c r="W163" i="31"/>
  <c r="V163" i="31"/>
  <c r="G167" i="31"/>
  <c r="H168" i="31" s="1"/>
  <c r="BB319" i="16"/>
  <c r="BC318" i="16"/>
  <c r="BD318" i="16"/>
  <c r="AQ319" i="16"/>
  <c r="AR318" i="16"/>
  <c r="AS318" i="16"/>
  <c r="AM318" i="16"/>
  <c r="AL319" i="16"/>
  <c r="AN318" i="16"/>
  <c r="AC318" i="16"/>
  <c r="AB319" i="16"/>
  <c r="AD318" i="16"/>
  <c r="X318" i="16"/>
  <c r="Y318" i="16" s="1"/>
  <c r="W319" i="16"/>
  <c r="AH318" i="16"/>
  <c r="AI318" i="16" s="1"/>
  <c r="AG319" i="16"/>
  <c r="AV320" i="16"/>
  <c r="AW319" i="16"/>
  <c r="AX319" i="16" s="1"/>
  <c r="T288" i="26"/>
  <c r="U289" i="26" s="1"/>
  <c r="X287" i="26"/>
  <c r="V287" i="26"/>
  <c r="Y287" i="26"/>
  <c r="W287" i="26"/>
  <c r="H230" i="26"/>
  <c r="G230" i="26" s="1"/>
  <c r="L229" i="26"/>
  <c r="K229" i="26"/>
  <c r="J229" i="26"/>
  <c r="I229" i="26"/>
  <c r="T320" i="16"/>
  <c r="AY319" i="16"/>
  <c r="AZ319" i="16" s="1"/>
  <c r="BA319" i="16" s="1"/>
  <c r="AP319" i="16"/>
  <c r="AK319" i="16"/>
  <c r="AF319" i="16"/>
  <c r="AA319" i="16"/>
  <c r="AU319" i="16"/>
  <c r="V319" i="16"/>
  <c r="T167" i="35" l="1"/>
  <c r="L167" i="35"/>
  <c r="K167" i="35"/>
  <c r="J167" i="35"/>
  <c r="I167" i="35"/>
  <c r="H168" i="35"/>
  <c r="G167" i="34"/>
  <c r="T164" i="34"/>
  <c r="L167" i="31"/>
  <c r="K167" i="31"/>
  <c r="I167" i="31"/>
  <c r="J167" i="31"/>
  <c r="T164" i="31"/>
  <c r="U165" i="31" s="1"/>
  <c r="BB320" i="16"/>
  <c r="BC319" i="16"/>
  <c r="BD319" i="16" s="1"/>
  <c r="AQ320" i="16"/>
  <c r="AR319" i="16"/>
  <c r="AS319" i="16" s="1"/>
  <c r="AL320" i="16"/>
  <c r="AM319" i="16"/>
  <c r="AN319" i="16" s="1"/>
  <c r="AG320" i="16"/>
  <c r="AH319" i="16"/>
  <c r="AI319" i="16" s="1"/>
  <c r="W320" i="16"/>
  <c r="X319" i="16"/>
  <c r="Y319" i="16" s="1"/>
  <c r="AC319" i="16"/>
  <c r="AD319" i="16" s="1"/>
  <c r="AB320" i="16"/>
  <c r="AV321" i="16"/>
  <c r="AW320" i="16"/>
  <c r="AX320" i="16" s="1"/>
  <c r="T289" i="26"/>
  <c r="U290" i="26" s="1"/>
  <c r="W288" i="26"/>
  <c r="V288" i="26"/>
  <c r="X288" i="26"/>
  <c r="Y288" i="26"/>
  <c r="H231" i="26"/>
  <c r="L230" i="26"/>
  <c r="K230" i="26"/>
  <c r="J230" i="26"/>
  <c r="I230" i="26"/>
  <c r="T321" i="16"/>
  <c r="AY320" i="16"/>
  <c r="AZ320" i="16" s="1"/>
  <c r="BA320" i="16" s="1"/>
  <c r="AP320" i="16"/>
  <c r="AK320" i="16"/>
  <c r="AF320" i="16"/>
  <c r="AA320" i="16"/>
  <c r="V320" i="16"/>
  <c r="AU320" i="16"/>
  <c r="G168" i="35" l="1"/>
  <c r="Y167" i="35"/>
  <c r="X167" i="35"/>
  <c r="W167" i="35"/>
  <c r="V167" i="35"/>
  <c r="U168" i="35"/>
  <c r="Y164" i="34"/>
  <c r="X164" i="34"/>
  <c r="W164" i="34"/>
  <c r="V164" i="34"/>
  <c r="U165" i="34"/>
  <c r="K167" i="34"/>
  <c r="J167" i="34"/>
  <c r="L167" i="34"/>
  <c r="I167" i="34"/>
  <c r="H168" i="34"/>
  <c r="Y164" i="31"/>
  <c r="X164" i="31"/>
  <c r="W164" i="31"/>
  <c r="V164" i="31"/>
  <c r="G168" i="31"/>
  <c r="H169" i="31" s="1"/>
  <c r="BB321" i="16"/>
  <c r="BC320" i="16"/>
  <c r="BD320" i="16"/>
  <c r="AQ321" i="16"/>
  <c r="AR320" i="16"/>
  <c r="AS320" i="16" s="1"/>
  <c r="AL321" i="16"/>
  <c r="AM320" i="16"/>
  <c r="AN320" i="16" s="1"/>
  <c r="AH320" i="16"/>
  <c r="AI320" i="16" s="1"/>
  <c r="AG321" i="16"/>
  <c r="W321" i="16"/>
  <c r="X320" i="16"/>
  <c r="Y320" i="16" s="1"/>
  <c r="AC320" i="16"/>
  <c r="AD320" i="16" s="1"/>
  <c r="AB321" i="16"/>
  <c r="AW321" i="16"/>
  <c r="AX321" i="16" s="1"/>
  <c r="AV322" i="16"/>
  <c r="T290" i="26"/>
  <c r="U291" i="26" s="1"/>
  <c r="V289" i="26"/>
  <c r="W289" i="26"/>
  <c r="Y289" i="26"/>
  <c r="X289" i="26"/>
  <c r="G231" i="26"/>
  <c r="T322" i="16"/>
  <c r="AY321" i="16"/>
  <c r="AZ321" i="16" s="1"/>
  <c r="BA321" i="16" s="1"/>
  <c r="AF321" i="16"/>
  <c r="AK321" i="16"/>
  <c r="AP321" i="16"/>
  <c r="AA321" i="16"/>
  <c r="AU321" i="16"/>
  <c r="V321" i="16"/>
  <c r="T168" i="35" l="1"/>
  <c r="L168" i="35"/>
  <c r="K168" i="35"/>
  <c r="J168" i="35"/>
  <c r="I168" i="35"/>
  <c r="H169" i="35"/>
  <c r="G168" i="34"/>
  <c r="T165" i="34"/>
  <c r="I168" i="31"/>
  <c r="L168" i="31"/>
  <c r="J168" i="31"/>
  <c r="K168" i="31"/>
  <c r="T165" i="31"/>
  <c r="U166" i="31" s="1"/>
  <c r="BB322" i="16"/>
  <c r="BC321" i="16"/>
  <c r="BD321" i="16"/>
  <c r="AQ322" i="16"/>
  <c r="AR321" i="16"/>
  <c r="AS321" i="16"/>
  <c r="AM321" i="16"/>
  <c r="AL322" i="16"/>
  <c r="AN321" i="16"/>
  <c r="X321" i="16"/>
  <c r="Y321" i="16" s="1"/>
  <c r="W322" i="16"/>
  <c r="AH321" i="16"/>
  <c r="AG322" i="16"/>
  <c r="AI321" i="16"/>
  <c r="AC321" i="16"/>
  <c r="AD321" i="16" s="1"/>
  <c r="AB322" i="16"/>
  <c r="AW322" i="16"/>
  <c r="AX322" i="16" s="1"/>
  <c r="AV323" i="16"/>
  <c r="T291" i="26"/>
  <c r="U292" i="26" s="1"/>
  <c r="X290" i="26"/>
  <c r="W290" i="26"/>
  <c r="V290" i="26"/>
  <c r="Y290" i="26"/>
  <c r="L231" i="26"/>
  <c r="K231" i="26"/>
  <c r="J231" i="26"/>
  <c r="I231" i="26"/>
  <c r="H232" i="26"/>
  <c r="G232" i="26" s="1"/>
  <c r="T323" i="16"/>
  <c r="AY322" i="16"/>
  <c r="AZ322" i="16" s="1"/>
  <c r="BA322" i="16" s="1"/>
  <c r="AK322" i="16"/>
  <c r="AP322" i="16"/>
  <c r="AF322" i="16"/>
  <c r="AA322" i="16"/>
  <c r="V322" i="16"/>
  <c r="AU322" i="16"/>
  <c r="G169" i="35" l="1"/>
  <c r="Y168" i="35"/>
  <c r="X168" i="35"/>
  <c r="W168" i="35"/>
  <c r="V168" i="35"/>
  <c r="U169" i="35"/>
  <c r="Y165" i="34"/>
  <c r="X165" i="34"/>
  <c r="W165" i="34"/>
  <c r="V165" i="34"/>
  <c r="U166" i="34"/>
  <c r="K168" i="34"/>
  <c r="J168" i="34"/>
  <c r="I168" i="34"/>
  <c r="L168" i="34"/>
  <c r="H169" i="34"/>
  <c r="Y165" i="31"/>
  <c r="X165" i="31"/>
  <c r="W165" i="31"/>
  <c r="V165" i="31"/>
  <c r="G169" i="31"/>
  <c r="H170" i="31" s="1"/>
  <c r="BB323" i="16"/>
  <c r="BC322" i="16"/>
  <c r="BD322" i="16"/>
  <c r="AQ323" i="16"/>
  <c r="AR322" i="16"/>
  <c r="AS322" i="16" s="1"/>
  <c r="AM322" i="16"/>
  <c r="AL323" i="16"/>
  <c r="AN322" i="16"/>
  <c r="X322" i="16"/>
  <c r="Y322" i="16" s="1"/>
  <c r="W323" i="16"/>
  <c r="AH322" i="16"/>
  <c r="AI322" i="16" s="1"/>
  <c r="AG323" i="16"/>
  <c r="AB323" i="16"/>
  <c r="AC322" i="16"/>
  <c r="AD322" i="16" s="1"/>
  <c r="AW323" i="16"/>
  <c r="AX323" i="16" s="1"/>
  <c r="AV324" i="16"/>
  <c r="T292" i="26"/>
  <c r="U293" i="26" s="1"/>
  <c r="X291" i="26"/>
  <c r="Y291" i="26"/>
  <c r="V291" i="26"/>
  <c r="W291" i="26"/>
  <c r="H233" i="26"/>
  <c r="G233" i="26" s="1"/>
  <c r="K232" i="26"/>
  <c r="J232" i="26"/>
  <c r="L232" i="26"/>
  <c r="I232" i="26"/>
  <c r="T324" i="16"/>
  <c r="AY323" i="16"/>
  <c r="AZ323" i="16" s="1"/>
  <c r="BA323" i="16" s="1"/>
  <c r="AF323" i="16"/>
  <c r="AK323" i="16"/>
  <c r="AP323" i="16"/>
  <c r="AA323" i="16"/>
  <c r="V323" i="16"/>
  <c r="AU323" i="16"/>
  <c r="T169" i="35" l="1"/>
  <c r="L169" i="35"/>
  <c r="K169" i="35"/>
  <c r="J169" i="35"/>
  <c r="I169" i="35"/>
  <c r="H170" i="35"/>
  <c r="G169" i="34"/>
  <c r="T166" i="34"/>
  <c r="L169" i="31"/>
  <c r="I169" i="31"/>
  <c r="J169" i="31"/>
  <c r="K169" i="31"/>
  <c r="T166" i="31"/>
  <c r="U167" i="31" s="1"/>
  <c r="BB324" i="16"/>
  <c r="BC323" i="16"/>
  <c r="BD323" i="16" s="1"/>
  <c r="AQ324" i="16"/>
  <c r="AR323" i="16"/>
  <c r="AS323" i="16" s="1"/>
  <c r="AM323" i="16"/>
  <c r="AN323" i="16" s="1"/>
  <c r="AL324" i="16"/>
  <c r="X323" i="16"/>
  <c r="W324" i="16"/>
  <c r="AC323" i="16"/>
  <c r="AD323" i="16" s="1"/>
  <c r="AB324" i="16"/>
  <c r="AH323" i="16"/>
  <c r="AI323" i="16" s="1"/>
  <c r="AG324" i="16"/>
  <c r="Y323" i="16"/>
  <c r="AW324" i="16"/>
  <c r="AX324" i="16" s="1"/>
  <c r="AV325" i="16"/>
  <c r="T293" i="26"/>
  <c r="U294" i="26" s="1"/>
  <c r="X292" i="26"/>
  <c r="V292" i="26"/>
  <c r="Y292" i="26"/>
  <c r="W292" i="26"/>
  <c r="H234" i="26"/>
  <c r="G234" i="26" s="1"/>
  <c r="K233" i="26"/>
  <c r="J233" i="26"/>
  <c r="I233" i="26"/>
  <c r="L233" i="26"/>
  <c r="T325" i="16"/>
  <c r="AP324" i="16"/>
  <c r="AY324" i="16"/>
  <c r="AZ324" i="16" s="1"/>
  <c r="BA324" i="16" s="1"/>
  <c r="AF324" i="16"/>
  <c r="AK324" i="16"/>
  <c r="AA324" i="16"/>
  <c r="AU324" i="16"/>
  <c r="V324" i="16"/>
  <c r="G170" i="35" l="1"/>
  <c r="V169" i="35"/>
  <c r="Y169" i="35"/>
  <c r="X169" i="35"/>
  <c r="W169" i="35"/>
  <c r="U170" i="35"/>
  <c r="Y166" i="34"/>
  <c r="X166" i="34"/>
  <c r="W166" i="34"/>
  <c r="V166" i="34"/>
  <c r="U167" i="34"/>
  <c r="K169" i="34"/>
  <c r="J169" i="34"/>
  <c r="I169" i="34"/>
  <c r="L169" i="34"/>
  <c r="H170" i="34"/>
  <c r="Y166" i="31"/>
  <c r="X166" i="31"/>
  <c r="W166" i="31"/>
  <c r="V166" i="31"/>
  <c r="G170" i="31"/>
  <c r="H171" i="31" s="1"/>
  <c r="BB325" i="16"/>
  <c r="BC324" i="16"/>
  <c r="BD324" i="16"/>
  <c r="AQ325" i="16"/>
  <c r="AR324" i="16"/>
  <c r="AS324" i="16" s="1"/>
  <c r="AM324" i="16"/>
  <c r="AL325" i="16"/>
  <c r="AN324" i="16"/>
  <c r="AB325" i="16"/>
  <c r="AC324" i="16"/>
  <c r="AD324" i="16" s="1"/>
  <c r="AG325" i="16"/>
  <c r="AH324" i="16"/>
  <c r="AI324" i="16" s="1"/>
  <c r="X324" i="16"/>
  <c r="Y324" i="16" s="1"/>
  <c r="W325" i="16"/>
  <c r="AW325" i="16"/>
  <c r="AX325" i="16" s="1"/>
  <c r="AV326" i="16"/>
  <c r="T294" i="26"/>
  <c r="U295" i="26" s="1"/>
  <c r="X293" i="26"/>
  <c r="W293" i="26"/>
  <c r="V293" i="26"/>
  <c r="Y293" i="26"/>
  <c r="H235" i="26"/>
  <c r="G235" i="26" s="1"/>
  <c r="J234" i="26"/>
  <c r="K234" i="26"/>
  <c r="I234" i="26"/>
  <c r="L234" i="26"/>
  <c r="T326" i="16"/>
  <c r="AY325" i="16"/>
  <c r="AZ325" i="16" s="1"/>
  <c r="BA325" i="16" s="1"/>
  <c r="AP325" i="16"/>
  <c r="AK325" i="16"/>
  <c r="AF325" i="16"/>
  <c r="AA325" i="16"/>
  <c r="AU325" i="16"/>
  <c r="V325" i="16"/>
  <c r="T170" i="35" l="1"/>
  <c r="L170" i="35"/>
  <c r="K170" i="35"/>
  <c r="J170" i="35"/>
  <c r="I170" i="35"/>
  <c r="H171" i="35"/>
  <c r="T167" i="34"/>
  <c r="G170" i="34"/>
  <c r="L170" i="31"/>
  <c r="K170" i="31"/>
  <c r="J170" i="31"/>
  <c r="I170" i="31"/>
  <c r="T167" i="31"/>
  <c r="U168" i="31" s="1"/>
  <c r="BB326" i="16"/>
  <c r="BC325" i="16"/>
  <c r="BD325" i="16"/>
  <c r="AQ326" i="16"/>
  <c r="AR325" i="16"/>
  <c r="AS325" i="16"/>
  <c r="AM325" i="16"/>
  <c r="AL326" i="16"/>
  <c r="AN325" i="16"/>
  <c r="W326" i="16"/>
  <c r="X325" i="16"/>
  <c r="Y325" i="16" s="1"/>
  <c r="AC325" i="16"/>
  <c r="AD325" i="16" s="1"/>
  <c r="AB326" i="16"/>
  <c r="AH325" i="16"/>
  <c r="AI325" i="16" s="1"/>
  <c r="AG326" i="16"/>
  <c r="AV327" i="16"/>
  <c r="AW326" i="16"/>
  <c r="AX326" i="16" s="1"/>
  <c r="T295" i="26"/>
  <c r="U296" i="26" s="1"/>
  <c r="X294" i="26"/>
  <c r="Y294" i="26"/>
  <c r="W294" i="26"/>
  <c r="V294" i="26"/>
  <c r="H236" i="26"/>
  <c r="G236" i="26" s="1"/>
  <c r="L235" i="26"/>
  <c r="J235" i="26"/>
  <c r="K235" i="26"/>
  <c r="I235" i="26"/>
  <c r="T327" i="16"/>
  <c r="AK326" i="16"/>
  <c r="AY326" i="16"/>
  <c r="AZ326" i="16" s="1"/>
  <c r="BA326" i="16" s="1"/>
  <c r="AP326" i="16"/>
  <c r="AA326" i="16"/>
  <c r="AF326" i="16"/>
  <c r="V326" i="16"/>
  <c r="AU326" i="16"/>
  <c r="G171" i="35" l="1"/>
  <c r="W170" i="35"/>
  <c r="V170" i="35"/>
  <c r="Y170" i="35"/>
  <c r="X170" i="35"/>
  <c r="U171" i="35"/>
  <c r="K170" i="34"/>
  <c r="J170" i="34"/>
  <c r="I170" i="34"/>
  <c r="L170" i="34"/>
  <c r="H171" i="34"/>
  <c r="Y167" i="34"/>
  <c r="X167" i="34"/>
  <c r="W167" i="34"/>
  <c r="V167" i="34"/>
  <c r="U168" i="34"/>
  <c r="Y167" i="31"/>
  <c r="X167" i="31"/>
  <c r="W167" i="31"/>
  <c r="V167" i="31"/>
  <c r="G171" i="31"/>
  <c r="H172" i="31" s="1"/>
  <c r="BB327" i="16"/>
  <c r="BC326" i="16"/>
  <c r="BD326" i="16" s="1"/>
  <c r="AQ327" i="16"/>
  <c r="AR326" i="16"/>
  <c r="AS326" i="16"/>
  <c r="AM326" i="16"/>
  <c r="AN326" i="16" s="1"/>
  <c r="AL327" i="16"/>
  <c r="AB327" i="16"/>
  <c r="AC326" i="16"/>
  <c r="X326" i="16"/>
  <c r="Y326" i="16" s="1"/>
  <c r="W327" i="16"/>
  <c r="AH326" i="16"/>
  <c r="AI326" i="16" s="1"/>
  <c r="AG327" i="16"/>
  <c r="AD326" i="16"/>
  <c r="AW327" i="16"/>
  <c r="AX327" i="16" s="1"/>
  <c r="AV328" i="16"/>
  <c r="T296" i="26"/>
  <c r="U297" i="26" s="1"/>
  <c r="X295" i="26"/>
  <c r="V295" i="26"/>
  <c r="W295" i="26"/>
  <c r="Y295" i="26"/>
  <c r="H237" i="26"/>
  <c r="G237" i="26" s="1"/>
  <c r="L236" i="26"/>
  <c r="I236" i="26"/>
  <c r="K236" i="26"/>
  <c r="J236" i="26"/>
  <c r="T328" i="16"/>
  <c r="AP327" i="16"/>
  <c r="AY327" i="16"/>
  <c r="AZ327" i="16" s="1"/>
  <c r="BA327" i="16" s="1"/>
  <c r="AK327" i="16"/>
  <c r="AA327" i="16"/>
  <c r="AF327" i="16"/>
  <c r="AU327" i="16"/>
  <c r="V327" i="16"/>
  <c r="T171" i="35" l="1"/>
  <c r="L171" i="35"/>
  <c r="K171" i="35"/>
  <c r="J171" i="35"/>
  <c r="I171" i="35"/>
  <c r="H172" i="35"/>
  <c r="T168" i="34"/>
  <c r="G171" i="34"/>
  <c r="L171" i="31"/>
  <c r="K171" i="31"/>
  <c r="I171" i="31"/>
  <c r="J171" i="31"/>
  <c r="T168" i="31"/>
  <c r="U169" i="31" s="1"/>
  <c r="BB328" i="16"/>
  <c r="BC327" i="16"/>
  <c r="BD327" i="16" s="1"/>
  <c r="AQ328" i="16"/>
  <c r="AR327" i="16"/>
  <c r="AS327" i="16" s="1"/>
  <c r="AM327" i="16"/>
  <c r="AN327" i="16" s="1"/>
  <c r="AL328" i="16"/>
  <c r="AC327" i="16"/>
  <c r="AD327" i="16" s="1"/>
  <c r="AB328" i="16"/>
  <c r="AG328" i="16"/>
  <c r="AH327" i="16"/>
  <c r="AI327" i="16"/>
  <c r="X327" i="16"/>
  <c r="Y327" i="16" s="1"/>
  <c r="W328" i="16"/>
  <c r="AV329" i="16"/>
  <c r="AW328" i="16"/>
  <c r="AX328" i="16" s="1"/>
  <c r="T297" i="26"/>
  <c r="U298" i="26" s="1"/>
  <c r="X296" i="26"/>
  <c r="W296" i="26"/>
  <c r="Y296" i="26"/>
  <c r="V296" i="26"/>
  <c r="H238" i="26"/>
  <c r="G238" i="26" s="1"/>
  <c r="L237" i="26"/>
  <c r="K237" i="26"/>
  <c r="I237" i="26"/>
  <c r="J237" i="26"/>
  <c r="T329" i="16"/>
  <c r="AP328" i="16"/>
  <c r="AY328" i="16"/>
  <c r="AZ328" i="16" s="1"/>
  <c r="BA328" i="16" s="1"/>
  <c r="AK328" i="16"/>
  <c r="AA328" i="16"/>
  <c r="AF328" i="16"/>
  <c r="AU328" i="16"/>
  <c r="V328" i="16"/>
  <c r="G172" i="35" l="1"/>
  <c r="Y171" i="35"/>
  <c r="X171" i="35"/>
  <c r="W171" i="35"/>
  <c r="V171" i="35"/>
  <c r="U172" i="35"/>
  <c r="K171" i="34"/>
  <c r="J171" i="34"/>
  <c r="I171" i="34"/>
  <c r="L171" i="34"/>
  <c r="H172" i="34"/>
  <c r="Y168" i="34"/>
  <c r="X168" i="34"/>
  <c r="W168" i="34"/>
  <c r="V168" i="34"/>
  <c r="U169" i="34"/>
  <c r="Y168" i="31"/>
  <c r="X168" i="31"/>
  <c r="W168" i="31"/>
  <c r="V168" i="31"/>
  <c r="G172" i="31"/>
  <c r="H173" i="31" s="1"/>
  <c r="BB329" i="16"/>
  <c r="BC328" i="16"/>
  <c r="BD328" i="16"/>
  <c r="AR328" i="16"/>
  <c r="AS328" i="16" s="1"/>
  <c r="AQ329" i="16"/>
  <c r="AM328" i="16"/>
  <c r="AN328" i="16" s="1"/>
  <c r="AL329" i="16"/>
  <c r="AB329" i="16"/>
  <c r="AC328" i="16"/>
  <c r="AD328" i="16" s="1"/>
  <c r="AH328" i="16"/>
  <c r="AI328" i="16" s="1"/>
  <c r="AG329" i="16"/>
  <c r="X328" i="16"/>
  <c r="Y328" i="16" s="1"/>
  <c r="W329" i="16"/>
  <c r="AV330" i="16"/>
  <c r="AW329" i="16"/>
  <c r="AX329" i="16" s="1"/>
  <c r="T298" i="26"/>
  <c r="U299" i="26" s="1"/>
  <c r="W297" i="26"/>
  <c r="X297" i="26"/>
  <c r="V297" i="26"/>
  <c r="Y297" i="26"/>
  <c r="H239" i="26"/>
  <c r="G239" i="26" s="1"/>
  <c r="L238" i="26"/>
  <c r="K238" i="26"/>
  <c r="J238" i="26"/>
  <c r="I238" i="26"/>
  <c r="T330" i="16"/>
  <c r="AP329" i="16"/>
  <c r="AY329" i="16"/>
  <c r="AZ329" i="16" s="1"/>
  <c r="BA329" i="16" s="1"/>
  <c r="AK329" i="16"/>
  <c r="AA329" i="16"/>
  <c r="AF329" i="16"/>
  <c r="V329" i="16"/>
  <c r="AU329" i="16"/>
  <c r="T172" i="35" l="1"/>
  <c r="L172" i="35"/>
  <c r="K172" i="35"/>
  <c r="J172" i="35"/>
  <c r="I172" i="35"/>
  <c r="H173" i="35"/>
  <c r="T169" i="34"/>
  <c r="G172" i="34"/>
  <c r="I172" i="31"/>
  <c r="L172" i="31"/>
  <c r="J172" i="31"/>
  <c r="K172" i="31"/>
  <c r="T169" i="31"/>
  <c r="U170" i="31" s="1"/>
  <c r="BB330" i="16"/>
  <c r="BC329" i="16"/>
  <c r="BD329" i="16"/>
  <c r="AQ330" i="16"/>
  <c r="AR329" i="16"/>
  <c r="AS329" i="16" s="1"/>
  <c r="AM329" i="16"/>
  <c r="AL330" i="16"/>
  <c r="AN329" i="16"/>
  <c r="X329" i="16"/>
  <c r="W330" i="16"/>
  <c r="AH329" i="16"/>
  <c r="AI329" i="16" s="1"/>
  <c r="AG330" i="16"/>
  <c r="AC329" i="16"/>
  <c r="AD329" i="16" s="1"/>
  <c r="AB330" i="16"/>
  <c r="Y329" i="16"/>
  <c r="AW330" i="16"/>
  <c r="AX330" i="16" s="1"/>
  <c r="AV331" i="16"/>
  <c r="T299" i="26"/>
  <c r="U300" i="26" s="1"/>
  <c r="V298" i="26"/>
  <c r="W298" i="26"/>
  <c r="Y298" i="26"/>
  <c r="X298" i="26"/>
  <c r="H240" i="26"/>
  <c r="L239" i="26"/>
  <c r="K239" i="26"/>
  <c r="J239" i="26"/>
  <c r="I239" i="26"/>
  <c r="T331" i="16"/>
  <c r="AY330" i="16"/>
  <c r="AZ330" i="16" s="1"/>
  <c r="BA330" i="16" s="1"/>
  <c r="AF330" i="16"/>
  <c r="AP330" i="16"/>
  <c r="AK330" i="16"/>
  <c r="AA330" i="16"/>
  <c r="AU330" i="16"/>
  <c r="V330" i="16"/>
  <c r="G173" i="35" l="1"/>
  <c r="Y172" i="35"/>
  <c r="X172" i="35"/>
  <c r="W172" i="35"/>
  <c r="V172" i="35"/>
  <c r="U173" i="35"/>
  <c r="K172" i="34"/>
  <c r="J172" i="34"/>
  <c r="I172" i="34"/>
  <c r="L172" i="34"/>
  <c r="H173" i="34"/>
  <c r="Y169" i="34"/>
  <c r="X169" i="34"/>
  <c r="W169" i="34"/>
  <c r="V169" i="34"/>
  <c r="U170" i="34"/>
  <c r="Y169" i="31"/>
  <c r="X169" i="31"/>
  <c r="V169" i="31"/>
  <c r="W169" i="31"/>
  <c r="G173" i="31"/>
  <c r="H174" i="31" s="1"/>
  <c r="BB331" i="16"/>
  <c r="BC330" i="16"/>
  <c r="BD330" i="16"/>
  <c r="AQ331" i="16"/>
  <c r="AR330" i="16"/>
  <c r="AS330" i="16"/>
  <c r="AM330" i="16"/>
  <c r="AN330" i="16" s="1"/>
  <c r="AL331" i="16"/>
  <c r="AH330" i="16"/>
  <c r="AG331" i="16"/>
  <c r="AC330" i="16"/>
  <c r="AB331" i="16"/>
  <c r="AD330" i="16"/>
  <c r="AI330" i="16"/>
  <c r="X330" i="16"/>
  <c r="Y330" i="16" s="1"/>
  <c r="W331" i="16"/>
  <c r="AW331" i="16"/>
  <c r="AX331" i="16" s="1"/>
  <c r="AV332" i="16"/>
  <c r="T300" i="26"/>
  <c r="U301" i="26" s="1"/>
  <c r="W299" i="26"/>
  <c r="X299" i="26"/>
  <c r="V299" i="26"/>
  <c r="Y299" i="26"/>
  <c r="G240" i="26"/>
  <c r="H241" i="26" s="1"/>
  <c r="G241" i="26" s="1"/>
  <c r="T332" i="16"/>
  <c r="AY331" i="16"/>
  <c r="AZ331" i="16" s="1"/>
  <c r="BA331" i="16" s="1"/>
  <c r="AP331" i="16"/>
  <c r="AK331" i="16"/>
  <c r="AF331" i="16"/>
  <c r="AA331" i="16"/>
  <c r="AU331" i="16"/>
  <c r="V331" i="16"/>
  <c r="T173" i="35" l="1"/>
  <c r="L173" i="35"/>
  <c r="K173" i="35"/>
  <c r="I173" i="35"/>
  <c r="J173" i="35"/>
  <c r="H174" i="35"/>
  <c r="T170" i="34"/>
  <c r="G173" i="34"/>
  <c r="L173" i="31"/>
  <c r="I173" i="31"/>
  <c r="K173" i="31"/>
  <c r="J173" i="31"/>
  <c r="T170" i="31"/>
  <c r="U171" i="31" s="1"/>
  <c r="BB332" i="16"/>
  <c r="BC331" i="16"/>
  <c r="BD331" i="16" s="1"/>
  <c r="AQ332" i="16"/>
  <c r="AR331" i="16"/>
  <c r="AS331" i="16"/>
  <c r="AL332" i="16"/>
  <c r="AM331" i="16"/>
  <c r="AN331" i="16" s="1"/>
  <c r="W332" i="16"/>
  <c r="X331" i="16"/>
  <c r="AC331" i="16"/>
  <c r="AD331" i="16" s="1"/>
  <c r="AB332" i="16"/>
  <c r="AG332" i="16"/>
  <c r="AH331" i="16"/>
  <c r="AI331" i="16" s="1"/>
  <c r="Y331" i="16"/>
  <c r="AV333" i="16"/>
  <c r="AW332" i="16"/>
  <c r="AX332" i="16" s="1"/>
  <c r="T301" i="26"/>
  <c r="U302" i="26" s="1"/>
  <c r="W300" i="26"/>
  <c r="X300" i="26"/>
  <c r="V300" i="26"/>
  <c r="Y300" i="26"/>
  <c r="H242" i="26"/>
  <c r="L241" i="26"/>
  <c r="K241" i="26"/>
  <c r="J241" i="26"/>
  <c r="I241" i="26"/>
  <c r="L240" i="26"/>
  <c r="K240" i="26"/>
  <c r="J240" i="26"/>
  <c r="I240" i="26"/>
  <c r="AY332" i="16"/>
  <c r="AZ332" i="16" s="1"/>
  <c r="BA332" i="16" s="1"/>
  <c r="AP332" i="16"/>
  <c r="AK332" i="16"/>
  <c r="AF332" i="16"/>
  <c r="AA332" i="16"/>
  <c r="T333" i="16"/>
  <c r="AU332" i="16"/>
  <c r="V332" i="16"/>
  <c r="G174" i="35" l="1"/>
  <c r="Y173" i="35"/>
  <c r="X173" i="35"/>
  <c r="W173" i="35"/>
  <c r="V173" i="35"/>
  <c r="U174" i="35"/>
  <c r="K173" i="34"/>
  <c r="J173" i="34"/>
  <c r="I173" i="34"/>
  <c r="L173" i="34"/>
  <c r="H174" i="34"/>
  <c r="Y170" i="34"/>
  <c r="X170" i="34"/>
  <c r="W170" i="34"/>
  <c r="V170" i="34"/>
  <c r="U171" i="34"/>
  <c r="Y170" i="31"/>
  <c r="X170" i="31"/>
  <c r="W170" i="31"/>
  <c r="V170" i="31"/>
  <c r="G174" i="31"/>
  <c r="H175" i="31" s="1"/>
  <c r="BB333" i="16"/>
  <c r="BC332" i="16"/>
  <c r="BD332" i="16"/>
  <c r="AQ333" i="16"/>
  <c r="AR332" i="16"/>
  <c r="AS332" i="16" s="1"/>
  <c r="AL333" i="16"/>
  <c r="AM332" i="16"/>
  <c r="AN332" i="16"/>
  <c r="X332" i="16"/>
  <c r="Y332" i="16" s="1"/>
  <c r="W333" i="16"/>
  <c r="AC332" i="16"/>
  <c r="AD332" i="16" s="1"/>
  <c r="AB333" i="16"/>
  <c r="AG333" i="16"/>
  <c r="AH332" i="16"/>
  <c r="AI332" i="16" s="1"/>
  <c r="AV334" i="16"/>
  <c r="AW333" i="16"/>
  <c r="AX333" i="16" s="1"/>
  <c r="T302" i="26"/>
  <c r="U303" i="26" s="1"/>
  <c r="V301" i="26"/>
  <c r="X301" i="26"/>
  <c r="W301" i="26"/>
  <c r="Y301" i="26"/>
  <c r="G242" i="26"/>
  <c r="H243" i="26" s="1"/>
  <c r="T334" i="16"/>
  <c r="AY333" i="16"/>
  <c r="AZ333" i="16" s="1"/>
  <c r="BA333" i="16" s="1"/>
  <c r="AF333" i="16"/>
  <c r="AP333" i="16"/>
  <c r="AK333" i="16"/>
  <c r="AA333" i="16"/>
  <c r="AU333" i="16"/>
  <c r="V333" i="16"/>
  <c r="T174" i="35" l="1"/>
  <c r="J174" i="35"/>
  <c r="I174" i="35"/>
  <c r="L174" i="35"/>
  <c r="K174" i="35"/>
  <c r="H175" i="35"/>
  <c r="T171" i="34"/>
  <c r="G174" i="34"/>
  <c r="L174" i="31"/>
  <c r="K174" i="31"/>
  <c r="J174" i="31"/>
  <c r="I174" i="31"/>
  <c r="T171" i="31"/>
  <c r="U172" i="31" s="1"/>
  <c r="BB334" i="16"/>
  <c r="BC333" i="16"/>
  <c r="BD333" i="16" s="1"/>
  <c r="AQ334" i="16"/>
  <c r="AR333" i="16"/>
  <c r="AS333" i="16"/>
  <c r="AM333" i="16"/>
  <c r="AN333" i="16" s="1"/>
  <c r="AL334" i="16"/>
  <c r="X333" i="16"/>
  <c r="Y333" i="16" s="1"/>
  <c r="W334" i="16"/>
  <c r="AC333" i="16"/>
  <c r="AB334" i="16"/>
  <c r="AD333" i="16"/>
  <c r="AH333" i="16"/>
  <c r="AI333" i="16" s="1"/>
  <c r="AG334" i="16"/>
  <c r="AW334" i="16"/>
  <c r="AX334" i="16" s="1"/>
  <c r="AV335" i="16"/>
  <c r="T303" i="26"/>
  <c r="U304" i="26" s="1"/>
  <c r="W302" i="26"/>
  <c r="Y302" i="26"/>
  <c r="X302" i="26"/>
  <c r="V302" i="26"/>
  <c r="G243" i="26"/>
  <c r="L242" i="26"/>
  <c r="K242" i="26"/>
  <c r="J242" i="26"/>
  <c r="I242" i="26"/>
  <c r="T335" i="16"/>
  <c r="AY334" i="16"/>
  <c r="AZ334" i="16" s="1"/>
  <c r="BA334" i="16" s="1"/>
  <c r="AP334" i="16"/>
  <c r="AK334" i="16"/>
  <c r="AA334" i="16"/>
  <c r="V334" i="16"/>
  <c r="AF334" i="16"/>
  <c r="AU334" i="16"/>
  <c r="G175" i="35" l="1"/>
  <c r="Y174" i="35"/>
  <c r="X174" i="35"/>
  <c r="W174" i="35"/>
  <c r="V174" i="35"/>
  <c r="U175" i="35"/>
  <c r="K174" i="34"/>
  <c r="J174" i="34"/>
  <c r="I174" i="34"/>
  <c r="L174" i="34"/>
  <c r="H175" i="34"/>
  <c r="Y171" i="34"/>
  <c r="X171" i="34"/>
  <c r="W171" i="34"/>
  <c r="V171" i="34"/>
  <c r="U172" i="34"/>
  <c r="Y171" i="31"/>
  <c r="X171" i="31"/>
  <c r="W171" i="31"/>
  <c r="V171" i="31"/>
  <c r="G175" i="31"/>
  <c r="H176" i="31" s="1"/>
  <c r="BB335" i="16"/>
  <c r="BC334" i="16"/>
  <c r="BD334" i="16"/>
  <c r="AQ335" i="16"/>
  <c r="AR334" i="16"/>
  <c r="AS334" i="16"/>
  <c r="AM334" i="16"/>
  <c r="AN334" i="16" s="1"/>
  <c r="AL335" i="16"/>
  <c r="AG335" i="16"/>
  <c r="AH334" i="16"/>
  <c r="AI334" i="16" s="1"/>
  <c r="AC334" i="16"/>
  <c r="AD334" i="16" s="1"/>
  <c r="AB335" i="16"/>
  <c r="X334" i="16"/>
  <c r="Y334" i="16" s="1"/>
  <c r="W335" i="16"/>
  <c r="AV336" i="16"/>
  <c r="AW335" i="16"/>
  <c r="AX335" i="16" s="1"/>
  <c r="T304" i="26"/>
  <c r="U305" i="26" s="1"/>
  <c r="W303" i="26"/>
  <c r="V303" i="26"/>
  <c r="Y303" i="26"/>
  <c r="X303" i="26"/>
  <c r="L243" i="26"/>
  <c r="K243" i="26"/>
  <c r="J243" i="26"/>
  <c r="I243" i="26"/>
  <c r="H244" i="26"/>
  <c r="G244" i="26" s="1"/>
  <c r="T336" i="16"/>
  <c r="AY335" i="16"/>
  <c r="AZ335" i="16" s="1"/>
  <c r="BA335" i="16" s="1"/>
  <c r="AF335" i="16"/>
  <c r="AP335" i="16"/>
  <c r="AK335" i="16"/>
  <c r="AA335" i="16"/>
  <c r="V335" i="16"/>
  <c r="AU335" i="16"/>
  <c r="T175" i="35" l="1"/>
  <c r="K175" i="35"/>
  <c r="L175" i="35"/>
  <c r="J175" i="35"/>
  <c r="I175" i="35"/>
  <c r="H176" i="35"/>
  <c r="T172" i="34"/>
  <c r="G175" i="34"/>
  <c r="L175" i="31"/>
  <c r="K175" i="31"/>
  <c r="I175" i="31"/>
  <c r="J175" i="31"/>
  <c r="T172" i="31"/>
  <c r="U173" i="31" s="1"/>
  <c r="BB336" i="16"/>
  <c r="BC335" i="16"/>
  <c r="BD335" i="16" s="1"/>
  <c r="AQ336" i="16"/>
  <c r="AR335" i="16"/>
  <c r="AS335" i="16"/>
  <c r="AM335" i="16"/>
  <c r="AL336" i="16"/>
  <c r="AN335" i="16"/>
  <c r="AC335" i="16"/>
  <c r="AD335" i="16" s="1"/>
  <c r="AB336" i="16"/>
  <c r="X335" i="16"/>
  <c r="Y335" i="16" s="1"/>
  <c r="W336" i="16"/>
  <c r="AG336" i="16"/>
  <c r="AH335" i="16"/>
  <c r="AI335" i="16" s="1"/>
  <c r="AW336" i="16"/>
  <c r="AX336" i="16" s="1"/>
  <c r="AV337" i="16"/>
  <c r="T305" i="26"/>
  <c r="U306" i="26" s="1"/>
  <c r="V304" i="26"/>
  <c r="W304" i="26"/>
  <c r="Y304" i="26"/>
  <c r="X304" i="26"/>
  <c r="H245" i="26"/>
  <c r="G245" i="26" s="1"/>
  <c r="K244" i="26"/>
  <c r="J244" i="26"/>
  <c r="L244" i="26"/>
  <c r="I244" i="26"/>
  <c r="T337" i="16"/>
  <c r="AY336" i="16"/>
  <c r="AZ336" i="16" s="1"/>
  <c r="BA336" i="16" s="1"/>
  <c r="AP336" i="16"/>
  <c r="AF336" i="16"/>
  <c r="AK336" i="16"/>
  <c r="AA336" i="16"/>
  <c r="AU336" i="16"/>
  <c r="V336" i="16"/>
  <c r="G176" i="35" l="1"/>
  <c r="V175" i="35"/>
  <c r="Y175" i="35"/>
  <c r="X175" i="35"/>
  <c r="W175" i="35"/>
  <c r="U176" i="35"/>
  <c r="K175" i="34"/>
  <c r="J175" i="34"/>
  <c r="I175" i="34"/>
  <c r="L175" i="34"/>
  <c r="H176" i="34"/>
  <c r="Y172" i="34"/>
  <c r="X172" i="34"/>
  <c r="W172" i="34"/>
  <c r="V172" i="34"/>
  <c r="U173" i="34"/>
  <c r="Y172" i="31"/>
  <c r="X172" i="31"/>
  <c r="W172" i="31"/>
  <c r="V172" i="31"/>
  <c r="G176" i="31"/>
  <c r="H177" i="31" s="1"/>
  <c r="BB337" i="16"/>
  <c r="BC336" i="16"/>
  <c r="BD336" i="16" s="1"/>
  <c r="AQ337" i="16"/>
  <c r="AR336" i="16"/>
  <c r="AS336" i="16"/>
  <c r="AM336" i="16"/>
  <c r="AN336" i="16" s="1"/>
  <c r="AL337" i="16"/>
  <c r="X336" i="16"/>
  <c r="Y336" i="16" s="1"/>
  <c r="W337" i="16"/>
  <c r="AC336" i="16"/>
  <c r="AD336" i="16" s="1"/>
  <c r="AB337" i="16"/>
  <c r="AG337" i="16"/>
  <c r="AH336" i="16"/>
  <c r="AI336" i="16" s="1"/>
  <c r="AW337" i="16"/>
  <c r="AX337" i="16" s="1"/>
  <c r="AV338" i="16"/>
  <c r="T306" i="26"/>
  <c r="U307" i="26" s="1"/>
  <c r="X305" i="26"/>
  <c r="W305" i="26"/>
  <c r="V305" i="26"/>
  <c r="Y305" i="26"/>
  <c r="H246" i="26"/>
  <c r="G246" i="26" s="1"/>
  <c r="K245" i="26"/>
  <c r="J245" i="26"/>
  <c r="I245" i="26"/>
  <c r="L245" i="26"/>
  <c r="T338" i="16"/>
  <c r="AY337" i="16"/>
  <c r="AZ337" i="16" s="1"/>
  <c r="BA337" i="16" s="1"/>
  <c r="AP337" i="16"/>
  <c r="AK337" i="16"/>
  <c r="AF337" i="16"/>
  <c r="AA337" i="16"/>
  <c r="AU337" i="16"/>
  <c r="V337" i="16"/>
  <c r="T176" i="35" l="1"/>
  <c r="K176" i="35"/>
  <c r="I176" i="35"/>
  <c r="L176" i="35"/>
  <c r="J176" i="35"/>
  <c r="H177" i="35"/>
  <c r="T173" i="34"/>
  <c r="G176" i="34"/>
  <c r="I176" i="31"/>
  <c r="L176" i="31"/>
  <c r="K176" i="31"/>
  <c r="J176" i="31"/>
  <c r="T173" i="31"/>
  <c r="U174" i="31" s="1"/>
  <c r="BB338" i="16"/>
  <c r="BC337" i="16"/>
  <c r="BD337" i="16"/>
  <c r="AQ338" i="16"/>
  <c r="AR337" i="16"/>
  <c r="AS337" i="16" s="1"/>
  <c r="AM337" i="16"/>
  <c r="AN337" i="16" s="1"/>
  <c r="AL338" i="16"/>
  <c r="AH337" i="16"/>
  <c r="AG338" i="16"/>
  <c r="W338" i="16"/>
  <c r="X337" i="16"/>
  <c r="Y337" i="16" s="1"/>
  <c r="AI337" i="16"/>
  <c r="AC337" i="16"/>
  <c r="AD337" i="16" s="1"/>
  <c r="AB338" i="16"/>
  <c r="AV339" i="16"/>
  <c r="AW338" i="16"/>
  <c r="AX338" i="16" s="1"/>
  <c r="T307" i="26"/>
  <c r="U308" i="26" s="1"/>
  <c r="X306" i="26"/>
  <c r="Y306" i="26"/>
  <c r="V306" i="26"/>
  <c r="W306" i="26"/>
  <c r="H247" i="26"/>
  <c r="G247" i="26" s="1"/>
  <c r="J246" i="26"/>
  <c r="K246" i="26"/>
  <c r="I246" i="26"/>
  <c r="L246" i="26"/>
  <c r="T339" i="16"/>
  <c r="AY338" i="16"/>
  <c r="AZ338" i="16" s="1"/>
  <c r="BA338" i="16" s="1"/>
  <c r="AP338" i="16"/>
  <c r="AK338" i="16"/>
  <c r="AF338" i="16"/>
  <c r="AA338" i="16"/>
  <c r="AU338" i="16"/>
  <c r="V338" i="16"/>
  <c r="G177" i="35" l="1"/>
  <c r="Y176" i="35"/>
  <c r="X176" i="35"/>
  <c r="W176" i="35"/>
  <c r="V176" i="35"/>
  <c r="U177" i="35"/>
  <c r="K176" i="34"/>
  <c r="J176" i="34"/>
  <c r="I176" i="34"/>
  <c r="L176" i="34"/>
  <c r="H177" i="34"/>
  <c r="Y173" i="34"/>
  <c r="X173" i="34"/>
  <c r="W173" i="34"/>
  <c r="V173" i="34"/>
  <c r="U174" i="34"/>
  <c r="Y173" i="31"/>
  <c r="X173" i="31"/>
  <c r="W173" i="31"/>
  <c r="V173" i="31"/>
  <c r="G177" i="31"/>
  <c r="H178" i="31" s="1"/>
  <c r="BB339" i="16"/>
  <c r="BC338" i="16"/>
  <c r="BD338" i="16" s="1"/>
  <c r="AQ339" i="16"/>
  <c r="AR338" i="16"/>
  <c r="AS338" i="16"/>
  <c r="AM338" i="16"/>
  <c r="AL339" i="16"/>
  <c r="AN338" i="16"/>
  <c r="AB339" i="16"/>
  <c r="AC338" i="16"/>
  <c r="AD338" i="16" s="1"/>
  <c r="X338" i="16"/>
  <c r="Y338" i="16" s="1"/>
  <c r="W339" i="16"/>
  <c r="AG339" i="16"/>
  <c r="AH338" i="16"/>
  <c r="AI338" i="16" s="1"/>
  <c r="AV340" i="16"/>
  <c r="AW339" i="16"/>
  <c r="AX339" i="16" s="1"/>
  <c r="T308" i="26"/>
  <c r="U309" i="26" s="1"/>
  <c r="V307" i="26"/>
  <c r="W307" i="26"/>
  <c r="Y307" i="26"/>
  <c r="X307" i="26"/>
  <c r="H248" i="26"/>
  <c r="G248" i="26" s="1"/>
  <c r="L247" i="26"/>
  <c r="J247" i="26"/>
  <c r="K247" i="26"/>
  <c r="I247" i="26"/>
  <c r="T340" i="16"/>
  <c r="AY339" i="16"/>
  <c r="AZ339" i="16" s="1"/>
  <c r="BA339" i="16" s="1"/>
  <c r="AP339" i="16"/>
  <c r="AK339" i="16"/>
  <c r="AF339" i="16"/>
  <c r="AA339" i="16"/>
  <c r="V339" i="16"/>
  <c r="AU339" i="16"/>
  <c r="T177" i="35" l="1"/>
  <c r="K177" i="35"/>
  <c r="I177" i="35"/>
  <c r="L177" i="35"/>
  <c r="J177" i="35"/>
  <c r="H178" i="35"/>
  <c r="T174" i="34"/>
  <c r="G177" i="34"/>
  <c r="L177" i="31"/>
  <c r="I177" i="31"/>
  <c r="K177" i="31"/>
  <c r="J177" i="31"/>
  <c r="T174" i="31"/>
  <c r="U175" i="31" s="1"/>
  <c r="BB340" i="16"/>
  <c r="BC339" i="16"/>
  <c r="BD339" i="16" s="1"/>
  <c r="AQ340" i="16"/>
  <c r="AR339" i="16"/>
  <c r="AS339" i="16"/>
  <c r="AM339" i="16"/>
  <c r="AL340" i="16"/>
  <c r="AN339" i="16"/>
  <c r="X339" i="16"/>
  <c r="W340" i="16"/>
  <c r="AG340" i="16"/>
  <c r="AH339" i="16"/>
  <c r="AI339" i="16" s="1"/>
  <c r="AC339" i="16"/>
  <c r="AD339" i="16" s="1"/>
  <c r="AB340" i="16"/>
  <c r="Y339" i="16"/>
  <c r="AV341" i="16"/>
  <c r="AW340" i="16"/>
  <c r="AX340" i="16" s="1"/>
  <c r="T309" i="26"/>
  <c r="U310" i="26" s="1"/>
  <c r="X308" i="26"/>
  <c r="V308" i="26"/>
  <c r="W308" i="26"/>
  <c r="Y308" i="26"/>
  <c r="H249" i="26"/>
  <c r="G249" i="26" s="1"/>
  <c r="L248" i="26"/>
  <c r="J248" i="26"/>
  <c r="K248" i="26"/>
  <c r="I248" i="26"/>
  <c r="T341" i="16"/>
  <c r="AY340" i="16"/>
  <c r="AZ340" i="16" s="1"/>
  <c r="BA340" i="16" s="1"/>
  <c r="AP340" i="16"/>
  <c r="AK340" i="16"/>
  <c r="AA340" i="16"/>
  <c r="AF340" i="16"/>
  <c r="AU340" i="16"/>
  <c r="V340" i="16"/>
  <c r="G178" i="35" l="1"/>
  <c r="Y177" i="35"/>
  <c r="X177" i="35"/>
  <c r="W177" i="35"/>
  <c r="V177" i="35"/>
  <c r="U178" i="35"/>
  <c r="K177" i="34"/>
  <c r="J177" i="34"/>
  <c r="I177" i="34"/>
  <c r="L177" i="34"/>
  <c r="H178" i="34"/>
  <c r="Y174" i="34"/>
  <c r="X174" i="34"/>
  <c r="W174" i="34"/>
  <c r="V174" i="34"/>
  <c r="U175" i="34"/>
  <c r="Y174" i="31"/>
  <c r="X174" i="31"/>
  <c r="W174" i="31"/>
  <c r="V174" i="31"/>
  <c r="G178" i="31"/>
  <c r="H179" i="31" s="1"/>
  <c r="BB341" i="16"/>
  <c r="BC340" i="16"/>
  <c r="BD340" i="16"/>
  <c r="AQ341" i="16"/>
  <c r="AR340" i="16"/>
  <c r="AS340" i="16"/>
  <c r="AM340" i="16"/>
  <c r="AN340" i="16" s="1"/>
  <c r="AL341" i="16"/>
  <c r="AH340" i="16"/>
  <c r="AG341" i="16"/>
  <c r="AI340" i="16"/>
  <c r="W341" i="16"/>
  <c r="X340" i="16"/>
  <c r="Y340" i="16" s="1"/>
  <c r="AC340" i="16"/>
  <c r="AD340" i="16" s="1"/>
  <c r="AB341" i="16"/>
  <c r="AV342" i="16"/>
  <c r="AW341" i="16"/>
  <c r="AX341" i="16" s="1"/>
  <c r="T310" i="26"/>
  <c r="U311" i="26" s="1"/>
  <c r="W309" i="26"/>
  <c r="V309" i="26"/>
  <c r="X309" i="26"/>
  <c r="Y309" i="26"/>
  <c r="H250" i="26"/>
  <c r="G250" i="26" s="1"/>
  <c r="L249" i="26"/>
  <c r="K249" i="26"/>
  <c r="I249" i="26"/>
  <c r="J249" i="26"/>
  <c r="T342" i="16"/>
  <c r="AY341" i="16"/>
  <c r="AZ341" i="16" s="1"/>
  <c r="BA341" i="16" s="1"/>
  <c r="AP341" i="16"/>
  <c r="AK341" i="16"/>
  <c r="AF341" i="16"/>
  <c r="AA341" i="16"/>
  <c r="AU341" i="16"/>
  <c r="V341" i="16"/>
  <c r="T178" i="35" l="1"/>
  <c r="K178" i="35"/>
  <c r="I178" i="35"/>
  <c r="L178" i="35"/>
  <c r="J178" i="35"/>
  <c r="H179" i="35"/>
  <c r="T175" i="34"/>
  <c r="G178" i="34"/>
  <c r="L178" i="31"/>
  <c r="K178" i="31"/>
  <c r="J178" i="31"/>
  <c r="I178" i="31"/>
  <c r="T175" i="31"/>
  <c r="U176" i="31" s="1"/>
  <c r="BB342" i="16"/>
  <c r="BC341" i="16"/>
  <c r="BD341" i="16" s="1"/>
  <c r="AQ342" i="16"/>
  <c r="AR341" i="16"/>
  <c r="AS341" i="16"/>
  <c r="AM341" i="16"/>
  <c r="AN341" i="16" s="1"/>
  <c r="AL342" i="16"/>
  <c r="W342" i="16"/>
  <c r="X341" i="16"/>
  <c r="AH341" i="16"/>
  <c r="AG342" i="16"/>
  <c r="AI341" i="16"/>
  <c r="AB342" i="16"/>
  <c r="AC341" i="16"/>
  <c r="AD341" i="16" s="1"/>
  <c r="Y341" i="16"/>
  <c r="AW342" i="16"/>
  <c r="AX342" i="16" s="1"/>
  <c r="AV343" i="16"/>
  <c r="T311" i="26"/>
  <c r="U312" i="26" s="1"/>
  <c r="V310" i="26"/>
  <c r="W310" i="26"/>
  <c r="Y310" i="26"/>
  <c r="X310" i="26"/>
  <c r="H251" i="26"/>
  <c r="G251" i="26" s="1"/>
  <c r="L250" i="26"/>
  <c r="K250" i="26"/>
  <c r="I250" i="26"/>
  <c r="J250" i="26"/>
  <c r="T343" i="16"/>
  <c r="AY342" i="16"/>
  <c r="AZ342" i="16" s="1"/>
  <c r="BA342" i="16" s="1"/>
  <c r="AP342" i="16"/>
  <c r="AF342" i="16"/>
  <c r="AK342" i="16"/>
  <c r="AA342" i="16"/>
  <c r="V342" i="16"/>
  <c r="AU342" i="16"/>
  <c r="G179" i="35" l="1"/>
  <c r="V178" i="35"/>
  <c r="Y178" i="35"/>
  <c r="X178" i="35"/>
  <c r="W178" i="35"/>
  <c r="U179" i="35"/>
  <c r="K178" i="34"/>
  <c r="J178" i="34"/>
  <c r="I178" i="34"/>
  <c r="L178" i="34"/>
  <c r="H179" i="34"/>
  <c r="Y175" i="34"/>
  <c r="X175" i="34"/>
  <c r="W175" i="34"/>
  <c r="V175" i="34"/>
  <c r="U176" i="34"/>
  <c r="Y175" i="31"/>
  <c r="X175" i="31"/>
  <c r="W175" i="31"/>
  <c r="V175" i="31"/>
  <c r="G179" i="31"/>
  <c r="H180" i="31" s="1"/>
  <c r="BB343" i="16"/>
  <c r="BC342" i="16"/>
  <c r="BD342" i="16"/>
  <c r="AQ343" i="16"/>
  <c r="AR342" i="16"/>
  <c r="AS342" i="16"/>
  <c r="AM342" i="16"/>
  <c r="AN342" i="16" s="1"/>
  <c r="AL343" i="16"/>
  <c r="X342" i="16"/>
  <c r="Y342" i="16" s="1"/>
  <c r="W343" i="16"/>
  <c r="AH342" i="16"/>
  <c r="AI342" i="16" s="1"/>
  <c r="AG343" i="16"/>
  <c r="AB343" i="16"/>
  <c r="AC342" i="16"/>
  <c r="AD342" i="16" s="1"/>
  <c r="AW343" i="16"/>
  <c r="AX343" i="16" s="1"/>
  <c r="AV344" i="16"/>
  <c r="T312" i="26"/>
  <c r="U313" i="26" s="1"/>
  <c r="X311" i="26"/>
  <c r="W311" i="26"/>
  <c r="V311" i="26"/>
  <c r="Y311" i="26"/>
  <c r="H252" i="26"/>
  <c r="L251" i="26"/>
  <c r="K251" i="26"/>
  <c r="J251" i="26"/>
  <c r="I251" i="26"/>
  <c r="T344" i="16"/>
  <c r="AY343" i="16"/>
  <c r="AZ343" i="16" s="1"/>
  <c r="BA343" i="16" s="1"/>
  <c r="AP343" i="16"/>
  <c r="AK343" i="16"/>
  <c r="AF343" i="16"/>
  <c r="AA343" i="16"/>
  <c r="V343" i="16"/>
  <c r="AU343" i="16"/>
  <c r="T179" i="35" l="1"/>
  <c r="K179" i="35"/>
  <c r="I179" i="35"/>
  <c r="L179" i="35"/>
  <c r="J179" i="35"/>
  <c r="H180" i="35"/>
  <c r="T176" i="34"/>
  <c r="G179" i="34"/>
  <c r="L179" i="31"/>
  <c r="K179" i="31"/>
  <c r="I179" i="31"/>
  <c r="J179" i="31"/>
  <c r="T176" i="31"/>
  <c r="U177" i="31" s="1"/>
  <c r="BB344" i="16"/>
  <c r="BC343" i="16"/>
  <c r="BD343" i="16" s="1"/>
  <c r="AQ344" i="16"/>
  <c r="AR343" i="16"/>
  <c r="AS343" i="16" s="1"/>
  <c r="AL344" i="16"/>
  <c r="AM343" i="16"/>
  <c r="AN343" i="16" s="1"/>
  <c r="AC343" i="16"/>
  <c r="AD343" i="16" s="1"/>
  <c r="AB344" i="16"/>
  <c r="W344" i="16"/>
  <c r="X343" i="16"/>
  <c r="Y343" i="16" s="1"/>
  <c r="AG344" i="16"/>
  <c r="AH343" i="16"/>
  <c r="AI343" i="16" s="1"/>
  <c r="AV345" i="16"/>
  <c r="AW344" i="16"/>
  <c r="AX344" i="16" s="1"/>
  <c r="T313" i="26"/>
  <c r="U314" i="26" s="1"/>
  <c r="W312" i="26"/>
  <c r="V312" i="26"/>
  <c r="Y312" i="26"/>
  <c r="X312" i="26"/>
  <c r="G252" i="26"/>
  <c r="T345" i="16"/>
  <c r="AY344" i="16"/>
  <c r="AZ344" i="16" s="1"/>
  <c r="BA344" i="16" s="1"/>
  <c r="AP344" i="16"/>
  <c r="AK344" i="16"/>
  <c r="AF344" i="16"/>
  <c r="AA344" i="16"/>
  <c r="V344" i="16"/>
  <c r="AU344" i="16"/>
  <c r="G180" i="35" l="1"/>
  <c r="Y179" i="35"/>
  <c r="X179" i="35"/>
  <c r="W179" i="35"/>
  <c r="V179" i="35"/>
  <c r="U180" i="35"/>
  <c r="K179" i="34"/>
  <c r="J179" i="34"/>
  <c r="I179" i="34"/>
  <c r="L179" i="34"/>
  <c r="H180" i="34"/>
  <c r="Y176" i="34"/>
  <c r="X176" i="34"/>
  <c r="W176" i="34"/>
  <c r="V176" i="34"/>
  <c r="U177" i="34"/>
  <c r="Y176" i="31"/>
  <c r="X176" i="31"/>
  <c r="W176" i="31"/>
  <c r="V176" i="31"/>
  <c r="G180" i="31"/>
  <c r="H181" i="31" s="1"/>
  <c r="BB345" i="16"/>
  <c r="BC344" i="16"/>
  <c r="BD344" i="16"/>
  <c r="AQ345" i="16"/>
  <c r="AR344" i="16"/>
  <c r="AS344" i="16" s="1"/>
  <c r="AL345" i="16"/>
  <c r="AM344" i="16"/>
  <c r="AN344" i="16" s="1"/>
  <c r="AC344" i="16"/>
  <c r="AD344" i="16" s="1"/>
  <c r="AB345" i="16"/>
  <c r="W345" i="16"/>
  <c r="X344" i="16"/>
  <c r="Y344" i="16" s="1"/>
  <c r="AH344" i="16"/>
  <c r="AI344" i="16" s="1"/>
  <c r="AG345" i="16"/>
  <c r="AV346" i="16"/>
  <c r="AW345" i="16"/>
  <c r="AX345" i="16" s="1"/>
  <c r="T314" i="26"/>
  <c r="U315" i="26" s="1"/>
  <c r="V313" i="26"/>
  <c r="X313" i="26"/>
  <c r="W313" i="26"/>
  <c r="Y313" i="26"/>
  <c r="L252" i="26"/>
  <c r="K252" i="26"/>
  <c r="J252" i="26"/>
  <c r="I252" i="26"/>
  <c r="H253" i="26"/>
  <c r="G253" i="26" s="1"/>
  <c r="T346" i="16"/>
  <c r="AY345" i="16"/>
  <c r="AZ345" i="16" s="1"/>
  <c r="BA345" i="16" s="1"/>
  <c r="AP345" i="16"/>
  <c r="AF345" i="16"/>
  <c r="AK345" i="16"/>
  <c r="AA345" i="16"/>
  <c r="AU345" i="16"/>
  <c r="V345" i="16"/>
  <c r="T180" i="35" l="1"/>
  <c r="K180" i="35"/>
  <c r="I180" i="35"/>
  <c r="L180" i="35"/>
  <c r="J180" i="35"/>
  <c r="H181" i="35"/>
  <c r="T177" i="34"/>
  <c r="G180" i="34"/>
  <c r="I180" i="31"/>
  <c r="L180" i="31"/>
  <c r="K180" i="31"/>
  <c r="J180" i="31"/>
  <c r="T177" i="31"/>
  <c r="U178" i="31" s="1"/>
  <c r="BB346" i="16"/>
  <c r="BC345" i="16"/>
  <c r="BD345" i="16"/>
  <c r="AQ346" i="16"/>
  <c r="AR345" i="16"/>
  <c r="AS345" i="16"/>
  <c r="AM345" i="16"/>
  <c r="AN345" i="16" s="1"/>
  <c r="AL346" i="16"/>
  <c r="AB346" i="16"/>
  <c r="AC345" i="16"/>
  <c r="AD345" i="16" s="1"/>
  <c r="X345" i="16"/>
  <c r="Y345" i="16" s="1"/>
  <c r="W346" i="16"/>
  <c r="AH345" i="16"/>
  <c r="AI345" i="16" s="1"/>
  <c r="AG346" i="16"/>
  <c r="AW346" i="16"/>
  <c r="AX346" i="16" s="1"/>
  <c r="AV347" i="16"/>
  <c r="T315" i="26"/>
  <c r="U316" i="26" s="1"/>
  <c r="X314" i="26"/>
  <c r="Y314" i="26"/>
  <c r="W314" i="26"/>
  <c r="V314" i="26"/>
  <c r="H254" i="26"/>
  <c r="L253" i="26"/>
  <c r="K253" i="26"/>
  <c r="J253" i="26"/>
  <c r="I253" i="26"/>
  <c r="T347" i="16"/>
  <c r="AY346" i="16"/>
  <c r="AZ346" i="16" s="1"/>
  <c r="BA346" i="16" s="1"/>
  <c r="AK346" i="16"/>
  <c r="AP346" i="16"/>
  <c r="AF346" i="16"/>
  <c r="AA346" i="16"/>
  <c r="V346" i="16"/>
  <c r="AU346" i="16"/>
  <c r="G181" i="35" l="1"/>
  <c r="Y180" i="35"/>
  <c r="X180" i="35"/>
  <c r="W180" i="35"/>
  <c r="V180" i="35"/>
  <c r="U181" i="35"/>
  <c r="K180" i="34"/>
  <c r="J180" i="34"/>
  <c r="I180" i="34"/>
  <c r="L180" i="34"/>
  <c r="H181" i="34"/>
  <c r="Y177" i="34"/>
  <c r="X177" i="34"/>
  <c r="W177" i="34"/>
  <c r="V177" i="34"/>
  <c r="U178" i="34"/>
  <c r="Y177" i="31"/>
  <c r="X177" i="31"/>
  <c r="W177" i="31"/>
  <c r="V177" i="31"/>
  <c r="G181" i="31"/>
  <c r="H182" i="31" s="1"/>
  <c r="BB347" i="16"/>
  <c r="BC346" i="16"/>
  <c r="BD346" i="16" s="1"/>
  <c r="AR346" i="16"/>
  <c r="AQ347" i="16"/>
  <c r="AS346" i="16"/>
  <c r="AM346" i="16"/>
  <c r="AL347" i="16"/>
  <c r="AN346" i="16"/>
  <c r="X346" i="16"/>
  <c r="Y346" i="16" s="1"/>
  <c r="W347" i="16"/>
  <c r="AC346" i="16"/>
  <c r="AD346" i="16" s="1"/>
  <c r="AB347" i="16"/>
  <c r="AG347" i="16"/>
  <c r="AH346" i="16"/>
  <c r="AI346" i="16" s="1"/>
  <c r="AW347" i="16"/>
  <c r="AX347" i="16" s="1"/>
  <c r="AV348" i="16"/>
  <c r="T316" i="26"/>
  <c r="U317" i="26" s="1"/>
  <c r="W315" i="26"/>
  <c r="V315" i="26"/>
  <c r="Y315" i="26"/>
  <c r="X315" i="26"/>
  <c r="G254" i="26"/>
  <c r="H255" i="26" s="1"/>
  <c r="G255" i="26" s="1"/>
  <c r="T348" i="16"/>
  <c r="AF347" i="16"/>
  <c r="AY347" i="16"/>
  <c r="AZ347" i="16" s="1"/>
  <c r="BA347" i="16" s="1"/>
  <c r="AK347" i="16"/>
  <c r="AP347" i="16"/>
  <c r="AA347" i="16"/>
  <c r="AU347" i="16"/>
  <c r="V347" i="16"/>
  <c r="T181" i="35" l="1"/>
  <c r="L181" i="35"/>
  <c r="K181" i="35"/>
  <c r="I181" i="35"/>
  <c r="J181" i="35"/>
  <c r="H182" i="35"/>
  <c r="T178" i="34"/>
  <c r="G181" i="34"/>
  <c r="L181" i="31"/>
  <c r="I181" i="31"/>
  <c r="J181" i="31"/>
  <c r="K181" i="31"/>
  <c r="T178" i="31"/>
  <c r="U179" i="31" s="1"/>
  <c r="BB348" i="16"/>
  <c r="BC347" i="16"/>
  <c r="BD347" i="16" s="1"/>
  <c r="AQ348" i="16"/>
  <c r="AR347" i="16"/>
  <c r="AS347" i="16" s="1"/>
  <c r="AM347" i="16"/>
  <c r="AL348" i="16"/>
  <c r="AN347" i="16"/>
  <c r="AG348" i="16"/>
  <c r="AH347" i="16"/>
  <c r="AI347" i="16" s="1"/>
  <c r="AC347" i="16"/>
  <c r="AD347" i="16" s="1"/>
  <c r="AB348" i="16"/>
  <c r="X347" i="16"/>
  <c r="Y347" i="16" s="1"/>
  <c r="W348" i="16"/>
  <c r="AW348" i="16"/>
  <c r="AX348" i="16" s="1"/>
  <c r="AV349" i="16"/>
  <c r="T317" i="26"/>
  <c r="U318" i="26" s="1"/>
  <c r="X316" i="26"/>
  <c r="Y316" i="26"/>
  <c r="V316" i="26"/>
  <c r="W316" i="26"/>
  <c r="H256" i="26"/>
  <c r="G256" i="26" s="1"/>
  <c r="L255" i="26"/>
  <c r="K255" i="26"/>
  <c r="J255" i="26"/>
  <c r="I255" i="26"/>
  <c r="L254" i="26"/>
  <c r="K254" i="26"/>
  <c r="J254" i="26"/>
  <c r="I254" i="26"/>
  <c r="T349" i="16"/>
  <c r="AP348" i="16"/>
  <c r="AY348" i="16"/>
  <c r="AZ348" i="16" s="1"/>
  <c r="BA348" i="16" s="1"/>
  <c r="AF348" i="16"/>
  <c r="AK348" i="16"/>
  <c r="AA348" i="16"/>
  <c r="V348" i="16"/>
  <c r="AU348" i="16"/>
  <c r="G182" i="35" l="1"/>
  <c r="W181" i="35"/>
  <c r="V181" i="35"/>
  <c r="X181" i="35"/>
  <c r="Y181" i="35"/>
  <c r="U182" i="35"/>
  <c r="K181" i="34"/>
  <c r="J181" i="34"/>
  <c r="I181" i="34"/>
  <c r="L181" i="34"/>
  <c r="H182" i="34"/>
  <c r="Y178" i="34"/>
  <c r="X178" i="34"/>
  <c r="W178" i="34"/>
  <c r="V178" i="34"/>
  <c r="U179" i="34"/>
  <c r="Y178" i="31"/>
  <c r="X178" i="31"/>
  <c r="W178" i="31"/>
  <c r="V178" i="31"/>
  <c r="G182" i="31"/>
  <c r="H183" i="31" s="1"/>
  <c r="BC348" i="16"/>
  <c r="BB349" i="16"/>
  <c r="BD348" i="16"/>
  <c r="AQ349" i="16"/>
  <c r="AR348" i="16"/>
  <c r="AS348" i="16" s="1"/>
  <c r="AM348" i="16"/>
  <c r="AL349" i="16"/>
  <c r="AN348" i="16"/>
  <c r="X348" i="16"/>
  <c r="Y348" i="16" s="1"/>
  <c r="W349" i="16"/>
  <c r="AC348" i="16"/>
  <c r="AD348" i="16" s="1"/>
  <c r="AB349" i="16"/>
  <c r="AG349" i="16"/>
  <c r="AH348" i="16"/>
  <c r="AI348" i="16" s="1"/>
  <c r="AW349" i="16"/>
  <c r="AX349" i="16" s="1"/>
  <c r="AV350" i="16"/>
  <c r="T318" i="26"/>
  <c r="U319" i="26" s="1"/>
  <c r="W317" i="26"/>
  <c r="V317" i="26"/>
  <c r="X317" i="26"/>
  <c r="Y317" i="26"/>
  <c r="H257" i="26"/>
  <c r="G257" i="26" s="1"/>
  <c r="K256" i="26"/>
  <c r="J256" i="26"/>
  <c r="L256" i="26"/>
  <c r="I256" i="26"/>
  <c r="T350" i="16"/>
  <c r="AY349" i="16"/>
  <c r="AZ349" i="16" s="1"/>
  <c r="BA349" i="16" s="1"/>
  <c r="AP349" i="16"/>
  <c r="AK349" i="16"/>
  <c r="AF349" i="16"/>
  <c r="AA349" i="16"/>
  <c r="AU349" i="16"/>
  <c r="V349" i="16"/>
  <c r="T182" i="35" l="1"/>
  <c r="L182" i="35"/>
  <c r="K182" i="35"/>
  <c r="I182" i="35"/>
  <c r="J182" i="35"/>
  <c r="H183" i="35"/>
  <c r="T179" i="34"/>
  <c r="G182" i="34"/>
  <c r="L182" i="31"/>
  <c r="K182" i="31"/>
  <c r="J182" i="31"/>
  <c r="I182" i="31"/>
  <c r="T179" i="31"/>
  <c r="U180" i="31" s="1"/>
  <c r="BC349" i="16"/>
  <c r="BB350" i="16"/>
  <c r="BD349" i="16"/>
  <c r="AQ350" i="16"/>
  <c r="AR349" i="16"/>
  <c r="AS349" i="16"/>
  <c r="AM349" i="16"/>
  <c r="AN349" i="16" s="1"/>
  <c r="AL350" i="16"/>
  <c r="AH349" i="16"/>
  <c r="AI349" i="16" s="1"/>
  <c r="AG350" i="16"/>
  <c r="AC349" i="16"/>
  <c r="AB350" i="16"/>
  <c r="AD349" i="16"/>
  <c r="X349" i="16"/>
  <c r="Y349" i="16" s="1"/>
  <c r="W350" i="16"/>
  <c r="AV351" i="16"/>
  <c r="AW350" i="16"/>
  <c r="AX350" i="16" s="1"/>
  <c r="T319" i="26"/>
  <c r="U320" i="26" s="1"/>
  <c r="X318" i="26"/>
  <c r="V318" i="26"/>
  <c r="W318" i="26"/>
  <c r="Y318" i="26"/>
  <c r="H258" i="26"/>
  <c r="G258" i="26" s="1"/>
  <c r="K257" i="26"/>
  <c r="J257" i="26"/>
  <c r="L257" i="26"/>
  <c r="I257" i="26"/>
  <c r="T351" i="16"/>
  <c r="AY350" i="16"/>
  <c r="AZ350" i="16" s="1"/>
  <c r="BA350" i="16" s="1"/>
  <c r="AK350" i="16"/>
  <c r="AP350" i="16"/>
  <c r="AA350" i="16"/>
  <c r="AF350" i="16"/>
  <c r="V350" i="16"/>
  <c r="AU350" i="16"/>
  <c r="G183" i="35" l="1"/>
  <c r="Y182" i="35"/>
  <c r="X182" i="35"/>
  <c r="W182" i="35"/>
  <c r="V182" i="35"/>
  <c r="U183" i="35"/>
  <c r="K182" i="34"/>
  <c r="L182" i="34"/>
  <c r="J182" i="34"/>
  <c r="I182" i="34"/>
  <c r="H183" i="34"/>
  <c r="Y179" i="34"/>
  <c r="X179" i="34"/>
  <c r="W179" i="34"/>
  <c r="V179" i="34"/>
  <c r="U180" i="34"/>
  <c r="Y179" i="31"/>
  <c r="X179" i="31"/>
  <c r="W179" i="31"/>
  <c r="V179" i="31"/>
  <c r="G183" i="31"/>
  <c r="H184" i="31" s="1"/>
  <c r="BB351" i="16"/>
  <c r="BC350" i="16"/>
  <c r="BD350" i="16" s="1"/>
  <c r="AQ351" i="16"/>
  <c r="AR350" i="16"/>
  <c r="AS350" i="16" s="1"/>
  <c r="AM350" i="16"/>
  <c r="AL351" i="16"/>
  <c r="AN350" i="16"/>
  <c r="AG351" i="16"/>
  <c r="AH350" i="16"/>
  <c r="AI350" i="16" s="1"/>
  <c r="X350" i="16"/>
  <c r="Y350" i="16" s="1"/>
  <c r="W351" i="16"/>
  <c r="AB351" i="16"/>
  <c r="AC350" i="16"/>
  <c r="AD350" i="16" s="1"/>
  <c r="AV352" i="16"/>
  <c r="AW351" i="16"/>
  <c r="AX351" i="16" s="1"/>
  <c r="T320" i="26"/>
  <c r="U321" i="26" s="1"/>
  <c r="V319" i="26"/>
  <c r="Y319" i="26"/>
  <c r="W319" i="26"/>
  <c r="X319" i="26"/>
  <c r="H259" i="26"/>
  <c r="G259" i="26" s="1"/>
  <c r="J258" i="26"/>
  <c r="K258" i="26"/>
  <c r="L258" i="26"/>
  <c r="I258" i="26"/>
  <c r="T352" i="16"/>
  <c r="AP351" i="16"/>
  <c r="AY351" i="16"/>
  <c r="AZ351" i="16" s="1"/>
  <c r="BA351" i="16" s="1"/>
  <c r="AK351" i="16"/>
  <c r="AA351" i="16"/>
  <c r="AF351" i="16"/>
  <c r="V351" i="16"/>
  <c r="AU351" i="16"/>
  <c r="T183" i="35" l="1"/>
  <c r="L183" i="35"/>
  <c r="K183" i="35"/>
  <c r="I183" i="35"/>
  <c r="J183" i="35"/>
  <c r="H184" i="35"/>
  <c r="T180" i="34"/>
  <c r="G183" i="34"/>
  <c r="J183" i="31"/>
  <c r="L183" i="31"/>
  <c r="I183" i="31"/>
  <c r="K183" i="31"/>
  <c r="T180" i="31"/>
  <c r="U181" i="31" s="1"/>
  <c r="BB352" i="16"/>
  <c r="BC351" i="16"/>
  <c r="BD351" i="16" s="1"/>
  <c r="AQ352" i="16"/>
  <c r="AR351" i="16"/>
  <c r="AS351" i="16"/>
  <c r="AM351" i="16"/>
  <c r="AN351" i="16" s="1"/>
  <c r="AL352" i="16"/>
  <c r="X351" i="16"/>
  <c r="Y351" i="16" s="1"/>
  <c r="W352" i="16"/>
  <c r="AC351" i="16"/>
  <c r="AD351" i="16" s="1"/>
  <c r="AB352" i="16"/>
  <c r="AG352" i="16"/>
  <c r="AH351" i="16"/>
  <c r="AI351" i="16" s="1"/>
  <c r="AV353" i="16"/>
  <c r="AW352" i="16"/>
  <c r="AX352" i="16" s="1"/>
  <c r="T321" i="26"/>
  <c r="U322" i="26" s="1"/>
  <c r="X320" i="26"/>
  <c r="W320" i="26"/>
  <c r="Y320" i="26"/>
  <c r="V320" i="26"/>
  <c r="H260" i="26"/>
  <c r="G260" i="26" s="1"/>
  <c r="I259" i="26"/>
  <c r="L259" i="26"/>
  <c r="J259" i="26"/>
  <c r="K259" i="26"/>
  <c r="T353" i="16"/>
  <c r="AP352" i="16"/>
  <c r="AY352" i="16"/>
  <c r="AZ352" i="16" s="1"/>
  <c r="BA352" i="16" s="1"/>
  <c r="AK352" i="16"/>
  <c r="AA352" i="16"/>
  <c r="AF352" i="16"/>
  <c r="AU352" i="16"/>
  <c r="V352" i="16"/>
  <c r="G184" i="35" l="1"/>
  <c r="V183" i="35"/>
  <c r="Y183" i="35"/>
  <c r="X183" i="35"/>
  <c r="W183" i="35"/>
  <c r="U184" i="35"/>
  <c r="K183" i="34"/>
  <c r="L183" i="34"/>
  <c r="J183" i="34"/>
  <c r="I183" i="34"/>
  <c r="H184" i="34"/>
  <c r="Y180" i="34"/>
  <c r="X180" i="34"/>
  <c r="W180" i="34"/>
  <c r="V180" i="34"/>
  <c r="U181" i="34"/>
  <c r="Y180" i="31"/>
  <c r="X180" i="31"/>
  <c r="W180" i="31"/>
  <c r="V180" i="31"/>
  <c r="G184" i="31"/>
  <c r="H185" i="31" s="1"/>
  <c r="BB353" i="16"/>
  <c r="BC352" i="16"/>
  <c r="BD352" i="16" s="1"/>
  <c r="AQ353" i="16"/>
  <c r="AR352" i="16"/>
  <c r="AS352" i="16"/>
  <c r="AM352" i="16"/>
  <c r="AN352" i="16" s="1"/>
  <c r="AL353" i="16"/>
  <c r="AH352" i="16"/>
  <c r="AI352" i="16" s="1"/>
  <c r="AG353" i="16"/>
  <c r="X352" i="16"/>
  <c r="Y352" i="16" s="1"/>
  <c r="W353" i="16"/>
  <c r="AB353" i="16"/>
  <c r="AC352" i="16"/>
  <c r="AD352" i="16" s="1"/>
  <c r="AW353" i="16"/>
  <c r="AX353" i="16" s="1"/>
  <c r="AV354" i="16"/>
  <c r="T322" i="26"/>
  <c r="U323" i="26" s="1"/>
  <c r="W321" i="26"/>
  <c r="X321" i="26"/>
  <c r="V321" i="26"/>
  <c r="Y321" i="26"/>
  <c r="H261" i="26"/>
  <c r="G261" i="26" s="1"/>
  <c r="L260" i="26"/>
  <c r="K260" i="26"/>
  <c r="J260" i="26"/>
  <c r="I260" i="26"/>
  <c r="T354" i="16"/>
  <c r="AP353" i="16"/>
  <c r="AY353" i="16"/>
  <c r="AZ353" i="16" s="1"/>
  <c r="BA353" i="16" s="1"/>
  <c r="AF353" i="16"/>
  <c r="AA353" i="16"/>
  <c r="AK353" i="16"/>
  <c r="AU353" i="16"/>
  <c r="V353" i="16"/>
  <c r="T184" i="35" l="1"/>
  <c r="L184" i="35"/>
  <c r="K184" i="35"/>
  <c r="I184" i="35"/>
  <c r="J184" i="35"/>
  <c r="H185" i="35"/>
  <c r="T181" i="34"/>
  <c r="G184" i="34"/>
  <c r="J184" i="31"/>
  <c r="K184" i="31"/>
  <c r="L184" i="31"/>
  <c r="I184" i="31"/>
  <c r="T181" i="31"/>
  <c r="U182" i="31" s="1"/>
  <c r="BB354" i="16"/>
  <c r="BC353" i="16"/>
  <c r="BD353" i="16" s="1"/>
  <c r="AQ354" i="16"/>
  <c r="AR353" i="16"/>
  <c r="AS353" i="16"/>
  <c r="AM353" i="16"/>
  <c r="AN353" i="16" s="1"/>
  <c r="AL354" i="16"/>
  <c r="X353" i="16"/>
  <c r="Y353" i="16" s="1"/>
  <c r="W354" i="16"/>
  <c r="AC353" i="16"/>
  <c r="AD353" i="16" s="1"/>
  <c r="AB354" i="16"/>
  <c r="AG354" i="16"/>
  <c r="AH353" i="16"/>
  <c r="AI353" i="16" s="1"/>
  <c r="AW354" i="16"/>
  <c r="AX354" i="16" s="1"/>
  <c r="AV355" i="16"/>
  <c r="T323" i="26"/>
  <c r="U324" i="26" s="1"/>
  <c r="V322" i="26"/>
  <c r="W322" i="26"/>
  <c r="X322" i="26"/>
  <c r="Y322" i="26"/>
  <c r="H262" i="26"/>
  <c r="G262" i="26" s="1"/>
  <c r="L261" i="26"/>
  <c r="K261" i="26"/>
  <c r="J261" i="26"/>
  <c r="I261" i="26"/>
  <c r="T355" i="16"/>
  <c r="AY354" i="16"/>
  <c r="AZ354" i="16" s="1"/>
  <c r="BA354" i="16" s="1"/>
  <c r="AF354" i="16"/>
  <c r="AP354" i="16"/>
  <c r="AK354" i="16"/>
  <c r="AA354" i="16"/>
  <c r="AU354" i="16"/>
  <c r="V354" i="16"/>
  <c r="G185" i="35" l="1"/>
  <c r="Y184" i="35"/>
  <c r="X184" i="35"/>
  <c r="W184" i="35"/>
  <c r="V184" i="35"/>
  <c r="U185" i="35"/>
  <c r="K184" i="34"/>
  <c r="L184" i="34"/>
  <c r="J184" i="34"/>
  <c r="I184" i="34"/>
  <c r="H185" i="34"/>
  <c r="X181" i="34"/>
  <c r="Y181" i="34"/>
  <c r="W181" i="34"/>
  <c r="V181" i="34"/>
  <c r="U182" i="34"/>
  <c r="Y181" i="31"/>
  <c r="X181" i="31"/>
  <c r="W181" i="31"/>
  <c r="V181" i="31"/>
  <c r="G185" i="31"/>
  <c r="H186" i="31" s="1"/>
  <c r="BB355" i="16"/>
  <c r="BC354" i="16"/>
  <c r="BD354" i="16"/>
  <c r="AQ355" i="16"/>
  <c r="AR354" i="16"/>
  <c r="AS354" i="16"/>
  <c r="AM354" i="16"/>
  <c r="AN354" i="16" s="1"/>
  <c r="AL355" i="16"/>
  <c r="AB355" i="16"/>
  <c r="AC354" i="16"/>
  <c r="AD354" i="16" s="1"/>
  <c r="AH354" i="16"/>
  <c r="AI354" i="16" s="1"/>
  <c r="AG355" i="16"/>
  <c r="X354" i="16"/>
  <c r="Y354" i="16" s="1"/>
  <c r="W355" i="16"/>
  <c r="AW355" i="16"/>
  <c r="AX355" i="16" s="1"/>
  <c r="AV356" i="16"/>
  <c r="T324" i="26"/>
  <c r="U325" i="26" s="1"/>
  <c r="X323" i="26"/>
  <c r="W323" i="26"/>
  <c r="V323" i="26"/>
  <c r="Y323" i="26"/>
  <c r="H263" i="26"/>
  <c r="G263" i="26" s="1"/>
  <c r="L262" i="26"/>
  <c r="K262" i="26"/>
  <c r="J262" i="26"/>
  <c r="I262" i="26"/>
  <c r="T356" i="16"/>
  <c r="AY355" i="16"/>
  <c r="AZ355" i="16" s="1"/>
  <c r="BA355" i="16" s="1"/>
  <c r="AP355" i="16"/>
  <c r="AK355" i="16"/>
  <c r="AF355" i="16"/>
  <c r="AA355" i="16"/>
  <c r="V355" i="16"/>
  <c r="AU355" i="16"/>
  <c r="T185" i="35" l="1"/>
  <c r="L185" i="35"/>
  <c r="K185" i="35"/>
  <c r="I185" i="35"/>
  <c r="J185" i="35"/>
  <c r="H186" i="35"/>
  <c r="T182" i="34"/>
  <c r="G185" i="34"/>
  <c r="J185" i="31"/>
  <c r="L185" i="31"/>
  <c r="K185" i="31"/>
  <c r="I185" i="31"/>
  <c r="T182" i="31"/>
  <c r="U183" i="31" s="1"/>
  <c r="BB356" i="16"/>
  <c r="BC355" i="16"/>
  <c r="BD355" i="16"/>
  <c r="AQ356" i="16"/>
  <c r="AR355" i="16"/>
  <c r="AS355" i="16" s="1"/>
  <c r="AL356" i="16"/>
  <c r="AM355" i="16"/>
  <c r="AN355" i="16" s="1"/>
  <c r="AG356" i="16"/>
  <c r="AH355" i="16"/>
  <c r="AI355" i="16" s="1"/>
  <c r="W356" i="16"/>
  <c r="X355" i="16"/>
  <c r="Y355" i="16" s="1"/>
  <c r="AC355" i="16"/>
  <c r="AD355" i="16" s="1"/>
  <c r="AB356" i="16"/>
  <c r="AW356" i="16"/>
  <c r="AX356" i="16" s="1"/>
  <c r="AV357" i="16"/>
  <c r="T325" i="26"/>
  <c r="U326" i="26" s="1"/>
  <c r="W324" i="26"/>
  <c r="V324" i="26"/>
  <c r="X324" i="26"/>
  <c r="Y324" i="26"/>
  <c r="H264" i="26"/>
  <c r="L263" i="26"/>
  <c r="K263" i="26"/>
  <c r="J263" i="26"/>
  <c r="I263" i="26"/>
  <c r="T357" i="16"/>
  <c r="AY356" i="16"/>
  <c r="AZ356" i="16" s="1"/>
  <c r="BA356" i="16" s="1"/>
  <c r="AP356" i="16"/>
  <c r="AK356" i="16"/>
  <c r="AF356" i="16"/>
  <c r="AA356" i="16"/>
  <c r="AU356" i="16"/>
  <c r="V356" i="16"/>
  <c r="G186" i="35" l="1"/>
  <c r="V185" i="35"/>
  <c r="Y185" i="35"/>
  <c r="X185" i="35"/>
  <c r="W185" i="35"/>
  <c r="U186" i="35"/>
  <c r="K185" i="34"/>
  <c r="L185" i="34"/>
  <c r="J185" i="34"/>
  <c r="I185" i="34"/>
  <c r="H186" i="34"/>
  <c r="X182" i="34"/>
  <c r="W182" i="34"/>
  <c r="V182" i="34"/>
  <c r="Y182" i="34"/>
  <c r="U183" i="34"/>
  <c r="Y182" i="31"/>
  <c r="X182" i="31"/>
  <c r="W182" i="31"/>
  <c r="V182" i="31"/>
  <c r="G186" i="31"/>
  <c r="H187" i="31" s="1"/>
  <c r="BB357" i="16"/>
  <c r="BC356" i="16"/>
  <c r="BD356" i="16"/>
  <c r="AQ357" i="16"/>
  <c r="AR356" i="16"/>
  <c r="AS356" i="16"/>
  <c r="AL357" i="16"/>
  <c r="AM356" i="16"/>
  <c r="AN356" i="16"/>
  <c r="W357" i="16"/>
  <c r="X356" i="16"/>
  <c r="Y356" i="16" s="1"/>
  <c r="AH356" i="16"/>
  <c r="AI356" i="16" s="1"/>
  <c r="AG357" i="16"/>
  <c r="AC356" i="16"/>
  <c r="AD356" i="16" s="1"/>
  <c r="AB357" i="16"/>
  <c r="AV358" i="16"/>
  <c r="AW357" i="16"/>
  <c r="AX357" i="16" s="1"/>
  <c r="T326" i="26"/>
  <c r="U327" i="26" s="1"/>
  <c r="V325" i="26"/>
  <c r="W325" i="26"/>
  <c r="Y325" i="26"/>
  <c r="X325" i="26"/>
  <c r="G264" i="26"/>
  <c r="H265" i="26" s="1"/>
  <c r="G265" i="26" s="1"/>
  <c r="T358" i="16"/>
  <c r="AY357" i="16"/>
  <c r="AZ357" i="16" s="1"/>
  <c r="BA357" i="16" s="1"/>
  <c r="AP357" i="16"/>
  <c r="AF357" i="16"/>
  <c r="AK357" i="16"/>
  <c r="AA357" i="16"/>
  <c r="AU357" i="16"/>
  <c r="V357" i="16"/>
  <c r="T186" i="35" l="1"/>
  <c r="L186" i="35"/>
  <c r="K186" i="35"/>
  <c r="J186" i="35"/>
  <c r="I186" i="35"/>
  <c r="H187" i="35"/>
  <c r="T183" i="34"/>
  <c r="G186" i="34"/>
  <c r="J186" i="31"/>
  <c r="L186" i="31"/>
  <c r="I186" i="31"/>
  <c r="K186" i="31"/>
  <c r="T183" i="31"/>
  <c r="U184" i="31" s="1"/>
  <c r="BB358" i="16"/>
  <c r="BC357" i="16"/>
  <c r="BD357" i="16"/>
  <c r="AQ358" i="16"/>
  <c r="AR357" i="16"/>
  <c r="AS357" i="16"/>
  <c r="AM357" i="16"/>
  <c r="AN357" i="16" s="1"/>
  <c r="AL358" i="16"/>
  <c r="AC357" i="16"/>
  <c r="AB358" i="16"/>
  <c r="AD357" i="16"/>
  <c r="AH357" i="16"/>
  <c r="AI357" i="16" s="1"/>
  <c r="AG358" i="16"/>
  <c r="X357" i="16"/>
  <c r="Y357" i="16" s="1"/>
  <c r="W358" i="16"/>
  <c r="AW358" i="16"/>
  <c r="AX358" i="16" s="1"/>
  <c r="AV359" i="16"/>
  <c r="T327" i="26"/>
  <c r="U328" i="26" s="1"/>
  <c r="X326" i="26"/>
  <c r="W326" i="26"/>
  <c r="Y326" i="26"/>
  <c r="V326" i="26"/>
  <c r="H266" i="26"/>
  <c r="L265" i="26"/>
  <c r="K265" i="26"/>
  <c r="J265" i="26"/>
  <c r="I265" i="26"/>
  <c r="L264" i="26"/>
  <c r="K264" i="26"/>
  <c r="J264" i="26"/>
  <c r="I264" i="26"/>
  <c r="T359" i="16"/>
  <c r="AY358" i="16"/>
  <c r="AZ358" i="16" s="1"/>
  <c r="BA358" i="16" s="1"/>
  <c r="AP358" i="16"/>
  <c r="AK358" i="16"/>
  <c r="AA358" i="16"/>
  <c r="AF358" i="16"/>
  <c r="AU358" i="16"/>
  <c r="V358" i="16"/>
  <c r="G187" i="35" l="1"/>
  <c r="Y186" i="35"/>
  <c r="X186" i="35"/>
  <c r="W186" i="35"/>
  <c r="V186" i="35"/>
  <c r="U187" i="35"/>
  <c r="K186" i="34"/>
  <c r="J186" i="34"/>
  <c r="I186" i="34"/>
  <c r="L186" i="34"/>
  <c r="H187" i="34"/>
  <c r="Y183" i="34"/>
  <c r="X183" i="34"/>
  <c r="W183" i="34"/>
  <c r="V183" i="34"/>
  <c r="U184" i="34"/>
  <c r="Y183" i="31"/>
  <c r="X183" i="31"/>
  <c r="W183" i="31"/>
  <c r="V183" i="31"/>
  <c r="G187" i="31"/>
  <c r="H188" i="31" s="1"/>
  <c r="BC358" i="16"/>
  <c r="BB359" i="16"/>
  <c r="BD358" i="16"/>
  <c r="AR358" i="16"/>
  <c r="AS358" i="16" s="1"/>
  <c r="AQ359" i="16"/>
  <c r="AM358" i="16"/>
  <c r="AL359" i="16"/>
  <c r="AN358" i="16"/>
  <c r="X358" i="16"/>
  <c r="Y358" i="16" s="1"/>
  <c r="W359" i="16"/>
  <c r="AH358" i="16"/>
  <c r="AI358" i="16" s="1"/>
  <c r="AG359" i="16"/>
  <c r="AB359" i="16"/>
  <c r="AC358" i="16"/>
  <c r="AD358" i="16" s="1"/>
  <c r="AV360" i="16"/>
  <c r="AW359" i="16"/>
  <c r="AX359" i="16" s="1"/>
  <c r="T328" i="26"/>
  <c r="U329" i="26" s="1"/>
  <c r="W327" i="26"/>
  <c r="X327" i="26"/>
  <c r="V327" i="26"/>
  <c r="Y327" i="26"/>
  <c r="G266" i="26"/>
  <c r="H267" i="26" s="1"/>
  <c r="T360" i="16"/>
  <c r="AY359" i="16"/>
  <c r="AZ359" i="16" s="1"/>
  <c r="BA359" i="16" s="1"/>
  <c r="AF359" i="16"/>
  <c r="AP359" i="16"/>
  <c r="AK359" i="16"/>
  <c r="AA359" i="16"/>
  <c r="AU359" i="16"/>
  <c r="V359" i="16"/>
  <c r="T187" i="35" l="1"/>
  <c r="L187" i="35"/>
  <c r="K187" i="35"/>
  <c r="J187" i="35"/>
  <c r="I187" i="35"/>
  <c r="H188" i="35"/>
  <c r="T184" i="34"/>
  <c r="G187" i="34"/>
  <c r="J187" i="31"/>
  <c r="K187" i="31"/>
  <c r="L187" i="31"/>
  <c r="I187" i="31"/>
  <c r="T184" i="31"/>
  <c r="U185" i="31" s="1"/>
  <c r="BC359" i="16"/>
  <c r="BD359" i="16" s="1"/>
  <c r="BB360" i="16"/>
  <c r="AQ360" i="16"/>
  <c r="AR359" i="16"/>
  <c r="AS359" i="16" s="1"/>
  <c r="AM359" i="16"/>
  <c r="AN359" i="16" s="1"/>
  <c r="AL360" i="16"/>
  <c r="AC359" i="16"/>
  <c r="AD359" i="16" s="1"/>
  <c r="AB360" i="16"/>
  <c r="AH359" i="16"/>
  <c r="AG360" i="16"/>
  <c r="AI359" i="16"/>
  <c r="X359" i="16"/>
  <c r="Y359" i="16" s="1"/>
  <c r="W360" i="16"/>
  <c r="AW360" i="16"/>
  <c r="AX360" i="16" s="1"/>
  <c r="AV361" i="16"/>
  <c r="T329" i="26"/>
  <c r="U330" i="26" s="1"/>
  <c r="V328" i="26"/>
  <c r="X328" i="26"/>
  <c r="W328" i="26"/>
  <c r="Y328" i="26"/>
  <c r="G267" i="26"/>
  <c r="H268" i="26" s="1"/>
  <c r="G268" i="26" s="1"/>
  <c r="L266" i="26"/>
  <c r="K266" i="26"/>
  <c r="J266" i="26"/>
  <c r="I266" i="26"/>
  <c r="T361" i="16"/>
  <c r="AY360" i="16"/>
  <c r="AZ360" i="16" s="1"/>
  <c r="BA360" i="16" s="1"/>
  <c r="AP360" i="16"/>
  <c r="AF360" i="16"/>
  <c r="AK360" i="16"/>
  <c r="AA360" i="16"/>
  <c r="AU360" i="16"/>
  <c r="V360" i="16"/>
  <c r="G188" i="35" l="1"/>
  <c r="X187" i="35"/>
  <c r="W187" i="35"/>
  <c r="V187" i="35"/>
  <c r="Y187" i="35"/>
  <c r="U188" i="35"/>
  <c r="K187" i="34"/>
  <c r="L187" i="34"/>
  <c r="J187" i="34"/>
  <c r="I187" i="34"/>
  <c r="H188" i="34"/>
  <c r="Y184" i="34"/>
  <c r="X184" i="34"/>
  <c r="W184" i="34"/>
  <c r="V184" i="34"/>
  <c r="U185" i="34"/>
  <c r="Y184" i="31"/>
  <c r="W184" i="31"/>
  <c r="X184" i="31"/>
  <c r="V184" i="31"/>
  <c r="G188" i="31"/>
  <c r="H189" i="31" s="1"/>
  <c r="BB361" i="16"/>
  <c r="BC360" i="16"/>
  <c r="BD360" i="16"/>
  <c r="AQ361" i="16"/>
  <c r="AR360" i="16"/>
  <c r="AS360" i="16" s="1"/>
  <c r="AM360" i="16"/>
  <c r="AN360" i="16" s="1"/>
  <c r="AL361" i="16"/>
  <c r="AB361" i="16"/>
  <c r="AC360" i="16"/>
  <c r="AD360" i="16" s="1"/>
  <c r="AG361" i="16"/>
  <c r="AH360" i="16"/>
  <c r="AI360" i="16" s="1"/>
  <c r="X360" i="16"/>
  <c r="Y360" i="16" s="1"/>
  <c r="W361" i="16"/>
  <c r="AV362" i="16"/>
  <c r="AW361" i="16"/>
  <c r="AX361" i="16" s="1"/>
  <c r="T330" i="26"/>
  <c r="U331" i="26" s="1"/>
  <c r="Y329" i="26"/>
  <c r="W329" i="26"/>
  <c r="V329" i="26"/>
  <c r="X329" i="26"/>
  <c r="H269" i="26"/>
  <c r="G269" i="26" s="1"/>
  <c r="K268" i="26"/>
  <c r="J268" i="26"/>
  <c r="L268" i="26"/>
  <c r="I268" i="26"/>
  <c r="L267" i="26"/>
  <c r="K267" i="26"/>
  <c r="J267" i="26"/>
  <c r="I267" i="26"/>
  <c r="T362" i="16"/>
  <c r="AY361" i="16"/>
  <c r="AZ361" i="16" s="1"/>
  <c r="BA361" i="16" s="1"/>
  <c r="AP361" i="16"/>
  <c r="AK361" i="16"/>
  <c r="AF361" i="16"/>
  <c r="AA361" i="16"/>
  <c r="AU361" i="16"/>
  <c r="V361" i="16"/>
  <c r="T188" i="35" l="1"/>
  <c r="L188" i="35"/>
  <c r="K188" i="35"/>
  <c r="J188" i="35"/>
  <c r="I188" i="35"/>
  <c r="H189" i="35"/>
  <c r="T185" i="34"/>
  <c r="G188" i="34"/>
  <c r="J188" i="31"/>
  <c r="L188" i="31"/>
  <c r="K188" i="31"/>
  <c r="I188" i="31"/>
  <c r="T185" i="31"/>
  <c r="U186" i="31" s="1"/>
  <c r="BB362" i="16"/>
  <c r="BC361" i="16"/>
  <c r="BD361" i="16"/>
  <c r="AQ362" i="16"/>
  <c r="AR361" i="16"/>
  <c r="AS361" i="16"/>
  <c r="AM361" i="16"/>
  <c r="AN361" i="16" s="1"/>
  <c r="AL362" i="16"/>
  <c r="X361" i="16"/>
  <c r="Y361" i="16" s="1"/>
  <c r="W362" i="16"/>
  <c r="AH361" i="16"/>
  <c r="AI361" i="16" s="1"/>
  <c r="AG362" i="16"/>
  <c r="AC361" i="16"/>
  <c r="AD361" i="16" s="1"/>
  <c r="AB362" i="16"/>
  <c r="AV363" i="16"/>
  <c r="AW362" i="16"/>
  <c r="AX362" i="16" s="1"/>
  <c r="T331" i="26"/>
  <c r="U332" i="26" s="1"/>
  <c r="W330" i="26"/>
  <c r="V330" i="26"/>
  <c r="Y330" i="26"/>
  <c r="X330" i="26"/>
  <c r="H270" i="26"/>
  <c r="G270" i="26" s="1"/>
  <c r="K269" i="26"/>
  <c r="J269" i="26"/>
  <c r="I269" i="26"/>
  <c r="L269" i="26"/>
  <c r="T363" i="16"/>
  <c r="AY362" i="16"/>
  <c r="AZ362" i="16" s="1"/>
  <c r="BA362" i="16" s="1"/>
  <c r="AK362" i="16"/>
  <c r="AP362" i="16"/>
  <c r="AA362" i="16"/>
  <c r="V362" i="16"/>
  <c r="AF362" i="16"/>
  <c r="AU362" i="16"/>
  <c r="G189" i="35" l="1"/>
  <c r="Y188" i="35"/>
  <c r="X188" i="35"/>
  <c r="W188" i="35"/>
  <c r="V188" i="35"/>
  <c r="U189" i="35"/>
  <c r="L188" i="34"/>
  <c r="K188" i="34"/>
  <c r="J188" i="34"/>
  <c r="I188" i="34"/>
  <c r="H189" i="34"/>
  <c r="Y185" i="34"/>
  <c r="X185" i="34"/>
  <c r="W185" i="34"/>
  <c r="V185" i="34"/>
  <c r="U186" i="34"/>
  <c r="Y185" i="31"/>
  <c r="X185" i="31"/>
  <c r="V185" i="31"/>
  <c r="W185" i="31"/>
  <c r="G189" i="31"/>
  <c r="H190" i="31" s="1"/>
  <c r="BB363" i="16"/>
  <c r="BC362" i="16"/>
  <c r="BD362" i="16"/>
  <c r="AQ363" i="16"/>
  <c r="AR362" i="16"/>
  <c r="AS362" i="16" s="1"/>
  <c r="AM362" i="16"/>
  <c r="AL363" i="16"/>
  <c r="AN362" i="16"/>
  <c r="AG363" i="16"/>
  <c r="AH362" i="16"/>
  <c r="AI362" i="16" s="1"/>
  <c r="X362" i="16"/>
  <c r="Y362" i="16" s="1"/>
  <c r="W363" i="16"/>
  <c r="AB363" i="16"/>
  <c r="AC362" i="16"/>
  <c r="AD362" i="16" s="1"/>
  <c r="AV364" i="16"/>
  <c r="AW363" i="16"/>
  <c r="AX363" i="16" s="1"/>
  <c r="T332" i="26"/>
  <c r="U333" i="26" s="1"/>
  <c r="V331" i="26"/>
  <c r="W331" i="26"/>
  <c r="Y331" i="26"/>
  <c r="X331" i="26"/>
  <c r="H271" i="26"/>
  <c r="G271" i="26" s="1"/>
  <c r="J270" i="26"/>
  <c r="K270" i="26"/>
  <c r="L270" i="26"/>
  <c r="I270" i="26"/>
  <c r="T364" i="16"/>
  <c r="AY363" i="16"/>
  <c r="AZ363" i="16" s="1"/>
  <c r="BA363" i="16" s="1"/>
  <c r="AP363" i="16"/>
  <c r="AK363" i="16"/>
  <c r="AA363" i="16"/>
  <c r="AF363" i="16"/>
  <c r="V363" i="16"/>
  <c r="AU363" i="16"/>
  <c r="T189" i="35" l="1"/>
  <c r="L189" i="35"/>
  <c r="K189" i="35"/>
  <c r="J189" i="35"/>
  <c r="I189" i="35"/>
  <c r="H190" i="35"/>
  <c r="T186" i="34"/>
  <c r="G189" i="34"/>
  <c r="J189" i="31"/>
  <c r="L189" i="31"/>
  <c r="I189" i="31"/>
  <c r="K189" i="31"/>
  <c r="T186" i="31"/>
  <c r="U187" i="31" s="1"/>
  <c r="BB364" i="16"/>
  <c r="BC363" i="16"/>
  <c r="BD363" i="16" s="1"/>
  <c r="AQ364" i="16"/>
  <c r="AR363" i="16"/>
  <c r="AS363" i="16"/>
  <c r="AM363" i="16"/>
  <c r="AL364" i="16"/>
  <c r="AN363" i="16"/>
  <c r="AB364" i="16"/>
  <c r="AC363" i="16"/>
  <c r="AD363" i="16" s="1"/>
  <c r="W364" i="16"/>
  <c r="X363" i="16"/>
  <c r="Y363" i="16" s="1"/>
  <c r="AG364" i="16"/>
  <c r="AH363" i="16"/>
  <c r="AI363" i="16" s="1"/>
  <c r="AV365" i="16"/>
  <c r="AW364" i="16"/>
  <c r="AX364" i="16" s="1"/>
  <c r="T333" i="26"/>
  <c r="U334" i="26" s="1"/>
  <c r="V332" i="26"/>
  <c r="W332" i="26"/>
  <c r="X332" i="26"/>
  <c r="Y332" i="26"/>
  <c r="H272" i="26"/>
  <c r="G272" i="26" s="1"/>
  <c r="I271" i="26"/>
  <c r="L271" i="26"/>
  <c r="J271" i="26"/>
  <c r="K271" i="26"/>
  <c r="T365" i="16"/>
  <c r="AP364" i="16"/>
  <c r="AY364" i="16"/>
  <c r="AZ364" i="16" s="1"/>
  <c r="BA364" i="16" s="1"/>
  <c r="AK364" i="16"/>
  <c r="AA364" i="16"/>
  <c r="AF364" i="16"/>
  <c r="V364" i="16"/>
  <c r="AU364" i="16"/>
  <c r="G190" i="35" l="1"/>
  <c r="Y189" i="35"/>
  <c r="X189" i="35"/>
  <c r="W189" i="35"/>
  <c r="V189" i="35"/>
  <c r="U190" i="35"/>
  <c r="L189" i="34"/>
  <c r="K189" i="34"/>
  <c r="J189" i="34"/>
  <c r="I189" i="34"/>
  <c r="H190" i="34"/>
  <c r="Y186" i="34"/>
  <c r="X186" i="34"/>
  <c r="W186" i="34"/>
  <c r="V186" i="34"/>
  <c r="U187" i="34"/>
  <c r="Y186" i="31"/>
  <c r="X186" i="31"/>
  <c r="W186" i="31"/>
  <c r="V186" i="31"/>
  <c r="G190" i="31"/>
  <c r="H191" i="31" s="1"/>
  <c r="BC364" i="16"/>
  <c r="BB365" i="16"/>
  <c r="BD364" i="16"/>
  <c r="AR364" i="16"/>
  <c r="AS364" i="16" s="1"/>
  <c r="AQ365" i="16"/>
  <c r="AM364" i="16"/>
  <c r="AL365" i="16"/>
  <c r="AN364" i="16"/>
  <c r="W365" i="16"/>
  <c r="X364" i="16"/>
  <c r="Y364" i="16" s="1"/>
  <c r="AG365" i="16"/>
  <c r="AH364" i="16"/>
  <c r="AI364" i="16" s="1"/>
  <c r="AC364" i="16"/>
  <c r="AD364" i="16" s="1"/>
  <c r="AB365" i="16"/>
  <c r="AV366" i="16"/>
  <c r="AW365" i="16"/>
  <c r="AX365" i="16" s="1"/>
  <c r="T334" i="26"/>
  <c r="U335" i="26" s="1"/>
  <c r="Y333" i="26"/>
  <c r="X333" i="26"/>
  <c r="W333" i="26"/>
  <c r="V333" i="26"/>
  <c r="H273" i="26"/>
  <c r="G273" i="26" s="1"/>
  <c r="L272" i="26"/>
  <c r="I272" i="26"/>
  <c r="K272" i="26"/>
  <c r="J272" i="26"/>
  <c r="T366" i="16"/>
  <c r="AP365" i="16"/>
  <c r="AY365" i="16"/>
  <c r="AZ365" i="16" s="1"/>
  <c r="BA365" i="16" s="1"/>
  <c r="AK365" i="16"/>
  <c r="AA365" i="16"/>
  <c r="AF365" i="16"/>
  <c r="AU365" i="16"/>
  <c r="V365" i="16"/>
  <c r="T190" i="35" l="1"/>
  <c r="L190" i="35"/>
  <c r="K190" i="35"/>
  <c r="J190" i="35"/>
  <c r="I190" i="35"/>
  <c r="H191" i="35"/>
  <c r="T187" i="34"/>
  <c r="G190" i="34"/>
  <c r="J190" i="31"/>
  <c r="K190" i="31"/>
  <c r="I190" i="31"/>
  <c r="L190" i="31"/>
  <c r="T187" i="31"/>
  <c r="U188" i="31" s="1"/>
  <c r="BB366" i="16"/>
  <c r="BC365" i="16"/>
  <c r="BD365" i="16" s="1"/>
  <c r="AQ366" i="16"/>
  <c r="AR365" i="16"/>
  <c r="AS365" i="16" s="1"/>
  <c r="AM365" i="16"/>
  <c r="AL366" i="16"/>
  <c r="AN365" i="16"/>
  <c r="AG366" i="16"/>
  <c r="AH365" i="16"/>
  <c r="AI365" i="16" s="1"/>
  <c r="AB366" i="16"/>
  <c r="AC365" i="16"/>
  <c r="AD365" i="16" s="1"/>
  <c r="X365" i="16"/>
  <c r="Y365" i="16" s="1"/>
  <c r="W366" i="16"/>
  <c r="AW366" i="16"/>
  <c r="AX366" i="16" s="1"/>
  <c r="AV367" i="16"/>
  <c r="T335" i="26"/>
  <c r="U336" i="26" s="1"/>
  <c r="V334" i="26"/>
  <c r="W334" i="26"/>
  <c r="Y334" i="26"/>
  <c r="X334" i="26"/>
  <c r="H274" i="26"/>
  <c r="G274" i="26" s="1"/>
  <c r="L273" i="26"/>
  <c r="K273" i="26"/>
  <c r="J273" i="26"/>
  <c r="I273" i="26"/>
  <c r="T367" i="16"/>
  <c r="AY366" i="16"/>
  <c r="AZ366" i="16" s="1"/>
  <c r="BA366" i="16" s="1"/>
  <c r="AP366" i="16"/>
  <c r="AF366" i="16"/>
  <c r="AK366" i="16"/>
  <c r="AA366" i="16"/>
  <c r="AU366" i="16"/>
  <c r="V366" i="16"/>
  <c r="G191" i="35" l="1"/>
  <c r="Y190" i="35"/>
  <c r="X190" i="35"/>
  <c r="W190" i="35"/>
  <c r="V190" i="35"/>
  <c r="U191" i="35"/>
  <c r="L190" i="34"/>
  <c r="K190" i="34"/>
  <c r="J190" i="34"/>
  <c r="I190" i="34"/>
  <c r="H191" i="34"/>
  <c r="Y187" i="34"/>
  <c r="X187" i="34"/>
  <c r="W187" i="34"/>
  <c r="V187" i="34"/>
  <c r="U188" i="34"/>
  <c r="Y187" i="31"/>
  <c r="W187" i="31"/>
  <c r="X187" i="31"/>
  <c r="V187" i="31"/>
  <c r="G191" i="31"/>
  <c r="H192" i="31" s="1"/>
  <c r="BB367" i="16"/>
  <c r="BC366" i="16"/>
  <c r="BD366" i="16" s="1"/>
  <c r="AQ367" i="16"/>
  <c r="AR366" i="16"/>
  <c r="AS366" i="16" s="1"/>
  <c r="AM366" i="16"/>
  <c r="AL367" i="16"/>
  <c r="AN366" i="16"/>
  <c r="X366" i="16"/>
  <c r="Y366" i="16" s="1"/>
  <c r="W367" i="16"/>
  <c r="AC366" i="16"/>
  <c r="AD366" i="16" s="1"/>
  <c r="AB367" i="16"/>
  <c r="AH366" i="16"/>
  <c r="AI366" i="16" s="1"/>
  <c r="AG367" i="16"/>
  <c r="AW367" i="16"/>
  <c r="AX367" i="16" s="1"/>
  <c r="AV368" i="16"/>
  <c r="T336" i="26"/>
  <c r="U337" i="26" s="1"/>
  <c r="X335" i="26"/>
  <c r="W335" i="26"/>
  <c r="V335" i="26"/>
  <c r="Y335" i="26"/>
  <c r="H275" i="26"/>
  <c r="G275" i="26" s="1"/>
  <c r="L274" i="26"/>
  <c r="K274" i="26"/>
  <c r="J274" i="26"/>
  <c r="I274" i="26"/>
  <c r="T368" i="16"/>
  <c r="AY367" i="16"/>
  <c r="AZ367" i="16" s="1"/>
  <c r="BA367" i="16" s="1"/>
  <c r="AP367" i="16"/>
  <c r="AK367" i="16"/>
  <c r="AF367" i="16"/>
  <c r="AA367" i="16"/>
  <c r="V367" i="16"/>
  <c r="AU367" i="16"/>
  <c r="T191" i="35" l="1"/>
  <c r="L191" i="35"/>
  <c r="K191" i="35"/>
  <c r="J191" i="35"/>
  <c r="I191" i="35"/>
  <c r="H192" i="35"/>
  <c r="T188" i="34"/>
  <c r="G191" i="34"/>
  <c r="J191" i="31"/>
  <c r="L191" i="31"/>
  <c r="K191" i="31"/>
  <c r="I191" i="31"/>
  <c r="T188" i="31"/>
  <c r="U189" i="31" s="1"/>
  <c r="BB368" i="16"/>
  <c r="BC367" i="16"/>
  <c r="BD367" i="16" s="1"/>
  <c r="AQ368" i="16"/>
  <c r="AR367" i="16"/>
  <c r="AS367" i="16"/>
  <c r="AL368" i="16"/>
  <c r="AM367" i="16"/>
  <c r="AN367" i="16"/>
  <c r="X367" i="16"/>
  <c r="Y367" i="16" s="1"/>
  <c r="W368" i="16"/>
  <c r="AG368" i="16"/>
  <c r="AH367" i="16"/>
  <c r="AI367" i="16" s="1"/>
  <c r="AC367" i="16"/>
  <c r="AD367" i="16" s="1"/>
  <c r="AB368" i="16"/>
  <c r="AW368" i="16"/>
  <c r="AX368" i="16" s="1"/>
  <c r="AV369" i="16"/>
  <c r="T337" i="26"/>
  <c r="U338" i="26" s="1"/>
  <c r="W336" i="26"/>
  <c r="V336" i="26"/>
  <c r="Y336" i="26"/>
  <c r="X336" i="26"/>
  <c r="H276" i="26"/>
  <c r="L275" i="26"/>
  <c r="K275" i="26"/>
  <c r="J275" i="26"/>
  <c r="I275" i="26"/>
  <c r="T369" i="16"/>
  <c r="AY368" i="16"/>
  <c r="AZ368" i="16" s="1"/>
  <c r="BA368" i="16" s="1"/>
  <c r="AP368" i="16"/>
  <c r="AK368" i="16"/>
  <c r="AF368" i="16"/>
  <c r="AA368" i="16"/>
  <c r="AU368" i="16"/>
  <c r="V368" i="16"/>
  <c r="G192" i="35" l="1"/>
  <c r="Y191" i="35"/>
  <c r="X191" i="35"/>
  <c r="W191" i="35"/>
  <c r="V191" i="35"/>
  <c r="U192" i="35"/>
  <c r="L191" i="34"/>
  <c r="K191" i="34"/>
  <c r="J191" i="34"/>
  <c r="I191" i="34"/>
  <c r="H192" i="34"/>
  <c r="Y188" i="34"/>
  <c r="X188" i="34"/>
  <c r="W188" i="34"/>
  <c r="V188" i="34"/>
  <c r="U189" i="34"/>
  <c r="Y188" i="31"/>
  <c r="X188" i="31"/>
  <c r="W188" i="31"/>
  <c r="V188" i="31"/>
  <c r="G192" i="31"/>
  <c r="H193" i="31" s="1"/>
  <c r="BB369" i="16"/>
  <c r="BC368" i="16"/>
  <c r="BD368" i="16"/>
  <c r="AQ369" i="16"/>
  <c r="AR368" i="16"/>
  <c r="AS368" i="16"/>
  <c r="AL369" i="16"/>
  <c r="AM368" i="16"/>
  <c r="AN368" i="16" s="1"/>
  <c r="AC368" i="16"/>
  <c r="AB369" i="16"/>
  <c r="AH368" i="16"/>
  <c r="AI368" i="16" s="1"/>
  <c r="AG369" i="16"/>
  <c r="AD368" i="16"/>
  <c r="X368" i="16"/>
  <c r="Y368" i="16" s="1"/>
  <c r="W369" i="16"/>
  <c r="AV370" i="16"/>
  <c r="AW369" i="16"/>
  <c r="AX369" i="16" s="1"/>
  <c r="T338" i="26"/>
  <c r="U339" i="26" s="1"/>
  <c r="V337" i="26"/>
  <c r="W337" i="26"/>
  <c r="X337" i="26"/>
  <c r="Y337" i="26"/>
  <c r="G276" i="26"/>
  <c r="H277" i="26" s="1"/>
  <c r="T370" i="16"/>
  <c r="AY369" i="16"/>
  <c r="AZ369" i="16" s="1"/>
  <c r="BA369" i="16" s="1"/>
  <c r="AP369" i="16"/>
  <c r="AF369" i="16"/>
  <c r="AK369" i="16"/>
  <c r="AA369" i="16"/>
  <c r="V369" i="16"/>
  <c r="AU369" i="16"/>
  <c r="T192" i="35" l="1"/>
  <c r="L192" i="35"/>
  <c r="K192" i="35"/>
  <c r="J192" i="35"/>
  <c r="I192" i="35"/>
  <c r="H193" i="35"/>
  <c r="T189" i="34"/>
  <c r="G192" i="34"/>
  <c r="J192" i="31"/>
  <c r="L192" i="31"/>
  <c r="I192" i="31"/>
  <c r="K192" i="31"/>
  <c r="T189" i="31"/>
  <c r="U190" i="31" s="1"/>
  <c r="BB370" i="16"/>
  <c r="BC369" i="16"/>
  <c r="BD369" i="16"/>
  <c r="AQ370" i="16"/>
  <c r="AR369" i="16"/>
  <c r="AS369" i="16" s="1"/>
  <c r="AM369" i="16"/>
  <c r="AL370" i="16"/>
  <c r="AN369" i="16"/>
  <c r="AC369" i="16"/>
  <c r="AD369" i="16" s="1"/>
  <c r="AB370" i="16"/>
  <c r="AH369" i="16"/>
  <c r="AI369" i="16" s="1"/>
  <c r="AG370" i="16"/>
  <c r="X369" i="16"/>
  <c r="Y369" i="16" s="1"/>
  <c r="W370" i="16"/>
  <c r="AW370" i="16"/>
  <c r="AX370" i="16" s="1"/>
  <c r="AV371" i="16"/>
  <c r="T339" i="26"/>
  <c r="U340" i="26" s="1"/>
  <c r="X338" i="26"/>
  <c r="W338" i="26"/>
  <c r="Y338" i="26"/>
  <c r="V338" i="26"/>
  <c r="G277" i="26"/>
  <c r="H278" i="26" s="1"/>
  <c r="L276" i="26"/>
  <c r="K276" i="26"/>
  <c r="J276" i="26"/>
  <c r="I276" i="26"/>
  <c r="AY370" i="16"/>
  <c r="AZ370" i="16" s="1"/>
  <c r="BA370" i="16" s="1"/>
  <c r="BC370" i="16" s="1"/>
  <c r="AP370" i="16"/>
  <c r="AR370" i="16" s="1"/>
  <c r="AK370" i="16"/>
  <c r="AM370" i="16" s="1"/>
  <c r="AF370" i="16"/>
  <c r="AH370" i="16" s="1"/>
  <c r="AA370" i="16"/>
  <c r="AC370" i="16" s="1"/>
  <c r="AU370" i="16"/>
  <c r="V370" i="16"/>
  <c r="X370" i="16" s="1"/>
  <c r="B41" i="3"/>
  <c r="W12" i="35" l="1"/>
  <c r="W12" i="34"/>
  <c r="J12" i="34"/>
  <c r="J12" i="35"/>
  <c r="W13" i="35"/>
  <c r="J13" i="34"/>
  <c r="J13" i="35"/>
  <c r="W13" i="34"/>
  <c r="W14" i="34"/>
  <c r="J14" i="35"/>
  <c r="J14" i="34"/>
  <c r="W14" i="35"/>
  <c r="W15" i="34"/>
  <c r="W15" i="35"/>
  <c r="W16" i="34"/>
  <c r="J15" i="34"/>
  <c r="J15" i="35"/>
  <c r="J17" i="34"/>
  <c r="J16" i="35"/>
  <c r="W16" i="35"/>
  <c r="J16" i="34"/>
  <c r="J17" i="35"/>
  <c r="W17" i="35"/>
  <c r="W17" i="34"/>
  <c r="J18" i="34"/>
  <c r="W18" i="35"/>
  <c r="W18" i="34"/>
  <c r="J20" i="34"/>
  <c r="W19" i="35"/>
  <c r="W20" i="34"/>
  <c r="J19" i="34"/>
  <c r="W19" i="34"/>
  <c r="J18" i="35"/>
  <c r="J19" i="35"/>
  <c r="W20" i="35"/>
  <c r="W21" i="34"/>
  <c r="J20" i="35"/>
  <c r="W21" i="35"/>
  <c r="J21" i="34"/>
  <c r="J22" i="34"/>
  <c r="W22" i="34"/>
  <c r="J21" i="35"/>
  <c r="W22" i="35"/>
  <c r="W23" i="35"/>
  <c r="J23" i="34"/>
  <c r="W23" i="34"/>
  <c r="J22" i="35"/>
  <c r="J23" i="35"/>
  <c r="G193" i="35"/>
  <c r="W192" i="35"/>
  <c r="V192" i="35"/>
  <c r="Y192" i="35"/>
  <c r="X192" i="35"/>
  <c r="U193" i="35"/>
  <c r="L192" i="34"/>
  <c r="K192" i="34"/>
  <c r="I192" i="34"/>
  <c r="J192" i="34"/>
  <c r="H193" i="34"/>
  <c r="Y189" i="34"/>
  <c r="X189" i="34"/>
  <c r="W189" i="34"/>
  <c r="V189" i="34"/>
  <c r="U190" i="34"/>
  <c r="J13" i="31"/>
  <c r="W13" i="31"/>
  <c r="J12" i="31"/>
  <c r="W12" i="31"/>
  <c r="W14" i="31"/>
  <c r="W15" i="31"/>
  <c r="J14" i="31"/>
  <c r="J15" i="31"/>
  <c r="W16" i="31"/>
  <c r="J16" i="31"/>
  <c r="J17" i="31"/>
  <c r="W17" i="31"/>
  <c r="W18" i="31"/>
  <c r="J18" i="31"/>
  <c r="W19" i="31"/>
  <c r="J19" i="31"/>
  <c r="W20" i="31"/>
  <c r="J20" i="31"/>
  <c r="J21" i="31"/>
  <c r="W21" i="31"/>
  <c r="J22" i="31"/>
  <c r="W23" i="31"/>
  <c r="W22" i="31"/>
  <c r="J23" i="31"/>
  <c r="Y189" i="31"/>
  <c r="X189" i="31"/>
  <c r="W189" i="31"/>
  <c r="V189" i="31"/>
  <c r="G193" i="31"/>
  <c r="H194" i="31" s="1"/>
  <c r="BD370" i="16"/>
  <c r="AS370" i="16"/>
  <c r="AN370" i="16"/>
  <c r="AI370" i="16"/>
  <c r="AD370" i="16"/>
  <c r="Y370" i="16"/>
  <c r="J12" i="26"/>
  <c r="W12" i="26"/>
  <c r="J13" i="26"/>
  <c r="W13" i="26"/>
  <c r="W14" i="26"/>
  <c r="J14" i="26"/>
  <c r="J15" i="26"/>
  <c r="W15" i="26"/>
  <c r="W16" i="26"/>
  <c r="J16" i="26"/>
  <c r="J17" i="26"/>
  <c r="W17" i="26"/>
  <c r="W18" i="26"/>
  <c r="J18" i="26"/>
  <c r="J19" i="26"/>
  <c r="W19" i="26"/>
  <c r="W20" i="26"/>
  <c r="J20" i="26"/>
  <c r="J21" i="26"/>
  <c r="W21" i="26"/>
  <c r="W22" i="26"/>
  <c r="J22" i="26"/>
  <c r="W23" i="26"/>
  <c r="J23" i="26"/>
  <c r="T340" i="26"/>
  <c r="U341" i="26" s="1"/>
  <c r="W339" i="26"/>
  <c r="V339" i="26"/>
  <c r="Y339" i="26"/>
  <c r="X339" i="26"/>
  <c r="G278" i="26"/>
  <c r="H279" i="26" s="1"/>
  <c r="L277" i="26"/>
  <c r="K277" i="26"/>
  <c r="J277" i="26"/>
  <c r="I277" i="26"/>
  <c r="W17" i="6"/>
  <c r="W20" i="6"/>
  <c r="W15" i="6"/>
  <c r="J12" i="6"/>
  <c r="J22" i="6"/>
  <c r="W23" i="6"/>
  <c r="W21" i="6"/>
  <c r="J16" i="6"/>
  <c r="W22" i="6"/>
  <c r="W12" i="6"/>
  <c r="J15" i="6"/>
  <c r="J17" i="6"/>
  <c r="W19" i="6"/>
  <c r="W18" i="6"/>
  <c r="J21" i="6"/>
  <c r="W13" i="6"/>
  <c r="J20" i="6"/>
  <c r="S12" i="9"/>
  <c r="J23" i="6"/>
  <c r="W14" i="6"/>
  <c r="W16" i="6"/>
  <c r="J18" i="6"/>
  <c r="J14" i="6"/>
  <c r="J13" i="6"/>
  <c r="J19" i="6"/>
  <c r="J422" i="35" l="1"/>
  <c r="AE11" i="35" s="1"/>
  <c r="J420" i="35"/>
  <c r="J420" i="34"/>
  <c r="J422" i="34"/>
  <c r="AE11" i="34" s="1"/>
  <c r="W422" i="34"/>
  <c r="AE13" i="34" s="1"/>
  <c r="W420" i="34"/>
  <c r="AE12" i="34" s="1"/>
  <c r="W422" i="35"/>
  <c r="AE13" i="35" s="1"/>
  <c r="W420" i="35"/>
  <c r="AE12" i="35" s="1"/>
  <c r="T193" i="35"/>
  <c r="L193" i="35"/>
  <c r="K193" i="35"/>
  <c r="J193" i="35"/>
  <c r="I193" i="35"/>
  <c r="H194" i="35"/>
  <c r="T190" i="34"/>
  <c r="G193" i="34"/>
  <c r="W422" i="31"/>
  <c r="AE13" i="31" s="1"/>
  <c r="W420" i="31"/>
  <c r="AE12" i="31" s="1"/>
  <c r="AD12" i="9" s="1"/>
  <c r="J420" i="31"/>
  <c r="J422" i="31"/>
  <c r="AE11" i="31" s="1"/>
  <c r="I193" i="31"/>
  <c r="J193" i="31"/>
  <c r="L193" i="31"/>
  <c r="K193" i="31"/>
  <c r="T190" i="31"/>
  <c r="U191" i="31" s="1"/>
  <c r="T341" i="26"/>
  <c r="U342" i="26" s="1"/>
  <c r="W422" i="26"/>
  <c r="AE13" i="26" s="1"/>
  <c r="W420" i="26"/>
  <c r="V340" i="26"/>
  <c r="W340" i="26"/>
  <c r="X340" i="26"/>
  <c r="Y340" i="26"/>
  <c r="J422" i="26"/>
  <c r="AE11" i="26" s="1"/>
  <c r="J420" i="26"/>
  <c r="AE10" i="26" s="1"/>
  <c r="G279" i="26"/>
  <c r="H280" i="26" s="1"/>
  <c r="G280" i="26" s="1"/>
  <c r="L278" i="26"/>
  <c r="K278" i="26"/>
  <c r="J278" i="26"/>
  <c r="I278" i="26"/>
  <c r="J121" i="6"/>
  <c r="AE10" i="6" s="1"/>
  <c r="W123" i="6"/>
  <c r="AE13" i="6" s="1"/>
  <c r="J123" i="6"/>
  <c r="AE11" i="6" s="1"/>
  <c r="W121" i="6"/>
  <c r="AE12" i="6" s="1"/>
  <c r="AE10" i="34" l="1"/>
  <c r="K426" i="34"/>
  <c r="K425" i="34"/>
  <c r="AE15" i="34" s="1"/>
  <c r="K426" i="35"/>
  <c r="K425" i="35"/>
  <c r="AE15" i="35" s="1"/>
  <c r="AE10" i="35"/>
  <c r="G194" i="35"/>
  <c r="Y193" i="35"/>
  <c r="X193" i="35"/>
  <c r="W193" i="35"/>
  <c r="V193" i="35"/>
  <c r="U194" i="35"/>
  <c r="L193" i="34"/>
  <c r="K193" i="34"/>
  <c r="J193" i="34"/>
  <c r="I193" i="34"/>
  <c r="H194" i="34"/>
  <c r="Y190" i="34"/>
  <c r="X190" i="34"/>
  <c r="W190" i="34"/>
  <c r="V190" i="34"/>
  <c r="U191" i="34"/>
  <c r="AE10" i="31"/>
  <c r="K426" i="31"/>
  <c r="K425" i="31"/>
  <c r="AE15" i="31" s="1"/>
  <c r="Y190" i="31"/>
  <c r="W190" i="31"/>
  <c r="X190" i="31"/>
  <c r="V190" i="31"/>
  <c r="G194" i="31"/>
  <c r="H195" i="31" s="1"/>
  <c r="AE12" i="26"/>
  <c r="K426" i="26"/>
  <c r="K425" i="26"/>
  <c r="AE15" i="26" s="1"/>
  <c r="E8" i="3" s="1"/>
  <c r="T342" i="26"/>
  <c r="U343" i="26" s="1"/>
  <c r="X341" i="26"/>
  <c r="W341" i="26"/>
  <c r="V341" i="26"/>
  <c r="Y341" i="26"/>
  <c r="H281" i="26"/>
  <c r="G281" i="26" s="1"/>
  <c r="K280" i="26"/>
  <c r="J280" i="26"/>
  <c r="L280" i="26"/>
  <c r="I280" i="26"/>
  <c r="L279" i="26"/>
  <c r="K279" i="26"/>
  <c r="J279" i="26"/>
  <c r="I279" i="26"/>
  <c r="K127" i="6"/>
  <c r="L123" i="6"/>
  <c r="AF11" i="6" s="1"/>
  <c r="L121" i="6"/>
  <c r="T194" i="35" l="1"/>
  <c r="L194" i="35"/>
  <c r="K194" i="35"/>
  <c r="J194" i="35"/>
  <c r="I194" i="35"/>
  <c r="H195" i="35"/>
  <c r="T191" i="34"/>
  <c r="G194" i="34"/>
  <c r="AB12" i="9"/>
  <c r="AI6" i="31"/>
  <c r="L194" i="31"/>
  <c r="J194" i="31"/>
  <c r="I194" i="31"/>
  <c r="K194" i="31"/>
  <c r="T191" i="31"/>
  <c r="U192" i="31" s="1"/>
  <c r="T343" i="26"/>
  <c r="U344" i="26" s="1"/>
  <c r="X342" i="26"/>
  <c r="V342" i="26"/>
  <c r="W342" i="26"/>
  <c r="Y342" i="26"/>
  <c r="H282" i="26"/>
  <c r="G282" i="26" s="1"/>
  <c r="K281" i="26"/>
  <c r="J281" i="26"/>
  <c r="I281" i="26"/>
  <c r="L281" i="26"/>
  <c r="K126" i="6"/>
  <c r="AE15" i="6" s="1"/>
  <c r="AF10" i="6"/>
  <c r="G195" i="35" l="1"/>
  <c r="Y194" i="35"/>
  <c r="X194" i="35"/>
  <c r="W194" i="35"/>
  <c r="V194" i="35"/>
  <c r="U195" i="35"/>
  <c r="L194" i="34"/>
  <c r="K194" i="34"/>
  <c r="J194" i="34"/>
  <c r="I194" i="34"/>
  <c r="H195" i="34"/>
  <c r="Y191" i="34"/>
  <c r="X191" i="34"/>
  <c r="W191" i="34"/>
  <c r="V191" i="34"/>
  <c r="U192" i="34"/>
  <c r="Y191" i="31"/>
  <c r="X191" i="31"/>
  <c r="W191" i="31"/>
  <c r="V191" i="31"/>
  <c r="G195" i="31"/>
  <c r="H196" i="31" s="1"/>
  <c r="T344" i="26"/>
  <c r="U345" i="26" s="1"/>
  <c r="V343" i="26"/>
  <c r="X343" i="26"/>
  <c r="W343" i="26"/>
  <c r="Y343" i="26"/>
  <c r="H283" i="26"/>
  <c r="G283" i="26" s="1"/>
  <c r="J282" i="26"/>
  <c r="K282" i="26"/>
  <c r="I282" i="26"/>
  <c r="L282" i="26"/>
  <c r="T195" i="35" l="1"/>
  <c r="L195" i="35"/>
  <c r="K195" i="35"/>
  <c r="J195" i="35"/>
  <c r="I195" i="35"/>
  <c r="H196" i="35"/>
  <c r="T192" i="34"/>
  <c r="G195" i="34"/>
  <c r="K195" i="31"/>
  <c r="J195" i="31"/>
  <c r="I195" i="31"/>
  <c r="L195" i="31"/>
  <c r="T192" i="31"/>
  <c r="U193" i="31" s="1"/>
  <c r="T345" i="26"/>
  <c r="U346" i="26" s="1"/>
  <c r="V344" i="26"/>
  <c r="Y344" i="26"/>
  <c r="X344" i="26"/>
  <c r="W344" i="26"/>
  <c r="H284" i="26"/>
  <c r="G284" i="26" s="1"/>
  <c r="I283" i="26"/>
  <c r="L283" i="26"/>
  <c r="J283" i="26"/>
  <c r="K283" i="26"/>
  <c r="G196" i="35" l="1"/>
  <c r="Y195" i="35"/>
  <c r="X195" i="35"/>
  <c r="W195" i="35"/>
  <c r="V195" i="35"/>
  <c r="U196" i="35"/>
  <c r="L195" i="34"/>
  <c r="K195" i="34"/>
  <c r="J195" i="34"/>
  <c r="I195" i="34"/>
  <c r="H196" i="34"/>
  <c r="Y192" i="34"/>
  <c r="X192" i="34"/>
  <c r="W192" i="34"/>
  <c r="V192" i="34"/>
  <c r="U193" i="34"/>
  <c r="X192" i="31"/>
  <c r="V192" i="31"/>
  <c r="W192" i="31"/>
  <c r="Y192" i="31"/>
  <c r="G196" i="31"/>
  <c r="H197" i="31" s="1"/>
  <c r="T346" i="26"/>
  <c r="U347" i="26" s="1"/>
  <c r="W345" i="26"/>
  <c r="V345" i="26"/>
  <c r="X345" i="26"/>
  <c r="Y345" i="26"/>
  <c r="H285" i="26"/>
  <c r="G285" i="26" s="1"/>
  <c r="L284" i="26"/>
  <c r="I284" i="26"/>
  <c r="J284" i="26"/>
  <c r="K284" i="26"/>
  <c r="T196" i="35" l="1"/>
  <c r="L196" i="35"/>
  <c r="K196" i="35"/>
  <c r="J196" i="35"/>
  <c r="I196" i="35"/>
  <c r="H197" i="35"/>
  <c r="T193" i="34"/>
  <c r="G196" i="34"/>
  <c r="K196" i="31"/>
  <c r="J196" i="31"/>
  <c r="I196" i="31"/>
  <c r="L196" i="31"/>
  <c r="T193" i="31"/>
  <c r="U194" i="31" s="1"/>
  <c r="T347" i="26"/>
  <c r="U348" i="26" s="1"/>
  <c r="V346" i="26"/>
  <c r="W346" i="26"/>
  <c r="Y346" i="26"/>
  <c r="X346" i="26"/>
  <c r="H286" i="26"/>
  <c r="G286" i="26" s="1"/>
  <c r="L285" i="26"/>
  <c r="K285" i="26"/>
  <c r="I285" i="26"/>
  <c r="J285" i="26"/>
  <c r="G197" i="35" l="1"/>
  <c r="Y196" i="35"/>
  <c r="X196" i="35"/>
  <c r="W196" i="35"/>
  <c r="V196" i="35"/>
  <c r="U197" i="35"/>
  <c r="L196" i="34"/>
  <c r="K196" i="34"/>
  <c r="J196" i="34"/>
  <c r="I196" i="34"/>
  <c r="H197" i="34"/>
  <c r="Y193" i="34"/>
  <c r="X193" i="34"/>
  <c r="W193" i="34"/>
  <c r="V193" i="34"/>
  <c r="U194" i="34"/>
  <c r="X193" i="31"/>
  <c r="V193" i="31"/>
  <c r="W193" i="31"/>
  <c r="Y193" i="31"/>
  <c r="G197" i="31"/>
  <c r="H198" i="31" s="1"/>
  <c r="T348" i="26"/>
  <c r="U349" i="26" s="1"/>
  <c r="X347" i="26"/>
  <c r="W347" i="26"/>
  <c r="V347" i="26"/>
  <c r="Y347" i="26"/>
  <c r="H287" i="26"/>
  <c r="G287" i="26" s="1"/>
  <c r="L286" i="26"/>
  <c r="K286" i="26"/>
  <c r="J286" i="26"/>
  <c r="I286" i="26"/>
  <c r="T197" i="35" l="1"/>
  <c r="L197" i="35"/>
  <c r="K197" i="35"/>
  <c r="J197" i="35"/>
  <c r="I197" i="35"/>
  <c r="H198" i="35"/>
  <c r="T194" i="34"/>
  <c r="G197" i="34"/>
  <c r="K197" i="31"/>
  <c r="L197" i="31"/>
  <c r="J197" i="31"/>
  <c r="I197" i="31"/>
  <c r="T194" i="31"/>
  <c r="U195" i="31" s="1"/>
  <c r="T349" i="26"/>
  <c r="U350" i="26" s="1"/>
  <c r="W348" i="26"/>
  <c r="X348" i="26"/>
  <c r="V348" i="26"/>
  <c r="Y348" i="26"/>
  <c r="H288" i="26"/>
  <c r="L287" i="26"/>
  <c r="K287" i="26"/>
  <c r="J287" i="26"/>
  <c r="I287" i="26"/>
  <c r="G198" i="35" l="1"/>
  <c r="Y197" i="35"/>
  <c r="V197" i="35"/>
  <c r="X197" i="35"/>
  <c r="W197" i="35"/>
  <c r="U198" i="35"/>
  <c r="L197" i="34"/>
  <c r="K197" i="34"/>
  <c r="J197" i="34"/>
  <c r="I197" i="34"/>
  <c r="H198" i="34"/>
  <c r="Y194" i="34"/>
  <c r="X194" i="34"/>
  <c r="W194" i="34"/>
  <c r="V194" i="34"/>
  <c r="U195" i="34"/>
  <c r="X194" i="31"/>
  <c r="V194" i="31"/>
  <c r="Y194" i="31"/>
  <c r="W194" i="31"/>
  <c r="G198" i="31"/>
  <c r="H199" i="31" s="1"/>
  <c r="T350" i="26"/>
  <c r="U351" i="26" s="1"/>
  <c r="V349" i="26"/>
  <c r="W349" i="26"/>
  <c r="Y349" i="26"/>
  <c r="X349" i="26"/>
  <c r="G288" i="26"/>
  <c r="H289" i="26" s="1"/>
  <c r="G289" i="26" s="1"/>
  <c r="T198" i="35" l="1"/>
  <c r="L198" i="35"/>
  <c r="K198" i="35"/>
  <c r="J198" i="35"/>
  <c r="I198" i="35"/>
  <c r="H199" i="35"/>
  <c r="T195" i="34"/>
  <c r="G198" i="34"/>
  <c r="K198" i="31"/>
  <c r="J198" i="31"/>
  <c r="L198" i="31"/>
  <c r="I198" i="31"/>
  <c r="T195" i="31"/>
  <c r="U196" i="31" s="1"/>
  <c r="T351" i="26"/>
  <c r="U352" i="26" s="1"/>
  <c r="X350" i="26"/>
  <c r="W350" i="26"/>
  <c r="Y350" i="26"/>
  <c r="V350" i="26"/>
  <c r="H290" i="26"/>
  <c r="G290" i="26" s="1"/>
  <c r="L289" i="26"/>
  <c r="K289" i="26"/>
  <c r="J289" i="26"/>
  <c r="I289" i="26"/>
  <c r="L288" i="26"/>
  <c r="K288" i="26"/>
  <c r="J288" i="26"/>
  <c r="I288" i="26"/>
  <c r="G199" i="35" l="1"/>
  <c r="Y198" i="35"/>
  <c r="X198" i="35"/>
  <c r="W198" i="35"/>
  <c r="V198" i="35"/>
  <c r="U199" i="35"/>
  <c r="L198" i="34"/>
  <c r="K198" i="34"/>
  <c r="J198" i="34"/>
  <c r="I198" i="34"/>
  <c r="H199" i="34"/>
  <c r="Y195" i="34"/>
  <c r="X195" i="34"/>
  <c r="W195" i="34"/>
  <c r="V195" i="34"/>
  <c r="U196" i="34"/>
  <c r="Y195" i="31"/>
  <c r="X195" i="31"/>
  <c r="V195" i="31"/>
  <c r="W195" i="31"/>
  <c r="G199" i="31"/>
  <c r="H200" i="31" s="1"/>
  <c r="T352" i="26"/>
  <c r="U353" i="26" s="1"/>
  <c r="W351" i="26"/>
  <c r="V351" i="26"/>
  <c r="X351" i="26"/>
  <c r="Y351" i="26"/>
  <c r="H291" i="26"/>
  <c r="G291" i="26" s="1"/>
  <c r="L290" i="26"/>
  <c r="K290" i="26"/>
  <c r="J290" i="26"/>
  <c r="I290" i="26"/>
  <c r="T199" i="35" l="1"/>
  <c r="L199" i="35"/>
  <c r="K199" i="35"/>
  <c r="J199" i="35"/>
  <c r="I199" i="35"/>
  <c r="H200" i="35"/>
  <c r="T196" i="34"/>
  <c r="G199" i="34"/>
  <c r="K199" i="31"/>
  <c r="L199" i="31"/>
  <c r="J199" i="31"/>
  <c r="I199" i="31"/>
  <c r="T196" i="31"/>
  <c r="U197" i="31" s="1"/>
  <c r="T353" i="26"/>
  <c r="U354" i="26" s="1"/>
  <c r="V352" i="26"/>
  <c r="W352" i="26"/>
  <c r="Y352" i="26"/>
  <c r="X352" i="26"/>
  <c r="H292" i="26"/>
  <c r="G292" i="26" s="1"/>
  <c r="L291" i="26"/>
  <c r="K291" i="26"/>
  <c r="J291" i="26"/>
  <c r="I291" i="26"/>
  <c r="G200" i="35" l="1"/>
  <c r="Y199" i="35"/>
  <c r="X199" i="35"/>
  <c r="W199" i="35"/>
  <c r="V199" i="35"/>
  <c r="U200" i="35"/>
  <c r="L199" i="34"/>
  <c r="K199" i="34"/>
  <c r="J199" i="34"/>
  <c r="I199" i="34"/>
  <c r="H200" i="34"/>
  <c r="Y196" i="34"/>
  <c r="X196" i="34"/>
  <c r="W196" i="34"/>
  <c r="V196" i="34"/>
  <c r="U197" i="34"/>
  <c r="Y196" i="31"/>
  <c r="X196" i="31"/>
  <c r="V196" i="31"/>
  <c r="W196" i="31"/>
  <c r="G200" i="31"/>
  <c r="H201" i="31" s="1"/>
  <c r="T354" i="26"/>
  <c r="U355" i="26" s="1"/>
  <c r="X353" i="26"/>
  <c r="W353" i="26"/>
  <c r="V353" i="26"/>
  <c r="Y353" i="26"/>
  <c r="H293" i="26"/>
  <c r="G293" i="26" s="1"/>
  <c r="K292" i="26"/>
  <c r="J292" i="26"/>
  <c r="L292" i="26"/>
  <c r="I292" i="26"/>
  <c r="T200" i="35" l="1"/>
  <c r="L200" i="35"/>
  <c r="K200" i="35"/>
  <c r="J200" i="35"/>
  <c r="I200" i="35"/>
  <c r="H201" i="35"/>
  <c r="T197" i="34"/>
  <c r="G200" i="34"/>
  <c r="K200" i="31"/>
  <c r="J200" i="31"/>
  <c r="L200" i="31"/>
  <c r="I200" i="31"/>
  <c r="T197" i="31"/>
  <c r="U198" i="31" s="1"/>
  <c r="T355" i="26"/>
  <c r="U356" i="26" s="1"/>
  <c r="X354" i="26"/>
  <c r="Y354" i="26"/>
  <c r="W354" i="26"/>
  <c r="V354" i="26"/>
  <c r="H294" i="26"/>
  <c r="G294" i="26" s="1"/>
  <c r="K293" i="26"/>
  <c r="J293" i="26"/>
  <c r="I293" i="26"/>
  <c r="L293" i="26"/>
  <c r="G201" i="35" l="1"/>
  <c r="Y200" i="35"/>
  <c r="V200" i="35"/>
  <c r="X200" i="35"/>
  <c r="W200" i="35"/>
  <c r="U201" i="35"/>
  <c r="L200" i="34"/>
  <c r="K200" i="34"/>
  <c r="J200" i="34"/>
  <c r="I200" i="34"/>
  <c r="H201" i="34"/>
  <c r="Y197" i="34"/>
  <c r="X197" i="34"/>
  <c r="W197" i="34"/>
  <c r="V197" i="34"/>
  <c r="U198" i="34"/>
  <c r="Y197" i="31"/>
  <c r="X197" i="31"/>
  <c r="V197" i="31"/>
  <c r="W197" i="31"/>
  <c r="G201" i="31"/>
  <c r="H202" i="31" s="1"/>
  <c r="T356" i="26"/>
  <c r="U357" i="26" s="1"/>
  <c r="V355" i="26"/>
  <c r="W355" i="26"/>
  <c r="X355" i="26"/>
  <c r="Y355" i="26"/>
  <c r="H295" i="26"/>
  <c r="G295" i="26" s="1"/>
  <c r="J294" i="26"/>
  <c r="K294" i="26"/>
  <c r="I294" i="26"/>
  <c r="L294" i="26"/>
  <c r="T201" i="35" l="1"/>
  <c r="L201" i="35"/>
  <c r="K201" i="35"/>
  <c r="J201" i="35"/>
  <c r="I201" i="35"/>
  <c r="H202" i="35"/>
  <c r="G201" i="34"/>
  <c r="T198" i="34"/>
  <c r="K201" i="31"/>
  <c r="J201" i="31"/>
  <c r="L201" i="31"/>
  <c r="I201" i="31"/>
  <c r="T198" i="31"/>
  <c r="U199" i="31" s="1"/>
  <c r="T357" i="26"/>
  <c r="U358" i="26" s="1"/>
  <c r="X356" i="26"/>
  <c r="W356" i="26"/>
  <c r="Y356" i="26"/>
  <c r="V356" i="26"/>
  <c r="H296" i="26"/>
  <c r="G296" i="26" s="1"/>
  <c r="I295" i="26"/>
  <c r="L295" i="26"/>
  <c r="J295" i="26"/>
  <c r="K295" i="26"/>
  <c r="G202" i="35" l="1"/>
  <c r="Y201" i="35"/>
  <c r="X201" i="35"/>
  <c r="W201" i="35"/>
  <c r="V201" i="35"/>
  <c r="U202" i="35"/>
  <c r="Y198" i="34"/>
  <c r="X198" i="34"/>
  <c r="W198" i="34"/>
  <c r="V198" i="34"/>
  <c r="U199" i="34"/>
  <c r="L201" i="34"/>
  <c r="K201" i="34"/>
  <c r="I201" i="34"/>
  <c r="J201" i="34"/>
  <c r="H202" i="34"/>
  <c r="Y198" i="31"/>
  <c r="X198" i="31"/>
  <c r="V198" i="31"/>
  <c r="W198" i="31"/>
  <c r="G202" i="31"/>
  <c r="H203" i="31" s="1"/>
  <c r="T358" i="26"/>
  <c r="U359" i="26" s="1"/>
  <c r="W357" i="26"/>
  <c r="V357" i="26"/>
  <c r="Y357" i="26"/>
  <c r="X357" i="26"/>
  <c r="H297" i="26"/>
  <c r="G297" i="26" s="1"/>
  <c r="L296" i="26"/>
  <c r="I296" i="26"/>
  <c r="K296" i="26"/>
  <c r="J296" i="26"/>
  <c r="T202" i="35" l="1"/>
  <c r="L202" i="35"/>
  <c r="K202" i="35"/>
  <c r="J202" i="35"/>
  <c r="I202" i="35"/>
  <c r="H203" i="35"/>
  <c r="G202" i="34"/>
  <c r="T199" i="34"/>
  <c r="L202" i="31"/>
  <c r="I202" i="31"/>
  <c r="J202" i="31"/>
  <c r="K202" i="31"/>
  <c r="T199" i="31"/>
  <c r="U200" i="31" s="1"/>
  <c r="T359" i="26"/>
  <c r="U360" i="26" s="1"/>
  <c r="W358" i="26"/>
  <c r="V358" i="26"/>
  <c r="Y358" i="26"/>
  <c r="X358" i="26"/>
  <c r="H298" i="26"/>
  <c r="G298" i="26" s="1"/>
  <c r="L297" i="26"/>
  <c r="K297" i="26"/>
  <c r="J297" i="26"/>
  <c r="I297" i="26"/>
  <c r="G203" i="35" l="1"/>
  <c r="Y202" i="35"/>
  <c r="X202" i="35"/>
  <c r="W202" i="35"/>
  <c r="V202" i="35"/>
  <c r="U203" i="35"/>
  <c r="Y199" i="34"/>
  <c r="X199" i="34"/>
  <c r="W199" i="34"/>
  <c r="V199" i="34"/>
  <c r="U200" i="34"/>
  <c r="L202" i="34"/>
  <c r="K202" i="34"/>
  <c r="J202" i="34"/>
  <c r="I202" i="34"/>
  <c r="H203" i="34"/>
  <c r="Y199" i="31"/>
  <c r="X199" i="31"/>
  <c r="V199" i="31"/>
  <c r="W199" i="31"/>
  <c r="G203" i="31"/>
  <c r="H204" i="31" s="1"/>
  <c r="T360" i="26"/>
  <c r="U361" i="26" s="1"/>
  <c r="X359" i="26"/>
  <c r="W359" i="26"/>
  <c r="V359" i="26"/>
  <c r="Y359" i="26"/>
  <c r="H299" i="26"/>
  <c r="G299" i="26" s="1"/>
  <c r="L298" i="26"/>
  <c r="K298" i="26"/>
  <c r="J298" i="26"/>
  <c r="I298" i="26"/>
  <c r="T203" i="35" l="1"/>
  <c r="L203" i="35"/>
  <c r="K203" i="35"/>
  <c r="J203" i="35"/>
  <c r="I203" i="35"/>
  <c r="H204" i="35"/>
  <c r="G203" i="34"/>
  <c r="T200" i="34"/>
  <c r="I203" i="31"/>
  <c r="K203" i="31"/>
  <c r="J203" i="31"/>
  <c r="L203" i="31"/>
  <c r="T200" i="31"/>
  <c r="U201" i="31" s="1"/>
  <c r="T361" i="26"/>
  <c r="U362" i="26" s="1"/>
  <c r="W360" i="26"/>
  <c r="V360" i="26"/>
  <c r="Y360" i="26"/>
  <c r="X360" i="26"/>
  <c r="H300" i="26"/>
  <c r="L299" i="26"/>
  <c r="K299" i="26"/>
  <c r="J299" i="26"/>
  <c r="I299" i="26"/>
  <c r="G204" i="35" l="1"/>
  <c r="Y203" i="35"/>
  <c r="V203" i="35"/>
  <c r="X203" i="35"/>
  <c r="W203" i="35"/>
  <c r="U204" i="35"/>
  <c r="Y200" i="34"/>
  <c r="X200" i="34"/>
  <c r="W200" i="34"/>
  <c r="V200" i="34"/>
  <c r="U201" i="34"/>
  <c r="L203" i="34"/>
  <c r="K203" i="34"/>
  <c r="J203" i="34"/>
  <c r="I203" i="34"/>
  <c r="H204" i="34"/>
  <c r="Y200" i="31"/>
  <c r="X200" i="31"/>
  <c r="V200" i="31"/>
  <c r="W200" i="31"/>
  <c r="G204" i="31"/>
  <c r="H205" i="31" s="1"/>
  <c r="T362" i="26"/>
  <c r="U363" i="26" s="1"/>
  <c r="V361" i="26"/>
  <c r="W361" i="26"/>
  <c r="Y361" i="26"/>
  <c r="X361" i="26"/>
  <c r="G300" i="26"/>
  <c r="H301" i="26" s="1"/>
  <c r="G301" i="26" s="1"/>
  <c r="T204" i="35" l="1"/>
  <c r="L204" i="35"/>
  <c r="K204" i="35"/>
  <c r="J204" i="35"/>
  <c r="I204" i="35"/>
  <c r="H205" i="35"/>
  <c r="G204" i="34"/>
  <c r="T201" i="34"/>
  <c r="J204" i="31"/>
  <c r="L204" i="31"/>
  <c r="K204" i="31"/>
  <c r="I204" i="31"/>
  <c r="T201" i="31"/>
  <c r="U202" i="31" s="1"/>
  <c r="T363" i="26"/>
  <c r="U364" i="26" s="1"/>
  <c r="X362" i="26"/>
  <c r="W362" i="26"/>
  <c r="Y362" i="26"/>
  <c r="V362" i="26"/>
  <c r="H302" i="26"/>
  <c r="G302" i="26" s="1"/>
  <c r="L301" i="26"/>
  <c r="K301" i="26"/>
  <c r="J301" i="26"/>
  <c r="I301" i="26"/>
  <c r="L300" i="26"/>
  <c r="K300" i="26"/>
  <c r="J300" i="26"/>
  <c r="I300" i="26"/>
  <c r="G205" i="35" l="1"/>
  <c r="Y204" i="35"/>
  <c r="X204" i="35"/>
  <c r="W204" i="35"/>
  <c r="V204" i="35"/>
  <c r="U205" i="35"/>
  <c r="Y201" i="34"/>
  <c r="X201" i="34"/>
  <c r="W201" i="34"/>
  <c r="V201" i="34"/>
  <c r="U202" i="34"/>
  <c r="L204" i="34"/>
  <c r="K204" i="34"/>
  <c r="J204" i="34"/>
  <c r="I204" i="34"/>
  <c r="H205" i="34"/>
  <c r="Y201" i="31"/>
  <c r="X201" i="31"/>
  <c r="W201" i="31"/>
  <c r="V201" i="31"/>
  <c r="G205" i="31"/>
  <c r="H206" i="31" s="1"/>
  <c r="T364" i="26"/>
  <c r="U365" i="26" s="1"/>
  <c r="W363" i="26"/>
  <c r="V363" i="26"/>
  <c r="Y363" i="26"/>
  <c r="X363" i="26"/>
  <c r="H303" i="26"/>
  <c r="L302" i="26"/>
  <c r="K302" i="26"/>
  <c r="J302" i="26"/>
  <c r="I302" i="26"/>
  <c r="T205" i="35" l="1"/>
  <c r="L205" i="35"/>
  <c r="K205" i="35"/>
  <c r="J205" i="35"/>
  <c r="I205" i="35"/>
  <c r="H206" i="35"/>
  <c r="G205" i="34"/>
  <c r="T202" i="34"/>
  <c r="K205" i="31"/>
  <c r="J205" i="31"/>
  <c r="I205" i="31"/>
  <c r="L205" i="31"/>
  <c r="T202" i="31"/>
  <c r="U203" i="31" s="1"/>
  <c r="T365" i="26"/>
  <c r="U366" i="26" s="1"/>
  <c r="V364" i="26"/>
  <c r="W364" i="26"/>
  <c r="X364" i="26"/>
  <c r="Y364" i="26"/>
  <c r="G303" i="26"/>
  <c r="G206" i="35" l="1"/>
  <c r="Y205" i="35"/>
  <c r="X205" i="35"/>
  <c r="W205" i="35"/>
  <c r="V205" i="35"/>
  <c r="U206" i="35"/>
  <c r="Y202" i="34"/>
  <c r="X202" i="34"/>
  <c r="W202" i="34"/>
  <c r="V202" i="34"/>
  <c r="U203" i="34"/>
  <c r="L205" i="34"/>
  <c r="K205" i="34"/>
  <c r="J205" i="34"/>
  <c r="I205" i="34"/>
  <c r="H206" i="34"/>
  <c r="Y202" i="31"/>
  <c r="X202" i="31"/>
  <c r="W202" i="31"/>
  <c r="V202" i="31"/>
  <c r="G206" i="31"/>
  <c r="H207" i="31" s="1"/>
  <c r="T366" i="26"/>
  <c r="U367" i="26" s="1"/>
  <c r="X365" i="26"/>
  <c r="W365" i="26"/>
  <c r="V365" i="26"/>
  <c r="Y365" i="26"/>
  <c r="L303" i="26"/>
  <c r="K303" i="26"/>
  <c r="J303" i="26"/>
  <c r="I303" i="26"/>
  <c r="H304" i="26"/>
  <c r="G304" i="26" s="1"/>
  <c r="T206" i="35" l="1"/>
  <c r="L206" i="35"/>
  <c r="K206" i="35"/>
  <c r="J206" i="35"/>
  <c r="I206" i="35"/>
  <c r="H207" i="35"/>
  <c r="G206" i="34"/>
  <c r="T203" i="34"/>
  <c r="L206" i="31"/>
  <c r="K206" i="31"/>
  <c r="J206" i="31"/>
  <c r="I206" i="31"/>
  <c r="T203" i="31"/>
  <c r="U204" i="31" s="1"/>
  <c r="T367" i="26"/>
  <c r="U368" i="26" s="1"/>
  <c r="X366" i="26"/>
  <c r="W366" i="26"/>
  <c r="Y366" i="26"/>
  <c r="V366" i="26"/>
  <c r="H305" i="26"/>
  <c r="G305" i="26" s="1"/>
  <c r="K304" i="26"/>
  <c r="J304" i="26"/>
  <c r="L304" i="26"/>
  <c r="I304" i="26"/>
  <c r="G207" i="35" l="1"/>
  <c r="Y206" i="35"/>
  <c r="X206" i="35"/>
  <c r="W206" i="35"/>
  <c r="V206" i="35"/>
  <c r="U207" i="35"/>
  <c r="Y203" i="34"/>
  <c r="X203" i="34"/>
  <c r="W203" i="34"/>
  <c r="V203" i="34"/>
  <c r="U204" i="34"/>
  <c r="L206" i="34"/>
  <c r="K206" i="34"/>
  <c r="J206" i="34"/>
  <c r="I206" i="34"/>
  <c r="H207" i="34"/>
  <c r="Y203" i="31"/>
  <c r="X203" i="31"/>
  <c r="W203" i="31"/>
  <c r="V203" i="31"/>
  <c r="G207" i="31"/>
  <c r="H208" i="31" s="1"/>
  <c r="T368" i="26"/>
  <c r="U369" i="26" s="1"/>
  <c r="V367" i="26"/>
  <c r="W367" i="26"/>
  <c r="Y367" i="26"/>
  <c r="X367" i="26"/>
  <c r="H306" i="26"/>
  <c r="G306" i="26" s="1"/>
  <c r="K305" i="26"/>
  <c r="J305" i="26"/>
  <c r="I305" i="26"/>
  <c r="L305" i="26"/>
  <c r="T207" i="35" l="1"/>
  <c r="L207" i="35"/>
  <c r="K207" i="35"/>
  <c r="J207" i="35"/>
  <c r="I207" i="35"/>
  <c r="H208" i="35"/>
  <c r="G207" i="34"/>
  <c r="T204" i="34"/>
  <c r="I207" i="31"/>
  <c r="J207" i="31"/>
  <c r="K207" i="31"/>
  <c r="L207" i="31"/>
  <c r="T204" i="31"/>
  <c r="U205" i="31" s="1"/>
  <c r="T369" i="26"/>
  <c r="U370" i="26" s="1"/>
  <c r="X368" i="26"/>
  <c r="W368" i="26"/>
  <c r="Y368" i="26"/>
  <c r="V368" i="26"/>
  <c r="H307" i="26"/>
  <c r="G307" i="26" s="1"/>
  <c r="J306" i="26"/>
  <c r="K306" i="26"/>
  <c r="L306" i="26"/>
  <c r="I306" i="26"/>
  <c r="G208" i="35" l="1"/>
  <c r="Y207" i="35"/>
  <c r="V207" i="35"/>
  <c r="X207" i="35"/>
  <c r="W207" i="35"/>
  <c r="U208" i="35"/>
  <c r="Y204" i="34"/>
  <c r="X204" i="34"/>
  <c r="W204" i="34"/>
  <c r="V204" i="34"/>
  <c r="U205" i="34"/>
  <c r="L207" i="34"/>
  <c r="K207" i="34"/>
  <c r="I207" i="34"/>
  <c r="J207" i="34"/>
  <c r="H208" i="34"/>
  <c r="Y204" i="31"/>
  <c r="X204" i="31"/>
  <c r="W204" i="31"/>
  <c r="V204" i="31"/>
  <c r="G208" i="31"/>
  <c r="H209" i="31" s="1"/>
  <c r="T370" i="26"/>
  <c r="U371" i="26" s="1"/>
  <c r="W369" i="26"/>
  <c r="V369" i="26"/>
  <c r="X369" i="26"/>
  <c r="Y369" i="26"/>
  <c r="H308" i="26"/>
  <c r="G308" i="26" s="1"/>
  <c r="I307" i="26"/>
  <c r="L307" i="26"/>
  <c r="J307" i="26"/>
  <c r="K307" i="26"/>
  <c r="T208" i="35" l="1"/>
  <c r="L208" i="35"/>
  <c r="K208" i="35"/>
  <c r="J208" i="35"/>
  <c r="I208" i="35"/>
  <c r="H209" i="35"/>
  <c r="G208" i="34"/>
  <c r="T205" i="34"/>
  <c r="I208" i="31"/>
  <c r="L208" i="31"/>
  <c r="K208" i="31"/>
  <c r="J208" i="31"/>
  <c r="T205" i="31"/>
  <c r="U206" i="31" s="1"/>
  <c r="T371" i="26"/>
  <c r="U372" i="26" s="1"/>
  <c r="V370" i="26"/>
  <c r="W370" i="26"/>
  <c r="X370" i="26"/>
  <c r="Y370" i="26"/>
  <c r="H309" i="26"/>
  <c r="G309" i="26" s="1"/>
  <c r="L308" i="26"/>
  <c r="I308" i="26"/>
  <c r="J308" i="26"/>
  <c r="K308" i="26"/>
  <c r="G209" i="35" l="1"/>
  <c r="Y208" i="35"/>
  <c r="V208" i="35"/>
  <c r="X208" i="35"/>
  <c r="W208" i="35"/>
  <c r="U209" i="35"/>
  <c r="Y205" i="34"/>
  <c r="X205" i="34"/>
  <c r="W205" i="34"/>
  <c r="V205" i="34"/>
  <c r="U206" i="34"/>
  <c r="L208" i="34"/>
  <c r="K208" i="34"/>
  <c r="J208" i="34"/>
  <c r="I208" i="34"/>
  <c r="H209" i="34"/>
  <c r="Y205" i="31"/>
  <c r="X205" i="31"/>
  <c r="W205" i="31"/>
  <c r="V205" i="31"/>
  <c r="G209" i="31"/>
  <c r="H210" i="31" s="1"/>
  <c r="T372" i="26"/>
  <c r="U373" i="26" s="1"/>
  <c r="X371" i="26"/>
  <c r="Y371" i="26"/>
  <c r="W371" i="26"/>
  <c r="V371" i="26"/>
  <c r="H310" i="26"/>
  <c r="G310" i="26" s="1"/>
  <c r="L309" i="26"/>
  <c r="K309" i="26"/>
  <c r="J309" i="26"/>
  <c r="I309" i="26"/>
  <c r="T209" i="35" l="1"/>
  <c r="L209" i="35"/>
  <c r="K209" i="35"/>
  <c r="J209" i="35"/>
  <c r="I209" i="35"/>
  <c r="H210" i="35"/>
  <c r="G209" i="34"/>
  <c r="T206" i="34"/>
  <c r="I209" i="31"/>
  <c r="J209" i="31"/>
  <c r="L209" i="31"/>
  <c r="K209" i="31"/>
  <c r="T206" i="31"/>
  <c r="U207" i="31" s="1"/>
  <c r="T373" i="26"/>
  <c r="U374" i="26" s="1"/>
  <c r="W372" i="26"/>
  <c r="X372" i="26"/>
  <c r="V372" i="26"/>
  <c r="Y372" i="26"/>
  <c r="H311" i="26"/>
  <c r="G311" i="26" s="1"/>
  <c r="L310" i="26"/>
  <c r="K310" i="26"/>
  <c r="J310" i="26"/>
  <c r="I310" i="26"/>
  <c r="G210" i="35" l="1"/>
  <c r="Y209" i="35"/>
  <c r="V209" i="35"/>
  <c r="X209" i="35"/>
  <c r="W209" i="35"/>
  <c r="U210" i="35"/>
  <c r="Y206" i="34"/>
  <c r="X206" i="34"/>
  <c r="W206" i="34"/>
  <c r="V206" i="34"/>
  <c r="U207" i="34"/>
  <c r="L209" i="34"/>
  <c r="K209" i="34"/>
  <c r="J209" i="34"/>
  <c r="I209" i="34"/>
  <c r="H210" i="34"/>
  <c r="Y206" i="31"/>
  <c r="X206" i="31"/>
  <c r="W206" i="31"/>
  <c r="V206" i="31"/>
  <c r="G210" i="31"/>
  <c r="H211" i="31" s="1"/>
  <c r="T374" i="26"/>
  <c r="U375" i="26" s="1"/>
  <c r="V373" i="26"/>
  <c r="W373" i="26"/>
  <c r="X373" i="26"/>
  <c r="Y373" i="26"/>
  <c r="H312" i="26"/>
  <c r="L311" i="26"/>
  <c r="K311" i="26"/>
  <c r="J311" i="26"/>
  <c r="I311" i="26"/>
  <c r="T210" i="35" l="1"/>
  <c r="L210" i="35"/>
  <c r="K210" i="35"/>
  <c r="J210" i="35"/>
  <c r="I210" i="35"/>
  <c r="H211" i="35"/>
  <c r="G210" i="34"/>
  <c r="T207" i="34"/>
  <c r="I210" i="31"/>
  <c r="L210" i="31"/>
  <c r="K210" i="31"/>
  <c r="J210" i="31"/>
  <c r="T207" i="31"/>
  <c r="U208" i="31" s="1"/>
  <c r="T375" i="26"/>
  <c r="U376" i="26" s="1"/>
  <c r="X374" i="26"/>
  <c r="W374" i="26"/>
  <c r="Y374" i="26"/>
  <c r="V374" i="26"/>
  <c r="G312" i="26"/>
  <c r="H313" i="26" s="1"/>
  <c r="G313" i="26" s="1"/>
  <c r="G211" i="35" l="1"/>
  <c r="Y210" i="35"/>
  <c r="V210" i="35"/>
  <c r="X210" i="35"/>
  <c r="W210" i="35"/>
  <c r="U211" i="35"/>
  <c r="Y207" i="34"/>
  <c r="X207" i="34"/>
  <c r="W207" i="34"/>
  <c r="V207" i="34"/>
  <c r="U208" i="34"/>
  <c r="L210" i="34"/>
  <c r="K210" i="34"/>
  <c r="I210" i="34"/>
  <c r="J210" i="34"/>
  <c r="H211" i="34"/>
  <c r="Y207" i="31"/>
  <c r="X207" i="31"/>
  <c r="W207" i="31"/>
  <c r="V207" i="31"/>
  <c r="G211" i="31"/>
  <c r="H212" i="31" s="1"/>
  <c r="T376" i="26"/>
  <c r="U377" i="26" s="1"/>
  <c r="W375" i="26"/>
  <c r="Y375" i="26"/>
  <c r="V375" i="26"/>
  <c r="X375" i="26"/>
  <c r="H314" i="26"/>
  <c r="L313" i="26"/>
  <c r="K313" i="26"/>
  <c r="J313" i="26"/>
  <c r="I313" i="26"/>
  <c r="L312" i="26"/>
  <c r="K312" i="26"/>
  <c r="J312" i="26"/>
  <c r="I312" i="26"/>
  <c r="T211" i="35" l="1"/>
  <c r="L211" i="35"/>
  <c r="K211" i="35"/>
  <c r="J211" i="35"/>
  <c r="I211" i="35"/>
  <c r="H212" i="35"/>
  <c r="G211" i="34"/>
  <c r="T208" i="34"/>
  <c r="I211" i="31"/>
  <c r="J211" i="31"/>
  <c r="L211" i="31"/>
  <c r="K211" i="31"/>
  <c r="T208" i="31"/>
  <c r="U209" i="31" s="1"/>
  <c r="T377" i="26"/>
  <c r="U378" i="26" s="1"/>
  <c r="V376" i="26"/>
  <c r="W376" i="26"/>
  <c r="Y376" i="26"/>
  <c r="X376" i="26"/>
  <c r="G314" i="26"/>
  <c r="H315" i="26" s="1"/>
  <c r="G212" i="35" l="1"/>
  <c r="Y211" i="35"/>
  <c r="V211" i="35"/>
  <c r="X211" i="35"/>
  <c r="W211" i="35"/>
  <c r="U212" i="35"/>
  <c r="Y208" i="34"/>
  <c r="X208" i="34"/>
  <c r="W208" i="34"/>
  <c r="V208" i="34"/>
  <c r="U209" i="34"/>
  <c r="L211" i="34"/>
  <c r="K211" i="34"/>
  <c r="J211" i="34"/>
  <c r="I211" i="34"/>
  <c r="H212" i="34"/>
  <c r="Y208" i="31"/>
  <c r="X208" i="31"/>
  <c r="W208" i="31"/>
  <c r="V208" i="31"/>
  <c r="G212" i="31"/>
  <c r="H213" i="31" s="1"/>
  <c r="T378" i="26"/>
  <c r="U379" i="26" s="1"/>
  <c r="X377" i="26"/>
  <c r="W377" i="26"/>
  <c r="V377" i="26"/>
  <c r="Y377" i="26"/>
  <c r="G315" i="26"/>
  <c r="H316" i="26" s="1"/>
  <c r="G316" i="26" s="1"/>
  <c r="L314" i="26"/>
  <c r="K314" i="26"/>
  <c r="J314" i="26"/>
  <c r="I314" i="26"/>
  <c r="T212" i="35" l="1"/>
  <c r="L212" i="35"/>
  <c r="K212" i="35"/>
  <c r="J212" i="35"/>
  <c r="I212" i="35"/>
  <c r="H213" i="35"/>
  <c r="G212" i="34"/>
  <c r="T209" i="34"/>
  <c r="I212" i="31"/>
  <c r="L212" i="31"/>
  <c r="K212" i="31"/>
  <c r="J212" i="31"/>
  <c r="T209" i="31"/>
  <c r="U210" i="31" s="1"/>
  <c r="T379" i="26"/>
  <c r="U380" i="26" s="1"/>
  <c r="X378" i="26"/>
  <c r="W378" i="26"/>
  <c r="Y378" i="26"/>
  <c r="V378" i="26"/>
  <c r="H317" i="26"/>
  <c r="G317" i="26" s="1"/>
  <c r="K316" i="26"/>
  <c r="J316" i="26"/>
  <c r="L316" i="26"/>
  <c r="I316" i="26"/>
  <c r="L315" i="26"/>
  <c r="K315" i="26"/>
  <c r="J315" i="26"/>
  <c r="I315" i="26"/>
  <c r="G213" i="35" l="1"/>
  <c r="Y212" i="35"/>
  <c r="V212" i="35"/>
  <c r="X212" i="35"/>
  <c r="W212" i="35"/>
  <c r="U213" i="35"/>
  <c r="Y209" i="34"/>
  <c r="X209" i="34"/>
  <c r="W209" i="34"/>
  <c r="V209" i="34"/>
  <c r="U210" i="34"/>
  <c r="L212" i="34"/>
  <c r="K212" i="34"/>
  <c r="J212" i="34"/>
  <c r="I212" i="34"/>
  <c r="H213" i="34"/>
  <c r="Y209" i="31"/>
  <c r="X209" i="31"/>
  <c r="W209" i="31"/>
  <c r="V209" i="31"/>
  <c r="G213" i="31"/>
  <c r="H214" i="31" s="1"/>
  <c r="T380" i="26"/>
  <c r="U381" i="26" s="1"/>
  <c r="V379" i="26"/>
  <c r="X379" i="26"/>
  <c r="W379" i="26"/>
  <c r="Y379" i="26"/>
  <c r="H318" i="26"/>
  <c r="G318" i="26" s="1"/>
  <c r="K317" i="26"/>
  <c r="J317" i="26"/>
  <c r="I317" i="26"/>
  <c r="L317" i="26"/>
  <c r="T213" i="35" l="1"/>
  <c r="L213" i="35"/>
  <c r="K213" i="35"/>
  <c r="J213" i="35"/>
  <c r="I213" i="35"/>
  <c r="H214" i="35"/>
  <c r="G213" i="34"/>
  <c r="T210" i="34"/>
  <c r="I213" i="31"/>
  <c r="J213" i="31"/>
  <c r="K213" i="31"/>
  <c r="L213" i="31"/>
  <c r="T210" i="31"/>
  <c r="U211" i="31" s="1"/>
  <c r="T381" i="26"/>
  <c r="U382" i="26" s="1"/>
  <c r="X380" i="26"/>
  <c r="W380" i="26"/>
  <c r="Y380" i="26"/>
  <c r="V380" i="26"/>
  <c r="H319" i="26"/>
  <c r="G319" i="26" s="1"/>
  <c r="J318" i="26"/>
  <c r="I318" i="26"/>
  <c r="K318" i="26"/>
  <c r="L318" i="26"/>
  <c r="G214" i="35" l="1"/>
  <c r="Y213" i="35"/>
  <c r="V213" i="35"/>
  <c r="X213" i="35"/>
  <c r="W213" i="35"/>
  <c r="U214" i="35"/>
  <c r="Y210" i="34"/>
  <c r="X210" i="34"/>
  <c r="W210" i="34"/>
  <c r="V210" i="34"/>
  <c r="U211" i="34"/>
  <c r="L213" i="34"/>
  <c r="K213" i="34"/>
  <c r="I213" i="34"/>
  <c r="J213" i="34"/>
  <c r="H214" i="34"/>
  <c r="Y210" i="31"/>
  <c r="X210" i="31"/>
  <c r="W210" i="31"/>
  <c r="V210" i="31"/>
  <c r="G214" i="31"/>
  <c r="H215" i="31" s="1"/>
  <c r="T382" i="26"/>
  <c r="U383" i="26" s="1"/>
  <c r="Y381" i="26"/>
  <c r="X381" i="26"/>
  <c r="V381" i="26"/>
  <c r="W381" i="26"/>
  <c r="H320" i="26"/>
  <c r="G320" i="26" s="1"/>
  <c r="I319" i="26"/>
  <c r="L319" i="26"/>
  <c r="J319" i="26"/>
  <c r="K319" i="26"/>
  <c r="T214" i="35" l="1"/>
  <c r="L214" i="35"/>
  <c r="K214" i="35"/>
  <c r="J214" i="35"/>
  <c r="I214" i="35"/>
  <c r="H215" i="35"/>
  <c r="G214" i="34"/>
  <c r="T211" i="34"/>
  <c r="I214" i="31"/>
  <c r="L214" i="31"/>
  <c r="K214" i="31"/>
  <c r="J214" i="31"/>
  <c r="T211" i="31"/>
  <c r="U212" i="31" s="1"/>
  <c r="T383" i="26"/>
  <c r="U384" i="26" s="1"/>
  <c r="V382" i="26"/>
  <c r="W382" i="26"/>
  <c r="Y382" i="26"/>
  <c r="X382" i="26"/>
  <c r="H321" i="26"/>
  <c r="G321" i="26" s="1"/>
  <c r="L320" i="26"/>
  <c r="I320" i="26"/>
  <c r="K320" i="26"/>
  <c r="J320" i="26"/>
  <c r="G215" i="35" l="1"/>
  <c r="Y214" i="35"/>
  <c r="V214" i="35"/>
  <c r="X214" i="35"/>
  <c r="W214" i="35"/>
  <c r="U215" i="35"/>
  <c r="Y211" i="34"/>
  <c r="X211" i="34"/>
  <c r="W211" i="34"/>
  <c r="V211" i="34"/>
  <c r="U212" i="34"/>
  <c r="L214" i="34"/>
  <c r="K214" i="34"/>
  <c r="J214" i="34"/>
  <c r="I214" i="34"/>
  <c r="H215" i="34"/>
  <c r="Y211" i="31"/>
  <c r="X211" i="31"/>
  <c r="W211" i="31"/>
  <c r="V211" i="31"/>
  <c r="G215" i="31"/>
  <c r="H216" i="31" s="1"/>
  <c r="T384" i="26"/>
  <c r="U385" i="26" s="1"/>
  <c r="X383" i="26"/>
  <c r="W383" i="26"/>
  <c r="V383" i="26"/>
  <c r="Y383" i="26"/>
  <c r="H322" i="26"/>
  <c r="G322" i="26" s="1"/>
  <c r="L321" i="26"/>
  <c r="K321" i="26"/>
  <c r="I321" i="26"/>
  <c r="J321" i="26"/>
  <c r="T215" i="35" l="1"/>
  <c r="L215" i="35"/>
  <c r="K215" i="35"/>
  <c r="J215" i="35"/>
  <c r="I215" i="35"/>
  <c r="H216" i="35"/>
  <c r="G215" i="34"/>
  <c r="T212" i="34"/>
  <c r="I215" i="31"/>
  <c r="J215" i="31"/>
  <c r="L215" i="31"/>
  <c r="K215" i="31"/>
  <c r="T212" i="31"/>
  <c r="U213" i="31" s="1"/>
  <c r="T385" i="26"/>
  <c r="U386" i="26" s="1"/>
  <c r="W384" i="26"/>
  <c r="V384" i="26"/>
  <c r="Y384" i="26"/>
  <c r="X384" i="26"/>
  <c r="H323" i="26"/>
  <c r="G323" i="26" s="1"/>
  <c r="L322" i="26"/>
  <c r="K322" i="26"/>
  <c r="J322" i="26"/>
  <c r="I322" i="26"/>
  <c r="G216" i="35" l="1"/>
  <c r="Y215" i="35"/>
  <c r="V215" i="35"/>
  <c r="X215" i="35"/>
  <c r="W215" i="35"/>
  <c r="U216" i="35"/>
  <c r="Y212" i="34"/>
  <c r="X212" i="34"/>
  <c r="W212" i="34"/>
  <c r="V212" i="34"/>
  <c r="U213" i="34"/>
  <c r="L215" i="34"/>
  <c r="K215" i="34"/>
  <c r="J215" i="34"/>
  <c r="I215" i="34"/>
  <c r="H216" i="34"/>
  <c r="Y212" i="31"/>
  <c r="X212" i="31"/>
  <c r="W212" i="31"/>
  <c r="V212" i="31"/>
  <c r="G216" i="31"/>
  <c r="H217" i="31" s="1"/>
  <c r="T386" i="26"/>
  <c r="U387" i="26" s="1"/>
  <c r="V385" i="26"/>
  <c r="W385" i="26"/>
  <c r="Y385" i="26"/>
  <c r="X385" i="26"/>
  <c r="H324" i="26"/>
  <c r="L323" i="26"/>
  <c r="K323" i="26"/>
  <c r="J323" i="26"/>
  <c r="I323" i="26"/>
  <c r="T216" i="35" l="1"/>
  <c r="U217" i="35" s="1"/>
  <c r="L216" i="35"/>
  <c r="K216" i="35"/>
  <c r="J216" i="35"/>
  <c r="I216" i="35"/>
  <c r="H217" i="35"/>
  <c r="G216" i="34"/>
  <c r="T213" i="34"/>
  <c r="I216" i="31"/>
  <c r="L216" i="31"/>
  <c r="K216" i="31"/>
  <c r="J216" i="31"/>
  <c r="T213" i="31"/>
  <c r="U214" i="31" s="1"/>
  <c r="T387" i="26"/>
  <c r="U388" i="26" s="1"/>
  <c r="X386" i="26"/>
  <c r="W386" i="26"/>
  <c r="Y386" i="26"/>
  <c r="V386" i="26"/>
  <c r="G324" i="26"/>
  <c r="Y216" i="35" l="1"/>
  <c r="V216" i="35"/>
  <c r="X216" i="35"/>
  <c r="W216" i="35"/>
  <c r="G217" i="35"/>
  <c r="T217" i="35"/>
  <c r="Y213" i="34"/>
  <c r="X213" i="34"/>
  <c r="W213" i="34"/>
  <c r="V213" i="34"/>
  <c r="U214" i="34"/>
  <c r="L216" i="34"/>
  <c r="K216" i="34"/>
  <c r="J216" i="34"/>
  <c r="I216" i="34"/>
  <c r="H217" i="34"/>
  <c r="Y213" i="31"/>
  <c r="X213" i="31"/>
  <c r="W213" i="31"/>
  <c r="V213" i="31"/>
  <c r="G217" i="31"/>
  <c r="H218" i="31" s="1"/>
  <c r="T388" i="26"/>
  <c r="U389" i="26" s="1"/>
  <c r="W387" i="26"/>
  <c r="V387" i="26"/>
  <c r="X387" i="26"/>
  <c r="Y387" i="26"/>
  <c r="L324" i="26"/>
  <c r="K324" i="26"/>
  <c r="J324" i="26"/>
  <c r="I324" i="26"/>
  <c r="H325" i="26"/>
  <c r="G325" i="26" s="1"/>
  <c r="Y217" i="35" l="1"/>
  <c r="V217" i="35"/>
  <c r="X217" i="35"/>
  <c r="W217" i="35"/>
  <c r="U218" i="35"/>
  <c r="L217" i="35"/>
  <c r="K217" i="35"/>
  <c r="J217" i="35"/>
  <c r="I217" i="35"/>
  <c r="H218" i="35"/>
  <c r="G217" i="34"/>
  <c r="T214" i="34"/>
  <c r="I217" i="31"/>
  <c r="J217" i="31"/>
  <c r="K217" i="31"/>
  <c r="L217" i="31"/>
  <c r="T214" i="31"/>
  <c r="U215" i="31" s="1"/>
  <c r="T389" i="26"/>
  <c r="U390" i="26" s="1"/>
  <c r="V388" i="26"/>
  <c r="W388" i="26"/>
  <c r="X388" i="26"/>
  <c r="Y388" i="26"/>
  <c r="H326" i="26"/>
  <c r="L325" i="26"/>
  <c r="K325" i="26"/>
  <c r="J325" i="26"/>
  <c r="I325" i="26"/>
  <c r="G218" i="35" l="1"/>
  <c r="T218" i="35"/>
  <c r="Y214" i="34"/>
  <c r="X214" i="34"/>
  <c r="W214" i="34"/>
  <c r="V214" i="34"/>
  <c r="U215" i="34"/>
  <c r="L217" i="34"/>
  <c r="K217" i="34"/>
  <c r="J217" i="34"/>
  <c r="I217" i="34"/>
  <c r="H218" i="34"/>
  <c r="Y214" i="31"/>
  <c r="X214" i="31"/>
  <c r="W214" i="31"/>
  <c r="V214" i="31"/>
  <c r="G218" i="31"/>
  <c r="H219" i="31" s="1"/>
  <c r="T390" i="26"/>
  <c r="U391" i="26" s="1"/>
  <c r="X389" i="26"/>
  <c r="W389" i="26"/>
  <c r="V389" i="26"/>
  <c r="Y389" i="26"/>
  <c r="G326" i="26"/>
  <c r="H327" i="26" s="1"/>
  <c r="G327" i="26" s="1"/>
  <c r="Y218" i="35" l="1"/>
  <c r="V218" i="35"/>
  <c r="X218" i="35"/>
  <c r="W218" i="35"/>
  <c r="U219" i="35"/>
  <c r="L218" i="35"/>
  <c r="K218" i="35"/>
  <c r="J218" i="35"/>
  <c r="I218" i="35"/>
  <c r="H219" i="35"/>
  <c r="G218" i="34"/>
  <c r="T215" i="34"/>
  <c r="I218" i="31"/>
  <c r="L218" i="31"/>
  <c r="K218" i="31"/>
  <c r="J218" i="31"/>
  <c r="T215" i="31"/>
  <c r="U216" i="31" s="1"/>
  <c r="T391" i="26"/>
  <c r="U392" i="26" s="1"/>
  <c r="W390" i="26"/>
  <c r="V390" i="26"/>
  <c r="Y390" i="26"/>
  <c r="X390" i="26"/>
  <c r="H328" i="26"/>
  <c r="G328" i="26" s="1"/>
  <c r="L327" i="26"/>
  <c r="K327" i="26"/>
  <c r="J327" i="26"/>
  <c r="I327" i="26"/>
  <c r="L326" i="26"/>
  <c r="K326" i="26"/>
  <c r="J326" i="26"/>
  <c r="I326" i="26"/>
  <c r="G219" i="35" l="1"/>
  <c r="T219" i="35"/>
  <c r="Y215" i="34"/>
  <c r="X215" i="34"/>
  <c r="W215" i="34"/>
  <c r="V215" i="34"/>
  <c r="U216" i="34"/>
  <c r="L218" i="34"/>
  <c r="K218" i="34"/>
  <c r="J218" i="34"/>
  <c r="I218" i="34"/>
  <c r="H219" i="34"/>
  <c r="Y215" i="31"/>
  <c r="X215" i="31"/>
  <c r="W215" i="31"/>
  <c r="V215" i="31"/>
  <c r="G219" i="31"/>
  <c r="H220" i="31" s="1"/>
  <c r="T392" i="26"/>
  <c r="U393" i="26" s="1"/>
  <c r="X391" i="26"/>
  <c r="V391" i="26"/>
  <c r="Y391" i="26"/>
  <c r="W391" i="26"/>
  <c r="H329" i="26"/>
  <c r="G329" i="26" s="1"/>
  <c r="K328" i="26"/>
  <c r="J328" i="26"/>
  <c r="I328" i="26"/>
  <c r="L328" i="26"/>
  <c r="Y219" i="35" l="1"/>
  <c r="V219" i="35"/>
  <c r="W219" i="35"/>
  <c r="X219" i="35"/>
  <c r="U220" i="35"/>
  <c r="L219" i="35"/>
  <c r="K219" i="35"/>
  <c r="J219" i="35"/>
  <c r="I219" i="35"/>
  <c r="H220" i="35"/>
  <c r="G219" i="34"/>
  <c r="T216" i="34"/>
  <c r="I219" i="31"/>
  <c r="J219" i="31"/>
  <c r="K219" i="31"/>
  <c r="L219" i="31"/>
  <c r="T216" i="31"/>
  <c r="U217" i="31" s="1"/>
  <c r="T393" i="26"/>
  <c r="U394" i="26" s="1"/>
  <c r="Y392" i="26"/>
  <c r="X392" i="26"/>
  <c r="W392" i="26"/>
  <c r="V392" i="26"/>
  <c r="H330" i="26"/>
  <c r="G330" i="26" s="1"/>
  <c r="K329" i="26"/>
  <c r="J329" i="26"/>
  <c r="I329" i="26"/>
  <c r="L329" i="26"/>
  <c r="G220" i="35" l="1"/>
  <c r="T220" i="35"/>
  <c r="Y216" i="34"/>
  <c r="X216" i="34"/>
  <c r="W216" i="34"/>
  <c r="V216" i="34"/>
  <c r="U217" i="34"/>
  <c r="L219" i="34"/>
  <c r="K219" i="34"/>
  <c r="J219" i="34"/>
  <c r="I219" i="34"/>
  <c r="H220" i="34"/>
  <c r="Y216" i="31"/>
  <c r="X216" i="31"/>
  <c r="W216" i="31"/>
  <c r="V216" i="31"/>
  <c r="G220" i="31"/>
  <c r="H221" i="31" s="1"/>
  <c r="T394" i="26"/>
  <c r="U395" i="26" s="1"/>
  <c r="X393" i="26"/>
  <c r="V393" i="26"/>
  <c r="W393" i="26"/>
  <c r="Y393" i="26"/>
  <c r="H331" i="26"/>
  <c r="G331" i="26" s="1"/>
  <c r="J330" i="26"/>
  <c r="I330" i="26"/>
  <c r="K330" i="26"/>
  <c r="L330" i="26"/>
  <c r="Y220" i="35" l="1"/>
  <c r="V220" i="35"/>
  <c r="X220" i="35"/>
  <c r="W220" i="35"/>
  <c r="U221" i="35"/>
  <c r="L220" i="35"/>
  <c r="K220" i="35"/>
  <c r="J220" i="35"/>
  <c r="I220" i="35"/>
  <c r="H221" i="35"/>
  <c r="G220" i="34"/>
  <c r="T217" i="34"/>
  <c r="I220" i="31"/>
  <c r="L220" i="31"/>
  <c r="K220" i="31"/>
  <c r="J220" i="31"/>
  <c r="T217" i="31"/>
  <c r="U218" i="31" s="1"/>
  <c r="T395" i="26"/>
  <c r="U396" i="26" s="1"/>
  <c r="Y394" i="26"/>
  <c r="V394" i="26"/>
  <c r="W394" i="26"/>
  <c r="X394" i="26"/>
  <c r="H332" i="26"/>
  <c r="G332" i="26" s="1"/>
  <c r="I331" i="26"/>
  <c r="L331" i="26"/>
  <c r="J331" i="26"/>
  <c r="K331" i="26"/>
  <c r="G221" i="35" l="1"/>
  <c r="T221" i="35"/>
  <c r="Y217" i="34"/>
  <c r="X217" i="34"/>
  <c r="W217" i="34"/>
  <c r="V217" i="34"/>
  <c r="U218" i="34"/>
  <c r="L220" i="34"/>
  <c r="K220" i="34"/>
  <c r="J220" i="34"/>
  <c r="I220" i="34"/>
  <c r="H221" i="34"/>
  <c r="Y217" i="31"/>
  <c r="X217" i="31"/>
  <c r="W217" i="31"/>
  <c r="V217" i="31"/>
  <c r="G221" i="31"/>
  <c r="H222" i="31" s="1"/>
  <c r="T396" i="26"/>
  <c r="U397" i="26" s="1"/>
  <c r="Y395" i="26"/>
  <c r="X395" i="26"/>
  <c r="W395" i="26"/>
  <c r="V395" i="26"/>
  <c r="H333" i="26"/>
  <c r="G333" i="26" s="1"/>
  <c r="L332" i="26"/>
  <c r="I332" i="26"/>
  <c r="K332" i="26"/>
  <c r="J332" i="26"/>
  <c r="Y221" i="35" l="1"/>
  <c r="V221" i="35"/>
  <c r="X221" i="35"/>
  <c r="W221" i="35"/>
  <c r="U222" i="35"/>
  <c r="L221" i="35"/>
  <c r="K221" i="35"/>
  <c r="J221" i="35"/>
  <c r="I221" i="35"/>
  <c r="H222" i="35"/>
  <c r="G221" i="34"/>
  <c r="T218" i="34"/>
  <c r="I221" i="31"/>
  <c r="J221" i="31"/>
  <c r="L221" i="31"/>
  <c r="K221" i="31"/>
  <c r="T218" i="31"/>
  <c r="U219" i="31" s="1"/>
  <c r="T397" i="26"/>
  <c r="U398" i="26" s="1"/>
  <c r="W396" i="26"/>
  <c r="V396" i="26"/>
  <c r="Y396" i="26"/>
  <c r="X396" i="26"/>
  <c r="H334" i="26"/>
  <c r="G334" i="26" s="1"/>
  <c r="L333" i="26"/>
  <c r="K333" i="26"/>
  <c r="I333" i="26"/>
  <c r="J333" i="26"/>
  <c r="G222" i="35" l="1"/>
  <c r="T222" i="35"/>
  <c r="Y218" i="34"/>
  <c r="X218" i="34"/>
  <c r="W218" i="34"/>
  <c r="V218" i="34"/>
  <c r="U219" i="34"/>
  <c r="L221" i="34"/>
  <c r="K221" i="34"/>
  <c r="J221" i="34"/>
  <c r="I221" i="34"/>
  <c r="H222" i="34"/>
  <c r="Y218" i="31"/>
  <c r="X218" i="31"/>
  <c r="W218" i="31"/>
  <c r="V218" i="31"/>
  <c r="T219" i="31"/>
  <c r="U220" i="31" s="1"/>
  <c r="G222" i="31"/>
  <c r="H223" i="31" s="1"/>
  <c r="T398" i="26"/>
  <c r="U399" i="26" s="1"/>
  <c r="V397" i="26"/>
  <c r="X397" i="26"/>
  <c r="W397" i="26"/>
  <c r="Y397" i="26"/>
  <c r="H335" i="26"/>
  <c r="G335" i="26" s="1"/>
  <c r="L334" i="26"/>
  <c r="K334" i="26"/>
  <c r="J334" i="26"/>
  <c r="I334" i="26"/>
  <c r="Y222" i="35" l="1"/>
  <c r="V222" i="35"/>
  <c r="X222" i="35"/>
  <c r="W222" i="35"/>
  <c r="U223" i="35"/>
  <c r="L222" i="35"/>
  <c r="K222" i="35"/>
  <c r="J222" i="35"/>
  <c r="I222" i="35"/>
  <c r="H223" i="35"/>
  <c r="G222" i="34"/>
  <c r="T219" i="34"/>
  <c r="I222" i="31"/>
  <c r="L222" i="31"/>
  <c r="K222" i="31"/>
  <c r="J222" i="31"/>
  <c r="Y219" i="31"/>
  <c r="X219" i="31"/>
  <c r="W219" i="31"/>
  <c r="V219" i="31"/>
  <c r="T399" i="26"/>
  <c r="U400" i="26" s="1"/>
  <c r="X398" i="26"/>
  <c r="W398" i="26"/>
  <c r="Y398" i="26"/>
  <c r="V398" i="26"/>
  <c r="H336" i="26"/>
  <c r="L335" i="26"/>
  <c r="K335" i="26"/>
  <c r="J335" i="26"/>
  <c r="I335" i="26"/>
  <c r="G223" i="35" l="1"/>
  <c r="T223" i="35"/>
  <c r="Y219" i="34"/>
  <c r="X219" i="34"/>
  <c r="W219" i="34"/>
  <c r="V219" i="34"/>
  <c r="U220" i="34"/>
  <c r="L222" i="34"/>
  <c r="K222" i="34"/>
  <c r="I222" i="34"/>
  <c r="J222" i="34"/>
  <c r="H223" i="34"/>
  <c r="T220" i="31"/>
  <c r="U221" i="31" s="1"/>
  <c r="G223" i="31"/>
  <c r="H224" i="31" s="1"/>
  <c r="T400" i="26"/>
  <c r="U401" i="26" s="1"/>
  <c r="W399" i="26"/>
  <c r="V399" i="26"/>
  <c r="Y399" i="26"/>
  <c r="X399" i="26"/>
  <c r="G336" i="26"/>
  <c r="Y223" i="35" l="1"/>
  <c r="V223" i="35"/>
  <c r="X223" i="35"/>
  <c r="W223" i="35"/>
  <c r="U224" i="35"/>
  <c r="L223" i="35"/>
  <c r="K223" i="35"/>
  <c r="J223" i="35"/>
  <c r="I223" i="35"/>
  <c r="H224" i="35"/>
  <c r="G223" i="34"/>
  <c r="T220" i="34"/>
  <c r="I223" i="31"/>
  <c r="J223" i="31"/>
  <c r="L223" i="31"/>
  <c r="K223" i="31"/>
  <c r="Y220" i="31"/>
  <c r="X220" i="31"/>
  <c r="W220" i="31"/>
  <c r="V220" i="31"/>
  <c r="T401" i="26"/>
  <c r="U402" i="26" s="1"/>
  <c r="V400" i="26"/>
  <c r="W400" i="26"/>
  <c r="Y400" i="26"/>
  <c r="X400" i="26"/>
  <c r="L336" i="26"/>
  <c r="K336" i="26"/>
  <c r="J336" i="26"/>
  <c r="I336" i="26"/>
  <c r="H337" i="26"/>
  <c r="G337" i="26" s="1"/>
  <c r="G224" i="35" l="1"/>
  <c r="T224" i="35"/>
  <c r="Y220" i="34"/>
  <c r="X220" i="34"/>
  <c r="W220" i="34"/>
  <c r="V220" i="34"/>
  <c r="U221" i="34"/>
  <c r="L223" i="34"/>
  <c r="K223" i="34"/>
  <c r="J223" i="34"/>
  <c r="I223" i="34"/>
  <c r="H224" i="34"/>
  <c r="T221" i="31"/>
  <c r="U222" i="31" s="1"/>
  <c r="G224" i="31"/>
  <c r="H225" i="31" s="1"/>
  <c r="T402" i="26"/>
  <c r="X401" i="26"/>
  <c r="W401" i="26"/>
  <c r="V401" i="26"/>
  <c r="Y401" i="26"/>
  <c r="H338" i="26"/>
  <c r="L337" i="26"/>
  <c r="K337" i="26"/>
  <c r="J337" i="26"/>
  <c r="I337" i="26"/>
  <c r="Y224" i="35" l="1"/>
  <c r="V224" i="35"/>
  <c r="X224" i="35"/>
  <c r="W224" i="35"/>
  <c r="U225" i="35"/>
  <c r="L224" i="35"/>
  <c r="K224" i="35"/>
  <c r="J224" i="35"/>
  <c r="I224" i="35"/>
  <c r="H225" i="35"/>
  <c r="G224" i="34"/>
  <c r="T221" i="34"/>
  <c r="I224" i="31"/>
  <c r="L224" i="31"/>
  <c r="K224" i="31"/>
  <c r="J224" i="31"/>
  <c r="Y221" i="31"/>
  <c r="X221" i="31"/>
  <c r="W221" i="31"/>
  <c r="V221" i="31"/>
  <c r="W402" i="26"/>
  <c r="V402" i="26"/>
  <c r="Y402" i="26"/>
  <c r="X402" i="26"/>
  <c r="U403" i="26"/>
  <c r="G338" i="26"/>
  <c r="G225" i="35" l="1"/>
  <c r="T225" i="35"/>
  <c r="U226" i="35" s="1"/>
  <c r="Y221" i="34"/>
  <c r="X221" i="34"/>
  <c r="W221" i="34"/>
  <c r="V221" i="34"/>
  <c r="U222" i="34"/>
  <c r="L224" i="34"/>
  <c r="K224" i="34"/>
  <c r="J224" i="34"/>
  <c r="I224" i="34"/>
  <c r="H225" i="34"/>
  <c r="T222" i="31"/>
  <c r="U223" i="31" s="1"/>
  <c r="G225" i="31"/>
  <c r="H226" i="31" s="1"/>
  <c r="T403" i="26"/>
  <c r="U404" i="26" s="1"/>
  <c r="L338" i="26"/>
  <c r="K338" i="26"/>
  <c r="J338" i="26"/>
  <c r="I338" i="26"/>
  <c r="H339" i="26"/>
  <c r="Y225" i="35" l="1"/>
  <c r="V225" i="35"/>
  <c r="X225" i="35"/>
  <c r="W225" i="35"/>
  <c r="T226" i="35"/>
  <c r="L225" i="35"/>
  <c r="K225" i="35"/>
  <c r="J225" i="35"/>
  <c r="I225" i="35"/>
  <c r="H226" i="35"/>
  <c r="G225" i="34"/>
  <c r="T222" i="34"/>
  <c r="I225" i="31"/>
  <c r="J225" i="31"/>
  <c r="K225" i="31"/>
  <c r="L225" i="31"/>
  <c r="Y222" i="31"/>
  <c r="X222" i="31"/>
  <c r="W222" i="31"/>
  <c r="V222" i="31"/>
  <c r="T404" i="26"/>
  <c r="U405" i="26" s="1"/>
  <c r="V403" i="26"/>
  <c r="X403" i="26"/>
  <c r="W403" i="26"/>
  <c r="Y403" i="26"/>
  <c r="G339" i="26"/>
  <c r="G226" i="35" l="1"/>
  <c r="Y226" i="35"/>
  <c r="V226" i="35"/>
  <c r="X226" i="35"/>
  <c r="W226" i="35"/>
  <c r="U227" i="35"/>
  <c r="Y222" i="34"/>
  <c r="X222" i="34"/>
  <c r="W222" i="34"/>
  <c r="V222" i="34"/>
  <c r="U223" i="34"/>
  <c r="L225" i="34"/>
  <c r="K225" i="34"/>
  <c r="I225" i="34"/>
  <c r="J225" i="34"/>
  <c r="H226" i="34"/>
  <c r="G226" i="31"/>
  <c r="H227" i="31" s="1"/>
  <c r="T223" i="31"/>
  <c r="U224" i="31" s="1"/>
  <c r="T405" i="26"/>
  <c r="U406" i="26" s="1"/>
  <c r="X404" i="26"/>
  <c r="W404" i="26"/>
  <c r="Y404" i="26"/>
  <c r="V404" i="26"/>
  <c r="L339" i="26"/>
  <c r="K339" i="26"/>
  <c r="J339" i="26"/>
  <c r="I339" i="26"/>
  <c r="H340" i="26"/>
  <c r="G340" i="26" s="1"/>
  <c r="T227" i="35" l="1"/>
  <c r="L226" i="35"/>
  <c r="K226" i="35"/>
  <c r="J226" i="35"/>
  <c r="I226" i="35"/>
  <c r="H227" i="35"/>
  <c r="G226" i="34"/>
  <c r="T223" i="34"/>
  <c r="Y223" i="31"/>
  <c r="X223" i="31"/>
  <c r="W223" i="31"/>
  <c r="V223" i="31"/>
  <c r="I226" i="31"/>
  <c r="L226" i="31"/>
  <c r="K226" i="31"/>
  <c r="J226" i="31"/>
  <c r="T406" i="26"/>
  <c r="U407" i="26" s="1"/>
  <c r="W405" i="26"/>
  <c r="V405" i="26"/>
  <c r="Y405" i="26"/>
  <c r="X405" i="26"/>
  <c r="H341" i="26"/>
  <c r="G341" i="26" s="1"/>
  <c r="K340" i="26"/>
  <c r="J340" i="26"/>
  <c r="I340" i="26"/>
  <c r="L340" i="26"/>
  <c r="G227" i="35" l="1"/>
  <c r="Y227" i="35"/>
  <c r="V227" i="35"/>
  <c r="X227" i="35"/>
  <c r="W227" i="35"/>
  <c r="U228" i="35"/>
  <c r="Y223" i="34"/>
  <c r="X223" i="34"/>
  <c r="W223" i="34"/>
  <c r="V223" i="34"/>
  <c r="U224" i="34"/>
  <c r="L226" i="34"/>
  <c r="K226" i="34"/>
  <c r="J226" i="34"/>
  <c r="I226" i="34"/>
  <c r="H227" i="34"/>
  <c r="G227" i="31"/>
  <c r="H228" i="31" s="1"/>
  <c r="T224" i="31"/>
  <c r="U225" i="31" s="1"/>
  <c r="T407" i="26"/>
  <c r="X406" i="26"/>
  <c r="V406" i="26"/>
  <c r="Y406" i="26"/>
  <c r="W406" i="26"/>
  <c r="H342" i="26"/>
  <c r="G342" i="26" s="1"/>
  <c r="K341" i="26"/>
  <c r="J341" i="26"/>
  <c r="I341" i="26"/>
  <c r="L341" i="26"/>
  <c r="T228" i="35" l="1"/>
  <c r="L227" i="35"/>
  <c r="K227" i="35"/>
  <c r="J227" i="35"/>
  <c r="I227" i="35"/>
  <c r="H228" i="35"/>
  <c r="G227" i="34"/>
  <c r="T224" i="34"/>
  <c r="Y224" i="31"/>
  <c r="X224" i="31"/>
  <c r="W224" i="31"/>
  <c r="V224" i="31"/>
  <c r="I227" i="31"/>
  <c r="J227" i="31"/>
  <c r="L227" i="31"/>
  <c r="K227" i="31"/>
  <c r="W407" i="26"/>
  <c r="Y407" i="26"/>
  <c r="X407" i="26"/>
  <c r="V407" i="26"/>
  <c r="U408" i="26"/>
  <c r="T408" i="26" s="1"/>
  <c r="H343" i="26"/>
  <c r="G343" i="26" s="1"/>
  <c r="J342" i="26"/>
  <c r="I342" i="26"/>
  <c r="K342" i="26"/>
  <c r="L342" i="26"/>
  <c r="G228" i="35" l="1"/>
  <c r="Y228" i="35"/>
  <c r="V228" i="35"/>
  <c r="X228" i="35"/>
  <c r="W228" i="35"/>
  <c r="U229" i="35"/>
  <c r="Y224" i="34"/>
  <c r="X224" i="34"/>
  <c r="W224" i="34"/>
  <c r="V224" i="34"/>
  <c r="U225" i="34"/>
  <c r="L227" i="34"/>
  <c r="K227" i="34"/>
  <c r="J227" i="34"/>
  <c r="I227" i="34"/>
  <c r="H228" i="34"/>
  <c r="G228" i="31"/>
  <c r="H229" i="31" s="1"/>
  <c r="T225" i="31"/>
  <c r="U226" i="31" s="1"/>
  <c r="X408" i="26"/>
  <c r="W408" i="26"/>
  <c r="V408" i="26"/>
  <c r="Y408" i="26"/>
  <c r="H344" i="26"/>
  <c r="G344" i="26" s="1"/>
  <c r="I343" i="26"/>
  <c r="L343" i="26"/>
  <c r="J343" i="26"/>
  <c r="K343" i="26"/>
  <c r="T229" i="35" l="1"/>
  <c r="L228" i="35"/>
  <c r="K228" i="35"/>
  <c r="J228" i="35"/>
  <c r="I228" i="35"/>
  <c r="H229" i="35"/>
  <c r="G228" i="34"/>
  <c r="T225" i="34"/>
  <c r="Y225" i="31"/>
  <c r="X225" i="31"/>
  <c r="W225" i="31"/>
  <c r="V225" i="31"/>
  <c r="I228" i="31"/>
  <c r="L228" i="31"/>
  <c r="K228" i="31"/>
  <c r="J228" i="31"/>
  <c r="Y410" i="26"/>
  <c r="Y412" i="26"/>
  <c r="W410" i="26"/>
  <c r="W412" i="26"/>
  <c r="X412" i="26"/>
  <c r="X410" i="26"/>
  <c r="H345" i="26"/>
  <c r="G345" i="26" s="1"/>
  <c r="L344" i="26"/>
  <c r="I344" i="26"/>
  <c r="K344" i="26"/>
  <c r="J344" i="26"/>
  <c r="G229" i="35" l="1"/>
  <c r="X229" i="35"/>
  <c r="V229" i="35"/>
  <c r="W229" i="35"/>
  <c r="Y229" i="35"/>
  <c r="U230" i="35"/>
  <c r="Y225" i="34"/>
  <c r="X225" i="34"/>
  <c r="W225" i="34"/>
  <c r="V225" i="34"/>
  <c r="U226" i="34"/>
  <c r="L228" i="34"/>
  <c r="K228" i="34"/>
  <c r="J228" i="34"/>
  <c r="I228" i="34"/>
  <c r="H229" i="34"/>
  <c r="G229" i="31"/>
  <c r="H230" i="31" s="1"/>
  <c r="T226" i="31"/>
  <c r="U227" i="31" s="1"/>
  <c r="H346" i="26"/>
  <c r="G346" i="26" s="1"/>
  <c r="L345" i="26"/>
  <c r="K345" i="26"/>
  <c r="J345" i="26"/>
  <c r="I345" i="26"/>
  <c r="T230" i="35" l="1"/>
  <c r="L229" i="35"/>
  <c r="K229" i="35"/>
  <c r="J229" i="35"/>
  <c r="I229" i="35"/>
  <c r="H230" i="35"/>
  <c r="G229" i="34"/>
  <c r="T226" i="34"/>
  <c r="Y226" i="31"/>
  <c r="X226" i="31"/>
  <c r="W226" i="31"/>
  <c r="V226" i="31"/>
  <c r="I229" i="31"/>
  <c r="J229" i="31"/>
  <c r="L229" i="31"/>
  <c r="K229" i="31"/>
  <c r="H347" i="26"/>
  <c r="G347" i="26" s="1"/>
  <c r="L346" i="26"/>
  <c r="K346" i="26"/>
  <c r="J346" i="26"/>
  <c r="I346" i="26"/>
  <c r="G230" i="35" l="1"/>
  <c r="X230" i="35"/>
  <c r="Y230" i="35"/>
  <c r="W230" i="35"/>
  <c r="V230" i="35"/>
  <c r="U231" i="35"/>
  <c r="Y226" i="34"/>
  <c r="X226" i="34"/>
  <c r="W226" i="34"/>
  <c r="V226" i="34"/>
  <c r="U227" i="34"/>
  <c r="L229" i="34"/>
  <c r="K229" i="34"/>
  <c r="J229" i="34"/>
  <c r="I229" i="34"/>
  <c r="H230" i="34"/>
  <c r="G230" i="31"/>
  <c r="H231" i="31" s="1"/>
  <c r="T227" i="31"/>
  <c r="U228" i="31" s="1"/>
  <c r="H348" i="26"/>
  <c r="L347" i="26"/>
  <c r="K347" i="26"/>
  <c r="J347" i="26"/>
  <c r="I347" i="26"/>
  <c r="T231" i="35" l="1"/>
  <c r="I230" i="35"/>
  <c r="L230" i="35"/>
  <c r="K230" i="35"/>
  <c r="J230" i="35"/>
  <c r="H231" i="35"/>
  <c r="G230" i="34"/>
  <c r="T227" i="34"/>
  <c r="Y227" i="31"/>
  <c r="X227" i="31"/>
  <c r="W227" i="31"/>
  <c r="V227" i="31"/>
  <c r="I230" i="31"/>
  <c r="L230" i="31"/>
  <c r="K230" i="31"/>
  <c r="J230" i="31"/>
  <c r="G348" i="26"/>
  <c r="H349" i="26" s="1"/>
  <c r="G349" i="26" s="1"/>
  <c r="G231" i="35" l="1"/>
  <c r="X231" i="35"/>
  <c r="Y231" i="35"/>
  <c r="W231" i="35"/>
  <c r="V231" i="35"/>
  <c r="U232" i="35"/>
  <c r="Y227" i="34"/>
  <c r="X227" i="34"/>
  <c r="W227" i="34"/>
  <c r="V227" i="34"/>
  <c r="U228" i="34"/>
  <c r="L230" i="34"/>
  <c r="K230" i="34"/>
  <c r="J230" i="34"/>
  <c r="I230" i="34"/>
  <c r="H231" i="34"/>
  <c r="G231" i="31"/>
  <c r="H232" i="31" s="1"/>
  <c r="T228" i="31"/>
  <c r="U229" i="31" s="1"/>
  <c r="H350" i="26"/>
  <c r="G350" i="26" s="1"/>
  <c r="L349" i="26"/>
  <c r="K349" i="26"/>
  <c r="J349" i="26"/>
  <c r="I349" i="26"/>
  <c r="L348" i="26"/>
  <c r="K348" i="26"/>
  <c r="J348" i="26"/>
  <c r="I348" i="26"/>
  <c r="T232" i="35" l="1"/>
  <c r="I231" i="35"/>
  <c r="J231" i="35"/>
  <c r="K231" i="35"/>
  <c r="L231" i="35"/>
  <c r="H232" i="35"/>
  <c r="G231" i="34"/>
  <c r="T228" i="34"/>
  <c r="Y228" i="31"/>
  <c r="X228" i="31"/>
  <c r="W228" i="31"/>
  <c r="V228" i="31"/>
  <c r="I231" i="31"/>
  <c r="J231" i="31"/>
  <c r="K231" i="31"/>
  <c r="L231" i="31"/>
  <c r="H351" i="26"/>
  <c r="L350" i="26"/>
  <c r="K350" i="26"/>
  <c r="J350" i="26"/>
  <c r="I350" i="26"/>
  <c r="G232" i="35" l="1"/>
  <c r="X232" i="35"/>
  <c r="V232" i="35"/>
  <c r="W232" i="35"/>
  <c r="Y232" i="35"/>
  <c r="U233" i="35"/>
  <c r="Y228" i="34"/>
  <c r="X228" i="34"/>
  <c r="W228" i="34"/>
  <c r="V228" i="34"/>
  <c r="U229" i="34"/>
  <c r="L231" i="34"/>
  <c r="K231" i="34"/>
  <c r="J231" i="34"/>
  <c r="I231" i="34"/>
  <c r="H232" i="34"/>
  <c r="G232" i="31"/>
  <c r="H233" i="31" s="1"/>
  <c r="T229" i="31"/>
  <c r="U230" i="31" s="1"/>
  <c r="G351" i="26"/>
  <c r="H352" i="26" s="1"/>
  <c r="G352" i="26" s="1"/>
  <c r="T233" i="35" l="1"/>
  <c r="I232" i="35"/>
  <c r="L232" i="35"/>
  <c r="K232" i="35"/>
  <c r="J232" i="35"/>
  <c r="H233" i="35"/>
  <c r="G232" i="34"/>
  <c r="T229" i="34"/>
  <c r="Y229" i="31"/>
  <c r="X229" i="31"/>
  <c r="W229" i="31"/>
  <c r="V229" i="31"/>
  <c r="I232" i="31"/>
  <c r="L232" i="31"/>
  <c r="K232" i="31"/>
  <c r="J232" i="31"/>
  <c r="H353" i="26"/>
  <c r="G353" i="26" s="1"/>
  <c r="K352" i="26"/>
  <c r="J352" i="26"/>
  <c r="I352" i="26"/>
  <c r="L352" i="26"/>
  <c r="L351" i="26"/>
  <c r="K351" i="26"/>
  <c r="J351" i="26"/>
  <c r="I351" i="26"/>
  <c r="G233" i="35" l="1"/>
  <c r="Y233" i="35"/>
  <c r="X233" i="35"/>
  <c r="W233" i="35"/>
  <c r="V233" i="35"/>
  <c r="U234" i="35"/>
  <c r="Y229" i="34"/>
  <c r="X229" i="34"/>
  <c r="W229" i="34"/>
  <c r="V229" i="34"/>
  <c r="U230" i="34"/>
  <c r="L232" i="34"/>
  <c r="K232" i="34"/>
  <c r="J232" i="34"/>
  <c r="I232" i="34"/>
  <c r="H233" i="34"/>
  <c r="G233" i="31"/>
  <c r="H234" i="31" s="1"/>
  <c r="T230" i="31"/>
  <c r="U231" i="31" s="1"/>
  <c r="H354" i="26"/>
  <c r="G354" i="26" s="1"/>
  <c r="K353" i="26"/>
  <c r="J353" i="26"/>
  <c r="I353" i="26"/>
  <c r="L353" i="26"/>
  <c r="T234" i="35" l="1"/>
  <c r="I233" i="35"/>
  <c r="L233" i="35"/>
  <c r="K233" i="35"/>
  <c r="J233" i="35"/>
  <c r="H234" i="35"/>
  <c r="G233" i="34"/>
  <c r="T230" i="34"/>
  <c r="Y230" i="31"/>
  <c r="X230" i="31"/>
  <c r="W230" i="31"/>
  <c r="V230" i="31"/>
  <c r="I233" i="31"/>
  <c r="J233" i="31"/>
  <c r="L233" i="31"/>
  <c r="K233" i="31"/>
  <c r="H355" i="26"/>
  <c r="G355" i="26" s="1"/>
  <c r="J354" i="26"/>
  <c r="I354" i="26"/>
  <c r="K354" i="26"/>
  <c r="L354" i="26"/>
  <c r="G234" i="35" l="1"/>
  <c r="Y234" i="35"/>
  <c r="X234" i="35"/>
  <c r="W234" i="35"/>
  <c r="V234" i="35"/>
  <c r="U235" i="35"/>
  <c r="Y230" i="34"/>
  <c r="X230" i="34"/>
  <c r="W230" i="34"/>
  <c r="V230" i="34"/>
  <c r="U231" i="34"/>
  <c r="L233" i="34"/>
  <c r="K233" i="34"/>
  <c r="J233" i="34"/>
  <c r="I233" i="34"/>
  <c r="H234" i="34"/>
  <c r="G234" i="31"/>
  <c r="H235" i="31" s="1"/>
  <c r="T231" i="31"/>
  <c r="U232" i="31" s="1"/>
  <c r="H356" i="26"/>
  <c r="G356" i="26" s="1"/>
  <c r="I355" i="26"/>
  <c r="L355" i="26"/>
  <c r="J355" i="26"/>
  <c r="K355" i="26"/>
  <c r="T235" i="35" l="1"/>
  <c r="I234" i="35"/>
  <c r="K234" i="35"/>
  <c r="J234" i="35"/>
  <c r="L234" i="35"/>
  <c r="H235" i="35"/>
  <c r="G234" i="34"/>
  <c r="T231" i="34"/>
  <c r="Y231" i="31"/>
  <c r="X231" i="31"/>
  <c r="W231" i="31"/>
  <c r="V231" i="31"/>
  <c r="I234" i="31"/>
  <c r="L234" i="31"/>
  <c r="K234" i="31"/>
  <c r="J234" i="31"/>
  <c r="H357" i="26"/>
  <c r="G357" i="26" s="1"/>
  <c r="L356" i="26"/>
  <c r="I356" i="26"/>
  <c r="J356" i="26"/>
  <c r="K356" i="26"/>
  <c r="G235" i="35" l="1"/>
  <c r="Y235" i="35"/>
  <c r="X235" i="35"/>
  <c r="W235" i="35"/>
  <c r="V235" i="35"/>
  <c r="U236" i="35"/>
  <c r="Y231" i="34"/>
  <c r="X231" i="34"/>
  <c r="W231" i="34"/>
  <c r="V231" i="34"/>
  <c r="U232" i="34"/>
  <c r="L234" i="34"/>
  <c r="K234" i="34"/>
  <c r="I234" i="34"/>
  <c r="J234" i="34"/>
  <c r="H235" i="34"/>
  <c r="T232" i="31"/>
  <c r="U233" i="31" s="1"/>
  <c r="G235" i="31"/>
  <c r="H236" i="31" s="1"/>
  <c r="H358" i="26"/>
  <c r="G358" i="26" s="1"/>
  <c r="L357" i="26"/>
  <c r="K357" i="26"/>
  <c r="I357" i="26"/>
  <c r="J357" i="26"/>
  <c r="T236" i="35" l="1"/>
  <c r="I235" i="35"/>
  <c r="L235" i="35"/>
  <c r="K235" i="35"/>
  <c r="J235" i="35"/>
  <c r="H236" i="35"/>
  <c r="T232" i="34"/>
  <c r="G235" i="34"/>
  <c r="I235" i="31"/>
  <c r="J235" i="31"/>
  <c r="L235" i="31"/>
  <c r="K235" i="31"/>
  <c r="Y232" i="31"/>
  <c r="X232" i="31"/>
  <c r="W232" i="31"/>
  <c r="V232" i="31"/>
  <c r="H359" i="26"/>
  <c r="G359" i="26" s="1"/>
  <c r="L358" i="26"/>
  <c r="K358" i="26"/>
  <c r="J358" i="26"/>
  <c r="I358" i="26"/>
  <c r="G236" i="35" l="1"/>
  <c r="Y236" i="35"/>
  <c r="X236" i="35"/>
  <c r="W236" i="35"/>
  <c r="V236" i="35"/>
  <c r="U237" i="35"/>
  <c r="L235" i="34"/>
  <c r="K235" i="34"/>
  <c r="J235" i="34"/>
  <c r="I235" i="34"/>
  <c r="H236" i="34"/>
  <c r="Y232" i="34"/>
  <c r="X232" i="34"/>
  <c r="W232" i="34"/>
  <c r="V232" i="34"/>
  <c r="U233" i="34"/>
  <c r="G236" i="31"/>
  <c r="H237" i="31" s="1"/>
  <c r="T233" i="31"/>
  <c r="U234" i="31" s="1"/>
  <c r="H360" i="26"/>
  <c r="L359" i="26"/>
  <c r="K359" i="26"/>
  <c r="J359" i="26"/>
  <c r="I359" i="26"/>
  <c r="T237" i="35" l="1"/>
  <c r="I236" i="35"/>
  <c r="J236" i="35"/>
  <c r="K236" i="35"/>
  <c r="L236" i="35"/>
  <c r="H237" i="35"/>
  <c r="T233" i="34"/>
  <c r="G236" i="34"/>
  <c r="Y233" i="31"/>
  <c r="X233" i="31"/>
  <c r="W233" i="31"/>
  <c r="V233" i="31"/>
  <c r="I236" i="31"/>
  <c r="L236" i="31"/>
  <c r="K236" i="31"/>
  <c r="J236" i="31"/>
  <c r="G360" i="26"/>
  <c r="H361" i="26" s="1"/>
  <c r="G361" i="26" s="1"/>
  <c r="G237" i="35" l="1"/>
  <c r="Y237" i="35"/>
  <c r="X237" i="35"/>
  <c r="W237" i="35"/>
  <c r="V237" i="35"/>
  <c r="U238" i="35"/>
  <c r="L236" i="34"/>
  <c r="K236" i="34"/>
  <c r="J236" i="34"/>
  <c r="I236" i="34"/>
  <c r="H237" i="34"/>
  <c r="Y233" i="34"/>
  <c r="X233" i="34"/>
  <c r="W233" i="34"/>
  <c r="V233" i="34"/>
  <c r="U234" i="34"/>
  <c r="T234" i="31"/>
  <c r="U235" i="31" s="1"/>
  <c r="G237" i="31"/>
  <c r="H238" i="31" s="1"/>
  <c r="H362" i="26"/>
  <c r="L361" i="26"/>
  <c r="K361" i="26"/>
  <c r="J361" i="26"/>
  <c r="I361" i="26"/>
  <c r="L360" i="26"/>
  <c r="K360" i="26"/>
  <c r="J360" i="26"/>
  <c r="I360" i="26"/>
  <c r="T238" i="35" l="1"/>
  <c r="I237" i="35"/>
  <c r="L237" i="35"/>
  <c r="K237" i="35"/>
  <c r="J237" i="35"/>
  <c r="H238" i="35"/>
  <c r="T234" i="34"/>
  <c r="G237" i="34"/>
  <c r="I237" i="31"/>
  <c r="J237" i="31"/>
  <c r="K237" i="31"/>
  <c r="L237" i="31"/>
  <c r="Y234" i="31"/>
  <c r="X234" i="31"/>
  <c r="W234" i="31"/>
  <c r="V234" i="31"/>
  <c r="G362" i="26"/>
  <c r="H363" i="26" s="1"/>
  <c r="G363" i="26" s="1"/>
  <c r="G238" i="35" l="1"/>
  <c r="Y238" i="35"/>
  <c r="X238" i="35"/>
  <c r="W238" i="35"/>
  <c r="V238" i="35"/>
  <c r="U239" i="35"/>
  <c r="L237" i="34"/>
  <c r="K237" i="34"/>
  <c r="I237" i="34"/>
  <c r="J237" i="34"/>
  <c r="H238" i="34"/>
  <c r="Y234" i="34"/>
  <c r="X234" i="34"/>
  <c r="W234" i="34"/>
  <c r="V234" i="34"/>
  <c r="U235" i="34"/>
  <c r="T235" i="31"/>
  <c r="U236" i="31" s="1"/>
  <c r="G238" i="31"/>
  <c r="H239" i="31" s="1"/>
  <c r="H364" i="26"/>
  <c r="G364" i="26" s="1"/>
  <c r="L363" i="26"/>
  <c r="K363" i="26"/>
  <c r="J363" i="26"/>
  <c r="I363" i="26"/>
  <c r="L362" i="26"/>
  <c r="K362" i="26"/>
  <c r="J362" i="26"/>
  <c r="I362" i="26"/>
  <c r="T239" i="35" l="1"/>
  <c r="I238" i="35"/>
  <c r="J238" i="35"/>
  <c r="K238" i="35"/>
  <c r="L238" i="35"/>
  <c r="H239" i="35"/>
  <c r="G238" i="34"/>
  <c r="T235" i="34"/>
  <c r="I238" i="31"/>
  <c r="L238" i="31"/>
  <c r="K238" i="31"/>
  <c r="J238" i="31"/>
  <c r="Y235" i="31"/>
  <c r="X235" i="31"/>
  <c r="W235" i="31"/>
  <c r="V235" i="31"/>
  <c r="H365" i="26"/>
  <c r="G365" i="26" s="1"/>
  <c r="K364" i="26"/>
  <c r="J364" i="26"/>
  <c r="I364" i="26"/>
  <c r="L364" i="26"/>
  <c r="G239" i="35" l="1"/>
  <c r="Y239" i="35"/>
  <c r="X239" i="35"/>
  <c r="W239" i="35"/>
  <c r="V239" i="35"/>
  <c r="U240" i="35"/>
  <c r="Y235" i="34"/>
  <c r="X235" i="34"/>
  <c r="W235" i="34"/>
  <c r="V235" i="34"/>
  <c r="U236" i="34"/>
  <c r="L238" i="34"/>
  <c r="K238" i="34"/>
  <c r="J238" i="34"/>
  <c r="I238" i="34"/>
  <c r="H239" i="34"/>
  <c r="T236" i="31"/>
  <c r="U237" i="31" s="1"/>
  <c r="G239" i="31"/>
  <c r="H240" i="31" s="1"/>
  <c r="H366" i="26"/>
  <c r="G366" i="26" s="1"/>
  <c r="K365" i="26"/>
  <c r="J365" i="26"/>
  <c r="I365" i="26"/>
  <c r="L365" i="26"/>
  <c r="T240" i="35" l="1"/>
  <c r="I239" i="35"/>
  <c r="J239" i="35"/>
  <c r="L239" i="35"/>
  <c r="K239" i="35"/>
  <c r="H240" i="35"/>
  <c r="G239" i="34"/>
  <c r="T236" i="34"/>
  <c r="I239" i="31"/>
  <c r="J239" i="31"/>
  <c r="L239" i="31"/>
  <c r="K239" i="31"/>
  <c r="Y236" i="31"/>
  <c r="X236" i="31"/>
  <c r="W236" i="31"/>
  <c r="V236" i="31"/>
  <c r="H367" i="26"/>
  <c r="G367" i="26" s="1"/>
  <c r="J366" i="26"/>
  <c r="I366" i="26"/>
  <c r="K366" i="26"/>
  <c r="L366" i="26"/>
  <c r="G240" i="35" l="1"/>
  <c r="Y240" i="35"/>
  <c r="X240" i="35"/>
  <c r="V240" i="35"/>
  <c r="W240" i="35"/>
  <c r="U241" i="35"/>
  <c r="Y236" i="34"/>
  <c r="X236" i="34"/>
  <c r="W236" i="34"/>
  <c r="V236" i="34"/>
  <c r="U237" i="34"/>
  <c r="L239" i="34"/>
  <c r="K239" i="34"/>
  <c r="J239" i="34"/>
  <c r="I239" i="34"/>
  <c r="H240" i="34"/>
  <c r="T237" i="31"/>
  <c r="U238" i="31" s="1"/>
  <c r="G240" i="31"/>
  <c r="H241" i="31" s="1"/>
  <c r="H368" i="26"/>
  <c r="G368" i="26" s="1"/>
  <c r="I367" i="26"/>
  <c r="L367" i="26"/>
  <c r="J367" i="26"/>
  <c r="K367" i="26"/>
  <c r="T241" i="35" l="1"/>
  <c r="I240" i="35"/>
  <c r="J240" i="35"/>
  <c r="L240" i="35"/>
  <c r="K240" i="35"/>
  <c r="H241" i="35"/>
  <c r="T237" i="34"/>
  <c r="G240" i="34"/>
  <c r="I240" i="31"/>
  <c r="L240" i="31"/>
  <c r="K240" i="31"/>
  <c r="J240" i="31"/>
  <c r="Y237" i="31"/>
  <c r="X237" i="31"/>
  <c r="W237" i="31"/>
  <c r="V237" i="31"/>
  <c r="H369" i="26"/>
  <c r="G369" i="26" s="1"/>
  <c r="L368" i="26"/>
  <c r="I368" i="26"/>
  <c r="J368" i="26"/>
  <c r="K368" i="26"/>
  <c r="G241" i="35" l="1"/>
  <c r="Y241" i="35"/>
  <c r="X241" i="35"/>
  <c r="W241" i="35"/>
  <c r="V241" i="35"/>
  <c r="U242" i="35"/>
  <c r="I240" i="34"/>
  <c r="L240" i="34"/>
  <c r="K240" i="34"/>
  <c r="J240" i="34"/>
  <c r="H241" i="34"/>
  <c r="Y237" i="34"/>
  <c r="X237" i="34"/>
  <c r="W237" i="34"/>
  <c r="V237" i="34"/>
  <c r="U238" i="34"/>
  <c r="T238" i="31"/>
  <c r="U239" i="31" s="1"/>
  <c r="G241" i="31"/>
  <c r="H242" i="31" s="1"/>
  <c r="H370" i="26"/>
  <c r="G370" i="26" s="1"/>
  <c r="L369" i="26"/>
  <c r="K369" i="26"/>
  <c r="J369" i="26"/>
  <c r="I369" i="26"/>
  <c r="T242" i="35" l="1"/>
  <c r="U243" i="35" s="1"/>
  <c r="I241" i="35"/>
  <c r="J241" i="35"/>
  <c r="L241" i="35"/>
  <c r="K241" i="35"/>
  <c r="H242" i="35"/>
  <c r="T238" i="34"/>
  <c r="G241" i="34"/>
  <c r="I241" i="31"/>
  <c r="J241" i="31"/>
  <c r="K241" i="31"/>
  <c r="L241" i="31"/>
  <c r="Y238" i="31"/>
  <c r="X238" i="31"/>
  <c r="W238" i="31"/>
  <c r="V238" i="31"/>
  <c r="H371" i="26"/>
  <c r="G371" i="26" s="1"/>
  <c r="L370" i="26"/>
  <c r="K370" i="26"/>
  <c r="J370" i="26"/>
  <c r="I370" i="26"/>
  <c r="G242" i="35" l="1"/>
  <c r="H243" i="35" s="1"/>
  <c r="Y242" i="35"/>
  <c r="X242" i="35"/>
  <c r="W242" i="35"/>
  <c r="V242" i="35"/>
  <c r="T243" i="35"/>
  <c r="U244" i="35" s="1"/>
  <c r="I241" i="34"/>
  <c r="L241" i="34"/>
  <c r="K241" i="34"/>
  <c r="J241" i="34"/>
  <c r="H242" i="34"/>
  <c r="Y238" i="34"/>
  <c r="X238" i="34"/>
  <c r="W238" i="34"/>
  <c r="V238" i="34"/>
  <c r="U239" i="34"/>
  <c r="T239" i="31"/>
  <c r="U240" i="31" s="1"/>
  <c r="G242" i="31"/>
  <c r="H243" i="31" s="1"/>
  <c r="H372" i="26"/>
  <c r="L371" i="26"/>
  <c r="K371" i="26"/>
  <c r="J371" i="26"/>
  <c r="I371" i="26"/>
  <c r="Y243" i="35" l="1"/>
  <c r="X243" i="35"/>
  <c r="W243" i="35"/>
  <c r="V243" i="35"/>
  <c r="T244" i="35"/>
  <c r="I242" i="35"/>
  <c r="J242" i="35"/>
  <c r="L242" i="35"/>
  <c r="K242" i="35"/>
  <c r="G243" i="35"/>
  <c r="T239" i="34"/>
  <c r="G242" i="34"/>
  <c r="I242" i="31"/>
  <c r="L242" i="31"/>
  <c r="K242" i="31"/>
  <c r="J242" i="31"/>
  <c r="Y239" i="31"/>
  <c r="X239" i="31"/>
  <c r="W239" i="31"/>
  <c r="V239" i="31"/>
  <c r="G372" i="26"/>
  <c r="H373" i="26" s="1"/>
  <c r="G373" i="26" s="1"/>
  <c r="I243" i="35" l="1"/>
  <c r="J243" i="35"/>
  <c r="L243" i="35"/>
  <c r="K243" i="35"/>
  <c r="H244" i="35"/>
  <c r="Y244" i="35"/>
  <c r="X244" i="35"/>
  <c r="W244" i="35"/>
  <c r="V244" i="35"/>
  <c r="U245" i="35"/>
  <c r="J242" i="34"/>
  <c r="I242" i="34"/>
  <c r="L242" i="34"/>
  <c r="K242" i="34"/>
  <c r="H243" i="34"/>
  <c r="Y239" i="34"/>
  <c r="X239" i="34"/>
  <c r="W239" i="34"/>
  <c r="V239" i="34"/>
  <c r="U240" i="34"/>
  <c r="G243" i="31"/>
  <c r="H244" i="31" s="1"/>
  <c r="T240" i="31"/>
  <c r="U241" i="31" s="1"/>
  <c r="H374" i="26"/>
  <c r="G374" i="26" s="1"/>
  <c r="L373" i="26"/>
  <c r="K373" i="26"/>
  <c r="J373" i="26"/>
  <c r="I373" i="26"/>
  <c r="L372" i="26"/>
  <c r="K372" i="26"/>
  <c r="J372" i="26"/>
  <c r="I372" i="26"/>
  <c r="G244" i="35" l="1"/>
  <c r="T245" i="35"/>
  <c r="G243" i="34"/>
  <c r="T240" i="34"/>
  <c r="Y240" i="31"/>
  <c r="X240" i="31"/>
  <c r="W240" i="31"/>
  <c r="V240" i="31"/>
  <c r="I243" i="31"/>
  <c r="J243" i="31"/>
  <c r="K243" i="31"/>
  <c r="L243" i="31"/>
  <c r="H375" i="26"/>
  <c r="L374" i="26"/>
  <c r="K374" i="26"/>
  <c r="J374" i="26"/>
  <c r="I374" i="26"/>
  <c r="Y245" i="35" l="1"/>
  <c r="X245" i="35"/>
  <c r="W245" i="35"/>
  <c r="V245" i="35"/>
  <c r="U246" i="35"/>
  <c r="I244" i="35"/>
  <c r="J244" i="35"/>
  <c r="L244" i="35"/>
  <c r="K244" i="35"/>
  <c r="H245" i="35"/>
  <c r="Y240" i="34"/>
  <c r="X240" i="34"/>
  <c r="W240" i="34"/>
  <c r="V240" i="34"/>
  <c r="U241" i="34"/>
  <c r="K243" i="34"/>
  <c r="J243" i="34"/>
  <c r="I243" i="34"/>
  <c r="L243" i="34"/>
  <c r="H244" i="34"/>
  <c r="T241" i="31"/>
  <c r="U242" i="31" s="1"/>
  <c r="G244" i="31"/>
  <c r="H245" i="31" s="1"/>
  <c r="G375" i="26"/>
  <c r="H376" i="26" s="1"/>
  <c r="G376" i="26" s="1"/>
  <c r="G245" i="35" l="1"/>
  <c r="T246" i="35"/>
  <c r="G244" i="34"/>
  <c r="T241" i="34"/>
  <c r="I244" i="31"/>
  <c r="L244" i="31"/>
  <c r="K244" i="31"/>
  <c r="J244" i="31"/>
  <c r="Y241" i="31"/>
  <c r="X241" i="31"/>
  <c r="W241" i="31"/>
  <c r="V241" i="31"/>
  <c r="H377" i="26"/>
  <c r="G377" i="26" s="1"/>
  <c r="K376" i="26"/>
  <c r="J376" i="26"/>
  <c r="I376" i="26"/>
  <c r="L376" i="26"/>
  <c r="L375" i="26"/>
  <c r="K375" i="26"/>
  <c r="J375" i="26"/>
  <c r="I375" i="26"/>
  <c r="Y246" i="35" l="1"/>
  <c r="X246" i="35"/>
  <c r="W246" i="35"/>
  <c r="V246" i="35"/>
  <c r="U247" i="35"/>
  <c r="I245" i="35"/>
  <c r="J245" i="35"/>
  <c r="K245" i="35"/>
  <c r="L245" i="35"/>
  <c r="H246" i="35"/>
  <c r="Y241" i="34"/>
  <c r="X241" i="34"/>
  <c r="W241" i="34"/>
  <c r="V241" i="34"/>
  <c r="U242" i="34"/>
  <c r="L244" i="34"/>
  <c r="K244" i="34"/>
  <c r="J244" i="34"/>
  <c r="I244" i="34"/>
  <c r="H245" i="34"/>
  <c r="T242" i="31"/>
  <c r="U243" i="31" s="1"/>
  <c r="G245" i="31"/>
  <c r="H246" i="31" s="1"/>
  <c r="H378" i="26"/>
  <c r="G378" i="26" s="1"/>
  <c r="K377" i="26"/>
  <c r="J377" i="26"/>
  <c r="I377" i="26"/>
  <c r="L377" i="26"/>
  <c r="G246" i="35" l="1"/>
  <c r="T247" i="35"/>
  <c r="G245" i="34"/>
  <c r="T242" i="34"/>
  <c r="J245" i="31"/>
  <c r="K245" i="31"/>
  <c r="L245" i="31"/>
  <c r="I245" i="31"/>
  <c r="Y242" i="31"/>
  <c r="X242" i="31"/>
  <c r="W242" i="31"/>
  <c r="V242" i="31"/>
  <c r="H379" i="26"/>
  <c r="G379" i="26" s="1"/>
  <c r="J378" i="26"/>
  <c r="I378" i="26"/>
  <c r="K378" i="26"/>
  <c r="L378" i="26"/>
  <c r="Y247" i="35" l="1"/>
  <c r="X247" i="35"/>
  <c r="V247" i="35"/>
  <c r="W247" i="35"/>
  <c r="U248" i="35"/>
  <c r="I246" i="35"/>
  <c r="J246" i="35"/>
  <c r="L246" i="35"/>
  <c r="K246" i="35"/>
  <c r="H247" i="35"/>
  <c r="Y242" i="34"/>
  <c r="X242" i="34"/>
  <c r="W242" i="34"/>
  <c r="V242" i="34"/>
  <c r="U243" i="34"/>
  <c r="L245" i="34"/>
  <c r="K245" i="34"/>
  <c r="J245" i="34"/>
  <c r="I245" i="34"/>
  <c r="H246" i="34"/>
  <c r="T243" i="31"/>
  <c r="U244" i="31" s="1"/>
  <c r="G246" i="31"/>
  <c r="H247" i="31" s="1"/>
  <c r="H380" i="26"/>
  <c r="G380" i="26" s="1"/>
  <c r="I379" i="26"/>
  <c r="L379" i="26"/>
  <c r="J379" i="26"/>
  <c r="K379" i="26"/>
  <c r="G247" i="35" l="1"/>
  <c r="T248" i="35"/>
  <c r="G246" i="34"/>
  <c r="T243" i="34"/>
  <c r="L246" i="31"/>
  <c r="I246" i="31"/>
  <c r="J246" i="31"/>
  <c r="K246" i="31"/>
  <c r="Y243" i="31"/>
  <c r="X243" i="31"/>
  <c r="W243" i="31"/>
  <c r="V243" i="31"/>
  <c r="H381" i="26"/>
  <c r="G381" i="26" s="1"/>
  <c r="L380" i="26"/>
  <c r="I380" i="26"/>
  <c r="J380" i="26"/>
  <c r="K380" i="26"/>
  <c r="Y248" i="35" l="1"/>
  <c r="X248" i="35"/>
  <c r="W248" i="35"/>
  <c r="V248" i="35"/>
  <c r="U249" i="35"/>
  <c r="I247" i="35"/>
  <c r="J247" i="35"/>
  <c r="L247" i="35"/>
  <c r="K247" i="35"/>
  <c r="H248" i="35"/>
  <c r="Y243" i="34"/>
  <c r="X243" i="34"/>
  <c r="W243" i="34"/>
  <c r="V243" i="34"/>
  <c r="U244" i="34"/>
  <c r="L246" i="34"/>
  <c r="K246" i="34"/>
  <c r="J246" i="34"/>
  <c r="I246" i="34"/>
  <c r="H247" i="34"/>
  <c r="G247" i="31"/>
  <c r="H248" i="31" s="1"/>
  <c r="T244" i="31"/>
  <c r="U245" i="31" s="1"/>
  <c r="H382" i="26"/>
  <c r="G382" i="26" s="1"/>
  <c r="L381" i="26"/>
  <c r="K381" i="26"/>
  <c r="I381" i="26"/>
  <c r="J381" i="26"/>
  <c r="T249" i="35" l="1"/>
  <c r="G248" i="35"/>
  <c r="G247" i="34"/>
  <c r="T244" i="34"/>
  <c r="X244" i="31"/>
  <c r="Y244" i="31"/>
  <c r="W244" i="31"/>
  <c r="V244" i="31"/>
  <c r="L247" i="31"/>
  <c r="K247" i="31"/>
  <c r="J247" i="31"/>
  <c r="I247" i="31"/>
  <c r="H383" i="26"/>
  <c r="G383" i="26" s="1"/>
  <c r="L382" i="26"/>
  <c r="K382" i="26"/>
  <c r="J382" i="26"/>
  <c r="I382" i="26"/>
  <c r="I248" i="35" l="1"/>
  <c r="L248" i="35"/>
  <c r="J248" i="35"/>
  <c r="K248" i="35"/>
  <c r="H249" i="35"/>
  <c r="Y249" i="35"/>
  <c r="X249" i="35"/>
  <c r="W249" i="35"/>
  <c r="V249" i="35"/>
  <c r="U250" i="35"/>
  <c r="Y244" i="34"/>
  <c r="X244" i="34"/>
  <c r="W244" i="34"/>
  <c r="V244" i="34"/>
  <c r="U245" i="34"/>
  <c r="K247" i="34"/>
  <c r="L247" i="34"/>
  <c r="J247" i="34"/>
  <c r="I247" i="34"/>
  <c r="H248" i="34"/>
  <c r="G248" i="31"/>
  <c r="H249" i="31" s="1"/>
  <c r="T245" i="31"/>
  <c r="U246" i="31" s="1"/>
  <c r="H384" i="26"/>
  <c r="L383" i="26"/>
  <c r="K383" i="26"/>
  <c r="J383" i="26"/>
  <c r="I383" i="26"/>
  <c r="G249" i="35" l="1"/>
  <c r="T250" i="35"/>
  <c r="T245" i="34"/>
  <c r="G248" i="34"/>
  <c r="Y245" i="31"/>
  <c r="X245" i="31"/>
  <c r="W245" i="31"/>
  <c r="V245" i="31"/>
  <c r="L248" i="31"/>
  <c r="J248" i="31"/>
  <c r="K248" i="31"/>
  <c r="I248" i="31"/>
  <c r="G384" i="26"/>
  <c r="H385" i="26" s="1"/>
  <c r="G385" i="26" s="1"/>
  <c r="Y250" i="35" l="1"/>
  <c r="X250" i="35"/>
  <c r="V250" i="35"/>
  <c r="W250" i="35"/>
  <c r="U251" i="35"/>
  <c r="I249" i="35"/>
  <c r="L249" i="35"/>
  <c r="J249" i="35"/>
  <c r="K249" i="35"/>
  <c r="H250" i="35"/>
  <c r="K248" i="34"/>
  <c r="L248" i="34"/>
  <c r="J248" i="34"/>
  <c r="I248" i="34"/>
  <c r="H249" i="34"/>
  <c r="Y245" i="34"/>
  <c r="X245" i="34"/>
  <c r="W245" i="34"/>
  <c r="V245" i="34"/>
  <c r="U246" i="34"/>
  <c r="T246" i="31"/>
  <c r="U247" i="31" s="1"/>
  <c r="G249" i="31"/>
  <c r="H250" i="31" s="1"/>
  <c r="H386" i="26"/>
  <c r="G386" i="26" s="1"/>
  <c r="L385" i="26"/>
  <c r="K385" i="26"/>
  <c r="J385" i="26"/>
  <c r="I385" i="26"/>
  <c r="L384" i="26"/>
  <c r="K384" i="26"/>
  <c r="J384" i="26"/>
  <c r="I384" i="26"/>
  <c r="T251" i="35" l="1"/>
  <c r="G250" i="35"/>
  <c r="G249" i="34"/>
  <c r="T246" i="34"/>
  <c r="L249" i="31"/>
  <c r="I249" i="31"/>
  <c r="K249" i="31"/>
  <c r="J249" i="31"/>
  <c r="Y246" i="31"/>
  <c r="X246" i="31"/>
  <c r="W246" i="31"/>
  <c r="V246" i="31"/>
  <c r="H387" i="26"/>
  <c r="G387" i="26" s="1"/>
  <c r="L386" i="26"/>
  <c r="K386" i="26"/>
  <c r="J386" i="26"/>
  <c r="I386" i="26"/>
  <c r="I250" i="35" l="1"/>
  <c r="L250" i="35"/>
  <c r="J250" i="35"/>
  <c r="K250" i="35"/>
  <c r="H251" i="35"/>
  <c r="Y251" i="35"/>
  <c r="X251" i="35"/>
  <c r="W251" i="35"/>
  <c r="V251" i="35"/>
  <c r="U252" i="35"/>
  <c r="V246" i="34"/>
  <c r="X246" i="34"/>
  <c r="W246" i="34"/>
  <c r="Y246" i="34"/>
  <c r="U247" i="34"/>
  <c r="K249" i="34"/>
  <c r="L249" i="34"/>
  <c r="J249" i="34"/>
  <c r="I249" i="34"/>
  <c r="H250" i="34"/>
  <c r="T247" i="31"/>
  <c r="U248" i="31" s="1"/>
  <c r="G250" i="31"/>
  <c r="H251" i="31" s="1"/>
  <c r="H388" i="26"/>
  <c r="G388" i="26" s="1"/>
  <c r="L387" i="26"/>
  <c r="K387" i="26"/>
  <c r="J387" i="26"/>
  <c r="I387" i="26"/>
  <c r="T252" i="35" l="1"/>
  <c r="G251" i="35"/>
  <c r="T247" i="34"/>
  <c r="G250" i="34"/>
  <c r="L250" i="31"/>
  <c r="I250" i="31"/>
  <c r="K250" i="31"/>
  <c r="J250" i="31"/>
  <c r="Y247" i="31"/>
  <c r="X247" i="31"/>
  <c r="W247" i="31"/>
  <c r="V247" i="31"/>
  <c r="H389" i="26"/>
  <c r="G389" i="26" s="1"/>
  <c r="K388" i="26"/>
  <c r="J388" i="26"/>
  <c r="I388" i="26"/>
  <c r="L388" i="26"/>
  <c r="I251" i="35" l="1"/>
  <c r="L251" i="35"/>
  <c r="J251" i="35"/>
  <c r="K251" i="35"/>
  <c r="H252" i="35"/>
  <c r="Y252" i="35"/>
  <c r="X252" i="35"/>
  <c r="W252" i="35"/>
  <c r="V252" i="35"/>
  <c r="U253" i="35"/>
  <c r="K250" i="34"/>
  <c r="L250" i="34"/>
  <c r="J250" i="34"/>
  <c r="I250" i="34"/>
  <c r="H251" i="34"/>
  <c r="Y247" i="34"/>
  <c r="X247" i="34"/>
  <c r="W247" i="34"/>
  <c r="V247" i="34"/>
  <c r="U248" i="34"/>
  <c r="G251" i="31"/>
  <c r="H252" i="31" s="1"/>
  <c r="T248" i="31"/>
  <c r="U249" i="31" s="1"/>
  <c r="H390" i="26"/>
  <c r="G390" i="26" s="1"/>
  <c r="K389" i="26"/>
  <c r="J389" i="26"/>
  <c r="I389" i="26"/>
  <c r="L389" i="26"/>
  <c r="T253" i="35" l="1"/>
  <c r="G252" i="35"/>
  <c r="G251" i="34"/>
  <c r="T248" i="34"/>
  <c r="Y248" i="31"/>
  <c r="X248" i="31"/>
  <c r="W248" i="31"/>
  <c r="V248" i="31"/>
  <c r="L251" i="31"/>
  <c r="K251" i="31"/>
  <c r="J251" i="31"/>
  <c r="I251" i="31"/>
  <c r="H391" i="26"/>
  <c r="G391" i="26" s="1"/>
  <c r="J390" i="26"/>
  <c r="I390" i="26"/>
  <c r="K390" i="26"/>
  <c r="L390" i="26"/>
  <c r="I252" i="35" l="1"/>
  <c r="L252" i="35"/>
  <c r="J252" i="35"/>
  <c r="K252" i="35"/>
  <c r="H253" i="35"/>
  <c r="Y253" i="35"/>
  <c r="X253" i="35"/>
  <c r="V253" i="35"/>
  <c r="W253" i="35"/>
  <c r="U254" i="35"/>
  <c r="Y248" i="34"/>
  <c r="X248" i="34"/>
  <c r="W248" i="34"/>
  <c r="V248" i="34"/>
  <c r="U249" i="34"/>
  <c r="K251" i="34"/>
  <c r="L251" i="34"/>
  <c r="J251" i="34"/>
  <c r="I251" i="34"/>
  <c r="H252" i="34"/>
  <c r="T249" i="31"/>
  <c r="U250" i="31" s="1"/>
  <c r="G252" i="31"/>
  <c r="H253" i="31" s="1"/>
  <c r="H392" i="26"/>
  <c r="G392" i="26" s="1"/>
  <c r="I391" i="26"/>
  <c r="L391" i="26"/>
  <c r="J391" i="26"/>
  <c r="K391" i="26"/>
  <c r="T254" i="35" l="1"/>
  <c r="G253" i="35"/>
  <c r="G252" i="34"/>
  <c r="H253" i="34" s="1"/>
  <c r="T249" i="34"/>
  <c r="U250" i="34" s="1"/>
  <c r="L252" i="31"/>
  <c r="J252" i="31"/>
  <c r="I252" i="31"/>
  <c r="K252" i="31"/>
  <c r="Y249" i="31"/>
  <c r="X249" i="31"/>
  <c r="W249" i="31"/>
  <c r="V249" i="31"/>
  <c r="H393" i="26"/>
  <c r="G393" i="26" s="1"/>
  <c r="L392" i="26"/>
  <c r="I392" i="26"/>
  <c r="K392" i="26"/>
  <c r="J392" i="26"/>
  <c r="I253" i="35" l="1"/>
  <c r="L253" i="35"/>
  <c r="J253" i="35"/>
  <c r="K253" i="35"/>
  <c r="H254" i="35"/>
  <c r="Y254" i="35"/>
  <c r="X254" i="35"/>
  <c r="W254" i="35"/>
  <c r="V254" i="35"/>
  <c r="U255" i="35"/>
  <c r="Y249" i="34"/>
  <c r="X249" i="34"/>
  <c r="W249" i="34"/>
  <c r="V249" i="34"/>
  <c r="T250" i="34"/>
  <c r="U251" i="34" s="1"/>
  <c r="K252" i="34"/>
  <c r="L252" i="34"/>
  <c r="J252" i="34"/>
  <c r="I252" i="34"/>
  <c r="G253" i="34"/>
  <c r="H254" i="34" s="1"/>
  <c r="T250" i="31"/>
  <c r="U251" i="31" s="1"/>
  <c r="G253" i="31"/>
  <c r="H254" i="31" s="1"/>
  <c r="H394" i="26"/>
  <c r="G394" i="26" s="1"/>
  <c r="L393" i="26"/>
  <c r="K393" i="26"/>
  <c r="I393" i="26"/>
  <c r="J393" i="26"/>
  <c r="T255" i="35" l="1"/>
  <c r="G254" i="35"/>
  <c r="G254" i="34"/>
  <c r="T251" i="34"/>
  <c r="U252" i="34" s="1"/>
  <c r="K253" i="34"/>
  <c r="I253" i="34"/>
  <c r="L253" i="34"/>
  <c r="J253" i="34"/>
  <c r="Y250" i="34"/>
  <c r="X250" i="34"/>
  <c r="W250" i="34"/>
  <c r="V250" i="34"/>
  <c r="L253" i="31"/>
  <c r="I253" i="31"/>
  <c r="J253" i="31"/>
  <c r="K253" i="31"/>
  <c r="Y250" i="31"/>
  <c r="X250" i="31"/>
  <c r="V250" i="31"/>
  <c r="W250" i="31"/>
  <c r="H395" i="26"/>
  <c r="G395" i="26" s="1"/>
  <c r="L394" i="26"/>
  <c r="K394" i="26"/>
  <c r="J394" i="26"/>
  <c r="I394" i="26"/>
  <c r="I254" i="35" l="1"/>
  <c r="L254" i="35"/>
  <c r="J254" i="35"/>
  <c r="K254" i="35"/>
  <c r="H255" i="35"/>
  <c r="Y255" i="35"/>
  <c r="X255" i="35"/>
  <c r="W255" i="35"/>
  <c r="V255" i="35"/>
  <c r="U256" i="35"/>
  <c r="Y251" i="34"/>
  <c r="X251" i="34"/>
  <c r="W251" i="34"/>
  <c r="V251" i="34"/>
  <c r="T252" i="34"/>
  <c r="K254" i="34"/>
  <c r="L254" i="34"/>
  <c r="J254" i="34"/>
  <c r="I254" i="34"/>
  <c r="H255" i="34"/>
  <c r="T251" i="31"/>
  <c r="U252" i="31" s="1"/>
  <c r="G254" i="31"/>
  <c r="H255" i="31" s="1"/>
  <c r="H396" i="26"/>
  <c r="L395" i="26"/>
  <c r="K395" i="26"/>
  <c r="J395" i="26"/>
  <c r="I395" i="26"/>
  <c r="G255" i="35" l="1"/>
  <c r="T256" i="35"/>
  <c r="G255" i="34"/>
  <c r="H256" i="34" s="1"/>
  <c r="Y252" i="34"/>
  <c r="X252" i="34"/>
  <c r="W252" i="34"/>
  <c r="V252" i="34"/>
  <c r="U253" i="34"/>
  <c r="L254" i="31"/>
  <c r="J254" i="31"/>
  <c r="I254" i="31"/>
  <c r="K254" i="31"/>
  <c r="Y251" i="31"/>
  <c r="X251" i="31"/>
  <c r="W251" i="31"/>
  <c r="V251" i="31"/>
  <c r="G396" i="26"/>
  <c r="Y256" i="35" l="1"/>
  <c r="X256" i="35"/>
  <c r="V256" i="35"/>
  <c r="W256" i="35"/>
  <c r="U257" i="35"/>
  <c r="I255" i="35"/>
  <c r="L255" i="35"/>
  <c r="J255" i="35"/>
  <c r="K255" i="35"/>
  <c r="H256" i="35"/>
  <c r="G256" i="34"/>
  <c r="H257" i="34" s="1"/>
  <c r="T253" i="34"/>
  <c r="K255" i="34"/>
  <c r="L255" i="34"/>
  <c r="J255" i="34"/>
  <c r="I255" i="34"/>
  <c r="T252" i="31"/>
  <c r="U253" i="31" s="1"/>
  <c r="G255" i="31"/>
  <c r="H256" i="31" s="1"/>
  <c r="L396" i="26"/>
  <c r="K396" i="26"/>
  <c r="J396" i="26"/>
  <c r="I396" i="26"/>
  <c r="H397" i="26"/>
  <c r="G256" i="35" l="1"/>
  <c r="T257" i="35"/>
  <c r="Y253" i="34"/>
  <c r="X253" i="34"/>
  <c r="W253" i="34"/>
  <c r="V253" i="34"/>
  <c r="U254" i="34"/>
  <c r="K256" i="34"/>
  <c r="L256" i="34"/>
  <c r="J256" i="34"/>
  <c r="I256" i="34"/>
  <c r="G257" i="34"/>
  <c r="H258" i="34" s="1"/>
  <c r="L255" i="31"/>
  <c r="K255" i="31"/>
  <c r="I255" i="31"/>
  <c r="J255" i="31"/>
  <c r="Y252" i="31"/>
  <c r="X252" i="31"/>
  <c r="W252" i="31"/>
  <c r="V252" i="31"/>
  <c r="G397" i="26"/>
  <c r="H398" i="26" s="1"/>
  <c r="Y257" i="35" l="1"/>
  <c r="X257" i="35"/>
  <c r="V257" i="35"/>
  <c r="W257" i="35"/>
  <c r="U258" i="35"/>
  <c r="I256" i="35"/>
  <c r="L256" i="35"/>
  <c r="J256" i="35"/>
  <c r="K256" i="35"/>
  <c r="H257" i="35"/>
  <c r="K257" i="34"/>
  <c r="L257" i="34"/>
  <c r="J257" i="34"/>
  <c r="I257" i="34"/>
  <c r="T254" i="34"/>
  <c r="U255" i="34" s="1"/>
  <c r="G258" i="34"/>
  <c r="H259" i="34" s="1"/>
  <c r="G256" i="31"/>
  <c r="H257" i="31" s="1"/>
  <c r="T253" i="31"/>
  <c r="U254" i="31" s="1"/>
  <c r="G398" i="26"/>
  <c r="H399" i="26" s="1"/>
  <c r="L397" i="26"/>
  <c r="K397" i="26"/>
  <c r="J397" i="26"/>
  <c r="I397" i="26"/>
  <c r="T258" i="35" l="1"/>
  <c r="G257" i="35"/>
  <c r="K258" i="34"/>
  <c r="L258" i="34"/>
  <c r="J258" i="34"/>
  <c r="I258" i="34"/>
  <c r="Y254" i="34"/>
  <c r="X254" i="34"/>
  <c r="W254" i="34"/>
  <c r="V254" i="34"/>
  <c r="T255" i="34"/>
  <c r="G259" i="34"/>
  <c r="Y253" i="31"/>
  <c r="X253" i="31"/>
  <c r="V253" i="31"/>
  <c r="W253" i="31"/>
  <c r="L256" i="31"/>
  <c r="I256" i="31"/>
  <c r="J256" i="31"/>
  <c r="K256" i="31"/>
  <c r="G399" i="26"/>
  <c r="L398" i="26"/>
  <c r="K398" i="26"/>
  <c r="J398" i="26"/>
  <c r="I398" i="26"/>
  <c r="I257" i="35" l="1"/>
  <c r="L257" i="35"/>
  <c r="J257" i="35"/>
  <c r="K257" i="35"/>
  <c r="H258" i="35"/>
  <c r="Y258" i="35"/>
  <c r="X258" i="35"/>
  <c r="V258" i="35"/>
  <c r="W258" i="35"/>
  <c r="U259" i="35"/>
  <c r="K259" i="34"/>
  <c r="L259" i="34"/>
  <c r="J259" i="34"/>
  <c r="I259" i="34"/>
  <c r="H260" i="34"/>
  <c r="Y255" i="34"/>
  <c r="X255" i="34"/>
  <c r="W255" i="34"/>
  <c r="V255" i="34"/>
  <c r="U256" i="34"/>
  <c r="T254" i="31"/>
  <c r="U255" i="31" s="1"/>
  <c r="G257" i="31"/>
  <c r="H258" i="31" s="1"/>
  <c r="L399" i="26"/>
  <c r="K399" i="26"/>
  <c r="J399" i="26"/>
  <c r="I399" i="26"/>
  <c r="H400" i="26"/>
  <c r="G400" i="26" s="1"/>
  <c r="G258" i="35" l="1"/>
  <c r="T259" i="35"/>
  <c r="T256" i="34"/>
  <c r="U257" i="34" s="1"/>
  <c r="G260" i="34"/>
  <c r="L257" i="31"/>
  <c r="J257" i="31"/>
  <c r="I257" i="31"/>
  <c r="K257" i="31"/>
  <c r="Y254" i="31"/>
  <c r="X254" i="31"/>
  <c r="V254" i="31"/>
  <c r="W254" i="31"/>
  <c r="H401" i="26"/>
  <c r="G401" i="26" s="1"/>
  <c r="K400" i="26"/>
  <c r="J400" i="26"/>
  <c r="I400" i="26"/>
  <c r="L400" i="26"/>
  <c r="Y259" i="35" l="1"/>
  <c r="X259" i="35"/>
  <c r="V259" i="35"/>
  <c r="W259" i="35"/>
  <c r="U260" i="35"/>
  <c r="I258" i="35"/>
  <c r="L258" i="35"/>
  <c r="J258" i="35"/>
  <c r="K258" i="35"/>
  <c r="H259" i="35"/>
  <c r="T257" i="34"/>
  <c r="U258" i="34" s="1"/>
  <c r="K260" i="34"/>
  <c r="L260" i="34"/>
  <c r="J260" i="34"/>
  <c r="I260" i="34"/>
  <c r="H261" i="34"/>
  <c r="Y256" i="34"/>
  <c r="X256" i="34"/>
  <c r="W256" i="34"/>
  <c r="V256" i="34"/>
  <c r="T255" i="31"/>
  <c r="U256" i="31" s="1"/>
  <c r="G258" i="31"/>
  <c r="H259" i="31" s="1"/>
  <c r="H402" i="26"/>
  <c r="G402" i="26" s="1"/>
  <c r="K401" i="26"/>
  <c r="J401" i="26"/>
  <c r="I401" i="26"/>
  <c r="L401" i="26"/>
  <c r="T260" i="35" l="1"/>
  <c r="G259" i="35"/>
  <c r="G261" i="34"/>
  <c r="H262" i="34" s="1"/>
  <c r="Y257" i="34"/>
  <c r="X257" i="34"/>
  <c r="W257" i="34"/>
  <c r="V257" i="34"/>
  <c r="T258" i="34"/>
  <c r="G259" i="31"/>
  <c r="H260" i="31" s="1"/>
  <c r="L258" i="31"/>
  <c r="K258" i="31"/>
  <c r="I258" i="31"/>
  <c r="J258" i="31"/>
  <c r="Y255" i="31"/>
  <c r="X255" i="31"/>
  <c r="V255" i="31"/>
  <c r="W255" i="31"/>
  <c r="H403" i="26"/>
  <c r="G403" i="26" s="1"/>
  <c r="J402" i="26"/>
  <c r="I402" i="26"/>
  <c r="K402" i="26"/>
  <c r="L402" i="26"/>
  <c r="I259" i="35" l="1"/>
  <c r="L259" i="35"/>
  <c r="J259" i="35"/>
  <c r="K259" i="35"/>
  <c r="H260" i="35"/>
  <c r="Y260" i="35"/>
  <c r="X260" i="35"/>
  <c r="V260" i="35"/>
  <c r="W260" i="35"/>
  <c r="U261" i="35"/>
  <c r="Y258" i="34"/>
  <c r="X258" i="34"/>
  <c r="W258" i="34"/>
  <c r="V258" i="34"/>
  <c r="U259" i="34"/>
  <c r="G262" i="34"/>
  <c r="K261" i="34"/>
  <c r="L261" i="34"/>
  <c r="J261" i="34"/>
  <c r="I261" i="34"/>
  <c r="T256" i="31"/>
  <c r="U257" i="31" s="1"/>
  <c r="L259" i="31"/>
  <c r="I259" i="31"/>
  <c r="J259" i="31"/>
  <c r="K259" i="31"/>
  <c r="H404" i="26"/>
  <c r="G404" i="26" s="1"/>
  <c r="I403" i="26"/>
  <c r="L403" i="26"/>
  <c r="J403" i="26"/>
  <c r="K403" i="26"/>
  <c r="G260" i="35" l="1"/>
  <c r="T261" i="35"/>
  <c r="K262" i="34"/>
  <c r="L262" i="34"/>
  <c r="J262" i="34"/>
  <c r="I262" i="34"/>
  <c r="H263" i="34"/>
  <c r="T259" i="34"/>
  <c r="Y256" i="31"/>
  <c r="X256" i="31"/>
  <c r="V256" i="31"/>
  <c r="W256" i="31"/>
  <c r="G260" i="31"/>
  <c r="H261" i="31" s="1"/>
  <c r="H405" i="26"/>
  <c r="G405" i="26" s="1"/>
  <c r="L404" i="26"/>
  <c r="I404" i="26"/>
  <c r="K404" i="26"/>
  <c r="J404" i="26"/>
  <c r="Y261" i="35" l="1"/>
  <c r="X261" i="35"/>
  <c r="V261" i="35"/>
  <c r="W261" i="35"/>
  <c r="U262" i="35"/>
  <c r="I260" i="35"/>
  <c r="L260" i="35"/>
  <c r="J260" i="35"/>
  <c r="K260" i="35"/>
  <c r="H261" i="35"/>
  <c r="Y259" i="34"/>
  <c r="X259" i="34"/>
  <c r="W259" i="34"/>
  <c r="V259" i="34"/>
  <c r="U260" i="34"/>
  <c r="G263" i="34"/>
  <c r="H264" i="34" s="1"/>
  <c r="T257" i="31"/>
  <c r="U258" i="31" s="1"/>
  <c r="L260" i="31"/>
  <c r="J260" i="31"/>
  <c r="I260" i="31"/>
  <c r="K260" i="31"/>
  <c r="H406" i="26"/>
  <c r="G406" i="26" s="1"/>
  <c r="L405" i="26"/>
  <c r="K405" i="26"/>
  <c r="I405" i="26"/>
  <c r="J405" i="26"/>
  <c r="T262" i="35" l="1"/>
  <c r="G261" i="35"/>
  <c r="K263" i="34"/>
  <c r="L263" i="34"/>
  <c r="J263" i="34"/>
  <c r="I263" i="34"/>
  <c r="T260" i="34"/>
  <c r="G264" i="34"/>
  <c r="Y257" i="31"/>
  <c r="X257" i="31"/>
  <c r="V257" i="31"/>
  <c r="W257" i="31"/>
  <c r="G261" i="31"/>
  <c r="H262" i="31" s="1"/>
  <c r="H407" i="26"/>
  <c r="G407" i="26" s="1"/>
  <c r="L406" i="26"/>
  <c r="K406" i="26"/>
  <c r="J406" i="26"/>
  <c r="I406" i="26"/>
  <c r="I261" i="35" l="1"/>
  <c r="L261" i="35"/>
  <c r="J261" i="35"/>
  <c r="K261" i="35"/>
  <c r="H262" i="35"/>
  <c r="Y262" i="35"/>
  <c r="X262" i="35"/>
  <c r="V262" i="35"/>
  <c r="W262" i="35"/>
  <c r="U263" i="35"/>
  <c r="K264" i="34"/>
  <c r="L264" i="34"/>
  <c r="J264" i="34"/>
  <c r="I264" i="34"/>
  <c r="H265" i="34"/>
  <c r="Y260" i="34"/>
  <c r="X260" i="34"/>
  <c r="W260" i="34"/>
  <c r="V260" i="34"/>
  <c r="U261" i="34"/>
  <c r="T258" i="31"/>
  <c r="U259" i="31" s="1"/>
  <c r="L261" i="31"/>
  <c r="K261" i="31"/>
  <c r="J261" i="31"/>
  <c r="I261" i="31"/>
  <c r="H408" i="26"/>
  <c r="G408" i="26" s="1"/>
  <c r="L407" i="26"/>
  <c r="K407" i="26"/>
  <c r="J407" i="26"/>
  <c r="I407" i="26"/>
  <c r="T263" i="35" l="1"/>
  <c r="G262" i="35"/>
  <c r="G265" i="34"/>
  <c r="T261" i="34"/>
  <c r="U262" i="34" s="1"/>
  <c r="G262" i="31"/>
  <c r="H263" i="31" s="1"/>
  <c r="Y258" i="31"/>
  <c r="X258" i="31"/>
  <c r="V258" i="31"/>
  <c r="W258" i="31"/>
  <c r="L408" i="26"/>
  <c r="K408" i="26"/>
  <c r="J408" i="26"/>
  <c r="I408" i="26"/>
  <c r="I262" i="35" l="1"/>
  <c r="L262" i="35"/>
  <c r="J262" i="35"/>
  <c r="K262" i="35"/>
  <c r="H263" i="35"/>
  <c r="Y263" i="35"/>
  <c r="X263" i="35"/>
  <c r="V263" i="35"/>
  <c r="W263" i="35"/>
  <c r="U264" i="35"/>
  <c r="T262" i="34"/>
  <c r="K265" i="34"/>
  <c r="L265" i="34"/>
  <c r="J265" i="34"/>
  <c r="I265" i="34"/>
  <c r="Y261" i="34"/>
  <c r="X261" i="34"/>
  <c r="W261" i="34"/>
  <c r="V261" i="34"/>
  <c r="H266" i="34"/>
  <c r="T259" i="31"/>
  <c r="U260" i="31" s="1"/>
  <c r="L262" i="31"/>
  <c r="J262" i="31"/>
  <c r="I262" i="31"/>
  <c r="K262" i="31"/>
  <c r="J412" i="26"/>
  <c r="J410" i="26"/>
  <c r="K410" i="26"/>
  <c r="K412" i="26"/>
  <c r="L412" i="26"/>
  <c r="L410" i="26"/>
  <c r="T264" i="35" l="1"/>
  <c r="G263" i="35"/>
  <c r="G266" i="34"/>
  <c r="Y262" i="34"/>
  <c r="X262" i="34"/>
  <c r="W262" i="34"/>
  <c r="V262" i="34"/>
  <c r="U263" i="34"/>
  <c r="G263" i="31"/>
  <c r="H264" i="31" s="1"/>
  <c r="Y259" i="31"/>
  <c r="X259" i="31"/>
  <c r="V259" i="31"/>
  <c r="W259" i="31"/>
  <c r="K416" i="26"/>
  <c r="K415" i="26"/>
  <c r="I263" i="35" l="1"/>
  <c r="L263" i="35"/>
  <c r="J263" i="35"/>
  <c r="K263" i="35"/>
  <c r="H264" i="35"/>
  <c r="Y264" i="35"/>
  <c r="X264" i="35"/>
  <c r="V264" i="35"/>
  <c r="W264" i="35"/>
  <c r="U265" i="35"/>
  <c r="T263" i="34"/>
  <c r="L266" i="34"/>
  <c r="K266" i="34"/>
  <c r="J266" i="34"/>
  <c r="I266" i="34"/>
  <c r="H267" i="34"/>
  <c r="T260" i="31"/>
  <c r="U261" i="31" s="1"/>
  <c r="L263" i="31"/>
  <c r="K263" i="31"/>
  <c r="J263" i="31"/>
  <c r="I263" i="31"/>
  <c r="T265" i="35" l="1"/>
  <c r="G264" i="35"/>
  <c r="G267" i="34"/>
  <c r="Y263" i="34"/>
  <c r="X263" i="34"/>
  <c r="W263" i="34"/>
  <c r="V263" i="34"/>
  <c r="U264" i="34"/>
  <c r="G264" i="31"/>
  <c r="H265" i="31" s="1"/>
  <c r="Y260" i="31"/>
  <c r="X260" i="31"/>
  <c r="V260" i="31"/>
  <c r="W260" i="31"/>
  <c r="I264" i="35" l="1"/>
  <c r="L264" i="35"/>
  <c r="J264" i="35"/>
  <c r="K264" i="35"/>
  <c r="H265" i="35"/>
  <c r="Y265" i="35"/>
  <c r="X265" i="35"/>
  <c r="V265" i="35"/>
  <c r="W265" i="35"/>
  <c r="U266" i="35"/>
  <c r="T264" i="34"/>
  <c r="L267" i="34"/>
  <c r="K267" i="34"/>
  <c r="J267" i="34"/>
  <c r="I267" i="34"/>
  <c r="H268" i="34"/>
  <c r="L264" i="31"/>
  <c r="J264" i="31"/>
  <c r="I264" i="31"/>
  <c r="K264" i="31"/>
  <c r="T261" i="31"/>
  <c r="U262" i="31" s="1"/>
  <c r="T266" i="35" l="1"/>
  <c r="G265" i="35"/>
  <c r="G268" i="34"/>
  <c r="Y264" i="34"/>
  <c r="X264" i="34"/>
  <c r="W264" i="34"/>
  <c r="V264" i="34"/>
  <c r="U265" i="34"/>
  <c r="Y261" i="31"/>
  <c r="X261" i="31"/>
  <c r="V261" i="31"/>
  <c r="W261" i="31"/>
  <c r="G265" i="31"/>
  <c r="H266" i="31" s="1"/>
  <c r="I265" i="35" l="1"/>
  <c r="L265" i="35"/>
  <c r="J265" i="35"/>
  <c r="K265" i="35"/>
  <c r="H266" i="35"/>
  <c r="Y266" i="35"/>
  <c r="X266" i="35"/>
  <c r="V266" i="35"/>
  <c r="W266" i="35"/>
  <c r="U267" i="35"/>
  <c r="T265" i="34"/>
  <c r="L268" i="34"/>
  <c r="K268" i="34"/>
  <c r="J268" i="34"/>
  <c r="I268" i="34"/>
  <c r="H269" i="34"/>
  <c r="L265" i="31"/>
  <c r="K265" i="31"/>
  <c r="J265" i="31"/>
  <c r="I265" i="31"/>
  <c r="T262" i="31"/>
  <c r="U263" i="31" s="1"/>
  <c r="T267" i="35" l="1"/>
  <c r="G266" i="35"/>
  <c r="G269" i="34"/>
  <c r="Y265" i="34"/>
  <c r="X265" i="34"/>
  <c r="W265" i="34"/>
  <c r="V265" i="34"/>
  <c r="U266" i="34"/>
  <c r="T263" i="31"/>
  <c r="U264" i="31" s="1"/>
  <c r="G266" i="31"/>
  <c r="H267" i="31" s="1"/>
  <c r="Y262" i="31"/>
  <c r="X262" i="31"/>
  <c r="V262" i="31"/>
  <c r="W262" i="31"/>
  <c r="I266" i="35" l="1"/>
  <c r="L266" i="35"/>
  <c r="J266" i="35"/>
  <c r="K266" i="35"/>
  <c r="H267" i="35"/>
  <c r="Y267" i="35"/>
  <c r="X267" i="35"/>
  <c r="V267" i="35"/>
  <c r="W267" i="35"/>
  <c r="U268" i="35"/>
  <c r="T266" i="34"/>
  <c r="L269" i="34"/>
  <c r="K269" i="34"/>
  <c r="J269" i="34"/>
  <c r="I269" i="34"/>
  <c r="H270" i="34"/>
  <c r="G267" i="31"/>
  <c r="H268" i="31" s="1"/>
  <c r="Y263" i="31"/>
  <c r="X263" i="31"/>
  <c r="V263" i="31"/>
  <c r="W263" i="31"/>
  <c r="L266" i="31"/>
  <c r="J266" i="31"/>
  <c r="I266" i="31"/>
  <c r="K266" i="31"/>
  <c r="G267" i="35" l="1"/>
  <c r="T268" i="35"/>
  <c r="G270" i="34"/>
  <c r="Y266" i="34"/>
  <c r="X266" i="34"/>
  <c r="W266" i="34"/>
  <c r="V266" i="34"/>
  <c r="U267" i="34"/>
  <c r="T264" i="31"/>
  <c r="U265" i="31" s="1"/>
  <c r="L267" i="31"/>
  <c r="K267" i="31"/>
  <c r="J267" i="31"/>
  <c r="I267" i="31"/>
  <c r="Y268" i="35" l="1"/>
  <c r="X268" i="35"/>
  <c r="V268" i="35"/>
  <c r="W268" i="35"/>
  <c r="U269" i="35"/>
  <c r="I267" i="35"/>
  <c r="L267" i="35"/>
  <c r="J267" i="35"/>
  <c r="K267" i="35"/>
  <c r="H268" i="35"/>
  <c r="T267" i="34"/>
  <c r="L270" i="34"/>
  <c r="I270" i="34"/>
  <c r="K270" i="34"/>
  <c r="J270" i="34"/>
  <c r="H271" i="34"/>
  <c r="G268" i="31"/>
  <c r="H269" i="31" s="1"/>
  <c r="Y264" i="31"/>
  <c r="X264" i="31"/>
  <c r="V264" i="31"/>
  <c r="W264" i="31"/>
  <c r="G268" i="35" l="1"/>
  <c r="T269" i="35"/>
  <c r="G271" i="34"/>
  <c r="Y267" i="34"/>
  <c r="X267" i="34"/>
  <c r="W267" i="34"/>
  <c r="V267" i="34"/>
  <c r="U268" i="34"/>
  <c r="L268" i="31"/>
  <c r="J268" i="31"/>
  <c r="I268" i="31"/>
  <c r="K268" i="31"/>
  <c r="T265" i="31"/>
  <c r="U266" i="31" s="1"/>
  <c r="Y269" i="35" l="1"/>
  <c r="X269" i="35"/>
  <c r="V269" i="35"/>
  <c r="W269" i="35"/>
  <c r="U270" i="35"/>
  <c r="I268" i="35"/>
  <c r="L268" i="35"/>
  <c r="J268" i="35"/>
  <c r="K268" i="35"/>
  <c r="H269" i="35"/>
  <c r="T268" i="34"/>
  <c r="I271" i="34"/>
  <c r="J271" i="34"/>
  <c r="K271" i="34"/>
  <c r="L271" i="34"/>
  <c r="H272" i="34"/>
  <c r="G269" i="31"/>
  <c r="H270" i="31" s="1"/>
  <c r="Y265" i="31"/>
  <c r="X265" i="31"/>
  <c r="V265" i="31"/>
  <c r="W265" i="31"/>
  <c r="G269" i="35" l="1"/>
  <c r="T270" i="35"/>
  <c r="G272" i="34"/>
  <c r="Y268" i="34"/>
  <c r="X268" i="34"/>
  <c r="W268" i="34"/>
  <c r="V268" i="34"/>
  <c r="U269" i="34"/>
  <c r="T266" i="31"/>
  <c r="U267" i="31" s="1"/>
  <c r="L269" i="31"/>
  <c r="K269" i="31"/>
  <c r="J269" i="31"/>
  <c r="I269" i="31"/>
  <c r="Y270" i="35" l="1"/>
  <c r="X270" i="35"/>
  <c r="V270" i="35"/>
  <c r="W270" i="35"/>
  <c r="U271" i="35"/>
  <c r="I269" i="35"/>
  <c r="L269" i="35"/>
  <c r="J269" i="35"/>
  <c r="K269" i="35"/>
  <c r="H270" i="35"/>
  <c r="T269" i="34"/>
  <c r="J272" i="34"/>
  <c r="I272" i="34"/>
  <c r="K272" i="34"/>
  <c r="L272" i="34"/>
  <c r="H273" i="34"/>
  <c r="G270" i="31"/>
  <c r="H271" i="31" s="1"/>
  <c r="Y266" i="31"/>
  <c r="X266" i="31"/>
  <c r="V266" i="31"/>
  <c r="W266" i="31"/>
  <c r="G270" i="35" l="1"/>
  <c r="T271" i="35"/>
  <c r="U272" i="35" s="1"/>
  <c r="Y269" i="34"/>
  <c r="X269" i="34"/>
  <c r="W269" i="34"/>
  <c r="V269" i="34"/>
  <c r="G273" i="34"/>
  <c r="U270" i="34"/>
  <c r="T267" i="31"/>
  <c r="U268" i="31" s="1"/>
  <c r="L270" i="31"/>
  <c r="J270" i="31"/>
  <c r="I270" i="31"/>
  <c r="K270" i="31"/>
  <c r="Y271" i="35" l="1"/>
  <c r="X271" i="35"/>
  <c r="V271" i="35"/>
  <c r="W271" i="35"/>
  <c r="T272" i="35"/>
  <c r="I270" i="35"/>
  <c r="L270" i="35"/>
  <c r="J270" i="35"/>
  <c r="K270" i="35"/>
  <c r="H271" i="35"/>
  <c r="T270" i="34"/>
  <c r="K273" i="34"/>
  <c r="J273" i="34"/>
  <c r="I273" i="34"/>
  <c r="L273" i="34"/>
  <c r="H274" i="34"/>
  <c r="G271" i="31"/>
  <c r="H272" i="31" s="1"/>
  <c r="Y267" i="31"/>
  <c r="X267" i="31"/>
  <c r="V267" i="31"/>
  <c r="W267" i="31"/>
  <c r="G271" i="35" l="1"/>
  <c r="Y272" i="35"/>
  <c r="X272" i="35"/>
  <c r="V272" i="35"/>
  <c r="W272" i="35"/>
  <c r="U273" i="35"/>
  <c r="G274" i="34"/>
  <c r="Y270" i="34"/>
  <c r="X270" i="34"/>
  <c r="W270" i="34"/>
  <c r="V270" i="34"/>
  <c r="U271" i="34"/>
  <c r="T268" i="31"/>
  <c r="U269" i="31" s="1"/>
  <c r="L271" i="31"/>
  <c r="K271" i="31"/>
  <c r="I271" i="31"/>
  <c r="J271" i="31"/>
  <c r="T273" i="35" l="1"/>
  <c r="I271" i="35"/>
  <c r="L271" i="35"/>
  <c r="J271" i="35"/>
  <c r="K271" i="35"/>
  <c r="H272" i="35"/>
  <c r="T271" i="34"/>
  <c r="L274" i="34"/>
  <c r="K274" i="34"/>
  <c r="J274" i="34"/>
  <c r="I274" i="34"/>
  <c r="H275" i="34"/>
  <c r="G272" i="31"/>
  <c r="H273" i="31" s="1"/>
  <c r="Y268" i="31"/>
  <c r="X268" i="31"/>
  <c r="V268" i="31"/>
  <c r="W268" i="31"/>
  <c r="G272" i="35" l="1"/>
  <c r="Y273" i="35"/>
  <c r="X273" i="35"/>
  <c r="V273" i="35"/>
  <c r="W273" i="35"/>
  <c r="U274" i="35"/>
  <c r="G275" i="34"/>
  <c r="Y271" i="34"/>
  <c r="X271" i="34"/>
  <c r="W271" i="34"/>
  <c r="V271" i="34"/>
  <c r="U272" i="34"/>
  <c r="T269" i="31"/>
  <c r="U270" i="31" s="1"/>
  <c r="L272" i="31"/>
  <c r="J272" i="31"/>
  <c r="I272" i="31"/>
  <c r="K272" i="31"/>
  <c r="T274" i="35" l="1"/>
  <c r="I272" i="35"/>
  <c r="L272" i="35"/>
  <c r="J272" i="35"/>
  <c r="K272" i="35"/>
  <c r="H273" i="35"/>
  <c r="T272" i="34"/>
  <c r="L275" i="34"/>
  <c r="K275" i="34"/>
  <c r="J275" i="34"/>
  <c r="I275" i="34"/>
  <c r="H276" i="34"/>
  <c r="G273" i="31"/>
  <c r="H274" i="31" s="1"/>
  <c r="Y269" i="31"/>
  <c r="X269" i="31"/>
  <c r="V269" i="31"/>
  <c r="W269" i="31"/>
  <c r="G273" i="35" l="1"/>
  <c r="Y274" i="35"/>
  <c r="X274" i="35"/>
  <c r="V274" i="35"/>
  <c r="W274" i="35"/>
  <c r="U275" i="35"/>
  <c r="G276" i="34"/>
  <c r="Y272" i="34"/>
  <c r="X272" i="34"/>
  <c r="V272" i="34"/>
  <c r="W272" i="34"/>
  <c r="U273" i="34"/>
  <c r="T270" i="31"/>
  <c r="U271" i="31" s="1"/>
  <c r="L273" i="31"/>
  <c r="K273" i="31"/>
  <c r="J273" i="31"/>
  <c r="I273" i="31"/>
  <c r="T275" i="35" l="1"/>
  <c r="I273" i="35"/>
  <c r="L273" i="35"/>
  <c r="J273" i="35"/>
  <c r="K273" i="35"/>
  <c r="H274" i="35"/>
  <c r="T273" i="34"/>
  <c r="L276" i="34"/>
  <c r="K276" i="34"/>
  <c r="J276" i="34"/>
  <c r="I276" i="34"/>
  <c r="H277" i="34"/>
  <c r="G274" i="31"/>
  <c r="H275" i="31" s="1"/>
  <c r="Y270" i="31"/>
  <c r="X270" i="31"/>
  <c r="V270" i="31"/>
  <c r="W270" i="31"/>
  <c r="G274" i="35" l="1"/>
  <c r="Y275" i="35"/>
  <c r="X275" i="35"/>
  <c r="V275" i="35"/>
  <c r="W275" i="35"/>
  <c r="U276" i="35"/>
  <c r="G277" i="34"/>
  <c r="Y273" i="34"/>
  <c r="W273" i="34"/>
  <c r="V273" i="34"/>
  <c r="X273" i="34"/>
  <c r="U274" i="34"/>
  <c r="T271" i="31"/>
  <c r="U272" i="31" s="1"/>
  <c r="L274" i="31"/>
  <c r="K274" i="31"/>
  <c r="J274" i="31"/>
  <c r="I274" i="31"/>
  <c r="T276" i="35" l="1"/>
  <c r="I274" i="35"/>
  <c r="L274" i="35"/>
  <c r="J274" i="35"/>
  <c r="K274" i="35"/>
  <c r="H275" i="35"/>
  <c r="T274" i="34"/>
  <c r="L277" i="34"/>
  <c r="K277" i="34"/>
  <c r="J277" i="34"/>
  <c r="I277" i="34"/>
  <c r="H278" i="34"/>
  <c r="G275" i="31"/>
  <c r="H276" i="31" s="1"/>
  <c r="Y271" i="31"/>
  <c r="X271" i="31"/>
  <c r="V271" i="31"/>
  <c r="W271" i="31"/>
  <c r="G275" i="35" l="1"/>
  <c r="Y276" i="35"/>
  <c r="X276" i="35"/>
  <c r="V276" i="35"/>
  <c r="W276" i="35"/>
  <c r="U277" i="35"/>
  <c r="G278" i="34"/>
  <c r="X274" i="34"/>
  <c r="W274" i="34"/>
  <c r="Y274" i="34"/>
  <c r="V274" i="34"/>
  <c r="U275" i="34"/>
  <c r="T272" i="31"/>
  <c r="U273" i="31" s="1"/>
  <c r="L275" i="31"/>
  <c r="I275" i="31"/>
  <c r="J275" i="31"/>
  <c r="K275" i="31"/>
  <c r="T277" i="35" l="1"/>
  <c r="I275" i="35"/>
  <c r="L275" i="35"/>
  <c r="J275" i="35"/>
  <c r="K275" i="35"/>
  <c r="H276" i="35"/>
  <c r="T275" i="34"/>
  <c r="L278" i="34"/>
  <c r="K278" i="34"/>
  <c r="J278" i="34"/>
  <c r="I278" i="34"/>
  <c r="H279" i="34"/>
  <c r="G276" i="31"/>
  <c r="H277" i="31" s="1"/>
  <c r="Y272" i="31"/>
  <c r="X272" i="31"/>
  <c r="V272" i="31"/>
  <c r="W272" i="31"/>
  <c r="G276" i="35" l="1"/>
  <c r="Y277" i="35"/>
  <c r="X277" i="35"/>
  <c r="V277" i="35"/>
  <c r="W277" i="35"/>
  <c r="U278" i="35"/>
  <c r="G279" i="34"/>
  <c r="Y275" i="34"/>
  <c r="X275" i="34"/>
  <c r="W275" i="34"/>
  <c r="V275" i="34"/>
  <c r="U276" i="34"/>
  <c r="T273" i="31"/>
  <c r="U274" i="31" s="1"/>
  <c r="L276" i="31"/>
  <c r="K276" i="31"/>
  <c r="J276" i="31"/>
  <c r="I276" i="31"/>
  <c r="T278" i="35" l="1"/>
  <c r="I276" i="35"/>
  <c r="L276" i="35"/>
  <c r="J276" i="35"/>
  <c r="K276" i="35"/>
  <c r="H277" i="35"/>
  <c r="T276" i="34"/>
  <c r="L279" i="34"/>
  <c r="K279" i="34"/>
  <c r="J279" i="34"/>
  <c r="I279" i="34"/>
  <c r="H280" i="34"/>
  <c r="G277" i="31"/>
  <c r="H278" i="31" s="1"/>
  <c r="Y273" i="31"/>
  <c r="X273" i="31"/>
  <c r="V273" i="31"/>
  <c r="W273" i="31"/>
  <c r="G277" i="35" l="1"/>
  <c r="Y278" i="35"/>
  <c r="X278" i="35"/>
  <c r="V278" i="35"/>
  <c r="W278" i="35"/>
  <c r="U279" i="35"/>
  <c r="G280" i="34"/>
  <c r="Y276" i="34"/>
  <c r="V276" i="34"/>
  <c r="X276" i="34"/>
  <c r="W276" i="34"/>
  <c r="U277" i="34"/>
  <c r="T274" i="31"/>
  <c r="U275" i="31" s="1"/>
  <c r="L277" i="31"/>
  <c r="J277" i="31"/>
  <c r="I277" i="31"/>
  <c r="K277" i="31"/>
  <c r="T279" i="35" l="1"/>
  <c r="I277" i="35"/>
  <c r="L277" i="35"/>
  <c r="J277" i="35"/>
  <c r="K277" i="35"/>
  <c r="H278" i="35"/>
  <c r="T277" i="34"/>
  <c r="L280" i="34"/>
  <c r="K280" i="34"/>
  <c r="J280" i="34"/>
  <c r="I280" i="34"/>
  <c r="H281" i="34"/>
  <c r="G278" i="31"/>
  <c r="H279" i="31" s="1"/>
  <c r="Y274" i="31"/>
  <c r="X274" i="31"/>
  <c r="V274" i="31"/>
  <c r="W274" i="31"/>
  <c r="G278" i="35" l="1"/>
  <c r="Y279" i="35"/>
  <c r="X279" i="35"/>
  <c r="V279" i="35"/>
  <c r="W279" i="35"/>
  <c r="U280" i="35"/>
  <c r="G281" i="34"/>
  <c r="V277" i="34"/>
  <c r="W277" i="34"/>
  <c r="Y277" i="34"/>
  <c r="X277" i="34"/>
  <c r="U278" i="34"/>
  <c r="T275" i="31"/>
  <c r="U276" i="31" s="1"/>
  <c r="L278" i="31"/>
  <c r="J278" i="31"/>
  <c r="I278" i="31"/>
  <c r="K278" i="31"/>
  <c r="T280" i="35" l="1"/>
  <c r="I278" i="35"/>
  <c r="L278" i="35"/>
  <c r="J278" i="35"/>
  <c r="K278" i="35"/>
  <c r="H279" i="35"/>
  <c r="T278" i="34"/>
  <c r="L281" i="34"/>
  <c r="K281" i="34"/>
  <c r="J281" i="34"/>
  <c r="I281" i="34"/>
  <c r="H282" i="34"/>
  <c r="G279" i="31"/>
  <c r="H280" i="31" s="1"/>
  <c r="Y275" i="31"/>
  <c r="X275" i="31"/>
  <c r="V275" i="31"/>
  <c r="W275" i="31"/>
  <c r="G279" i="35" l="1"/>
  <c r="Y280" i="35"/>
  <c r="X280" i="35"/>
  <c r="V280" i="35"/>
  <c r="W280" i="35"/>
  <c r="U281" i="35"/>
  <c r="G282" i="34"/>
  <c r="W278" i="34"/>
  <c r="V278" i="34"/>
  <c r="X278" i="34"/>
  <c r="Y278" i="34"/>
  <c r="U279" i="34"/>
  <c r="L279" i="31"/>
  <c r="J279" i="31"/>
  <c r="K279" i="31"/>
  <c r="I279" i="31"/>
  <c r="T276" i="31"/>
  <c r="U277" i="31" s="1"/>
  <c r="T281" i="35" l="1"/>
  <c r="I279" i="35"/>
  <c r="L279" i="35"/>
  <c r="J279" i="35"/>
  <c r="K279" i="35"/>
  <c r="H280" i="35"/>
  <c r="T279" i="34"/>
  <c r="L282" i="34"/>
  <c r="I282" i="34"/>
  <c r="K282" i="34"/>
  <c r="J282" i="34"/>
  <c r="H283" i="34"/>
  <c r="Y276" i="31"/>
  <c r="X276" i="31"/>
  <c r="W276" i="31"/>
  <c r="V276" i="31"/>
  <c r="G280" i="31"/>
  <c r="H281" i="31" s="1"/>
  <c r="G280" i="35" l="1"/>
  <c r="Y281" i="35"/>
  <c r="X281" i="35"/>
  <c r="V281" i="35"/>
  <c r="W281" i="35"/>
  <c r="U282" i="35"/>
  <c r="G283" i="34"/>
  <c r="X279" i="34"/>
  <c r="W279" i="34"/>
  <c r="V279" i="34"/>
  <c r="Y279" i="34"/>
  <c r="U280" i="34"/>
  <c r="L280" i="31"/>
  <c r="J280" i="31"/>
  <c r="K280" i="31"/>
  <c r="I280" i="31"/>
  <c r="T277" i="31"/>
  <c r="U278" i="31" s="1"/>
  <c r="T282" i="35" l="1"/>
  <c r="I280" i="35"/>
  <c r="L280" i="35"/>
  <c r="J280" i="35"/>
  <c r="K280" i="35"/>
  <c r="H281" i="35"/>
  <c r="T280" i="34"/>
  <c r="I283" i="34"/>
  <c r="J283" i="34"/>
  <c r="L283" i="34"/>
  <c r="K283" i="34"/>
  <c r="H284" i="34"/>
  <c r="Y277" i="31"/>
  <c r="X277" i="31"/>
  <c r="W277" i="31"/>
  <c r="V277" i="31"/>
  <c r="G281" i="31"/>
  <c r="H282" i="31" s="1"/>
  <c r="G281" i="35" l="1"/>
  <c r="Y282" i="35"/>
  <c r="X282" i="35"/>
  <c r="V282" i="35"/>
  <c r="W282" i="35"/>
  <c r="U283" i="35"/>
  <c r="G284" i="34"/>
  <c r="Y280" i="34"/>
  <c r="X280" i="34"/>
  <c r="W280" i="34"/>
  <c r="V280" i="34"/>
  <c r="U281" i="34"/>
  <c r="K281" i="31"/>
  <c r="I281" i="31"/>
  <c r="J281" i="31"/>
  <c r="L281" i="31"/>
  <c r="T278" i="31"/>
  <c r="U279" i="31" s="1"/>
  <c r="T283" i="35" l="1"/>
  <c r="I281" i="35"/>
  <c r="L281" i="35"/>
  <c r="J281" i="35"/>
  <c r="K281" i="35"/>
  <c r="H282" i="35"/>
  <c r="T281" i="34"/>
  <c r="J284" i="34"/>
  <c r="I284" i="34"/>
  <c r="K284" i="34"/>
  <c r="L284" i="34"/>
  <c r="H285" i="34"/>
  <c r="T279" i="31"/>
  <c r="U280" i="31" s="1"/>
  <c r="G282" i="31"/>
  <c r="H283" i="31" s="1"/>
  <c r="Y278" i="31"/>
  <c r="X278" i="31"/>
  <c r="W278" i="31"/>
  <c r="V278" i="31"/>
  <c r="G282" i="35" l="1"/>
  <c r="Y283" i="35"/>
  <c r="X283" i="35"/>
  <c r="V283" i="35"/>
  <c r="W283" i="35"/>
  <c r="U284" i="35"/>
  <c r="G285" i="34"/>
  <c r="Y281" i="34"/>
  <c r="X281" i="34"/>
  <c r="W281" i="34"/>
  <c r="V281" i="34"/>
  <c r="U282" i="34"/>
  <c r="L282" i="31"/>
  <c r="J282" i="31"/>
  <c r="K282" i="31"/>
  <c r="I282" i="31"/>
  <c r="Y279" i="31"/>
  <c r="X279" i="31"/>
  <c r="W279" i="31"/>
  <c r="V279" i="31"/>
  <c r="T284" i="35" l="1"/>
  <c r="I282" i="35"/>
  <c r="L282" i="35"/>
  <c r="J282" i="35"/>
  <c r="K282" i="35"/>
  <c r="H283" i="35"/>
  <c r="T282" i="34"/>
  <c r="K285" i="34"/>
  <c r="J285" i="34"/>
  <c r="I285" i="34"/>
  <c r="L285" i="34"/>
  <c r="H286" i="34"/>
  <c r="T280" i="31"/>
  <c r="U281" i="31" s="1"/>
  <c r="G283" i="31"/>
  <c r="H284" i="31" s="1"/>
  <c r="G283" i="35" l="1"/>
  <c r="Y284" i="35"/>
  <c r="X284" i="35"/>
  <c r="V284" i="35"/>
  <c r="W284" i="35"/>
  <c r="U285" i="35"/>
  <c r="G286" i="34"/>
  <c r="Y282" i="34"/>
  <c r="X282" i="34"/>
  <c r="W282" i="34"/>
  <c r="V282" i="34"/>
  <c r="U283" i="34"/>
  <c r="I283" i="31"/>
  <c r="K283" i="31"/>
  <c r="L283" i="31"/>
  <c r="J283" i="31"/>
  <c r="X280" i="31"/>
  <c r="Y280" i="31"/>
  <c r="W280" i="31"/>
  <c r="V280" i="31"/>
  <c r="T285" i="35" l="1"/>
  <c r="I283" i="35"/>
  <c r="L283" i="35"/>
  <c r="J283" i="35"/>
  <c r="K283" i="35"/>
  <c r="H284" i="35"/>
  <c r="T283" i="34"/>
  <c r="L286" i="34"/>
  <c r="K286" i="34"/>
  <c r="J286" i="34"/>
  <c r="I286" i="34"/>
  <c r="H287" i="34"/>
  <c r="T281" i="31"/>
  <c r="U282" i="31" s="1"/>
  <c r="G284" i="31"/>
  <c r="H285" i="31" s="1"/>
  <c r="G284" i="35" l="1"/>
  <c r="Y285" i="35"/>
  <c r="W285" i="35"/>
  <c r="V285" i="35"/>
  <c r="X285" i="35"/>
  <c r="U286" i="35"/>
  <c r="G287" i="34"/>
  <c r="Y283" i="34"/>
  <c r="X283" i="34"/>
  <c r="W283" i="34"/>
  <c r="V283" i="34"/>
  <c r="U284" i="34"/>
  <c r="J284" i="31"/>
  <c r="I284" i="31"/>
  <c r="L284" i="31"/>
  <c r="K284" i="31"/>
  <c r="X281" i="31"/>
  <c r="Y281" i="31"/>
  <c r="W281" i="31"/>
  <c r="V281" i="31"/>
  <c r="T286" i="35" l="1"/>
  <c r="I284" i="35"/>
  <c r="L284" i="35"/>
  <c r="J284" i="35"/>
  <c r="K284" i="35"/>
  <c r="H285" i="35"/>
  <c r="T284" i="34"/>
  <c r="L287" i="34"/>
  <c r="K287" i="34"/>
  <c r="J287" i="34"/>
  <c r="I287" i="34"/>
  <c r="H288" i="34"/>
  <c r="T282" i="31"/>
  <c r="U283" i="31" s="1"/>
  <c r="G285" i="31"/>
  <c r="H286" i="31" s="1"/>
  <c r="G285" i="35" l="1"/>
  <c r="X286" i="35"/>
  <c r="W286" i="35"/>
  <c r="V286" i="35"/>
  <c r="Y286" i="35"/>
  <c r="U287" i="35"/>
  <c r="G288" i="34"/>
  <c r="Y284" i="34"/>
  <c r="X284" i="34"/>
  <c r="W284" i="34"/>
  <c r="V284" i="34"/>
  <c r="U285" i="34"/>
  <c r="K285" i="31"/>
  <c r="J285" i="31"/>
  <c r="I285" i="31"/>
  <c r="L285" i="31"/>
  <c r="X282" i="31"/>
  <c r="Y282" i="31"/>
  <c r="W282" i="31"/>
  <c r="V282" i="31"/>
  <c r="T287" i="35" l="1"/>
  <c r="I285" i="35"/>
  <c r="L285" i="35"/>
  <c r="J285" i="35"/>
  <c r="K285" i="35"/>
  <c r="H286" i="35"/>
  <c r="T285" i="34"/>
  <c r="U286" i="34" s="1"/>
  <c r="L288" i="34"/>
  <c r="K288" i="34"/>
  <c r="J288" i="34"/>
  <c r="I288" i="34"/>
  <c r="H289" i="34"/>
  <c r="G286" i="31"/>
  <c r="H287" i="31" s="1"/>
  <c r="T283" i="31"/>
  <c r="U284" i="31" s="1"/>
  <c r="G286" i="35" l="1"/>
  <c r="Y287" i="35"/>
  <c r="X287" i="35"/>
  <c r="W287" i="35"/>
  <c r="V287" i="35"/>
  <c r="U288" i="35"/>
  <c r="G289" i="34"/>
  <c r="Y285" i="34"/>
  <c r="X285" i="34"/>
  <c r="W285" i="34"/>
  <c r="V285" i="34"/>
  <c r="T286" i="34"/>
  <c r="X283" i="31"/>
  <c r="Y283" i="31"/>
  <c r="W283" i="31"/>
  <c r="V283" i="31"/>
  <c r="L286" i="31"/>
  <c r="K286" i="31"/>
  <c r="J286" i="31"/>
  <c r="I286" i="31"/>
  <c r="T288" i="35" l="1"/>
  <c r="J286" i="35"/>
  <c r="I286" i="35"/>
  <c r="K286" i="35"/>
  <c r="L286" i="35"/>
  <c r="H287" i="35"/>
  <c r="Y286" i="34"/>
  <c r="X286" i="34"/>
  <c r="W286" i="34"/>
  <c r="V286" i="34"/>
  <c r="U287" i="34"/>
  <c r="L289" i="34"/>
  <c r="K289" i="34"/>
  <c r="J289" i="34"/>
  <c r="I289" i="34"/>
  <c r="H290" i="34"/>
  <c r="T284" i="31"/>
  <c r="U285" i="31" s="1"/>
  <c r="G287" i="31"/>
  <c r="H288" i="31" s="1"/>
  <c r="G287" i="35" l="1"/>
  <c r="W288" i="35"/>
  <c r="V288" i="35"/>
  <c r="Y288" i="35"/>
  <c r="X288" i="35"/>
  <c r="U289" i="35"/>
  <c r="G290" i="34"/>
  <c r="T287" i="34"/>
  <c r="U288" i="34" s="1"/>
  <c r="L287" i="31"/>
  <c r="K287" i="31"/>
  <c r="J287" i="31"/>
  <c r="I287" i="31"/>
  <c r="X284" i="31"/>
  <c r="Y284" i="31"/>
  <c r="W284" i="31"/>
  <c r="V284" i="31"/>
  <c r="T289" i="35" l="1"/>
  <c r="K287" i="35"/>
  <c r="J287" i="35"/>
  <c r="L287" i="35"/>
  <c r="I287" i="35"/>
  <c r="H288" i="35"/>
  <c r="T288" i="34"/>
  <c r="Y287" i="34"/>
  <c r="X287" i="34"/>
  <c r="W287" i="34"/>
  <c r="V287" i="34"/>
  <c r="L290" i="34"/>
  <c r="K290" i="34"/>
  <c r="J290" i="34"/>
  <c r="I290" i="34"/>
  <c r="H291" i="34"/>
  <c r="G288" i="31"/>
  <c r="H289" i="31" s="1"/>
  <c r="T285" i="31"/>
  <c r="U286" i="31" s="1"/>
  <c r="G288" i="35" l="1"/>
  <c r="W289" i="35"/>
  <c r="V289" i="35"/>
  <c r="Y289" i="35"/>
  <c r="X289" i="35"/>
  <c r="U290" i="35"/>
  <c r="G291" i="34"/>
  <c r="Y288" i="34"/>
  <c r="V288" i="34"/>
  <c r="W288" i="34"/>
  <c r="X288" i="34"/>
  <c r="U289" i="34"/>
  <c r="X285" i="31"/>
  <c r="Y285" i="31"/>
  <c r="V285" i="31"/>
  <c r="W285" i="31"/>
  <c r="L288" i="31"/>
  <c r="K288" i="31"/>
  <c r="J288" i="31"/>
  <c r="I288" i="31"/>
  <c r="T290" i="35" l="1"/>
  <c r="L288" i="35"/>
  <c r="K288" i="35"/>
  <c r="I288" i="35"/>
  <c r="J288" i="35"/>
  <c r="H289" i="35"/>
  <c r="T289" i="34"/>
  <c r="L291" i="34"/>
  <c r="K291" i="34"/>
  <c r="J291" i="34"/>
  <c r="I291" i="34"/>
  <c r="H292" i="34"/>
  <c r="G289" i="31"/>
  <c r="H290" i="31" s="1"/>
  <c r="T286" i="31"/>
  <c r="U287" i="31" s="1"/>
  <c r="G289" i="35" l="1"/>
  <c r="W290" i="35"/>
  <c r="V290" i="35"/>
  <c r="Y290" i="35"/>
  <c r="X290" i="35"/>
  <c r="U291" i="35"/>
  <c r="V289" i="34"/>
  <c r="W289" i="34"/>
  <c r="X289" i="34"/>
  <c r="Y289" i="34"/>
  <c r="G292" i="34"/>
  <c r="U290" i="34"/>
  <c r="X286" i="31"/>
  <c r="W286" i="31"/>
  <c r="V286" i="31"/>
  <c r="Y286" i="31"/>
  <c r="L289" i="31"/>
  <c r="K289" i="31"/>
  <c r="J289" i="31"/>
  <c r="I289" i="31"/>
  <c r="T291" i="35" l="1"/>
  <c r="L289" i="35"/>
  <c r="K289" i="35"/>
  <c r="I289" i="35"/>
  <c r="J289" i="35"/>
  <c r="H290" i="35"/>
  <c r="T290" i="34"/>
  <c r="L292" i="34"/>
  <c r="K292" i="34"/>
  <c r="J292" i="34"/>
  <c r="I292" i="34"/>
  <c r="H293" i="34"/>
  <c r="G290" i="31"/>
  <c r="H291" i="31" s="1"/>
  <c r="T287" i="31"/>
  <c r="U288" i="31" s="1"/>
  <c r="G290" i="35" l="1"/>
  <c r="W291" i="35"/>
  <c r="V291" i="35"/>
  <c r="Y291" i="35"/>
  <c r="X291" i="35"/>
  <c r="U292" i="35"/>
  <c r="G293" i="34"/>
  <c r="W290" i="34"/>
  <c r="V290" i="34"/>
  <c r="X290" i="34"/>
  <c r="Y290" i="34"/>
  <c r="U291" i="34"/>
  <c r="X287" i="31"/>
  <c r="Y287" i="31"/>
  <c r="V287" i="31"/>
  <c r="W287" i="31"/>
  <c r="L290" i="31"/>
  <c r="J290" i="31"/>
  <c r="I290" i="31"/>
  <c r="K290" i="31"/>
  <c r="T292" i="35" l="1"/>
  <c r="L290" i="35"/>
  <c r="K290" i="35"/>
  <c r="J290" i="35"/>
  <c r="I290" i="35"/>
  <c r="H291" i="35"/>
  <c r="T291" i="34"/>
  <c r="I293" i="34"/>
  <c r="J293" i="34"/>
  <c r="L293" i="34"/>
  <c r="K293" i="34"/>
  <c r="H294" i="34"/>
  <c r="T288" i="31"/>
  <c r="U289" i="31" s="1"/>
  <c r="G291" i="31"/>
  <c r="H292" i="31" s="1"/>
  <c r="G291" i="35" l="1"/>
  <c r="W292" i="35"/>
  <c r="V292" i="35"/>
  <c r="Y292" i="35"/>
  <c r="X292" i="35"/>
  <c r="U293" i="35"/>
  <c r="X291" i="34"/>
  <c r="W291" i="34"/>
  <c r="V291" i="34"/>
  <c r="Y291" i="34"/>
  <c r="G294" i="34"/>
  <c r="U292" i="34"/>
  <c r="G292" i="31"/>
  <c r="H293" i="31" s="1"/>
  <c r="X288" i="31"/>
  <c r="V288" i="31"/>
  <c r="Y288" i="31"/>
  <c r="W288" i="31"/>
  <c r="K291" i="31"/>
  <c r="J291" i="31"/>
  <c r="L291" i="31"/>
  <c r="I291" i="31"/>
  <c r="T293" i="35" l="1"/>
  <c r="I291" i="35"/>
  <c r="L291" i="35"/>
  <c r="J291" i="35"/>
  <c r="K291" i="35"/>
  <c r="H292" i="35"/>
  <c r="T292" i="34"/>
  <c r="K294" i="34"/>
  <c r="J294" i="34"/>
  <c r="I294" i="34"/>
  <c r="L294" i="34"/>
  <c r="H295" i="34"/>
  <c r="T289" i="31"/>
  <c r="U290" i="31" s="1"/>
  <c r="K292" i="31"/>
  <c r="L292" i="31"/>
  <c r="J292" i="31"/>
  <c r="I292" i="31"/>
  <c r="G292" i="35" l="1"/>
  <c r="W293" i="35"/>
  <c r="V293" i="35"/>
  <c r="Y293" i="35"/>
  <c r="X293" i="35"/>
  <c r="U294" i="35"/>
  <c r="G295" i="34"/>
  <c r="Y292" i="34"/>
  <c r="X292" i="34"/>
  <c r="W292" i="34"/>
  <c r="V292" i="34"/>
  <c r="U293" i="34"/>
  <c r="G293" i="31"/>
  <c r="H294" i="31" s="1"/>
  <c r="X289" i="31"/>
  <c r="Y289" i="31"/>
  <c r="W289" i="31"/>
  <c r="V289" i="31"/>
  <c r="T294" i="35" l="1"/>
  <c r="L292" i="35"/>
  <c r="K292" i="35"/>
  <c r="I292" i="35"/>
  <c r="J292" i="35"/>
  <c r="H293" i="35"/>
  <c r="T293" i="34"/>
  <c r="L295" i="34"/>
  <c r="K295" i="34"/>
  <c r="J295" i="34"/>
  <c r="I295" i="34"/>
  <c r="H296" i="34"/>
  <c r="T290" i="31"/>
  <c r="U291" i="31" s="1"/>
  <c r="K293" i="31"/>
  <c r="L293" i="31"/>
  <c r="J293" i="31"/>
  <c r="I293" i="31"/>
  <c r="G293" i="35" l="1"/>
  <c r="W294" i="35"/>
  <c r="V294" i="35"/>
  <c r="X294" i="35"/>
  <c r="Y294" i="35"/>
  <c r="U295" i="35"/>
  <c r="G296" i="34"/>
  <c r="Y293" i="34"/>
  <c r="X293" i="34"/>
  <c r="W293" i="34"/>
  <c r="V293" i="34"/>
  <c r="U294" i="34"/>
  <c r="G294" i="31"/>
  <c r="H295" i="31" s="1"/>
  <c r="X290" i="31"/>
  <c r="Y290" i="31"/>
  <c r="W290" i="31"/>
  <c r="V290" i="31"/>
  <c r="T295" i="35" l="1"/>
  <c r="J293" i="35"/>
  <c r="L293" i="35"/>
  <c r="I293" i="35"/>
  <c r="K293" i="35"/>
  <c r="H294" i="35"/>
  <c r="T294" i="34"/>
  <c r="L296" i="34"/>
  <c r="K296" i="34"/>
  <c r="J296" i="34"/>
  <c r="I296" i="34"/>
  <c r="H297" i="34"/>
  <c r="T291" i="31"/>
  <c r="U292" i="31" s="1"/>
  <c r="K294" i="31"/>
  <c r="L294" i="31"/>
  <c r="I294" i="31"/>
  <c r="J294" i="31"/>
  <c r="G294" i="35" l="1"/>
  <c r="W295" i="35"/>
  <c r="V295" i="35"/>
  <c r="Y295" i="35"/>
  <c r="X295" i="35"/>
  <c r="U296" i="35"/>
  <c r="G297" i="34"/>
  <c r="Y294" i="34"/>
  <c r="X294" i="34"/>
  <c r="W294" i="34"/>
  <c r="V294" i="34"/>
  <c r="U295" i="34"/>
  <c r="G295" i="31"/>
  <c r="H296" i="31" s="1"/>
  <c r="X291" i="31"/>
  <c r="Y291" i="31"/>
  <c r="W291" i="31"/>
  <c r="V291" i="31"/>
  <c r="T296" i="35" l="1"/>
  <c r="J294" i="35"/>
  <c r="L294" i="35"/>
  <c r="K294" i="35"/>
  <c r="I294" i="35"/>
  <c r="H295" i="35"/>
  <c r="T295" i="34"/>
  <c r="L297" i="34"/>
  <c r="K297" i="34"/>
  <c r="J297" i="34"/>
  <c r="I297" i="34"/>
  <c r="H298" i="34"/>
  <c r="T292" i="31"/>
  <c r="U293" i="31" s="1"/>
  <c r="K295" i="31"/>
  <c r="J295" i="31"/>
  <c r="L295" i="31"/>
  <c r="I295" i="31"/>
  <c r="G295" i="35" l="1"/>
  <c r="W296" i="35"/>
  <c r="V296" i="35"/>
  <c r="X296" i="35"/>
  <c r="Y296" i="35"/>
  <c r="U297" i="35"/>
  <c r="G298" i="34"/>
  <c r="Y295" i="34"/>
  <c r="X295" i="34"/>
  <c r="W295" i="34"/>
  <c r="V295" i="34"/>
  <c r="U296" i="34"/>
  <c r="X292" i="31"/>
  <c r="Y292" i="31"/>
  <c r="V292" i="31"/>
  <c r="W292" i="31"/>
  <c r="G296" i="31"/>
  <c r="H297" i="31" s="1"/>
  <c r="T297" i="35" l="1"/>
  <c r="J295" i="35"/>
  <c r="L295" i="35"/>
  <c r="K295" i="35"/>
  <c r="I295" i="35"/>
  <c r="H296" i="35"/>
  <c r="T296" i="34"/>
  <c r="L298" i="34"/>
  <c r="K298" i="34"/>
  <c r="J298" i="34"/>
  <c r="I298" i="34"/>
  <c r="H299" i="34"/>
  <c r="T293" i="31"/>
  <c r="U294" i="31" s="1"/>
  <c r="K296" i="31"/>
  <c r="L296" i="31"/>
  <c r="J296" i="31"/>
  <c r="I296" i="31"/>
  <c r="G296" i="35" l="1"/>
  <c r="W297" i="35"/>
  <c r="V297" i="35"/>
  <c r="Y297" i="35"/>
  <c r="X297" i="35"/>
  <c r="U298" i="35"/>
  <c r="V296" i="34"/>
  <c r="W296" i="34"/>
  <c r="Y296" i="34"/>
  <c r="X296" i="34"/>
  <c r="G299" i="34"/>
  <c r="U297" i="34"/>
  <c r="G297" i="31"/>
  <c r="H298" i="31" s="1"/>
  <c r="X293" i="31"/>
  <c r="W293" i="31"/>
  <c r="V293" i="31"/>
  <c r="Y293" i="31"/>
  <c r="T298" i="35" l="1"/>
  <c r="L296" i="35"/>
  <c r="J296" i="35"/>
  <c r="I296" i="35"/>
  <c r="K296" i="35"/>
  <c r="H297" i="35"/>
  <c r="T297" i="34"/>
  <c r="I299" i="34"/>
  <c r="J299" i="34"/>
  <c r="L299" i="34"/>
  <c r="K299" i="34"/>
  <c r="H300" i="34"/>
  <c r="T294" i="31"/>
  <c r="U295" i="31" s="1"/>
  <c r="K297" i="31"/>
  <c r="L297" i="31"/>
  <c r="J297" i="31"/>
  <c r="I297" i="31"/>
  <c r="G297" i="35" l="1"/>
  <c r="W298" i="35"/>
  <c r="V298" i="35"/>
  <c r="Y298" i="35"/>
  <c r="X298" i="35"/>
  <c r="U299" i="35"/>
  <c r="G300" i="34"/>
  <c r="X297" i="34"/>
  <c r="W297" i="34"/>
  <c r="V297" i="34"/>
  <c r="Y297" i="34"/>
  <c r="U298" i="34"/>
  <c r="X294" i="31"/>
  <c r="Y294" i="31"/>
  <c r="W294" i="31"/>
  <c r="V294" i="31"/>
  <c r="G298" i="31"/>
  <c r="H299" i="31" s="1"/>
  <c r="T299" i="35" l="1"/>
  <c r="L297" i="35"/>
  <c r="J297" i="35"/>
  <c r="I297" i="35"/>
  <c r="K297" i="35"/>
  <c r="H298" i="35"/>
  <c r="K300" i="34"/>
  <c r="J300" i="34"/>
  <c r="I300" i="34"/>
  <c r="L300" i="34"/>
  <c r="T298" i="34"/>
  <c r="H301" i="34"/>
  <c r="K298" i="31"/>
  <c r="L298" i="31"/>
  <c r="I298" i="31"/>
  <c r="J298" i="31"/>
  <c r="T295" i="31"/>
  <c r="U296" i="31" s="1"/>
  <c r="G298" i="35" l="1"/>
  <c r="W299" i="35"/>
  <c r="V299" i="35"/>
  <c r="Y299" i="35"/>
  <c r="X299" i="35"/>
  <c r="U300" i="35"/>
  <c r="Y298" i="34"/>
  <c r="X298" i="34"/>
  <c r="W298" i="34"/>
  <c r="V298" i="34"/>
  <c r="U299" i="34"/>
  <c r="G301" i="34"/>
  <c r="H302" i="34" s="1"/>
  <c r="T296" i="31"/>
  <c r="U297" i="31" s="1"/>
  <c r="G299" i="31"/>
  <c r="H300" i="31" s="1"/>
  <c r="X295" i="31"/>
  <c r="Y295" i="31"/>
  <c r="W295" i="31"/>
  <c r="V295" i="31"/>
  <c r="T300" i="35" l="1"/>
  <c r="L298" i="35"/>
  <c r="J298" i="35"/>
  <c r="K298" i="35"/>
  <c r="I298" i="35"/>
  <c r="H299" i="35"/>
  <c r="G302" i="34"/>
  <c r="L301" i="34"/>
  <c r="K301" i="34"/>
  <c r="J301" i="34"/>
  <c r="I301" i="34"/>
  <c r="T299" i="34"/>
  <c r="K299" i="31"/>
  <c r="L299" i="31"/>
  <c r="J299" i="31"/>
  <c r="I299" i="31"/>
  <c r="X296" i="31"/>
  <c r="V296" i="31"/>
  <c r="W296" i="31"/>
  <c r="Y296" i="31"/>
  <c r="G299" i="35" l="1"/>
  <c r="W300" i="35"/>
  <c r="V300" i="35"/>
  <c r="X300" i="35"/>
  <c r="Y300" i="35"/>
  <c r="U301" i="35"/>
  <c r="Y299" i="34"/>
  <c r="X299" i="34"/>
  <c r="W299" i="34"/>
  <c r="V299" i="34"/>
  <c r="L302" i="34"/>
  <c r="K302" i="34"/>
  <c r="J302" i="34"/>
  <c r="I302" i="34"/>
  <c r="U300" i="34"/>
  <c r="H303" i="34"/>
  <c r="G300" i="31"/>
  <c r="H301" i="31" s="1"/>
  <c r="T297" i="31"/>
  <c r="U298" i="31" s="1"/>
  <c r="T301" i="35" l="1"/>
  <c r="L299" i="35"/>
  <c r="J299" i="35"/>
  <c r="I299" i="35"/>
  <c r="K299" i="35"/>
  <c r="H300" i="35"/>
  <c r="G303" i="34"/>
  <c r="T300" i="34"/>
  <c r="T298" i="31"/>
  <c r="U299" i="31" s="1"/>
  <c r="X297" i="31"/>
  <c r="V297" i="31"/>
  <c r="Y297" i="31"/>
  <c r="W297" i="31"/>
  <c r="K300" i="31"/>
  <c r="L300" i="31"/>
  <c r="J300" i="31"/>
  <c r="I300" i="31"/>
  <c r="G300" i="35" l="1"/>
  <c r="W301" i="35"/>
  <c r="V301" i="35"/>
  <c r="X301" i="35"/>
  <c r="Y301" i="35"/>
  <c r="U302" i="35"/>
  <c r="Y300" i="34"/>
  <c r="X300" i="34"/>
  <c r="W300" i="34"/>
  <c r="V300" i="34"/>
  <c r="U301" i="34"/>
  <c r="L303" i="34"/>
  <c r="K303" i="34"/>
  <c r="J303" i="34"/>
  <c r="I303" i="34"/>
  <c r="H304" i="34"/>
  <c r="G301" i="31"/>
  <c r="H302" i="31" s="1"/>
  <c r="X298" i="31"/>
  <c r="V298" i="31"/>
  <c r="Y298" i="31"/>
  <c r="W298" i="31"/>
  <c r="T302" i="35" l="1"/>
  <c r="L300" i="35"/>
  <c r="J300" i="35"/>
  <c r="K300" i="35"/>
  <c r="I300" i="35"/>
  <c r="H301" i="35"/>
  <c r="G304" i="34"/>
  <c r="T301" i="34"/>
  <c r="T299" i="31"/>
  <c r="U300" i="31" s="1"/>
  <c r="K301" i="31"/>
  <c r="L301" i="31"/>
  <c r="I301" i="31"/>
  <c r="J301" i="31"/>
  <c r="G301" i="35" l="1"/>
  <c r="W302" i="35"/>
  <c r="V302" i="35"/>
  <c r="X302" i="35"/>
  <c r="Y302" i="35"/>
  <c r="U303" i="35"/>
  <c r="Y301" i="34"/>
  <c r="X301" i="34"/>
  <c r="W301" i="34"/>
  <c r="V301" i="34"/>
  <c r="U302" i="34"/>
  <c r="K304" i="34"/>
  <c r="J304" i="34"/>
  <c r="I304" i="34"/>
  <c r="L304" i="34"/>
  <c r="H305" i="34"/>
  <c r="G302" i="31"/>
  <c r="H303" i="31" s="1"/>
  <c r="X299" i="31"/>
  <c r="V299" i="31"/>
  <c r="W299" i="31"/>
  <c r="Y299" i="31"/>
  <c r="T303" i="35" l="1"/>
  <c r="L301" i="35"/>
  <c r="J301" i="35"/>
  <c r="I301" i="35"/>
  <c r="K301" i="35"/>
  <c r="H302" i="35"/>
  <c r="G305" i="34"/>
  <c r="T302" i="34"/>
  <c r="T300" i="31"/>
  <c r="U301" i="31" s="1"/>
  <c r="K302" i="31"/>
  <c r="L302" i="31"/>
  <c r="J302" i="31"/>
  <c r="I302" i="31"/>
  <c r="G302" i="35" l="1"/>
  <c r="W303" i="35"/>
  <c r="V303" i="35"/>
  <c r="X303" i="35"/>
  <c r="Y303" i="35"/>
  <c r="U304" i="35"/>
  <c r="X302" i="34"/>
  <c r="W302" i="34"/>
  <c r="V302" i="34"/>
  <c r="Y302" i="34"/>
  <c r="U303" i="34"/>
  <c r="L305" i="34"/>
  <c r="K305" i="34"/>
  <c r="J305" i="34"/>
  <c r="I305" i="34"/>
  <c r="H306" i="34"/>
  <c r="G303" i="31"/>
  <c r="H304" i="31" s="1"/>
  <c r="X300" i="31"/>
  <c r="V300" i="31"/>
  <c r="Y300" i="31"/>
  <c r="W300" i="31"/>
  <c r="T304" i="35" l="1"/>
  <c r="L302" i="35"/>
  <c r="J302" i="35"/>
  <c r="K302" i="35"/>
  <c r="I302" i="35"/>
  <c r="H303" i="35"/>
  <c r="G306" i="34"/>
  <c r="T303" i="34"/>
  <c r="U304" i="34" s="1"/>
  <c r="T301" i="31"/>
  <c r="U302" i="31" s="1"/>
  <c r="K303" i="31"/>
  <c r="L303" i="31"/>
  <c r="J303" i="31"/>
  <c r="I303" i="31"/>
  <c r="G303" i="35" l="1"/>
  <c r="W304" i="35"/>
  <c r="V304" i="35"/>
  <c r="X304" i="35"/>
  <c r="Y304" i="35"/>
  <c r="U305" i="35"/>
  <c r="T304" i="34"/>
  <c r="X303" i="34"/>
  <c r="Y303" i="34"/>
  <c r="W303" i="34"/>
  <c r="V303" i="34"/>
  <c r="L306" i="34"/>
  <c r="K306" i="34"/>
  <c r="J306" i="34"/>
  <c r="I306" i="34"/>
  <c r="H307" i="34"/>
  <c r="G304" i="31"/>
  <c r="H305" i="31" s="1"/>
  <c r="X301" i="31"/>
  <c r="V301" i="31"/>
  <c r="Y301" i="31"/>
  <c r="W301" i="31"/>
  <c r="T305" i="35" l="1"/>
  <c r="L303" i="35"/>
  <c r="J303" i="35"/>
  <c r="K303" i="35"/>
  <c r="I303" i="35"/>
  <c r="H304" i="35"/>
  <c r="G307" i="34"/>
  <c r="X304" i="34"/>
  <c r="Y304" i="34"/>
  <c r="W304" i="34"/>
  <c r="V304" i="34"/>
  <c r="U305" i="34"/>
  <c r="T302" i="31"/>
  <c r="U303" i="31" s="1"/>
  <c r="K304" i="31"/>
  <c r="J304" i="31"/>
  <c r="L304" i="31"/>
  <c r="I304" i="31"/>
  <c r="G304" i="35" l="1"/>
  <c r="W305" i="35"/>
  <c r="V305" i="35"/>
  <c r="X305" i="35"/>
  <c r="Y305" i="35"/>
  <c r="U306" i="35"/>
  <c r="T305" i="34"/>
  <c r="K307" i="34"/>
  <c r="J307" i="34"/>
  <c r="I307" i="34"/>
  <c r="L307" i="34"/>
  <c r="H308" i="34"/>
  <c r="G305" i="31"/>
  <c r="H306" i="31" s="1"/>
  <c r="X302" i="31"/>
  <c r="V302" i="31"/>
  <c r="W302" i="31"/>
  <c r="Y302" i="31"/>
  <c r="T306" i="35" l="1"/>
  <c r="L304" i="35"/>
  <c r="J304" i="35"/>
  <c r="K304" i="35"/>
  <c r="I304" i="35"/>
  <c r="H305" i="35"/>
  <c r="G308" i="34"/>
  <c r="X305" i="34"/>
  <c r="W305" i="34"/>
  <c r="V305" i="34"/>
  <c r="Y305" i="34"/>
  <c r="U306" i="34"/>
  <c r="T303" i="31"/>
  <c r="U304" i="31" s="1"/>
  <c r="K305" i="31"/>
  <c r="L305" i="31"/>
  <c r="J305" i="31"/>
  <c r="I305" i="31"/>
  <c r="G305" i="35" l="1"/>
  <c r="W306" i="35"/>
  <c r="V306" i="35"/>
  <c r="X306" i="35"/>
  <c r="Y306" i="35"/>
  <c r="U307" i="35"/>
  <c r="T306" i="34"/>
  <c r="L308" i="34"/>
  <c r="K308" i="34"/>
  <c r="J308" i="34"/>
  <c r="I308" i="34"/>
  <c r="H309" i="34"/>
  <c r="G306" i="31"/>
  <c r="H307" i="31" s="1"/>
  <c r="X303" i="31"/>
  <c r="V303" i="31"/>
  <c r="Y303" i="31"/>
  <c r="W303" i="31"/>
  <c r="T307" i="35" l="1"/>
  <c r="L305" i="35"/>
  <c r="J305" i="35"/>
  <c r="K305" i="35"/>
  <c r="I305" i="35"/>
  <c r="H306" i="35"/>
  <c r="G309" i="34"/>
  <c r="X306" i="34"/>
  <c r="Y306" i="34"/>
  <c r="W306" i="34"/>
  <c r="V306" i="34"/>
  <c r="U307" i="34"/>
  <c r="T304" i="31"/>
  <c r="U305" i="31" s="1"/>
  <c r="K306" i="31"/>
  <c r="J306" i="31"/>
  <c r="L306" i="31"/>
  <c r="I306" i="31"/>
  <c r="G306" i="35" l="1"/>
  <c r="W307" i="35"/>
  <c r="V307" i="35"/>
  <c r="X307" i="35"/>
  <c r="Y307" i="35"/>
  <c r="U308" i="35"/>
  <c r="T307" i="34"/>
  <c r="L309" i="34"/>
  <c r="K309" i="34"/>
  <c r="J309" i="34"/>
  <c r="I309" i="34"/>
  <c r="H310" i="34"/>
  <c r="G307" i="31"/>
  <c r="H308" i="31" s="1"/>
  <c r="X304" i="31"/>
  <c r="V304" i="31"/>
  <c r="Y304" i="31"/>
  <c r="W304" i="31"/>
  <c r="T308" i="35" l="1"/>
  <c r="U309" i="35" s="1"/>
  <c r="L306" i="35"/>
  <c r="J306" i="35"/>
  <c r="I306" i="35"/>
  <c r="K306" i="35"/>
  <c r="H307" i="35"/>
  <c r="G310" i="34"/>
  <c r="X307" i="34"/>
  <c r="Y307" i="34"/>
  <c r="W307" i="34"/>
  <c r="V307" i="34"/>
  <c r="U308" i="34"/>
  <c r="T305" i="31"/>
  <c r="U306" i="31" s="1"/>
  <c r="K307" i="31"/>
  <c r="L307" i="31"/>
  <c r="J307" i="31"/>
  <c r="I307" i="31"/>
  <c r="G307" i="35" l="1"/>
  <c r="W308" i="35"/>
  <c r="V308" i="35"/>
  <c r="X308" i="35"/>
  <c r="Y308" i="35"/>
  <c r="T309" i="35"/>
  <c r="U310" i="35" s="1"/>
  <c r="T308" i="34"/>
  <c r="K310" i="34"/>
  <c r="J310" i="34"/>
  <c r="I310" i="34"/>
  <c r="L310" i="34"/>
  <c r="H311" i="34"/>
  <c r="G308" i="31"/>
  <c r="H309" i="31" s="1"/>
  <c r="X305" i="31"/>
  <c r="V305" i="31"/>
  <c r="W305" i="31"/>
  <c r="Y305" i="31"/>
  <c r="T310" i="35" l="1"/>
  <c r="W309" i="35"/>
  <c r="V309" i="35"/>
  <c r="X309" i="35"/>
  <c r="Y309" i="35"/>
  <c r="L307" i="35"/>
  <c r="J307" i="35"/>
  <c r="I307" i="35"/>
  <c r="K307" i="35"/>
  <c r="H308" i="35"/>
  <c r="G311" i="34"/>
  <c r="X308" i="34"/>
  <c r="W308" i="34"/>
  <c r="V308" i="34"/>
  <c r="Y308" i="34"/>
  <c r="U309" i="34"/>
  <c r="T306" i="31"/>
  <c r="U307" i="31" s="1"/>
  <c r="K308" i="31"/>
  <c r="L308" i="31"/>
  <c r="J308" i="31"/>
  <c r="I308" i="31"/>
  <c r="G308" i="35" l="1"/>
  <c r="W310" i="35"/>
  <c r="V310" i="35"/>
  <c r="X310" i="35"/>
  <c r="Y310" i="35"/>
  <c r="U311" i="35"/>
  <c r="T309" i="34"/>
  <c r="L311" i="34"/>
  <c r="K311" i="34"/>
  <c r="J311" i="34"/>
  <c r="I311" i="34"/>
  <c r="H312" i="34"/>
  <c r="G309" i="31"/>
  <c r="H310" i="31" s="1"/>
  <c r="X306" i="31"/>
  <c r="V306" i="31"/>
  <c r="Y306" i="31"/>
  <c r="W306" i="31"/>
  <c r="T311" i="35" l="1"/>
  <c r="L308" i="35"/>
  <c r="J308" i="35"/>
  <c r="I308" i="35"/>
  <c r="K308" i="35"/>
  <c r="H309" i="35"/>
  <c r="G312" i="34"/>
  <c r="X309" i="34"/>
  <c r="Y309" i="34"/>
  <c r="W309" i="34"/>
  <c r="V309" i="34"/>
  <c r="U310" i="34"/>
  <c r="T307" i="31"/>
  <c r="U308" i="31" s="1"/>
  <c r="K309" i="31"/>
  <c r="I309" i="31"/>
  <c r="L309" i="31"/>
  <c r="J309" i="31"/>
  <c r="G309" i="35" l="1"/>
  <c r="W311" i="35"/>
  <c r="V311" i="35"/>
  <c r="X311" i="35"/>
  <c r="Y311" i="35"/>
  <c r="U312" i="35"/>
  <c r="T310" i="34"/>
  <c r="L312" i="34"/>
  <c r="K312" i="34"/>
  <c r="I312" i="34"/>
  <c r="J312" i="34"/>
  <c r="H313" i="34"/>
  <c r="G310" i="31"/>
  <c r="H311" i="31" s="1"/>
  <c r="X307" i="31"/>
  <c r="V307" i="31"/>
  <c r="W307" i="31"/>
  <c r="Y307" i="31"/>
  <c r="T312" i="35" l="1"/>
  <c r="L309" i="35"/>
  <c r="J309" i="35"/>
  <c r="I309" i="35"/>
  <c r="K309" i="35"/>
  <c r="H310" i="35"/>
  <c r="G313" i="34"/>
  <c r="X310" i="34"/>
  <c r="Y310" i="34"/>
  <c r="W310" i="34"/>
  <c r="V310" i="34"/>
  <c r="U311" i="34"/>
  <c r="T308" i="31"/>
  <c r="U309" i="31" s="1"/>
  <c r="K310" i="31"/>
  <c r="L310" i="31"/>
  <c r="J310" i="31"/>
  <c r="I310" i="31"/>
  <c r="G310" i="35" l="1"/>
  <c r="W312" i="35"/>
  <c r="V312" i="35"/>
  <c r="X312" i="35"/>
  <c r="Y312" i="35"/>
  <c r="U313" i="35"/>
  <c r="T311" i="34"/>
  <c r="L313" i="34"/>
  <c r="K313" i="34"/>
  <c r="J313" i="34"/>
  <c r="I313" i="34"/>
  <c r="H314" i="34"/>
  <c r="G311" i="31"/>
  <c r="H312" i="31" s="1"/>
  <c r="X308" i="31"/>
  <c r="V308" i="31"/>
  <c r="Y308" i="31"/>
  <c r="W308" i="31"/>
  <c r="T313" i="35" l="1"/>
  <c r="L310" i="35"/>
  <c r="J310" i="35"/>
  <c r="I310" i="35"/>
  <c r="K310" i="35"/>
  <c r="H311" i="35"/>
  <c r="G314" i="34"/>
  <c r="X311" i="34"/>
  <c r="W311" i="34"/>
  <c r="V311" i="34"/>
  <c r="Y311" i="34"/>
  <c r="U312" i="34"/>
  <c r="L311" i="31"/>
  <c r="K311" i="31"/>
  <c r="I311" i="31"/>
  <c r="J311" i="31"/>
  <c r="T309" i="31"/>
  <c r="U310" i="31" s="1"/>
  <c r="G311" i="35" l="1"/>
  <c r="W313" i="35"/>
  <c r="V313" i="35"/>
  <c r="X313" i="35"/>
  <c r="Y313" i="35"/>
  <c r="U314" i="35"/>
  <c r="T312" i="34"/>
  <c r="L314" i="34"/>
  <c r="K314" i="34"/>
  <c r="J314" i="34"/>
  <c r="I314" i="34"/>
  <c r="H315" i="34"/>
  <c r="T310" i="31"/>
  <c r="U311" i="31" s="1"/>
  <c r="G312" i="31"/>
  <c r="H313" i="31" s="1"/>
  <c r="X309" i="31"/>
  <c r="V309" i="31"/>
  <c r="W309" i="31"/>
  <c r="Y309" i="31"/>
  <c r="T314" i="35" l="1"/>
  <c r="L311" i="35"/>
  <c r="J311" i="35"/>
  <c r="I311" i="35"/>
  <c r="K311" i="35"/>
  <c r="H312" i="35"/>
  <c r="G315" i="34"/>
  <c r="X312" i="34"/>
  <c r="Y312" i="34"/>
  <c r="W312" i="34"/>
  <c r="V312" i="34"/>
  <c r="U313" i="34"/>
  <c r="L312" i="31"/>
  <c r="K312" i="31"/>
  <c r="J312" i="31"/>
  <c r="I312" i="31"/>
  <c r="X310" i="31"/>
  <c r="V310" i="31"/>
  <c r="Y310" i="31"/>
  <c r="W310" i="31"/>
  <c r="G312" i="35" l="1"/>
  <c r="W314" i="35"/>
  <c r="V314" i="35"/>
  <c r="X314" i="35"/>
  <c r="Y314" i="35"/>
  <c r="U315" i="35"/>
  <c r="T313" i="34"/>
  <c r="J315" i="34"/>
  <c r="I315" i="34"/>
  <c r="K315" i="34"/>
  <c r="L315" i="34"/>
  <c r="H316" i="34"/>
  <c r="T311" i="31"/>
  <c r="U312" i="31" s="1"/>
  <c r="G313" i="31"/>
  <c r="H314" i="31" s="1"/>
  <c r="T315" i="35" l="1"/>
  <c r="L312" i="35"/>
  <c r="J312" i="35"/>
  <c r="I312" i="35"/>
  <c r="K312" i="35"/>
  <c r="H313" i="35"/>
  <c r="G316" i="34"/>
  <c r="X313" i="34"/>
  <c r="V313" i="34"/>
  <c r="Y313" i="34"/>
  <c r="W313" i="34"/>
  <c r="U314" i="34"/>
  <c r="L313" i="31"/>
  <c r="K313" i="31"/>
  <c r="I313" i="31"/>
  <c r="J313" i="31"/>
  <c r="X311" i="31"/>
  <c r="V311" i="31"/>
  <c r="Y311" i="31"/>
  <c r="W311" i="31"/>
  <c r="G313" i="35" l="1"/>
  <c r="W315" i="35"/>
  <c r="V315" i="35"/>
  <c r="X315" i="35"/>
  <c r="Y315" i="35"/>
  <c r="U316" i="35"/>
  <c r="T314" i="34"/>
  <c r="L316" i="34"/>
  <c r="K316" i="34"/>
  <c r="J316" i="34"/>
  <c r="I316" i="34"/>
  <c r="H317" i="34"/>
  <c r="G314" i="31"/>
  <c r="H315" i="31" s="1"/>
  <c r="T312" i="31"/>
  <c r="U313" i="31" s="1"/>
  <c r="T316" i="35" l="1"/>
  <c r="L313" i="35"/>
  <c r="J313" i="35"/>
  <c r="I313" i="35"/>
  <c r="K313" i="35"/>
  <c r="H314" i="35"/>
  <c r="G317" i="34"/>
  <c r="X314" i="34"/>
  <c r="Y314" i="34"/>
  <c r="W314" i="34"/>
  <c r="V314" i="34"/>
  <c r="U315" i="34"/>
  <c r="T313" i="31"/>
  <c r="U314" i="31" s="1"/>
  <c r="X312" i="31"/>
  <c r="V312" i="31"/>
  <c r="Y312" i="31"/>
  <c r="W312" i="31"/>
  <c r="L314" i="31"/>
  <c r="K314" i="31"/>
  <c r="J314" i="31"/>
  <c r="I314" i="31"/>
  <c r="G314" i="35" l="1"/>
  <c r="H315" i="35" s="1"/>
  <c r="W316" i="35"/>
  <c r="V316" i="35"/>
  <c r="X316" i="35"/>
  <c r="Y316" i="35"/>
  <c r="U317" i="35"/>
  <c r="T315" i="34"/>
  <c r="L317" i="34"/>
  <c r="I317" i="34"/>
  <c r="K317" i="34"/>
  <c r="J317" i="34"/>
  <c r="H318" i="34"/>
  <c r="G315" i="31"/>
  <c r="H316" i="31" s="1"/>
  <c r="X313" i="31"/>
  <c r="V313" i="31"/>
  <c r="Y313" i="31"/>
  <c r="W313" i="31"/>
  <c r="G315" i="35" l="1"/>
  <c r="T317" i="35"/>
  <c r="L314" i="35"/>
  <c r="J314" i="35"/>
  <c r="I314" i="35"/>
  <c r="K314" i="35"/>
  <c r="G318" i="34"/>
  <c r="X315" i="34"/>
  <c r="Y315" i="34"/>
  <c r="W315" i="34"/>
  <c r="V315" i="34"/>
  <c r="U316" i="34"/>
  <c r="T314" i="31"/>
  <c r="U315" i="31" s="1"/>
  <c r="L315" i="31"/>
  <c r="K315" i="31"/>
  <c r="I315" i="31"/>
  <c r="J315" i="31"/>
  <c r="W317" i="35" l="1"/>
  <c r="V317" i="35"/>
  <c r="X317" i="35"/>
  <c r="Y317" i="35"/>
  <c r="U318" i="35"/>
  <c r="L315" i="35"/>
  <c r="J315" i="35"/>
  <c r="I315" i="35"/>
  <c r="K315" i="35"/>
  <c r="H316" i="35"/>
  <c r="T316" i="34"/>
  <c r="U317" i="34" s="1"/>
  <c r="L318" i="34"/>
  <c r="K318" i="34"/>
  <c r="J318" i="34"/>
  <c r="I318" i="34"/>
  <c r="H319" i="34"/>
  <c r="G316" i="31"/>
  <c r="H317" i="31" s="1"/>
  <c r="X314" i="31"/>
  <c r="V314" i="31"/>
  <c r="Y314" i="31"/>
  <c r="W314" i="31"/>
  <c r="T318" i="35" l="1"/>
  <c r="G316" i="35"/>
  <c r="G319" i="34"/>
  <c r="X316" i="34"/>
  <c r="Y316" i="34"/>
  <c r="W316" i="34"/>
  <c r="V316" i="34"/>
  <c r="T317" i="34"/>
  <c r="L316" i="31"/>
  <c r="K316" i="31"/>
  <c r="J316" i="31"/>
  <c r="I316" i="31"/>
  <c r="T315" i="31"/>
  <c r="U316" i="31" s="1"/>
  <c r="L316" i="35" l="1"/>
  <c r="J316" i="35"/>
  <c r="I316" i="35"/>
  <c r="K316" i="35"/>
  <c r="H317" i="35"/>
  <c r="W318" i="35"/>
  <c r="V318" i="35"/>
  <c r="X318" i="35"/>
  <c r="Y318" i="35"/>
  <c r="U319" i="35"/>
  <c r="X317" i="34"/>
  <c r="Y317" i="34"/>
  <c r="W317" i="34"/>
  <c r="V317" i="34"/>
  <c r="U318" i="34"/>
  <c r="L319" i="34"/>
  <c r="K319" i="34"/>
  <c r="J319" i="34"/>
  <c r="I319" i="34"/>
  <c r="H320" i="34"/>
  <c r="G317" i="31"/>
  <c r="H318" i="31" s="1"/>
  <c r="X315" i="31"/>
  <c r="V315" i="31"/>
  <c r="Y315" i="31"/>
  <c r="W315" i="31"/>
  <c r="T319" i="35" l="1"/>
  <c r="G317" i="35"/>
  <c r="T318" i="34"/>
  <c r="G320" i="34"/>
  <c r="T316" i="31"/>
  <c r="U317" i="31" s="1"/>
  <c r="L317" i="31"/>
  <c r="K317" i="31"/>
  <c r="I317" i="31"/>
  <c r="J317" i="31"/>
  <c r="L317" i="35" l="1"/>
  <c r="J317" i="35"/>
  <c r="I317" i="35"/>
  <c r="K317" i="35"/>
  <c r="H318" i="35"/>
  <c r="W319" i="35"/>
  <c r="V319" i="35"/>
  <c r="X319" i="35"/>
  <c r="Y319" i="35"/>
  <c r="U320" i="35"/>
  <c r="K320" i="34"/>
  <c r="J320" i="34"/>
  <c r="I320" i="34"/>
  <c r="L320" i="34"/>
  <c r="H321" i="34"/>
  <c r="X318" i="34"/>
  <c r="V318" i="34"/>
  <c r="W318" i="34"/>
  <c r="Y318" i="34"/>
  <c r="U319" i="34"/>
  <c r="G318" i="31"/>
  <c r="H319" i="31" s="1"/>
  <c r="X316" i="31"/>
  <c r="V316" i="31"/>
  <c r="Y316" i="31"/>
  <c r="W316" i="31"/>
  <c r="T320" i="35" l="1"/>
  <c r="G318" i="35"/>
  <c r="G321" i="34"/>
  <c r="T319" i="34"/>
  <c r="T317" i="31"/>
  <c r="U318" i="31" s="1"/>
  <c r="L318" i="31"/>
  <c r="K318" i="31"/>
  <c r="J318" i="31"/>
  <c r="I318" i="31"/>
  <c r="L318" i="35" l="1"/>
  <c r="J318" i="35"/>
  <c r="I318" i="35"/>
  <c r="K318" i="35"/>
  <c r="H319" i="35"/>
  <c r="W320" i="35"/>
  <c r="V320" i="35"/>
  <c r="X320" i="35"/>
  <c r="Y320" i="35"/>
  <c r="U321" i="35"/>
  <c r="X319" i="34"/>
  <c r="Y319" i="34"/>
  <c r="W319" i="34"/>
  <c r="V319" i="34"/>
  <c r="U320" i="34"/>
  <c r="L321" i="34"/>
  <c r="K321" i="34"/>
  <c r="J321" i="34"/>
  <c r="I321" i="34"/>
  <c r="H322" i="34"/>
  <c r="G319" i="31"/>
  <c r="H320" i="31" s="1"/>
  <c r="X317" i="31"/>
  <c r="V317" i="31"/>
  <c r="Y317" i="31"/>
  <c r="W317" i="31"/>
  <c r="T321" i="35" l="1"/>
  <c r="G319" i="35"/>
  <c r="T320" i="34"/>
  <c r="G322" i="34"/>
  <c r="T318" i="31"/>
  <c r="U319" i="31" s="1"/>
  <c r="L319" i="31"/>
  <c r="K319" i="31"/>
  <c r="I319" i="31"/>
  <c r="J319" i="31"/>
  <c r="L319" i="35" l="1"/>
  <c r="J319" i="35"/>
  <c r="I319" i="35"/>
  <c r="K319" i="35"/>
  <c r="H320" i="35"/>
  <c r="W321" i="35"/>
  <c r="V321" i="35"/>
  <c r="X321" i="35"/>
  <c r="Y321" i="35"/>
  <c r="U322" i="35"/>
  <c r="I322" i="34"/>
  <c r="J322" i="34"/>
  <c r="L322" i="34"/>
  <c r="K322" i="34"/>
  <c r="H323" i="34"/>
  <c r="X320" i="34"/>
  <c r="Y320" i="34"/>
  <c r="W320" i="34"/>
  <c r="V320" i="34"/>
  <c r="U321" i="34"/>
  <c r="G320" i="31"/>
  <c r="H321" i="31" s="1"/>
  <c r="X318" i="31"/>
  <c r="V318" i="31"/>
  <c r="Y318" i="31"/>
  <c r="W318" i="31"/>
  <c r="G320" i="35" l="1"/>
  <c r="T322" i="35"/>
  <c r="G323" i="34"/>
  <c r="T321" i="34"/>
  <c r="T319" i="31"/>
  <c r="U320" i="31" s="1"/>
  <c r="L320" i="31"/>
  <c r="K320" i="31"/>
  <c r="J320" i="31"/>
  <c r="I320" i="31"/>
  <c r="W322" i="35" l="1"/>
  <c r="V322" i="35"/>
  <c r="X322" i="35"/>
  <c r="Y322" i="35"/>
  <c r="U323" i="35"/>
  <c r="L320" i="35"/>
  <c r="J320" i="35"/>
  <c r="I320" i="35"/>
  <c r="K320" i="35"/>
  <c r="H321" i="35"/>
  <c r="X321" i="34"/>
  <c r="Y321" i="34"/>
  <c r="W321" i="34"/>
  <c r="V321" i="34"/>
  <c r="U322" i="34"/>
  <c r="L323" i="34"/>
  <c r="K323" i="34"/>
  <c r="J323" i="34"/>
  <c r="I323" i="34"/>
  <c r="H324" i="34"/>
  <c r="G321" i="31"/>
  <c r="H322" i="31" s="1"/>
  <c r="X319" i="31"/>
  <c r="V319" i="31"/>
  <c r="Y319" i="31"/>
  <c r="W319" i="31"/>
  <c r="G321" i="35" l="1"/>
  <c r="T323" i="35"/>
  <c r="T322" i="34"/>
  <c r="G324" i="34"/>
  <c r="T320" i="31"/>
  <c r="U321" i="31" s="1"/>
  <c r="L321" i="31"/>
  <c r="K321" i="31"/>
  <c r="I321" i="31"/>
  <c r="J321" i="31"/>
  <c r="W323" i="35" l="1"/>
  <c r="V323" i="35"/>
  <c r="X323" i="35"/>
  <c r="Y323" i="35"/>
  <c r="U324" i="35"/>
  <c r="L321" i="35"/>
  <c r="J321" i="35"/>
  <c r="I321" i="35"/>
  <c r="K321" i="35"/>
  <c r="H322" i="35"/>
  <c r="L324" i="34"/>
  <c r="K324" i="34"/>
  <c r="J324" i="34"/>
  <c r="I324" i="34"/>
  <c r="H325" i="34"/>
  <c r="X322" i="34"/>
  <c r="Y322" i="34"/>
  <c r="W322" i="34"/>
  <c r="V322" i="34"/>
  <c r="U323" i="34"/>
  <c r="G322" i="31"/>
  <c r="H323" i="31" s="1"/>
  <c r="X320" i="31"/>
  <c r="V320" i="31"/>
  <c r="Y320" i="31"/>
  <c r="W320" i="31"/>
  <c r="G322" i="35" l="1"/>
  <c r="T324" i="35"/>
  <c r="T323" i="34"/>
  <c r="G325" i="34"/>
  <c r="T321" i="31"/>
  <c r="U322" i="31" s="1"/>
  <c r="L322" i="31"/>
  <c r="K322" i="31"/>
  <c r="J322" i="31"/>
  <c r="I322" i="31"/>
  <c r="W324" i="35" l="1"/>
  <c r="V324" i="35"/>
  <c r="X324" i="35"/>
  <c r="Y324" i="35"/>
  <c r="U325" i="35"/>
  <c r="L322" i="35"/>
  <c r="J322" i="35"/>
  <c r="I322" i="35"/>
  <c r="K322" i="35"/>
  <c r="H323" i="35"/>
  <c r="L325" i="34"/>
  <c r="K325" i="34"/>
  <c r="J325" i="34"/>
  <c r="I325" i="34"/>
  <c r="H326" i="34"/>
  <c r="X323" i="34"/>
  <c r="W323" i="34"/>
  <c r="V323" i="34"/>
  <c r="Y323" i="34"/>
  <c r="U324" i="34"/>
  <c r="G323" i="31"/>
  <c r="H324" i="31" s="1"/>
  <c r="X321" i="31"/>
  <c r="V321" i="31"/>
  <c r="Y321" i="31"/>
  <c r="W321" i="31"/>
  <c r="G323" i="35" l="1"/>
  <c r="T325" i="35"/>
  <c r="G326" i="34"/>
  <c r="T324" i="34"/>
  <c r="T322" i="31"/>
  <c r="U323" i="31" s="1"/>
  <c r="L323" i="31"/>
  <c r="K323" i="31"/>
  <c r="I323" i="31"/>
  <c r="J323" i="31"/>
  <c r="W325" i="35" l="1"/>
  <c r="V325" i="35"/>
  <c r="X325" i="35"/>
  <c r="Y325" i="35"/>
  <c r="U326" i="35"/>
  <c r="L323" i="35"/>
  <c r="J323" i="35"/>
  <c r="I323" i="35"/>
  <c r="K323" i="35"/>
  <c r="H324" i="35"/>
  <c r="X324" i="34"/>
  <c r="W324" i="34"/>
  <c r="Y324" i="34"/>
  <c r="V324" i="34"/>
  <c r="U325" i="34"/>
  <c r="K326" i="34"/>
  <c r="L326" i="34"/>
  <c r="J326" i="34"/>
  <c r="I326" i="34"/>
  <c r="H327" i="34"/>
  <c r="G324" i="31"/>
  <c r="H325" i="31" s="1"/>
  <c r="X322" i="31"/>
  <c r="V322" i="31"/>
  <c r="Y322" i="31"/>
  <c r="W322" i="31"/>
  <c r="G324" i="35" l="1"/>
  <c r="T326" i="35"/>
  <c r="T325" i="34"/>
  <c r="G327" i="34"/>
  <c r="T323" i="31"/>
  <c r="U324" i="31" s="1"/>
  <c r="L324" i="31"/>
  <c r="K324" i="31"/>
  <c r="J324" i="31"/>
  <c r="I324" i="31"/>
  <c r="X326" i="35" l="1"/>
  <c r="W326" i="35"/>
  <c r="Y326" i="35"/>
  <c r="V326" i="35"/>
  <c r="U327" i="35"/>
  <c r="L324" i="35"/>
  <c r="J324" i="35"/>
  <c r="I324" i="35"/>
  <c r="K324" i="35"/>
  <c r="H325" i="35"/>
  <c r="I327" i="34"/>
  <c r="K327" i="34"/>
  <c r="L327" i="34"/>
  <c r="J327" i="34"/>
  <c r="H328" i="34"/>
  <c r="X325" i="34"/>
  <c r="W325" i="34"/>
  <c r="V325" i="34"/>
  <c r="Y325" i="34"/>
  <c r="U326" i="34"/>
  <c r="G325" i="31"/>
  <c r="H326" i="31" s="1"/>
  <c r="X323" i="31"/>
  <c r="V323" i="31"/>
  <c r="Y323" i="31"/>
  <c r="W323" i="31"/>
  <c r="T327" i="35" l="1"/>
  <c r="G325" i="35"/>
  <c r="G328" i="34"/>
  <c r="T326" i="34"/>
  <c r="T324" i="31"/>
  <c r="U325" i="31" s="1"/>
  <c r="L325" i="31"/>
  <c r="K325" i="31"/>
  <c r="I325" i="31"/>
  <c r="J325" i="31"/>
  <c r="L325" i="35" l="1"/>
  <c r="J325" i="35"/>
  <c r="I325" i="35"/>
  <c r="K325" i="35"/>
  <c r="H326" i="35"/>
  <c r="Y327" i="35"/>
  <c r="W327" i="35"/>
  <c r="V327" i="35"/>
  <c r="X327" i="35"/>
  <c r="U328" i="35"/>
  <c r="Y326" i="34"/>
  <c r="V326" i="34"/>
  <c r="X326" i="34"/>
  <c r="W326" i="34"/>
  <c r="U327" i="34"/>
  <c r="I328" i="34"/>
  <c r="K328" i="34"/>
  <c r="L328" i="34"/>
  <c r="J328" i="34"/>
  <c r="H329" i="34"/>
  <c r="G326" i="31"/>
  <c r="H327" i="31" s="1"/>
  <c r="X324" i="31"/>
  <c r="V324" i="31"/>
  <c r="Y324" i="31"/>
  <c r="W324" i="31"/>
  <c r="T328" i="35" l="1"/>
  <c r="G326" i="35"/>
  <c r="T327" i="34"/>
  <c r="G329" i="34"/>
  <c r="T325" i="31"/>
  <c r="U326" i="31" s="1"/>
  <c r="K326" i="31"/>
  <c r="L326" i="31"/>
  <c r="J326" i="31"/>
  <c r="I326" i="31"/>
  <c r="K326" i="35" l="1"/>
  <c r="J326" i="35"/>
  <c r="I326" i="35"/>
  <c r="L326" i="35"/>
  <c r="H327" i="35"/>
  <c r="Y328" i="35"/>
  <c r="X328" i="35"/>
  <c r="W328" i="35"/>
  <c r="V328" i="35"/>
  <c r="U329" i="35"/>
  <c r="I329" i="34"/>
  <c r="K329" i="34"/>
  <c r="L329" i="34"/>
  <c r="J329" i="34"/>
  <c r="H330" i="34"/>
  <c r="Y327" i="34"/>
  <c r="V327" i="34"/>
  <c r="X327" i="34"/>
  <c r="W327" i="34"/>
  <c r="U328" i="34"/>
  <c r="G327" i="31"/>
  <c r="H328" i="31" s="1"/>
  <c r="X325" i="31"/>
  <c r="V325" i="31"/>
  <c r="Y325" i="31"/>
  <c r="W325" i="31"/>
  <c r="T329" i="35" l="1"/>
  <c r="G327" i="35"/>
  <c r="G330" i="34"/>
  <c r="T328" i="34"/>
  <c r="T326" i="31"/>
  <c r="U327" i="31" s="1"/>
  <c r="K327" i="31"/>
  <c r="J327" i="31"/>
  <c r="L327" i="31"/>
  <c r="I327" i="31"/>
  <c r="K327" i="35" l="1"/>
  <c r="L327" i="35"/>
  <c r="J327" i="35"/>
  <c r="I327" i="35"/>
  <c r="H328" i="35"/>
  <c r="Y329" i="35"/>
  <c r="V329" i="35"/>
  <c r="W329" i="35"/>
  <c r="X329" i="35"/>
  <c r="U330" i="35"/>
  <c r="Y328" i="34"/>
  <c r="V328" i="34"/>
  <c r="X328" i="34"/>
  <c r="W328" i="34"/>
  <c r="U329" i="34"/>
  <c r="I330" i="34"/>
  <c r="K330" i="34"/>
  <c r="L330" i="34"/>
  <c r="J330" i="34"/>
  <c r="H331" i="34"/>
  <c r="G328" i="31"/>
  <c r="H329" i="31" s="1"/>
  <c r="Y326" i="31"/>
  <c r="W326" i="31"/>
  <c r="X326" i="31"/>
  <c r="V326" i="31"/>
  <c r="T330" i="35" l="1"/>
  <c r="G328" i="35"/>
  <c r="T329" i="34"/>
  <c r="G331" i="34"/>
  <c r="T327" i="31"/>
  <c r="U328" i="31" s="1"/>
  <c r="K328" i="31"/>
  <c r="I328" i="31"/>
  <c r="L328" i="31"/>
  <c r="J328" i="31"/>
  <c r="K328" i="35" l="1"/>
  <c r="I328" i="35"/>
  <c r="J328" i="35"/>
  <c r="L328" i="35"/>
  <c r="H329" i="35"/>
  <c r="Y330" i="35"/>
  <c r="W330" i="35"/>
  <c r="V330" i="35"/>
  <c r="X330" i="35"/>
  <c r="U331" i="35"/>
  <c r="I331" i="34"/>
  <c r="K331" i="34"/>
  <c r="L331" i="34"/>
  <c r="J331" i="34"/>
  <c r="H332" i="34"/>
  <c r="Y329" i="34"/>
  <c r="V329" i="34"/>
  <c r="X329" i="34"/>
  <c r="W329" i="34"/>
  <c r="U330" i="34"/>
  <c r="G329" i="31"/>
  <c r="H330" i="31" s="1"/>
  <c r="Y327" i="31"/>
  <c r="W327" i="31"/>
  <c r="V327" i="31"/>
  <c r="X327" i="31"/>
  <c r="T331" i="35" l="1"/>
  <c r="G329" i="35"/>
  <c r="T330" i="34"/>
  <c r="G332" i="34"/>
  <c r="T328" i="31"/>
  <c r="U329" i="31" s="1"/>
  <c r="K329" i="31"/>
  <c r="L329" i="31"/>
  <c r="I329" i="31"/>
  <c r="J329" i="31"/>
  <c r="K329" i="35" l="1"/>
  <c r="J329" i="35"/>
  <c r="I329" i="35"/>
  <c r="L329" i="35"/>
  <c r="H330" i="35"/>
  <c r="Y331" i="35"/>
  <c r="X331" i="35"/>
  <c r="W331" i="35"/>
  <c r="V331" i="35"/>
  <c r="U332" i="35"/>
  <c r="I332" i="34"/>
  <c r="K332" i="34"/>
  <c r="L332" i="34"/>
  <c r="J332" i="34"/>
  <c r="H333" i="34"/>
  <c r="Y330" i="34"/>
  <c r="V330" i="34"/>
  <c r="X330" i="34"/>
  <c r="W330" i="34"/>
  <c r="U331" i="34"/>
  <c r="G330" i="31"/>
  <c r="H331" i="31" s="1"/>
  <c r="Y328" i="31"/>
  <c r="X328" i="31"/>
  <c r="W328" i="31"/>
  <c r="V328" i="31"/>
  <c r="T332" i="35" l="1"/>
  <c r="G330" i="35"/>
  <c r="T331" i="34"/>
  <c r="G333" i="34"/>
  <c r="T329" i="31"/>
  <c r="U330" i="31" s="1"/>
  <c r="K330" i="31"/>
  <c r="L330" i="31"/>
  <c r="I330" i="31"/>
  <c r="J330" i="31"/>
  <c r="K330" i="35" l="1"/>
  <c r="L330" i="35"/>
  <c r="J330" i="35"/>
  <c r="I330" i="35"/>
  <c r="H331" i="35"/>
  <c r="Y332" i="35"/>
  <c r="V332" i="35"/>
  <c r="W332" i="35"/>
  <c r="X332" i="35"/>
  <c r="U333" i="35"/>
  <c r="I333" i="34"/>
  <c r="K333" i="34"/>
  <c r="L333" i="34"/>
  <c r="J333" i="34"/>
  <c r="H334" i="34"/>
  <c r="Y331" i="34"/>
  <c r="V331" i="34"/>
  <c r="X331" i="34"/>
  <c r="W331" i="34"/>
  <c r="U332" i="34"/>
  <c r="G331" i="31"/>
  <c r="H332" i="31" s="1"/>
  <c r="Y329" i="31"/>
  <c r="X329" i="31"/>
  <c r="V329" i="31"/>
  <c r="W329" i="31"/>
  <c r="G331" i="35" l="1"/>
  <c r="T333" i="35"/>
  <c r="G334" i="34"/>
  <c r="T332" i="34"/>
  <c r="T330" i="31"/>
  <c r="U331" i="31" s="1"/>
  <c r="I331" i="31"/>
  <c r="K331" i="31"/>
  <c r="J331" i="31"/>
  <c r="L331" i="31"/>
  <c r="Y333" i="35" l="1"/>
  <c r="W333" i="35"/>
  <c r="V333" i="35"/>
  <c r="X333" i="35"/>
  <c r="U334" i="35"/>
  <c r="K331" i="35"/>
  <c r="I331" i="35"/>
  <c r="J331" i="35"/>
  <c r="L331" i="35"/>
  <c r="H332" i="35"/>
  <c r="Y332" i="34"/>
  <c r="V332" i="34"/>
  <c r="X332" i="34"/>
  <c r="W332" i="34"/>
  <c r="U333" i="34"/>
  <c r="I334" i="34"/>
  <c r="K334" i="34"/>
  <c r="J334" i="34"/>
  <c r="L334" i="34"/>
  <c r="H335" i="34"/>
  <c r="G332" i="31"/>
  <c r="H333" i="31" s="1"/>
  <c r="Y330" i="31"/>
  <c r="X330" i="31"/>
  <c r="W330" i="31"/>
  <c r="V330" i="31"/>
  <c r="T334" i="35" l="1"/>
  <c r="G332" i="35"/>
  <c r="G335" i="34"/>
  <c r="T333" i="34"/>
  <c r="T331" i="31"/>
  <c r="U332" i="31" s="1"/>
  <c r="I332" i="31"/>
  <c r="K332" i="31"/>
  <c r="L332" i="31"/>
  <c r="J332" i="31"/>
  <c r="K332" i="35" l="1"/>
  <c r="J332" i="35"/>
  <c r="I332" i="35"/>
  <c r="L332" i="35"/>
  <c r="H333" i="35"/>
  <c r="Y334" i="35"/>
  <c r="X334" i="35"/>
  <c r="W334" i="35"/>
  <c r="V334" i="35"/>
  <c r="U335" i="35"/>
  <c r="Y333" i="34"/>
  <c r="V333" i="34"/>
  <c r="W333" i="34"/>
  <c r="X333" i="34"/>
  <c r="U334" i="34"/>
  <c r="I335" i="34"/>
  <c r="K335" i="34"/>
  <c r="L335" i="34"/>
  <c r="J335" i="34"/>
  <c r="H336" i="34"/>
  <c r="G333" i="31"/>
  <c r="H334" i="31" s="1"/>
  <c r="Y331" i="31"/>
  <c r="X331" i="31"/>
  <c r="W331" i="31"/>
  <c r="V331" i="31"/>
  <c r="G333" i="35" l="1"/>
  <c r="T335" i="35"/>
  <c r="T334" i="34"/>
  <c r="G336" i="34"/>
  <c r="I333" i="31"/>
  <c r="K333" i="31"/>
  <c r="L333" i="31"/>
  <c r="J333" i="31"/>
  <c r="T332" i="31"/>
  <c r="U333" i="31" s="1"/>
  <c r="Y335" i="35" l="1"/>
  <c r="V335" i="35"/>
  <c r="W335" i="35"/>
  <c r="X335" i="35"/>
  <c r="U336" i="35"/>
  <c r="K333" i="35"/>
  <c r="L333" i="35"/>
  <c r="J333" i="35"/>
  <c r="I333" i="35"/>
  <c r="H334" i="35"/>
  <c r="I336" i="34"/>
  <c r="K336" i="34"/>
  <c r="L336" i="34"/>
  <c r="J336" i="34"/>
  <c r="H337" i="34"/>
  <c r="Y334" i="34"/>
  <c r="V334" i="34"/>
  <c r="W334" i="34"/>
  <c r="X334" i="34"/>
  <c r="U335" i="34"/>
  <c r="G334" i="31"/>
  <c r="H335" i="31" s="1"/>
  <c r="Y332" i="31"/>
  <c r="X332" i="31"/>
  <c r="W332" i="31"/>
  <c r="V332" i="31"/>
  <c r="T336" i="35" l="1"/>
  <c r="G334" i="35"/>
  <c r="G337" i="34"/>
  <c r="T335" i="34"/>
  <c r="T333" i="31"/>
  <c r="U334" i="31" s="1"/>
  <c r="I334" i="31"/>
  <c r="K334" i="31"/>
  <c r="L334" i="31"/>
  <c r="J334" i="31"/>
  <c r="K334" i="35" l="1"/>
  <c r="I334" i="35"/>
  <c r="J334" i="35"/>
  <c r="L334" i="35"/>
  <c r="H335" i="35"/>
  <c r="Y336" i="35"/>
  <c r="W336" i="35"/>
  <c r="V336" i="35"/>
  <c r="X336" i="35"/>
  <c r="U337" i="35"/>
  <c r="Y335" i="34"/>
  <c r="V335" i="34"/>
  <c r="X335" i="34"/>
  <c r="W335" i="34"/>
  <c r="U336" i="34"/>
  <c r="I337" i="34"/>
  <c r="K337" i="34"/>
  <c r="L337" i="34"/>
  <c r="J337" i="34"/>
  <c r="H338" i="34"/>
  <c r="G335" i="31"/>
  <c r="H336" i="31" s="1"/>
  <c r="Y333" i="31"/>
  <c r="X333" i="31"/>
  <c r="W333" i="31"/>
  <c r="V333" i="31"/>
  <c r="T337" i="35" l="1"/>
  <c r="G335" i="35"/>
  <c r="G338" i="34"/>
  <c r="T336" i="34"/>
  <c r="T334" i="31"/>
  <c r="U335" i="31" s="1"/>
  <c r="I335" i="31"/>
  <c r="K335" i="31"/>
  <c r="L335" i="31"/>
  <c r="J335" i="31"/>
  <c r="K335" i="35" l="1"/>
  <c r="J335" i="35"/>
  <c r="I335" i="35"/>
  <c r="L335" i="35"/>
  <c r="H336" i="35"/>
  <c r="Y337" i="35"/>
  <c r="X337" i="35"/>
  <c r="W337" i="35"/>
  <c r="V337" i="35"/>
  <c r="U338" i="35"/>
  <c r="Y336" i="34"/>
  <c r="V336" i="34"/>
  <c r="W336" i="34"/>
  <c r="X336" i="34"/>
  <c r="U337" i="34"/>
  <c r="I338" i="34"/>
  <c r="K338" i="34"/>
  <c r="L338" i="34"/>
  <c r="J338" i="34"/>
  <c r="H339" i="34"/>
  <c r="G336" i="31"/>
  <c r="H337" i="31" s="1"/>
  <c r="Y334" i="31"/>
  <c r="X334" i="31"/>
  <c r="W334" i="31"/>
  <c r="V334" i="31"/>
  <c r="T338" i="35" l="1"/>
  <c r="G336" i="35"/>
  <c r="G339" i="34"/>
  <c r="T337" i="34"/>
  <c r="T335" i="31"/>
  <c r="U336" i="31" s="1"/>
  <c r="I336" i="31"/>
  <c r="K336" i="31"/>
  <c r="L336" i="31"/>
  <c r="J336" i="31"/>
  <c r="K336" i="35" l="1"/>
  <c r="L336" i="35"/>
  <c r="J336" i="35"/>
  <c r="I336" i="35"/>
  <c r="H337" i="35"/>
  <c r="Y338" i="35"/>
  <c r="V338" i="35"/>
  <c r="W338" i="35"/>
  <c r="X338" i="35"/>
  <c r="U339" i="35"/>
  <c r="Y337" i="34"/>
  <c r="V337" i="34"/>
  <c r="X337" i="34"/>
  <c r="W337" i="34"/>
  <c r="U338" i="34"/>
  <c r="I339" i="34"/>
  <c r="K339" i="34"/>
  <c r="J339" i="34"/>
  <c r="L339" i="34"/>
  <c r="H340" i="34"/>
  <c r="G337" i="31"/>
  <c r="H338" i="31" s="1"/>
  <c r="Y335" i="31"/>
  <c r="X335" i="31"/>
  <c r="V335" i="31"/>
  <c r="W335" i="31"/>
  <c r="G337" i="35" l="1"/>
  <c r="T339" i="35"/>
  <c r="U340" i="35" s="1"/>
  <c r="T338" i="34"/>
  <c r="G340" i="34"/>
  <c r="T336" i="31"/>
  <c r="U337" i="31" s="1"/>
  <c r="I337" i="31"/>
  <c r="K337" i="31"/>
  <c r="L337" i="31"/>
  <c r="J337" i="31"/>
  <c r="T340" i="35" l="1"/>
  <c r="K337" i="35"/>
  <c r="I337" i="35"/>
  <c r="J337" i="35"/>
  <c r="L337" i="35"/>
  <c r="Y339" i="35"/>
  <c r="W339" i="35"/>
  <c r="V339" i="35"/>
  <c r="X339" i="35"/>
  <c r="H338" i="35"/>
  <c r="I340" i="34"/>
  <c r="K340" i="34"/>
  <c r="J340" i="34"/>
  <c r="L340" i="34"/>
  <c r="H341" i="34"/>
  <c r="Y338" i="34"/>
  <c r="V338" i="34"/>
  <c r="X338" i="34"/>
  <c r="W338" i="34"/>
  <c r="U339" i="34"/>
  <c r="G338" i="31"/>
  <c r="H339" i="31" s="1"/>
  <c r="Y336" i="31"/>
  <c r="X336" i="31"/>
  <c r="V336" i="31"/>
  <c r="W336" i="31"/>
  <c r="Y340" i="35" l="1"/>
  <c r="V340" i="35"/>
  <c r="X340" i="35"/>
  <c r="W340" i="35"/>
  <c r="G338" i="35"/>
  <c r="U341" i="35"/>
  <c r="T339" i="34"/>
  <c r="G341" i="34"/>
  <c r="T337" i="31"/>
  <c r="U338" i="31" s="1"/>
  <c r="I338" i="31"/>
  <c r="K338" i="31"/>
  <c r="L338" i="31"/>
  <c r="J338" i="31"/>
  <c r="K338" i="35" l="1"/>
  <c r="J338" i="35"/>
  <c r="I338" i="35"/>
  <c r="L338" i="35"/>
  <c r="H339" i="35"/>
  <c r="T341" i="35"/>
  <c r="I341" i="34"/>
  <c r="K341" i="34"/>
  <c r="L341" i="34"/>
  <c r="J341" i="34"/>
  <c r="H342" i="34"/>
  <c r="Y339" i="34"/>
  <c r="V339" i="34"/>
  <c r="X339" i="34"/>
  <c r="W339" i="34"/>
  <c r="U340" i="34"/>
  <c r="G339" i="31"/>
  <c r="H340" i="31" s="1"/>
  <c r="Y337" i="31"/>
  <c r="X337" i="31"/>
  <c r="V337" i="31"/>
  <c r="W337" i="31"/>
  <c r="Y341" i="35" l="1"/>
  <c r="V341" i="35"/>
  <c r="X341" i="35"/>
  <c r="W341" i="35"/>
  <c r="U342" i="35"/>
  <c r="G339" i="35"/>
  <c r="H340" i="35" s="1"/>
  <c r="T340" i="34"/>
  <c r="G342" i="34"/>
  <c r="T338" i="31"/>
  <c r="U339" i="31" s="1"/>
  <c r="I339" i="31"/>
  <c r="K339" i="31"/>
  <c r="J339" i="31"/>
  <c r="L339" i="31"/>
  <c r="G340" i="35" l="1"/>
  <c r="K339" i="35"/>
  <c r="L339" i="35"/>
  <c r="J339" i="35"/>
  <c r="I339" i="35"/>
  <c r="T342" i="35"/>
  <c r="I342" i="34"/>
  <c r="K342" i="34"/>
  <c r="L342" i="34"/>
  <c r="J342" i="34"/>
  <c r="H343" i="34"/>
  <c r="Y340" i="34"/>
  <c r="V340" i="34"/>
  <c r="X340" i="34"/>
  <c r="W340" i="34"/>
  <c r="U341" i="34"/>
  <c r="G340" i="31"/>
  <c r="H341" i="31" s="1"/>
  <c r="Y338" i="31"/>
  <c r="X338" i="31"/>
  <c r="W338" i="31"/>
  <c r="V338" i="31"/>
  <c r="Y342" i="35" l="1"/>
  <c r="V342" i="35"/>
  <c r="W342" i="35"/>
  <c r="X342" i="35"/>
  <c r="U343" i="35"/>
  <c r="K340" i="35"/>
  <c r="I340" i="35"/>
  <c r="J340" i="35"/>
  <c r="L340" i="35"/>
  <c r="H341" i="35"/>
  <c r="T341" i="34"/>
  <c r="G343" i="34"/>
  <c r="T339" i="31"/>
  <c r="U340" i="31" s="1"/>
  <c r="I340" i="31"/>
  <c r="K340" i="31"/>
  <c r="J340" i="31"/>
  <c r="L340" i="31"/>
  <c r="T343" i="35" l="1"/>
  <c r="G341" i="35"/>
  <c r="I343" i="34"/>
  <c r="K343" i="34"/>
  <c r="J343" i="34"/>
  <c r="L343" i="34"/>
  <c r="H344" i="34"/>
  <c r="Y341" i="34"/>
  <c r="V341" i="34"/>
  <c r="W341" i="34"/>
  <c r="X341" i="34"/>
  <c r="U342" i="34"/>
  <c r="G341" i="31"/>
  <c r="H342" i="31" s="1"/>
  <c r="Y339" i="31"/>
  <c r="X339" i="31"/>
  <c r="V339" i="31"/>
  <c r="W339" i="31"/>
  <c r="K341" i="35" l="1"/>
  <c r="L341" i="35"/>
  <c r="J341" i="35"/>
  <c r="I341" i="35"/>
  <c r="H342" i="35"/>
  <c r="Y343" i="35"/>
  <c r="V343" i="35"/>
  <c r="W343" i="35"/>
  <c r="X343" i="35"/>
  <c r="U344" i="35"/>
  <c r="T342" i="34"/>
  <c r="G344" i="34"/>
  <c r="T340" i="31"/>
  <c r="U341" i="31" s="1"/>
  <c r="I341" i="31"/>
  <c r="K341" i="31"/>
  <c r="L341" i="31"/>
  <c r="J341" i="31"/>
  <c r="T344" i="35" l="1"/>
  <c r="G342" i="35"/>
  <c r="I344" i="34"/>
  <c r="K344" i="34"/>
  <c r="L344" i="34"/>
  <c r="J344" i="34"/>
  <c r="H345" i="34"/>
  <c r="Y342" i="34"/>
  <c r="V342" i="34"/>
  <c r="W342" i="34"/>
  <c r="X342" i="34"/>
  <c r="U343" i="34"/>
  <c r="G342" i="31"/>
  <c r="H343" i="31" s="1"/>
  <c r="Y340" i="31"/>
  <c r="X340" i="31"/>
  <c r="W340" i="31"/>
  <c r="V340" i="31"/>
  <c r="K342" i="35" l="1"/>
  <c r="L342" i="35"/>
  <c r="J342" i="35"/>
  <c r="I342" i="35"/>
  <c r="H343" i="35"/>
  <c r="Y344" i="35"/>
  <c r="V344" i="35"/>
  <c r="X344" i="35"/>
  <c r="W344" i="35"/>
  <c r="U345" i="35"/>
  <c r="G345" i="34"/>
  <c r="T343" i="34"/>
  <c r="T341" i="31"/>
  <c r="U342" i="31" s="1"/>
  <c r="I342" i="31"/>
  <c r="K342" i="31"/>
  <c r="J342" i="31"/>
  <c r="L342" i="31"/>
  <c r="G343" i="35" l="1"/>
  <c r="T345" i="35"/>
  <c r="Y343" i="34"/>
  <c r="V343" i="34"/>
  <c r="X343" i="34"/>
  <c r="W343" i="34"/>
  <c r="U344" i="34"/>
  <c r="I345" i="34"/>
  <c r="K345" i="34"/>
  <c r="L345" i="34"/>
  <c r="J345" i="34"/>
  <c r="H346" i="34"/>
  <c r="G343" i="31"/>
  <c r="H344" i="31" s="1"/>
  <c r="Y341" i="31"/>
  <c r="X341" i="31"/>
  <c r="W341" i="31"/>
  <c r="V341" i="31"/>
  <c r="Y345" i="35" l="1"/>
  <c r="V345" i="35"/>
  <c r="X345" i="35"/>
  <c r="W345" i="35"/>
  <c r="U346" i="35"/>
  <c r="K343" i="35"/>
  <c r="L343" i="35"/>
  <c r="I343" i="35"/>
  <c r="J343" i="35"/>
  <c r="H344" i="35"/>
  <c r="G346" i="34"/>
  <c r="T344" i="34"/>
  <c r="T342" i="31"/>
  <c r="U343" i="31" s="1"/>
  <c r="I343" i="31"/>
  <c r="K343" i="31"/>
  <c r="L343" i="31"/>
  <c r="J343" i="31"/>
  <c r="G344" i="35" l="1"/>
  <c r="T346" i="35"/>
  <c r="Y344" i="34"/>
  <c r="V344" i="34"/>
  <c r="X344" i="34"/>
  <c r="W344" i="34"/>
  <c r="U345" i="34"/>
  <c r="I346" i="34"/>
  <c r="K346" i="34"/>
  <c r="J346" i="34"/>
  <c r="L346" i="34"/>
  <c r="H347" i="34"/>
  <c r="G344" i="31"/>
  <c r="H345" i="31" s="1"/>
  <c r="Y342" i="31"/>
  <c r="X342" i="31"/>
  <c r="W342" i="31"/>
  <c r="V342" i="31"/>
  <c r="Y346" i="35" l="1"/>
  <c r="V346" i="35"/>
  <c r="X346" i="35"/>
  <c r="W346" i="35"/>
  <c r="U347" i="35"/>
  <c r="K344" i="35"/>
  <c r="L344" i="35"/>
  <c r="J344" i="35"/>
  <c r="I344" i="35"/>
  <c r="H345" i="35"/>
  <c r="T345" i="34"/>
  <c r="G347" i="34"/>
  <c r="T343" i="31"/>
  <c r="U344" i="31" s="1"/>
  <c r="I344" i="31"/>
  <c r="K344" i="31"/>
  <c r="J344" i="31"/>
  <c r="L344" i="31"/>
  <c r="G345" i="35" l="1"/>
  <c r="T347" i="35"/>
  <c r="I347" i="34"/>
  <c r="K347" i="34"/>
  <c r="L347" i="34"/>
  <c r="J347" i="34"/>
  <c r="H348" i="34"/>
  <c r="Y345" i="34"/>
  <c r="V345" i="34"/>
  <c r="W345" i="34"/>
  <c r="X345" i="34"/>
  <c r="U346" i="34"/>
  <c r="G345" i="31"/>
  <c r="H346" i="31" s="1"/>
  <c r="Y343" i="31"/>
  <c r="X343" i="31"/>
  <c r="W343" i="31"/>
  <c r="V343" i="31"/>
  <c r="Y347" i="35" l="1"/>
  <c r="V347" i="35"/>
  <c r="X347" i="35"/>
  <c r="W347" i="35"/>
  <c r="U348" i="35"/>
  <c r="K345" i="35"/>
  <c r="J345" i="35"/>
  <c r="I345" i="35"/>
  <c r="L345" i="35"/>
  <c r="H346" i="35"/>
  <c r="G348" i="34"/>
  <c r="T346" i="34"/>
  <c r="T344" i="31"/>
  <c r="U345" i="31" s="1"/>
  <c r="I345" i="31"/>
  <c r="K345" i="31"/>
  <c r="L345" i="31"/>
  <c r="J345" i="31"/>
  <c r="G346" i="35" l="1"/>
  <c r="T348" i="35"/>
  <c r="Y346" i="34"/>
  <c r="V346" i="34"/>
  <c r="X346" i="34"/>
  <c r="W346" i="34"/>
  <c r="U347" i="34"/>
  <c r="I348" i="34"/>
  <c r="K348" i="34"/>
  <c r="L348" i="34"/>
  <c r="J348" i="34"/>
  <c r="H349" i="34"/>
  <c r="G346" i="31"/>
  <c r="H347" i="31" s="1"/>
  <c r="Y344" i="31"/>
  <c r="X344" i="31"/>
  <c r="W344" i="31"/>
  <c r="V344" i="31"/>
  <c r="Y348" i="35" l="1"/>
  <c r="V348" i="35"/>
  <c r="W348" i="35"/>
  <c r="X348" i="35"/>
  <c r="U349" i="35"/>
  <c r="K346" i="35"/>
  <c r="L346" i="35"/>
  <c r="I346" i="35"/>
  <c r="J346" i="35"/>
  <c r="H347" i="35"/>
  <c r="T347" i="34"/>
  <c r="G349" i="34"/>
  <c r="T345" i="31"/>
  <c r="U346" i="31" s="1"/>
  <c r="I346" i="31"/>
  <c r="K346" i="31"/>
  <c r="J346" i="31"/>
  <c r="L346" i="31"/>
  <c r="T349" i="35" l="1"/>
  <c r="G347" i="35"/>
  <c r="I349" i="34"/>
  <c r="K349" i="34"/>
  <c r="L349" i="34"/>
  <c r="J349" i="34"/>
  <c r="H350" i="34"/>
  <c r="Y347" i="34"/>
  <c r="V347" i="34"/>
  <c r="X347" i="34"/>
  <c r="W347" i="34"/>
  <c r="U348" i="34"/>
  <c r="G347" i="31"/>
  <c r="H348" i="31" s="1"/>
  <c r="Y345" i="31"/>
  <c r="X345" i="31"/>
  <c r="W345" i="31"/>
  <c r="V345" i="31"/>
  <c r="K347" i="35" l="1"/>
  <c r="L347" i="35"/>
  <c r="I347" i="35"/>
  <c r="J347" i="35"/>
  <c r="H348" i="35"/>
  <c r="Y349" i="35"/>
  <c r="V349" i="35"/>
  <c r="X349" i="35"/>
  <c r="W349" i="35"/>
  <c r="U350" i="35"/>
  <c r="T348" i="34"/>
  <c r="G350" i="34"/>
  <c r="T346" i="31"/>
  <c r="U347" i="31" s="1"/>
  <c r="I347" i="31"/>
  <c r="K347" i="31"/>
  <c r="L347" i="31"/>
  <c r="J347" i="31"/>
  <c r="T350" i="35" l="1"/>
  <c r="G348" i="35"/>
  <c r="I350" i="34"/>
  <c r="K350" i="34"/>
  <c r="L350" i="34"/>
  <c r="J350" i="34"/>
  <c r="H351" i="34"/>
  <c r="Y348" i="34"/>
  <c r="V348" i="34"/>
  <c r="W348" i="34"/>
  <c r="X348" i="34"/>
  <c r="U349" i="34"/>
  <c r="G348" i="31"/>
  <c r="H349" i="31" s="1"/>
  <c r="Y346" i="31"/>
  <c r="X346" i="31"/>
  <c r="W346" i="31"/>
  <c r="V346" i="31"/>
  <c r="K348" i="35" l="1"/>
  <c r="J348" i="35"/>
  <c r="I348" i="35"/>
  <c r="L348" i="35"/>
  <c r="H349" i="35"/>
  <c r="Y350" i="35"/>
  <c r="V350" i="35"/>
  <c r="X350" i="35"/>
  <c r="W350" i="35"/>
  <c r="U351" i="35"/>
  <c r="T349" i="34"/>
  <c r="G351" i="34"/>
  <c r="T347" i="31"/>
  <c r="U348" i="31" s="1"/>
  <c r="I348" i="31"/>
  <c r="K348" i="31"/>
  <c r="J348" i="31"/>
  <c r="L348" i="31"/>
  <c r="G349" i="35" l="1"/>
  <c r="T351" i="35"/>
  <c r="I351" i="34"/>
  <c r="K351" i="34"/>
  <c r="J351" i="34"/>
  <c r="L351" i="34"/>
  <c r="H352" i="34"/>
  <c r="Y349" i="34"/>
  <c r="V349" i="34"/>
  <c r="X349" i="34"/>
  <c r="W349" i="34"/>
  <c r="U350" i="34"/>
  <c r="G349" i="31"/>
  <c r="H350" i="31" s="1"/>
  <c r="Y347" i="31"/>
  <c r="X347" i="31"/>
  <c r="W347" i="31"/>
  <c r="V347" i="31"/>
  <c r="Y351" i="35" l="1"/>
  <c r="V351" i="35"/>
  <c r="W351" i="35"/>
  <c r="X351" i="35"/>
  <c r="U352" i="35"/>
  <c r="K349" i="35"/>
  <c r="L349" i="35"/>
  <c r="J349" i="35"/>
  <c r="I349" i="35"/>
  <c r="H350" i="35"/>
  <c r="G352" i="34"/>
  <c r="T350" i="34"/>
  <c r="T348" i="31"/>
  <c r="U349" i="31" s="1"/>
  <c r="I349" i="31"/>
  <c r="K349" i="31"/>
  <c r="L349" i="31"/>
  <c r="J349" i="31"/>
  <c r="T352" i="35" l="1"/>
  <c r="G350" i="35"/>
  <c r="Y350" i="34"/>
  <c r="V350" i="34"/>
  <c r="X350" i="34"/>
  <c r="W350" i="34"/>
  <c r="U351" i="34"/>
  <c r="I352" i="34"/>
  <c r="K352" i="34"/>
  <c r="J352" i="34"/>
  <c r="L352" i="34"/>
  <c r="H353" i="34"/>
  <c r="G350" i="31"/>
  <c r="H351" i="31" s="1"/>
  <c r="Y348" i="31"/>
  <c r="X348" i="31"/>
  <c r="W348" i="31"/>
  <c r="V348" i="31"/>
  <c r="K350" i="35" l="1"/>
  <c r="L350" i="35"/>
  <c r="J350" i="35"/>
  <c r="I350" i="35"/>
  <c r="H351" i="35"/>
  <c r="Y352" i="35"/>
  <c r="V352" i="35"/>
  <c r="X352" i="35"/>
  <c r="W352" i="35"/>
  <c r="U353" i="35"/>
  <c r="T351" i="34"/>
  <c r="G353" i="34"/>
  <c r="T349" i="31"/>
  <c r="U350" i="31" s="1"/>
  <c r="I350" i="31"/>
  <c r="K350" i="31"/>
  <c r="J350" i="31"/>
  <c r="L350" i="31"/>
  <c r="G351" i="35" l="1"/>
  <c r="T353" i="35"/>
  <c r="I353" i="34"/>
  <c r="K353" i="34"/>
  <c r="L353" i="34"/>
  <c r="J353" i="34"/>
  <c r="H354" i="34"/>
  <c r="Y351" i="34"/>
  <c r="V351" i="34"/>
  <c r="X351" i="34"/>
  <c r="W351" i="34"/>
  <c r="U352" i="34"/>
  <c r="G351" i="31"/>
  <c r="H352" i="31" s="1"/>
  <c r="Y349" i="31"/>
  <c r="X349" i="31"/>
  <c r="W349" i="31"/>
  <c r="V349" i="31"/>
  <c r="Y353" i="35" l="1"/>
  <c r="V353" i="35"/>
  <c r="X353" i="35"/>
  <c r="W353" i="35"/>
  <c r="U354" i="35"/>
  <c r="K351" i="35"/>
  <c r="J351" i="35"/>
  <c r="I351" i="35"/>
  <c r="L351" i="35"/>
  <c r="H352" i="35"/>
  <c r="T352" i="34"/>
  <c r="G354" i="34"/>
  <c r="T350" i="31"/>
  <c r="U351" i="31" s="1"/>
  <c r="I351" i="31"/>
  <c r="K351" i="31"/>
  <c r="L351" i="31"/>
  <c r="J351" i="31"/>
  <c r="G352" i="35" l="1"/>
  <c r="T354" i="35"/>
  <c r="I354" i="34"/>
  <c r="K354" i="34"/>
  <c r="L354" i="34"/>
  <c r="J354" i="34"/>
  <c r="H355" i="34"/>
  <c r="Y352" i="34"/>
  <c r="V352" i="34"/>
  <c r="X352" i="34"/>
  <c r="W352" i="34"/>
  <c r="U353" i="34"/>
  <c r="G352" i="31"/>
  <c r="H353" i="31" s="1"/>
  <c r="Y350" i="31"/>
  <c r="X350" i="31"/>
  <c r="W350" i="31"/>
  <c r="V350" i="31"/>
  <c r="Y354" i="35" l="1"/>
  <c r="V354" i="35"/>
  <c r="W354" i="35"/>
  <c r="X354" i="35"/>
  <c r="U355" i="35"/>
  <c r="K352" i="35"/>
  <c r="I352" i="35"/>
  <c r="J352" i="35"/>
  <c r="L352" i="35"/>
  <c r="H353" i="35"/>
  <c r="T353" i="34"/>
  <c r="G355" i="34"/>
  <c r="T351" i="31"/>
  <c r="U352" i="31" s="1"/>
  <c r="I352" i="31"/>
  <c r="K352" i="31"/>
  <c r="J352" i="31"/>
  <c r="L352" i="31"/>
  <c r="G353" i="35" l="1"/>
  <c r="T355" i="35"/>
  <c r="I355" i="34"/>
  <c r="K355" i="34"/>
  <c r="J355" i="34"/>
  <c r="L355" i="34"/>
  <c r="H356" i="34"/>
  <c r="Y353" i="34"/>
  <c r="V353" i="34"/>
  <c r="W353" i="34"/>
  <c r="X353" i="34"/>
  <c r="U354" i="34"/>
  <c r="G353" i="31"/>
  <c r="H354" i="31" s="1"/>
  <c r="Y351" i="31"/>
  <c r="X351" i="31"/>
  <c r="W351" i="31"/>
  <c r="V351" i="31"/>
  <c r="Y355" i="35" l="1"/>
  <c r="V355" i="35"/>
  <c r="W355" i="35"/>
  <c r="X355" i="35"/>
  <c r="U356" i="35"/>
  <c r="K353" i="35"/>
  <c r="L353" i="35"/>
  <c r="J353" i="35"/>
  <c r="I353" i="35"/>
  <c r="H354" i="35"/>
  <c r="T354" i="34"/>
  <c r="G356" i="34"/>
  <c r="T352" i="31"/>
  <c r="U353" i="31" s="1"/>
  <c r="I353" i="31"/>
  <c r="K353" i="31"/>
  <c r="L353" i="31"/>
  <c r="J353" i="31"/>
  <c r="G354" i="35" l="1"/>
  <c r="T356" i="35"/>
  <c r="I356" i="34"/>
  <c r="K356" i="34"/>
  <c r="L356" i="34"/>
  <c r="J356" i="34"/>
  <c r="H357" i="34"/>
  <c r="Y354" i="34"/>
  <c r="V354" i="34"/>
  <c r="W354" i="34"/>
  <c r="X354" i="34"/>
  <c r="U355" i="34"/>
  <c r="G354" i="31"/>
  <c r="H355" i="31" s="1"/>
  <c r="Y352" i="31"/>
  <c r="X352" i="31"/>
  <c r="W352" i="31"/>
  <c r="V352" i="31"/>
  <c r="Y356" i="35" l="1"/>
  <c r="V356" i="35"/>
  <c r="X356" i="35"/>
  <c r="W356" i="35"/>
  <c r="U357" i="35"/>
  <c r="K354" i="35"/>
  <c r="L354" i="35"/>
  <c r="J354" i="35"/>
  <c r="I354" i="35"/>
  <c r="H355" i="35"/>
  <c r="T355" i="34"/>
  <c r="G357" i="34"/>
  <c r="T353" i="31"/>
  <c r="U354" i="31" s="1"/>
  <c r="I354" i="31"/>
  <c r="K354" i="31"/>
  <c r="J354" i="31"/>
  <c r="L354" i="31"/>
  <c r="T357" i="35" l="1"/>
  <c r="G355" i="35"/>
  <c r="I357" i="34"/>
  <c r="K357" i="34"/>
  <c r="L357" i="34"/>
  <c r="J357" i="34"/>
  <c r="H358" i="34"/>
  <c r="Y355" i="34"/>
  <c r="V355" i="34"/>
  <c r="X355" i="34"/>
  <c r="W355" i="34"/>
  <c r="U356" i="34"/>
  <c r="G355" i="31"/>
  <c r="H356" i="31" s="1"/>
  <c r="Y353" i="31"/>
  <c r="X353" i="31"/>
  <c r="W353" i="31"/>
  <c r="V353" i="31"/>
  <c r="K355" i="35" l="1"/>
  <c r="L355" i="35"/>
  <c r="I355" i="35"/>
  <c r="J355" i="35"/>
  <c r="H356" i="35"/>
  <c r="Y357" i="35"/>
  <c r="V357" i="35"/>
  <c r="X357" i="35"/>
  <c r="W357" i="35"/>
  <c r="U358" i="35"/>
  <c r="G358" i="34"/>
  <c r="T356" i="34"/>
  <c r="T354" i="31"/>
  <c r="U355" i="31" s="1"/>
  <c r="I355" i="31"/>
  <c r="K355" i="31"/>
  <c r="L355" i="31"/>
  <c r="J355" i="31"/>
  <c r="G356" i="35" l="1"/>
  <c r="T358" i="35"/>
  <c r="Y356" i="34"/>
  <c r="V356" i="34"/>
  <c r="X356" i="34"/>
  <c r="W356" i="34"/>
  <c r="U357" i="34"/>
  <c r="I358" i="34"/>
  <c r="K358" i="34"/>
  <c r="J358" i="34"/>
  <c r="L358" i="34"/>
  <c r="H359" i="34"/>
  <c r="G356" i="31"/>
  <c r="H357" i="31" s="1"/>
  <c r="Y354" i="31"/>
  <c r="X354" i="31"/>
  <c r="W354" i="31"/>
  <c r="V354" i="31"/>
  <c r="Y358" i="35" l="1"/>
  <c r="V358" i="35"/>
  <c r="X358" i="35"/>
  <c r="W358" i="35"/>
  <c r="U359" i="35"/>
  <c r="K356" i="35"/>
  <c r="L356" i="35"/>
  <c r="J356" i="35"/>
  <c r="I356" i="35"/>
  <c r="H357" i="35"/>
  <c r="T357" i="34"/>
  <c r="G359" i="34"/>
  <c r="T355" i="31"/>
  <c r="U356" i="31" s="1"/>
  <c r="I356" i="31"/>
  <c r="K356" i="31"/>
  <c r="J356" i="31"/>
  <c r="L356" i="31"/>
  <c r="G357" i="35" l="1"/>
  <c r="T359" i="35"/>
  <c r="I359" i="34"/>
  <c r="K359" i="34"/>
  <c r="L359" i="34"/>
  <c r="J359" i="34"/>
  <c r="H360" i="34"/>
  <c r="Y357" i="34"/>
  <c r="V357" i="34"/>
  <c r="W357" i="34"/>
  <c r="X357" i="34"/>
  <c r="U358" i="34"/>
  <c r="G357" i="31"/>
  <c r="H358" i="31" s="1"/>
  <c r="Y355" i="31"/>
  <c r="X355" i="31"/>
  <c r="W355" i="31"/>
  <c r="V355" i="31"/>
  <c r="Y359" i="35" l="1"/>
  <c r="V359" i="35"/>
  <c r="X359" i="35"/>
  <c r="W359" i="35"/>
  <c r="U360" i="35"/>
  <c r="K357" i="35"/>
  <c r="J357" i="35"/>
  <c r="I357" i="35"/>
  <c r="L357" i="35"/>
  <c r="H358" i="35"/>
  <c r="T358" i="34"/>
  <c r="G360" i="34"/>
  <c r="T356" i="31"/>
  <c r="U357" i="31" s="1"/>
  <c r="I357" i="31"/>
  <c r="K357" i="31"/>
  <c r="L357" i="31"/>
  <c r="J357" i="31"/>
  <c r="G358" i="35" l="1"/>
  <c r="T360" i="35"/>
  <c r="I360" i="34"/>
  <c r="K360" i="34"/>
  <c r="L360" i="34"/>
  <c r="J360" i="34"/>
  <c r="H361" i="34"/>
  <c r="Y358" i="34"/>
  <c r="V358" i="34"/>
  <c r="X358" i="34"/>
  <c r="W358" i="34"/>
  <c r="U359" i="34"/>
  <c r="G358" i="31"/>
  <c r="H359" i="31" s="1"/>
  <c r="Y356" i="31"/>
  <c r="X356" i="31"/>
  <c r="W356" i="31"/>
  <c r="V356" i="31"/>
  <c r="Y360" i="35" l="1"/>
  <c r="V360" i="35"/>
  <c r="W360" i="35"/>
  <c r="X360" i="35"/>
  <c r="U361" i="35"/>
  <c r="K358" i="35"/>
  <c r="L358" i="35"/>
  <c r="I358" i="35"/>
  <c r="J358" i="35"/>
  <c r="H359" i="35"/>
  <c r="T359" i="34"/>
  <c r="G361" i="34"/>
  <c r="T357" i="31"/>
  <c r="U358" i="31" s="1"/>
  <c r="I358" i="31"/>
  <c r="K358" i="31"/>
  <c r="J358" i="31"/>
  <c r="L358" i="31"/>
  <c r="G359" i="35" l="1"/>
  <c r="T361" i="35"/>
  <c r="U362" i="35" s="1"/>
  <c r="I361" i="34"/>
  <c r="K361" i="34"/>
  <c r="L361" i="34"/>
  <c r="J361" i="34"/>
  <c r="H362" i="34"/>
  <c r="Y359" i="34"/>
  <c r="V359" i="34"/>
  <c r="X359" i="34"/>
  <c r="W359" i="34"/>
  <c r="U360" i="34"/>
  <c r="G359" i="31"/>
  <c r="H360" i="31" s="1"/>
  <c r="Y357" i="31"/>
  <c r="X357" i="31"/>
  <c r="W357" i="31"/>
  <c r="V357" i="31"/>
  <c r="Y361" i="35" l="1"/>
  <c r="V361" i="35"/>
  <c r="X361" i="35"/>
  <c r="W361" i="35"/>
  <c r="T362" i="35"/>
  <c r="K359" i="35"/>
  <c r="L359" i="35"/>
  <c r="I359" i="35"/>
  <c r="J359" i="35"/>
  <c r="H360" i="35"/>
  <c r="T360" i="34"/>
  <c r="G362" i="34"/>
  <c r="T358" i="31"/>
  <c r="U359" i="31" s="1"/>
  <c r="I359" i="31"/>
  <c r="K359" i="31"/>
  <c r="L359" i="31"/>
  <c r="J359" i="31"/>
  <c r="Y362" i="35" l="1"/>
  <c r="V362" i="35"/>
  <c r="X362" i="35"/>
  <c r="W362" i="35"/>
  <c r="G360" i="35"/>
  <c r="U363" i="35"/>
  <c r="I362" i="34"/>
  <c r="K362" i="34"/>
  <c r="L362" i="34"/>
  <c r="J362" i="34"/>
  <c r="H363" i="34"/>
  <c r="Y360" i="34"/>
  <c r="V360" i="34"/>
  <c r="W360" i="34"/>
  <c r="X360" i="34"/>
  <c r="U361" i="34"/>
  <c r="G360" i="31"/>
  <c r="H361" i="31" s="1"/>
  <c r="Y358" i="31"/>
  <c r="X358" i="31"/>
  <c r="W358" i="31"/>
  <c r="V358" i="31"/>
  <c r="T363" i="35" l="1"/>
  <c r="K360" i="35"/>
  <c r="J360" i="35"/>
  <c r="I360" i="35"/>
  <c r="L360" i="35"/>
  <c r="H361" i="35"/>
  <c r="T361" i="34"/>
  <c r="G363" i="34"/>
  <c r="T359" i="31"/>
  <c r="U360" i="31" s="1"/>
  <c r="I360" i="31"/>
  <c r="K360" i="31"/>
  <c r="J360" i="31"/>
  <c r="L360" i="31"/>
  <c r="G361" i="35" l="1"/>
  <c r="Y363" i="35"/>
  <c r="V363" i="35"/>
  <c r="W363" i="35"/>
  <c r="X363" i="35"/>
  <c r="U364" i="35"/>
  <c r="I363" i="34"/>
  <c r="K363" i="34"/>
  <c r="J363" i="34"/>
  <c r="L363" i="34"/>
  <c r="H364" i="34"/>
  <c r="Y361" i="34"/>
  <c r="V361" i="34"/>
  <c r="X361" i="34"/>
  <c r="W361" i="34"/>
  <c r="U362" i="34"/>
  <c r="G361" i="31"/>
  <c r="H362" i="31" s="1"/>
  <c r="Y359" i="31"/>
  <c r="X359" i="31"/>
  <c r="W359" i="31"/>
  <c r="V359" i="31"/>
  <c r="T364" i="35" l="1"/>
  <c r="K361" i="35"/>
  <c r="L361" i="35"/>
  <c r="J361" i="35"/>
  <c r="I361" i="35"/>
  <c r="H362" i="35"/>
  <c r="G364" i="34"/>
  <c r="T362" i="34"/>
  <c r="T360" i="31"/>
  <c r="U361" i="31" s="1"/>
  <c r="I361" i="31"/>
  <c r="K361" i="31"/>
  <c r="L361" i="31"/>
  <c r="J361" i="31"/>
  <c r="G362" i="35" l="1"/>
  <c r="Y364" i="35"/>
  <c r="V364" i="35"/>
  <c r="X364" i="35"/>
  <c r="W364" i="35"/>
  <c r="U365" i="35"/>
  <c r="Y362" i="34"/>
  <c r="W362" i="34"/>
  <c r="V362" i="34"/>
  <c r="X362" i="34"/>
  <c r="U363" i="34"/>
  <c r="J364" i="34"/>
  <c r="I364" i="34"/>
  <c r="K364" i="34"/>
  <c r="L364" i="34"/>
  <c r="H365" i="34"/>
  <c r="G362" i="31"/>
  <c r="H363" i="31" s="1"/>
  <c r="Y360" i="31"/>
  <c r="X360" i="31"/>
  <c r="W360" i="31"/>
  <c r="V360" i="31"/>
  <c r="T361" i="31"/>
  <c r="U362" i="31" s="1"/>
  <c r="T365" i="35" l="1"/>
  <c r="K362" i="35"/>
  <c r="L362" i="35"/>
  <c r="J362" i="35"/>
  <c r="I362" i="35"/>
  <c r="H363" i="35"/>
  <c r="T363" i="34"/>
  <c r="G365" i="34"/>
  <c r="T362" i="31"/>
  <c r="U363" i="31" s="1"/>
  <c r="Y361" i="31"/>
  <c r="X361" i="31"/>
  <c r="W361" i="31"/>
  <c r="V361" i="31"/>
  <c r="I362" i="31"/>
  <c r="K362" i="31"/>
  <c r="J362" i="31"/>
  <c r="L362" i="31"/>
  <c r="G363" i="35" l="1"/>
  <c r="Y365" i="35"/>
  <c r="V365" i="35"/>
  <c r="X365" i="35"/>
  <c r="W365" i="35"/>
  <c r="U366" i="35"/>
  <c r="J365" i="34"/>
  <c r="I365" i="34"/>
  <c r="K365" i="34"/>
  <c r="L365" i="34"/>
  <c r="H366" i="34"/>
  <c r="Y363" i="34"/>
  <c r="W363" i="34"/>
  <c r="V363" i="34"/>
  <c r="X363" i="34"/>
  <c r="U364" i="34"/>
  <c r="G363" i="31"/>
  <c r="H364" i="31" s="1"/>
  <c r="Y362" i="31"/>
  <c r="X362" i="31"/>
  <c r="W362" i="31"/>
  <c r="V362" i="31"/>
  <c r="T366" i="35" l="1"/>
  <c r="K363" i="35"/>
  <c r="J363" i="35"/>
  <c r="I363" i="35"/>
  <c r="L363" i="35"/>
  <c r="H364" i="35"/>
  <c r="G366" i="34"/>
  <c r="T364" i="34"/>
  <c r="T363" i="31"/>
  <c r="U364" i="31" s="1"/>
  <c r="I363" i="31"/>
  <c r="K363" i="31"/>
  <c r="L363" i="31"/>
  <c r="J363" i="31"/>
  <c r="G364" i="35" l="1"/>
  <c r="Y366" i="35"/>
  <c r="V366" i="35"/>
  <c r="X366" i="35"/>
  <c r="W366" i="35"/>
  <c r="U367" i="35"/>
  <c r="Y364" i="34"/>
  <c r="W364" i="34"/>
  <c r="V364" i="34"/>
  <c r="X364" i="34"/>
  <c r="U365" i="34"/>
  <c r="J366" i="34"/>
  <c r="I366" i="34"/>
  <c r="K366" i="34"/>
  <c r="L366" i="34"/>
  <c r="H367" i="34"/>
  <c r="G364" i="31"/>
  <c r="H365" i="31" s="1"/>
  <c r="Y363" i="31"/>
  <c r="X363" i="31"/>
  <c r="W363" i="31"/>
  <c r="V363" i="31"/>
  <c r="K364" i="35" l="1"/>
  <c r="I364" i="35"/>
  <c r="J364" i="35"/>
  <c r="L364" i="35"/>
  <c r="T367" i="35"/>
  <c r="H365" i="35"/>
  <c r="G367" i="34"/>
  <c r="T365" i="34"/>
  <c r="T364" i="31"/>
  <c r="U365" i="31" s="1"/>
  <c r="I364" i="31"/>
  <c r="K364" i="31"/>
  <c r="J364" i="31"/>
  <c r="L364" i="31"/>
  <c r="G365" i="35" l="1"/>
  <c r="Y367" i="35"/>
  <c r="V367" i="35"/>
  <c r="X367" i="35"/>
  <c r="W367" i="35"/>
  <c r="U368" i="35"/>
  <c r="Y365" i="34"/>
  <c r="W365" i="34"/>
  <c r="V365" i="34"/>
  <c r="X365" i="34"/>
  <c r="U366" i="34"/>
  <c r="J367" i="34"/>
  <c r="I367" i="34"/>
  <c r="K367" i="34"/>
  <c r="L367" i="34"/>
  <c r="H368" i="34"/>
  <c r="G365" i="31"/>
  <c r="H366" i="31" s="1"/>
  <c r="Y364" i="31"/>
  <c r="X364" i="31"/>
  <c r="W364" i="31"/>
  <c r="V364" i="31"/>
  <c r="T368" i="35" l="1"/>
  <c r="K365" i="35"/>
  <c r="L365" i="35"/>
  <c r="J365" i="35"/>
  <c r="I365" i="35"/>
  <c r="H366" i="35"/>
  <c r="T366" i="34"/>
  <c r="G368" i="34"/>
  <c r="T365" i="31"/>
  <c r="U366" i="31" s="1"/>
  <c r="I365" i="31"/>
  <c r="K365" i="31"/>
  <c r="L365" i="31"/>
  <c r="J365" i="31"/>
  <c r="G366" i="35" l="1"/>
  <c r="Y368" i="35"/>
  <c r="V368" i="35"/>
  <c r="X368" i="35"/>
  <c r="W368" i="35"/>
  <c r="U369" i="35"/>
  <c r="J368" i="34"/>
  <c r="I368" i="34"/>
  <c r="K368" i="34"/>
  <c r="L368" i="34"/>
  <c r="H369" i="34"/>
  <c r="Y366" i="34"/>
  <c r="W366" i="34"/>
  <c r="V366" i="34"/>
  <c r="X366" i="34"/>
  <c r="U367" i="34"/>
  <c r="G366" i="31"/>
  <c r="H367" i="31" s="1"/>
  <c r="Y365" i="31"/>
  <c r="X365" i="31"/>
  <c r="W365" i="31"/>
  <c r="V365" i="31"/>
  <c r="T369" i="35" l="1"/>
  <c r="J366" i="35"/>
  <c r="K366" i="35"/>
  <c r="L366" i="35"/>
  <c r="I366" i="35"/>
  <c r="H367" i="35"/>
  <c r="T367" i="34"/>
  <c r="G369" i="34"/>
  <c r="T366" i="31"/>
  <c r="U367" i="31" s="1"/>
  <c r="I366" i="31"/>
  <c r="K366" i="31"/>
  <c r="J366" i="31"/>
  <c r="L366" i="31"/>
  <c r="G367" i="35" l="1"/>
  <c r="Y369" i="35"/>
  <c r="V369" i="35"/>
  <c r="X369" i="35"/>
  <c r="W369" i="35"/>
  <c r="U370" i="35"/>
  <c r="J369" i="34"/>
  <c r="I369" i="34"/>
  <c r="K369" i="34"/>
  <c r="L369" i="34"/>
  <c r="H370" i="34"/>
  <c r="Y367" i="34"/>
  <c r="W367" i="34"/>
  <c r="V367" i="34"/>
  <c r="X367" i="34"/>
  <c r="U368" i="34"/>
  <c r="G367" i="31"/>
  <c r="H368" i="31" s="1"/>
  <c r="Y366" i="31"/>
  <c r="X366" i="31"/>
  <c r="W366" i="31"/>
  <c r="V366" i="31"/>
  <c r="T370" i="35" l="1"/>
  <c r="J367" i="35"/>
  <c r="K367" i="35"/>
  <c r="L367" i="35"/>
  <c r="I367" i="35"/>
  <c r="H368" i="35"/>
  <c r="T368" i="34"/>
  <c r="G370" i="34"/>
  <c r="T367" i="31"/>
  <c r="U368" i="31" s="1"/>
  <c r="I367" i="31"/>
  <c r="K367" i="31"/>
  <c r="L367" i="31"/>
  <c r="J367" i="31"/>
  <c r="G368" i="35" l="1"/>
  <c r="Y370" i="35"/>
  <c r="V370" i="35"/>
  <c r="W370" i="35"/>
  <c r="X370" i="35"/>
  <c r="U371" i="35"/>
  <c r="J370" i="34"/>
  <c r="I370" i="34"/>
  <c r="K370" i="34"/>
  <c r="L370" i="34"/>
  <c r="H371" i="34"/>
  <c r="Y368" i="34"/>
  <c r="W368" i="34"/>
  <c r="V368" i="34"/>
  <c r="X368" i="34"/>
  <c r="U369" i="34"/>
  <c r="G368" i="31"/>
  <c r="H369" i="31" s="1"/>
  <c r="Y367" i="31"/>
  <c r="X367" i="31"/>
  <c r="W367" i="31"/>
  <c r="V367" i="31"/>
  <c r="T371" i="35" l="1"/>
  <c r="J368" i="35"/>
  <c r="K368" i="35"/>
  <c r="I368" i="35"/>
  <c r="L368" i="35"/>
  <c r="H369" i="35"/>
  <c r="T369" i="34"/>
  <c r="G371" i="34"/>
  <c r="T368" i="31"/>
  <c r="U369" i="31" s="1"/>
  <c r="I368" i="31"/>
  <c r="K368" i="31"/>
  <c r="J368" i="31"/>
  <c r="L368" i="31"/>
  <c r="G369" i="35" l="1"/>
  <c r="Y371" i="35"/>
  <c r="V371" i="35"/>
  <c r="W371" i="35"/>
  <c r="X371" i="35"/>
  <c r="U372" i="35"/>
  <c r="J371" i="34"/>
  <c r="I371" i="34"/>
  <c r="K371" i="34"/>
  <c r="L371" i="34"/>
  <c r="H372" i="34"/>
  <c r="Y369" i="34"/>
  <c r="W369" i="34"/>
  <c r="V369" i="34"/>
  <c r="X369" i="34"/>
  <c r="U370" i="34"/>
  <c r="G369" i="31"/>
  <c r="H370" i="31" s="1"/>
  <c r="Y368" i="31"/>
  <c r="X368" i="31"/>
  <c r="W368" i="31"/>
  <c r="V368" i="31"/>
  <c r="T372" i="35" l="1"/>
  <c r="J369" i="35"/>
  <c r="K369" i="35"/>
  <c r="I369" i="35"/>
  <c r="L369" i="35"/>
  <c r="H370" i="35"/>
  <c r="T370" i="34"/>
  <c r="G372" i="34"/>
  <c r="T369" i="31"/>
  <c r="U370" i="31" s="1"/>
  <c r="I369" i="31"/>
  <c r="K369" i="31"/>
  <c r="L369" i="31"/>
  <c r="J369" i="31"/>
  <c r="G370" i="35" l="1"/>
  <c r="Y372" i="35"/>
  <c r="V372" i="35"/>
  <c r="X372" i="35"/>
  <c r="W372" i="35"/>
  <c r="U373" i="35"/>
  <c r="J372" i="34"/>
  <c r="I372" i="34"/>
  <c r="K372" i="34"/>
  <c r="L372" i="34"/>
  <c r="H373" i="34"/>
  <c r="Y370" i="34"/>
  <c r="W370" i="34"/>
  <c r="V370" i="34"/>
  <c r="X370" i="34"/>
  <c r="U371" i="34"/>
  <c r="G370" i="31"/>
  <c r="H371" i="31" s="1"/>
  <c r="Y369" i="31"/>
  <c r="X369" i="31"/>
  <c r="W369" i="31"/>
  <c r="V369" i="31"/>
  <c r="T373" i="35" l="1"/>
  <c r="J370" i="35"/>
  <c r="K370" i="35"/>
  <c r="L370" i="35"/>
  <c r="I370" i="35"/>
  <c r="H371" i="35"/>
  <c r="G373" i="34"/>
  <c r="H374" i="34" s="1"/>
  <c r="T371" i="34"/>
  <c r="T370" i="31"/>
  <c r="U371" i="31" s="1"/>
  <c r="I370" i="31"/>
  <c r="K370" i="31"/>
  <c r="J370" i="31"/>
  <c r="L370" i="31"/>
  <c r="G371" i="35" l="1"/>
  <c r="Y373" i="35"/>
  <c r="V373" i="35"/>
  <c r="X373" i="35"/>
  <c r="W373" i="35"/>
  <c r="U374" i="35"/>
  <c r="Y371" i="34"/>
  <c r="W371" i="34"/>
  <c r="V371" i="34"/>
  <c r="X371" i="34"/>
  <c r="U372" i="34"/>
  <c r="J373" i="34"/>
  <c r="I373" i="34"/>
  <c r="K373" i="34"/>
  <c r="L373" i="34"/>
  <c r="G374" i="34"/>
  <c r="H375" i="34" s="1"/>
  <c r="G371" i="31"/>
  <c r="H372" i="31" s="1"/>
  <c r="Y370" i="31"/>
  <c r="X370" i="31"/>
  <c r="W370" i="31"/>
  <c r="V370" i="31"/>
  <c r="T374" i="35" l="1"/>
  <c r="J371" i="35"/>
  <c r="K371" i="35"/>
  <c r="L371" i="35"/>
  <c r="I371" i="35"/>
  <c r="H372" i="35"/>
  <c r="G375" i="34"/>
  <c r="J374" i="34"/>
  <c r="I374" i="34"/>
  <c r="K374" i="34"/>
  <c r="L374" i="34"/>
  <c r="T372" i="34"/>
  <c r="I371" i="31"/>
  <c r="K371" i="31"/>
  <c r="L371" i="31"/>
  <c r="J371" i="31"/>
  <c r="T371" i="31"/>
  <c r="U372" i="31" s="1"/>
  <c r="G372" i="35" l="1"/>
  <c r="Y374" i="35"/>
  <c r="V374" i="35"/>
  <c r="W374" i="35"/>
  <c r="X374" i="35"/>
  <c r="U375" i="35"/>
  <c r="Y372" i="34"/>
  <c r="W372" i="34"/>
  <c r="V372" i="34"/>
  <c r="X372" i="34"/>
  <c r="U373" i="34"/>
  <c r="J375" i="34"/>
  <c r="I375" i="34"/>
  <c r="K375" i="34"/>
  <c r="L375" i="34"/>
  <c r="H376" i="34"/>
  <c r="G372" i="31"/>
  <c r="H373" i="31" s="1"/>
  <c r="Y371" i="31"/>
  <c r="X371" i="31"/>
  <c r="W371" i="31"/>
  <c r="V371" i="31"/>
  <c r="T375" i="35" l="1"/>
  <c r="J372" i="35"/>
  <c r="K372" i="35"/>
  <c r="I372" i="35"/>
  <c r="L372" i="35"/>
  <c r="H373" i="35"/>
  <c r="G376" i="34"/>
  <c r="T373" i="34"/>
  <c r="I372" i="31"/>
  <c r="K372" i="31"/>
  <c r="J372" i="31"/>
  <c r="L372" i="31"/>
  <c r="T372" i="31"/>
  <c r="U373" i="31" s="1"/>
  <c r="G373" i="35" l="1"/>
  <c r="Y375" i="35"/>
  <c r="V375" i="35"/>
  <c r="X375" i="35"/>
  <c r="W375" i="35"/>
  <c r="U376" i="35"/>
  <c r="Y373" i="34"/>
  <c r="W373" i="34"/>
  <c r="V373" i="34"/>
  <c r="X373" i="34"/>
  <c r="U374" i="34"/>
  <c r="J376" i="34"/>
  <c r="I376" i="34"/>
  <c r="K376" i="34"/>
  <c r="L376" i="34"/>
  <c r="H377" i="34"/>
  <c r="G373" i="31"/>
  <c r="H374" i="31" s="1"/>
  <c r="Y372" i="31"/>
  <c r="X372" i="31"/>
  <c r="W372" i="31"/>
  <c r="V372" i="31"/>
  <c r="T376" i="35" l="1"/>
  <c r="J373" i="35"/>
  <c r="K373" i="35"/>
  <c r="L373" i="35"/>
  <c r="I373" i="35"/>
  <c r="H374" i="35"/>
  <c r="T374" i="34"/>
  <c r="G377" i="34"/>
  <c r="T373" i="31"/>
  <c r="U374" i="31" s="1"/>
  <c r="I373" i="31"/>
  <c r="K373" i="31"/>
  <c r="L373" i="31"/>
  <c r="J373" i="31"/>
  <c r="G374" i="31"/>
  <c r="H375" i="31" s="1"/>
  <c r="G374" i="35" l="1"/>
  <c r="Y376" i="35"/>
  <c r="V376" i="35"/>
  <c r="X376" i="35"/>
  <c r="W376" i="35"/>
  <c r="U377" i="35"/>
  <c r="J377" i="34"/>
  <c r="I377" i="34"/>
  <c r="K377" i="34"/>
  <c r="L377" i="34"/>
  <c r="H378" i="34"/>
  <c r="Y374" i="34"/>
  <c r="W374" i="34"/>
  <c r="V374" i="34"/>
  <c r="X374" i="34"/>
  <c r="U375" i="34"/>
  <c r="G375" i="31"/>
  <c r="H376" i="31" s="1"/>
  <c r="Y373" i="31"/>
  <c r="X373" i="31"/>
  <c r="W373" i="31"/>
  <c r="V373" i="31"/>
  <c r="I374" i="31"/>
  <c r="K374" i="31"/>
  <c r="J374" i="31"/>
  <c r="L374" i="31"/>
  <c r="T377" i="35" l="1"/>
  <c r="J374" i="35"/>
  <c r="K374" i="35"/>
  <c r="L374" i="35"/>
  <c r="I374" i="35"/>
  <c r="H375" i="35"/>
  <c r="T375" i="34"/>
  <c r="G378" i="34"/>
  <c r="T374" i="31"/>
  <c r="U375" i="31" s="1"/>
  <c r="I375" i="31"/>
  <c r="K375" i="31"/>
  <c r="L375" i="31"/>
  <c r="J375" i="31"/>
  <c r="G375" i="35" l="1"/>
  <c r="Y377" i="35"/>
  <c r="V377" i="35"/>
  <c r="W377" i="35"/>
  <c r="X377" i="35"/>
  <c r="U378" i="35"/>
  <c r="J378" i="34"/>
  <c r="I378" i="34"/>
  <c r="K378" i="34"/>
  <c r="L378" i="34"/>
  <c r="H379" i="34"/>
  <c r="Y375" i="34"/>
  <c r="W375" i="34"/>
  <c r="V375" i="34"/>
  <c r="X375" i="34"/>
  <c r="U376" i="34"/>
  <c r="G376" i="31"/>
  <c r="H377" i="31" s="1"/>
  <c r="Y374" i="31"/>
  <c r="X374" i="31"/>
  <c r="W374" i="31"/>
  <c r="V374" i="31"/>
  <c r="T378" i="35" l="1"/>
  <c r="J375" i="35"/>
  <c r="K375" i="35"/>
  <c r="I375" i="35"/>
  <c r="L375" i="35"/>
  <c r="H376" i="35"/>
  <c r="T376" i="34"/>
  <c r="G379" i="34"/>
  <c r="T375" i="31"/>
  <c r="U376" i="31" s="1"/>
  <c r="I376" i="31"/>
  <c r="K376" i="31"/>
  <c r="J376" i="31"/>
  <c r="L376" i="31"/>
  <c r="G376" i="35" l="1"/>
  <c r="Y378" i="35"/>
  <c r="V378" i="35"/>
  <c r="X378" i="35"/>
  <c r="W378" i="35"/>
  <c r="U379" i="35"/>
  <c r="J379" i="34"/>
  <c r="I379" i="34"/>
  <c r="K379" i="34"/>
  <c r="L379" i="34"/>
  <c r="H380" i="34"/>
  <c r="Y376" i="34"/>
  <c r="W376" i="34"/>
  <c r="V376" i="34"/>
  <c r="X376" i="34"/>
  <c r="U377" i="34"/>
  <c r="Y375" i="31"/>
  <c r="X375" i="31"/>
  <c r="W375" i="31"/>
  <c r="V375" i="31"/>
  <c r="G377" i="31"/>
  <c r="H378" i="31" s="1"/>
  <c r="T379" i="35" l="1"/>
  <c r="J376" i="35"/>
  <c r="K376" i="35"/>
  <c r="L376" i="35"/>
  <c r="I376" i="35"/>
  <c r="H377" i="35"/>
  <c r="T377" i="34"/>
  <c r="G380" i="34"/>
  <c r="I377" i="31"/>
  <c r="K377" i="31"/>
  <c r="L377" i="31"/>
  <c r="J377" i="31"/>
  <c r="T376" i="31"/>
  <c r="U377" i="31" s="1"/>
  <c r="Y379" i="35" l="1"/>
  <c r="V379" i="35"/>
  <c r="X379" i="35"/>
  <c r="W379" i="35"/>
  <c r="G377" i="35"/>
  <c r="U380" i="35"/>
  <c r="J380" i="34"/>
  <c r="I380" i="34"/>
  <c r="K380" i="34"/>
  <c r="L380" i="34"/>
  <c r="H381" i="34"/>
  <c r="Y377" i="34"/>
  <c r="W377" i="34"/>
  <c r="V377" i="34"/>
  <c r="X377" i="34"/>
  <c r="U378" i="34"/>
  <c r="Y376" i="31"/>
  <c r="X376" i="31"/>
  <c r="W376" i="31"/>
  <c r="V376" i="31"/>
  <c r="G378" i="31"/>
  <c r="H379" i="31" s="1"/>
  <c r="T380" i="35" l="1"/>
  <c r="J377" i="35"/>
  <c r="K377" i="35"/>
  <c r="L377" i="35"/>
  <c r="I377" i="35"/>
  <c r="H378" i="35"/>
  <c r="T378" i="34"/>
  <c r="G381" i="34"/>
  <c r="G379" i="31"/>
  <c r="H380" i="31" s="1"/>
  <c r="T377" i="31"/>
  <c r="U378" i="31" s="1"/>
  <c r="I378" i="31"/>
  <c r="K378" i="31"/>
  <c r="J378" i="31"/>
  <c r="L378" i="31"/>
  <c r="G378" i="35" l="1"/>
  <c r="Y380" i="35"/>
  <c r="V380" i="35"/>
  <c r="X380" i="35"/>
  <c r="W380" i="35"/>
  <c r="U381" i="35"/>
  <c r="J381" i="34"/>
  <c r="I381" i="34"/>
  <c r="K381" i="34"/>
  <c r="L381" i="34"/>
  <c r="H382" i="34"/>
  <c r="Y378" i="34"/>
  <c r="W378" i="34"/>
  <c r="V378" i="34"/>
  <c r="X378" i="34"/>
  <c r="U379" i="34"/>
  <c r="Y377" i="31"/>
  <c r="X377" i="31"/>
  <c r="W377" i="31"/>
  <c r="V377" i="31"/>
  <c r="I379" i="31"/>
  <c r="K379" i="31"/>
  <c r="L379" i="31"/>
  <c r="J379" i="31"/>
  <c r="T381" i="35" l="1"/>
  <c r="J378" i="35"/>
  <c r="K378" i="35"/>
  <c r="L378" i="35"/>
  <c r="I378" i="35"/>
  <c r="H379" i="35"/>
  <c r="T379" i="34"/>
  <c r="G382" i="34"/>
  <c r="H383" i="34" s="1"/>
  <c r="T378" i="31"/>
  <c r="U379" i="31" s="1"/>
  <c r="G380" i="31"/>
  <c r="H381" i="31" s="1"/>
  <c r="G379" i="35" l="1"/>
  <c r="Y381" i="35"/>
  <c r="V381" i="35"/>
  <c r="X381" i="35"/>
  <c r="W381" i="35"/>
  <c r="U382" i="35"/>
  <c r="G383" i="34"/>
  <c r="J382" i="34"/>
  <c r="I382" i="34"/>
  <c r="K382" i="34"/>
  <c r="L382" i="34"/>
  <c r="Y379" i="34"/>
  <c r="W379" i="34"/>
  <c r="V379" i="34"/>
  <c r="X379" i="34"/>
  <c r="U380" i="34"/>
  <c r="Y378" i="31"/>
  <c r="X378" i="31"/>
  <c r="W378" i="31"/>
  <c r="V378" i="31"/>
  <c r="I380" i="31"/>
  <c r="K380" i="31"/>
  <c r="J380" i="31"/>
  <c r="L380" i="31"/>
  <c r="T382" i="35" l="1"/>
  <c r="J379" i="35"/>
  <c r="K379" i="35"/>
  <c r="L379" i="35"/>
  <c r="I379" i="35"/>
  <c r="H380" i="35"/>
  <c r="T380" i="34"/>
  <c r="J383" i="34"/>
  <c r="I383" i="34"/>
  <c r="K383" i="34"/>
  <c r="L383" i="34"/>
  <c r="H384" i="34"/>
  <c r="G381" i="31"/>
  <c r="H382" i="31" s="1"/>
  <c r="T379" i="31"/>
  <c r="U380" i="31" s="1"/>
  <c r="G380" i="35" l="1"/>
  <c r="Y382" i="35"/>
  <c r="V382" i="35"/>
  <c r="W382" i="35"/>
  <c r="X382" i="35"/>
  <c r="U383" i="35"/>
  <c r="G384" i="34"/>
  <c r="Y380" i="34"/>
  <c r="W380" i="34"/>
  <c r="V380" i="34"/>
  <c r="X380" i="34"/>
  <c r="U381" i="34"/>
  <c r="Y379" i="31"/>
  <c r="X379" i="31"/>
  <c r="W379" i="31"/>
  <c r="V379" i="31"/>
  <c r="I381" i="31"/>
  <c r="K381" i="31"/>
  <c r="L381" i="31"/>
  <c r="J381" i="31"/>
  <c r="G382" i="31"/>
  <c r="H383" i="31" s="1"/>
  <c r="T383" i="35" l="1"/>
  <c r="J380" i="35"/>
  <c r="K380" i="35"/>
  <c r="I380" i="35"/>
  <c r="L380" i="35"/>
  <c r="H381" i="35"/>
  <c r="T381" i="34"/>
  <c r="J384" i="34"/>
  <c r="I384" i="34"/>
  <c r="K384" i="34"/>
  <c r="L384" i="34"/>
  <c r="H385" i="34"/>
  <c r="G383" i="31"/>
  <c r="H384" i="31" s="1"/>
  <c r="T380" i="31"/>
  <c r="U381" i="31" s="1"/>
  <c r="I382" i="31"/>
  <c r="K382" i="31"/>
  <c r="J382" i="31"/>
  <c r="L382" i="31"/>
  <c r="G381" i="35" l="1"/>
  <c r="Y383" i="35"/>
  <c r="V383" i="35"/>
  <c r="W383" i="35"/>
  <c r="X383" i="35"/>
  <c r="U384" i="35"/>
  <c r="G385" i="34"/>
  <c r="Y381" i="34"/>
  <c r="W381" i="34"/>
  <c r="V381" i="34"/>
  <c r="X381" i="34"/>
  <c r="U382" i="34"/>
  <c r="Y380" i="31"/>
  <c r="X380" i="31"/>
  <c r="W380" i="31"/>
  <c r="V380" i="31"/>
  <c r="J383" i="31"/>
  <c r="I383" i="31"/>
  <c r="K383" i="31"/>
  <c r="L383" i="31"/>
  <c r="T384" i="35" l="1"/>
  <c r="J381" i="35"/>
  <c r="K381" i="35"/>
  <c r="I381" i="35"/>
  <c r="L381" i="35"/>
  <c r="H382" i="35"/>
  <c r="T382" i="34"/>
  <c r="J385" i="34"/>
  <c r="I385" i="34"/>
  <c r="K385" i="34"/>
  <c r="L385" i="34"/>
  <c r="H386" i="34"/>
  <c r="G384" i="31"/>
  <c r="H385" i="31" s="1"/>
  <c r="T381" i="31"/>
  <c r="U382" i="31" s="1"/>
  <c r="G382" i="35" l="1"/>
  <c r="Y384" i="35"/>
  <c r="V384" i="35"/>
  <c r="X384" i="35"/>
  <c r="W384" i="35"/>
  <c r="U385" i="35"/>
  <c r="G386" i="34"/>
  <c r="Y382" i="34"/>
  <c r="W382" i="34"/>
  <c r="V382" i="34"/>
  <c r="X382" i="34"/>
  <c r="U383" i="34"/>
  <c r="J384" i="31"/>
  <c r="I384" i="31"/>
  <c r="K384" i="31"/>
  <c r="L384" i="31"/>
  <c r="Y381" i="31"/>
  <c r="X381" i="31"/>
  <c r="W381" i="31"/>
  <c r="V381" i="31"/>
  <c r="T385" i="35" l="1"/>
  <c r="J382" i="35"/>
  <c r="K382" i="35"/>
  <c r="L382" i="35"/>
  <c r="I382" i="35"/>
  <c r="H383" i="35"/>
  <c r="T383" i="34"/>
  <c r="J386" i="34"/>
  <c r="I386" i="34"/>
  <c r="K386" i="34"/>
  <c r="L386" i="34"/>
  <c r="H387" i="34"/>
  <c r="G385" i="31"/>
  <c r="H386" i="31" s="1"/>
  <c r="T382" i="31"/>
  <c r="U383" i="31" s="1"/>
  <c r="G383" i="35" l="1"/>
  <c r="Y385" i="35"/>
  <c r="V385" i="35"/>
  <c r="X385" i="35"/>
  <c r="W385" i="35"/>
  <c r="U386" i="35"/>
  <c r="Y383" i="34"/>
  <c r="W383" i="34"/>
  <c r="V383" i="34"/>
  <c r="X383" i="34"/>
  <c r="G387" i="34"/>
  <c r="U384" i="34"/>
  <c r="Y382" i="31"/>
  <c r="X382" i="31"/>
  <c r="W382" i="31"/>
  <c r="V382" i="31"/>
  <c r="J385" i="31"/>
  <c r="I385" i="31"/>
  <c r="K385" i="31"/>
  <c r="L385" i="31"/>
  <c r="T386" i="35" l="1"/>
  <c r="J383" i="35"/>
  <c r="K383" i="35"/>
  <c r="L383" i="35"/>
  <c r="I383" i="35"/>
  <c r="H384" i="35"/>
  <c r="T384" i="34"/>
  <c r="J387" i="34"/>
  <c r="I387" i="34"/>
  <c r="K387" i="34"/>
  <c r="L387" i="34"/>
  <c r="H388" i="34"/>
  <c r="G386" i="31"/>
  <c r="H387" i="31" s="1"/>
  <c r="T383" i="31"/>
  <c r="U384" i="31" s="1"/>
  <c r="G384" i="35" l="1"/>
  <c r="Y386" i="35"/>
  <c r="V386" i="35"/>
  <c r="W386" i="35"/>
  <c r="X386" i="35"/>
  <c r="U387" i="35"/>
  <c r="G388" i="34"/>
  <c r="Y384" i="34"/>
  <c r="W384" i="34"/>
  <c r="V384" i="34"/>
  <c r="X384" i="34"/>
  <c r="U385" i="34"/>
  <c r="Y383" i="31"/>
  <c r="X383" i="31"/>
  <c r="W383" i="31"/>
  <c r="V383" i="31"/>
  <c r="J386" i="31"/>
  <c r="I386" i="31"/>
  <c r="K386" i="31"/>
  <c r="L386" i="31"/>
  <c r="T387" i="35" l="1"/>
  <c r="J384" i="35"/>
  <c r="K384" i="35"/>
  <c r="I384" i="35"/>
  <c r="L384" i="35"/>
  <c r="H385" i="35"/>
  <c r="T385" i="34"/>
  <c r="J388" i="34"/>
  <c r="I388" i="34"/>
  <c r="K388" i="34"/>
  <c r="L388" i="34"/>
  <c r="H389" i="34"/>
  <c r="G387" i="31"/>
  <c r="H388" i="31" s="1"/>
  <c r="T384" i="31"/>
  <c r="U385" i="31" s="1"/>
  <c r="G385" i="35" l="1"/>
  <c r="Y387" i="35"/>
  <c r="V387" i="35"/>
  <c r="X387" i="35"/>
  <c r="W387" i="35"/>
  <c r="U388" i="35"/>
  <c r="G389" i="34"/>
  <c r="Y385" i="34"/>
  <c r="W385" i="34"/>
  <c r="V385" i="34"/>
  <c r="X385" i="34"/>
  <c r="U386" i="34"/>
  <c r="T385" i="31"/>
  <c r="U386" i="31" s="1"/>
  <c r="Y384" i="31"/>
  <c r="X384" i="31"/>
  <c r="W384" i="31"/>
  <c r="V384" i="31"/>
  <c r="J387" i="31"/>
  <c r="I387" i="31"/>
  <c r="K387" i="31"/>
  <c r="L387" i="31"/>
  <c r="T388" i="35" l="1"/>
  <c r="J385" i="35"/>
  <c r="K385" i="35"/>
  <c r="L385" i="35"/>
  <c r="I385" i="35"/>
  <c r="H386" i="35"/>
  <c r="T386" i="34"/>
  <c r="J389" i="34"/>
  <c r="I389" i="34"/>
  <c r="K389" i="34"/>
  <c r="L389" i="34"/>
  <c r="H390" i="34"/>
  <c r="G388" i="31"/>
  <c r="H389" i="31" s="1"/>
  <c r="Y385" i="31"/>
  <c r="X385" i="31"/>
  <c r="W385" i="31"/>
  <c r="V385" i="31"/>
  <c r="G386" i="35" l="1"/>
  <c r="Y388" i="35"/>
  <c r="V388" i="35"/>
  <c r="X388" i="35"/>
  <c r="W388" i="35"/>
  <c r="U389" i="35"/>
  <c r="G390" i="34"/>
  <c r="Y386" i="34"/>
  <c r="W386" i="34"/>
  <c r="V386" i="34"/>
  <c r="X386" i="34"/>
  <c r="U387" i="34"/>
  <c r="T386" i="31"/>
  <c r="U387" i="31" s="1"/>
  <c r="J388" i="31"/>
  <c r="I388" i="31"/>
  <c r="K388" i="31"/>
  <c r="L388" i="31"/>
  <c r="T389" i="35" l="1"/>
  <c r="U390" i="35" s="1"/>
  <c r="J386" i="35"/>
  <c r="K386" i="35"/>
  <c r="L386" i="35"/>
  <c r="I386" i="35"/>
  <c r="H387" i="35"/>
  <c r="T387" i="34"/>
  <c r="J390" i="34"/>
  <c r="I390" i="34"/>
  <c r="K390" i="34"/>
  <c r="L390" i="34"/>
  <c r="H391" i="34"/>
  <c r="G389" i="31"/>
  <c r="H390" i="31" s="1"/>
  <c r="Y386" i="31"/>
  <c r="X386" i="31"/>
  <c r="W386" i="31"/>
  <c r="V386" i="31"/>
  <c r="G387" i="35" l="1"/>
  <c r="Y389" i="35"/>
  <c r="V389" i="35"/>
  <c r="W389" i="35"/>
  <c r="X389" i="35"/>
  <c r="T390" i="35"/>
  <c r="U391" i="35" s="1"/>
  <c r="G391" i="34"/>
  <c r="Y387" i="34"/>
  <c r="W387" i="34"/>
  <c r="V387" i="34"/>
  <c r="X387" i="34"/>
  <c r="U388" i="34"/>
  <c r="J389" i="31"/>
  <c r="I389" i="31"/>
  <c r="K389" i="31"/>
  <c r="L389" i="31"/>
  <c r="T387" i="31"/>
  <c r="U388" i="31" s="1"/>
  <c r="T391" i="35" l="1"/>
  <c r="Y390" i="35"/>
  <c r="V390" i="35"/>
  <c r="X390" i="35"/>
  <c r="W390" i="35"/>
  <c r="J387" i="35"/>
  <c r="K387" i="35"/>
  <c r="I387" i="35"/>
  <c r="L387" i="35"/>
  <c r="H388" i="35"/>
  <c r="T388" i="34"/>
  <c r="J391" i="34"/>
  <c r="I391" i="34"/>
  <c r="K391" i="34"/>
  <c r="L391" i="34"/>
  <c r="H392" i="34"/>
  <c r="T388" i="31"/>
  <c r="U389" i="31" s="1"/>
  <c r="G390" i="31"/>
  <c r="H391" i="31" s="1"/>
  <c r="Y387" i="31"/>
  <c r="X387" i="31"/>
  <c r="W387" i="31"/>
  <c r="V387" i="31"/>
  <c r="G388" i="35" l="1"/>
  <c r="Y391" i="35"/>
  <c r="V391" i="35"/>
  <c r="X391" i="35"/>
  <c r="W391" i="35"/>
  <c r="U392" i="35"/>
  <c r="Y388" i="34"/>
  <c r="W388" i="34"/>
  <c r="V388" i="34"/>
  <c r="X388" i="34"/>
  <c r="G392" i="34"/>
  <c r="U389" i="34"/>
  <c r="J390" i="31"/>
  <c r="I390" i="31"/>
  <c r="K390" i="31"/>
  <c r="L390" i="31"/>
  <c r="Y388" i="31"/>
  <c r="X388" i="31"/>
  <c r="W388" i="31"/>
  <c r="V388" i="31"/>
  <c r="T392" i="35" l="1"/>
  <c r="U393" i="35" s="1"/>
  <c r="J388" i="35"/>
  <c r="K388" i="35"/>
  <c r="L388" i="35"/>
  <c r="I388" i="35"/>
  <c r="H389" i="35"/>
  <c r="J392" i="34"/>
  <c r="I392" i="34"/>
  <c r="K392" i="34"/>
  <c r="L392" i="34"/>
  <c r="H393" i="34"/>
  <c r="T389" i="34"/>
  <c r="T389" i="31"/>
  <c r="U390" i="31" s="1"/>
  <c r="G391" i="31"/>
  <c r="H392" i="31" s="1"/>
  <c r="G389" i="35" l="1"/>
  <c r="Y392" i="35"/>
  <c r="V392" i="35"/>
  <c r="X392" i="35"/>
  <c r="W392" i="35"/>
  <c r="T393" i="35"/>
  <c r="Y389" i="34"/>
  <c r="W389" i="34"/>
  <c r="V389" i="34"/>
  <c r="X389" i="34"/>
  <c r="U390" i="34"/>
  <c r="G393" i="34"/>
  <c r="G392" i="31"/>
  <c r="H393" i="31" s="1"/>
  <c r="J391" i="31"/>
  <c r="I391" i="31"/>
  <c r="K391" i="31"/>
  <c r="L391" i="31"/>
  <c r="Y389" i="31"/>
  <c r="X389" i="31"/>
  <c r="W389" i="31"/>
  <c r="V389" i="31"/>
  <c r="Y393" i="35" l="1"/>
  <c r="V393" i="35"/>
  <c r="X393" i="35"/>
  <c r="W393" i="35"/>
  <c r="U394" i="35"/>
  <c r="J389" i="35"/>
  <c r="K389" i="35"/>
  <c r="L389" i="35"/>
  <c r="I389" i="35"/>
  <c r="H390" i="35"/>
  <c r="J393" i="34"/>
  <c r="I393" i="34"/>
  <c r="K393" i="34"/>
  <c r="L393" i="34"/>
  <c r="H394" i="34"/>
  <c r="T390" i="34"/>
  <c r="T390" i="31"/>
  <c r="U391" i="31" s="1"/>
  <c r="J392" i="31"/>
  <c r="I392" i="31"/>
  <c r="K392" i="31"/>
  <c r="L392" i="31"/>
  <c r="G390" i="35" l="1"/>
  <c r="T394" i="35"/>
  <c r="Y390" i="34"/>
  <c r="W390" i="34"/>
  <c r="V390" i="34"/>
  <c r="X390" i="34"/>
  <c r="U391" i="34"/>
  <c r="G394" i="34"/>
  <c r="G393" i="31"/>
  <c r="H394" i="31" s="1"/>
  <c r="Y390" i="31"/>
  <c r="X390" i="31"/>
  <c r="W390" i="31"/>
  <c r="V390" i="31"/>
  <c r="Y394" i="35" l="1"/>
  <c r="V394" i="35"/>
  <c r="W394" i="35"/>
  <c r="X394" i="35"/>
  <c r="U395" i="35"/>
  <c r="J390" i="35"/>
  <c r="K390" i="35"/>
  <c r="L390" i="35"/>
  <c r="I390" i="35"/>
  <c r="H391" i="35"/>
  <c r="T391" i="34"/>
  <c r="J394" i="34"/>
  <c r="I394" i="34"/>
  <c r="K394" i="34"/>
  <c r="L394" i="34"/>
  <c r="H395" i="34"/>
  <c r="J393" i="31"/>
  <c r="I393" i="31"/>
  <c r="K393" i="31"/>
  <c r="L393" i="31"/>
  <c r="T391" i="31"/>
  <c r="U392" i="31" s="1"/>
  <c r="T395" i="35" l="1"/>
  <c r="G391" i="35"/>
  <c r="G395" i="34"/>
  <c r="Y391" i="34"/>
  <c r="W391" i="34"/>
  <c r="V391" i="34"/>
  <c r="X391" i="34"/>
  <c r="U392" i="34"/>
  <c r="G394" i="31"/>
  <c r="H395" i="31" s="1"/>
  <c r="Y391" i="31"/>
  <c r="X391" i="31"/>
  <c r="W391" i="31"/>
  <c r="V391" i="31"/>
  <c r="J391" i="35" l="1"/>
  <c r="K391" i="35"/>
  <c r="L391" i="35"/>
  <c r="I391" i="35"/>
  <c r="H392" i="35"/>
  <c r="Y395" i="35"/>
  <c r="V395" i="35"/>
  <c r="W395" i="35"/>
  <c r="X395" i="35"/>
  <c r="U396" i="35"/>
  <c r="T392" i="34"/>
  <c r="J395" i="34"/>
  <c r="I395" i="34"/>
  <c r="K395" i="34"/>
  <c r="L395" i="34"/>
  <c r="H396" i="34"/>
  <c r="T392" i="31"/>
  <c r="U393" i="31" s="1"/>
  <c r="J394" i="31"/>
  <c r="I394" i="31"/>
  <c r="K394" i="31"/>
  <c r="L394" i="31"/>
  <c r="T396" i="35" l="1"/>
  <c r="G392" i="35"/>
  <c r="G396" i="34"/>
  <c r="Y392" i="34"/>
  <c r="W392" i="34"/>
  <c r="V392" i="34"/>
  <c r="X392" i="34"/>
  <c r="U393" i="34"/>
  <c r="G395" i="31"/>
  <c r="H396" i="31" s="1"/>
  <c r="Y392" i="31"/>
  <c r="X392" i="31"/>
  <c r="W392" i="31"/>
  <c r="V392" i="31"/>
  <c r="J392" i="35" l="1"/>
  <c r="K392" i="35"/>
  <c r="I392" i="35"/>
  <c r="L392" i="35"/>
  <c r="H393" i="35"/>
  <c r="Y396" i="35"/>
  <c r="V396" i="35"/>
  <c r="X396" i="35"/>
  <c r="W396" i="35"/>
  <c r="U397" i="35"/>
  <c r="T393" i="34"/>
  <c r="J396" i="34"/>
  <c r="I396" i="34"/>
  <c r="K396" i="34"/>
  <c r="L396" i="34"/>
  <c r="H397" i="34"/>
  <c r="T393" i="31"/>
  <c r="U394" i="31" s="1"/>
  <c r="J395" i="31"/>
  <c r="I395" i="31"/>
  <c r="K395" i="31"/>
  <c r="L395" i="31"/>
  <c r="G393" i="35" l="1"/>
  <c r="T397" i="35"/>
  <c r="G397" i="34"/>
  <c r="Y393" i="34"/>
  <c r="W393" i="34"/>
  <c r="V393" i="34"/>
  <c r="X393" i="34"/>
  <c r="U394" i="34"/>
  <c r="G396" i="31"/>
  <c r="H397" i="31" s="1"/>
  <c r="Y393" i="31"/>
  <c r="X393" i="31"/>
  <c r="W393" i="31"/>
  <c r="V393" i="31"/>
  <c r="Y397" i="35" l="1"/>
  <c r="V397" i="35"/>
  <c r="X397" i="35"/>
  <c r="W397" i="35"/>
  <c r="U398" i="35"/>
  <c r="J393" i="35"/>
  <c r="K393" i="35"/>
  <c r="I393" i="35"/>
  <c r="L393" i="35"/>
  <c r="H394" i="35"/>
  <c r="T394" i="34"/>
  <c r="J397" i="34"/>
  <c r="I397" i="34"/>
  <c r="K397" i="34"/>
  <c r="L397" i="34"/>
  <c r="H398" i="34"/>
  <c r="T394" i="31"/>
  <c r="U395" i="31" s="1"/>
  <c r="J396" i="31"/>
  <c r="I396" i="31"/>
  <c r="K396" i="31"/>
  <c r="L396" i="31"/>
  <c r="T398" i="35" l="1"/>
  <c r="G394" i="35"/>
  <c r="H395" i="35" s="1"/>
  <c r="Y394" i="34"/>
  <c r="W394" i="34"/>
  <c r="V394" i="34"/>
  <c r="X394" i="34"/>
  <c r="G398" i="34"/>
  <c r="U395" i="34"/>
  <c r="G397" i="31"/>
  <c r="H398" i="31" s="1"/>
  <c r="Y394" i="31"/>
  <c r="X394" i="31"/>
  <c r="W394" i="31"/>
  <c r="V394" i="31"/>
  <c r="G395" i="35" l="1"/>
  <c r="J394" i="35"/>
  <c r="K394" i="35"/>
  <c r="L394" i="35"/>
  <c r="I394" i="35"/>
  <c r="Y398" i="35"/>
  <c r="V398" i="35"/>
  <c r="W398" i="35"/>
  <c r="X398" i="35"/>
  <c r="U399" i="35"/>
  <c r="T395" i="34"/>
  <c r="J398" i="34"/>
  <c r="I398" i="34"/>
  <c r="K398" i="34"/>
  <c r="L398" i="34"/>
  <c r="H399" i="34"/>
  <c r="T395" i="31"/>
  <c r="U396" i="31" s="1"/>
  <c r="J397" i="31"/>
  <c r="I397" i="31"/>
  <c r="K397" i="31"/>
  <c r="L397" i="31"/>
  <c r="T399" i="35" l="1"/>
  <c r="J395" i="35"/>
  <c r="K395" i="35"/>
  <c r="L395" i="35"/>
  <c r="I395" i="35"/>
  <c r="H396" i="35"/>
  <c r="G399" i="34"/>
  <c r="Y395" i="34"/>
  <c r="W395" i="34"/>
  <c r="V395" i="34"/>
  <c r="X395" i="34"/>
  <c r="U396" i="34"/>
  <c r="Y395" i="31"/>
  <c r="X395" i="31"/>
  <c r="W395" i="31"/>
  <c r="V395" i="31"/>
  <c r="G398" i="31"/>
  <c r="H399" i="31" s="1"/>
  <c r="G396" i="35" l="1"/>
  <c r="Y399" i="35"/>
  <c r="V399" i="35"/>
  <c r="X399" i="35"/>
  <c r="W399" i="35"/>
  <c r="U400" i="35"/>
  <c r="T396" i="34"/>
  <c r="J399" i="34"/>
  <c r="I399" i="34"/>
  <c r="K399" i="34"/>
  <c r="L399" i="34"/>
  <c r="H400" i="34"/>
  <c r="G399" i="31"/>
  <c r="H400" i="31" s="1"/>
  <c r="T396" i="31"/>
  <c r="U397" i="31" s="1"/>
  <c r="J398" i="31"/>
  <c r="I398" i="31"/>
  <c r="K398" i="31"/>
  <c r="L398" i="31"/>
  <c r="J396" i="35" l="1"/>
  <c r="K396" i="35"/>
  <c r="I396" i="35"/>
  <c r="L396" i="35"/>
  <c r="T400" i="35"/>
  <c r="H397" i="35"/>
  <c r="Y396" i="34"/>
  <c r="W396" i="34"/>
  <c r="V396" i="34"/>
  <c r="X396" i="34"/>
  <c r="G400" i="34"/>
  <c r="U397" i="34"/>
  <c r="Y396" i="31"/>
  <c r="X396" i="31"/>
  <c r="W396" i="31"/>
  <c r="V396" i="31"/>
  <c r="J399" i="31"/>
  <c r="I399" i="31"/>
  <c r="K399" i="31"/>
  <c r="L399" i="31"/>
  <c r="G397" i="35" l="1"/>
  <c r="Y400" i="35"/>
  <c r="V400" i="35"/>
  <c r="X400" i="35"/>
  <c r="W400" i="35"/>
  <c r="U401" i="35"/>
  <c r="T397" i="34"/>
  <c r="J400" i="34"/>
  <c r="I400" i="34"/>
  <c r="K400" i="34"/>
  <c r="L400" i="34"/>
  <c r="H401" i="34"/>
  <c r="G400" i="31"/>
  <c r="H401" i="31" s="1"/>
  <c r="T397" i="31"/>
  <c r="U398" i="31" s="1"/>
  <c r="T401" i="35" l="1"/>
  <c r="J397" i="35"/>
  <c r="K397" i="35"/>
  <c r="L397" i="35"/>
  <c r="I397" i="35"/>
  <c r="H398" i="35"/>
  <c r="Y397" i="34"/>
  <c r="W397" i="34"/>
  <c r="V397" i="34"/>
  <c r="X397" i="34"/>
  <c r="G401" i="34"/>
  <c r="U398" i="34"/>
  <c r="T398" i="31"/>
  <c r="U399" i="31" s="1"/>
  <c r="Y397" i="31"/>
  <c r="X397" i="31"/>
  <c r="W397" i="31"/>
  <c r="V397" i="31"/>
  <c r="J400" i="31"/>
  <c r="I400" i="31"/>
  <c r="K400" i="31"/>
  <c r="L400" i="31"/>
  <c r="G398" i="35" l="1"/>
  <c r="Y401" i="35"/>
  <c r="V401" i="35"/>
  <c r="W401" i="35"/>
  <c r="X401" i="35"/>
  <c r="U402" i="35"/>
  <c r="T398" i="34"/>
  <c r="J401" i="34"/>
  <c r="I401" i="34"/>
  <c r="K401" i="34"/>
  <c r="L401" i="34"/>
  <c r="H402" i="34"/>
  <c r="G401" i="31"/>
  <c r="H402" i="31" s="1"/>
  <c r="Y398" i="31"/>
  <c r="X398" i="31"/>
  <c r="W398" i="31"/>
  <c r="V398" i="31"/>
  <c r="T402" i="35" l="1"/>
  <c r="J398" i="35"/>
  <c r="K398" i="35"/>
  <c r="L398" i="35"/>
  <c r="I398" i="35"/>
  <c r="H399" i="35"/>
  <c r="G402" i="34"/>
  <c r="Y398" i="34"/>
  <c r="W398" i="34"/>
  <c r="V398" i="34"/>
  <c r="X398" i="34"/>
  <c r="U399" i="34"/>
  <c r="T399" i="31"/>
  <c r="U400" i="31" s="1"/>
  <c r="J401" i="31"/>
  <c r="I401" i="31"/>
  <c r="K401" i="31"/>
  <c r="L401" i="31"/>
  <c r="G399" i="35" l="1"/>
  <c r="Y402" i="35"/>
  <c r="V402" i="35"/>
  <c r="X402" i="35"/>
  <c r="W402" i="35"/>
  <c r="U403" i="35"/>
  <c r="T399" i="34"/>
  <c r="J402" i="34"/>
  <c r="I402" i="34"/>
  <c r="K402" i="34"/>
  <c r="L402" i="34"/>
  <c r="H403" i="34"/>
  <c r="G402" i="31"/>
  <c r="H403" i="31" s="1"/>
  <c r="Y399" i="31"/>
  <c r="X399" i="31"/>
  <c r="W399" i="31"/>
  <c r="V399" i="31"/>
  <c r="T403" i="35" l="1"/>
  <c r="J399" i="35"/>
  <c r="K399" i="35"/>
  <c r="I399" i="35"/>
  <c r="L399" i="35"/>
  <c r="H400" i="35"/>
  <c r="G403" i="34"/>
  <c r="Y399" i="34"/>
  <c r="W399" i="34"/>
  <c r="V399" i="34"/>
  <c r="X399" i="34"/>
  <c r="U400" i="34"/>
  <c r="T400" i="31"/>
  <c r="U401" i="31" s="1"/>
  <c r="J402" i="31"/>
  <c r="I402" i="31"/>
  <c r="K402" i="31"/>
  <c r="L402" i="31"/>
  <c r="G400" i="35" l="1"/>
  <c r="Y403" i="35"/>
  <c r="V403" i="35"/>
  <c r="X403" i="35"/>
  <c r="W403" i="35"/>
  <c r="U404" i="35"/>
  <c r="T400" i="34"/>
  <c r="J403" i="34"/>
  <c r="I403" i="34"/>
  <c r="K403" i="34"/>
  <c r="L403" i="34"/>
  <c r="H404" i="34"/>
  <c r="G403" i="31"/>
  <c r="H404" i="31" s="1"/>
  <c r="Y400" i="31"/>
  <c r="X400" i="31"/>
  <c r="W400" i="31"/>
  <c r="V400" i="31"/>
  <c r="T404" i="35" l="1"/>
  <c r="J400" i="35"/>
  <c r="K400" i="35"/>
  <c r="L400" i="35"/>
  <c r="I400" i="35"/>
  <c r="H401" i="35"/>
  <c r="G404" i="34"/>
  <c r="Y400" i="34"/>
  <c r="W400" i="34"/>
  <c r="V400" i="34"/>
  <c r="X400" i="34"/>
  <c r="U401" i="34"/>
  <c r="T401" i="31"/>
  <c r="U402" i="31" s="1"/>
  <c r="J403" i="31"/>
  <c r="I403" i="31"/>
  <c r="K403" i="31"/>
  <c r="L403" i="31"/>
  <c r="G401" i="35" l="1"/>
  <c r="Y404" i="35"/>
  <c r="V404" i="35"/>
  <c r="X404" i="35"/>
  <c r="W404" i="35"/>
  <c r="U405" i="35"/>
  <c r="T401" i="34"/>
  <c r="J404" i="34"/>
  <c r="I404" i="34"/>
  <c r="K404" i="34"/>
  <c r="L404" i="34"/>
  <c r="H405" i="34"/>
  <c r="G404" i="31"/>
  <c r="H405" i="31" s="1"/>
  <c r="Y401" i="31"/>
  <c r="X401" i="31"/>
  <c r="W401" i="31"/>
  <c r="V401" i="31"/>
  <c r="T405" i="35" l="1"/>
  <c r="J401" i="35"/>
  <c r="K401" i="35"/>
  <c r="L401" i="35"/>
  <c r="I401" i="35"/>
  <c r="H402" i="35"/>
  <c r="G405" i="34"/>
  <c r="Y401" i="34"/>
  <c r="W401" i="34"/>
  <c r="V401" i="34"/>
  <c r="X401" i="34"/>
  <c r="U402" i="34"/>
  <c r="T402" i="31"/>
  <c r="U403" i="31" s="1"/>
  <c r="J404" i="31"/>
  <c r="I404" i="31"/>
  <c r="K404" i="31"/>
  <c r="L404" i="31"/>
  <c r="G402" i="35" l="1"/>
  <c r="Y405" i="35"/>
  <c r="V405" i="35"/>
  <c r="X405" i="35"/>
  <c r="W405" i="35"/>
  <c r="U406" i="35"/>
  <c r="T402" i="34"/>
  <c r="J405" i="34"/>
  <c r="I405" i="34"/>
  <c r="K405" i="34"/>
  <c r="L405" i="34"/>
  <c r="H406" i="34"/>
  <c r="G405" i="31"/>
  <c r="H406" i="31" s="1"/>
  <c r="Y402" i="31"/>
  <c r="X402" i="31"/>
  <c r="W402" i="31"/>
  <c r="V402" i="31"/>
  <c r="T406" i="35" l="1"/>
  <c r="J402" i="35"/>
  <c r="K402" i="35"/>
  <c r="L402" i="35"/>
  <c r="I402" i="35"/>
  <c r="H403" i="35"/>
  <c r="G406" i="34"/>
  <c r="Y402" i="34"/>
  <c r="W402" i="34"/>
  <c r="V402" i="34"/>
  <c r="X402" i="34"/>
  <c r="U403" i="34"/>
  <c r="T403" i="31"/>
  <c r="U404" i="31" s="1"/>
  <c r="J405" i="31"/>
  <c r="I405" i="31"/>
  <c r="K405" i="31"/>
  <c r="L405" i="31"/>
  <c r="G403" i="35" l="1"/>
  <c r="Y406" i="35"/>
  <c r="V406" i="35"/>
  <c r="W406" i="35"/>
  <c r="X406" i="35"/>
  <c r="U407" i="35"/>
  <c r="T403" i="34"/>
  <c r="J406" i="34"/>
  <c r="I406" i="34"/>
  <c r="K406" i="34"/>
  <c r="L406" i="34"/>
  <c r="H407" i="34"/>
  <c r="Y403" i="31"/>
  <c r="X403" i="31"/>
  <c r="W403" i="31"/>
  <c r="V403" i="31"/>
  <c r="G406" i="31"/>
  <c r="H407" i="31" s="1"/>
  <c r="T407" i="35" l="1"/>
  <c r="J403" i="35"/>
  <c r="K403" i="35"/>
  <c r="L403" i="35"/>
  <c r="I403" i="35"/>
  <c r="H404" i="35"/>
  <c r="G407" i="34"/>
  <c r="Y403" i="34"/>
  <c r="W403" i="34"/>
  <c r="V403" i="34"/>
  <c r="X403" i="34"/>
  <c r="U404" i="34"/>
  <c r="G407" i="31"/>
  <c r="H408" i="31" s="1"/>
  <c r="T404" i="31"/>
  <c r="U405" i="31" s="1"/>
  <c r="J406" i="31"/>
  <c r="I406" i="31"/>
  <c r="K406" i="31"/>
  <c r="L406" i="31"/>
  <c r="G404" i="35" l="1"/>
  <c r="Y407" i="35"/>
  <c r="V407" i="35"/>
  <c r="W407" i="35"/>
  <c r="X407" i="35"/>
  <c r="U408" i="35"/>
  <c r="T408" i="35" s="1"/>
  <c r="T404" i="34"/>
  <c r="J407" i="34"/>
  <c r="I407" i="34"/>
  <c r="K407" i="34"/>
  <c r="L407" i="34"/>
  <c r="H408" i="34"/>
  <c r="G408" i="34" s="1"/>
  <c r="Y404" i="31"/>
  <c r="X404" i="31"/>
  <c r="W404" i="31"/>
  <c r="V404" i="31"/>
  <c r="J407" i="31"/>
  <c r="I407" i="31"/>
  <c r="K407" i="31"/>
  <c r="L407" i="31"/>
  <c r="G408" i="31"/>
  <c r="Y408" i="35" l="1"/>
  <c r="V408" i="35"/>
  <c r="X408" i="35"/>
  <c r="W408" i="35"/>
  <c r="J404" i="35"/>
  <c r="K404" i="35"/>
  <c r="I404" i="35"/>
  <c r="L404" i="35"/>
  <c r="H405" i="35"/>
  <c r="J408" i="34"/>
  <c r="I408" i="34"/>
  <c r="K408" i="34"/>
  <c r="L408" i="34"/>
  <c r="Y404" i="34"/>
  <c r="W404" i="34"/>
  <c r="V404" i="34"/>
  <c r="X404" i="34"/>
  <c r="U405" i="34"/>
  <c r="T405" i="31"/>
  <c r="U406" i="31" s="1"/>
  <c r="J408" i="31"/>
  <c r="I408" i="31"/>
  <c r="K408" i="31"/>
  <c r="L408" i="31"/>
  <c r="G405" i="35" l="1"/>
  <c r="W410" i="35"/>
  <c r="W412" i="35"/>
  <c r="X410" i="35"/>
  <c r="X412" i="35"/>
  <c r="Y412" i="35"/>
  <c r="Y410" i="35"/>
  <c r="L410" i="34"/>
  <c r="L412" i="34"/>
  <c r="K412" i="34"/>
  <c r="K410" i="34"/>
  <c r="T405" i="34"/>
  <c r="J410" i="34"/>
  <c r="J412" i="34"/>
  <c r="L412" i="31"/>
  <c r="L410" i="31"/>
  <c r="K412" i="31"/>
  <c r="K410" i="31"/>
  <c r="J412" i="31"/>
  <c r="J410" i="31"/>
  <c r="Y405" i="31"/>
  <c r="X405" i="31"/>
  <c r="W405" i="31"/>
  <c r="V405" i="31"/>
  <c r="J405" i="35" l="1"/>
  <c r="K405" i="35"/>
  <c r="I405" i="35"/>
  <c r="L405" i="35"/>
  <c r="H406" i="35"/>
  <c r="Y405" i="34"/>
  <c r="W405" i="34"/>
  <c r="V405" i="34"/>
  <c r="X405" i="34"/>
  <c r="U406" i="34"/>
  <c r="T406" i="31"/>
  <c r="U407" i="31" s="1"/>
  <c r="G406" i="35" l="1"/>
  <c r="T406" i="34"/>
  <c r="Y406" i="31"/>
  <c r="X406" i="31"/>
  <c r="W406" i="31"/>
  <c r="V406" i="31"/>
  <c r="J406" i="35" l="1"/>
  <c r="K406" i="35"/>
  <c r="L406" i="35"/>
  <c r="I406" i="35"/>
  <c r="H407" i="35"/>
  <c r="Y406" i="34"/>
  <c r="W406" i="34"/>
  <c r="V406" i="34"/>
  <c r="X406" i="34"/>
  <c r="U407" i="34"/>
  <c r="T407" i="31"/>
  <c r="U408" i="31" s="1"/>
  <c r="G407" i="35" l="1"/>
  <c r="T407" i="34"/>
  <c r="Y407" i="31"/>
  <c r="X407" i="31"/>
  <c r="W407" i="31"/>
  <c r="V407" i="31"/>
  <c r="T408" i="31"/>
  <c r="J407" i="35" l="1"/>
  <c r="K407" i="35"/>
  <c r="L407" i="35"/>
  <c r="I407" i="35"/>
  <c r="H408" i="35"/>
  <c r="G408" i="35" s="1"/>
  <c r="Y407" i="34"/>
  <c r="W407" i="34"/>
  <c r="V407" i="34"/>
  <c r="X407" i="34"/>
  <c r="U408" i="34"/>
  <c r="T408" i="34" s="1"/>
  <c r="Y408" i="31"/>
  <c r="X408" i="31"/>
  <c r="W408" i="31"/>
  <c r="V408" i="31"/>
  <c r="J408" i="35" l="1"/>
  <c r="K408" i="35"/>
  <c r="I408" i="35"/>
  <c r="L408" i="35"/>
  <c r="Y408" i="34"/>
  <c r="W408" i="34"/>
  <c r="V408" i="34"/>
  <c r="X408" i="34"/>
  <c r="W412" i="31"/>
  <c r="W410" i="31"/>
  <c r="X412" i="31"/>
  <c r="X410" i="31"/>
  <c r="Y412" i="31"/>
  <c r="Y410" i="31"/>
  <c r="L412" i="35" l="1"/>
  <c r="L410" i="35"/>
  <c r="K412" i="35"/>
  <c r="K410" i="35"/>
  <c r="J412" i="35"/>
  <c r="J410" i="35"/>
  <c r="X410" i="34"/>
  <c r="X412" i="34"/>
  <c r="W410" i="34"/>
  <c r="W412" i="34"/>
  <c r="Y412" i="34"/>
  <c r="Y410" i="34"/>
  <c r="K415" i="31"/>
  <c r="K416" i="31"/>
  <c r="K416" i="35" l="1"/>
  <c r="K415" i="35"/>
  <c r="K416" i="34"/>
  <c r="K415" i="34"/>
  <c r="AF12" i="9" l="1"/>
  <c r="AZ12" i="9" s="1"/>
  <c r="AG12" i="9"/>
  <c r="BA12" i="9" s="1"/>
  <c r="BB12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4" authorId="0" shapeId="0" xr:uid="{00000000-0006-0000-0100-00000D000000}">
      <text>
        <r>
          <rPr>
            <sz val="11"/>
            <color theme="1"/>
            <rFont val="Arial"/>
            <family val="2"/>
          </rPr>
          <t>======
ID#AAAAPFlbT5U
Aryana Sepassi    (2021-09-10 17:40:34)
Tai et al: The mean cost per hospitalization for cancer-related neutropenia using NIS dataset = $20,778, adjusted using CPI calculator.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eje7hIkefu76KBbys6L+djFQkI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1" authorId="0" shapeId="0" xr:uid="{00000000-0006-0000-0400-000002000000}">
      <text>
        <r>
          <rPr>
            <sz val="11"/>
            <color theme="1"/>
            <rFont val="Arial"/>
            <family val="2"/>
          </rPr>
          <t>======
ID#AAAAPFlbT38
Aryana Sepassi    (2021-09-10 17:40:34)
Week 24 entry into model from decision tree</t>
        </r>
      </text>
    </comment>
    <comment ref="C12" authorId="0" shapeId="0" xr:uid="{00000000-0006-0000-0400-000001000000}">
      <text>
        <r>
          <rPr>
            <sz val="11"/>
            <color theme="1"/>
            <rFont val="Arial"/>
            <family val="2"/>
          </rPr>
          <t>======
ID#AAAAPFlbT58
Aryana Sepassi    (2021-09-10 17:40:34)
Year one (extended from week 24)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JxOqy93EwArKDHF+8JwVkHBUq5w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Aryana Sepassi</author>
  </authors>
  <commentList>
    <comment ref="B51" authorId="0" shapeId="0" xr:uid="{EF35BBE7-7A8E-4E6C-BC46-877601EBA620}">
      <text>
        <r>
          <rPr>
            <b/>
            <sz val="9"/>
            <color indexed="81"/>
            <rFont val="Tahoma"/>
            <family val="2"/>
          </rPr>
          <t>Aryana Sepassi:</t>
        </r>
        <r>
          <rPr>
            <sz val="9"/>
            <color indexed="81"/>
            <rFont val="Tahoma"/>
            <family val="2"/>
          </rPr>
          <t xml:space="preserve">
Relative mortality rates were calculated for each disease category and compared with general population matched for sex, age, nationality, and ethnicity (for US population only) 
After year 15 post-transplant, relative risk for mortality is considered static, being the average risk from years 10 to 15. 
Atsuta et al: HCT recipients who survived without relapse for at least two years after HCT had a 10.9-fold higher risk of mortality than the general population (95%CI: 10.3-11.5). 
The risk of overall mortality was higher in the earlier period 2 to 4 years after HCT than 5 years or older after HCT (SMR=16.1 versus 7.4). 
Bhatia et al: 
-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<sst xmlns="http://schemas.openxmlformats.org/spreadsheetml/2006/main" count="1331" uniqueCount="588">
  <si>
    <t>Model Structure &amp; Definitions</t>
  </si>
  <si>
    <t>User Navigation</t>
  </si>
  <si>
    <t xml:space="preserve">This model consists of the following worksheets: </t>
  </si>
  <si>
    <t>Model Overview</t>
  </si>
  <si>
    <t>Provides an overview of the model</t>
  </si>
  <si>
    <t>Calculated Inputs</t>
  </si>
  <si>
    <t>Inputs that are derived using calculations are listed here</t>
  </si>
  <si>
    <t>Parameters</t>
  </si>
  <si>
    <t>Inputs for the model are entered here</t>
  </si>
  <si>
    <t>Decision Tree</t>
  </si>
  <si>
    <t>Analysis and output of decision tree portion of model</t>
  </si>
  <si>
    <t>Markov Model_b</t>
  </si>
  <si>
    <t>Analysis and output of Markov portion of model</t>
  </si>
  <si>
    <t>Definitions</t>
  </si>
  <si>
    <t xml:space="preserve">Valganciclovir </t>
  </si>
  <si>
    <t xml:space="preserve">Ganciclovir </t>
  </si>
  <si>
    <t xml:space="preserve">Cost of PET: </t>
  </si>
  <si>
    <t>Ganciclovir</t>
  </si>
  <si>
    <t xml:space="preserve">per 450 mg tablet </t>
  </si>
  <si>
    <t xml:space="preserve">per 25 pack of 10 mL vials </t>
  </si>
  <si>
    <t>IV</t>
  </si>
  <si>
    <t xml:space="preserve">PO </t>
  </si>
  <si>
    <t>Valganciclovir</t>
  </si>
  <si>
    <t>induction</t>
  </si>
  <si>
    <t xml:space="preserve">per vial </t>
  </si>
  <si>
    <t xml:space="preserve">Cost of labs (CBC + Diff) </t>
  </si>
  <si>
    <t>LabCorp: $5.00 (http://shayahealth.com/resources/LABCORP%20PREPAY%20PRICING%203_1_2021.pdf)</t>
  </si>
  <si>
    <t>Cost/Day</t>
  </si>
  <si>
    <t>maintenance</t>
  </si>
  <si>
    <t xml:space="preserve">Cost of weekly PCR testing </t>
  </si>
  <si>
    <t xml:space="preserve">Quest Dx: </t>
  </si>
  <si>
    <t>$45.64 (https://www.health-tests-direct.com/ordering-page/)</t>
  </si>
  <si>
    <t>Days of Therapy</t>
  </si>
  <si>
    <t xml:space="preserve">Select a Drug -&gt; </t>
  </si>
  <si>
    <t xml:space="preserve">Total </t>
  </si>
  <si>
    <t xml:space="preserve">mg per vial injection </t>
  </si>
  <si>
    <t xml:space="preserve">Cost of Drug: </t>
  </si>
  <si>
    <t>Valganciclovir 450 mg tablet</t>
  </si>
  <si>
    <t>(NDC: 00603-6330-20)</t>
  </si>
  <si>
    <t>Total Cost of Therapy</t>
  </si>
  <si>
    <t>Foscarnet</t>
  </si>
  <si>
    <t xml:space="preserve">number of vials required for therapy </t>
  </si>
  <si>
    <t>% of Patients</t>
  </si>
  <si>
    <t>Total Drug Cost</t>
  </si>
  <si>
    <t xml:space="preserve">If Selecting "Combo", Please Enter Population % Split per Drug: </t>
  </si>
  <si>
    <t>Combo</t>
  </si>
  <si>
    <t xml:space="preserve">Total Weighted Cost of Therapy </t>
  </si>
  <si>
    <t xml:space="preserve">Valganciclovir: </t>
  </si>
  <si>
    <t xml:space="preserve">Foscarnet </t>
  </si>
  <si>
    <t>Patient Weight (kg)</t>
  </si>
  <si>
    <t>kg</t>
  </si>
  <si>
    <t xml:space="preserve">Ganciclovir: </t>
  </si>
  <si>
    <t xml:space="preserve">kg patient weight </t>
  </si>
  <si>
    <t>Dose</t>
  </si>
  <si>
    <t>mg/kg/dose</t>
  </si>
  <si>
    <t xml:space="preserve">Foscarnet: </t>
  </si>
  <si>
    <t xml:space="preserve">mg/kg/dose induction twice daily </t>
  </si>
  <si>
    <t>Total Dose Required</t>
  </si>
  <si>
    <t>mg</t>
  </si>
  <si>
    <t>Total Cost:</t>
  </si>
  <si>
    <t xml:space="preserve">mg total induction </t>
  </si>
  <si>
    <t>Number of Vials Required</t>
  </si>
  <si>
    <t>vials</t>
  </si>
  <si>
    <t xml:space="preserve">mg/kg/dose maintenance daily </t>
  </si>
  <si>
    <t>Cost per Vial</t>
  </si>
  <si>
    <t>Cost per CBC + Diff Test:</t>
  </si>
  <si>
    <t xml:space="preserve">mg total maintenance </t>
  </si>
  <si>
    <t>CMV Disease</t>
  </si>
  <si>
    <t xml:space="preserve">Cost per CMV PCR Test: </t>
  </si>
  <si>
    <t xml:space="preserve">total mg </t>
  </si>
  <si>
    <t>CMV-Related Rehospitalization</t>
  </si>
  <si>
    <t xml:space="preserve">Total PET Cost: </t>
  </si>
  <si>
    <t xml:space="preserve">mg per bag </t>
  </si>
  <si>
    <t>Detection test by nucleic acid for CMV, amplified probe - $35.09</t>
  </si>
  <si>
    <t xml:space="preserve">bags needed </t>
  </si>
  <si>
    <t xml:space="preserve"> </t>
  </si>
  <si>
    <t>Maintenance Dose</t>
  </si>
  <si>
    <t>Detection by immunofluorescent technique for CMV - $13.42</t>
  </si>
  <si>
    <t xml:space="preserve">per bag </t>
  </si>
  <si>
    <t>Cost of Neutropenia</t>
  </si>
  <si>
    <t>Mean Monthly Cost</t>
  </si>
  <si>
    <t>Weighted Monthly Cost</t>
  </si>
  <si>
    <t>Cost per Bag</t>
  </si>
  <si>
    <t>% Seeing Outpatient Specialists</t>
  </si>
  <si>
    <t>% Seeing Outpatient PCP</t>
  </si>
  <si>
    <t>% Balanced: Outpatient/Inpatient</t>
  </si>
  <si>
    <t>% Mostly Seen as Inpatient</t>
  </si>
  <si>
    <t>Total Neutropenia Rate:</t>
  </si>
  <si>
    <t xml:space="preserve">Total Neutropenia Cost: </t>
  </si>
  <si>
    <t xml:space="preserve">Cost for Treatment Duration: </t>
  </si>
  <si>
    <t>Cost per Outpatient Visit</t>
  </si>
  <si>
    <t>Letermovir</t>
  </si>
  <si>
    <t>Placebo</t>
  </si>
  <si>
    <t>Graft-Versus-Host-Disease</t>
  </si>
  <si>
    <t>Rehospitalization Rate</t>
  </si>
  <si>
    <t>Opportunistic Infection Rate</t>
  </si>
  <si>
    <t xml:space="preserve">Total Complication Rate: </t>
  </si>
  <si>
    <t>Parameters - Input</t>
  </si>
  <si>
    <t>Probabilistic Sensitivity Analysis Only</t>
  </si>
  <si>
    <t>Name</t>
  </si>
  <si>
    <t>live' value</t>
  </si>
  <si>
    <t>probabilistic</t>
  </si>
  <si>
    <t>deterministic</t>
  </si>
  <si>
    <t>standard error</t>
  </si>
  <si>
    <t>distribution</t>
  </si>
  <si>
    <t>alpha</t>
  </si>
  <si>
    <t>beta</t>
  </si>
  <si>
    <t>Description</t>
  </si>
  <si>
    <t>Miscellaneous Variables</t>
  </si>
  <si>
    <t>Cohort Size</t>
  </si>
  <si>
    <t>cDR</t>
  </si>
  <si>
    <t>oDR</t>
  </si>
  <si>
    <t>Decision Tree Probability Variables</t>
  </si>
  <si>
    <t>Prophylaxis</t>
  </si>
  <si>
    <t>p(viremia)</t>
  </si>
  <si>
    <t>Beta</t>
  </si>
  <si>
    <t>Probability of clinically significant CMV at week 24</t>
  </si>
  <si>
    <t>p(neutropenia)</t>
  </si>
  <si>
    <t xml:space="preserve">Probability of neutropenia with PET </t>
  </si>
  <si>
    <t>p(disease)</t>
  </si>
  <si>
    <t>Probability of CMV End-Organ Disease</t>
  </si>
  <si>
    <t>p(complications)</t>
  </si>
  <si>
    <t>Probability of experiencing GVHD or CMV-related rehospitalization or opportunistic infection (with prophylaxis) (4)</t>
  </si>
  <si>
    <t>p(alive)</t>
  </si>
  <si>
    <t>Probability of staying alive at 48 weeks (4)</t>
  </si>
  <si>
    <t>No Prophylaxis</t>
  </si>
  <si>
    <t>Probability of clinicially significant CMV viremia at week 24</t>
  </si>
  <si>
    <t>Probability of neutropenia with PET</t>
  </si>
  <si>
    <t>Probability of experiencing GVHD or CMV-related rehospitalization or opportunistic infection (with no prophylaxis) (4)</t>
  </si>
  <si>
    <t xml:space="preserve">Cost of Resource Values </t>
  </si>
  <si>
    <t xml:space="preserve">c(letermovir) </t>
  </si>
  <si>
    <t>Gamma</t>
  </si>
  <si>
    <t xml:space="preserve">Cost of letermovir/prophylaxis </t>
  </si>
  <si>
    <t>c(monitor)</t>
  </si>
  <si>
    <t xml:space="preserve">Cost of monitoring </t>
  </si>
  <si>
    <t>c(GVHD)</t>
  </si>
  <si>
    <t>Cost of graft-versus-host-disease</t>
  </si>
  <si>
    <t xml:space="preserve">c(PET) </t>
  </si>
  <si>
    <t>Cost of Pre-Emptive Therapy</t>
  </si>
  <si>
    <t>c(rehospital)</t>
  </si>
  <si>
    <t xml:space="preserve">Cost of CMV-Related Re-Hospitalization </t>
  </si>
  <si>
    <t>c(disease)</t>
  </si>
  <si>
    <t xml:space="preserve">Cost of CMV Disease </t>
  </si>
  <si>
    <t>c(neutropenia)</t>
  </si>
  <si>
    <t>Cost of neutropenia + acute kidney injury</t>
  </si>
  <si>
    <t>c(Year_2)</t>
  </si>
  <si>
    <t>Monthly cost of post-transplant year two survivors</t>
  </si>
  <si>
    <t xml:space="preserve">Utility Variables </t>
  </si>
  <si>
    <t>u(baseline_let)</t>
  </si>
  <si>
    <t>Utility value of baseline letermovir group</t>
  </si>
  <si>
    <t>u(baseline_null)</t>
  </si>
  <si>
    <t>Utility value of baseline no prophylaxis group</t>
  </si>
  <si>
    <t>u(wk14_let)</t>
  </si>
  <si>
    <t>Utility value of letermovir group, week 14</t>
  </si>
  <si>
    <t>u(wk14_null)</t>
  </si>
  <si>
    <t>Utility value of no prophylaxis group, week 14</t>
  </si>
  <si>
    <t>u(wk24_let)</t>
  </si>
  <si>
    <t>Utility value of letermovir group, week 24</t>
  </si>
  <si>
    <t>u(wk24_null)</t>
  </si>
  <si>
    <t>Utility value of no prophylaxis group, week 24</t>
  </si>
  <si>
    <t>u(post_let)</t>
  </si>
  <si>
    <t xml:space="preserve">Utility value of letermovir group, week 48 </t>
  </si>
  <si>
    <t>u(post_null)</t>
  </si>
  <si>
    <t>Utility value of no prophylaxis group, week 48</t>
  </si>
  <si>
    <t>uPost</t>
  </si>
  <si>
    <t>Post-trial utility, treatment agnostic</t>
  </si>
  <si>
    <t>Markov Parameters (Long Term Survival)</t>
  </si>
  <si>
    <t>Lambda</t>
  </si>
  <si>
    <t>LogNormal</t>
  </si>
  <si>
    <t xml:space="preserve">Lambda parameter in survival analysis </t>
  </si>
  <si>
    <t>Ancillary parameter in Weibull distribution</t>
  </si>
  <si>
    <t>Table 1. Decision Model Parameters</t>
  </si>
  <si>
    <t>Table 2. Expected Path Costs and Probabilities</t>
  </si>
  <si>
    <t>Probabilities</t>
  </si>
  <si>
    <t>Decision Path</t>
  </si>
  <si>
    <t>Total Cost</t>
  </si>
  <si>
    <t>Expected Probability</t>
  </si>
  <si>
    <t>Expected Cost</t>
  </si>
  <si>
    <t>QALYs</t>
  </si>
  <si>
    <t>Expected QALYs</t>
  </si>
  <si>
    <t>pViremia</t>
  </si>
  <si>
    <t>pNeutropenia</t>
  </si>
  <si>
    <t>A</t>
  </si>
  <si>
    <t>pDisease</t>
  </si>
  <si>
    <t>B</t>
  </si>
  <si>
    <t>pComplications</t>
  </si>
  <si>
    <t>C</t>
  </si>
  <si>
    <t>pAlive</t>
  </si>
  <si>
    <t>D</t>
  </si>
  <si>
    <t>Costs</t>
  </si>
  <si>
    <t>E</t>
  </si>
  <si>
    <t>cLetermovir</t>
  </si>
  <si>
    <t>F</t>
  </si>
  <si>
    <t>cGVHD</t>
  </si>
  <si>
    <t>G</t>
  </si>
  <si>
    <t>cPET</t>
  </si>
  <si>
    <t>H</t>
  </si>
  <si>
    <t>cRehospital</t>
  </si>
  <si>
    <t>cDisease</t>
  </si>
  <si>
    <t>cNeutropenia</t>
  </si>
  <si>
    <t>I</t>
  </si>
  <si>
    <t>J</t>
  </si>
  <si>
    <t>uBaseline</t>
  </si>
  <si>
    <t>K</t>
  </si>
  <si>
    <t>uWeek14</t>
  </si>
  <si>
    <t>L</t>
  </si>
  <si>
    <t>uWeek24</t>
  </si>
  <si>
    <t>M</t>
  </si>
  <si>
    <t>uWeek48</t>
  </si>
  <si>
    <t>N</t>
  </si>
  <si>
    <t>O</t>
  </si>
  <si>
    <t>P</t>
  </si>
  <si>
    <t>Table 3. Costs, QALYs, and Incremental Cost-Effectiveness Ratio</t>
  </si>
  <si>
    <t>Strategy</t>
  </si>
  <si>
    <t>Total Costs</t>
  </si>
  <si>
    <t>Incremental Cost</t>
  </si>
  <si>
    <t xml:space="preserve">Table 4. Estimated Outcomes and Costs for Base-Case Scenario (Decision Tree) </t>
  </si>
  <si>
    <t>Outcome</t>
  </si>
  <si>
    <t>Difference</t>
  </si>
  <si>
    <t>Prophylaxis ($)</t>
  </si>
  <si>
    <t>CMV Prophylaxis</t>
  </si>
  <si>
    <t>-</t>
  </si>
  <si>
    <t>CMV Viremia</t>
  </si>
  <si>
    <t>PET</t>
  </si>
  <si>
    <t>Re-Hospitalization</t>
  </si>
  <si>
    <t>Opportunistic Infection</t>
  </si>
  <si>
    <t>GVHD</t>
  </si>
  <si>
    <t>PET-related ADEs</t>
  </si>
  <si>
    <t>Total</t>
  </si>
  <si>
    <t>ICER:</t>
  </si>
  <si>
    <t>Markov Model</t>
  </si>
  <si>
    <t xml:space="preserve">Prophylaxis </t>
  </si>
  <si>
    <t>let</t>
  </si>
  <si>
    <t>no let</t>
  </si>
  <si>
    <t>Cycle</t>
  </si>
  <si>
    <t xml:space="preserve">Death Risk </t>
  </si>
  <si>
    <t>Alive</t>
  </si>
  <si>
    <t>Death</t>
  </si>
  <si>
    <t>Check</t>
  </si>
  <si>
    <t>Cost</t>
  </si>
  <si>
    <t>Life-Years</t>
  </si>
  <si>
    <t>week 24 total weighted cost:</t>
  </si>
  <si>
    <t xml:space="preserve">week 24 total weighted utilities: </t>
  </si>
  <si>
    <t xml:space="preserve">p(alive) week 24: </t>
  </si>
  <si>
    <t>STDcost</t>
  </si>
  <si>
    <t>STDlys</t>
  </si>
  <si>
    <t>STDalys</t>
  </si>
  <si>
    <t>Totals</t>
  </si>
  <si>
    <t>Totals:</t>
  </si>
  <si>
    <t>Table 5. Estimated Outcomes and Costs for Base-Case Scenario (Markov Model)</t>
  </si>
  <si>
    <t>Intervention</t>
  </si>
  <si>
    <t>Prophylaxis, per Person</t>
  </si>
  <si>
    <t>Prophylaxis, Total</t>
  </si>
  <si>
    <t>ICER</t>
  </si>
  <si>
    <t>per QALY</t>
  </si>
  <si>
    <t>ICLYs</t>
  </si>
  <si>
    <t>One Way Sensitivity Analysis</t>
  </si>
  <si>
    <t>Table 6. Sensitivity Analysis Parameters &amp; Results</t>
  </si>
  <si>
    <t>Parameter</t>
  </si>
  <si>
    <t>Base Case Input</t>
  </si>
  <si>
    <t>Low Input</t>
  </si>
  <si>
    <t>High Input</t>
  </si>
  <si>
    <t>Low Result</t>
  </si>
  <si>
    <t>High Result</t>
  </si>
  <si>
    <t>Spread</t>
  </si>
  <si>
    <t>Clinical Inputs</t>
  </si>
  <si>
    <t>CMV Viremia, LET</t>
  </si>
  <si>
    <t>Neutropenia</t>
  </si>
  <si>
    <t>CMV Disease, LET</t>
  </si>
  <si>
    <t>CMV Complications, LET</t>
  </si>
  <si>
    <t>Alive, NULL</t>
  </si>
  <si>
    <t>Cost Inputs</t>
  </si>
  <si>
    <t>Cost of Letermovir</t>
  </si>
  <si>
    <t>Cost of GVHD</t>
  </si>
  <si>
    <t>Cost of PET</t>
  </si>
  <si>
    <t>Cost of Rehospitalization</t>
  </si>
  <si>
    <t>Cost of CMV Disease</t>
  </si>
  <si>
    <t>Cost of Year 2 +</t>
  </si>
  <si>
    <t>Utilities</t>
  </si>
  <si>
    <t xml:space="preserve">Model Diagnostics: </t>
  </si>
  <si>
    <t xml:space="preserve">Alive, NULL </t>
  </si>
  <si>
    <t>Input</t>
  </si>
  <si>
    <t xml:space="preserve">ICER </t>
  </si>
  <si>
    <t>Probabilistic Sensitivity Analysis</t>
  </si>
  <si>
    <t>cRatio</t>
  </si>
  <si>
    <t>STOCHASTIC PARAMETERS</t>
  </si>
  <si>
    <t>Utility Inputs</t>
  </si>
  <si>
    <t>Survival</t>
  </si>
  <si>
    <t>COST-EFFECTIVENESS RESULTS</t>
  </si>
  <si>
    <t>NET MONETARY BENEFITS</t>
  </si>
  <si>
    <t>COST EFFECTIVE?</t>
  </si>
  <si>
    <t>ACCEPTABILITY CURVES</t>
  </si>
  <si>
    <t>Prophylaxis/Letermovir</t>
  </si>
  <si>
    <t>Letermovir/Prophylaxis</t>
  </si>
  <si>
    <t>Incremental</t>
  </si>
  <si>
    <t>pCMV_Disease</t>
  </si>
  <si>
    <t>cMonitor</t>
  </si>
  <si>
    <t>cCMVDisease</t>
  </si>
  <si>
    <t>cYear2</t>
  </si>
  <si>
    <t>Incremental QALYs</t>
  </si>
  <si>
    <t>incremental cost</t>
  </si>
  <si>
    <t>incremental effectiveness</t>
  </si>
  <si>
    <t>incremental effictiveness</t>
  </si>
  <si>
    <t>Index</t>
  </si>
  <si>
    <t>54-55</t>
  </si>
  <si>
    <t>55-56</t>
  </si>
  <si>
    <t>56-57</t>
  </si>
  <si>
    <t>57-58</t>
  </si>
  <si>
    <t>58-59</t>
  </si>
  <si>
    <t>59-60</t>
  </si>
  <si>
    <t>60-61</t>
  </si>
  <si>
    <t>61-62</t>
  </si>
  <si>
    <t>62-63</t>
  </si>
  <si>
    <t>63-64</t>
  </si>
  <si>
    <t>64-65</t>
  </si>
  <si>
    <t>65-66</t>
  </si>
  <si>
    <t>66-67</t>
  </si>
  <si>
    <t>67-68</t>
  </si>
  <si>
    <t>68-69</t>
  </si>
  <si>
    <t>69-70</t>
  </si>
  <si>
    <t>70-71</t>
  </si>
  <si>
    <t>71-72</t>
  </si>
  <si>
    <t>72-73</t>
  </si>
  <si>
    <t>73-74</t>
  </si>
  <si>
    <t>74-75</t>
  </si>
  <si>
    <t>75-76</t>
  </si>
  <si>
    <t>76-77</t>
  </si>
  <si>
    <t>77-78</t>
  </si>
  <si>
    <t>78-79</t>
  </si>
  <si>
    <t>79-80</t>
  </si>
  <si>
    <t>80-81</t>
  </si>
  <si>
    <t>81-82</t>
  </si>
  <si>
    <t>82-83</t>
  </si>
  <si>
    <t>83-84</t>
  </si>
  <si>
    <t>84-85</t>
  </si>
  <si>
    <t>85-86</t>
  </si>
  <si>
    <t>86-87</t>
  </si>
  <si>
    <t>87-88</t>
  </si>
  <si>
    <t>88-89</t>
  </si>
  <si>
    <t>89-90</t>
  </si>
  <si>
    <t>90-91</t>
  </si>
  <si>
    <t>91-92</t>
  </si>
  <si>
    <t>92-93</t>
  </si>
  <si>
    <t>93-94</t>
  </si>
  <si>
    <t>94-95</t>
  </si>
  <si>
    <t>95-96</t>
  </si>
  <si>
    <t>96-97</t>
  </si>
  <si>
    <t>97-98</t>
  </si>
  <si>
    <t>98-99</t>
  </si>
  <si>
    <t>99-100</t>
  </si>
  <si>
    <t>100 and over</t>
  </si>
  <si>
    <t>Cumulative Cost</t>
  </si>
  <si>
    <t>Cumulative QALYs</t>
  </si>
  <si>
    <t>Cumulative LYs</t>
  </si>
  <si>
    <t>STDLYs</t>
  </si>
  <si>
    <t>STDqalys</t>
  </si>
  <si>
    <t>Monthly cost discounting rate, assuming 3.0% yearly rate</t>
  </si>
  <si>
    <t>Life Years</t>
  </si>
  <si>
    <t>PET Only</t>
  </si>
  <si>
    <t>PET Only($)</t>
  </si>
  <si>
    <t>ICER (LET vs PET Only)</t>
  </si>
  <si>
    <t>Utility</t>
  </si>
  <si>
    <t>Expected Utility</t>
  </si>
  <si>
    <t>Incremental Utility</t>
  </si>
  <si>
    <t>Total Utility</t>
  </si>
  <si>
    <t xml:space="preserve">Total costs from decision tree </t>
  </si>
  <si>
    <t xml:space="preserve">Total utility from decision tree </t>
  </si>
  <si>
    <t xml:space="preserve">Expected probability of being alive at year one (end of decision tree) </t>
  </si>
  <si>
    <t xml:space="preserve">Cost per life-year gained </t>
  </si>
  <si>
    <t>PET Only, per Person</t>
  </si>
  <si>
    <t>PET Only, Total</t>
  </si>
  <si>
    <t>CMV Viremia, PET</t>
  </si>
  <si>
    <t>CMV Disease, PET</t>
  </si>
  <si>
    <t>CMV Complications, PET</t>
  </si>
  <si>
    <t>Cost per quality-adjusted life year gained per patient on letermovir</t>
  </si>
  <si>
    <t>Alive Year 1, LET</t>
  </si>
  <si>
    <t>Alive Year 1,  PET</t>
  </si>
  <si>
    <t xml:space="preserve">Baseline Utility, LET </t>
  </si>
  <si>
    <t xml:space="preserve">Input </t>
  </si>
  <si>
    <t xml:space="preserve">*BC </t>
  </si>
  <si>
    <t xml:space="preserve">Model Diagnostics (If Needed): </t>
  </si>
  <si>
    <t xml:space="preserve">PET Only/No Letermovir </t>
  </si>
  <si>
    <t xml:space="preserve">PET Only </t>
  </si>
  <si>
    <t xml:space="preserve">Monthly outcome discounting rate, assuming 3.0% yearly rate </t>
  </si>
  <si>
    <t>EVPI</t>
  </si>
  <si>
    <t>Monthly Weighted Cost:</t>
  </si>
  <si>
    <t>*NOTE: Cycle entry is at the END of year one, cycles are monthly until the end of year 10</t>
  </si>
  <si>
    <t>Markov Model (Years Two-Ten Post-Transplant)</t>
  </si>
  <si>
    <t>Survival Curve Extrapolations</t>
  </si>
  <si>
    <t xml:space="preserve">Enter regression output data from R for each of the following survival curve distributions: </t>
  </si>
  <si>
    <t>Exponential</t>
  </si>
  <si>
    <t xml:space="preserve">Estimated Parameters </t>
  </si>
  <si>
    <t xml:space="preserve">Intercept </t>
  </si>
  <si>
    <t xml:space="preserve">Value </t>
  </si>
  <si>
    <t xml:space="preserve">Std Error </t>
  </si>
  <si>
    <t xml:space="preserve">Cholesky Decomposition (for PSA) </t>
  </si>
  <si>
    <t>Goodness of Fit</t>
  </si>
  <si>
    <t>LL</t>
  </si>
  <si>
    <t xml:space="preserve">Calculated Deterministic Parameters </t>
  </si>
  <si>
    <t xml:space="preserve">Calculated PSA Parameters </t>
  </si>
  <si>
    <t>Z-Matrix (Randomly Generated Normal Dist.)</t>
  </si>
  <si>
    <t>Intercept</t>
  </si>
  <si>
    <t>Weibull</t>
  </si>
  <si>
    <t>Logscale</t>
  </si>
  <si>
    <t>Value</t>
  </si>
  <si>
    <t xml:space="preserve">Logscale </t>
  </si>
  <si>
    <t>Parameters incorporating uncertainty</t>
  </si>
  <si>
    <t>Std Error</t>
  </si>
  <si>
    <t xml:space="preserve">Parameters incorporating uncertainty </t>
  </si>
  <si>
    <t>LogLogistic</t>
  </si>
  <si>
    <t xml:space="preserve">Gamma (Two Parameter) </t>
  </si>
  <si>
    <t>Shape</t>
  </si>
  <si>
    <t>Rate</t>
  </si>
  <si>
    <t xml:space="preserve">Gompertz </t>
  </si>
  <si>
    <t>`</t>
  </si>
  <si>
    <t>Generalized Gamma (Three Parameter)</t>
  </si>
  <si>
    <t>Mu</t>
  </si>
  <si>
    <t>Sigma</t>
  </si>
  <si>
    <t>Q</t>
  </si>
  <si>
    <t xml:space="preserve">Goodness of Fit Summary </t>
  </si>
  <si>
    <t>Gamma (2-par)</t>
  </si>
  <si>
    <t>Gompertz</t>
  </si>
  <si>
    <t>df</t>
  </si>
  <si>
    <t>n</t>
  </si>
  <si>
    <t>AIC</t>
  </si>
  <si>
    <t>BIC</t>
  </si>
  <si>
    <t>GenGamma</t>
  </si>
  <si>
    <t>P(Survival)</t>
  </si>
  <si>
    <t>Cycle (Months)</t>
  </si>
  <si>
    <t>z</t>
  </si>
  <si>
    <t>u</t>
  </si>
  <si>
    <t>P(survival)</t>
  </si>
  <si>
    <t>Extracted KM Times</t>
  </si>
  <si>
    <t>Extracted KM P(Survival)</t>
  </si>
  <si>
    <t>Original KM Data</t>
  </si>
  <si>
    <t>Month</t>
  </si>
  <si>
    <t>OWSA</t>
  </si>
  <si>
    <t>One-way sensitivity analysis outputs &amp; tornado diagram</t>
  </si>
  <si>
    <t>PSA</t>
  </si>
  <si>
    <t xml:space="preserve">Result of probabilistic sensivitiy analysis </t>
  </si>
  <si>
    <t>Survival Extrapolation</t>
  </si>
  <si>
    <t>Parameters and survival curves for parametric survival distributions</t>
  </si>
  <si>
    <t>Year 2+ Utility</t>
  </si>
  <si>
    <t>Discounting Rate</t>
  </si>
  <si>
    <t>Distribution</t>
  </si>
  <si>
    <t>STD-Lys (PET)</t>
  </si>
  <si>
    <t>STD-QALYs (LET)</t>
  </si>
  <si>
    <t xml:space="preserve">STD-QALYs (PET) </t>
  </si>
  <si>
    <t>STD-Lys (LET)</t>
  </si>
  <si>
    <t>Log-normal</t>
  </si>
  <si>
    <t>Log-logistic</t>
  </si>
  <si>
    <t>Generalized Gamma</t>
  </si>
  <si>
    <t xml:space="preserve">Min: </t>
  </si>
  <si>
    <t xml:space="preserve">Mean: </t>
  </si>
  <si>
    <t xml:space="preserve">Max: </t>
  </si>
  <si>
    <t>LET Prophylaxis</t>
  </si>
  <si>
    <t>PET-Alone</t>
  </si>
  <si>
    <t xml:space="preserve">Note: </t>
  </si>
  <si>
    <t>Any cell shaded in light blue can be altered</t>
  </si>
  <si>
    <t>Age (years)</t>
  </si>
  <si>
    <t xml:space="preserve">Probability of Death between Age X and X+1 </t>
  </si>
  <si>
    <t xml:space="preserve">*Average age of patients enrolled in Marty et al was 53-54 </t>
  </si>
  <si>
    <t>*We assume that the risk of death within each year does not change according to months within that year</t>
  </si>
  <si>
    <t xml:space="preserve">Model Index Year </t>
  </si>
  <si>
    <t xml:space="preserve">*Monthly mortality rate = (1+i)^1/12-1, where I = the annual mortality rate </t>
  </si>
  <si>
    <t xml:space="preserve">Markov Model Index Months </t>
  </si>
  <si>
    <t xml:space="preserve">*Markov model starts at age 55 </t>
  </si>
  <si>
    <t xml:space="preserve">Probability as a Rate (%) </t>
  </si>
  <si>
    <t xml:space="preserve">Corresponding Age in Months </t>
  </si>
  <si>
    <t xml:space="preserve">Index Year </t>
  </si>
  <si>
    <t>Probability of Death (Year)</t>
  </si>
  <si>
    <t xml:space="preserve">Monthly Probability </t>
  </si>
  <si>
    <t>N start</t>
  </si>
  <si>
    <t>The number of people who died in this interval in the life table = 575</t>
  </si>
  <si>
    <t xml:space="preserve">&lt;-- This is the end of the second year post-transplant. Apply the Wingard et al Relative Mortality Risks starting here </t>
  </si>
  <si>
    <t xml:space="preserve">Wingard et al Relative Mortality Rates: </t>
  </si>
  <si>
    <t xml:space="preserve">Year Post-Transplant </t>
  </si>
  <si>
    <t>Bhatia et al standardized mortality rates according to follow up period</t>
  </si>
  <si>
    <t xml:space="preserve">*Includes patients who also got bone marrow transplant. Age at transplant on average was ~20 years younger </t>
  </si>
  <si>
    <t>2-5 years</t>
  </si>
  <si>
    <t xml:space="preserve">6-9 years </t>
  </si>
  <si>
    <t xml:space="preserve">10-14 years </t>
  </si>
  <si>
    <t xml:space="preserve">15-19 years </t>
  </si>
  <si>
    <t xml:space="preserve">20-24 years </t>
  </si>
  <si>
    <t xml:space="preserve">25-30 years </t>
  </si>
  <si>
    <t xml:space="preserve">30 years or more </t>
  </si>
  <si>
    <t>31.7-36.9</t>
  </si>
  <si>
    <t>6.1-7.8</t>
  </si>
  <si>
    <t>3.6-4.9</t>
  </si>
  <si>
    <t>4.5-6.3</t>
  </si>
  <si>
    <t>3.4-5.2</t>
  </si>
  <si>
    <t>3.9-6.8</t>
  </si>
  <si>
    <t>4.0-7.1</t>
  </si>
  <si>
    <t xml:space="preserve">SMR </t>
  </si>
  <si>
    <t xml:space="preserve">Confidence Interval </t>
  </si>
  <si>
    <t xml:space="preserve">Yr 2 start </t>
  </si>
  <si>
    <t xml:space="preserve">Yr 4 start </t>
  </si>
  <si>
    <t xml:space="preserve">Yr 5 start </t>
  </si>
  <si>
    <t xml:space="preserve">Year 11 Start </t>
  </si>
  <si>
    <t xml:space="preserve">Yr 16 Start </t>
  </si>
  <si>
    <t>Yr 21 start</t>
  </si>
  <si>
    <t xml:space="preserve">Yr 26 Start </t>
  </si>
  <si>
    <t xml:space="preserve">Yr 31 Start </t>
  </si>
  <si>
    <t xml:space="preserve">Maximum should not exceed one </t>
  </si>
  <si>
    <t xml:space="preserve">2 year - 5 years </t>
  </si>
  <si>
    <t xml:space="preserve">5 years - 10 years </t>
  </si>
  <si>
    <t xml:space="preserve">10 years - 15 years </t>
  </si>
  <si>
    <t>15 years or more</t>
  </si>
  <si>
    <t>SMR</t>
  </si>
  <si>
    <t>8.4-9.7</t>
  </si>
  <si>
    <t>4.7-5.8</t>
  </si>
  <si>
    <t>3.1-4.1</t>
  </si>
  <si>
    <t>3.0-4.1</t>
  </si>
  <si>
    <t>Wong et al</t>
  </si>
  <si>
    <t xml:space="preserve">Utility weight for each week </t>
  </si>
  <si>
    <t xml:space="preserve">Week 0 to 14: </t>
  </si>
  <si>
    <t>Week 14 to 24:</t>
  </si>
  <si>
    <t xml:space="preserve">Letermovir: </t>
  </si>
  <si>
    <r>
      <t>PET Alone</t>
    </r>
    <r>
      <rPr>
        <sz val="11"/>
        <color theme="1"/>
        <rFont val="Calibri"/>
        <family val="2"/>
      </rPr>
      <t xml:space="preserve"> </t>
    </r>
  </si>
  <si>
    <t xml:space="preserve">Week 24 to 48: </t>
  </si>
  <si>
    <t xml:space="preserve">Week 48 to 52: </t>
  </si>
  <si>
    <t xml:space="preserve">Weighted year one utility, PET alone  </t>
  </si>
  <si>
    <t>uWeighted_Let</t>
  </si>
  <si>
    <t xml:space="preserve">Weighted Utility, Letermovir Arm </t>
  </si>
  <si>
    <t>uWeighted_PET</t>
  </si>
  <si>
    <t>Weighted Utility, PET Arm</t>
  </si>
  <si>
    <t xml:space="preserve">Yr 10 start </t>
  </si>
  <si>
    <t xml:space="preserve">Yr 8 start </t>
  </si>
  <si>
    <t xml:space="preserve">Yr 9 start </t>
  </si>
  <si>
    <t xml:space="preserve">Yr 7 start </t>
  </si>
  <si>
    <t xml:space="preserve">Yr 3 start </t>
  </si>
  <si>
    <t xml:space="preserve">Yr 6 start </t>
  </si>
  <si>
    <t xml:space="preserve">Year 0-1: Marty et al </t>
  </si>
  <si>
    <t xml:space="preserve">Year 2 to 5: Saullo et al </t>
  </si>
  <si>
    <t xml:space="preserve">Year 6 and on: US life data + SMR multipliers </t>
  </si>
  <si>
    <t>H(t-1)</t>
  </si>
  <si>
    <t>H(t)</t>
  </si>
  <si>
    <t>1-exp(H(t-1) - H(t))</t>
  </si>
  <si>
    <t xml:space="preserve">Lifetime Horizon </t>
  </si>
  <si>
    <t xml:space="preserve">Ten Years Post-Transplant </t>
  </si>
  <si>
    <t xml:space="preserve">Cost per quality-adjusted life year gained per patient on letermovir </t>
  </si>
  <si>
    <t>ICLY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</si>
  <si>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</si>
  <si>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</si>
  <si>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</si>
  <si>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</si>
  <si>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</si>
  <si>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</si>
  <si>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</si>
  <si>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</si>
  <si>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</si>
  <si>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</si>
  <si>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</si>
  <si>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</si>
  <si>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</si>
  <si>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</si>
  <si>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</si>
  <si>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</si>
  <si>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</si>
  <si>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</si>
  <si>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</si>
  <si>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</si>
  <si>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</si>
  <si>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</si>
  <si>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</si>
  <si>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u(weigh_PET)</t>
  </si>
  <si>
    <t>u(weight_LET)</t>
  </si>
  <si>
    <t xml:space="preserve">Table 5. Estimated Outcomes and Costs for Base-Case Scenario (Markov Model), Ten Years Post-Transplant </t>
  </si>
  <si>
    <t xml:space="preserve">USD per QALY gained </t>
  </si>
  <si>
    <t xml:space="preserve">Weighed Year 1 Utility, LET </t>
  </si>
  <si>
    <t xml:space="preserve">Weighed Year 1 Utility, PET </t>
  </si>
  <si>
    <t>1-exp(H(t-1)-H(t))</t>
  </si>
  <si>
    <t>1-EXP(H(t-1)-H(t))</t>
  </si>
  <si>
    <t>Table 7: Sensitivity Analysis Results - Long-Term Mortality (Ten-Year Time Horizon)</t>
  </si>
  <si>
    <t>STD Cost (LET)</t>
  </si>
  <si>
    <t>STD Cost (PET)</t>
  </si>
  <si>
    <t xml:space="preserve">Reduce by 30% </t>
  </si>
  <si>
    <t>Mean ICER:</t>
  </si>
  <si>
    <t>Max:</t>
  </si>
  <si>
    <t>l</t>
  </si>
  <si>
    <t xml:space="preserve">*This version uses the un-smoothed out survival curve </t>
  </si>
  <si>
    <t>95% Confidence Interval:</t>
  </si>
  <si>
    <t xml:space="preserve">Year 2 to 5: Marty et al </t>
  </si>
  <si>
    <t>Year 1-2: Marty et al</t>
  </si>
  <si>
    <t xml:space="preserve">Year 3 and on: US life data + SMR multipliers </t>
  </si>
  <si>
    <t>Standard Error:</t>
  </si>
  <si>
    <t xml:space="preserve">Standard Deviation: </t>
  </si>
  <si>
    <t xml:space="preserve">Weighted Utility Calculation: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</si>
</sst>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  <numFmt numFmtId="166" formatCode="0.0000000000000"/>
    <numFmt numFmtId="167" formatCode="0.00000000"/>
    <numFmt numFmtId="168" formatCode="0.0000000"/>
    <numFmt numFmtId="169" formatCode="0.0"/>
    <numFmt numFmtId="170" formatCode="0.0000%"/>
    <numFmt numFmtId="171" formatCode="0.0000"/>
    <numFmt numFmtId="173" formatCode="0.000000"/>
    <numFmt numFmtId="174" formatCode="0.00000"/>
    <numFmt numFmtId="177" formatCode="0.000000000000000"/>
    <numFmt numFmtId="178" formatCode="0.0000000000000000"/>
  </numFmts>
  <fonts count="78" x14ac:knownFonts="1">
    <font>
      <sz val="11"/>
      <color theme="1"/>
      <name val="Arial"/>
    </font>
    <font>
      <sz val="11"/>
      <color theme="1"/>
      <name val="Cambria"/>
      <family val="1"/>
    </font>
    <font>
      <b/>
      <i/>
      <sz val="22"/>
      <color theme="0"/>
      <name val="Cambria"/>
      <family val="1"/>
    </font>
    <font>
      <sz val="11"/>
      <name val="Arial"/>
      <family val="2"/>
    </font>
    <font>
      <sz val="11"/>
      <color theme="1"/>
      <name val="Calibri"/>
      <family val="2"/>
    </font>
    <font>
      <b/>
      <sz val="11"/>
      <color theme="1"/>
      <name val="Cambria"/>
      <family val="1"/>
    </font>
    <font>
      <b/>
      <i/>
      <sz val="20"/>
      <color theme="1"/>
      <name val="Cambria"/>
      <family val="1"/>
    </font>
    <font>
      <b/>
      <i/>
      <sz val="22"/>
      <color rgb="FFFF0000"/>
      <name val="Cambria"/>
      <family val="1"/>
    </font>
    <font>
      <sz val="11"/>
      <color theme="0"/>
      <name val="Cambria"/>
      <family val="1"/>
    </font>
    <font>
      <b/>
      <i/>
      <sz val="12"/>
      <color theme="0"/>
      <name val="Cambria"/>
      <family val="1"/>
    </font>
    <font>
      <b/>
      <sz val="11"/>
      <color theme="7"/>
      <name val="Cambria"/>
      <family val="1"/>
    </font>
    <font>
      <i/>
      <sz val="9"/>
      <color theme="1"/>
      <name val="Cambria"/>
      <family val="1"/>
    </font>
    <font>
      <i/>
      <sz val="11"/>
      <color theme="1"/>
      <name val="Cambria"/>
      <family val="1"/>
    </font>
    <font>
      <b/>
      <i/>
      <sz val="11"/>
      <color rgb="FF497388"/>
      <name val="Cambria"/>
      <family val="1"/>
    </font>
    <font>
      <i/>
      <sz val="8"/>
      <color theme="1"/>
      <name val="Cambria"/>
      <family val="1"/>
    </font>
    <font>
      <sz val="11"/>
      <color theme="7"/>
      <name val="Cambria"/>
      <family val="1"/>
    </font>
    <font>
      <b/>
      <i/>
      <u/>
      <sz val="8"/>
      <color theme="1"/>
      <name val="Cambria"/>
      <family val="1"/>
    </font>
    <font>
      <sz val="8"/>
      <color theme="1"/>
      <name val="Cambria"/>
      <family val="1"/>
    </font>
    <font>
      <i/>
      <sz val="10"/>
      <color theme="1"/>
      <name val="Cambria"/>
      <family val="1"/>
    </font>
    <font>
      <sz val="11"/>
      <color rgb="FF1F497D"/>
      <name val="Calibri"/>
      <family val="2"/>
    </font>
    <font>
      <b/>
      <i/>
      <sz val="11"/>
      <color theme="1"/>
      <name val="Cambria"/>
      <family val="1"/>
    </font>
    <font>
      <b/>
      <i/>
      <u/>
      <sz val="9"/>
      <color theme="1"/>
      <name val="Cambria"/>
      <family val="1"/>
    </font>
    <font>
      <b/>
      <i/>
      <sz val="8"/>
      <color theme="1"/>
      <name val="Cambria"/>
      <family val="1"/>
    </font>
    <font>
      <i/>
      <sz val="11"/>
      <color theme="0"/>
      <name val="Cambria"/>
      <family val="1"/>
    </font>
    <font>
      <sz val="9"/>
      <color theme="1"/>
      <name val="Cambria"/>
      <family val="1"/>
    </font>
    <font>
      <b/>
      <i/>
      <sz val="10"/>
      <color theme="1"/>
      <name val="Cambria"/>
      <family val="1"/>
    </font>
    <font>
      <sz val="11"/>
      <color theme="0"/>
      <name val="Calibri"/>
      <family val="2"/>
    </font>
    <font>
      <b/>
      <sz val="11"/>
      <color rgb="FF497388"/>
      <name val="Cambria"/>
      <family val="1"/>
    </font>
    <font>
      <b/>
      <sz val="12"/>
      <color rgb="FF578793"/>
      <name val="Cambria"/>
      <family val="1"/>
    </font>
    <font>
      <i/>
      <sz val="11"/>
      <color rgb="FF497388"/>
      <name val="Cambria"/>
      <family val="1"/>
    </font>
    <font>
      <b/>
      <sz val="11"/>
      <color theme="0"/>
      <name val="Cambria"/>
      <family val="1"/>
    </font>
    <font>
      <b/>
      <sz val="16"/>
      <color theme="0"/>
      <name val="Cambria"/>
      <family val="1"/>
    </font>
    <font>
      <sz val="12"/>
      <color theme="0"/>
      <name val="Cambria"/>
      <family val="1"/>
    </font>
    <font>
      <u/>
      <sz val="12"/>
      <color theme="0"/>
      <name val="Cambria"/>
      <family val="1"/>
    </font>
    <font>
      <sz val="11"/>
      <color rgb="FFFF0000"/>
      <name val="Cambria"/>
      <family val="1"/>
    </font>
    <font>
      <b/>
      <sz val="14"/>
      <color theme="1"/>
      <name val="Cambria"/>
      <family val="1"/>
    </font>
    <font>
      <sz val="12"/>
      <color theme="1"/>
      <name val="Cambria"/>
      <family val="1"/>
    </font>
    <font>
      <b/>
      <i/>
      <sz val="14"/>
      <color theme="0"/>
      <name val="Cambria"/>
      <family val="1"/>
    </font>
    <font>
      <b/>
      <sz val="14"/>
      <color theme="0"/>
      <name val="Cambria"/>
      <family val="1"/>
    </font>
    <font>
      <sz val="10"/>
      <color theme="0"/>
      <name val="Cambria"/>
      <family val="1"/>
    </font>
    <font>
      <sz val="10"/>
      <color theme="1"/>
      <name val="Cambria"/>
      <family val="1"/>
    </font>
    <font>
      <b/>
      <sz val="8"/>
      <color theme="1"/>
      <name val="Cambria"/>
      <family val="1"/>
    </font>
    <font>
      <b/>
      <sz val="11"/>
      <color theme="1"/>
      <name val="Calibri"/>
      <family val="2"/>
    </font>
    <font>
      <b/>
      <sz val="11"/>
      <color theme="0"/>
      <name val="Cambria"/>
      <family val="1"/>
    </font>
    <font>
      <sz val="11"/>
      <color rgb="FFFF0000"/>
      <name val="Cambria"/>
      <family val="1"/>
    </font>
    <font>
      <sz val="12"/>
      <color theme="0"/>
      <name val="Cambria"/>
      <family val="1"/>
    </font>
    <font>
      <sz val="11"/>
      <color rgb="FFFF0000"/>
      <name val="Calibri"/>
      <family val="2"/>
    </font>
    <font>
      <sz val="11"/>
      <color theme="1"/>
      <name val="Cambria"/>
      <family val="1"/>
    </font>
    <font>
      <i/>
      <sz val="11"/>
      <color theme="0"/>
      <name val="Cambria"/>
      <family val="1"/>
    </font>
    <font>
      <sz val="11"/>
      <color theme="1"/>
      <name val="Arial"/>
      <family val="2"/>
    </font>
    <font>
      <i/>
      <sz val="11"/>
      <name val="Cambria"/>
      <family val="1"/>
    </font>
    <font>
      <sz val="11"/>
      <name val="Cambria"/>
      <family val="1"/>
    </font>
    <font>
      <b/>
      <sz val="8"/>
      <color theme="0"/>
      <name val="Cambria"/>
      <family val="1"/>
    </font>
    <font>
      <sz val="9"/>
      <color theme="0"/>
      <name val="Cambria"/>
      <family val="1"/>
    </font>
    <font>
      <sz val="11"/>
      <color theme="0"/>
      <name val="Arial"/>
      <family val="2"/>
    </font>
    <font>
      <b/>
      <sz val="11"/>
      <name val="Cambria"/>
      <family val="1"/>
    </font>
    <font>
      <b/>
      <i/>
      <sz val="11"/>
      <color theme="0"/>
      <name val="Cambria"/>
      <family val="1"/>
    </font>
    <font>
      <i/>
      <sz val="11"/>
      <color theme="8" tint="-0.249977111117893"/>
      <name val="Cambria"/>
      <family val="1"/>
    </font>
    <font>
      <u/>
      <sz val="11"/>
      <color theme="1"/>
      <name val="Cambria"/>
      <family val="1"/>
    </font>
    <font>
      <u/>
      <sz val="11"/>
      <color theme="1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mbria"/>
      <family val="1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u/>
      <sz val="11"/>
      <color theme="1"/>
      <name val="Calibri"/>
      <family val="2"/>
    </font>
    <font>
      <sz val="11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mbria"/>
      <family val="1"/>
    </font>
    <font>
      <sz val="11"/>
      <color theme="0" tint="-0.499984740745262"/>
      <name val="Calibri"/>
      <family val="2"/>
      <scheme val="minor"/>
    </font>
    <font>
      <u/>
      <sz val="11"/>
      <color theme="0"/>
      <name val="Cambria"/>
      <family val="1"/>
    </font>
    <font>
      <sz val="11"/>
      <color rgb="FF3F3F76"/>
      <name val="Calibri"/>
      <family val="2"/>
      <scheme val="minor"/>
    </font>
    <font>
      <sz val="8"/>
      <color theme="0"/>
      <name val="Cambria"/>
      <family val="1"/>
    </font>
    <font>
      <b/>
      <i/>
      <u/>
      <sz val="11"/>
      <color theme="1"/>
      <name val="Cambria"/>
      <family val="1"/>
    </font>
  </fonts>
  <fills count="41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497388"/>
        <bgColor rgb="FF497388"/>
      </patternFill>
    </fill>
    <fill>
      <patternFill patternType="solid">
        <fgColor theme="0"/>
        <bgColor theme="0"/>
      </patternFill>
    </fill>
    <fill>
      <patternFill patternType="solid">
        <fgColor rgb="FF7F7F7F"/>
        <bgColor rgb="FF7F7F7F"/>
      </patternFill>
    </fill>
    <fill>
      <patternFill patternType="solid">
        <fgColor rgb="FFD8D8D8"/>
        <bgColor rgb="FFD8D8D8"/>
      </patternFill>
    </fill>
    <fill>
      <patternFill patternType="solid">
        <fgColor rgb="FFE6EEF0"/>
        <bgColor rgb="FFE6EEF0"/>
      </patternFill>
    </fill>
    <fill>
      <patternFill patternType="solid">
        <fgColor rgb="FFE0EAEE"/>
        <bgColor rgb="FFE0EAEE"/>
      </patternFill>
    </fill>
    <fill>
      <patternFill patternType="solid">
        <fgColor rgb="FFFFFFCC"/>
        <bgColor rgb="FFFFFFCC"/>
      </patternFill>
    </fill>
    <fill>
      <patternFill patternType="solid">
        <fgColor rgb="FF455673"/>
        <bgColor rgb="FF455673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theme="7" tint="-0.249977111117893"/>
        <bgColor theme="0"/>
      </patternFill>
    </fill>
    <fill>
      <patternFill patternType="solid">
        <fgColor theme="0"/>
        <bgColor rgb="FF455673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7" tint="0.59999389629810485"/>
        <bgColor theme="0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theme="2"/>
      </patternFill>
    </fill>
    <fill>
      <patternFill patternType="solid">
        <fgColor theme="2"/>
        <bgColor theme="0"/>
      </patternFill>
    </fill>
    <fill>
      <patternFill patternType="solid">
        <fgColor rgb="FF00B0F0"/>
        <bgColor theme="0"/>
      </patternFill>
    </fill>
    <fill>
      <patternFill patternType="solid">
        <fgColor rgb="FF00B0F0"/>
      </patternFill>
    </fill>
    <fill>
      <patternFill patternType="solid">
        <fgColor rgb="FF00B050"/>
        <bgColor theme="0"/>
      </patternFill>
    </fill>
    <fill>
      <patternFill patternType="solid">
        <fgColor rgb="FF00B050"/>
      </patternFill>
    </fill>
    <fill>
      <patternFill patternType="solid">
        <fgColor rgb="FFFF9900"/>
        <bgColor theme="0"/>
      </patternFill>
    </fill>
    <fill>
      <patternFill patternType="solid">
        <fgColor rgb="FFFF9900"/>
        <bgColor indexed="64"/>
      </patternFill>
    </fill>
    <fill>
      <patternFill patternType="solid">
        <fgColor rgb="FFFF9900"/>
      </patternFill>
    </fill>
    <fill>
      <patternFill patternType="solid">
        <fgColor rgb="FFFFFF00"/>
        <bgColor indexed="64"/>
      </patternFill>
    </fill>
    <fill>
      <patternFill patternType="solid">
        <fgColor rgb="FFFFFF00"/>
      </patternFill>
    </fill>
    <fill>
      <patternFill patternType="solid">
        <fgColor rgb="FFFF000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rgb="FFFF0000"/>
      </patternFill>
    </fill>
    <fill>
      <patternFill patternType="solid">
        <fgColor rgb="FF7030A0"/>
        <bgColor theme="0"/>
      </patternFill>
    </fill>
    <fill>
      <patternFill patternType="solid">
        <fgColor rgb="FF7030A0"/>
        <bgColor indexed="64"/>
      </patternFill>
    </fill>
    <fill>
      <patternFill patternType="solid">
        <fgColor rgb="FF7030A0"/>
      </patternFill>
    </fill>
    <fill>
      <patternFill patternType="solid">
        <fgColor theme="7"/>
        <bgColor indexed="64"/>
      </patternFill>
    </fill>
    <fill>
      <patternFill patternType="solid">
        <fgColor rgb="FFFFCC99"/>
      </patternFill>
    </fill>
  </fills>
  <borders count="9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000000"/>
      </bottom>
      <diagonal/>
    </border>
    <border>
      <left style="medium">
        <color rgb="FF497388"/>
      </left>
      <right style="medium">
        <color rgb="FF497388"/>
      </right>
      <top style="medium">
        <color rgb="FF497388"/>
      </top>
      <bottom style="medium">
        <color rgb="FF497388"/>
      </bottom>
      <diagonal/>
    </border>
    <border>
      <left/>
      <right style="hair">
        <color rgb="FF000000"/>
      </right>
      <top/>
      <bottom/>
      <diagonal/>
    </border>
    <border>
      <left/>
      <right/>
      <top style="hair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hair">
        <color rgb="FF000000"/>
      </bottom>
      <diagonal/>
    </border>
    <border>
      <left style="thin">
        <color rgb="FF000000"/>
      </left>
      <right/>
      <top style="thin">
        <color theme="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000000"/>
      </left>
      <right style="thin">
        <color rgb="FF000000"/>
      </right>
      <top style="thin">
        <color theme="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tted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62" fillId="0" borderId="0" applyFont="0" applyFill="0" applyBorder="0" applyAlignment="0" applyProtection="0"/>
    <xf numFmtId="0" fontId="65" fillId="18" borderId="0" applyNumberFormat="0" applyBorder="0" applyAlignment="0" applyProtection="0"/>
    <xf numFmtId="0" fontId="62" fillId="19" borderId="88" applyNumberFormat="0" applyFont="0" applyAlignment="0" applyProtection="0"/>
    <xf numFmtId="0" fontId="75" fillId="40" borderId="95" applyNumberFormat="0" applyAlignment="0" applyProtection="0"/>
  </cellStyleXfs>
  <cellXfs count="675">
    <xf numFmtId="0" fontId="0" fillId="0" borderId="0" xfId="0" applyFont="1" applyAlignment="1"/>
    <xf numFmtId="0" fontId="1" fillId="2" borderId="1" xfId="0" applyFont="1" applyFill="1" applyBorder="1"/>
    <xf numFmtId="0" fontId="4" fillId="3" borderId="1" xfId="0" applyFont="1" applyFill="1" applyBorder="1"/>
    <xf numFmtId="0" fontId="1" fillId="4" borderId="1" xfId="0" applyFont="1" applyFill="1" applyBorder="1"/>
    <xf numFmtId="0" fontId="5" fillId="4" borderId="1" xfId="0" applyFont="1" applyFill="1" applyBorder="1"/>
    <xf numFmtId="0" fontId="1" fillId="5" borderId="1" xfId="0" applyFont="1" applyFill="1" applyBorder="1"/>
    <xf numFmtId="0" fontId="5" fillId="6" borderId="1" xfId="0" applyFont="1" applyFill="1" applyBorder="1"/>
    <xf numFmtId="0" fontId="1" fillId="6" borderId="1" xfId="0" applyFont="1" applyFill="1" applyBorder="1"/>
    <xf numFmtId="0" fontId="1" fillId="3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4" borderId="1" xfId="0" applyFont="1" applyFill="1" applyBorder="1"/>
    <xf numFmtId="8" fontId="1" fillId="4" borderId="1" xfId="0" applyNumberFormat="1" applyFont="1" applyFill="1" applyBorder="1"/>
    <xf numFmtId="0" fontId="10" fillId="4" borderId="8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right"/>
    </xf>
    <xf numFmtId="0" fontId="12" fillId="4" borderId="1" xfId="0" applyFont="1" applyFill="1" applyBorder="1" applyAlignment="1">
      <alignment horizontal="right"/>
    </xf>
    <xf numFmtId="164" fontId="1" fillId="7" borderId="1" xfId="0" applyNumberFormat="1" applyFont="1" applyFill="1" applyBorder="1" applyAlignment="1">
      <alignment horizontal="center"/>
    </xf>
    <xf numFmtId="0" fontId="13" fillId="4" borderId="1" xfId="0" applyFont="1" applyFill="1" applyBorder="1"/>
    <xf numFmtId="8" fontId="8" fillId="4" borderId="1" xfId="0" applyNumberFormat="1" applyFont="1" applyFill="1" applyBorder="1"/>
    <xf numFmtId="0" fontId="14" fillId="4" borderId="1" xfId="0" applyFont="1" applyFill="1" applyBorder="1" applyAlignment="1">
      <alignment horizontal="right"/>
    </xf>
    <xf numFmtId="0" fontId="1" fillId="7" borderId="1" xfId="0" applyFont="1" applyFill="1" applyBorder="1" applyAlignment="1">
      <alignment horizontal="center"/>
    </xf>
    <xf numFmtId="6" fontId="1" fillId="8" borderId="1" xfId="0" applyNumberFormat="1" applyFont="1" applyFill="1" applyBorder="1" applyAlignment="1">
      <alignment horizontal="center"/>
    </xf>
    <xf numFmtId="0" fontId="14" fillId="4" borderId="1" xfId="0" applyFont="1" applyFill="1" applyBorder="1" applyAlignment="1">
      <alignment horizontal="left"/>
    </xf>
    <xf numFmtId="6" fontId="15" fillId="4" borderId="9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0" borderId="0" xfId="0" applyFont="1"/>
    <xf numFmtId="1" fontId="1" fillId="4" borderId="1" xfId="0" applyNumberFormat="1" applyFont="1" applyFill="1" applyBorder="1"/>
    <xf numFmtId="9" fontId="1" fillId="7" borderId="1" xfId="0" applyNumberFormat="1" applyFont="1" applyFill="1" applyBorder="1" applyAlignment="1">
      <alignment horizontal="center"/>
    </xf>
    <xf numFmtId="6" fontId="10" fillId="4" borderId="9" xfId="0" applyNumberFormat="1" applyFont="1" applyFill="1" applyBorder="1" applyAlignment="1">
      <alignment horizontal="center"/>
    </xf>
    <xf numFmtId="0" fontId="14" fillId="4" borderId="1" xfId="0" applyFont="1" applyFill="1" applyBorder="1"/>
    <xf numFmtId="0" fontId="16" fillId="4" borderId="1" xfId="0" applyFont="1" applyFill="1" applyBorder="1" applyAlignment="1">
      <alignment horizontal="right" vertical="center"/>
    </xf>
    <xf numFmtId="6" fontId="10" fillId="4" borderId="9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right"/>
    </xf>
    <xf numFmtId="0" fontId="11" fillId="4" borderId="10" xfId="0" applyFont="1" applyFill="1" applyBorder="1" applyAlignment="1">
      <alignment horizontal="right"/>
    </xf>
    <xf numFmtId="10" fontId="1" fillId="8" borderId="1" xfId="0" applyNumberFormat="1" applyFont="1" applyFill="1" applyBorder="1" applyAlignment="1">
      <alignment horizontal="center"/>
    </xf>
    <xf numFmtId="0" fontId="17" fillId="4" borderId="1" xfId="0" applyFont="1" applyFill="1" applyBorder="1"/>
    <xf numFmtId="10" fontId="1" fillId="4" borderId="1" xfId="0" applyNumberFormat="1" applyFont="1" applyFill="1" applyBorder="1"/>
    <xf numFmtId="0" fontId="11" fillId="4" borderId="1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center"/>
    </xf>
    <xf numFmtId="0" fontId="11" fillId="4" borderId="11" xfId="0" applyFont="1" applyFill="1" applyBorder="1"/>
    <xf numFmtId="0" fontId="1" fillId="4" borderId="11" xfId="0" applyFont="1" applyFill="1" applyBorder="1"/>
    <xf numFmtId="6" fontId="8" fillId="4" borderId="1" xfId="0" applyNumberFormat="1" applyFont="1" applyFill="1" applyBorder="1"/>
    <xf numFmtId="0" fontId="1" fillId="4" borderId="1" xfId="0" applyFont="1" applyFill="1" applyBorder="1" applyAlignment="1">
      <alignment horizontal="center" vertical="center"/>
    </xf>
    <xf numFmtId="8" fontId="4" fillId="0" borderId="0" xfId="0" applyNumberFormat="1" applyFont="1"/>
    <xf numFmtId="8" fontId="1" fillId="4" borderId="1" xfId="0" applyNumberFormat="1" applyFont="1" applyFill="1" applyBorder="1" applyAlignment="1">
      <alignment horizontal="center"/>
    </xf>
    <xf numFmtId="0" fontId="11" fillId="4" borderId="1" xfId="0" applyFont="1" applyFill="1" applyBorder="1" applyAlignment="1">
      <alignment horizontal="left"/>
    </xf>
    <xf numFmtId="8" fontId="1" fillId="8" borderId="1" xfId="0" applyNumberFormat="1" applyFont="1" applyFill="1" applyBorder="1" applyAlignment="1">
      <alignment horizontal="center"/>
    </xf>
    <xf numFmtId="0" fontId="18" fillId="4" borderId="1" xfId="0" applyFont="1" applyFill="1" applyBorder="1" applyAlignment="1">
      <alignment horizontal="right"/>
    </xf>
    <xf numFmtId="0" fontId="19" fillId="0" borderId="0" xfId="0" applyFont="1"/>
    <xf numFmtId="0" fontId="1" fillId="4" borderId="1" xfId="0" applyFont="1" applyFill="1" applyBorder="1" applyAlignment="1">
      <alignment horizontal="center"/>
    </xf>
    <xf numFmtId="6" fontId="1" fillId="4" borderId="1" xfId="0" applyNumberFormat="1" applyFont="1" applyFill="1" applyBorder="1" applyAlignment="1">
      <alignment horizontal="center"/>
    </xf>
    <xf numFmtId="0" fontId="20" fillId="4" borderId="1" xfId="0" applyFont="1" applyFill="1" applyBorder="1" applyAlignment="1">
      <alignment horizontal="right"/>
    </xf>
    <xf numFmtId="0" fontId="21" fillId="4" borderId="1" xfId="0" applyFont="1" applyFill="1" applyBorder="1"/>
    <xf numFmtId="6" fontId="10" fillId="4" borderId="1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right"/>
    </xf>
    <xf numFmtId="0" fontId="23" fillId="4" borderId="1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6" fontId="15" fillId="4" borderId="9" xfId="0" applyNumberFormat="1" applyFont="1" applyFill="1" applyBorder="1" applyAlignment="1">
      <alignment horizontal="center" vertical="center"/>
    </xf>
    <xf numFmtId="6" fontId="1" fillId="4" borderId="1" xfId="0" applyNumberFormat="1" applyFont="1" applyFill="1" applyBorder="1"/>
    <xf numFmtId="2" fontId="10" fillId="4" borderId="9" xfId="0" applyNumberFormat="1" applyFont="1" applyFill="1" applyBorder="1" applyAlignment="1">
      <alignment horizontal="center"/>
    </xf>
    <xf numFmtId="2" fontId="1" fillId="8" borderId="1" xfId="0" applyNumberFormat="1" applyFont="1" applyFill="1" applyBorder="1" applyAlignment="1">
      <alignment horizontal="center"/>
    </xf>
    <xf numFmtId="164" fontId="10" fillId="4" borderId="9" xfId="0" applyNumberFormat="1" applyFont="1" applyFill="1" applyBorder="1" applyAlignment="1">
      <alignment horizontal="center"/>
    </xf>
    <xf numFmtId="0" fontId="12" fillId="4" borderId="1" xfId="0" applyFont="1" applyFill="1" applyBorder="1"/>
    <xf numFmtId="0" fontId="24" fillId="4" borderId="1" xfId="0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horizontal="center"/>
    </xf>
    <xf numFmtId="0" fontId="25" fillId="4" borderId="1" xfId="0" applyFont="1" applyFill="1" applyBorder="1" applyAlignment="1">
      <alignment horizontal="right"/>
    </xf>
    <xf numFmtId="0" fontId="20" fillId="4" borderId="1" xfId="0" applyFont="1" applyFill="1" applyBorder="1"/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/>
    <xf numFmtId="6" fontId="4" fillId="4" borderId="1" xfId="0" applyNumberFormat="1" applyFont="1" applyFill="1" applyBorder="1"/>
    <xf numFmtId="2" fontId="4" fillId="4" borderId="1" xfId="0" applyNumberFormat="1" applyFont="1" applyFill="1" applyBorder="1"/>
    <xf numFmtId="0" fontId="28" fillId="4" borderId="15" xfId="0" applyFont="1" applyFill="1" applyBorder="1" applyAlignment="1">
      <alignment horizontal="center"/>
    </xf>
    <xf numFmtId="0" fontId="29" fillId="4" borderId="16" xfId="0" quotePrefix="1" applyFont="1" applyFill="1" applyBorder="1" applyAlignment="1">
      <alignment horizontal="center"/>
    </xf>
    <xf numFmtId="0" fontId="29" fillId="4" borderId="17" xfId="0" quotePrefix="1" applyFont="1" applyFill="1" applyBorder="1" applyAlignment="1">
      <alignment horizontal="center"/>
    </xf>
    <xf numFmtId="0" fontId="29" fillId="4" borderId="18" xfId="0" quotePrefix="1" applyFont="1" applyFill="1" applyBorder="1" applyAlignment="1">
      <alignment horizontal="center"/>
    </xf>
    <xf numFmtId="0" fontId="28" fillId="4" borderId="19" xfId="0" applyFont="1" applyFill="1" applyBorder="1" applyAlignment="1">
      <alignment horizontal="center"/>
    </xf>
    <xf numFmtId="0" fontId="30" fillId="3" borderId="1" xfId="0" applyFont="1" applyFill="1" applyBorder="1"/>
    <xf numFmtId="0" fontId="1" fillId="3" borderId="1" xfId="0" applyFont="1" applyFill="1" applyBorder="1"/>
    <xf numFmtId="0" fontId="1" fillId="4" borderId="15" xfId="0" applyFont="1" applyFill="1" applyBorder="1" applyAlignment="1">
      <alignment horizontal="right"/>
    </xf>
    <xf numFmtId="0" fontId="1" fillId="4" borderId="16" xfId="0" applyFont="1" applyFill="1" applyBorder="1" applyAlignment="1">
      <alignment horizontal="center"/>
    </xf>
    <xf numFmtId="0" fontId="1" fillId="4" borderId="19" xfId="0" applyFont="1" applyFill="1" applyBorder="1"/>
    <xf numFmtId="0" fontId="1" fillId="4" borderId="16" xfId="0" applyFont="1" applyFill="1" applyBorder="1"/>
    <xf numFmtId="10" fontId="1" fillId="4" borderId="16" xfId="0" applyNumberFormat="1" applyFont="1" applyFill="1" applyBorder="1" applyAlignment="1">
      <alignment horizontal="center"/>
    </xf>
    <xf numFmtId="0" fontId="12" fillId="4" borderId="15" xfId="0" applyFont="1" applyFill="1" applyBorder="1"/>
    <xf numFmtId="165" fontId="1" fillId="4" borderId="19" xfId="0" applyNumberFormat="1" applyFont="1" applyFill="1" applyBorder="1"/>
    <xf numFmtId="2" fontId="1" fillId="4" borderId="1" xfId="0" applyNumberFormat="1" applyFont="1" applyFill="1" applyBorder="1" applyAlignment="1">
      <alignment horizontal="center"/>
    </xf>
    <xf numFmtId="2" fontId="1" fillId="4" borderId="16" xfId="0" applyNumberFormat="1" applyFont="1" applyFill="1" applyBorder="1" applyAlignment="1">
      <alignment horizontal="center"/>
    </xf>
    <xf numFmtId="2" fontId="1" fillId="8" borderId="16" xfId="0" applyNumberFormat="1" applyFont="1" applyFill="1" applyBorder="1" applyAlignment="1">
      <alignment horizontal="center"/>
    </xf>
    <xf numFmtId="165" fontId="1" fillId="4" borderId="19" xfId="0" applyNumberFormat="1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165" fontId="1" fillId="8" borderId="16" xfId="0" applyNumberFormat="1" applyFont="1" applyFill="1" applyBorder="1" applyAlignment="1">
      <alignment horizontal="center"/>
    </xf>
    <xf numFmtId="0" fontId="1" fillId="4" borderId="15" xfId="0" applyFont="1" applyFill="1" applyBorder="1"/>
    <xf numFmtId="2" fontId="1" fillId="4" borderId="19" xfId="0" applyNumberFormat="1" applyFont="1" applyFill="1" applyBorder="1"/>
    <xf numFmtId="166" fontId="1" fillId="4" borderId="19" xfId="0" applyNumberFormat="1" applyFont="1" applyFill="1" applyBorder="1" applyAlignment="1">
      <alignment horizontal="center"/>
    </xf>
    <xf numFmtId="2" fontId="1" fillId="4" borderId="19" xfId="0" applyNumberFormat="1" applyFont="1" applyFill="1" applyBorder="1" applyAlignment="1">
      <alignment horizontal="center" vertical="center"/>
    </xf>
    <xf numFmtId="44" fontId="1" fillId="3" borderId="1" xfId="0" applyNumberFormat="1" applyFont="1" applyFill="1" applyBorder="1" applyAlignment="1">
      <alignment horizontal="left"/>
    </xf>
    <xf numFmtId="164" fontId="1" fillId="4" borderId="16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left"/>
    </xf>
    <xf numFmtId="164" fontId="1" fillId="4" borderId="19" xfId="0" applyNumberFormat="1" applyFont="1" applyFill="1" applyBorder="1" applyAlignment="1">
      <alignment horizontal="center"/>
    </xf>
    <xf numFmtId="2" fontId="1" fillId="4" borderId="16" xfId="0" applyNumberFormat="1" applyFont="1" applyFill="1" applyBorder="1" applyAlignment="1">
      <alignment horizontal="center" vertical="center"/>
    </xf>
    <xf numFmtId="0" fontId="1" fillId="8" borderId="16" xfId="0" applyFont="1" applyFill="1" applyBorder="1" applyAlignment="1">
      <alignment horizontal="center"/>
    </xf>
    <xf numFmtId="165" fontId="1" fillId="4" borderId="16" xfId="0" applyNumberFormat="1" applyFont="1" applyFill="1" applyBorder="1" applyAlignment="1">
      <alignment horizontal="center"/>
    </xf>
    <xf numFmtId="165" fontId="1" fillId="4" borderId="20" xfId="0" applyNumberFormat="1" applyFont="1" applyFill="1" applyBorder="1" applyAlignment="1">
      <alignment horizontal="center"/>
    </xf>
    <xf numFmtId="0" fontId="4" fillId="4" borderId="21" xfId="0" applyFont="1" applyFill="1" applyBorder="1"/>
    <xf numFmtId="0" fontId="31" fillId="3" borderId="1" xfId="0" applyFont="1" applyFill="1" applyBorder="1"/>
    <xf numFmtId="0" fontId="31" fillId="3" borderId="22" xfId="0" applyFont="1" applyFill="1" applyBorder="1"/>
    <xf numFmtId="0" fontId="8" fillId="3" borderId="22" xfId="0" applyFont="1" applyFill="1" applyBorder="1"/>
    <xf numFmtId="0" fontId="32" fillId="3" borderId="22" xfId="0" applyFont="1" applyFill="1" applyBorder="1" applyAlignment="1">
      <alignment horizontal="center" vertical="center"/>
    </xf>
    <xf numFmtId="0" fontId="1" fillId="3" borderId="22" xfId="0" applyFont="1" applyFill="1" applyBorder="1"/>
    <xf numFmtId="0" fontId="8" fillId="3" borderId="22" xfId="0" applyFont="1" applyFill="1" applyBorder="1" applyAlignment="1">
      <alignment horizontal="right"/>
    </xf>
    <xf numFmtId="2" fontId="1" fillId="9" borderId="23" xfId="0" applyNumberFormat="1" applyFont="1" applyFill="1" applyBorder="1" applyAlignment="1">
      <alignment horizontal="center"/>
    </xf>
    <xf numFmtId="2" fontId="1" fillId="9" borderId="24" xfId="0" applyNumberFormat="1" applyFont="1" applyFill="1" applyBorder="1" applyAlignment="1">
      <alignment horizontal="center"/>
    </xf>
    <xf numFmtId="0" fontId="33" fillId="3" borderId="22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right"/>
    </xf>
    <xf numFmtId="165" fontId="1" fillId="9" borderId="25" xfId="0" applyNumberFormat="1" applyFont="1" applyFill="1" applyBorder="1" applyAlignment="1">
      <alignment horizontal="center"/>
    </xf>
    <xf numFmtId="165" fontId="1" fillId="9" borderId="26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44" fontId="1" fillId="9" borderId="8" xfId="0" applyNumberFormat="1" applyFont="1" applyFill="1" applyBorder="1" applyAlignment="1">
      <alignment horizontal="center"/>
    </xf>
    <xf numFmtId="167" fontId="1" fillId="9" borderId="27" xfId="0" applyNumberFormat="1" applyFont="1" applyFill="1" applyBorder="1" applyAlignment="1">
      <alignment horizontal="center"/>
    </xf>
    <xf numFmtId="44" fontId="1" fillId="9" borderId="27" xfId="0" applyNumberFormat="1" applyFont="1" applyFill="1" applyBorder="1" applyAlignment="1">
      <alignment horizontal="center"/>
    </xf>
    <xf numFmtId="2" fontId="1" fillId="9" borderId="27" xfId="0" applyNumberFormat="1" applyFont="1" applyFill="1" applyBorder="1" applyAlignment="1">
      <alignment horizontal="center"/>
    </xf>
    <xf numFmtId="44" fontId="1" fillId="9" borderId="8" xfId="0" applyNumberFormat="1" applyFont="1" applyFill="1" applyBorder="1"/>
    <xf numFmtId="2" fontId="1" fillId="9" borderId="19" xfId="0" applyNumberFormat="1" applyFont="1" applyFill="1" applyBorder="1" applyAlignment="1">
      <alignment horizontal="center"/>
    </xf>
    <xf numFmtId="0" fontId="31" fillId="3" borderId="28" xfId="0" applyFont="1" applyFill="1" applyBorder="1"/>
    <xf numFmtId="0" fontId="8" fillId="3" borderId="28" xfId="0" applyFont="1" applyFill="1" applyBorder="1"/>
    <xf numFmtId="0" fontId="32" fillId="3" borderId="28" xfId="0" applyFont="1" applyFill="1" applyBorder="1" applyAlignment="1">
      <alignment horizontal="center" vertical="center"/>
    </xf>
    <xf numFmtId="44" fontId="1" fillId="9" borderId="24" xfId="0" applyNumberFormat="1" applyFont="1" applyFill="1" applyBorder="1" applyAlignment="1">
      <alignment horizontal="center"/>
    </xf>
    <xf numFmtId="44" fontId="1" fillId="9" borderId="1" xfId="0" applyNumberFormat="1" applyFont="1" applyFill="1" applyBorder="1"/>
    <xf numFmtId="167" fontId="1" fillId="9" borderId="19" xfId="0" applyNumberFormat="1" applyFont="1" applyFill="1" applyBorder="1" applyAlignment="1">
      <alignment horizontal="center"/>
    </xf>
    <xf numFmtId="44" fontId="1" fillId="9" borderId="19" xfId="0" applyNumberFormat="1" applyFont="1" applyFill="1" applyBorder="1" applyAlignment="1">
      <alignment horizontal="center"/>
    </xf>
    <xf numFmtId="44" fontId="1" fillId="9" borderId="27" xfId="0" applyNumberFormat="1" applyFont="1" applyFill="1" applyBorder="1"/>
    <xf numFmtId="168" fontId="1" fillId="9" borderId="27" xfId="0" applyNumberFormat="1" applyFont="1" applyFill="1" applyBorder="1" applyAlignment="1">
      <alignment horizontal="center"/>
    </xf>
    <xf numFmtId="0" fontId="34" fillId="4" borderId="1" xfId="0" applyFont="1" applyFill="1" applyBorder="1"/>
    <xf numFmtId="0" fontId="32" fillId="3" borderId="22" xfId="0" applyFont="1" applyFill="1" applyBorder="1" applyAlignment="1">
      <alignment horizontal="left" vertical="center"/>
    </xf>
    <xf numFmtId="44" fontId="1" fillId="9" borderId="15" xfId="0" applyNumberFormat="1" applyFont="1" applyFill="1" applyBorder="1"/>
    <xf numFmtId="167" fontId="1" fillId="9" borderId="29" xfId="0" applyNumberFormat="1" applyFont="1" applyFill="1" applyBorder="1"/>
    <xf numFmtId="0" fontId="1" fillId="9" borderId="29" xfId="0" applyFont="1" applyFill="1" applyBorder="1"/>
    <xf numFmtId="0" fontId="1" fillId="9" borderId="22" xfId="0" applyFont="1" applyFill="1" applyBorder="1"/>
    <xf numFmtId="0" fontId="32" fillId="3" borderId="1" xfId="0" applyFont="1" applyFill="1" applyBorder="1" applyAlignment="1">
      <alignment horizontal="left" vertical="center"/>
    </xf>
    <xf numFmtId="44" fontId="1" fillId="9" borderId="30" xfId="0" applyNumberFormat="1" applyFont="1" applyFill="1" applyBorder="1"/>
    <xf numFmtId="167" fontId="1" fillId="9" borderId="31" xfId="0" applyNumberFormat="1" applyFont="1" applyFill="1" applyBorder="1"/>
    <xf numFmtId="44" fontId="1" fillId="9" borderId="31" xfId="0" applyNumberFormat="1" applyFont="1" applyFill="1" applyBorder="1"/>
    <xf numFmtId="44" fontId="35" fillId="9" borderId="11" xfId="0" applyNumberFormat="1" applyFont="1" applyFill="1" applyBorder="1"/>
    <xf numFmtId="167" fontId="1" fillId="4" borderId="1" xfId="0" applyNumberFormat="1" applyFont="1" applyFill="1" applyBorder="1"/>
    <xf numFmtId="0" fontId="1" fillId="9" borderId="15" xfId="0" applyFont="1" applyFill="1" applyBorder="1" applyAlignment="1">
      <alignment horizontal="center"/>
    </xf>
    <xf numFmtId="0" fontId="1" fillId="9" borderId="29" xfId="0" applyFont="1" applyFill="1" applyBorder="1" applyAlignment="1">
      <alignment horizontal="center"/>
    </xf>
    <xf numFmtId="44" fontId="1" fillId="9" borderId="29" xfId="0" applyNumberFormat="1" applyFont="1" applyFill="1" applyBorder="1"/>
    <xf numFmtId="44" fontId="1" fillId="9" borderId="29" xfId="0" applyNumberFormat="1" applyFont="1" applyFill="1" applyBorder="1" applyAlignment="1">
      <alignment horizontal="center"/>
    </xf>
    <xf numFmtId="2" fontId="1" fillId="9" borderId="30" xfId="0" applyNumberFormat="1" applyFont="1" applyFill="1" applyBorder="1" applyAlignment="1">
      <alignment horizontal="center"/>
    </xf>
    <xf numFmtId="2" fontId="1" fillId="9" borderId="31" xfId="0" applyNumberFormat="1" applyFont="1" applyFill="1" applyBorder="1" applyAlignment="1">
      <alignment horizontal="center"/>
    </xf>
    <xf numFmtId="44" fontId="1" fillId="9" borderId="36" xfId="0" applyNumberFormat="1" applyFont="1" applyFill="1" applyBorder="1" applyAlignment="1">
      <alignment horizontal="center"/>
    </xf>
    <xf numFmtId="0" fontId="1" fillId="9" borderId="30" xfId="0" applyFont="1" applyFill="1" applyBorder="1" applyAlignment="1">
      <alignment horizontal="center"/>
    </xf>
    <xf numFmtId="0" fontId="1" fillId="9" borderId="31" xfId="0" applyFont="1" applyFill="1" applyBorder="1" applyAlignment="1">
      <alignment horizontal="center"/>
    </xf>
    <xf numFmtId="44" fontId="36" fillId="9" borderId="31" xfId="0" applyNumberFormat="1" applyFont="1" applyFill="1" applyBorder="1"/>
    <xf numFmtId="44" fontId="5" fillId="9" borderId="31" xfId="0" applyNumberFormat="1" applyFont="1" applyFill="1" applyBorder="1"/>
    <xf numFmtId="44" fontId="1" fillId="2" borderId="1" xfId="0" applyNumberFormat="1" applyFont="1" applyFill="1" applyBorder="1"/>
    <xf numFmtId="0" fontId="37" fillId="3" borderId="37" xfId="0" applyFont="1" applyFill="1" applyBorder="1"/>
    <xf numFmtId="0" fontId="1" fillId="3" borderId="37" xfId="0" applyFont="1" applyFill="1" applyBorder="1"/>
    <xf numFmtId="0" fontId="8" fillId="3" borderId="1" xfId="0" applyFont="1" applyFill="1" applyBorder="1"/>
    <xf numFmtId="0" fontId="30" fillId="3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44" fontId="1" fillId="4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/>
    </xf>
    <xf numFmtId="44" fontId="1" fillId="9" borderId="17" xfId="0" applyNumberFormat="1" applyFont="1" applyFill="1" applyBorder="1" applyAlignment="1">
      <alignment horizontal="center"/>
    </xf>
    <xf numFmtId="1" fontId="1" fillId="9" borderId="40" xfId="0" applyNumberFormat="1" applyFont="1" applyFill="1" applyBorder="1" applyAlignment="1">
      <alignment horizontal="center"/>
    </xf>
    <xf numFmtId="44" fontId="1" fillId="9" borderId="39" xfId="0" applyNumberFormat="1" applyFont="1" applyFill="1" applyBorder="1" applyAlignment="1">
      <alignment horizontal="center"/>
    </xf>
    <xf numFmtId="0" fontId="1" fillId="9" borderId="11" xfId="0" applyFont="1" applyFill="1" applyBorder="1" applyAlignment="1">
      <alignment horizontal="center"/>
    </xf>
    <xf numFmtId="10" fontId="1" fillId="9" borderId="11" xfId="0" applyNumberFormat="1" applyFont="1" applyFill="1" applyBorder="1" applyAlignment="1">
      <alignment horizontal="center"/>
    </xf>
    <xf numFmtId="1" fontId="1" fillId="9" borderId="30" xfId="0" applyNumberFormat="1" applyFont="1" applyFill="1" applyBorder="1" applyAlignment="1">
      <alignment horizontal="center"/>
    </xf>
    <xf numFmtId="1" fontId="1" fillId="9" borderId="31" xfId="0" applyNumberFormat="1" applyFont="1" applyFill="1" applyBorder="1" applyAlignment="1">
      <alignment horizontal="center"/>
    </xf>
    <xf numFmtId="0" fontId="1" fillId="9" borderId="36" xfId="0" applyFont="1" applyFill="1" applyBorder="1" applyAlignment="1">
      <alignment horizontal="center"/>
    </xf>
    <xf numFmtId="1" fontId="1" fillId="9" borderId="36" xfId="0" applyNumberFormat="1" applyFont="1" applyFill="1" applyBorder="1" applyAlignment="1">
      <alignment horizontal="center"/>
    </xf>
    <xf numFmtId="1" fontId="1" fillId="9" borderId="11" xfId="0" applyNumberFormat="1" applyFont="1" applyFill="1" applyBorder="1" applyAlignment="1">
      <alignment horizontal="center"/>
    </xf>
    <xf numFmtId="44" fontId="1" fillId="9" borderId="31" xfId="0" applyNumberFormat="1" applyFont="1" applyFill="1" applyBorder="1" applyAlignment="1">
      <alignment horizontal="center"/>
    </xf>
    <xf numFmtId="0" fontId="1" fillId="4" borderId="21" xfId="0" applyFont="1" applyFill="1" applyBorder="1"/>
    <xf numFmtId="0" fontId="1" fillId="4" borderId="21" xfId="0" applyFont="1" applyFill="1" applyBorder="1" applyAlignment="1">
      <alignment horizontal="center"/>
    </xf>
    <xf numFmtId="44" fontId="1" fillId="4" borderId="1" xfId="0" applyNumberFormat="1" applyFont="1" applyFill="1" applyBorder="1" applyAlignment="1">
      <alignment horizontal="center"/>
    </xf>
    <xf numFmtId="169" fontId="1" fillId="4" borderId="1" xfId="0" applyNumberFormat="1" applyFont="1" applyFill="1" applyBorder="1" applyAlignment="1">
      <alignment horizontal="center"/>
    </xf>
    <xf numFmtId="1" fontId="1" fillId="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44" fontId="5" fillId="4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0" fontId="8" fillId="2" borderId="1" xfId="0" applyFont="1" applyFill="1" applyBorder="1"/>
    <xf numFmtId="44" fontId="5" fillId="2" borderId="1" xfId="0" applyNumberFormat="1" applyFont="1" applyFill="1" applyBorder="1"/>
    <xf numFmtId="0" fontId="26" fillId="3" borderId="1" xfId="0" applyFont="1" applyFill="1" applyBorder="1"/>
    <xf numFmtId="0" fontId="5" fillId="3" borderId="1" xfId="0" applyFont="1" applyFill="1" applyBorder="1"/>
    <xf numFmtId="0" fontId="38" fillId="3" borderId="1" xfId="0" applyFont="1" applyFill="1" applyBorder="1" applyAlignment="1">
      <alignment horizontal="left" wrapText="1"/>
    </xf>
    <xf numFmtId="0" fontId="23" fillId="3" borderId="28" xfId="0" applyFont="1" applyFill="1" applyBorder="1" applyAlignment="1">
      <alignment horizontal="center"/>
    </xf>
    <xf numFmtId="0" fontId="5" fillId="3" borderId="28" xfId="0" applyFont="1" applyFill="1" applyBorder="1"/>
    <xf numFmtId="0" fontId="23" fillId="3" borderId="1" xfId="0" applyFont="1" applyFill="1" applyBorder="1" applyAlignment="1">
      <alignment horizontal="right"/>
    </xf>
    <xf numFmtId="164" fontId="1" fillId="9" borderId="38" xfId="0" applyNumberFormat="1" applyFont="1" applyFill="1" applyBorder="1" applyAlignment="1">
      <alignment horizontal="center"/>
    </xf>
    <xf numFmtId="170" fontId="1" fillId="9" borderId="11" xfId="0" applyNumberFormat="1" applyFont="1" applyFill="1" applyBorder="1" applyAlignment="1">
      <alignment horizontal="center"/>
    </xf>
    <xf numFmtId="170" fontId="1" fillId="3" borderId="1" xfId="0" applyNumberFormat="1" applyFont="1" applyFill="1" applyBorder="1"/>
    <xf numFmtId="171" fontId="1" fillId="9" borderId="40" xfId="0" applyNumberFormat="1" applyFont="1" applyFill="1" applyBorder="1" applyAlignment="1">
      <alignment horizontal="center"/>
    </xf>
    <xf numFmtId="164" fontId="1" fillId="9" borderId="30" xfId="0" applyNumberFormat="1" applyFont="1" applyFill="1" applyBorder="1" applyAlignment="1">
      <alignment horizontal="center"/>
    </xf>
    <xf numFmtId="171" fontId="1" fillId="9" borderId="11" xfId="0" applyNumberFormat="1" applyFont="1" applyFill="1" applyBorder="1" applyAlignment="1">
      <alignment horizontal="center"/>
    </xf>
    <xf numFmtId="0" fontId="23" fillId="3" borderId="1" xfId="0" applyFont="1" applyFill="1" applyBorder="1"/>
    <xf numFmtId="0" fontId="26" fillId="0" borderId="0" xfId="0" applyFont="1"/>
    <xf numFmtId="164" fontId="1" fillId="4" borderId="1" xfId="0" applyNumberFormat="1" applyFont="1" applyFill="1" applyBorder="1"/>
    <xf numFmtId="165" fontId="1" fillId="4" borderId="1" xfId="0" applyNumberFormat="1" applyFont="1" applyFill="1" applyBorder="1"/>
    <xf numFmtId="0" fontId="2" fillId="3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0" fontId="23" fillId="3" borderId="22" xfId="0" applyFont="1" applyFill="1" applyBorder="1" applyAlignment="1">
      <alignment horizontal="center" vertical="center"/>
    </xf>
    <xf numFmtId="0" fontId="23" fillId="3" borderId="22" xfId="0" applyFont="1" applyFill="1" applyBorder="1" applyAlignment="1">
      <alignment horizontal="center"/>
    </xf>
    <xf numFmtId="0" fontId="1" fillId="10" borderId="1" xfId="0" applyFont="1" applyFill="1" applyBorder="1"/>
    <xf numFmtId="0" fontId="39" fillId="3" borderId="1" xfId="0" applyFont="1" applyFill="1" applyBorder="1" applyAlignment="1">
      <alignment horizontal="right"/>
    </xf>
    <xf numFmtId="165" fontId="1" fillId="9" borderId="44" xfId="0" applyNumberFormat="1" applyFont="1" applyFill="1" applyBorder="1" applyAlignment="1">
      <alignment horizontal="center"/>
    </xf>
    <xf numFmtId="165" fontId="1" fillId="9" borderId="38" xfId="0" applyNumberFormat="1" applyFont="1" applyFill="1" applyBorder="1" applyAlignment="1">
      <alignment horizontal="center"/>
    </xf>
    <xf numFmtId="6" fontId="1" fillId="9" borderId="38" xfId="0" applyNumberFormat="1" applyFont="1" applyFill="1" applyBorder="1" applyAlignment="1">
      <alignment horizontal="center"/>
    </xf>
    <xf numFmtId="165" fontId="1" fillId="9" borderId="45" xfId="0" applyNumberFormat="1" applyFont="1" applyFill="1" applyBorder="1" applyAlignment="1">
      <alignment horizontal="center"/>
    </xf>
    <xf numFmtId="6" fontId="1" fillId="9" borderId="45" xfId="0" applyNumberFormat="1" applyFont="1" applyFill="1" applyBorder="1" applyAlignment="1">
      <alignment horizontal="center"/>
    </xf>
    <xf numFmtId="2" fontId="1" fillId="4" borderId="1" xfId="0" applyNumberFormat="1" applyFont="1" applyFill="1" applyBorder="1"/>
    <xf numFmtId="165" fontId="1" fillId="9" borderId="30" xfId="0" applyNumberFormat="1" applyFont="1" applyFill="1" applyBorder="1" applyAlignment="1">
      <alignment horizontal="center"/>
    </xf>
    <xf numFmtId="6" fontId="1" fillId="9" borderId="30" xfId="0" applyNumberFormat="1" applyFont="1" applyFill="1" applyBorder="1" applyAlignment="1">
      <alignment horizontal="center"/>
    </xf>
    <xf numFmtId="0" fontId="39" fillId="3" borderId="47" xfId="0" applyFont="1" applyFill="1" applyBorder="1" applyAlignment="1">
      <alignment horizontal="right"/>
    </xf>
    <xf numFmtId="0" fontId="39" fillId="3" borderId="21" xfId="0" applyFont="1" applyFill="1" applyBorder="1" applyAlignment="1">
      <alignment horizontal="right" vertical="center"/>
    </xf>
    <xf numFmtId="0" fontId="1" fillId="9" borderId="45" xfId="0" applyFont="1" applyFill="1" applyBorder="1" applyAlignment="1">
      <alignment horizontal="center"/>
    </xf>
    <xf numFmtId="165" fontId="1" fillId="4" borderId="1" xfId="0" applyNumberFormat="1" applyFont="1" applyFill="1" applyBorder="1" applyAlignment="1">
      <alignment horizontal="center"/>
    </xf>
    <xf numFmtId="44" fontId="34" fillId="4" borderId="1" xfId="0" applyNumberFormat="1" applyFont="1" applyFill="1" applyBorder="1"/>
    <xf numFmtId="2" fontId="5" fillId="4" borderId="1" xfId="0" applyNumberFormat="1" applyFont="1" applyFill="1" applyBorder="1" applyAlignment="1">
      <alignment horizontal="center"/>
    </xf>
    <xf numFmtId="0" fontId="34" fillId="2" borderId="1" xfId="0" applyFont="1" applyFill="1" applyBorder="1"/>
    <xf numFmtId="0" fontId="34" fillId="3" borderId="1" xfId="0" applyFont="1" applyFill="1" applyBorder="1" applyAlignment="1">
      <alignment vertical="center"/>
    </xf>
    <xf numFmtId="0" fontId="1" fillId="3" borderId="16" xfId="0" applyFont="1" applyFill="1" applyBorder="1"/>
    <xf numFmtId="0" fontId="40" fillId="4" borderId="48" xfId="0" applyFont="1" applyFill="1" applyBorder="1" applyAlignment="1">
      <alignment horizontal="center" vertical="center"/>
    </xf>
    <xf numFmtId="0" fontId="40" fillId="4" borderId="1" xfId="0" applyFont="1" applyFill="1" applyBorder="1"/>
    <xf numFmtId="0" fontId="24" fillId="4" borderId="48" xfId="0" applyFont="1" applyFill="1" applyBorder="1" applyAlignment="1">
      <alignment horizontal="center" vertical="center"/>
    </xf>
    <xf numFmtId="0" fontId="24" fillId="4" borderId="52" xfId="0" applyFont="1" applyFill="1" applyBorder="1" applyAlignment="1">
      <alignment horizontal="center" vertical="center"/>
    </xf>
    <xf numFmtId="0" fontId="41" fillId="4" borderId="18" xfId="0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center" vertical="center"/>
    </xf>
    <xf numFmtId="2" fontId="41" fillId="4" borderId="18" xfId="0" applyNumberFormat="1" applyFont="1" applyFill="1" applyBorder="1" applyAlignment="1">
      <alignment horizontal="center" vertical="center"/>
    </xf>
    <xf numFmtId="2" fontId="41" fillId="4" borderId="17" xfId="0" applyNumberFormat="1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2" fontId="41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2" fontId="24" fillId="4" borderId="19" xfId="0" applyNumberFormat="1" applyFont="1" applyFill="1" applyBorder="1" applyAlignment="1">
      <alignment horizontal="center" vertical="center"/>
    </xf>
    <xf numFmtId="2" fontId="24" fillId="4" borderId="16" xfId="0" applyNumberFormat="1" applyFont="1" applyFill="1" applyBorder="1" applyAlignment="1">
      <alignment horizontal="center" vertical="center"/>
    </xf>
    <xf numFmtId="1" fontId="24" fillId="4" borderId="19" xfId="0" applyNumberFormat="1" applyFont="1" applyFill="1" applyBorder="1" applyAlignment="1">
      <alignment horizontal="center" vertical="center"/>
    </xf>
    <xf numFmtId="1" fontId="24" fillId="4" borderId="16" xfId="0" applyNumberFormat="1" applyFont="1" applyFill="1" applyBorder="1" applyAlignment="1">
      <alignment horizontal="center" vertical="center"/>
    </xf>
    <xf numFmtId="164" fontId="24" fillId="4" borderId="16" xfId="0" applyNumberFormat="1" applyFont="1" applyFill="1" applyBorder="1" applyAlignment="1">
      <alignment horizontal="center" vertical="center"/>
    </xf>
    <xf numFmtId="169" fontId="24" fillId="4" borderId="1" xfId="0" applyNumberFormat="1" applyFont="1" applyFill="1" applyBorder="1" applyAlignment="1">
      <alignment horizontal="center"/>
    </xf>
    <xf numFmtId="169" fontId="24" fillId="4" borderId="1" xfId="0" applyNumberFormat="1" applyFont="1" applyFill="1" applyBorder="1" applyAlignment="1">
      <alignment horizontal="center" vertical="center"/>
    </xf>
    <xf numFmtId="171" fontId="1" fillId="9" borderId="30" xfId="0" applyNumberFormat="1" applyFont="1" applyFill="1" applyBorder="1" applyAlignment="1">
      <alignment horizontal="center"/>
    </xf>
    <xf numFmtId="171" fontId="1" fillId="9" borderId="31" xfId="0" applyNumberFormat="1" applyFont="1" applyFill="1" applyBorder="1" applyAlignment="1">
      <alignment horizontal="center"/>
    </xf>
    <xf numFmtId="0" fontId="0" fillId="0" borderId="0" xfId="0" applyFont="1" applyAlignment="1"/>
    <xf numFmtId="0" fontId="43" fillId="3" borderId="1" xfId="0" applyFont="1" applyFill="1" applyBorder="1" applyAlignment="1">
      <alignment horizontal="center" vertical="center"/>
    </xf>
    <xf numFmtId="0" fontId="1" fillId="4" borderId="41" xfId="0" applyFont="1" applyFill="1" applyBorder="1"/>
    <xf numFmtId="2" fontId="1" fillId="4" borderId="41" xfId="0" applyNumberFormat="1" applyFont="1" applyFill="1" applyBorder="1" applyAlignment="1">
      <alignment horizontal="center"/>
    </xf>
    <xf numFmtId="0" fontId="8" fillId="4" borderId="41" xfId="0" applyFont="1" applyFill="1" applyBorder="1"/>
    <xf numFmtId="1" fontId="1" fillId="9" borderId="17" xfId="0" applyNumberFormat="1" applyFont="1" applyFill="1" applyBorder="1" applyAlignment="1">
      <alignment horizontal="center"/>
    </xf>
    <xf numFmtId="1" fontId="1" fillId="9" borderId="39" xfId="0" applyNumberFormat="1" applyFont="1" applyFill="1" applyBorder="1" applyAlignment="1">
      <alignment horizontal="center"/>
    </xf>
    <xf numFmtId="0" fontId="0" fillId="0" borderId="0" xfId="0" applyFont="1" applyAlignment="1"/>
    <xf numFmtId="0" fontId="33" fillId="3" borderId="1" xfId="0" applyFont="1" applyFill="1" applyBorder="1" applyAlignment="1">
      <alignment horizontal="center" vertical="center"/>
    </xf>
    <xf numFmtId="165" fontId="1" fillId="9" borderId="1" xfId="0" applyNumberFormat="1" applyFont="1" applyFill="1" applyBorder="1" applyAlignment="1">
      <alignment horizontal="center"/>
    </xf>
    <xf numFmtId="165" fontId="1" fillId="9" borderId="19" xfId="0" applyNumberFormat="1" applyFont="1" applyFill="1" applyBorder="1" applyAlignment="1">
      <alignment horizontal="center"/>
    </xf>
    <xf numFmtId="164" fontId="1" fillId="9" borderId="23" xfId="0" applyNumberFormat="1" applyFont="1" applyFill="1" applyBorder="1" applyAlignment="1">
      <alignment horizontal="center"/>
    </xf>
    <xf numFmtId="164" fontId="1" fillId="9" borderId="25" xfId="0" applyNumberFormat="1" applyFont="1" applyFill="1" applyBorder="1" applyAlignment="1">
      <alignment horizontal="center"/>
    </xf>
    <xf numFmtId="164" fontId="1" fillId="9" borderId="1" xfId="0" applyNumberFormat="1" applyFont="1" applyFill="1" applyBorder="1" applyAlignment="1">
      <alignment horizontal="center"/>
    </xf>
    <xf numFmtId="164" fontId="1" fillId="9" borderId="19" xfId="0" applyNumberFormat="1" applyFont="1" applyFill="1" applyBorder="1" applyAlignment="1">
      <alignment horizontal="center"/>
    </xf>
    <xf numFmtId="164" fontId="1" fillId="9" borderId="26" xfId="0" applyNumberFormat="1" applyFont="1" applyFill="1" applyBorder="1" applyAlignment="1">
      <alignment horizontal="center"/>
    </xf>
    <xf numFmtId="165" fontId="1" fillId="9" borderId="23" xfId="0" applyNumberFormat="1" applyFont="1" applyFill="1" applyBorder="1" applyAlignment="1">
      <alignment horizontal="center"/>
    </xf>
    <xf numFmtId="165" fontId="1" fillId="9" borderId="24" xfId="0" applyNumberFormat="1" applyFont="1" applyFill="1" applyBorder="1" applyAlignment="1">
      <alignment horizontal="center"/>
    </xf>
    <xf numFmtId="0" fontId="44" fillId="4" borderId="1" xfId="0" applyFont="1" applyFill="1" applyBorder="1"/>
    <xf numFmtId="0" fontId="45" fillId="3" borderId="22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horizontal="left" vertical="center"/>
    </xf>
    <xf numFmtId="0" fontId="46" fillId="3" borderId="1" xfId="0" applyFont="1" applyFill="1" applyBorder="1"/>
    <xf numFmtId="0" fontId="47" fillId="4" borderId="1" xfId="0" applyFont="1" applyFill="1" applyBorder="1"/>
    <xf numFmtId="0" fontId="48" fillId="3" borderId="1" xfId="0" applyFont="1" applyFill="1" applyBorder="1" applyAlignment="1">
      <alignment horizontal="right"/>
    </xf>
    <xf numFmtId="0" fontId="0" fillId="0" borderId="0" xfId="0" applyFont="1" applyAlignment="1"/>
    <xf numFmtId="8" fontId="1" fillId="11" borderId="1" xfId="0" applyNumberFormat="1" applyFont="1" applyFill="1" applyBorder="1"/>
    <xf numFmtId="0" fontId="1" fillId="11" borderId="1" xfId="0" applyFont="1" applyFill="1" applyBorder="1"/>
    <xf numFmtId="44" fontId="1" fillId="4" borderId="41" xfId="0" applyNumberFormat="1" applyFont="1" applyFill="1" applyBorder="1"/>
    <xf numFmtId="6" fontId="1" fillId="13" borderId="45" xfId="0" applyNumberFormat="1" applyFont="1" applyFill="1" applyBorder="1" applyAlignment="1">
      <alignment horizontal="center"/>
    </xf>
    <xf numFmtId="0" fontId="50" fillId="0" borderId="53" xfId="0" applyFont="1" applyFill="1" applyBorder="1" applyAlignment="1">
      <alignment horizontal="center" vertical="center"/>
    </xf>
    <xf numFmtId="0" fontId="50" fillId="0" borderId="54" xfId="0" applyFont="1" applyFill="1" applyBorder="1" applyAlignment="1">
      <alignment horizontal="center"/>
    </xf>
    <xf numFmtId="0" fontId="50" fillId="0" borderId="55" xfId="0" applyFont="1" applyFill="1" applyBorder="1" applyAlignment="1">
      <alignment horizontal="center"/>
    </xf>
    <xf numFmtId="0" fontId="1" fillId="12" borderId="0" xfId="0" applyFont="1" applyFill="1"/>
    <xf numFmtId="0" fontId="0" fillId="12" borderId="0" xfId="0" applyFont="1" applyFill="1" applyAlignment="1"/>
    <xf numFmtId="2" fontId="24" fillId="4" borderId="1" xfId="0" applyNumberFormat="1" applyFont="1" applyFill="1" applyBorder="1" applyAlignment="1">
      <alignment horizontal="center" vertical="center"/>
    </xf>
    <xf numFmtId="2" fontId="24" fillId="4" borderId="1" xfId="0" applyNumberFormat="1" applyFont="1" applyFill="1" applyBorder="1" applyAlignment="1">
      <alignment horizontal="center"/>
    </xf>
    <xf numFmtId="0" fontId="1" fillId="14" borderId="1" xfId="0" applyFont="1" applyFill="1" applyBorder="1"/>
    <xf numFmtId="0" fontId="1" fillId="14" borderId="1" xfId="0" applyFont="1" applyFill="1" applyBorder="1" applyAlignment="1">
      <alignment horizontal="center" vertical="center"/>
    </xf>
    <xf numFmtId="0" fontId="1" fillId="4" borderId="61" xfId="0" applyFont="1" applyFill="1" applyBorder="1" applyAlignment="1">
      <alignment horizontal="center"/>
    </xf>
    <xf numFmtId="0" fontId="1" fillId="4" borderId="62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1" fillId="4" borderId="63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61" xfId="0" applyFont="1" applyBorder="1" applyAlignment="1">
      <alignment horizontal="center"/>
    </xf>
    <xf numFmtId="0" fontId="1" fillId="12" borderId="61" xfId="0" applyFont="1" applyFill="1" applyBorder="1" applyAlignment="1">
      <alignment horizontal="center"/>
    </xf>
    <xf numFmtId="0" fontId="1" fillId="12" borderId="62" xfId="0" applyFont="1" applyFill="1" applyBorder="1" applyAlignment="1">
      <alignment horizontal="center"/>
    </xf>
    <xf numFmtId="0" fontId="51" fillId="4" borderId="1" xfId="0" applyFont="1" applyFill="1" applyBorder="1"/>
    <xf numFmtId="2" fontId="52" fillId="4" borderId="1" xfId="0" applyNumberFormat="1" applyFont="1" applyFill="1" applyBorder="1" applyAlignment="1">
      <alignment horizontal="center" vertical="center"/>
    </xf>
    <xf numFmtId="169" fontId="53" fillId="4" borderId="1" xfId="0" applyNumberFormat="1" applyFont="1" applyFill="1" applyBorder="1" applyAlignment="1">
      <alignment horizontal="center" vertical="center"/>
    </xf>
    <xf numFmtId="0" fontId="8" fillId="15" borderId="1" xfId="0" applyFont="1" applyFill="1" applyBorder="1"/>
    <xf numFmtId="3" fontId="8" fillId="4" borderId="1" xfId="0" applyNumberFormat="1" applyFont="1" applyFill="1" applyBorder="1"/>
    <xf numFmtId="0" fontId="8" fillId="12" borderId="0" xfId="0" applyFont="1" applyFill="1"/>
    <xf numFmtId="0" fontId="54" fillId="12" borderId="0" xfId="0" applyFont="1" applyFill="1" applyAlignment="1"/>
    <xf numFmtId="44" fontId="8" fillId="4" borderId="1" xfId="0" applyNumberFormat="1" applyFont="1" applyFill="1" applyBorder="1"/>
    <xf numFmtId="167" fontId="8" fillId="4" borderId="1" xfId="0" applyNumberFormat="1" applyFont="1" applyFill="1" applyBorder="1"/>
    <xf numFmtId="2" fontId="8" fillId="4" borderId="1" xfId="0" applyNumberFormat="1" applyFont="1" applyFill="1" applyBorder="1"/>
    <xf numFmtId="0" fontId="26" fillId="12" borderId="0" xfId="0" applyFont="1" applyFill="1"/>
    <xf numFmtId="0" fontId="1" fillId="4" borderId="64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left"/>
    </xf>
    <xf numFmtId="0" fontId="34" fillId="2" borderId="41" xfId="0" applyFont="1" applyFill="1" applyBorder="1"/>
    <xf numFmtId="0" fontId="34" fillId="3" borderId="41" xfId="0" applyFont="1" applyFill="1" applyBorder="1" applyAlignment="1">
      <alignment vertical="center"/>
    </xf>
    <xf numFmtId="0" fontId="34" fillId="4" borderId="41" xfId="0" applyFont="1" applyFill="1" applyBorder="1"/>
    <xf numFmtId="0" fontId="34" fillId="0" borderId="41" xfId="0" applyFont="1" applyBorder="1"/>
    <xf numFmtId="0" fontId="51" fillId="2" borderId="41" xfId="0" applyFont="1" applyFill="1" applyBorder="1"/>
    <xf numFmtId="0" fontId="51" fillId="3" borderId="41" xfId="0" applyFont="1" applyFill="1" applyBorder="1" applyAlignment="1">
      <alignment vertical="center"/>
    </xf>
    <xf numFmtId="0" fontId="51" fillId="4" borderId="41" xfId="0" applyFont="1" applyFill="1" applyBorder="1"/>
    <xf numFmtId="0" fontId="55" fillId="4" borderId="1" xfId="0" applyFont="1" applyFill="1" applyBorder="1" applyAlignment="1">
      <alignment horizontal="center"/>
    </xf>
    <xf numFmtId="164" fontId="51" fillId="4" borderId="41" xfId="0" applyNumberFormat="1" applyFont="1" applyFill="1" applyBorder="1"/>
    <xf numFmtId="0" fontId="3" fillId="0" borderId="0" xfId="0" applyFont="1" applyAlignment="1"/>
    <xf numFmtId="164" fontId="1" fillId="4" borderId="1" xfId="0" applyNumberFormat="1" applyFont="1" applyFill="1" applyBorder="1" applyAlignment="1">
      <alignment horizontal="center" vertical="center"/>
    </xf>
    <xf numFmtId="1" fontId="51" fillId="4" borderId="41" xfId="0" applyNumberFormat="1" applyFont="1" applyFill="1" applyBorder="1"/>
    <xf numFmtId="0" fontId="0" fillId="0" borderId="0" xfId="0" applyFont="1" applyAlignment="1"/>
    <xf numFmtId="0" fontId="1" fillId="3" borderId="1" xfId="0" applyFont="1" applyFill="1" applyBorder="1" applyAlignment="1">
      <alignment horizontal="center" vertical="center"/>
    </xf>
    <xf numFmtId="0" fontId="1" fillId="2" borderId="41" xfId="0" applyFont="1" applyFill="1" applyBorder="1"/>
    <xf numFmtId="173" fontId="1" fillId="9" borderId="36" xfId="0" applyNumberFormat="1" applyFont="1" applyFill="1" applyBorder="1" applyAlignment="1">
      <alignment horizontal="center"/>
    </xf>
    <xf numFmtId="168" fontId="1" fillId="9" borderId="36" xfId="0" applyNumberFormat="1" applyFont="1" applyFill="1" applyBorder="1" applyAlignment="1">
      <alignment horizontal="center"/>
    </xf>
    <xf numFmtId="173" fontId="1" fillId="4" borderId="65" xfId="0" applyNumberFormat="1" applyFont="1" applyFill="1" applyBorder="1" applyAlignment="1">
      <alignment horizontal="center"/>
    </xf>
    <xf numFmtId="0" fontId="1" fillId="4" borderId="65" xfId="0" applyFont="1" applyFill="1" applyBorder="1" applyAlignment="1">
      <alignment horizontal="center"/>
    </xf>
    <xf numFmtId="0" fontId="1" fillId="16" borderId="65" xfId="0" applyFont="1" applyFill="1" applyBorder="1" applyAlignment="1">
      <alignment horizontal="center"/>
    </xf>
    <xf numFmtId="0" fontId="1" fillId="3" borderId="66" xfId="0" applyFont="1" applyFill="1" applyBorder="1"/>
    <xf numFmtId="0" fontId="56" fillId="3" borderId="67" xfId="0" applyFont="1" applyFill="1" applyBorder="1" applyAlignment="1">
      <alignment vertical="center"/>
    </xf>
    <xf numFmtId="0" fontId="1" fillId="3" borderId="67" xfId="0" applyFont="1" applyFill="1" applyBorder="1"/>
    <xf numFmtId="0" fontId="1" fillId="3" borderId="68" xfId="0" applyFont="1" applyFill="1" applyBorder="1"/>
    <xf numFmtId="0" fontId="1" fillId="4" borderId="56" xfId="0" applyFont="1" applyFill="1" applyBorder="1"/>
    <xf numFmtId="0" fontId="57" fillId="4" borderId="41" xfId="0" applyFont="1" applyFill="1" applyBorder="1"/>
    <xf numFmtId="0" fontId="1" fillId="4" borderId="69" xfId="0" applyFont="1" applyFill="1" applyBorder="1"/>
    <xf numFmtId="0" fontId="1" fillId="4" borderId="41" xfId="0" applyFont="1" applyFill="1" applyBorder="1" applyAlignment="1">
      <alignment horizontal="center"/>
    </xf>
    <xf numFmtId="0" fontId="5" fillId="4" borderId="41" xfId="0" applyFont="1" applyFill="1" applyBorder="1"/>
    <xf numFmtId="0" fontId="0" fillId="0" borderId="41" xfId="0" applyFont="1" applyBorder="1" applyAlignment="1"/>
    <xf numFmtId="0" fontId="1" fillId="4" borderId="41" xfId="0" applyFont="1" applyFill="1" applyBorder="1" applyAlignment="1">
      <alignment horizontal="right"/>
    </xf>
    <xf numFmtId="0" fontId="1" fillId="4" borderId="70" xfId="0" applyFont="1" applyFill="1" applyBorder="1"/>
    <xf numFmtId="0" fontId="1" fillId="4" borderId="71" xfId="0" applyFont="1" applyFill="1" applyBorder="1" applyAlignment="1">
      <alignment horizontal="center"/>
    </xf>
    <xf numFmtId="171" fontId="1" fillId="9" borderId="72" xfId="0" applyNumberFormat="1" applyFont="1" applyFill="1" applyBorder="1" applyAlignment="1">
      <alignment horizontal="center"/>
    </xf>
    <xf numFmtId="0" fontId="1" fillId="4" borderId="71" xfId="0" applyFont="1" applyFill="1" applyBorder="1"/>
    <xf numFmtId="0" fontId="1" fillId="4" borderId="73" xfId="0" applyFont="1" applyFill="1" applyBorder="1"/>
    <xf numFmtId="0" fontId="1" fillId="4" borderId="74" xfId="0" applyFont="1" applyFill="1" applyBorder="1"/>
    <xf numFmtId="0" fontId="1" fillId="3" borderId="41" xfId="0" applyFont="1" applyFill="1" applyBorder="1" applyAlignment="1">
      <alignment vertical="center"/>
    </xf>
    <xf numFmtId="0" fontId="5" fillId="4" borderId="41" xfId="0" applyFont="1" applyFill="1" applyBorder="1" applyAlignment="1">
      <alignment horizontal="right"/>
    </xf>
    <xf numFmtId="0" fontId="5" fillId="4" borderId="71" xfId="0" applyFont="1" applyFill="1" applyBorder="1" applyAlignment="1">
      <alignment horizontal="right"/>
    </xf>
    <xf numFmtId="173" fontId="1" fillId="16" borderId="65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right"/>
    </xf>
    <xf numFmtId="0" fontId="57" fillId="4" borderId="74" xfId="0" applyFont="1" applyFill="1" applyBorder="1"/>
    <xf numFmtId="0" fontId="56" fillId="3" borderId="66" xfId="0" applyFont="1" applyFill="1" applyBorder="1" applyAlignment="1">
      <alignment vertical="center"/>
    </xf>
    <xf numFmtId="0" fontId="5" fillId="4" borderId="41" xfId="0" applyFont="1" applyFill="1" applyBorder="1" applyAlignment="1">
      <alignment horizontal="center"/>
    </xf>
    <xf numFmtId="0" fontId="5" fillId="4" borderId="69" xfId="0" applyFont="1" applyFill="1" applyBorder="1" applyAlignment="1">
      <alignment horizontal="center"/>
    </xf>
    <xf numFmtId="171" fontId="1" fillId="4" borderId="41" xfId="0" applyNumberFormat="1" applyFont="1" applyFill="1" applyBorder="1"/>
    <xf numFmtId="1" fontId="1" fillId="9" borderId="76" xfId="0" applyNumberFormat="1" applyFont="1" applyFill="1" applyBorder="1" applyAlignment="1">
      <alignment horizontal="center"/>
    </xf>
    <xf numFmtId="171" fontId="1" fillId="4" borderId="54" xfId="0" applyNumberFormat="1" applyFont="1" applyFill="1" applyBorder="1"/>
    <xf numFmtId="171" fontId="1" fillId="4" borderId="75" xfId="0" applyNumberFormat="1" applyFont="1" applyFill="1" applyBorder="1" applyAlignment="1">
      <alignment horizontal="center"/>
    </xf>
    <xf numFmtId="171" fontId="1" fillId="4" borderId="56" xfId="0" applyNumberFormat="1" applyFont="1" applyFill="1" applyBorder="1" applyAlignment="1">
      <alignment horizontal="center"/>
    </xf>
    <xf numFmtId="0" fontId="1" fillId="4" borderId="77" xfId="0" applyFont="1" applyFill="1" applyBorder="1" applyAlignment="1">
      <alignment horizontal="center"/>
    </xf>
    <xf numFmtId="0" fontId="1" fillId="4" borderId="78" xfId="0" applyFont="1" applyFill="1" applyBorder="1" applyAlignment="1">
      <alignment horizontal="center"/>
    </xf>
    <xf numFmtId="0" fontId="1" fillId="4" borderId="58" xfId="0" applyFont="1" applyFill="1" applyBorder="1"/>
    <xf numFmtId="0" fontId="1" fillId="4" borderId="59" xfId="0" applyFont="1" applyFill="1" applyBorder="1"/>
    <xf numFmtId="0" fontId="8" fillId="3" borderId="67" xfId="0" applyFont="1" applyFill="1" applyBorder="1"/>
    <xf numFmtId="173" fontId="8" fillId="3" borderId="67" xfId="0" applyNumberFormat="1" applyFont="1" applyFill="1" applyBorder="1"/>
    <xf numFmtId="0" fontId="30" fillId="3" borderId="66" xfId="0" applyFont="1" applyFill="1" applyBorder="1" applyAlignment="1">
      <alignment horizontal="right"/>
    </xf>
    <xf numFmtId="0" fontId="30" fillId="3" borderId="56" xfId="0" applyFont="1" applyFill="1" applyBorder="1" applyAlignment="1">
      <alignment horizontal="right"/>
    </xf>
    <xf numFmtId="0" fontId="8" fillId="3" borderId="41" xfId="0" applyFont="1" applyFill="1" applyBorder="1"/>
    <xf numFmtId="0" fontId="1" fillId="3" borderId="56" xfId="0" applyFont="1" applyFill="1" applyBorder="1"/>
    <xf numFmtId="0" fontId="1" fillId="3" borderId="41" xfId="0" applyFont="1" applyFill="1" applyBorder="1"/>
    <xf numFmtId="0" fontId="1" fillId="12" borderId="0" xfId="0" applyFont="1" applyFill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1" fillId="12" borderId="56" xfId="0" applyFont="1" applyFill="1" applyBorder="1"/>
    <xf numFmtId="0" fontId="58" fillId="4" borderId="56" xfId="0" applyFont="1" applyFill="1" applyBorder="1" applyAlignment="1">
      <alignment horizontal="center"/>
    </xf>
    <xf numFmtId="0" fontId="1" fillId="12" borderId="65" xfId="0" applyFont="1" applyFill="1" applyBorder="1" applyAlignment="1">
      <alignment horizontal="center"/>
    </xf>
    <xf numFmtId="0" fontId="58" fillId="12" borderId="56" xfId="0" applyFont="1" applyFill="1" applyBorder="1" applyAlignment="1">
      <alignment horizontal="center"/>
    </xf>
    <xf numFmtId="0" fontId="59" fillId="12" borderId="56" xfId="0" applyFont="1" applyFill="1" applyBorder="1" applyAlignment="1">
      <alignment horizontal="center"/>
    </xf>
    <xf numFmtId="0" fontId="1" fillId="12" borderId="65" xfId="0" applyFont="1" applyFill="1" applyBorder="1" applyAlignment="1"/>
    <xf numFmtId="0" fontId="1" fillId="2" borderId="1" xfId="0" applyFont="1" applyFill="1" applyBorder="1" applyAlignment="1">
      <alignment horizontal="center"/>
    </xf>
    <xf numFmtId="173" fontId="1" fillId="12" borderId="65" xfId="0" applyNumberFormat="1" applyFont="1" applyFill="1" applyBorder="1" applyAlignment="1">
      <alignment horizontal="center"/>
    </xf>
    <xf numFmtId="0" fontId="58" fillId="4" borderId="41" xfId="0" applyFont="1" applyFill="1" applyBorder="1" applyAlignment="1">
      <alignment horizontal="center"/>
    </xf>
    <xf numFmtId="0" fontId="1" fillId="12" borderId="41" xfId="0" applyFont="1" applyFill="1" applyBorder="1"/>
    <xf numFmtId="0" fontId="1" fillId="12" borderId="41" xfId="0" applyFont="1" applyFill="1" applyBorder="1" applyAlignment="1"/>
    <xf numFmtId="0" fontId="1" fillId="12" borderId="70" xfId="0" applyFont="1" applyFill="1" applyBorder="1"/>
    <xf numFmtId="0" fontId="1" fillId="12" borderId="71" xfId="0" applyFont="1" applyFill="1" applyBorder="1"/>
    <xf numFmtId="0" fontId="1" fillId="3" borderId="55" xfId="0" applyFont="1" applyFill="1" applyBorder="1"/>
    <xf numFmtId="0" fontId="1" fillId="3" borderId="69" xfId="0" applyFont="1" applyFill="1" applyBorder="1"/>
    <xf numFmtId="0" fontId="1" fillId="3" borderId="75" xfId="0" applyFont="1" applyFill="1" applyBorder="1"/>
    <xf numFmtId="0" fontId="57" fillId="4" borderId="81" xfId="0" applyFont="1" applyFill="1" applyBorder="1" applyAlignment="1">
      <alignment horizontal="center"/>
    </xf>
    <xf numFmtId="0" fontId="57" fillId="4" borderId="82" xfId="0" applyFont="1" applyFill="1" applyBorder="1" applyAlignment="1">
      <alignment horizontal="center"/>
    </xf>
    <xf numFmtId="0" fontId="1" fillId="12" borderId="83" xfId="0" applyFont="1" applyFill="1" applyBorder="1" applyAlignment="1">
      <alignment horizontal="center"/>
    </xf>
    <xf numFmtId="0" fontId="1" fillId="12" borderId="84" xfId="0" applyFont="1" applyFill="1" applyBorder="1" applyAlignment="1">
      <alignment horizontal="center"/>
    </xf>
    <xf numFmtId="0" fontId="1" fillId="12" borderId="85" xfId="0" applyFont="1" applyFill="1" applyBorder="1" applyAlignment="1">
      <alignment horizontal="center"/>
    </xf>
    <xf numFmtId="0" fontId="1" fillId="12" borderId="86" xfId="0" applyFont="1" applyFill="1" applyBorder="1" applyAlignment="1">
      <alignment horizontal="center"/>
    </xf>
    <xf numFmtId="0" fontId="49" fillId="12" borderId="0" xfId="0" applyFont="1" applyFill="1" applyAlignment="1"/>
    <xf numFmtId="0" fontId="51" fillId="2" borderId="1" xfId="0" applyFont="1" applyFill="1" applyBorder="1"/>
    <xf numFmtId="2" fontId="1" fillId="9" borderId="38" xfId="0" applyNumberFormat="1" applyFont="1" applyFill="1" applyBorder="1" applyAlignment="1">
      <alignment horizontal="center"/>
    </xf>
    <xf numFmtId="0" fontId="44" fillId="4" borderId="1" xfId="0" applyNumberFormat="1" applyFont="1" applyFill="1" applyBorder="1"/>
    <xf numFmtId="0" fontId="49" fillId="0" borderId="0" xfId="0" applyFont="1" applyAlignment="1"/>
    <xf numFmtId="0" fontId="49" fillId="0" borderId="0" xfId="0" applyFont="1" applyAlignment="1">
      <alignment horizontal="center"/>
    </xf>
    <xf numFmtId="0" fontId="61" fillId="0" borderId="0" xfId="0" applyFont="1" applyAlignment="1"/>
    <xf numFmtId="174" fontId="1" fillId="9" borderId="38" xfId="0" applyNumberFormat="1" applyFont="1" applyFill="1" applyBorder="1" applyAlignment="1">
      <alignment horizontal="center"/>
    </xf>
    <xf numFmtId="174" fontId="1" fillId="9" borderId="30" xfId="0" applyNumberFormat="1" applyFont="1" applyFill="1" applyBorder="1" applyAlignment="1">
      <alignment horizontal="center"/>
    </xf>
    <xf numFmtId="0" fontId="1" fillId="4" borderId="1" xfId="0" applyNumberFormat="1" applyFont="1" applyFill="1" applyBorder="1"/>
    <xf numFmtId="165" fontId="5" fillId="4" borderId="1" xfId="0" applyNumberFormat="1" applyFont="1" applyFill="1" applyBorder="1"/>
    <xf numFmtId="0" fontId="0" fillId="0" borderId="0" xfId="0" applyFont="1" applyAlignment="1">
      <alignment horizontal="center"/>
    </xf>
    <xf numFmtId="0" fontId="0" fillId="0" borderId="0" xfId="0" applyFont="1" applyAlignment="1"/>
    <xf numFmtId="0" fontId="50" fillId="0" borderId="41" xfId="0" applyFont="1" applyFill="1" applyBorder="1" applyAlignment="1">
      <alignment horizontal="center"/>
    </xf>
    <xf numFmtId="2" fontId="1" fillId="4" borderId="65" xfId="0" applyNumberFormat="1" applyFont="1" applyFill="1" applyBorder="1" applyAlignment="1">
      <alignment horizontal="center"/>
    </xf>
    <xf numFmtId="44" fontId="1" fillId="4" borderId="65" xfId="0" applyNumberFormat="1" applyFont="1" applyFill="1" applyBorder="1" applyAlignment="1">
      <alignment horizontal="center"/>
    </xf>
    <xf numFmtId="44" fontId="1" fillId="4" borderId="65" xfId="0" applyNumberFormat="1" applyFont="1" applyFill="1" applyBorder="1"/>
    <xf numFmtId="0" fontId="5" fillId="12" borderId="65" xfId="0" applyFont="1" applyFill="1" applyBorder="1" applyAlignment="1">
      <alignment horizontal="center" vertical="center"/>
    </xf>
    <xf numFmtId="164" fontId="1" fillId="12" borderId="65" xfId="0" applyNumberFormat="1" applyFont="1" applyFill="1" applyBorder="1"/>
    <xf numFmtId="164" fontId="5" fillId="12" borderId="65" xfId="0" applyNumberFormat="1" applyFont="1" applyFill="1" applyBorder="1" applyAlignment="1">
      <alignment horizontal="center" vertical="center"/>
    </xf>
    <xf numFmtId="0" fontId="1" fillId="4" borderId="60" xfId="0" applyFont="1" applyFill="1" applyBorder="1" applyAlignment="1">
      <alignment horizontal="center"/>
    </xf>
    <xf numFmtId="0" fontId="1" fillId="3" borderId="71" xfId="0" applyFont="1" applyFill="1" applyBorder="1"/>
    <xf numFmtId="0" fontId="1" fillId="9" borderId="87" xfId="0" applyFont="1" applyFill="1" applyBorder="1" applyAlignment="1">
      <alignment horizontal="center"/>
    </xf>
    <xf numFmtId="0" fontId="1" fillId="3" borderId="71" xfId="0" applyFont="1" applyFill="1" applyBorder="1" applyAlignment="1">
      <alignment horizontal="center"/>
    </xf>
    <xf numFmtId="170" fontId="1" fillId="9" borderId="87" xfId="0" applyNumberFormat="1" applyFont="1" applyFill="1" applyBorder="1" applyAlignment="1">
      <alignment horizontal="center"/>
    </xf>
    <xf numFmtId="1" fontId="1" fillId="9" borderId="72" xfId="0" applyNumberFormat="1" applyFont="1" applyFill="1" applyBorder="1" applyAlignment="1">
      <alignment horizontal="center"/>
    </xf>
    <xf numFmtId="44" fontId="1" fillId="9" borderId="72" xfId="0" applyNumberFormat="1" applyFont="1" applyFill="1" applyBorder="1" applyAlignment="1">
      <alignment horizontal="center"/>
    </xf>
    <xf numFmtId="171" fontId="1" fillId="9" borderId="87" xfId="0" applyNumberFormat="1" applyFont="1" applyFill="1" applyBorder="1" applyAlignment="1">
      <alignment horizontal="center"/>
    </xf>
    <xf numFmtId="170" fontId="1" fillId="3" borderId="71" xfId="0" applyNumberFormat="1" applyFont="1" applyFill="1" applyBorder="1"/>
    <xf numFmtId="174" fontId="1" fillId="9" borderId="57" xfId="0" applyNumberFormat="1" applyFont="1" applyFill="1" applyBorder="1" applyAlignment="1">
      <alignment horizontal="center"/>
    </xf>
    <xf numFmtId="164" fontId="5" fillId="9" borderId="38" xfId="0" applyNumberFormat="1" applyFont="1" applyFill="1" applyBorder="1" applyAlignment="1">
      <alignment horizontal="center"/>
    </xf>
    <xf numFmtId="0" fontId="56" fillId="3" borderId="1" xfId="0" applyFont="1" applyFill="1" applyBorder="1" applyAlignment="1">
      <alignment horizontal="right"/>
    </xf>
    <xf numFmtId="0" fontId="56" fillId="3" borderId="1" xfId="0" applyFont="1" applyFill="1" applyBorder="1"/>
    <xf numFmtId="1" fontId="1" fillId="4" borderId="19" xfId="0" applyNumberFormat="1" applyFont="1" applyFill="1" applyBorder="1" applyAlignment="1">
      <alignment horizontal="center"/>
    </xf>
    <xf numFmtId="1" fontId="1" fillId="4" borderId="16" xfId="0" applyNumberFormat="1" applyFont="1" applyFill="1" applyBorder="1" applyAlignment="1">
      <alignment horizontal="center"/>
    </xf>
    <xf numFmtId="0" fontId="39" fillId="3" borderId="41" xfId="0" applyFont="1" applyFill="1" applyBorder="1" applyAlignment="1">
      <alignment horizontal="right" vertical="center"/>
    </xf>
    <xf numFmtId="171" fontId="1" fillId="4" borderId="70" xfId="0" applyNumberFormat="1" applyFont="1" applyFill="1" applyBorder="1" applyAlignment="1">
      <alignment horizontal="center"/>
    </xf>
    <xf numFmtId="0" fontId="1" fillId="4" borderId="79" xfId="0" applyFont="1" applyFill="1" applyBorder="1" applyAlignment="1">
      <alignment horizontal="center"/>
    </xf>
    <xf numFmtId="171" fontId="1" fillId="4" borderId="71" xfId="0" applyNumberFormat="1" applyFont="1" applyFill="1" applyBorder="1"/>
    <xf numFmtId="0" fontId="1" fillId="4" borderId="60" xfId="0" applyFont="1" applyFill="1" applyBorder="1"/>
    <xf numFmtId="0" fontId="63" fillId="12" borderId="0" xfId="0" applyFont="1" applyFill="1" applyAlignment="1">
      <alignment horizontal="center"/>
    </xf>
    <xf numFmtId="0" fontId="63" fillId="12" borderId="65" xfId="0" applyFont="1" applyFill="1" applyBorder="1" applyAlignment="1">
      <alignment horizontal="center"/>
    </xf>
    <xf numFmtId="0" fontId="5" fillId="4" borderId="56" xfId="0" applyFont="1" applyFill="1" applyBorder="1" applyAlignment="1">
      <alignment horizontal="center"/>
    </xf>
    <xf numFmtId="164" fontId="63" fillId="12" borderId="65" xfId="1" applyNumberFormat="1" applyFont="1" applyFill="1" applyBorder="1" applyAlignment="1">
      <alignment horizontal="center"/>
    </xf>
    <xf numFmtId="44" fontId="1" fillId="4" borderId="1" xfId="1" applyFont="1" applyFill="1" applyBorder="1"/>
    <xf numFmtId="164" fontId="51" fillId="4" borderId="1" xfId="0" applyNumberFormat="1" applyFont="1" applyFill="1" applyBorder="1"/>
    <xf numFmtId="165" fontId="47" fillId="4" borderId="1" xfId="0" applyNumberFormat="1" applyFont="1" applyFill="1" applyBorder="1"/>
    <xf numFmtId="0" fontId="0" fillId="0" borderId="0" xfId="0" applyFont="1" applyAlignment="1">
      <alignment vertical="center"/>
    </xf>
    <xf numFmtId="0" fontId="36" fillId="4" borderId="1" xfId="0" applyFont="1" applyFill="1" applyBorder="1"/>
    <xf numFmtId="0" fontId="64" fillId="4" borderId="1" xfId="0" applyFont="1" applyFill="1" applyBorder="1"/>
    <xf numFmtId="0" fontId="64" fillId="17" borderId="1" xfId="0" applyFont="1" applyFill="1" applyBorder="1" applyAlignment="1">
      <alignment vertical="center"/>
    </xf>
    <xf numFmtId="0" fontId="0" fillId="0" borderId="0" xfId="0" applyFont="1" applyAlignment="1"/>
    <xf numFmtId="0" fontId="34" fillId="4" borderId="1" xfId="0" applyNumberFormat="1" applyFont="1" applyFill="1" applyBorder="1"/>
    <xf numFmtId="0" fontId="0" fillId="0" borderId="0" xfId="0" applyFont="1" applyAlignment="1">
      <alignment horizontal="center" vertical="center"/>
    </xf>
    <xf numFmtId="17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center" wrapText="1"/>
    </xf>
    <xf numFmtId="2" fontId="0" fillId="0" borderId="0" xfId="0" applyNumberFormat="1" applyFont="1" applyAlignment="1">
      <alignment horizontal="center" vertical="center"/>
    </xf>
    <xf numFmtId="0" fontId="0" fillId="20" borderId="0" xfId="0" applyFont="1" applyFill="1" applyAlignment="1">
      <alignment horizontal="center" vertical="center"/>
    </xf>
    <xf numFmtId="0" fontId="0" fillId="19" borderId="88" xfId="3" applyFont="1" applyAlignment="1">
      <alignment horizontal="center"/>
    </xf>
    <xf numFmtId="0" fontId="0" fillId="19" borderId="88" xfId="3" applyFont="1" applyAlignment="1">
      <alignment horizontal="center" vertical="center"/>
    </xf>
    <xf numFmtId="2" fontId="0" fillId="19" borderId="88" xfId="3" applyNumberFormat="1" applyFont="1" applyAlignment="1">
      <alignment horizontal="center" vertical="center"/>
    </xf>
    <xf numFmtId="1" fontId="0" fillId="0" borderId="0" xfId="0" applyNumberFormat="1" applyFont="1" applyAlignment="1"/>
    <xf numFmtId="173" fontId="0" fillId="0" borderId="0" xfId="0" applyNumberFormat="1" applyFont="1" applyAlignment="1">
      <alignment horizontal="center" vertical="center"/>
    </xf>
    <xf numFmtId="1" fontId="0" fillId="19" borderId="88" xfId="3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168" fontId="0" fillId="19" borderId="88" xfId="3" applyNumberFormat="1" applyFont="1" applyAlignment="1">
      <alignment horizontal="center"/>
    </xf>
    <xf numFmtId="173" fontId="0" fillId="19" borderId="88" xfId="3" applyNumberFormat="1" applyFont="1" applyAlignment="1">
      <alignment horizontal="center"/>
    </xf>
    <xf numFmtId="0" fontId="49" fillId="0" borderId="0" xfId="0" applyFont="1" applyAlignment="1">
      <alignment horizontal="left" vertical="center"/>
    </xf>
    <xf numFmtId="0" fontId="65" fillId="18" borderId="1" xfId="2" applyBorder="1"/>
    <xf numFmtId="0" fontId="65" fillId="18" borderId="11" xfId="2" applyBorder="1" applyAlignment="1">
      <alignment horizontal="center"/>
    </xf>
    <xf numFmtId="0" fontId="65" fillId="18" borderId="1" xfId="2" applyBorder="1" applyAlignment="1">
      <alignment horizontal="center"/>
    </xf>
    <xf numFmtId="170" fontId="65" fillId="18" borderId="11" xfId="2" applyNumberFormat="1" applyBorder="1" applyAlignment="1">
      <alignment horizontal="center"/>
    </xf>
    <xf numFmtId="170" fontId="65" fillId="18" borderId="1" xfId="2" applyNumberFormat="1" applyBorder="1"/>
    <xf numFmtId="174" fontId="65" fillId="18" borderId="30" xfId="2" applyNumberFormat="1" applyBorder="1" applyAlignment="1">
      <alignment horizontal="center"/>
    </xf>
    <xf numFmtId="1" fontId="65" fillId="18" borderId="31" xfId="2" applyNumberFormat="1" applyBorder="1" applyAlignment="1">
      <alignment horizontal="center"/>
    </xf>
    <xf numFmtId="1" fontId="65" fillId="18" borderId="36" xfId="2" applyNumberFormat="1" applyBorder="1" applyAlignment="1">
      <alignment horizontal="center"/>
    </xf>
    <xf numFmtId="44" fontId="65" fillId="18" borderId="36" xfId="2" applyNumberFormat="1" applyBorder="1" applyAlignment="1">
      <alignment horizontal="center"/>
    </xf>
    <xf numFmtId="171" fontId="65" fillId="18" borderId="11" xfId="2" applyNumberFormat="1" applyBorder="1" applyAlignment="1">
      <alignment horizontal="center"/>
    </xf>
    <xf numFmtId="2" fontId="65" fillId="18" borderId="30" xfId="2" applyNumberFormat="1" applyBorder="1" applyAlignment="1">
      <alignment horizontal="center"/>
    </xf>
    <xf numFmtId="44" fontId="65" fillId="18" borderId="31" xfId="2" applyNumberForma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Alignment="1"/>
    <xf numFmtId="171" fontId="1" fillId="9" borderId="57" xfId="0" applyNumberFormat="1" applyFont="1" applyFill="1" applyBorder="1" applyAlignment="1">
      <alignment horizontal="center"/>
    </xf>
    <xf numFmtId="168" fontId="0" fillId="19" borderId="89" xfId="3" applyNumberFormat="1" applyFont="1" applyBorder="1" applyAlignment="1">
      <alignment horizontal="center"/>
    </xf>
    <xf numFmtId="171" fontId="65" fillId="18" borderId="30" xfId="2" applyNumberFormat="1" applyBorder="1" applyAlignment="1">
      <alignment horizontal="center"/>
    </xf>
    <xf numFmtId="171" fontId="66" fillId="19" borderId="88" xfId="3" applyNumberFormat="1" applyFont="1" applyAlignment="1">
      <alignment horizontal="center"/>
    </xf>
    <xf numFmtId="171" fontId="65" fillId="18" borderId="88" xfId="2" applyNumberFormat="1" applyBorder="1" applyAlignment="1">
      <alignment horizontal="center"/>
    </xf>
    <xf numFmtId="0" fontId="1" fillId="4" borderId="41" xfId="0" applyFont="1" applyFill="1" applyBorder="1" applyAlignment="1">
      <alignment horizontal="right"/>
    </xf>
    <xf numFmtId="0" fontId="0" fillId="0" borderId="0" xfId="0" applyFont="1" applyAlignment="1"/>
    <xf numFmtId="0" fontId="57" fillId="4" borderId="80" xfId="0" applyFont="1" applyFill="1" applyBorder="1" applyAlignment="1">
      <alignment horizontal="center"/>
    </xf>
    <xf numFmtId="0" fontId="0" fillId="0" borderId="0" xfId="0" applyFont="1" applyAlignment="1"/>
    <xf numFmtId="165" fontId="4" fillId="4" borderId="1" xfId="0" applyNumberFormat="1" applyFont="1" applyFill="1" applyBorder="1"/>
    <xf numFmtId="0" fontId="69" fillId="4" borderId="1" xfId="0" applyFont="1" applyFill="1" applyBorder="1"/>
    <xf numFmtId="2" fontId="0" fillId="0" borderId="0" xfId="0" applyNumberFormat="1" applyFont="1" applyAlignment="1"/>
    <xf numFmtId="0" fontId="4" fillId="4" borderId="41" xfId="0" applyFont="1" applyFill="1" applyBorder="1" applyAlignment="1"/>
    <xf numFmtId="2" fontId="1" fillId="9" borderId="26" xfId="0" applyNumberFormat="1" applyFont="1" applyFill="1" applyBorder="1" applyAlignment="1">
      <alignment horizontal="center"/>
    </xf>
    <xf numFmtId="2" fontId="1" fillId="4" borderId="78" xfId="0" applyNumberFormat="1" applyFont="1" applyFill="1" applyBorder="1" applyAlignment="1">
      <alignment horizontal="center"/>
    </xf>
    <xf numFmtId="2" fontId="1" fillId="4" borderId="90" xfId="0" applyNumberFormat="1" applyFont="1" applyFill="1" applyBorder="1" applyAlignment="1">
      <alignment horizontal="center"/>
    </xf>
    <xf numFmtId="0" fontId="46" fillId="4" borderId="1" xfId="0" applyFont="1" applyFill="1" applyBorder="1"/>
    <xf numFmtId="0" fontId="70" fillId="12" borderId="0" xfId="0" applyFont="1" applyFill="1" applyAlignment="1"/>
    <xf numFmtId="164" fontId="46" fillId="4" borderId="1" xfId="0" applyNumberFormat="1" applyFont="1" applyFill="1" applyBorder="1"/>
    <xf numFmtId="2" fontId="46" fillId="4" borderId="1" xfId="0" applyNumberFormat="1" applyFont="1" applyFill="1" applyBorder="1"/>
    <xf numFmtId="0" fontId="57" fillId="4" borderId="80" xfId="0" applyFont="1" applyFill="1" applyBorder="1" applyAlignment="1">
      <alignment horizontal="center"/>
    </xf>
    <xf numFmtId="0" fontId="0" fillId="0" borderId="0" xfId="0" applyFont="1" applyAlignment="1"/>
    <xf numFmtId="165" fontId="1" fillId="9" borderId="31" xfId="0" applyNumberFormat="1" applyFont="1" applyFill="1" applyBorder="1" applyAlignment="1">
      <alignment horizontal="center"/>
    </xf>
    <xf numFmtId="165" fontId="1" fillId="9" borderId="39" xfId="0" applyNumberFormat="1" applyFont="1" applyFill="1" applyBorder="1" applyAlignment="1">
      <alignment horizontal="center"/>
    </xf>
    <xf numFmtId="10" fontId="1" fillId="3" borderId="1" xfId="0" applyNumberFormat="1" applyFont="1" applyFill="1" applyBorder="1"/>
    <xf numFmtId="2" fontId="1" fillId="12" borderId="65" xfId="0" applyNumberFormat="1" applyFont="1" applyFill="1" applyBorder="1" applyAlignment="1">
      <alignment horizontal="center"/>
    </xf>
    <xf numFmtId="0" fontId="1" fillId="3" borderId="41" xfId="0" applyFont="1" applyFill="1" applyBorder="1" applyAlignment="1">
      <alignment horizontal="center"/>
    </xf>
    <xf numFmtId="10" fontId="1" fillId="3" borderId="41" xfId="0" applyNumberFormat="1" applyFont="1" applyFill="1" applyBorder="1"/>
    <xf numFmtId="0" fontId="65" fillId="18" borderId="54" xfId="2" applyBorder="1" applyAlignment="1">
      <alignment horizontal="center"/>
    </xf>
    <xf numFmtId="10" fontId="65" fillId="18" borderId="54" xfId="2" applyNumberFormat="1" applyBorder="1" applyAlignment="1">
      <alignment horizontal="center"/>
    </xf>
    <xf numFmtId="10" fontId="1" fillId="3" borderId="54" xfId="0" applyNumberFormat="1" applyFont="1" applyFill="1" applyBorder="1"/>
    <xf numFmtId="165" fontId="65" fillId="18" borderId="91" xfId="2" applyNumberFormat="1" applyBorder="1" applyAlignment="1">
      <alignment horizontal="center"/>
    </xf>
    <xf numFmtId="171" fontId="65" fillId="18" borderId="92" xfId="2" applyNumberFormat="1" applyBorder="1" applyAlignment="1">
      <alignment horizontal="center"/>
    </xf>
    <xf numFmtId="44" fontId="65" fillId="18" borderId="76" xfId="2" applyNumberFormat="1" applyBorder="1" applyAlignment="1">
      <alignment horizontal="center"/>
    </xf>
    <xf numFmtId="1" fontId="65" fillId="18" borderId="76" xfId="2" applyNumberFormat="1" applyBorder="1" applyAlignment="1">
      <alignment horizontal="center"/>
    </xf>
    <xf numFmtId="171" fontId="65" fillId="18" borderId="54" xfId="2" applyNumberFormat="1" applyBorder="1" applyAlignment="1">
      <alignment horizontal="center"/>
    </xf>
    <xf numFmtId="0" fontId="72" fillId="9" borderId="17" xfId="0" applyFont="1" applyFill="1" applyBorder="1" applyAlignment="1">
      <alignment horizontal="center"/>
    </xf>
    <xf numFmtId="1" fontId="72" fillId="9" borderId="36" xfId="0" applyNumberFormat="1" applyFont="1" applyFill="1" applyBorder="1" applyAlignment="1">
      <alignment horizontal="center"/>
    </xf>
    <xf numFmtId="1" fontId="72" fillId="9" borderId="31" xfId="0" applyNumberFormat="1" applyFont="1" applyFill="1" applyBorder="1" applyAlignment="1">
      <alignment horizontal="center"/>
    </xf>
    <xf numFmtId="1" fontId="73" fillId="18" borderId="76" xfId="2" applyNumberFormat="1" applyFont="1" applyBorder="1" applyAlignment="1">
      <alignment horizontal="center"/>
    </xf>
    <xf numFmtId="1" fontId="73" fillId="18" borderId="92" xfId="2" applyNumberFormat="1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 textRotation="90"/>
    </xf>
    <xf numFmtId="0" fontId="5" fillId="4" borderId="65" xfId="0" applyFont="1" applyFill="1" applyBorder="1" applyAlignment="1">
      <alignment horizontal="center"/>
    </xf>
    <xf numFmtId="44" fontId="5" fillId="4" borderId="65" xfId="0" applyNumberFormat="1" applyFont="1" applyFill="1" applyBorder="1"/>
    <xf numFmtId="0" fontId="1" fillId="4" borderId="54" xfId="0" applyFont="1" applyFill="1" applyBorder="1"/>
    <xf numFmtId="1" fontId="51" fillId="4" borderId="1" xfId="0" applyNumberFormat="1" applyFont="1" applyFill="1" applyBorder="1"/>
    <xf numFmtId="165" fontId="51" fillId="4" borderId="1" xfId="0" applyNumberFormat="1" applyFont="1" applyFill="1" applyBorder="1"/>
    <xf numFmtId="1" fontId="8" fillId="4" borderId="1" xfId="0" applyNumberFormat="1" applyFont="1" applyFill="1" applyBorder="1"/>
    <xf numFmtId="164" fontId="8" fillId="4" borderId="1" xfId="0" applyNumberFormat="1" applyFont="1" applyFill="1" applyBorder="1"/>
    <xf numFmtId="0" fontId="8" fillId="4" borderId="1" xfId="0" applyNumberFormat="1" applyFont="1" applyFill="1" applyBorder="1"/>
    <xf numFmtId="0" fontId="39" fillId="3" borderId="0" xfId="0" applyFont="1" applyFill="1" applyAlignment="1">
      <alignment horizontal="right"/>
    </xf>
    <xf numFmtId="0" fontId="39" fillId="3" borderId="0" xfId="0" applyFont="1" applyFill="1" applyAlignment="1">
      <alignment horizontal="right" vertical="center"/>
    </xf>
    <xf numFmtId="0" fontId="39" fillId="3" borderId="71" xfId="0" applyFont="1" applyFill="1" applyBorder="1" applyAlignment="1">
      <alignment horizontal="right"/>
    </xf>
    <xf numFmtId="0" fontId="39" fillId="3" borderId="0" xfId="0" applyFont="1" applyFill="1" applyBorder="1" applyAlignment="1">
      <alignment horizontal="right"/>
    </xf>
    <xf numFmtId="0" fontId="65" fillId="18" borderId="53" xfId="2" applyBorder="1" applyAlignment="1">
      <alignment horizontal="center"/>
    </xf>
    <xf numFmtId="0" fontId="65" fillId="18" borderId="56" xfId="2" applyBorder="1"/>
    <xf numFmtId="0" fontId="65" fillId="18" borderId="65" xfId="2" applyBorder="1" applyAlignment="1">
      <alignment horizontal="center"/>
    </xf>
    <xf numFmtId="0" fontId="65" fillId="18" borderId="41" xfId="2" applyBorder="1"/>
    <xf numFmtId="0" fontId="65" fillId="18" borderId="41" xfId="2" applyBorder="1" applyAlignment="1"/>
    <xf numFmtId="0" fontId="65" fillId="18" borderId="65" xfId="2" applyBorder="1" applyAlignment="1"/>
    <xf numFmtId="173" fontId="65" fillId="18" borderId="65" xfId="2" applyNumberFormat="1" applyBorder="1" applyAlignment="1">
      <alignment horizontal="center"/>
    </xf>
    <xf numFmtId="2" fontId="65" fillId="18" borderId="65" xfId="2" applyNumberFormat="1" applyBorder="1" applyAlignment="1">
      <alignment horizontal="center"/>
    </xf>
    <xf numFmtId="168" fontId="1" fillId="12" borderId="0" xfId="0" applyNumberFormat="1" applyFont="1" applyFill="1"/>
    <xf numFmtId="177" fontId="1" fillId="12" borderId="0" xfId="0" applyNumberFormat="1" applyFont="1" applyFill="1"/>
    <xf numFmtId="0" fontId="1" fillId="12" borderId="41" xfId="0" applyFont="1" applyFill="1" applyBorder="1" applyAlignment="1">
      <alignment horizontal="center"/>
    </xf>
    <xf numFmtId="0" fontId="66" fillId="22" borderId="53" xfId="2" applyFont="1" applyFill="1" applyBorder="1" applyAlignment="1">
      <alignment horizontal="center"/>
    </xf>
    <xf numFmtId="0" fontId="66" fillId="22" borderId="56" xfId="2" applyFont="1" applyFill="1" applyBorder="1"/>
    <xf numFmtId="0" fontId="66" fillId="22" borderId="65" xfId="2" applyFont="1" applyFill="1" applyBorder="1" applyAlignment="1">
      <alignment horizontal="center"/>
    </xf>
    <xf numFmtId="0" fontId="51" fillId="23" borderId="65" xfId="0" applyFont="1" applyFill="1" applyBorder="1" applyAlignment="1">
      <alignment horizontal="center"/>
    </xf>
    <xf numFmtId="173" fontId="51" fillId="23" borderId="65" xfId="0" applyNumberFormat="1" applyFont="1" applyFill="1" applyBorder="1" applyAlignment="1">
      <alignment horizontal="center"/>
    </xf>
    <xf numFmtId="0" fontId="66" fillId="22" borderId="41" xfId="2" applyFont="1" applyFill="1" applyBorder="1"/>
    <xf numFmtId="0" fontId="66" fillId="22" borderId="41" xfId="2" applyFont="1" applyFill="1" applyBorder="1" applyAlignment="1"/>
    <xf numFmtId="173" fontId="66" fillId="22" borderId="65" xfId="2" applyNumberFormat="1" applyFont="1" applyFill="1" applyBorder="1" applyAlignment="1">
      <alignment horizontal="center"/>
    </xf>
    <xf numFmtId="2" fontId="66" fillId="22" borderId="65" xfId="2" applyNumberFormat="1" applyFont="1" applyFill="1" applyBorder="1" applyAlignment="1">
      <alignment horizontal="center"/>
    </xf>
    <xf numFmtId="178" fontId="0" fillId="12" borderId="0" xfId="0" applyNumberFormat="1" applyFont="1" applyFill="1" applyAlignment="1"/>
    <xf numFmtId="0" fontId="1" fillId="12" borderId="53" xfId="0" applyFont="1" applyFill="1" applyBorder="1" applyAlignment="1">
      <alignment horizontal="center"/>
    </xf>
    <xf numFmtId="0" fontId="0" fillId="12" borderId="56" xfId="0" applyFont="1" applyFill="1" applyBorder="1" applyAlignment="1"/>
    <xf numFmtId="0" fontId="65" fillId="18" borderId="56" xfId="2" applyBorder="1" applyAlignment="1"/>
    <xf numFmtId="0" fontId="66" fillId="22" borderId="56" xfId="2" applyFont="1" applyFill="1" applyBorder="1" applyAlignment="1"/>
    <xf numFmtId="0" fontId="1" fillId="2" borderId="41" xfId="0" applyFont="1" applyFill="1" applyBorder="1" applyAlignment="1">
      <alignment horizontal="center"/>
    </xf>
    <xf numFmtId="0" fontId="1" fillId="3" borderId="41" xfId="0" applyFont="1" applyFill="1" applyBorder="1" applyAlignment="1">
      <alignment horizontal="center" vertical="center"/>
    </xf>
    <xf numFmtId="0" fontId="30" fillId="3" borderId="93" xfId="0" applyFont="1" applyFill="1" applyBorder="1" applyAlignment="1">
      <alignment horizontal="right"/>
    </xf>
    <xf numFmtId="173" fontId="8" fillId="3" borderId="37" xfId="0" applyNumberFormat="1" applyFont="1" applyFill="1" applyBorder="1" applyAlignment="1">
      <alignment horizontal="left"/>
    </xf>
    <xf numFmtId="173" fontId="8" fillId="3" borderId="66" xfId="0" applyNumberFormat="1" applyFont="1" applyFill="1" applyBorder="1" applyAlignment="1">
      <alignment horizontal="left"/>
    </xf>
    <xf numFmtId="173" fontId="8" fillId="3" borderId="93" xfId="0" applyNumberFormat="1" applyFont="1" applyFill="1" applyBorder="1" applyAlignment="1">
      <alignment horizontal="left"/>
    </xf>
    <xf numFmtId="173" fontId="8" fillId="3" borderId="56" xfId="0" applyNumberFormat="1" applyFont="1" applyFill="1" applyBorder="1" applyAlignment="1">
      <alignment horizontal="left"/>
    </xf>
    <xf numFmtId="173" fontId="8" fillId="3" borderId="94" xfId="0" applyNumberFormat="1" applyFont="1" applyFill="1" applyBorder="1" applyAlignment="1">
      <alignment horizontal="left"/>
    </xf>
    <xf numFmtId="0" fontId="58" fillId="4" borderId="69" xfId="0" applyFont="1" applyFill="1" applyBorder="1" applyAlignment="1">
      <alignment horizontal="center"/>
    </xf>
    <xf numFmtId="0" fontId="1" fillId="12" borderId="69" xfId="0" applyFont="1" applyFill="1" applyBorder="1" applyAlignment="1">
      <alignment horizontal="center"/>
    </xf>
    <xf numFmtId="0" fontId="74" fillId="24" borderId="41" xfId="0" applyFont="1" applyFill="1" applyBorder="1" applyAlignment="1">
      <alignment horizontal="center"/>
    </xf>
    <xf numFmtId="0" fontId="8" fillId="24" borderId="65" xfId="0" applyFont="1" applyFill="1" applyBorder="1" applyAlignment="1">
      <alignment horizontal="center"/>
    </xf>
    <xf numFmtId="0" fontId="71" fillId="25" borderId="65" xfId="2" applyFont="1" applyFill="1" applyBorder="1" applyAlignment="1">
      <alignment horizontal="center"/>
    </xf>
    <xf numFmtId="0" fontId="74" fillId="26" borderId="41" xfId="0" applyFont="1" applyFill="1" applyBorder="1" applyAlignment="1">
      <alignment horizontal="center"/>
    </xf>
    <xf numFmtId="0" fontId="8" fillId="26" borderId="65" xfId="0" applyFont="1" applyFill="1" applyBorder="1" applyAlignment="1">
      <alignment horizontal="center"/>
    </xf>
    <xf numFmtId="0" fontId="71" fillId="27" borderId="65" xfId="2" applyFont="1" applyFill="1" applyBorder="1" applyAlignment="1">
      <alignment horizontal="center"/>
    </xf>
    <xf numFmtId="0" fontId="74" fillId="28" borderId="41" xfId="0" applyFont="1" applyFill="1" applyBorder="1" applyAlignment="1">
      <alignment horizontal="center"/>
    </xf>
    <xf numFmtId="0" fontId="8" fillId="29" borderId="65" xfId="0" applyFont="1" applyFill="1" applyBorder="1" applyAlignment="1">
      <alignment horizontal="center"/>
    </xf>
    <xf numFmtId="0" fontId="71" fillId="30" borderId="65" xfId="2" applyFont="1" applyFill="1" applyBorder="1" applyAlignment="1">
      <alignment horizontal="center"/>
    </xf>
    <xf numFmtId="0" fontId="58" fillId="21" borderId="41" xfId="0" applyFont="1" applyFill="1" applyBorder="1" applyAlignment="1">
      <alignment horizontal="center"/>
    </xf>
    <xf numFmtId="0" fontId="1" fillId="31" borderId="65" xfId="0" applyFont="1" applyFill="1" applyBorder="1" applyAlignment="1">
      <alignment horizontal="center"/>
    </xf>
    <xf numFmtId="0" fontId="66" fillId="32" borderId="65" xfId="2" applyFont="1" applyFill="1" applyBorder="1" applyAlignment="1">
      <alignment horizontal="center"/>
    </xf>
    <xf numFmtId="0" fontId="74" fillId="33" borderId="41" xfId="0" applyFont="1" applyFill="1" applyBorder="1" applyAlignment="1">
      <alignment horizontal="center"/>
    </xf>
    <xf numFmtId="0" fontId="8" fillId="34" borderId="65" xfId="0" applyFont="1" applyFill="1" applyBorder="1" applyAlignment="1"/>
    <xf numFmtId="0" fontId="71" fillId="35" borderId="65" xfId="2" applyFont="1" applyFill="1" applyBorder="1" applyAlignment="1"/>
    <xf numFmtId="0" fontId="74" fillId="36" borderId="41" xfId="0" applyFont="1" applyFill="1" applyBorder="1" applyAlignment="1">
      <alignment horizontal="center"/>
    </xf>
    <xf numFmtId="0" fontId="8" fillId="37" borderId="65" xfId="0" applyFont="1" applyFill="1" applyBorder="1" applyAlignment="1">
      <alignment horizontal="center"/>
    </xf>
    <xf numFmtId="0" fontId="71" fillId="38" borderId="65" xfId="2" applyFont="1" applyFill="1" applyBorder="1" applyAlignment="1">
      <alignment horizontal="center"/>
    </xf>
    <xf numFmtId="0" fontId="74" fillId="39" borderId="69" xfId="0" applyFont="1" applyFill="1" applyBorder="1" applyAlignment="1">
      <alignment horizontal="center"/>
    </xf>
    <xf numFmtId="0" fontId="8" fillId="39" borderId="65" xfId="0" applyFont="1" applyFill="1" applyBorder="1" applyAlignment="1">
      <alignment horizontal="center"/>
    </xf>
    <xf numFmtId="0" fontId="71" fillId="39" borderId="65" xfId="2" applyFont="1" applyFill="1" applyBorder="1" applyAlignment="1">
      <alignment horizontal="center"/>
    </xf>
    <xf numFmtId="164" fontId="0" fillId="12" borderId="65" xfId="1" applyNumberFormat="1" applyFont="1" applyFill="1" applyBorder="1" applyAlignment="1"/>
    <xf numFmtId="0" fontId="0" fillId="31" borderId="0" xfId="0" applyFont="1" applyFill="1" applyAlignment="1"/>
    <xf numFmtId="0" fontId="49" fillId="0" borderId="0" xfId="0" applyFont="1" applyAlignment="1">
      <alignment horizontal="center" vertical="center"/>
    </xf>
    <xf numFmtId="0" fontId="49" fillId="31" borderId="0" xfId="0" applyFont="1" applyFill="1" applyAlignment="1"/>
    <xf numFmtId="0" fontId="0" fillId="31" borderId="0" xfId="0" applyFont="1" applyFill="1" applyAlignment="1">
      <alignment horizontal="center" vertical="center"/>
    </xf>
    <xf numFmtId="0" fontId="0" fillId="31" borderId="0" xfId="0" applyFont="1" applyFill="1" applyAlignment="1">
      <alignment horizontal="center"/>
    </xf>
    <xf numFmtId="173" fontId="0" fillId="31" borderId="0" xfId="0" applyNumberFormat="1" applyFont="1" applyFill="1" applyAlignment="1">
      <alignment horizontal="center"/>
    </xf>
    <xf numFmtId="168" fontId="0" fillId="31" borderId="88" xfId="3" applyNumberFormat="1" applyFont="1" applyFill="1" applyAlignment="1">
      <alignment horizontal="center"/>
    </xf>
    <xf numFmtId="44" fontId="5" fillId="9" borderId="38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 textRotation="90"/>
    </xf>
    <xf numFmtId="0" fontId="0" fillId="0" borderId="0" xfId="0" applyFont="1" applyAlignment="1"/>
    <xf numFmtId="165" fontId="42" fillId="4" borderId="1" xfId="0" applyNumberFormat="1" applyFont="1" applyFill="1" applyBorder="1"/>
    <xf numFmtId="0" fontId="60" fillId="3" borderId="1" xfId="0" applyFont="1" applyFill="1" applyBorder="1"/>
    <xf numFmtId="0" fontId="50" fillId="3" borderId="1" xfId="0" applyFont="1" applyFill="1" applyBorder="1" applyAlignment="1">
      <alignment horizontal="right"/>
    </xf>
    <xf numFmtId="1" fontId="8" fillId="3" borderId="1" xfId="0" applyNumberFormat="1" applyFont="1" applyFill="1" applyBorder="1" applyAlignment="1">
      <alignment horizontal="center"/>
    </xf>
    <xf numFmtId="1" fontId="65" fillId="18" borderId="92" xfId="2" applyNumberFormat="1" applyBorder="1" applyAlignment="1">
      <alignment horizontal="center"/>
    </xf>
    <xf numFmtId="44" fontId="0" fillId="12" borderId="0" xfId="0" applyNumberFormat="1" applyFont="1" applyFill="1" applyAlignment="1"/>
    <xf numFmtId="0" fontId="39" fillId="3" borderId="47" xfId="0" applyFont="1" applyFill="1" applyBorder="1" applyAlignment="1">
      <alignment horizontal="right" vertical="center"/>
    </xf>
    <xf numFmtId="0" fontId="1" fillId="4" borderId="1" xfId="0" applyFont="1" applyFill="1" applyBorder="1" applyAlignment="1">
      <alignment horizontal="center" vertical="center" textRotation="90"/>
    </xf>
    <xf numFmtId="0" fontId="0" fillId="0" borderId="0" xfId="0" applyFont="1" applyAlignment="1"/>
    <xf numFmtId="2" fontId="1" fillId="4" borderId="1" xfId="1" applyNumberFormat="1" applyFont="1" applyFill="1" applyBorder="1"/>
    <xf numFmtId="0" fontId="1" fillId="3" borderId="19" xfId="0" applyFont="1" applyFill="1" applyBorder="1"/>
    <xf numFmtId="0" fontId="1" fillId="3" borderId="15" xfId="0" applyFont="1" applyFill="1" applyBorder="1"/>
    <xf numFmtId="168" fontId="65" fillId="18" borderId="54" xfId="2" applyNumberFormat="1" applyBorder="1" applyAlignment="1">
      <alignment horizontal="center"/>
    </xf>
    <xf numFmtId="10" fontId="75" fillId="40" borderId="95" xfId="4" applyNumberFormat="1" applyAlignment="1">
      <alignment horizontal="center"/>
    </xf>
    <xf numFmtId="44" fontId="0" fillId="0" borderId="0" xfId="0" applyNumberFormat="1" applyFont="1" applyAlignment="1"/>
    <xf numFmtId="165" fontId="0" fillId="0" borderId="0" xfId="0" applyNumberFormat="1" applyFont="1" applyAlignment="1"/>
    <xf numFmtId="44" fontId="8" fillId="3" borderId="1" xfId="0" applyNumberFormat="1" applyFont="1" applyFill="1" applyBorder="1" applyAlignment="1">
      <alignment vertical="center"/>
    </xf>
    <xf numFmtId="165" fontId="8" fillId="3" borderId="1" xfId="0" applyNumberFormat="1" applyFont="1" applyFill="1" applyBorder="1" applyAlignment="1">
      <alignment vertical="center"/>
    </xf>
    <xf numFmtId="164" fontId="1" fillId="2" borderId="1" xfId="1" applyNumberFormat="1" applyFont="1" applyFill="1" applyBorder="1"/>
    <xf numFmtId="0" fontId="2" fillId="3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6" fillId="4" borderId="2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center" vertical="center"/>
    </xf>
    <xf numFmtId="0" fontId="27" fillId="4" borderId="12" xfId="0" applyFont="1" applyFill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44" fontId="1" fillId="9" borderId="34" xfId="0" applyNumberFormat="1" applyFont="1" applyFill="1" applyBorder="1" applyAlignment="1">
      <alignment horizontal="center"/>
    </xf>
    <xf numFmtId="0" fontId="3" fillId="0" borderId="35" xfId="0" applyFont="1" applyBorder="1"/>
    <xf numFmtId="44" fontId="5" fillId="9" borderId="34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left"/>
    </xf>
    <xf numFmtId="0" fontId="32" fillId="3" borderId="32" xfId="0" applyFont="1" applyFill="1" applyBorder="1" applyAlignment="1">
      <alignment horizontal="center" vertical="center"/>
    </xf>
    <xf numFmtId="0" fontId="3" fillId="0" borderId="33" xfId="0" applyFont="1" applyBorder="1"/>
    <xf numFmtId="0" fontId="38" fillId="3" borderId="32" xfId="0" applyFont="1" applyFill="1" applyBorder="1" applyAlignment="1">
      <alignment horizontal="left" wrapText="1"/>
    </xf>
    <xf numFmtId="0" fontId="3" fillId="0" borderId="41" xfId="0" applyFont="1" applyBorder="1"/>
    <xf numFmtId="0" fontId="1" fillId="4" borderId="1" xfId="0" applyFont="1" applyFill="1" applyBorder="1" applyAlignment="1">
      <alignment horizontal="center" vertical="center" textRotation="90"/>
    </xf>
    <xf numFmtId="0" fontId="2" fillId="3" borderId="41" xfId="0" applyFont="1" applyFill="1" applyBorder="1" applyAlignment="1">
      <alignment horizontal="left" vertical="center"/>
    </xf>
    <xf numFmtId="0" fontId="1" fillId="4" borderId="75" xfId="0" applyFont="1" applyFill="1" applyBorder="1" applyAlignment="1">
      <alignment horizontal="right"/>
    </xf>
    <xf numFmtId="0" fontId="1" fillId="4" borderId="54" xfId="0" applyFont="1" applyFill="1" applyBorder="1" applyAlignment="1">
      <alignment horizontal="right"/>
    </xf>
    <xf numFmtId="0" fontId="1" fillId="4" borderId="56" xfId="0" applyFont="1" applyFill="1" applyBorder="1" applyAlignment="1">
      <alignment horizontal="right"/>
    </xf>
    <xf numFmtId="0" fontId="1" fillId="4" borderId="41" xfId="0" applyFont="1" applyFill="1" applyBorder="1" applyAlignment="1">
      <alignment horizontal="right"/>
    </xf>
    <xf numFmtId="0" fontId="1" fillId="4" borderId="70" xfId="0" applyFont="1" applyFill="1" applyBorder="1" applyAlignment="1">
      <alignment horizontal="right"/>
    </xf>
    <xf numFmtId="0" fontId="1" fillId="4" borderId="71" xfId="0" applyFont="1" applyFill="1" applyBorder="1" applyAlignment="1">
      <alignment horizontal="right"/>
    </xf>
    <xf numFmtId="0" fontId="57" fillId="4" borderId="53" xfId="0" applyFont="1" applyFill="1" applyBorder="1" applyAlignment="1">
      <alignment horizontal="center"/>
    </xf>
    <xf numFmtId="0" fontId="57" fillId="4" borderId="80" xfId="0" applyFont="1" applyFill="1" applyBorder="1" applyAlignment="1">
      <alignment horizontal="center"/>
    </xf>
    <xf numFmtId="0" fontId="56" fillId="3" borderId="75" xfId="0" applyFont="1" applyFill="1" applyBorder="1" applyAlignment="1">
      <alignment horizontal="left" vertical="center"/>
    </xf>
    <xf numFmtId="0" fontId="56" fillId="3" borderId="54" xfId="0" applyFont="1" applyFill="1" applyBorder="1" applyAlignment="1">
      <alignment horizontal="left" vertical="center"/>
    </xf>
    <xf numFmtId="0" fontId="56" fillId="3" borderId="55" xfId="0" applyFont="1" applyFill="1" applyBorder="1" applyAlignment="1">
      <alignment horizontal="left" vertical="center"/>
    </xf>
    <xf numFmtId="0" fontId="57" fillId="4" borderId="65" xfId="0" applyFont="1" applyFill="1" applyBorder="1" applyAlignment="1">
      <alignment horizontal="left"/>
    </xf>
    <xf numFmtId="0" fontId="8" fillId="3" borderId="42" xfId="0" applyFont="1" applyFill="1" applyBorder="1" applyAlignment="1">
      <alignment horizontal="center" vertical="center" textRotation="90"/>
    </xf>
    <xf numFmtId="0" fontId="3" fillId="0" borderId="43" xfId="0" applyFont="1" applyBorder="1"/>
    <xf numFmtId="0" fontId="3" fillId="0" borderId="46" xfId="0" applyFont="1" applyBorder="1"/>
    <xf numFmtId="0" fontId="24" fillId="4" borderId="49" xfId="0" applyFont="1" applyFill="1" applyBorder="1" applyAlignment="1">
      <alignment horizontal="center" vertical="center"/>
    </xf>
    <xf numFmtId="0" fontId="3" fillId="0" borderId="51" xfId="0" applyFont="1" applyBorder="1"/>
    <xf numFmtId="0" fontId="17" fillId="4" borderId="49" xfId="0" applyFont="1" applyFill="1" applyBorder="1" applyAlignment="1">
      <alignment horizontal="center" vertical="center"/>
    </xf>
    <xf numFmtId="0" fontId="3" fillId="0" borderId="50" xfId="0" applyFont="1" applyBorder="1"/>
    <xf numFmtId="0" fontId="24" fillId="4" borderId="49" xfId="0" applyFont="1" applyFill="1" applyBorder="1" applyAlignment="1">
      <alignment horizontal="center"/>
    </xf>
    <xf numFmtId="0" fontId="1" fillId="4" borderId="49" xfId="0" applyFont="1" applyFill="1" applyBorder="1" applyAlignment="1">
      <alignment horizontal="center"/>
    </xf>
    <xf numFmtId="0" fontId="8" fillId="3" borderId="41" xfId="0" applyFont="1" applyFill="1" applyBorder="1" applyAlignment="1">
      <alignment horizontal="center" vertical="center"/>
    </xf>
    <xf numFmtId="0" fontId="26" fillId="4" borderId="1" xfId="0" applyFont="1" applyFill="1" applyBorder="1"/>
    <xf numFmtId="0" fontId="76" fillId="4" borderId="1" xfId="0" applyFont="1" applyFill="1" applyBorder="1"/>
    <xf numFmtId="2" fontId="26" fillId="4" borderId="1" xfId="0" applyNumberFormat="1" applyFont="1" applyFill="1" applyBorder="1"/>
    <xf numFmtId="44" fontId="26" fillId="4" borderId="1" xfId="1" applyFont="1" applyFill="1" applyBorder="1"/>
    <xf numFmtId="44" fontId="26" fillId="4" borderId="1" xfId="0" applyNumberFormat="1" applyFont="1" applyFill="1" applyBorder="1"/>
    <xf numFmtId="6" fontId="26" fillId="4" borderId="1" xfId="0" applyNumberFormat="1" applyFont="1" applyFill="1" applyBorder="1"/>
    <xf numFmtId="164" fontId="26" fillId="4" borderId="1" xfId="0" applyNumberFormat="1" applyFont="1" applyFill="1" applyBorder="1"/>
    <xf numFmtId="0" fontId="42" fillId="4" borderId="1" xfId="0" applyFont="1" applyFill="1" applyBorder="1"/>
    <xf numFmtId="165" fontId="8" fillId="4" borderId="1" xfId="0" applyNumberFormat="1" applyFont="1" applyFill="1" applyBorder="1"/>
    <xf numFmtId="0" fontId="77" fillId="2" borderId="1" xfId="0" applyFont="1" applyFill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77" fillId="2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44" fontId="1" fillId="2" borderId="1" xfId="0" applyNumberFormat="1" applyFont="1" applyFill="1" applyBorder="1" applyAlignment="1">
      <alignment horizontal="center" vertical="center"/>
    </xf>
  </cellXfs>
  <cellStyles count="5">
    <cellStyle name="Currency" xfId="1" builtinId="4"/>
    <cellStyle name="Good" xfId="2" builtinId="26"/>
    <cellStyle name="Input" xfId="4" builtinId="20"/>
    <cellStyle name="Normal" xfId="0" builtinId="0"/>
    <cellStyle name="Note" xfId="3" builtinId="10"/>
  </cellStyles>
  <dxfs count="0"/>
  <tableStyles count="0" defaultTableStyle="TableStyleMedium2" defaultPivotStyle="PivotStyleLight16"/>
  <colors>
    <mruColors>
      <color rgb="FFFF9900"/>
      <color rgb="FFF3F74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32" Type="http://customschemas.google.com/relationships/workbookmetadata" Target="metadata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PET Only - Health Status over Time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spPr>
            <a:pattFill prst="openDmnd">
              <a:fgClr>
                <a:schemeClr val="tx2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val>
            <c:numRef>
              <c:f>'Markov Model_b'!$T$11:$T$119</c:f>
              <c:numCache>
                <c:formatCode>0.00</c:formatCode>
                <c:ptCount val="109"/>
                <c:pt idx="0">
                  <c:v>76.5</c:v>
                </c:pt>
                <c:pt idx="1">
                  <c:v>75.071317228464807</c:v>
                </c:pt>
                <c:pt idx="2">
                  <c:v>73.765071471268044</c:v>
                </c:pt>
                <c:pt idx="3">
                  <c:v>72.567781231662053</c:v>
                </c:pt>
                <c:pt idx="4">
                  <c:v>71.467785574449977</c:v>
                </c:pt>
                <c:pt idx="5">
                  <c:v>70.454955338432327</c:v>
                </c:pt>
                <c:pt idx="6">
                  <c:v>69.520456537767942</c:v>
                </c:pt>
                <c:pt idx="7">
                  <c:v>68.656555437250972</c:v>
                </c:pt>
                <c:pt idx="8">
                  <c:v>67.856457110571682</c:v>
                </c:pt>
                <c:pt idx="9">
                  <c:v>67.114171058205272</c:v>
                </c:pt>
                <c:pt idx="10">
                  <c:v>66.42439881559352</c:v>
                </c:pt>
                <c:pt idx="11">
                  <c:v>65.782439526611853</c:v>
                </c:pt>
                <c:pt idx="12">
                  <c:v>65.184110268042573</c:v>
                </c:pt>
                <c:pt idx="13">
                  <c:v>64.625678544066147</c:v>
                </c:pt>
                <c:pt idx="14" formatCode="0.0000">
                  <c:v>64.103804867410474</c:v>
                </c:pt>
                <c:pt idx="15" formatCode="0.0000">
                  <c:v>63.615493737040097</c:v>
                </c:pt>
                <c:pt idx="16" formatCode="0.0000">
                  <c:v>63.158051634704698</c:v>
                </c:pt>
                <c:pt idx="17" formatCode="0.0000">
                  <c:v>62.729050912190729</c:v>
                </c:pt>
                <c:pt idx="18" formatCode="0.0000">
                  <c:v>62.326298641389869</c:v>
                </c:pt>
                <c:pt idx="19" formatCode="0.0000">
                  <c:v>61.947809660800864</c:v>
                </c:pt>
                <c:pt idx="20" formatCode="0.0000">
                  <c:v>61.591783182916402</c:v>
                </c:pt>
                <c:pt idx="21" formatCode="0.0000">
                  <c:v>61.256582433402315</c:v>
                </c:pt>
                <c:pt idx="22" formatCode="0.0000">
                  <c:v>60.940716879959957</c:v>
                </c:pt>
                <c:pt idx="23" formatCode="0.0000">
                  <c:v>60.642826680123839</c:v>
                </c:pt>
                <c:pt idx="24" formatCode="0.0000">
                  <c:v>60.361669036018711</c:v>
                </c:pt>
                <c:pt idx="25" formatCode="0.0000">
                  <c:v>60.096106192686669</c:v>
                </c:pt>
                <c:pt idx="26" formatCode="0.0000">
                  <c:v>59.845094856904367</c:v>
                </c:pt>
                <c:pt idx="27" formatCode="0.0000">
                  <c:v>59.607676846970911</c:v>
                </c:pt>
                <c:pt idx="28" formatCode="0.0000">
                  <c:v>59.38297081198106</c:v>
                </c:pt>
                <c:pt idx="29" formatCode="0.0000">
                  <c:v>59.17016488259253</c:v>
                </c:pt>
                <c:pt idx="30" formatCode="0.0000">
                  <c:v>58.968510135046863</c:v>
                </c:pt>
                <c:pt idx="31" formatCode="0.0000">
                  <c:v>58.777314766857188</c:v>
                </c:pt>
                <c:pt idx="32" formatCode="0.0000">
                  <c:v>58.595938896659888</c:v>
                </c:pt>
                <c:pt idx="33" formatCode="0.0000">
                  <c:v>58.423789912670792</c:v>
                </c:pt>
                <c:pt idx="34" formatCode="0.0000">
                  <c:v>58.260318304342782</c:v>
                </c:pt>
                <c:pt idx="35" formatCode="0.0000">
                  <c:v>58.105013920481362</c:v>
                </c:pt>
                <c:pt idx="36" formatCode="0.0000">
                  <c:v>57.957402604476535</c:v>
                </c:pt>
                <c:pt idx="37" formatCode="0.0000">
                  <c:v>57.817043163652158</c:v>
                </c:pt>
                <c:pt idx="38" formatCode="0.0000">
                  <c:v>57.683524635182344</c:v>
                </c:pt>
                <c:pt idx="39" formatCode="0.0000">
                  <c:v>57.556463815714764</c:v>
                </c:pt>
                <c:pt idx="40" formatCode="0.0000">
                  <c:v>57.435503025888771</c:v>
                </c:pt>
                <c:pt idx="41" formatCode="0.0000">
                  <c:v>57.320308084436149</c:v>
                </c:pt>
                <c:pt idx="42" formatCode="0.0000">
                  <c:v>57.210566469586077</c:v>
                </c:pt>
                <c:pt idx="43" formatCode="0.0000">
                  <c:v>57.105985648129995</c:v>
                </c:pt>
                <c:pt idx="44" formatCode="0.0000">
                  <c:v>57.00629155479443</c:v>
                </c:pt>
                <c:pt idx="45" formatCode="0.0000">
                  <c:v>56.911227206568277</c:v>
                </c:pt>
                <c:pt idx="46" formatCode="0.0000">
                  <c:v>56.820551438376754</c:v>
                </c:pt>
                <c:pt idx="47" formatCode="0.0000">
                  <c:v>56.734037748021798</c:v>
                </c:pt>
                <c:pt idx="48" formatCode="0.0000">
                  <c:v>56.651473239648134</c:v>
                </c:pt>
                <c:pt idx="49" formatCode="0.0000">
                  <c:v>56.572657656170108</c:v>
                </c:pt>
                <c:pt idx="50" formatCode="0.0000">
                  <c:v>56.497402492129204</c:v>
                </c:pt>
                <c:pt idx="51" formatCode="0.0000">
                  <c:v>56.425530179363719</c:v>
                </c:pt>
                <c:pt idx="52" formatCode="0.0000">
                  <c:v>56.356873338676593</c:v>
                </c:pt>
                <c:pt idx="53" formatCode="0.0000">
                  <c:v>56.291274091398726</c:v>
                </c:pt>
                <c:pt idx="54" formatCode="0.0000">
                  <c:v>56.228583425374538</c:v>
                </c:pt>
                <c:pt idx="55" formatCode="0.0000">
                  <c:v>56.168660610454772</c:v>
                </c:pt>
                <c:pt idx="56" formatCode="0.0000">
                  <c:v>56.111372659077354</c:v>
                </c:pt>
                <c:pt idx="57" formatCode="0.0000">
                  <c:v>56.056593827957336</c:v>
                </c:pt>
                <c:pt idx="58" formatCode="0.0000">
                  <c:v>56.004205157299864</c:v>
                </c:pt>
                <c:pt idx="59" formatCode="0.0000">
                  <c:v>55.954094044299353</c:v>
                </c:pt>
                <c:pt idx="60" formatCode="0.0000">
                  <c:v>55.906153848000791</c:v>
                </c:pt>
                <c:pt idx="61" formatCode="0.0000">
                  <c:v>55.860283522877907</c:v>
                </c:pt>
                <c:pt idx="62" formatCode="0.0000">
                  <c:v>55.816387278732883</c:v>
                </c:pt>
                <c:pt idx="63" formatCode="0.0000">
                  <c:v>55.774374264746172</c:v>
                </c:pt>
                <c:pt idx="64" formatCode="0.0000">
                  <c:v>55.734158275705703</c:v>
                </c:pt>
                <c:pt idx="65" formatCode="0.0000">
                  <c:v>55.69565747862525</c:v>
                </c:pt>
                <c:pt idx="66" formatCode="0.0000">
                  <c:v>55.658794158123868</c:v>
                </c:pt>
                <c:pt idx="67" formatCode="0.0000">
                  <c:v>55.623494479084329</c:v>
                </c:pt>
                <c:pt idx="68" formatCode="0.0000">
                  <c:v>55.589688265240156</c:v>
                </c:pt>
                <c:pt idx="69" formatCode="0.0000">
                  <c:v>55.557308792459381</c:v>
                </c:pt>
                <c:pt idx="70" formatCode="0.0000">
                  <c:v>55.526292595600644</c:v>
                </c:pt>
                <c:pt idx="71" formatCode="0.0000">
                  <c:v>55.496579287913853</c:v>
                </c:pt>
                <c:pt idx="72" formatCode="0.0000">
                  <c:v>55.4681113920456</c:v>
                </c:pt>
                <c:pt idx="73" formatCode="0.0000">
                  <c:v>55.440834181788794</c:v>
                </c:pt>
                <c:pt idx="74" formatCode="0.0000">
                  <c:v>55.414695533788134</c:v>
                </c:pt>
                <c:pt idx="75" formatCode="0.0000">
                  <c:v>55.389645788478227</c:v>
                </c:pt>
                <c:pt idx="76" formatCode="0.0000">
                  <c:v>55.365637619590835</c:v>
                </c:pt>
                <c:pt idx="77" formatCode="0.0000">
                  <c:v>55.342625911621383</c:v>
                </c:pt>
                <c:pt idx="78" formatCode="0.0000">
                  <c:v>55.320567644694258</c:v>
                </c:pt>
                <c:pt idx="79" formatCode="0.0000">
                  <c:v>55.299421786311022</c:v>
                </c:pt>
                <c:pt idx="80" formatCode="0.0000">
                  <c:v>55.279149189506541</c:v>
                </c:pt>
                <c:pt idx="81" formatCode="0.0000">
                  <c:v>55.25971249697519</c:v>
                </c:pt>
                <c:pt idx="82" formatCode="0.0000">
                  <c:v>55.241076050763269</c:v>
                </c:pt>
                <c:pt idx="83" formatCode="0.0000">
                  <c:v>55.223205807154947</c:v>
                </c:pt>
                <c:pt idx="84" formatCode="0.0000">
                  <c:v>55.20606925640719</c:v>
                </c:pt>
                <c:pt idx="85" formatCode="0.0000">
                  <c:v>55.189635347015511</c:v>
                </c:pt>
                <c:pt idx="86" formatCode="0.0000">
                  <c:v>55.173874414215746</c:v>
                </c:pt>
                <c:pt idx="87" formatCode="0.0000">
                  <c:v>55.158758112449313</c:v>
                </c:pt>
                <c:pt idx="88" formatCode="0.0000">
                  <c:v>55.144259351539077</c:v>
                </c:pt>
                <c:pt idx="89" formatCode="0.0000">
                  <c:v>55.130352236341665</c:v>
                </c:pt>
                <c:pt idx="90" formatCode="0.0000">
                  <c:v>55.117012009658659</c:v>
                </c:pt>
                <c:pt idx="91" formatCode="0.0000">
                  <c:v>55.104214998204895</c:v>
                </c:pt>
                <c:pt idx="92" formatCode="0.0000">
                  <c:v>55.09193856144617</c:v>
                </c:pt>
                <c:pt idx="93" formatCode="0.0000">
                  <c:v>55.080161043132009</c:v>
                </c:pt>
                <c:pt idx="94" formatCode="0.0000">
                  <c:v>55.068861725361089</c:v>
                </c:pt>
                <c:pt idx="95" formatCode="0.0000">
                  <c:v>55.058020785028297</c:v>
                </c:pt>
                <c:pt idx="96" formatCode="0.0000">
                  <c:v>55.047619252512519</c:v>
                </c:pt>
                <c:pt idx="97" formatCode="0.0000">
                  <c:v>55.037638972473893</c:v>
                </c:pt>
                <c:pt idx="98" formatCode="0.0000">
                  <c:v>55.028062566638127</c:v>
                </c:pt>
                <c:pt idx="99" formatCode="0.0000">
                  <c:v>55.01887339845338</c:v>
                </c:pt>
                <c:pt idx="100" formatCode="0.0000">
                  <c:v>55.010055539513033</c:v>
                </c:pt>
                <c:pt idx="101" formatCode="0.0000">
                  <c:v>55.001593737644413</c:v>
                </c:pt>
                <c:pt idx="102" formatCode="0.0000">
                  <c:v>54.993473386570138</c:v>
                </c:pt>
                <c:pt idx="103" formatCode="0.0000">
                  <c:v>54.985680497054588</c:v>
                </c:pt>
                <c:pt idx="104" formatCode="0.0000">
                  <c:v>54.978201669453824</c:v>
                </c:pt>
                <c:pt idx="105" formatCode="0.0000">
                  <c:v>54.971024067591983</c:v>
                </c:pt>
                <c:pt idx="106" formatCode="0.0000">
                  <c:v>54.964135393892541</c:v>
                </c:pt>
                <c:pt idx="107" formatCode="0.0000">
                  <c:v>54.957523865696714</c:v>
                </c:pt>
                <c:pt idx="108" formatCode="0.0000">
                  <c:v>54.951178192705861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F-44CD-8DB8-F8D32D96478D}"/>
            </c:ext>
          </c:extLst>
        </c:ser>
        <c:ser>
          <c:idx val="1"/>
          <c:order val="1"/>
          <c:tx>
            <c:strRef>
              <c:f>'Markov Model_b'!$U$11:$U$119</c:f>
              <c:strCache>
                <c:ptCount val="109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29</c:v>
                </c:pt>
                <c:pt idx="5">
                  <c:v>30</c:v>
                </c:pt>
                <c:pt idx="6">
                  <c:v>30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34</c:v>
                </c:pt>
                <c:pt idx="12">
                  <c:v>35</c:v>
                </c:pt>
                <c:pt idx="13">
                  <c:v>35</c:v>
                </c:pt>
                <c:pt idx="14">
                  <c:v>36</c:v>
                </c:pt>
                <c:pt idx="15">
                  <c:v>36</c:v>
                </c:pt>
                <c:pt idx="16">
                  <c:v>37</c:v>
                </c:pt>
                <c:pt idx="17">
                  <c:v>37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39</c:v>
                </c:pt>
                <c:pt idx="22">
                  <c:v>39</c:v>
                </c:pt>
                <c:pt idx="23">
                  <c:v>39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41</c:v>
                </c:pt>
                <c:pt idx="29">
                  <c:v>41</c:v>
                </c:pt>
                <c:pt idx="30">
                  <c:v>41</c:v>
                </c:pt>
                <c:pt idx="31">
                  <c:v>41</c:v>
                </c:pt>
                <c:pt idx="32">
                  <c:v>41</c:v>
                </c:pt>
                <c:pt idx="33">
                  <c:v>42</c:v>
                </c:pt>
                <c:pt idx="34">
                  <c:v>42</c:v>
                </c:pt>
                <c:pt idx="35">
                  <c:v>42</c:v>
                </c:pt>
                <c:pt idx="36">
                  <c:v>42</c:v>
                </c:pt>
                <c:pt idx="37">
                  <c:v>42</c:v>
                </c:pt>
                <c:pt idx="38">
                  <c:v>42</c:v>
                </c:pt>
                <c:pt idx="39">
                  <c:v>42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44</c:v>
                </c:pt>
                <c:pt idx="51">
                  <c:v>44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44</c:v>
                </c:pt>
                <c:pt idx="56">
                  <c:v>44</c:v>
                </c:pt>
                <c:pt idx="57">
                  <c:v>44</c:v>
                </c:pt>
                <c:pt idx="58">
                  <c:v>44</c:v>
                </c:pt>
                <c:pt idx="59">
                  <c:v>44</c:v>
                </c:pt>
                <c:pt idx="60">
                  <c:v>44</c:v>
                </c:pt>
                <c:pt idx="61">
                  <c:v>44</c:v>
                </c:pt>
                <c:pt idx="62">
                  <c:v>44</c:v>
                </c:pt>
                <c:pt idx="63">
                  <c:v>44</c:v>
                </c:pt>
                <c:pt idx="64">
                  <c:v>44</c:v>
                </c:pt>
                <c:pt idx="65">
                  <c:v>44</c:v>
                </c:pt>
                <c:pt idx="66">
                  <c:v>44</c:v>
                </c:pt>
                <c:pt idx="67">
                  <c:v>44</c:v>
                </c:pt>
                <c:pt idx="68">
                  <c:v>44</c:v>
                </c:pt>
                <c:pt idx="69">
                  <c:v>44</c:v>
                </c:pt>
                <c:pt idx="70">
                  <c:v>44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</c:strCache>
            </c:strRef>
          </c:tx>
          <c:spPr>
            <a:pattFill prst="pct60">
              <a:fgClr>
                <a:schemeClr val="tx2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val>
            <c:numRef>
              <c:f>'Markov Model_b'!$H$11:$H$119</c:f>
              <c:numCache>
                <c:formatCode>0</c:formatCode>
                <c:ptCount val="109"/>
                <c:pt idx="0">
                  <c:v>18.799999999999997</c:v>
                </c:pt>
                <c:pt idx="1">
                  <c:v>20.316458052923625</c:v>
                </c:pt>
                <c:pt idx="2">
                  <c:v>21.702956817425299</c:v>
                </c:pt>
                <c:pt idx="3">
                  <c:v>22.973806065216227</c:v>
                </c:pt>
                <c:pt idx="4">
                  <c:v>24.141383154962895</c:v>
                </c:pt>
                <c:pt idx="5">
                  <c:v>25.21643956234373</c:v>
                </c:pt>
                <c:pt idx="6">
                  <c:v>26.208352014813634</c:v>
                </c:pt>
                <c:pt idx="7">
                  <c:v>27.125329392094386</c:v>
                </c:pt>
                <c:pt idx="8">
                  <c:v>27.9745840865566</c:v>
                </c:pt>
                <c:pt idx="9">
                  <c:v>28.76247464148668</c:v>
                </c:pt>
                <c:pt idx="10">
                  <c:v>29.4946250480236</c:v>
                </c:pt>
                <c:pt idx="11">
                  <c:v>30.176024973060361</c:v>
                </c:pt>
                <c:pt idx="12">
                  <c:v>30.811114329868541</c:v>
                </c:pt>
                <c:pt idx="13">
                  <c:v>31.403854931004314</c:v>
                </c:pt>
                <c:pt idx="14">
                  <c:v>31.95779143485321</c:v>
                </c:pt>
                <c:pt idx="15">
                  <c:v>32.476103379769214</c:v>
                </c:pt>
                <c:pt idx="16">
                  <c:v>32.961649768130449</c:v>
                </c:pt>
                <c:pt idx="17">
                  <c:v>33.417007397779265</c:v>
                </c:pt>
                <c:pt idx="18">
                  <c:v>33.84450392574044</c:v>
                </c:pt>
                <c:pt idx="19">
                  <c:v>34.246246477685894</c:v>
                </c:pt>
                <c:pt idx="20">
                  <c:v>34.624146477741036</c:v>
                </c:pt>
                <c:pt idx="21">
                  <c:v>34.979941260231811</c:v>
                </c:pt>
                <c:pt idx="22">
                  <c:v>35.315212932643831</c:v>
                </c:pt>
                <c:pt idx="23">
                  <c:v>35.631404883319554</c:v>
                </c:pt>
                <c:pt idx="24">
                  <c:v>35.929836265036371</c:v>
                </c:pt>
                <c:pt idx="25">
                  <c:v>36.21171473403718</c:v>
                </c:pt>
                <c:pt idx="26">
                  <c:v>36.478147681298921</c:v>
                </c:pt>
                <c:pt idx="27">
                  <c:v>36.730152157202149</c:v>
                </c:pt>
                <c:pt idx="28">
                  <c:v>36.968663661008371</c:v>
                </c:pt>
                <c:pt idx="29">
                  <c:v>37.194543941614235</c:v>
                </c:pt>
                <c:pt idx="30">
                  <c:v>37.408587935087539</c:v>
                </c:pt>
                <c:pt idx="31">
                  <c:v>37.61152994681305</c:v>
                </c:pt>
                <c:pt idx="32">
                  <c:v>37.804049171127041</c:v>
                </c:pt>
                <c:pt idx="33">
                  <c:v>37.986774628642266</c:v>
                </c:pt>
                <c:pt idx="34">
                  <c:v>38.160289590684542</c:v>
                </c:pt>
                <c:pt idx="35">
                  <c:v>38.32513555107078</c:v>
                </c:pt>
                <c:pt idx="36">
                  <c:v>38.481815797601392</c:v>
                </c:pt>
                <c:pt idx="37">
                  <c:v>38.63079862890779</c:v>
                </c:pt>
                <c:pt idx="38">
                  <c:v>38.772520256512351</c:v>
                </c:pt>
                <c:pt idx="39">
                  <c:v>38.907387426979902</c:v>
                </c:pt>
                <c:pt idx="40">
                  <c:v>39.035779794742922</c:v>
                </c:pt>
                <c:pt idx="41">
                  <c:v>39.15805207246779</c:v>
                </c:pt>
                <c:pt idx="42">
                  <c:v>39.274535982609308</c:v>
                </c:pt>
                <c:pt idx="43">
                  <c:v>39.385542031004519</c:v>
                </c:pt>
                <c:pt idx="44">
                  <c:v>39.491361120924104</c:v>
                </c:pt>
                <c:pt idx="45">
                  <c:v>39.592266023877876</c:v>
                </c:pt>
                <c:pt idx="46">
                  <c:v>39.688512721618423</c:v>
                </c:pt>
                <c:pt idx="47">
                  <c:v>39.780341632165126</c:v>
                </c:pt>
                <c:pt idx="48">
                  <c:v>39.86797873124933</c:v>
                </c:pt>
                <c:pt idx="49">
                  <c:v>39.951636579333197</c:v>
                </c:pt>
                <c:pt idx="50">
                  <c:v>40.031515263256352</c:v>
                </c:pt>
                <c:pt idx="51">
                  <c:v>40.107803260596974</c:v>
                </c:pt>
                <c:pt idx="52">
                  <c:v>40.180678233979911</c:v>
                </c:pt>
                <c:pt idx="53">
                  <c:v>40.250307761809488</c:v>
                </c:pt>
                <c:pt idx="54">
                  <c:v>40.316850011236475</c:v>
                </c:pt>
                <c:pt idx="55">
                  <c:v>40.380454358576152</c:v>
                </c:pt>
                <c:pt idx="56">
                  <c:v>40.441261961868257</c:v>
                </c:pt>
                <c:pt idx="57">
                  <c:v>40.499406289802188</c:v>
                </c:pt>
                <c:pt idx="58">
                  <c:v>40.555013610813781</c:v>
                </c:pt>
                <c:pt idx="59">
                  <c:v>40.608203445789485</c:v>
                </c:pt>
                <c:pt idx="60">
                  <c:v>40.659088987481553</c:v>
                </c:pt>
                <c:pt idx="61">
                  <c:v>40.707777489442059</c:v>
                </c:pt>
                <c:pt idx="62">
                  <c:v>40.754370627018218</c:v>
                </c:pt>
                <c:pt idx="63">
                  <c:v>40.798964832713914</c:v>
                </c:pt>
                <c:pt idx="64">
                  <c:v>40.841651608009158</c:v>
                </c:pt>
                <c:pt idx="65">
                  <c:v>40.882517813537689</c:v>
                </c:pt>
                <c:pt idx="66">
                  <c:v>40.921645939350924</c:v>
                </c:pt>
                <c:pt idx="67">
                  <c:v>40.959114356841255</c:v>
                </c:pt>
                <c:pt idx="68">
                  <c:v>40.994997553758211</c:v>
                </c:pt>
                <c:pt idx="69">
                  <c:v>41.029366353624866</c:v>
                </c:pt>
                <c:pt idx="70">
                  <c:v>41.062288120748129</c:v>
                </c:pt>
                <c:pt idx="71">
                  <c:v>41.093826951913719</c:v>
                </c:pt>
                <c:pt idx="72">
                  <c:v>41.124043855763418</c:v>
                </c:pt>
                <c:pt idx="73">
                  <c:v>41.152996920768025</c:v>
                </c:pt>
                <c:pt idx="74">
                  <c:v>41.180741472632782</c:v>
                </c:pt>
                <c:pt idx="75">
                  <c:v>41.2073302219029</c:v>
                </c:pt>
                <c:pt idx="76">
                  <c:v>41.232813402473568</c:v>
                </c:pt>
                <c:pt idx="77">
                  <c:v>41.257238901651604</c:v>
                </c:pt>
                <c:pt idx="78">
                  <c:v>41.280652382363797</c:v>
                </c:pt>
                <c:pt idx="79">
                  <c:v>41.303097398059471</c:v>
                </c:pt>
                <c:pt idx="80">
                  <c:v>41.324615500811419</c:v>
                </c:pt>
                <c:pt idx="81">
                  <c:v>41.345246343079985</c:v>
                </c:pt>
                <c:pt idx="82">
                  <c:v>41.365027773568976</c:v>
                </c:pt>
                <c:pt idx="83">
                  <c:v>41.383995927568925</c:v>
                </c:pt>
                <c:pt idx="84">
                  <c:v>41.40218531215347</c:v>
                </c:pt>
                <c:pt idx="85">
                  <c:v>41.419628886566599</c:v>
                </c:pt>
                <c:pt idx="86">
                  <c:v>41.43635813811354</c:v>
                </c:pt>
                <c:pt idx="87">
                  <c:v>41.452403153844713</c:v>
                </c:pt>
                <c:pt idx="88">
                  <c:v>41.467792688301067</c:v>
                </c:pt>
                <c:pt idx="89">
                  <c:v>41.48255422756943</c:v>
                </c:pt>
                <c:pt idx="90">
                  <c:v>41.496714049878712</c:v>
                </c:pt>
                <c:pt idx="91">
                  <c:v>41.5102972829512</c:v>
                </c:pt>
                <c:pt idx="92">
                  <c:v>41.523327958308172</c:v>
                </c:pt>
                <c:pt idx="93">
                  <c:v>41.535829062714839</c:v>
                </c:pt>
                <c:pt idx="94">
                  <c:v>41.547822586937045</c:v>
                </c:pt>
                <c:pt idx="95">
                  <c:v>41.559329571970025</c:v>
                </c:pt>
                <c:pt idx="96">
                  <c:v>41.570370152888735</c:v>
                </c:pt>
                <c:pt idx="97">
                  <c:v>41.580963600459143</c:v>
                </c:pt>
                <c:pt idx="98">
                  <c:v>41.591128360640369</c:v>
                </c:pt>
                <c:pt idx="99">
                  <c:v>41.600882092099212</c:v>
                </c:pt>
                <c:pt idx="100">
                  <c:v>41.610241701850278</c:v>
                </c:pt>
                <c:pt idx="101">
                  <c:v>41.619223379127824</c:v>
                </c:pt>
                <c:pt idx="102">
                  <c:v>41.627842627588365</c:v>
                </c:pt>
                <c:pt idx="103">
                  <c:v>41.636114295936892</c:v>
                </c:pt>
                <c:pt idx="104">
                  <c:v>41.644052607063458</c:v>
                </c:pt>
                <c:pt idx="105">
                  <c:v>41.651671185771711</c:v>
                </c:pt>
                <c:pt idx="106">
                  <c:v>41.658983085175564</c:v>
                </c:pt>
                <c:pt idx="107">
                  <c:v>41.666000811835708</c:v>
                </c:pt>
                <c:pt idx="108">
                  <c:v>41.672736349703122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F-44CD-8DB8-F8D32D964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386616"/>
        <c:axId val="488141848"/>
      </c:areaChart>
      <c:catAx>
        <c:axId val="643386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Model Cycle</a:t>
                </a:r>
                <a:r>
                  <a:rPr lang="en-US" sz="1200" b="1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  <a:endParaRPr lang="en-US" sz="1200" b="1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41848"/>
        <c:crosses val="autoZero"/>
        <c:auto val="1"/>
        <c:lblAlgn val="ctr"/>
        <c:lblOffset val="100"/>
        <c:tickMarkSkip val="1"/>
        <c:noMultiLvlLbl val="0"/>
      </c:catAx>
      <c:valAx>
        <c:axId val="48814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Percentage of Cohort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38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Letermovir</a:t>
            </a: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Prophylaxis - Health Status over Time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spPr>
            <a:pattFill prst="openDmnd">
              <a:fgClr>
                <a:schemeClr val="tx2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val>
            <c:numRef>
              <c:f>'Markov Model_b'!$G$10:$G$119</c:f>
              <c:numCache>
                <c:formatCode>0.00000</c:formatCode>
                <c:ptCount val="110"/>
                <c:pt idx="0" formatCode="General">
                  <c:v>100</c:v>
                </c:pt>
                <c:pt idx="1">
                  <c:v>81.2</c:v>
                </c:pt>
                <c:pt idx="2">
                  <c:v>79.683541947076378</c:v>
                </c:pt>
                <c:pt idx="3">
                  <c:v>78.297043182574697</c:v>
                </c:pt>
                <c:pt idx="4">
                  <c:v>77.026193934783777</c:v>
                </c:pt>
                <c:pt idx="5">
                  <c:v>75.858616845037105</c:v>
                </c:pt>
                <c:pt idx="6">
                  <c:v>74.783560437656263</c:v>
                </c:pt>
                <c:pt idx="7">
                  <c:v>73.791647985186358</c:v>
                </c:pt>
                <c:pt idx="8">
                  <c:v>72.874670607905614</c:v>
                </c:pt>
                <c:pt idx="9">
                  <c:v>72.025415913443396</c:v>
                </c:pt>
                <c:pt idx="10">
                  <c:v>71.237525358513324</c:v>
                </c:pt>
                <c:pt idx="11">
                  <c:v>70.505374951976393</c:v>
                </c:pt>
                <c:pt idx="12">
                  <c:v>69.823975026939635</c:v>
                </c:pt>
                <c:pt idx="13">
                  <c:v>69.188885670131455</c:v>
                </c:pt>
                <c:pt idx="14">
                  <c:v>68.596145068995682</c:v>
                </c:pt>
                <c:pt idx="15">
                  <c:v>68.042208565146794</c:v>
                </c:pt>
                <c:pt idx="16">
                  <c:v>67.523896620230786</c:v>
                </c:pt>
                <c:pt idx="17">
                  <c:v>67.038350231869543</c:v>
                </c:pt>
                <c:pt idx="18">
                  <c:v>66.582992602220742</c:v>
                </c:pt>
                <c:pt idx="19">
                  <c:v>66.15549607425956</c:v>
                </c:pt>
                <c:pt idx="20">
                  <c:v>65.753753522314099</c:v>
                </c:pt>
                <c:pt idx="21">
                  <c:v>65.375853522258964</c:v>
                </c:pt>
                <c:pt idx="22">
                  <c:v>65.020058739768189</c:v>
                </c:pt>
                <c:pt idx="23">
                  <c:v>64.684787067356169</c:v>
                </c:pt>
                <c:pt idx="24">
                  <c:v>64.368595116680439</c:v>
                </c:pt>
                <c:pt idx="25">
                  <c:v>64.070163734963629</c:v>
                </c:pt>
                <c:pt idx="26">
                  <c:v>63.78828526596282</c:v>
                </c:pt>
                <c:pt idx="27">
                  <c:v>63.521852318701079</c:v>
                </c:pt>
                <c:pt idx="28">
                  <c:v>63.269847842797851</c:v>
                </c:pt>
                <c:pt idx="29">
                  <c:v>63.031336338991629</c:v>
                </c:pt>
                <c:pt idx="30">
                  <c:v>62.805456058385765</c:v>
                </c:pt>
                <c:pt idx="31">
                  <c:v>62.591412064912461</c:v>
                </c:pt>
                <c:pt idx="32">
                  <c:v>62.38847005318695</c:v>
                </c:pt>
                <c:pt idx="33">
                  <c:v>62.195950828872959</c:v>
                </c:pt>
                <c:pt idx="34">
                  <c:v>62.013225371357734</c:v>
                </c:pt>
                <c:pt idx="35">
                  <c:v>61.839710409315458</c:v>
                </c:pt>
                <c:pt idx="36">
                  <c:v>61.67486444892922</c:v>
                </c:pt>
                <c:pt idx="37">
                  <c:v>61.518184202398608</c:v>
                </c:pt>
                <c:pt idx="38">
                  <c:v>61.36920137109221</c:v>
                </c:pt>
                <c:pt idx="39">
                  <c:v>61.227479743487649</c:v>
                </c:pt>
                <c:pt idx="40">
                  <c:v>61.092612573020098</c:v>
                </c:pt>
                <c:pt idx="41">
                  <c:v>60.964220205257078</c:v>
                </c:pt>
                <c:pt idx="42">
                  <c:v>60.84194792753221</c:v>
                </c:pt>
                <c:pt idx="43">
                  <c:v>60.725464017390692</c:v>
                </c:pt>
                <c:pt idx="44">
                  <c:v>60.614457968995481</c:v>
                </c:pt>
                <c:pt idx="45">
                  <c:v>60.508638879075896</c:v>
                </c:pt>
                <c:pt idx="46">
                  <c:v>60.407733976122124</c:v>
                </c:pt>
                <c:pt idx="47">
                  <c:v>60.311487278381577</c:v>
                </c:pt>
                <c:pt idx="48">
                  <c:v>60.219658367834874</c:v>
                </c:pt>
                <c:pt idx="49">
                  <c:v>60.13202126875067</c:v>
                </c:pt>
                <c:pt idx="50">
                  <c:v>60.048363420666803</c:v>
                </c:pt>
                <c:pt idx="51">
                  <c:v>59.968484736743648</c:v>
                </c:pt>
                <c:pt idx="52">
                  <c:v>59.892196739403026</c:v>
                </c:pt>
                <c:pt idx="53">
                  <c:v>59.819321766020089</c:v>
                </c:pt>
                <c:pt idx="54">
                  <c:v>59.749692238190512</c:v>
                </c:pt>
                <c:pt idx="55">
                  <c:v>59.683149988763525</c:v>
                </c:pt>
                <c:pt idx="56">
                  <c:v>59.619545641423848</c:v>
                </c:pt>
                <c:pt idx="57">
                  <c:v>59.558738038131743</c:v>
                </c:pt>
                <c:pt idx="58">
                  <c:v>59.500593710197812</c:v>
                </c:pt>
                <c:pt idx="59">
                  <c:v>59.444986389186219</c:v>
                </c:pt>
                <c:pt idx="60">
                  <c:v>59.391796554210515</c:v>
                </c:pt>
                <c:pt idx="61">
                  <c:v>59.340911012518447</c:v>
                </c:pt>
                <c:pt idx="62">
                  <c:v>59.292222510557941</c:v>
                </c:pt>
                <c:pt idx="63">
                  <c:v>59.245629372981782</c:v>
                </c:pt>
                <c:pt idx="64">
                  <c:v>59.201035167286086</c:v>
                </c:pt>
                <c:pt idx="65">
                  <c:v>59.158348391990842</c:v>
                </c:pt>
                <c:pt idx="66">
                  <c:v>59.117482186462311</c:v>
                </c:pt>
                <c:pt idx="67">
                  <c:v>59.078354060649076</c:v>
                </c:pt>
                <c:pt idx="68">
                  <c:v>59.040885643158745</c:v>
                </c:pt>
                <c:pt idx="69">
                  <c:v>59.005002446241789</c:v>
                </c:pt>
                <c:pt idx="70">
                  <c:v>58.970633646375134</c:v>
                </c:pt>
                <c:pt idx="71">
                  <c:v>58.937711879251871</c:v>
                </c:pt>
                <c:pt idx="72">
                  <c:v>58.906173048086281</c:v>
                </c:pt>
                <c:pt idx="73">
                  <c:v>58.875956144236582</c:v>
                </c:pt>
                <c:pt idx="74">
                  <c:v>58.847003079231975</c:v>
                </c:pt>
                <c:pt idx="75">
                  <c:v>58.819258527367218</c:v>
                </c:pt>
                <c:pt idx="76">
                  <c:v>58.7926697780971</c:v>
                </c:pt>
                <c:pt idx="77">
                  <c:v>58.767186597526432</c:v>
                </c:pt>
                <c:pt idx="78">
                  <c:v>58.742761098348396</c:v>
                </c:pt>
                <c:pt idx="79">
                  <c:v>58.719347617636203</c:v>
                </c:pt>
                <c:pt idx="80">
                  <c:v>58.696902601940529</c:v>
                </c:pt>
                <c:pt idx="81">
                  <c:v>58.675384499188581</c:v>
                </c:pt>
                <c:pt idx="82">
                  <c:v>58.654753656920015</c:v>
                </c:pt>
                <c:pt idx="83">
                  <c:v>58.634972226431024</c:v>
                </c:pt>
                <c:pt idx="84">
                  <c:v>58.616004072431075</c:v>
                </c:pt>
                <c:pt idx="85">
                  <c:v>58.59781468784653</c:v>
                </c:pt>
                <c:pt idx="86">
                  <c:v>58.580371113433401</c:v>
                </c:pt>
                <c:pt idx="87">
                  <c:v>58.56364186188646</c:v>
                </c:pt>
                <c:pt idx="88">
                  <c:v>58.547596846155287</c:v>
                </c:pt>
                <c:pt idx="89">
                  <c:v>58.532207311698933</c:v>
                </c:pt>
                <c:pt idx="90">
                  <c:v>58.51744577243057</c:v>
                </c:pt>
                <c:pt idx="91">
                  <c:v>58.503285950121288</c:v>
                </c:pt>
                <c:pt idx="92">
                  <c:v>58.4897027170488</c:v>
                </c:pt>
                <c:pt idx="93">
                  <c:v>58.476672041691828</c:v>
                </c:pt>
                <c:pt idx="94">
                  <c:v>58.464170937285161</c:v>
                </c:pt>
                <c:pt idx="95">
                  <c:v>58.452177413062955</c:v>
                </c:pt>
                <c:pt idx="96">
                  <c:v>58.440670428029975</c:v>
                </c:pt>
                <c:pt idx="97">
                  <c:v>58.429629847111265</c:v>
                </c:pt>
                <c:pt idx="98">
                  <c:v>58.419036399540857</c:v>
                </c:pt>
                <c:pt idx="99">
                  <c:v>58.408871639359631</c:v>
                </c:pt>
                <c:pt idx="100">
                  <c:v>58.399117907900788</c:v>
                </c:pt>
                <c:pt idx="101">
                  <c:v>58.389758298149722</c:v>
                </c:pt>
                <c:pt idx="102">
                  <c:v>58.380776620872176</c:v>
                </c:pt>
                <c:pt idx="103">
                  <c:v>58.372157372411635</c:v>
                </c:pt>
                <c:pt idx="104">
                  <c:v>58.363885704063108</c:v>
                </c:pt>
                <c:pt idx="105">
                  <c:v>58.355947392936542</c:v>
                </c:pt>
                <c:pt idx="106">
                  <c:v>58.348328814228289</c:v>
                </c:pt>
                <c:pt idx="107">
                  <c:v>58.341016914824436</c:v>
                </c:pt>
                <c:pt idx="108">
                  <c:v>58.333999188164292</c:v>
                </c:pt>
                <c:pt idx="109">
                  <c:v>58.327263650296878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CD-4DE3-8DEB-1688A7DCBF69}"/>
            </c:ext>
          </c:extLst>
        </c:ser>
        <c:ser>
          <c:idx val="1"/>
          <c:order val="1"/>
          <c:spPr>
            <a:pattFill prst="pct60">
              <a:fgClr>
                <a:schemeClr val="tx2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val>
            <c:numRef>
              <c:f>'Markov Model_b'!$H$11:$H$119</c:f>
              <c:numCache>
                <c:formatCode>0</c:formatCode>
                <c:ptCount val="109"/>
                <c:pt idx="0">
                  <c:v>18.799999999999997</c:v>
                </c:pt>
                <c:pt idx="1">
                  <c:v>20.316458052923625</c:v>
                </c:pt>
                <c:pt idx="2">
                  <c:v>21.702956817425299</c:v>
                </c:pt>
                <c:pt idx="3">
                  <c:v>22.973806065216227</c:v>
                </c:pt>
                <c:pt idx="4">
                  <c:v>24.141383154962895</c:v>
                </c:pt>
                <c:pt idx="5">
                  <c:v>25.21643956234373</c:v>
                </c:pt>
                <c:pt idx="6">
                  <c:v>26.208352014813634</c:v>
                </c:pt>
                <c:pt idx="7">
                  <c:v>27.125329392094386</c:v>
                </c:pt>
                <c:pt idx="8">
                  <c:v>27.9745840865566</c:v>
                </c:pt>
                <c:pt idx="9">
                  <c:v>28.76247464148668</c:v>
                </c:pt>
                <c:pt idx="10">
                  <c:v>29.4946250480236</c:v>
                </c:pt>
                <c:pt idx="11">
                  <c:v>30.176024973060361</c:v>
                </c:pt>
                <c:pt idx="12">
                  <c:v>30.811114329868541</c:v>
                </c:pt>
                <c:pt idx="13">
                  <c:v>31.403854931004314</c:v>
                </c:pt>
                <c:pt idx="14">
                  <c:v>31.95779143485321</c:v>
                </c:pt>
                <c:pt idx="15">
                  <c:v>32.476103379769214</c:v>
                </c:pt>
                <c:pt idx="16">
                  <c:v>32.961649768130449</c:v>
                </c:pt>
                <c:pt idx="17">
                  <c:v>33.417007397779265</c:v>
                </c:pt>
                <c:pt idx="18">
                  <c:v>33.84450392574044</c:v>
                </c:pt>
                <c:pt idx="19">
                  <c:v>34.246246477685894</c:v>
                </c:pt>
                <c:pt idx="20">
                  <c:v>34.624146477741036</c:v>
                </c:pt>
                <c:pt idx="21">
                  <c:v>34.979941260231811</c:v>
                </c:pt>
                <c:pt idx="22">
                  <c:v>35.315212932643831</c:v>
                </c:pt>
                <c:pt idx="23">
                  <c:v>35.631404883319554</c:v>
                </c:pt>
                <c:pt idx="24">
                  <c:v>35.929836265036371</c:v>
                </c:pt>
                <c:pt idx="25">
                  <c:v>36.21171473403718</c:v>
                </c:pt>
                <c:pt idx="26">
                  <c:v>36.478147681298921</c:v>
                </c:pt>
                <c:pt idx="27">
                  <c:v>36.730152157202149</c:v>
                </c:pt>
                <c:pt idx="28">
                  <c:v>36.968663661008371</c:v>
                </c:pt>
                <c:pt idx="29">
                  <c:v>37.194543941614235</c:v>
                </c:pt>
                <c:pt idx="30">
                  <c:v>37.408587935087539</c:v>
                </c:pt>
                <c:pt idx="31">
                  <c:v>37.61152994681305</c:v>
                </c:pt>
                <c:pt idx="32">
                  <c:v>37.804049171127041</c:v>
                </c:pt>
                <c:pt idx="33">
                  <c:v>37.986774628642266</c:v>
                </c:pt>
                <c:pt idx="34">
                  <c:v>38.160289590684542</c:v>
                </c:pt>
                <c:pt idx="35">
                  <c:v>38.32513555107078</c:v>
                </c:pt>
                <c:pt idx="36">
                  <c:v>38.481815797601392</c:v>
                </c:pt>
                <c:pt idx="37">
                  <c:v>38.63079862890779</c:v>
                </c:pt>
                <c:pt idx="38">
                  <c:v>38.772520256512351</c:v>
                </c:pt>
                <c:pt idx="39">
                  <c:v>38.907387426979902</c:v>
                </c:pt>
                <c:pt idx="40">
                  <c:v>39.035779794742922</c:v>
                </c:pt>
                <c:pt idx="41">
                  <c:v>39.15805207246779</c:v>
                </c:pt>
                <c:pt idx="42">
                  <c:v>39.274535982609308</c:v>
                </c:pt>
                <c:pt idx="43">
                  <c:v>39.385542031004519</c:v>
                </c:pt>
                <c:pt idx="44">
                  <c:v>39.491361120924104</c:v>
                </c:pt>
                <c:pt idx="45">
                  <c:v>39.592266023877876</c:v>
                </c:pt>
                <c:pt idx="46">
                  <c:v>39.688512721618423</c:v>
                </c:pt>
                <c:pt idx="47">
                  <c:v>39.780341632165126</c:v>
                </c:pt>
                <c:pt idx="48">
                  <c:v>39.86797873124933</c:v>
                </c:pt>
                <c:pt idx="49">
                  <c:v>39.951636579333197</c:v>
                </c:pt>
                <c:pt idx="50">
                  <c:v>40.031515263256352</c:v>
                </c:pt>
                <c:pt idx="51">
                  <c:v>40.107803260596974</c:v>
                </c:pt>
                <c:pt idx="52">
                  <c:v>40.180678233979911</c:v>
                </c:pt>
                <c:pt idx="53">
                  <c:v>40.250307761809488</c:v>
                </c:pt>
                <c:pt idx="54">
                  <c:v>40.316850011236475</c:v>
                </c:pt>
                <c:pt idx="55">
                  <c:v>40.380454358576152</c:v>
                </c:pt>
                <c:pt idx="56">
                  <c:v>40.441261961868257</c:v>
                </c:pt>
                <c:pt idx="57">
                  <c:v>40.499406289802188</c:v>
                </c:pt>
                <c:pt idx="58">
                  <c:v>40.555013610813781</c:v>
                </c:pt>
                <c:pt idx="59">
                  <c:v>40.608203445789485</c:v>
                </c:pt>
                <c:pt idx="60">
                  <c:v>40.659088987481553</c:v>
                </c:pt>
                <c:pt idx="61">
                  <c:v>40.707777489442059</c:v>
                </c:pt>
                <c:pt idx="62">
                  <c:v>40.754370627018218</c:v>
                </c:pt>
                <c:pt idx="63">
                  <c:v>40.798964832713914</c:v>
                </c:pt>
                <c:pt idx="64">
                  <c:v>40.841651608009158</c:v>
                </c:pt>
                <c:pt idx="65">
                  <c:v>40.882517813537689</c:v>
                </c:pt>
                <c:pt idx="66">
                  <c:v>40.921645939350924</c:v>
                </c:pt>
                <c:pt idx="67">
                  <c:v>40.959114356841255</c:v>
                </c:pt>
                <c:pt idx="68">
                  <c:v>40.994997553758211</c:v>
                </c:pt>
                <c:pt idx="69">
                  <c:v>41.029366353624866</c:v>
                </c:pt>
                <c:pt idx="70">
                  <c:v>41.062288120748129</c:v>
                </c:pt>
                <c:pt idx="71">
                  <c:v>41.093826951913719</c:v>
                </c:pt>
                <c:pt idx="72">
                  <c:v>41.124043855763418</c:v>
                </c:pt>
                <c:pt idx="73">
                  <c:v>41.152996920768025</c:v>
                </c:pt>
                <c:pt idx="74">
                  <c:v>41.180741472632782</c:v>
                </c:pt>
                <c:pt idx="75">
                  <c:v>41.2073302219029</c:v>
                </c:pt>
                <c:pt idx="76">
                  <c:v>41.232813402473568</c:v>
                </c:pt>
                <c:pt idx="77">
                  <c:v>41.257238901651604</c:v>
                </c:pt>
                <c:pt idx="78">
                  <c:v>41.280652382363797</c:v>
                </c:pt>
                <c:pt idx="79">
                  <c:v>41.303097398059471</c:v>
                </c:pt>
                <c:pt idx="80">
                  <c:v>41.324615500811419</c:v>
                </c:pt>
                <c:pt idx="81">
                  <c:v>41.345246343079985</c:v>
                </c:pt>
                <c:pt idx="82">
                  <c:v>41.365027773568976</c:v>
                </c:pt>
                <c:pt idx="83">
                  <c:v>41.383995927568925</c:v>
                </c:pt>
                <c:pt idx="84">
                  <c:v>41.40218531215347</c:v>
                </c:pt>
                <c:pt idx="85">
                  <c:v>41.419628886566599</c:v>
                </c:pt>
                <c:pt idx="86">
                  <c:v>41.43635813811354</c:v>
                </c:pt>
                <c:pt idx="87">
                  <c:v>41.452403153844713</c:v>
                </c:pt>
                <c:pt idx="88">
                  <c:v>41.467792688301067</c:v>
                </c:pt>
                <c:pt idx="89">
                  <c:v>41.48255422756943</c:v>
                </c:pt>
                <c:pt idx="90">
                  <c:v>41.496714049878712</c:v>
                </c:pt>
                <c:pt idx="91">
                  <c:v>41.5102972829512</c:v>
                </c:pt>
                <c:pt idx="92">
                  <c:v>41.523327958308172</c:v>
                </c:pt>
                <c:pt idx="93">
                  <c:v>41.535829062714839</c:v>
                </c:pt>
                <c:pt idx="94">
                  <c:v>41.547822586937045</c:v>
                </c:pt>
                <c:pt idx="95">
                  <c:v>41.559329571970025</c:v>
                </c:pt>
                <c:pt idx="96">
                  <c:v>41.570370152888735</c:v>
                </c:pt>
                <c:pt idx="97">
                  <c:v>41.580963600459143</c:v>
                </c:pt>
                <c:pt idx="98">
                  <c:v>41.591128360640369</c:v>
                </c:pt>
                <c:pt idx="99">
                  <c:v>41.600882092099212</c:v>
                </c:pt>
                <c:pt idx="100">
                  <c:v>41.610241701850278</c:v>
                </c:pt>
                <c:pt idx="101">
                  <c:v>41.619223379127824</c:v>
                </c:pt>
                <c:pt idx="102">
                  <c:v>41.627842627588365</c:v>
                </c:pt>
                <c:pt idx="103">
                  <c:v>41.636114295936892</c:v>
                </c:pt>
                <c:pt idx="104">
                  <c:v>41.644052607063458</c:v>
                </c:pt>
                <c:pt idx="105">
                  <c:v>41.651671185771711</c:v>
                </c:pt>
                <c:pt idx="106">
                  <c:v>41.658983085175564</c:v>
                </c:pt>
                <c:pt idx="107">
                  <c:v>41.666000811835708</c:v>
                </c:pt>
                <c:pt idx="108">
                  <c:v>41.672736349703122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CD-4DE3-8DEB-1688A7DCB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386616"/>
        <c:axId val="488141848"/>
      </c:areaChart>
      <c:catAx>
        <c:axId val="643386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Model Cycle</a:t>
                </a:r>
                <a:r>
                  <a:rPr lang="en-US" sz="1200" b="1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  <a:endParaRPr lang="en-US" sz="1200" b="1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41848"/>
        <c:crosses val="autoZero"/>
        <c:auto val="1"/>
        <c:lblAlgn val="ctr"/>
        <c:lblOffset val="100"/>
        <c:tickMarkSkip val="1"/>
        <c:noMultiLvlLbl val="0"/>
      </c:catAx>
      <c:valAx>
        <c:axId val="48814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Percentage of Cohort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38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Estimated</a:t>
            </a:r>
            <a:r>
              <a:rPr lang="en-US" sz="1600" b="1" baseline="0">
                <a:solidFill>
                  <a:sysClr val="windowText" lastClr="000000"/>
                </a:solidFill>
              </a:rPr>
              <a:t> Survival Curves: Letermovir vs PET-Alone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'Markov Model_b (2)'!$P$7</c:f>
              <c:strCache>
                <c:ptCount val="1"/>
                <c:pt idx="0">
                  <c:v>PET Only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'Markov Model_b (2)'!$AC$23:$AC$400</c:f>
              <c:numCache>
                <c:formatCode>General</c:formatCode>
                <c:ptCount val="378"/>
                <c:pt idx="0">
                  <c:v>0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54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58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64</c:v>
                </c:pt>
                <c:pt idx="54">
                  <c:v>65</c:v>
                </c:pt>
                <c:pt idx="55">
                  <c:v>66</c:v>
                </c:pt>
                <c:pt idx="56">
                  <c:v>67</c:v>
                </c:pt>
                <c:pt idx="57">
                  <c:v>68</c:v>
                </c:pt>
                <c:pt idx="58">
                  <c:v>69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78</c:v>
                </c:pt>
                <c:pt idx="68">
                  <c:v>79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83</c:v>
                </c:pt>
                <c:pt idx="73">
                  <c:v>84</c:v>
                </c:pt>
                <c:pt idx="74">
                  <c:v>85</c:v>
                </c:pt>
                <c:pt idx="75">
                  <c:v>86</c:v>
                </c:pt>
                <c:pt idx="76">
                  <c:v>87</c:v>
                </c:pt>
                <c:pt idx="77">
                  <c:v>88</c:v>
                </c:pt>
                <c:pt idx="78">
                  <c:v>89</c:v>
                </c:pt>
                <c:pt idx="79">
                  <c:v>90</c:v>
                </c:pt>
                <c:pt idx="80">
                  <c:v>91</c:v>
                </c:pt>
                <c:pt idx="81">
                  <c:v>92</c:v>
                </c:pt>
                <c:pt idx="82">
                  <c:v>93</c:v>
                </c:pt>
                <c:pt idx="83">
                  <c:v>94</c:v>
                </c:pt>
                <c:pt idx="84">
                  <c:v>95</c:v>
                </c:pt>
                <c:pt idx="85">
                  <c:v>96</c:v>
                </c:pt>
                <c:pt idx="86">
                  <c:v>97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  <c:pt idx="90">
                  <c:v>101</c:v>
                </c:pt>
                <c:pt idx="91">
                  <c:v>102</c:v>
                </c:pt>
                <c:pt idx="92">
                  <c:v>103</c:v>
                </c:pt>
                <c:pt idx="93">
                  <c:v>104</c:v>
                </c:pt>
                <c:pt idx="94">
                  <c:v>105</c:v>
                </c:pt>
                <c:pt idx="95">
                  <c:v>106</c:v>
                </c:pt>
                <c:pt idx="96">
                  <c:v>107</c:v>
                </c:pt>
                <c:pt idx="97">
                  <c:v>108</c:v>
                </c:pt>
                <c:pt idx="98">
                  <c:v>109</c:v>
                </c:pt>
                <c:pt idx="99">
                  <c:v>110</c:v>
                </c:pt>
                <c:pt idx="100">
                  <c:v>111</c:v>
                </c:pt>
                <c:pt idx="101">
                  <c:v>112</c:v>
                </c:pt>
                <c:pt idx="102">
                  <c:v>113</c:v>
                </c:pt>
                <c:pt idx="103">
                  <c:v>114</c:v>
                </c:pt>
                <c:pt idx="104">
                  <c:v>115</c:v>
                </c:pt>
                <c:pt idx="105">
                  <c:v>116</c:v>
                </c:pt>
                <c:pt idx="106">
                  <c:v>117</c:v>
                </c:pt>
                <c:pt idx="107">
                  <c:v>118</c:v>
                </c:pt>
                <c:pt idx="108">
                  <c:v>119</c:v>
                </c:pt>
                <c:pt idx="109">
                  <c:v>120</c:v>
                </c:pt>
                <c:pt idx="110">
                  <c:v>121</c:v>
                </c:pt>
                <c:pt idx="111">
                  <c:v>122</c:v>
                </c:pt>
                <c:pt idx="112">
                  <c:v>123</c:v>
                </c:pt>
                <c:pt idx="113">
                  <c:v>124</c:v>
                </c:pt>
                <c:pt idx="114">
                  <c:v>125</c:v>
                </c:pt>
                <c:pt idx="115">
                  <c:v>126</c:v>
                </c:pt>
                <c:pt idx="116">
                  <c:v>127</c:v>
                </c:pt>
                <c:pt idx="117">
                  <c:v>128</c:v>
                </c:pt>
                <c:pt idx="118">
                  <c:v>129</c:v>
                </c:pt>
                <c:pt idx="119">
                  <c:v>130</c:v>
                </c:pt>
                <c:pt idx="120">
                  <c:v>131</c:v>
                </c:pt>
                <c:pt idx="121">
                  <c:v>132</c:v>
                </c:pt>
                <c:pt idx="122">
                  <c:v>133</c:v>
                </c:pt>
                <c:pt idx="123">
                  <c:v>134</c:v>
                </c:pt>
                <c:pt idx="124">
                  <c:v>135</c:v>
                </c:pt>
                <c:pt idx="125">
                  <c:v>136</c:v>
                </c:pt>
                <c:pt idx="126">
                  <c:v>137</c:v>
                </c:pt>
                <c:pt idx="127">
                  <c:v>138</c:v>
                </c:pt>
                <c:pt idx="128">
                  <c:v>139</c:v>
                </c:pt>
                <c:pt idx="129">
                  <c:v>140</c:v>
                </c:pt>
                <c:pt idx="130">
                  <c:v>141</c:v>
                </c:pt>
                <c:pt idx="131">
                  <c:v>142</c:v>
                </c:pt>
                <c:pt idx="132">
                  <c:v>143</c:v>
                </c:pt>
                <c:pt idx="133">
                  <c:v>144</c:v>
                </c:pt>
                <c:pt idx="134">
                  <c:v>145</c:v>
                </c:pt>
                <c:pt idx="135">
                  <c:v>146</c:v>
                </c:pt>
                <c:pt idx="136">
                  <c:v>147</c:v>
                </c:pt>
                <c:pt idx="137">
                  <c:v>148</c:v>
                </c:pt>
                <c:pt idx="138">
                  <c:v>149</c:v>
                </c:pt>
                <c:pt idx="139">
                  <c:v>150</c:v>
                </c:pt>
                <c:pt idx="140">
                  <c:v>151</c:v>
                </c:pt>
                <c:pt idx="141">
                  <c:v>152</c:v>
                </c:pt>
                <c:pt idx="142">
                  <c:v>153</c:v>
                </c:pt>
                <c:pt idx="143">
                  <c:v>154</c:v>
                </c:pt>
                <c:pt idx="144">
                  <c:v>155</c:v>
                </c:pt>
                <c:pt idx="145">
                  <c:v>156</c:v>
                </c:pt>
                <c:pt idx="146">
                  <c:v>157</c:v>
                </c:pt>
                <c:pt idx="147">
                  <c:v>158</c:v>
                </c:pt>
                <c:pt idx="148">
                  <c:v>159</c:v>
                </c:pt>
                <c:pt idx="149">
                  <c:v>160</c:v>
                </c:pt>
                <c:pt idx="150">
                  <c:v>161</c:v>
                </c:pt>
                <c:pt idx="151">
                  <c:v>162</c:v>
                </c:pt>
                <c:pt idx="152">
                  <c:v>163</c:v>
                </c:pt>
                <c:pt idx="153">
                  <c:v>164</c:v>
                </c:pt>
                <c:pt idx="154">
                  <c:v>165</c:v>
                </c:pt>
                <c:pt idx="155">
                  <c:v>166</c:v>
                </c:pt>
                <c:pt idx="156">
                  <c:v>167</c:v>
                </c:pt>
                <c:pt idx="157">
                  <c:v>168</c:v>
                </c:pt>
                <c:pt idx="158">
                  <c:v>169</c:v>
                </c:pt>
                <c:pt idx="159">
                  <c:v>170</c:v>
                </c:pt>
                <c:pt idx="160">
                  <c:v>171</c:v>
                </c:pt>
                <c:pt idx="161">
                  <c:v>172</c:v>
                </c:pt>
                <c:pt idx="162">
                  <c:v>173</c:v>
                </c:pt>
                <c:pt idx="163">
                  <c:v>174</c:v>
                </c:pt>
                <c:pt idx="164">
                  <c:v>175</c:v>
                </c:pt>
                <c:pt idx="165">
                  <c:v>176</c:v>
                </c:pt>
                <c:pt idx="166">
                  <c:v>177</c:v>
                </c:pt>
                <c:pt idx="167">
                  <c:v>178</c:v>
                </c:pt>
                <c:pt idx="168">
                  <c:v>179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183</c:v>
                </c:pt>
                <c:pt idx="173">
                  <c:v>184</c:v>
                </c:pt>
                <c:pt idx="174">
                  <c:v>185</c:v>
                </c:pt>
                <c:pt idx="175">
                  <c:v>186</c:v>
                </c:pt>
                <c:pt idx="176">
                  <c:v>187</c:v>
                </c:pt>
                <c:pt idx="177">
                  <c:v>188</c:v>
                </c:pt>
                <c:pt idx="178">
                  <c:v>189</c:v>
                </c:pt>
                <c:pt idx="179">
                  <c:v>190</c:v>
                </c:pt>
                <c:pt idx="180">
                  <c:v>191</c:v>
                </c:pt>
                <c:pt idx="181">
                  <c:v>192</c:v>
                </c:pt>
                <c:pt idx="182">
                  <c:v>193</c:v>
                </c:pt>
                <c:pt idx="183">
                  <c:v>194</c:v>
                </c:pt>
                <c:pt idx="184">
                  <c:v>195</c:v>
                </c:pt>
                <c:pt idx="185">
                  <c:v>196</c:v>
                </c:pt>
                <c:pt idx="186">
                  <c:v>197</c:v>
                </c:pt>
                <c:pt idx="187">
                  <c:v>198</c:v>
                </c:pt>
                <c:pt idx="188">
                  <c:v>199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203</c:v>
                </c:pt>
                <c:pt idx="193">
                  <c:v>204</c:v>
                </c:pt>
                <c:pt idx="194">
                  <c:v>205</c:v>
                </c:pt>
                <c:pt idx="195">
                  <c:v>206</c:v>
                </c:pt>
                <c:pt idx="196">
                  <c:v>207</c:v>
                </c:pt>
                <c:pt idx="197">
                  <c:v>208</c:v>
                </c:pt>
                <c:pt idx="198">
                  <c:v>209</c:v>
                </c:pt>
                <c:pt idx="199">
                  <c:v>210</c:v>
                </c:pt>
                <c:pt idx="200">
                  <c:v>211</c:v>
                </c:pt>
                <c:pt idx="201">
                  <c:v>212</c:v>
                </c:pt>
                <c:pt idx="202">
                  <c:v>213</c:v>
                </c:pt>
                <c:pt idx="203">
                  <c:v>214</c:v>
                </c:pt>
                <c:pt idx="204">
                  <c:v>215</c:v>
                </c:pt>
                <c:pt idx="205">
                  <c:v>216</c:v>
                </c:pt>
                <c:pt idx="206">
                  <c:v>217</c:v>
                </c:pt>
                <c:pt idx="207">
                  <c:v>218</c:v>
                </c:pt>
                <c:pt idx="208">
                  <c:v>219</c:v>
                </c:pt>
                <c:pt idx="209">
                  <c:v>220</c:v>
                </c:pt>
                <c:pt idx="210">
                  <c:v>221</c:v>
                </c:pt>
                <c:pt idx="211">
                  <c:v>222</c:v>
                </c:pt>
                <c:pt idx="212">
                  <c:v>223</c:v>
                </c:pt>
                <c:pt idx="213">
                  <c:v>224</c:v>
                </c:pt>
                <c:pt idx="214">
                  <c:v>225</c:v>
                </c:pt>
                <c:pt idx="215">
                  <c:v>226</c:v>
                </c:pt>
                <c:pt idx="216">
                  <c:v>227</c:v>
                </c:pt>
                <c:pt idx="217">
                  <c:v>228</c:v>
                </c:pt>
                <c:pt idx="218">
                  <c:v>229</c:v>
                </c:pt>
                <c:pt idx="219">
                  <c:v>230</c:v>
                </c:pt>
                <c:pt idx="220">
                  <c:v>231</c:v>
                </c:pt>
                <c:pt idx="221">
                  <c:v>232</c:v>
                </c:pt>
                <c:pt idx="222">
                  <c:v>233</c:v>
                </c:pt>
                <c:pt idx="223">
                  <c:v>234</c:v>
                </c:pt>
                <c:pt idx="224">
                  <c:v>235</c:v>
                </c:pt>
                <c:pt idx="225">
                  <c:v>236</c:v>
                </c:pt>
                <c:pt idx="226">
                  <c:v>237</c:v>
                </c:pt>
                <c:pt idx="227">
                  <c:v>238</c:v>
                </c:pt>
                <c:pt idx="228">
                  <c:v>239</c:v>
                </c:pt>
                <c:pt idx="229">
                  <c:v>240</c:v>
                </c:pt>
                <c:pt idx="230">
                  <c:v>241</c:v>
                </c:pt>
                <c:pt idx="231">
                  <c:v>242</c:v>
                </c:pt>
                <c:pt idx="232">
                  <c:v>243</c:v>
                </c:pt>
                <c:pt idx="233">
                  <c:v>244</c:v>
                </c:pt>
                <c:pt idx="234">
                  <c:v>245</c:v>
                </c:pt>
                <c:pt idx="235">
                  <c:v>246</c:v>
                </c:pt>
                <c:pt idx="236">
                  <c:v>247</c:v>
                </c:pt>
                <c:pt idx="237">
                  <c:v>248</c:v>
                </c:pt>
                <c:pt idx="238">
                  <c:v>249</c:v>
                </c:pt>
                <c:pt idx="239">
                  <c:v>250</c:v>
                </c:pt>
                <c:pt idx="240">
                  <c:v>251</c:v>
                </c:pt>
                <c:pt idx="241">
                  <c:v>252</c:v>
                </c:pt>
                <c:pt idx="242">
                  <c:v>253</c:v>
                </c:pt>
                <c:pt idx="243">
                  <c:v>254</c:v>
                </c:pt>
                <c:pt idx="244">
                  <c:v>255</c:v>
                </c:pt>
                <c:pt idx="245">
                  <c:v>256</c:v>
                </c:pt>
                <c:pt idx="246">
                  <c:v>257</c:v>
                </c:pt>
                <c:pt idx="247">
                  <c:v>258</c:v>
                </c:pt>
                <c:pt idx="248">
                  <c:v>259</c:v>
                </c:pt>
                <c:pt idx="249">
                  <c:v>260</c:v>
                </c:pt>
                <c:pt idx="250">
                  <c:v>261</c:v>
                </c:pt>
                <c:pt idx="251">
                  <c:v>262</c:v>
                </c:pt>
                <c:pt idx="252">
                  <c:v>263</c:v>
                </c:pt>
                <c:pt idx="253">
                  <c:v>264</c:v>
                </c:pt>
                <c:pt idx="254">
                  <c:v>265</c:v>
                </c:pt>
                <c:pt idx="255">
                  <c:v>266</c:v>
                </c:pt>
                <c:pt idx="256">
                  <c:v>267</c:v>
                </c:pt>
                <c:pt idx="257">
                  <c:v>268</c:v>
                </c:pt>
                <c:pt idx="258">
                  <c:v>269</c:v>
                </c:pt>
                <c:pt idx="259">
                  <c:v>270</c:v>
                </c:pt>
                <c:pt idx="260">
                  <c:v>271</c:v>
                </c:pt>
                <c:pt idx="261">
                  <c:v>272</c:v>
                </c:pt>
                <c:pt idx="262">
                  <c:v>273</c:v>
                </c:pt>
                <c:pt idx="263">
                  <c:v>274</c:v>
                </c:pt>
                <c:pt idx="264">
                  <c:v>275</c:v>
                </c:pt>
                <c:pt idx="265">
                  <c:v>276</c:v>
                </c:pt>
                <c:pt idx="266">
                  <c:v>277</c:v>
                </c:pt>
                <c:pt idx="267">
                  <c:v>278</c:v>
                </c:pt>
                <c:pt idx="268">
                  <c:v>279</c:v>
                </c:pt>
                <c:pt idx="269">
                  <c:v>280</c:v>
                </c:pt>
                <c:pt idx="270">
                  <c:v>281</c:v>
                </c:pt>
                <c:pt idx="271">
                  <c:v>282</c:v>
                </c:pt>
                <c:pt idx="272">
                  <c:v>283</c:v>
                </c:pt>
                <c:pt idx="273">
                  <c:v>284</c:v>
                </c:pt>
                <c:pt idx="274">
                  <c:v>285</c:v>
                </c:pt>
                <c:pt idx="275">
                  <c:v>286</c:v>
                </c:pt>
                <c:pt idx="276">
                  <c:v>287</c:v>
                </c:pt>
                <c:pt idx="277">
                  <c:v>288</c:v>
                </c:pt>
                <c:pt idx="278">
                  <c:v>289</c:v>
                </c:pt>
                <c:pt idx="279">
                  <c:v>290</c:v>
                </c:pt>
                <c:pt idx="280">
                  <c:v>291</c:v>
                </c:pt>
                <c:pt idx="281">
                  <c:v>292</c:v>
                </c:pt>
                <c:pt idx="282">
                  <c:v>293</c:v>
                </c:pt>
                <c:pt idx="283">
                  <c:v>294</c:v>
                </c:pt>
                <c:pt idx="284">
                  <c:v>295</c:v>
                </c:pt>
                <c:pt idx="285">
                  <c:v>296</c:v>
                </c:pt>
                <c:pt idx="286">
                  <c:v>297</c:v>
                </c:pt>
                <c:pt idx="287">
                  <c:v>298</c:v>
                </c:pt>
                <c:pt idx="288">
                  <c:v>299</c:v>
                </c:pt>
                <c:pt idx="289">
                  <c:v>300</c:v>
                </c:pt>
                <c:pt idx="290">
                  <c:v>301</c:v>
                </c:pt>
                <c:pt idx="291">
                  <c:v>302</c:v>
                </c:pt>
                <c:pt idx="292">
                  <c:v>303</c:v>
                </c:pt>
                <c:pt idx="293">
                  <c:v>304</c:v>
                </c:pt>
                <c:pt idx="294">
                  <c:v>305</c:v>
                </c:pt>
                <c:pt idx="295">
                  <c:v>306</c:v>
                </c:pt>
                <c:pt idx="296">
                  <c:v>307</c:v>
                </c:pt>
                <c:pt idx="297">
                  <c:v>308</c:v>
                </c:pt>
                <c:pt idx="298">
                  <c:v>309</c:v>
                </c:pt>
                <c:pt idx="299">
                  <c:v>310</c:v>
                </c:pt>
                <c:pt idx="300">
                  <c:v>311</c:v>
                </c:pt>
                <c:pt idx="301">
                  <c:v>312</c:v>
                </c:pt>
                <c:pt idx="302">
                  <c:v>313</c:v>
                </c:pt>
                <c:pt idx="303">
                  <c:v>314</c:v>
                </c:pt>
                <c:pt idx="304">
                  <c:v>315</c:v>
                </c:pt>
                <c:pt idx="305">
                  <c:v>316</c:v>
                </c:pt>
                <c:pt idx="306">
                  <c:v>317</c:v>
                </c:pt>
                <c:pt idx="307">
                  <c:v>318</c:v>
                </c:pt>
                <c:pt idx="308">
                  <c:v>319</c:v>
                </c:pt>
                <c:pt idx="309">
                  <c:v>320</c:v>
                </c:pt>
                <c:pt idx="310">
                  <c:v>321</c:v>
                </c:pt>
                <c:pt idx="311">
                  <c:v>322</c:v>
                </c:pt>
                <c:pt idx="312">
                  <c:v>323</c:v>
                </c:pt>
                <c:pt idx="313">
                  <c:v>324</c:v>
                </c:pt>
                <c:pt idx="314">
                  <c:v>325</c:v>
                </c:pt>
                <c:pt idx="315">
                  <c:v>326</c:v>
                </c:pt>
                <c:pt idx="316">
                  <c:v>327</c:v>
                </c:pt>
                <c:pt idx="317">
                  <c:v>328</c:v>
                </c:pt>
                <c:pt idx="318">
                  <c:v>329</c:v>
                </c:pt>
                <c:pt idx="319">
                  <c:v>330</c:v>
                </c:pt>
                <c:pt idx="320">
                  <c:v>331</c:v>
                </c:pt>
                <c:pt idx="321">
                  <c:v>332</c:v>
                </c:pt>
                <c:pt idx="322">
                  <c:v>333</c:v>
                </c:pt>
                <c:pt idx="323">
                  <c:v>334</c:v>
                </c:pt>
                <c:pt idx="324">
                  <c:v>335</c:v>
                </c:pt>
                <c:pt idx="325">
                  <c:v>336</c:v>
                </c:pt>
                <c:pt idx="326">
                  <c:v>337</c:v>
                </c:pt>
                <c:pt idx="327">
                  <c:v>338</c:v>
                </c:pt>
                <c:pt idx="328">
                  <c:v>339</c:v>
                </c:pt>
                <c:pt idx="329">
                  <c:v>340</c:v>
                </c:pt>
                <c:pt idx="330">
                  <c:v>341</c:v>
                </c:pt>
                <c:pt idx="331">
                  <c:v>342</c:v>
                </c:pt>
                <c:pt idx="332">
                  <c:v>343</c:v>
                </c:pt>
                <c:pt idx="333">
                  <c:v>344</c:v>
                </c:pt>
                <c:pt idx="334">
                  <c:v>345</c:v>
                </c:pt>
                <c:pt idx="335">
                  <c:v>346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362</c:v>
                </c:pt>
                <c:pt idx="352">
                  <c:v>363</c:v>
                </c:pt>
                <c:pt idx="353">
                  <c:v>364</c:v>
                </c:pt>
                <c:pt idx="354">
                  <c:v>365</c:v>
                </c:pt>
                <c:pt idx="355">
                  <c:v>366</c:v>
                </c:pt>
                <c:pt idx="356">
                  <c:v>367</c:v>
                </c:pt>
                <c:pt idx="357">
                  <c:v>368</c:v>
                </c:pt>
                <c:pt idx="358">
                  <c:v>369</c:v>
                </c:pt>
                <c:pt idx="359">
                  <c:v>370</c:v>
                </c:pt>
                <c:pt idx="360">
                  <c:v>371</c:v>
                </c:pt>
                <c:pt idx="361">
                  <c:v>372</c:v>
                </c:pt>
                <c:pt idx="362">
                  <c:v>373</c:v>
                </c:pt>
                <c:pt idx="363">
                  <c:v>374</c:v>
                </c:pt>
                <c:pt idx="364">
                  <c:v>375</c:v>
                </c:pt>
                <c:pt idx="365">
                  <c:v>376</c:v>
                </c:pt>
                <c:pt idx="366">
                  <c:v>377</c:v>
                </c:pt>
                <c:pt idx="367">
                  <c:v>378</c:v>
                </c:pt>
                <c:pt idx="368">
                  <c:v>379</c:v>
                </c:pt>
                <c:pt idx="369">
                  <c:v>380</c:v>
                </c:pt>
                <c:pt idx="370">
                  <c:v>381</c:v>
                </c:pt>
                <c:pt idx="371">
                  <c:v>382</c:v>
                </c:pt>
                <c:pt idx="372">
                  <c:v>383</c:v>
                </c:pt>
                <c:pt idx="373">
                  <c:v>384</c:v>
                </c:pt>
                <c:pt idx="374">
                  <c:v>385</c:v>
                </c:pt>
                <c:pt idx="375">
                  <c:v>386</c:v>
                </c:pt>
                <c:pt idx="376">
                  <c:v>387</c:v>
                </c:pt>
                <c:pt idx="377">
                  <c:v>388</c:v>
                </c:pt>
              </c:numCache>
            </c:numRef>
          </c:xVal>
          <c:yVal>
            <c:numRef>
              <c:f>'Markov Model_b (2)'!$T$10:$T$408</c:f>
              <c:numCache>
                <c:formatCode>0.000</c:formatCode>
                <c:ptCount val="399"/>
                <c:pt idx="0" formatCode="General">
                  <c:v>100</c:v>
                </c:pt>
                <c:pt idx="1">
                  <c:v>76.5</c:v>
                </c:pt>
                <c:pt idx="2">
                  <c:v>74.176451577504764</c:v>
                </c:pt>
                <c:pt idx="3">
                  <c:v>72.01159957487917</c:v>
                </c:pt>
                <c:pt idx="4">
                  <c:v>69.99218247382322</c:v>
                </c:pt>
                <c:pt idx="5">
                  <c:v>68.106257198563554</c:v>
                </c:pt>
                <c:pt idx="6">
                  <c:v>66.343048631831437</c:v>
                </c:pt>
                <c:pt idx="7">
                  <c:v>64.692818322183498</c:v>
                </c:pt>
                <c:pt idx="8">
                  <c:v>63.146749697302354</c:v>
                </c:pt>
                <c:pt idx="9">
                  <c:v>61.696847504925465</c:v>
                </c:pt>
                <c:pt idx="10">
                  <c:v>60.335849543892053</c:v>
                </c:pt>
                <c:pt idx="11">
                  <c:v>59.057149033916829</c:v>
                </c:pt>
                <c:pt idx="12">
                  <c:v>57.854726213451706</c:v>
                </c:pt>
                <c:pt idx="13">
                  <c:v>56.723087958046392</c:v>
                </c:pt>
                <c:pt idx="14">
                  <c:v>55.657214383256495</c:v>
                </c:pt>
                <c:pt idx="15">
                  <c:v>54.652511541556116</c:v>
                </c:pt>
                <c:pt idx="16">
                  <c:v>53.70476944616496</c:v>
                </c:pt>
                <c:pt idx="17">
                  <c:v>52.810124759735906</c:v>
                </c:pt>
                <c:pt idx="18">
                  <c:v>51.965027575399681</c:v>
                </c:pt>
                <c:pt idx="19">
                  <c:v>51.166211794167602</c:v>
                </c:pt>
                <c:pt idx="20">
                  <c:v>50.410668668181195</c:v>
                </c:pt>
                <c:pt idx="21">
                  <c:v>49.695623135464139</c:v>
                </c:pt>
                <c:pt idx="22">
                  <c:v>49.018512620096047</c:v>
                </c:pt>
                <c:pt idx="23">
                  <c:v>48.376968013278486</c:v>
                </c:pt>
                <c:pt idx="24">
                  <c:v>47.768796586599393</c:v>
                </c:pt>
                <c:pt idx="25">
                  <c:v>47.191966619765118</c:v>
                </c:pt>
                <c:pt idx="26">
                  <c:v>46.644593551868532</c:v>
                </c:pt>
                <c:pt idx="27">
                  <c:v>46.124927488496255</c:v>
                </c:pt>
                <c:pt idx="28">
                  <c:v>45.63134191715713</c:v>
                </c:pt>
                <c:pt idx="29">
                  <c:v>45.162323501067156</c:v>
                </c:pt>
                <c:pt idx="30">
                  <c:v>44.716462836620366</c:v>
                </c:pt>
                <c:pt idx="31">
                  <c:v>44.292446073221697</c:v>
                </c:pt>
                <c:pt idx="32">
                  <c:v>43.889047305823418</c:v>
                </c:pt>
                <c:pt idx="33">
                  <c:v>43.505121660717819</c:v>
                </c:pt>
                <c:pt idx="34">
                  <c:v>43.139599004090769</c:v>
                </c:pt>
                <c:pt idx="35">
                  <c:v>42.791478210699687</c:v>
                </c:pt>
                <c:pt idx="36">
                  <c:v>42.459821936949133</c:v>
                </c:pt>
                <c:pt idx="37">
                  <c:v>42.143751848720669</c:v>
                </c:pt>
                <c:pt idx="38">
                  <c:v>41.842444259676675</c:v>
                </c:pt>
                <c:pt idx="39">
                  <c:v>41.555126140493385</c:v>
                </c:pt>
                <c:pt idx="40">
                  <c:v>41.28107146366311</c:v>
                </c:pt>
                <c:pt idx="41">
                  <c:v>41.019597852211405</c:v>
                </c:pt>
                <c:pt idx="42">
                  <c:v>40.770063503957793</c:v>
                </c:pt>
                <c:pt idx="43">
                  <c:v>40.531864365862944</c:v>
                </c:pt>
                <c:pt idx="44">
                  <c:v>40.304431535593707</c:v>
                </c:pt>
                <c:pt idx="45">
                  <c:v>40.08722886974018</c:v>
                </c:pt>
                <c:pt idx="46">
                  <c:v>39.879750780170305</c:v>
                </c:pt>
                <c:pt idx="47">
                  <c:v>39.681520201835568</c:v>
                </c:pt>
                <c:pt idx="48">
                  <c:v>39.492086716974022</c:v>
                </c:pt>
                <c:pt idx="49">
                  <c:v>39.311024822115606</c:v>
                </c:pt>
                <c:pt idx="50">
                  <c:v>39.137932325599287</c:v>
                </c:pt>
                <c:pt idx="51">
                  <c:v>38.972428864480783</c:v>
                </c:pt>
                <c:pt idx="52">
                  <c:v>38.814154530757001</c:v>
                </c:pt>
                <c:pt idx="53">
                  <c:v>38.662768597773798</c:v>
                </c:pt>
                <c:pt idx="54">
                  <c:v>38.517948338528562</c:v>
                </c:pt>
                <c:pt idx="55">
                  <c:v>38.379387928338495</c:v>
                </c:pt>
                <c:pt idx="56">
                  <c:v>38.246797425029591</c:v>
                </c:pt>
                <c:pt idx="57">
                  <c:v>38.119901820417375</c:v>
                </c:pt>
                <c:pt idx="58">
                  <c:v>37.998440157405845</c:v>
                </c:pt>
                <c:pt idx="59">
                  <c:v>37.88216470753337</c:v>
                </c:pt>
                <c:pt idx="60">
                  <c:v>37.77084020424666</c:v>
                </c:pt>
                <c:pt idx="61">
                  <c:v>37.664243127594659</c:v>
                </c:pt>
                <c:pt idx="62">
                  <c:v>37.633446311980585</c:v>
                </c:pt>
                <c:pt idx="63">
                  <c:v>37.602674677912006</c:v>
                </c:pt>
                <c:pt idx="64">
                  <c:v>37.571928204798802</c:v>
                </c:pt>
                <c:pt idx="65">
                  <c:v>37.541206872067683</c:v>
                </c:pt>
                <c:pt idx="66">
                  <c:v>37.510510659162186</c:v>
                </c:pt>
                <c:pt idx="67">
                  <c:v>37.479839545542653</c:v>
                </c:pt>
                <c:pt idx="68">
                  <c:v>37.449193510686229</c:v>
                </c:pt>
                <c:pt idx="69">
                  <c:v>37.41857253408682</c:v>
                </c:pt>
                <c:pt idx="70">
                  <c:v>37.387976595255118</c:v>
                </c:pt>
                <c:pt idx="71">
                  <c:v>37.35740567371856</c:v>
                </c:pt>
                <c:pt idx="72">
                  <c:v>37.326859749021331</c:v>
                </c:pt>
                <c:pt idx="73">
                  <c:v>37.296338800724328</c:v>
                </c:pt>
                <c:pt idx="74">
                  <c:v>37.263649950600147</c:v>
                </c:pt>
                <c:pt idx="75">
                  <c:v>37.230989751034087</c:v>
                </c:pt>
                <c:pt idx="76">
                  <c:v>37.198358176915001</c:v>
                </c:pt>
                <c:pt idx="77">
                  <c:v>37.165755203153751</c:v>
                </c:pt>
                <c:pt idx="78">
                  <c:v>37.133180804683192</c:v>
                </c:pt>
                <c:pt idx="79">
                  <c:v>37.100634956458144</c:v>
                </c:pt>
                <c:pt idx="80">
                  <c:v>37.068117633455387</c:v>
                </c:pt>
                <c:pt idx="81">
                  <c:v>37.035628810673622</c:v>
                </c:pt>
                <c:pt idx="82">
                  <c:v>37.00316846313347</c:v>
                </c:pt>
                <c:pt idx="83">
                  <c:v>36.970736565877445</c:v>
                </c:pt>
                <c:pt idx="84">
                  <c:v>36.938333093969931</c:v>
                </c:pt>
                <c:pt idx="85">
                  <c:v>36.905958022497167</c:v>
                </c:pt>
                <c:pt idx="86">
                  <c:v>36.871393405807552</c:v>
                </c:pt>
                <c:pt idx="87">
                  <c:v>36.836861160929722</c:v>
                </c:pt>
                <c:pt idx="88">
                  <c:v>36.802361257545556</c:v>
                </c:pt>
                <c:pt idx="89">
                  <c:v>36.767893665365335</c:v>
                </c:pt>
                <c:pt idx="90">
                  <c:v>36.733458354127698</c:v>
                </c:pt>
                <c:pt idx="91">
                  <c:v>36.699055293599628</c:v>
                </c:pt>
                <c:pt idx="92">
                  <c:v>36.664684453576427</c:v>
                </c:pt>
                <c:pt idx="93">
                  <c:v>36.630345803881681</c:v>
                </c:pt>
                <c:pt idx="94">
                  <c:v>36.596039314367239</c:v>
                </c:pt>
                <c:pt idx="95">
                  <c:v>36.561764954913187</c:v>
                </c:pt>
                <c:pt idx="96">
                  <c:v>36.52752269542782</c:v>
                </c:pt>
                <c:pt idx="97">
                  <c:v>36.493312505847612</c:v>
                </c:pt>
                <c:pt idx="98">
                  <c:v>36.456856765215093</c:v>
                </c:pt>
                <c:pt idx="99">
                  <c:v>36.420437442790018</c:v>
                </c:pt>
                <c:pt idx="100">
                  <c:v>36.384054502191674</c:v>
                </c:pt>
                <c:pt idx="101">
                  <c:v>36.347707907075687</c:v>
                </c:pt>
                <c:pt idx="102">
                  <c:v>36.311397621133999</c:v>
                </c:pt>
                <c:pt idx="103">
                  <c:v>36.275123608094809</c:v>
                </c:pt>
                <c:pt idx="104">
                  <c:v>36.23888583172257</c:v>
                </c:pt>
                <c:pt idx="105">
                  <c:v>36.202684255817914</c:v>
                </c:pt>
                <c:pt idx="106">
                  <c:v>36.166518844217649</c:v>
                </c:pt>
                <c:pt idx="107">
                  <c:v>36.130389560794704</c:v>
                </c:pt>
                <c:pt idx="108">
                  <c:v>36.0942963694581</c:v>
                </c:pt>
                <c:pt idx="109">
                  <c:v>36.0582392341529</c:v>
                </c:pt>
                <c:pt idx="110">
                  <c:v>35.878133657689418</c:v>
                </c:pt>
                <c:pt idx="111">
                  <c:v>35.687013113354823</c:v>
                </c:pt>
                <c:pt idx="112">
                  <c:v>35.496910656048257</c:v>
                </c:pt>
                <c:pt idx="113">
                  <c:v>35.307820862484647</c:v>
                </c:pt>
                <c:pt idx="114">
                  <c:v>35.119738338268391</c:v>
                </c:pt>
                <c:pt idx="115">
                  <c:v>34.932657717739517</c:v>
                </c:pt>
                <c:pt idx="116">
                  <c:v>34.746573663820584</c:v>
                </c:pt>
                <c:pt idx="117">
                  <c:v>34.561480867864404</c:v>
                </c:pt>
                <c:pt idx="118">
                  <c:v>34.37737404950262</c:v>
                </c:pt>
                <c:pt idx="119">
                  <c:v>34.19424795649509</c:v>
                </c:pt>
                <c:pt idx="120">
                  <c:v>34.012097364579986</c:v>
                </c:pt>
                <c:pt idx="121">
                  <c:v>33.830917077324813</c:v>
                </c:pt>
                <c:pt idx="122">
                  <c:v>33.65070192597814</c:v>
                </c:pt>
                <c:pt idx="123">
                  <c:v>33.458517400441522</c:v>
                </c:pt>
                <c:pt idx="124">
                  <c:v>33.267430471381104</c:v>
                </c:pt>
                <c:pt idx="125">
                  <c:v>33.077434870248354</c:v>
                </c:pt>
                <c:pt idx="126">
                  <c:v>32.888524364295435</c:v>
                </c:pt>
                <c:pt idx="127">
                  <c:v>32.700692756370714</c:v>
                </c:pt>
                <c:pt idx="128">
                  <c:v>32.513933884715485</c:v>
                </c:pt>
                <c:pt idx="129">
                  <c:v>32.328241622761823</c:v>
                </c:pt>
                <c:pt idx="130">
                  <c:v>32.143609878931613</c:v>
                </c:pt>
                <c:pt idx="131">
                  <c:v>31.960032596436719</c:v>
                </c:pt>
                <c:pt idx="132">
                  <c:v>31.777503753080282</c:v>
                </c:pt>
                <c:pt idx="133">
                  <c:v>31.596017361059154</c:v>
                </c:pt>
                <c:pt idx="134">
                  <c:v>31.415567466767513</c:v>
                </c:pt>
                <c:pt idx="135">
                  <c:v>31.222899834809709</c:v>
                </c:pt>
                <c:pt idx="136">
                  <c:v>31.031413808641574</c:v>
                </c:pt>
                <c:pt idx="137">
                  <c:v>30.841102141626862</c:v>
                </c:pt>
                <c:pt idx="138">
                  <c:v>30.651957631572046</c:v>
                </c:pt>
                <c:pt idx="139">
                  <c:v>30.463973120453701</c:v>
                </c:pt>
                <c:pt idx="140">
                  <c:v>30.277141494147642</c:v>
                </c:pt>
                <c:pt idx="141">
                  <c:v>30.091455682159705</c:v>
                </c:pt>
                <c:pt idx="142">
                  <c:v>29.906908657358144</c:v>
                </c:pt>
                <c:pt idx="143">
                  <c:v>29.723493435707709</c:v>
                </c:pt>
                <c:pt idx="144">
                  <c:v>29.541203076005345</c:v>
                </c:pt>
                <c:pt idx="145">
                  <c:v>29.360030679617495</c:v>
                </c:pt>
                <c:pt idx="146">
                  <c:v>29.179969390219043</c:v>
                </c:pt>
                <c:pt idx="147">
                  <c:v>28.986832692219949</c:v>
                </c:pt>
                <c:pt idx="148">
                  <c:v>28.794974329493073</c:v>
                </c:pt>
                <c:pt idx="149">
                  <c:v>28.604385840979063</c:v>
                </c:pt>
                <c:pt idx="150">
                  <c:v>28.41505882162069</c:v>
                </c:pt>
                <c:pt idx="151">
                  <c:v>28.226984921992212</c:v>
                </c:pt>
                <c:pt idx="152">
                  <c:v>28.040155847931175</c:v>
                </c:pt>
                <c:pt idx="153">
                  <c:v>27.854563360172605</c:v>
                </c:pt>
                <c:pt idx="154">
                  <c:v>27.670199273985673</c:v>
                </c:pt>
                <c:pt idx="155">
                  <c:v>27.487055458812719</c:v>
                </c:pt>
                <c:pt idx="156">
                  <c:v>27.305123837910728</c:v>
                </c:pt>
                <c:pt idx="157">
                  <c:v>27.124396387995091</c:v>
                </c:pt>
                <c:pt idx="158">
                  <c:v>26.944865138885831</c:v>
                </c:pt>
                <c:pt idx="159">
                  <c:v>26.751361668396186</c:v>
                </c:pt>
                <c:pt idx="160">
                  <c:v>26.559247835334631</c:v>
                </c:pt>
                <c:pt idx="161">
                  <c:v>26.368513660075578</c:v>
                </c:pt>
                <c:pt idx="162">
                  <c:v>26.17914923466175</c:v>
                </c:pt>
                <c:pt idx="163">
                  <c:v>25.991144722289462</c:v>
                </c:pt>
                <c:pt idx="164">
                  <c:v>25.804490356797643</c:v>
                </c:pt>
                <c:pt idx="165">
                  <c:v>25.619176442160494</c:v>
                </c:pt>
                <c:pt idx="166">
                  <c:v>25.43519335198387</c:v>
                </c:pt>
                <c:pt idx="167">
                  <c:v>25.252531529005182</c:v>
                </c:pt>
                <c:pt idx="168">
                  <c:v>25.07118148459692</c:v>
                </c:pt>
                <c:pt idx="169">
                  <c:v>24.891133798273785</c:v>
                </c:pt>
                <c:pt idx="170">
                  <c:v>24.712379117203326</c:v>
                </c:pt>
                <c:pt idx="171">
                  <c:v>24.521007447657368</c:v>
                </c:pt>
                <c:pt idx="172">
                  <c:v>24.331117752620258</c:v>
                </c:pt>
                <c:pt idx="173">
                  <c:v>24.142698555741035</c:v>
                </c:pt>
                <c:pt idx="174">
                  <c:v>23.955738469541132</c:v>
                </c:pt>
                <c:pt idx="175">
                  <c:v>23.770226194726149</c:v>
                </c:pt>
                <c:pt idx="176">
                  <c:v>23.586150519502993</c:v>
                </c:pt>
                <c:pt idx="177">
                  <c:v>23.403500318902218</c:v>
                </c:pt>
                <c:pt idx="178">
                  <c:v>23.222264554105706</c:v>
                </c:pt>
                <c:pt idx="179">
                  <c:v>23.042432271779489</c:v>
                </c:pt>
                <c:pt idx="180">
                  <c:v>22.863992603411802</c:v>
                </c:pt>
                <c:pt idx="181">
                  <c:v>22.686934764656186</c:v>
                </c:pt>
                <c:pt idx="182">
                  <c:v>22.511248054679712</c:v>
                </c:pt>
                <c:pt idx="183">
                  <c:v>22.31888302636554</c:v>
                </c:pt>
                <c:pt idx="184">
                  <c:v>22.128161812025098</c:v>
                </c:pt>
                <c:pt idx="185">
                  <c:v>21.939070364799647</c:v>
                </c:pt>
                <c:pt idx="186">
                  <c:v>21.751594757864837</c:v>
                </c:pt>
                <c:pt idx="187">
                  <c:v>21.565721183405017</c:v>
                </c:pt>
                <c:pt idx="188">
                  <c:v>21.381435951596259</c:v>
                </c:pt>
                <c:pt idx="189">
                  <c:v>21.198725489598075</c:v>
                </c:pt>
                <c:pt idx="190">
                  <c:v>21.017576340553759</c:v>
                </c:pt>
                <c:pt idx="191">
                  <c:v>20.837975162599292</c:v>
                </c:pt>
                <c:pt idx="192">
                  <c:v>20.659908727880676</c:v>
                </c:pt>
                <c:pt idx="193">
                  <c:v>20.483363921579695</c:v>
                </c:pt>
                <c:pt idx="194">
                  <c:v>20.308327740947988</c:v>
                </c:pt>
                <c:pt idx="195">
                  <c:v>20.119383218515566</c:v>
                </c:pt>
                <c:pt idx="196">
                  <c:v>19.932196597226579</c:v>
                </c:pt>
                <c:pt idx="197">
                  <c:v>19.746751521928786</c:v>
                </c:pt>
                <c:pt idx="198">
                  <c:v>19.563031789634934</c:v>
                </c:pt>
                <c:pt idx="199">
                  <c:v>19.381021348107041</c:v>
                </c:pt>
                <c:pt idx="200">
                  <c:v>19.200704294453871</c:v>
                </c:pt>
                <c:pt idx="201">
                  <c:v>19.0220648737414</c:v>
                </c:pt>
                <c:pt idx="202">
                  <c:v>18.845087477616318</c:v>
                </c:pt>
                <c:pt idx="203">
                  <c:v>18.669756642942218</c:v>
                </c:pt>
                <c:pt idx="204">
                  <c:v>18.496057050448556</c:v>
                </c:pt>
                <c:pt idx="205">
                  <c:v>18.323973523392141</c:v>
                </c:pt>
                <c:pt idx="206">
                  <c:v>18.153491026231094</c:v>
                </c:pt>
                <c:pt idx="207">
                  <c:v>17.968427479848515</c:v>
                </c:pt>
                <c:pt idx="208">
                  <c:v>17.785250541179579</c:v>
                </c:pt>
                <c:pt idx="209">
                  <c:v>17.603940977432444</c:v>
                </c:pt>
                <c:pt idx="210">
                  <c:v>17.42447975188162</c:v>
                </c:pt>
                <c:pt idx="211">
                  <c:v>17.246848021869184</c:v>
                </c:pt>
                <c:pt idx="212">
                  <c:v>17.071027136826388</c:v>
                </c:pt>
                <c:pt idx="213">
                  <c:v>16.896998636315416</c:v>
                </c:pt>
                <c:pt idx="214">
                  <c:v>16.724744248091142</c:v>
                </c:pt>
                <c:pt idx="215">
                  <c:v>16.554245886182628</c:v>
                </c:pt>
                <c:pt idx="216">
                  <c:v>16.38548564899412</c:v>
                </c:pt>
                <c:pt idx="217">
                  <c:v>16.218445817425518</c:v>
                </c:pt>
                <c:pt idx="218">
                  <c:v>16.053108853011921</c:v>
                </c:pt>
                <c:pt idx="219">
                  <c:v>15.874748811408665</c:v>
                </c:pt>
                <c:pt idx="220">
                  <c:v>15.698370460998802</c:v>
                </c:pt>
                <c:pt idx="221">
                  <c:v>15.523951783958452</c:v>
                </c:pt>
                <c:pt idx="222">
                  <c:v>15.351471007095455</c:v>
                </c:pt>
                <c:pt idx="223">
                  <c:v>15.180906599131376</c:v>
                </c:pt>
                <c:pt idx="224">
                  <c:v>15.012237268013735</c:v>
                </c:pt>
                <c:pt idx="225">
                  <c:v>14.845441958257979</c:v>
                </c:pt>
                <c:pt idx="226">
                  <c:v>14.68049984831913</c:v>
                </c:pt>
                <c:pt idx="227">
                  <c:v>14.51739034799256</c:v>
                </c:pt>
                <c:pt idx="228">
                  <c:v>14.356093095843619</c:v>
                </c:pt>
                <c:pt idx="229">
                  <c:v>14.19658795666588</c:v>
                </c:pt>
                <c:pt idx="230">
                  <c:v>14.038855018967638</c:v>
                </c:pt>
                <c:pt idx="231">
                  <c:v>13.866669024673385</c:v>
                </c:pt>
                <c:pt idx="232">
                  <c:v>13.696594884699948</c:v>
                </c:pt>
                <c:pt idx="233">
                  <c:v>13.5286066972387</c:v>
                </c:pt>
                <c:pt idx="234">
                  <c:v>13.362678878165667</c:v>
                </c:pt>
                <c:pt idx="235">
                  <c:v>13.198786157145108</c:v>
                </c:pt>
                <c:pt idx="236">
                  <c:v>13.036903573780961</c:v>
                </c:pt>
                <c:pt idx="237">
                  <c:v>12.877006473815413</c:v>
                </c:pt>
                <c:pt idx="238">
                  <c:v>12.719070505374134</c:v>
                </c:pt>
                <c:pt idx="239">
                  <c:v>12.563071615257556</c:v>
                </c:pt>
                <c:pt idx="240">
                  <c:v>12.408986045277643</c:v>
                </c:pt>
                <c:pt idx="241">
                  <c:v>12.256790328639582</c:v>
                </c:pt>
                <c:pt idx="242">
                  <c:v>12.10646128636786</c:v>
                </c:pt>
                <c:pt idx="243">
                  <c:v>11.942619559392057</c:v>
                </c:pt>
                <c:pt idx="244">
                  <c:v>11.780995169990248</c:v>
                </c:pt>
                <c:pt idx="245">
                  <c:v>11.621558110019777</c:v>
                </c:pt>
                <c:pt idx="246">
                  <c:v>11.464278777450531</c:v>
                </c:pt>
                <c:pt idx="247">
                  <c:v>11.309127970868872</c:v>
                </c:pt>
                <c:pt idx="248">
                  <c:v>11.156076884055921</c:v>
                </c:pt>
                <c:pt idx="249">
                  <c:v>11.005097100639219</c:v>
                </c:pt>
                <c:pt idx="250">
                  <c:v>10.856160588816763</c:v>
                </c:pt>
                <c:pt idx="251">
                  <c:v>10.709239696152508</c:v>
                </c:pt>
                <c:pt idx="252">
                  <c:v>10.564307144442196</c:v>
                </c:pt>
                <c:pt idx="253">
                  <c:v>10.421336024648738</c:v>
                </c:pt>
                <c:pt idx="254">
                  <c:v>10.280299791906131</c:v>
                </c:pt>
                <c:pt idx="255">
                  <c:v>10.125957601586975</c:v>
                </c:pt>
                <c:pt idx="256">
                  <c:v>9.9739326113684683</c:v>
                </c:pt>
                <c:pt idx="257">
                  <c:v>9.8241900322127265</c:v>
                </c:pt>
                <c:pt idx="258">
                  <c:v>9.6766955973833859</c:v>
                </c:pt>
                <c:pt idx="259">
                  <c:v>9.5314155546041093</c:v>
                </c:pt>
                <c:pt idx="260">
                  <c:v>9.388316658334773</c:v>
                </c:pt>
                <c:pt idx="261">
                  <c:v>9.2473661621636438</c:v>
                </c:pt>
                <c:pt idx="262">
                  <c:v>9.1085318113137532</c:v>
                </c:pt>
                <c:pt idx="263">
                  <c:v>8.9717818352618224</c:v>
                </c:pt>
                <c:pt idx="264">
                  <c:v>8.8370849404679461</c:v>
                </c:pt>
                <c:pt idx="265">
                  <c:v>8.7044103032144591</c:v>
                </c:pt>
                <c:pt idx="266">
                  <c:v>8.573727562552321</c:v>
                </c:pt>
                <c:pt idx="267">
                  <c:v>8.4308978996168662</c:v>
                </c:pt>
                <c:pt idx="268">
                  <c:v>8.2904476349612679</c:v>
                </c:pt>
                <c:pt idx="269">
                  <c:v>8.152337130207485</c:v>
                </c:pt>
                <c:pt idx="270">
                  <c:v>8.0165274073129211</c:v>
                </c:pt>
                <c:pt idx="271">
                  <c:v>7.882980137569902</c:v>
                </c:pt>
                <c:pt idx="272">
                  <c:v>7.7516576307884009</c:v>
                </c:pt>
                <c:pt idx="273">
                  <c:v>7.6225228246590007</c:v>
                </c:pt>
                <c:pt idx="274">
                  <c:v>7.4955392742929945</c:v>
                </c:pt>
                <c:pt idx="275">
                  <c:v>7.3706711419368105</c:v>
                </c:pt>
                <c:pt idx="276">
                  <c:v>7.2478831868577345</c:v>
                </c:pt>
                <c:pt idx="277">
                  <c:v>7.1271407553981732</c:v>
                </c:pt>
                <c:pt idx="278">
                  <c:v>7.0084097711955451</c:v>
                </c:pt>
                <c:pt idx="279">
                  <c:v>6.8791024810996646</c:v>
                </c:pt>
                <c:pt idx="280">
                  <c:v>6.7521809498018257</c:v>
                </c:pt>
                <c:pt idx="281">
                  <c:v>6.6276011593271846</c:v>
                </c:pt>
                <c:pt idx="282">
                  <c:v>6.5053199038459155</c:v>
                </c:pt>
                <c:pt idx="283">
                  <c:v>6.3852947746888873</c:v>
                </c:pt>
                <c:pt idx="284">
                  <c:v>6.2674841456397843</c:v>
                </c:pt>
                <c:pt idx="285">
                  <c:v>6.1518471584986401</c:v>
                </c:pt>
                <c:pt idx="286">
                  <c:v>6.0383437089116967</c:v>
                </c:pt>
                <c:pt idx="287">
                  <c:v>5.9269344324627156</c:v>
                </c:pt>
                <c:pt idx="288">
                  <c:v>5.8175806910208792</c:v>
                </c:pt>
                <c:pt idx="289">
                  <c:v>5.7102445593406514</c:v>
                </c:pt>
                <c:pt idx="290">
                  <c:v>5.6048888119087792</c:v>
                </c:pt>
                <c:pt idx="291">
                  <c:v>5.4898482512598008</c:v>
                </c:pt>
                <c:pt idx="292">
                  <c:v>5.377168902588167</c:v>
                </c:pt>
                <c:pt idx="293">
                  <c:v>5.2668023019263188</c:v>
                </c:pt>
                <c:pt idx="294">
                  <c:v>5.1587009800314689</c:v>
                </c:pt>
                <c:pt idx="295">
                  <c:v>5.0528184419689239</c:v>
                </c:pt>
                <c:pt idx="296">
                  <c:v>4.9491091471142994</c:v>
                </c:pt>
                <c:pt idx="297">
                  <c:v>4.8475284895663151</c:v>
                </c:pt>
                <c:pt idx="298">
                  <c:v>4.7480327789615444</c:v>
                </c:pt>
                <c:pt idx="299">
                  <c:v>4.6505792216829462</c:v>
                </c:pt>
                <c:pt idx="300">
                  <c:v>4.555125902454165</c:v>
                </c:pt>
                <c:pt idx="301">
                  <c:v>4.4616317663115126</c:v>
                </c:pt>
                <c:pt idx="302">
                  <c:v>4.3700566009460147</c:v>
                </c:pt>
                <c:pt idx="303">
                  <c:v>4.2707108465685621</c:v>
                </c:pt>
                <c:pt idx="304">
                  <c:v>4.1736235478163053</c:v>
                </c:pt>
                <c:pt idx="305">
                  <c:v>4.0787433625675504</c:v>
                </c:pt>
                <c:pt idx="306">
                  <c:v>3.9860201158758315</c:v>
                </c:pt>
                <c:pt idx="307">
                  <c:v>3.8954047734361836</c:v>
                </c:pt>
                <c:pt idx="308">
                  <c:v>3.8068494156545967</c:v>
                </c:pt>
                <c:pt idx="309">
                  <c:v>3.7203072123070058</c:v>
                </c:pt>
                <c:pt idx="310">
                  <c:v>3.6357323977742766</c:v>
                </c:pt>
                <c:pt idx="311">
                  <c:v>3.5530802468402953</c:v>
                </c:pt>
                <c:pt idx="312">
                  <c:v>3.472307051040147</c:v>
                </c:pt>
                <c:pt idx="313">
                  <c:v>3.3933700955460182</c:v>
                </c:pt>
                <c:pt idx="314">
                  <c:v>3.3162276365785743</c:v>
                </c:pt>
                <c:pt idx="315">
                  <c:v>3.2320616417638917</c:v>
                </c:pt>
                <c:pt idx="316">
                  <c:v>3.1500317833847902</c:v>
                </c:pt>
                <c:pt idx="317">
                  <c:v>3.0700838462100108</c:v>
                </c:pt>
                <c:pt idx="318">
                  <c:v>2.992164990993146</c:v>
                </c:pt>
                <c:pt idx="319">
                  <c:v>2.9162237195500182</c:v>
                </c:pt>
                <c:pt idx="320">
                  <c:v>2.842209840722532</c:v>
                </c:pt>
                <c:pt idx="321">
                  <c:v>2.7700744372062331</c:v>
                </c:pt>
                <c:pt idx="322">
                  <c:v>2.6997698332199036</c:v>
                </c:pt>
                <c:pt idx="323">
                  <c:v>2.6312495629956203</c:v>
                </c:pt>
                <c:pt idx="324">
                  <c:v>2.5644683400685579</c:v>
                </c:pt>
                <c:pt idx="325">
                  <c:v>2.4993820273462717</c:v>
                </c:pt>
                <c:pt idx="326">
                  <c:v>2.4359476079375497</c:v>
                </c:pt>
                <c:pt idx="327">
                  <c:v>2.3662332708848055</c:v>
                </c:pt>
                <c:pt idx="328">
                  <c:v>2.2985140870836602</c:v>
                </c:pt>
                <c:pt idx="329">
                  <c:v>2.2327329572821384</c:v>
                </c:pt>
                <c:pt idx="330">
                  <c:v>2.1688344163506628</c:v>
                </c:pt>
                <c:pt idx="331">
                  <c:v>2.1067645865150837</c:v>
                </c:pt>
                <c:pt idx="332">
                  <c:v>2.0464711319282429</c:v>
                </c:pt>
                <c:pt idx="333">
                  <c:v>1.9879032145415607</c:v>
                </c:pt>
                <c:pt idx="334">
                  <c:v>1.9310114512395842</c:v>
                </c:pt>
                <c:pt idx="335">
                  <c:v>1.8757478722012735</c:v>
                </c:pt>
                <c:pt idx="336">
                  <c:v>1.8220658804529677</c:v>
                </c:pt>
                <c:pt idx="337">
                  <c:v>1.7699202125788673</c:v>
                </c:pt>
                <c:pt idx="338">
                  <c:v>1.7192669005560077</c:v>
                </c:pt>
                <c:pt idx="339">
                  <c:v>1.6643337604253361</c:v>
                </c:pt>
                <c:pt idx="340">
                  <c:v>1.6111558160025794</c:v>
                </c:pt>
                <c:pt idx="341">
                  <c:v>1.5596769861686539</c:v>
                </c:pt>
                <c:pt idx="342">
                  <c:v>1.5098429816798244</c:v>
                </c:pt>
                <c:pt idx="343">
                  <c:v>1.4616012479146292</c:v>
                </c:pt>
                <c:pt idx="344">
                  <c:v>1.4149009094500826</c:v>
                </c:pt>
                <c:pt idx="345">
                  <c:v>1.3696927164087924</c:v>
                </c:pt>
                <c:pt idx="346">
                  <c:v>1.3259289925203603</c:v>
                </c:pt>
                <c:pt idx="347">
                  <c:v>1.2835635848422982</c:v>
                </c:pt>
                <c:pt idx="348">
                  <c:v>1.242551815087424</c:v>
                </c:pt>
                <c:pt idx="349">
                  <c:v>1.2028504325064233</c:v>
                </c:pt>
                <c:pt idx="350">
                  <c:v>1.1644175682758942</c:v>
                </c:pt>
                <c:pt idx="351">
                  <c:v>1.1230788748312364</c:v>
                </c:pt>
                <c:pt idx="352">
                  <c:v>1.0832077713837265</c:v>
                </c:pt>
                <c:pt idx="353">
                  <c:v>1.044752156131878</c:v>
                </c:pt>
                <c:pt idx="354">
                  <c:v>1.0076617769718297</c:v>
                </c:pt>
                <c:pt idx="355">
                  <c:v>0.97188816583006599</c:v>
                </c:pt>
                <c:pt idx="356">
                  <c:v>0.93738457532754182</c:v>
                </c:pt>
                <c:pt idx="357">
                  <c:v>0.90410591769220616</c:v>
                </c:pt>
                <c:pt idx="358">
                  <c:v>0.87200870584034362</c:v>
                </c:pt>
                <c:pt idx="359">
                  <c:v>0.84105099654952653</c:v>
                </c:pt>
                <c:pt idx="360">
                  <c:v>0.81119233564906779</c:v>
                </c:pt>
                <c:pt idx="361">
                  <c:v>0.78239370515630924</c:v>
                </c:pt>
                <c:pt idx="362">
                  <c:v>0.75461747228962395</c:v>
                </c:pt>
                <c:pt idx="363">
                  <c:v>0.72477868973598447</c:v>
                </c:pt>
                <c:pt idx="364">
                  <c:v>0.6961197803988739</c:v>
                </c:pt>
                <c:pt idx="365">
                  <c:v>0.66859409020302962</c:v>
                </c:pt>
                <c:pt idx="366">
                  <c:v>0.64215680984999324</c:v>
                </c:pt>
                <c:pt idx="367">
                  <c:v>0.61676490187267063</c:v>
                </c:pt>
                <c:pt idx="368">
                  <c:v>0.59237703057429769</c:v>
                </c:pt>
                <c:pt idx="369">
                  <c:v>0.56895349473772683</c:v>
                </c:pt>
                <c:pt idx="370">
                  <c:v>0.54645616299545452</c:v>
                </c:pt>
                <c:pt idx="371">
                  <c:v>0.52484841175528629</c:v>
                </c:pt>
                <c:pt idx="372">
                  <c:v>0.50409506558047212</c:v>
                </c:pt>
                <c:pt idx="373">
                  <c:v>0.48416233992732316</c:v>
                </c:pt>
                <c:pt idx="374">
                  <c:v>0.46501778614708655</c:v>
                </c:pt>
                <c:pt idx="375">
                  <c:v>0.44427877746046818</c:v>
                </c:pt>
                <c:pt idx="376">
                  <c:v>0.42446469357052763</c:v>
                </c:pt>
                <c:pt idx="377">
                  <c:v>0.40553428439186234</c:v>
                </c:pt>
                <c:pt idx="378">
                  <c:v>0.38744813952328627</c:v>
                </c:pt>
                <c:pt idx="379">
                  <c:v>0.37016860620099123</c:v>
                </c:pt>
                <c:pt idx="380">
                  <c:v>0.35365971091093229</c:v>
                </c:pt>
                <c:pt idx="381">
                  <c:v>0.33788708449709759</c:v>
                </c:pt>
                <c:pt idx="382">
                  <c:v>0.32281789060982646</c:v>
                </c:pt>
                <c:pt idx="383">
                  <c:v>0.3084207573452602</c:v>
                </c:pt>
                <c:pt idx="384">
                  <c:v>0.29466571193353275</c:v>
                </c:pt>
                <c:pt idx="385">
                  <c:v>0.2815241183397319</c:v>
                </c:pt>
                <c:pt idx="386">
                  <c:v>0.26896861764778635</c:v>
                </c:pt>
                <c:pt idx="387">
                  <c:v>0.25546261053578689</c:v>
                </c:pt>
                <c:pt idx="388">
                  <c:v>0.24263479491580142</c:v>
                </c:pt>
                <c:pt idx="389">
                  <c:v>0.23045111603752844</c:v>
                </c:pt>
                <c:pt idx="390">
                  <c:v>0.21887922917804303</c:v>
                </c:pt>
                <c:pt idx="391">
                  <c:v>0.20788841377436995</c:v>
                </c:pt>
                <c:pt idx="392">
                  <c:v>0.19744949186781469</c:v>
                </c:pt>
                <c:pt idx="393">
                  <c:v>0.18753475064353609</c:v>
                </c:pt>
                <c:pt idx="394">
                  <c:v>0.17811786885974357</c:v>
                </c:pt>
                <c:pt idx="395">
                  <c:v>0.1691738469711197</c:v>
                </c:pt>
                <c:pt idx="396">
                  <c:v>0.16067894076110179</c:v>
                </c:pt>
                <c:pt idx="397">
                  <c:v>0.15261059830670831</c:v>
                </c:pt>
                <c:pt idx="398">
                  <c:v>0.14494740010863438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1-4441-ACAC-BAB67C837182}"/>
            </c:ext>
          </c:extLst>
        </c:ser>
        <c:ser>
          <c:idx val="1"/>
          <c:order val="1"/>
          <c:tx>
            <c:strRef>
              <c:f>'Markov Model_b (2)'!$C$7</c:f>
              <c:strCache>
                <c:ptCount val="1"/>
                <c:pt idx="0">
                  <c:v>Prophylaxis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'Markov Model_b (2)'!$AC$23:$AC$392</c:f>
              <c:numCache>
                <c:formatCode>General</c:formatCode>
                <c:ptCount val="370"/>
                <c:pt idx="0">
                  <c:v>0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54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58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64</c:v>
                </c:pt>
                <c:pt idx="54">
                  <c:v>65</c:v>
                </c:pt>
                <c:pt idx="55">
                  <c:v>66</c:v>
                </c:pt>
                <c:pt idx="56">
                  <c:v>67</c:v>
                </c:pt>
                <c:pt idx="57">
                  <c:v>68</c:v>
                </c:pt>
                <c:pt idx="58">
                  <c:v>69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78</c:v>
                </c:pt>
                <c:pt idx="68">
                  <c:v>79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83</c:v>
                </c:pt>
                <c:pt idx="73">
                  <c:v>84</c:v>
                </c:pt>
                <c:pt idx="74">
                  <c:v>85</c:v>
                </c:pt>
                <c:pt idx="75">
                  <c:v>86</c:v>
                </c:pt>
                <c:pt idx="76">
                  <c:v>87</c:v>
                </c:pt>
                <c:pt idx="77">
                  <c:v>88</c:v>
                </c:pt>
                <c:pt idx="78">
                  <c:v>89</c:v>
                </c:pt>
                <c:pt idx="79">
                  <c:v>90</c:v>
                </c:pt>
                <c:pt idx="80">
                  <c:v>91</c:v>
                </c:pt>
                <c:pt idx="81">
                  <c:v>92</c:v>
                </c:pt>
                <c:pt idx="82">
                  <c:v>93</c:v>
                </c:pt>
                <c:pt idx="83">
                  <c:v>94</c:v>
                </c:pt>
                <c:pt idx="84">
                  <c:v>95</c:v>
                </c:pt>
                <c:pt idx="85">
                  <c:v>96</c:v>
                </c:pt>
                <c:pt idx="86">
                  <c:v>97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  <c:pt idx="90">
                  <c:v>101</c:v>
                </c:pt>
                <c:pt idx="91">
                  <c:v>102</c:v>
                </c:pt>
                <c:pt idx="92">
                  <c:v>103</c:v>
                </c:pt>
                <c:pt idx="93">
                  <c:v>104</c:v>
                </c:pt>
                <c:pt idx="94">
                  <c:v>105</c:v>
                </c:pt>
                <c:pt idx="95">
                  <c:v>106</c:v>
                </c:pt>
                <c:pt idx="96">
                  <c:v>107</c:v>
                </c:pt>
                <c:pt idx="97">
                  <c:v>108</c:v>
                </c:pt>
                <c:pt idx="98">
                  <c:v>109</c:v>
                </c:pt>
                <c:pt idx="99">
                  <c:v>110</c:v>
                </c:pt>
                <c:pt idx="100">
                  <c:v>111</c:v>
                </c:pt>
                <c:pt idx="101">
                  <c:v>112</c:v>
                </c:pt>
                <c:pt idx="102">
                  <c:v>113</c:v>
                </c:pt>
                <c:pt idx="103">
                  <c:v>114</c:v>
                </c:pt>
                <c:pt idx="104">
                  <c:v>115</c:v>
                </c:pt>
                <c:pt idx="105">
                  <c:v>116</c:v>
                </c:pt>
                <c:pt idx="106">
                  <c:v>117</c:v>
                </c:pt>
                <c:pt idx="107">
                  <c:v>118</c:v>
                </c:pt>
                <c:pt idx="108">
                  <c:v>119</c:v>
                </c:pt>
                <c:pt idx="109">
                  <c:v>120</c:v>
                </c:pt>
                <c:pt idx="110">
                  <c:v>121</c:v>
                </c:pt>
                <c:pt idx="111">
                  <c:v>122</c:v>
                </c:pt>
                <c:pt idx="112">
                  <c:v>123</c:v>
                </c:pt>
                <c:pt idx="113">
                  <c:v>124</c:v>
                </c:pt>
                <c:pt idx="114">
                  <c:v>125</c:v>
                </c:pt>
                <c:pt idx="115">
                  <c:v>126</c:v>
                </c:pt>
                <c:pt idx="116">
                  <c:v>127</c:v>
                </c:pt>
                <c:pt idx="117">
                  <c:v>128</c:v>
                </c:pt>
                <c:pt idx="118">
                  <c:v>129</c:v>
                </c:pt>
                <c:pt idx="119">
                  <c:v>130</c:v>
                </c:pt>
                <c:pt idx="120">
                  <c:v>131</c:v>
                </c:pt>
                <c:pt idx="121">
                  <c:v>132</c:v>
                </c:pt>
                <c:pt idx="122">
                  <c:v>133</c:v>
                </c:pt>
                <c:pt idx="123">
                  <c:v>134</c:v>
                </c:pt>
                <c:pt idx="124">
                  <c:v>135</c:v>
                </c:pt>
                <c:pt idx="125">
                  <c:v>136</c:v>
                </c:pt>
                <c:pt idx="126">
                  <c:v>137</c:v>
                </c:pt>
                <c:pt idx="127">
                  <c:v>138</c:v>
                </c:pt>
                <c:pt idx="128">
                  <c:v>139</c:v>
                </c:pt>
                <c:pt idx="129">
                  <c:v>140</c:v>
                </c:pt>
                <c:pt idx="130">
                  <c:v>141</c:v>
                </c:pt>
                <c:pt idx="131">
                  <c:v>142</c:v>
                </c:pt>
                <c:pt idx="132">
                  <c:v>143</c:v>
                </c:pt>
                <c:pt idx="133">
                  <c:v>144</c:v>
                </c:pt>
                <c:pt idx="134">
                  <c:v>145</c:v>
                </c:pt>
                <c:pt idx="135">
                  <c:v>146</c:v>
                </c:pt>
                <c:pt idx="136">
                  <c:v>147</c:v>
                </c:pt>
                <c:pt idx="137">
                  <c:v>148</c:v>
                </c:pt>
                <c:pt idx="138">
                  <c:v>149</c:v>
                </c:pt>
                <c:pt idx="139">
                  <c:v>150</c:v>
                </c:pt>
                <c:pt idx="140">
                  <c:v>151</c:v>
                </c:pt>
                <c:pt idx="141">
                  <c:v>152</c:v>
                </c:pt>
                <c:pt idx="142">
                  <c:v>153</c:v>
                </c:pt>
                <c:pt idx="143">
                  <c:v>154</c:v>
                </c:pt>
                <c:pt idx="144">
                  <c:v>155</c:v>
                </c:pt>
                <c:pt idx="145">
                  <c:v>156</c:v>
                </c:pt>
                <c:pt idx="146">
                  <c:v>157</c:v>
                </c:pt>
                <c:pt idx="147">
                  <c:v>158</c:v>
                </c:pt>
                <c:pt idx="148">
                  <c:v>159</c:v>
                </c:pt>
                <c:pt idx="149">
                  <c:v>160</c:v>
                </c:pt>
                <c:pt idx="150">
                  <c:v>161</c:v>
                </c:pt>
                <c:pt idx="151">
                  <c:v>162</c:v>
                </c:pt>
                <c:pt idx="152">
                  <c:v>163</c:v>
                </c:pt>
                <c:pt idx="153">
                  <c:v>164</c:v>
                </c:pt>
                <c:pt idx="154">
                  <c:v>165</c:v>
                </c:pt>
                <c:pt idx="155">
                  <c:v>166</c:v>
                </c:pt>
                <c:pt idx="156">
                  <c:v>167</c:v>
                </c:pt>
                <c:pt idx="157">
                  <c:v>168</c:v>
                </c:pt>
                <c:pt idx="158">
                  <c:v>169</c:v>
                </c:pt>
                <c:pt idx="159">
                  <c:v>170</c:v>
                </c:pt>
                <c:pt idx="160">
                  <c:v>171</c:v>
                </c:pt>
                <c:pt idx="161">
                  <c:v>172</c:v>
                </c:pt>
                <c:pt idx="162">
                  <c:v>173</c:v>
                </c:pt>
                <c:pt idx="163">
                  <c:v>174</c:v>
                </c:pt>
                <c:pt idx="164">
                  <c:v>175</c:v>
                </c:pt>
                <c:pt idx="165">
                  <c:v>176</c:v>
                </c:pt>
                <c:pt idx="166">
                  <c:v>177</c:v>
                </c:pt>
                <c:pt idx="167">
                  <c:v>178</c:v>
                </c:pt>
                <c:pt idx="168">
                  <c:v>179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183</c:v>
                </c:pt>
                <c:pt idx="173">
                  <c:v>184</c:v>
                </c:pt>
                <c:pt idx="174">
                  <c:v>185</c:v>
                </c:pt>
                <c:pt idx="175">
                  <c:v>186</c:v>
                </c:pt>
                <c:pt idx="176">
                  <c:v>187</c:v>
                </c:pt>
                <c:pt idx="177">
                  <c:v>188</c:v>
                </c:pt>
                <c:pt idx="178">
                  <c:v>189</c:v>
                </c:pt>
                <c:pt idx="179">
                  <c:v>190</c:v>
                </c:pt>
                <c:pt idx="180">
                  <c:v>191</c:v>
                </c:pt>
                <c:pt idx="181">
                  <c:v>192</c:v>
                </c:pt>
                <c:pt idx="182">
                  <c:v>193</c:v>
                </c:pt>
                <c:pt idx="183">
                  <c:v>194</c:v>
                </c:pt>
                <c:pt idx="184">
                  <c:v>195</c:v>
                </c:pt>
                <c:pt idx="185">
                  <c:v>196</c:v>
                </c:pt>
                <c:pt idx="186">
                  <c:v>197</c:v>
                </c:pt>
                <c:pt idx="187">
                  <c:v>198</c:v>
                </c:pt>
                <c:pt idx="188">
                  <c:v>199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203</c:v>
                </c:pt>
                <c:pt idx="193">
                  <c:v>204</c:v>
                </c:pt>
                <c:pt idx="194">
                  <c:v>205</c:v>
                </c:pt>
                <c:pt idx="195">
                  <c:v>206</c:v>
                </c:pt>
                <c:pt idx="196">
                  <c:v>207</c:v>
                </c:pt>
                <c:pt idx="197">
                  <c:v>208</c:v>
                </c:pt>
                <c:pt idx="198">
                  <c:v>209</c:v>
                </c:pt>
                <c:pt idx="199">
                  <c:v>210</c:v>
                </c:pt>
                <c:pt idx="200">
                  <c:v>211</c:v>
                </c:pt>
                <c:pt idx="201">
                  <c:v>212</c:v>
                </c:pt>
                <c:pt idx="202">
                  <c:v>213</c:v>
                </c:pt>
                <c:pt idx="203">
                  <c:v>214</c:v>
                </c:pt>
                <c:pt idx="204">
                  <c:v>215</c:v>
                </c:pt>
                <c:pt idx="205">
                  <c:v>216</c:v>
                </c:pt>
                <c:pt idx="206">
                  <c:v>217</c:v>
                </c:pt>
                <c:pt idx="207">
                  <c:v>218</c:v>
                </c:pt>
                <c:pt idx="208">
                  <c:v>219</c:v>
                </c:pt>
                <c:pt idx="209">
                  <c:v>220</c:v>
                </c:pt>
                <c:pt idx="210">
                  <c:v>221</c:v>
                </c:pt>
                <c:pt idx="211">
                  <c:v>222</c:v>
                </c:pt>
                <c:pt idx="212">
                  <c:v>223</c:v>
                </c:pt>
                <c:pt idx="213">
                  <c:v>224</c:v>
                </c:pt>
                <c:pt idx="214">
                  <c:v>225</c:v>
                </c:pt>
                <c:pt idx="215">
                  <c:v>226</c:v>
                </c:pt>
                <c:pt idx="216">
                  <c:v>227</c:v>
                </c:pt>
                <c:pt idx="217">
                  <c:v>228</c:v>
                </c:pt>
                <c:pt idx="218">
                  <c:v>229</c:v>
                </c:pt>
                <c:pt idx="219">
                  <c:v>230</c:v>
                </c:pt>
                <c:pt idx="220">
                  <c:v>231</c:v>
                </c:pt>
                <c:pt idx="221">
                  <c:v>232</c:v>
                </c:pt>
                <c:pt idx="222">
                  <c:v>233</c:v>
                </c:pt>
                <c:pt idx="223">
                  <c:v>234</c:v>
                </c:pt>
                <c:pt idx="224">
                  <c:v>235</c:v>
                </c:pt>
                <c:pt idx="225">
                  <c:v>236</c:v>
                </c:pt>
                <c:pt idx="226">
                  <c:v>237</c:v>
                </c:pt>
                <c:pt idx="227">
                  <c:v>238</c:v>
                </c:pt>
                <c:pt idx="228">
                  <c:v>239</c:v>
                </c:pt>
                <c:pt idx="229">
                  <c:v>240</c:v>
                </c:pt>
                <c:pt idx="230">
                  <c:v>241</c:v>
                </c:pt>
                <c:pt idx="231">
                  <c:v>242</c:v>
                </c:pt>
                <c:pt idx="232">
                  <c:v>243</c:v>
                </c:pt>
                <c:pt idx="233">
                  <c:v>244</c:v>
                </c:pt>
                <c:pt idx="234">
                  <c:v>245</c:v>
                </c:pt>
                <c:pt idx="235">
                  <c:v>246</c:v>
                </c:pt>
                <c:pt idx="236">
                  <c:v>247</c:v>
                </c:pt>
                <c:pt idx="237">
                  <c:v>248</c:v>
                </c:pt>
                <c:pt idx="238">
                  <c:v>249</c:v>
                </c:pt>
                <c:pt idx="239">
                  <c:v>250</c:v>
                </c:pt>
                <c:pt idx="240">
                  <c:v>251</c:v>
                </c:pt>
                <c:pt idx="241">
                  <c:v>252</c:v>
                </c:pt>
                <c:pt idx="242">
                  <c:v>253</c:v>
                </c:pt>
                <c:pt idx="243">
                  <c:v>254</c:v>
                </c:pt>
                <c:pt idx="244">
                  <c:v>255</c:v>
                </c:pt>
                <c:pt idx="245">
                  <c:v>256</c:v>
                </c:pt>
                <c:pt idx="246">
                  <c:v>257</c:v>
                </c:pt>
                <c:pt idx="247">
                  <c:v>258</c:v>
                </c:pt>
                <c:pt idx="248">
                  <c:v>259</c:v>
                </c:pt>
                <c:pt idx="249">
                  <c:v>260</c:v>
                </c:pt>
                <c:pt idx="250">
                  <c:v>261</c:v>
                </c:pt>
                <c:pt idx="251">
                  <c:v>262</c:v>
                </c:pt>
                <c:pt idx="252">
                  <c:v>263</c:v>
                </c:pt>
                <c:pt idx="253">
                  <c:v>264</c:v>
                </c:pt>
                <c:pt idx="254">
                  <c:v>265</c:v>
                </c:pt>
                <c:pt idx="255">
                  <c:v>266</c:v>
                </c:pt>
                <c:pt idx="256">
                  <c:v>267</c:v>
                </c:pt>
                <c:pt idx="257">
                  <c:v>268</c:v>
                </c:pt>
                <c:pt idx="258">
                  <c:v>269</c:v>
                </c:pt>
                <c:pt idx="259">
                  <c:v>270</c:v>
                </c:pt>
                <c:pt idx="260">
                  <c:v>271</c:v>
                </c:pt>
                <c:pt idx="261">
                  <c:v>272</c:v>
                </c:pt>
                <c:pt idx="262">
                  <c:v>273</c:v>
                </c:pt>
                <c:pt idx="263">
                  <c:v>274</c:v>
                </c:pt>
                <c:pt idx="264">
                  <c:v>275</c:v>
                </c:pt>
                <c:pt idx="265">
                  <c:v>276</c:v>
                </c:pt>
                <c:pt idx="266">
                  <c:v>277</c:v>
                </c:pt>
                <c:pt idx="267">
                  <c:v>278</c:v>
                </c:pt>
                <c:pt idx="268">
                  <c:v>279</c:v>
                </c:pt>
                <c:pt idx="269">
                  <c:v>280</c:v>
                </c:pt>
                <c:pt idx="270">
                  <c:v>281</c:v>
                </c:pt>
                <c:pt idx="271">
                  <c:v>282</c:v>
                </c:pt>
                <c:pt idx="272">
                  <c:v>283</c:v>
                </c:pt>
                <c:pt idx="273">
                  <c:v>284</c:v>
                </c:pt>
                <c:pt idx="274">
                  <c:v>285</c:v>
                </c:pt>
                <c:pt idx="275">
                  <c:v>286</c:v>
                </c:pt>
                <c:pt idx="276">
                  <c:v>287</c:v>
                </c:pt>
                <c:pt idx="277">
                  <c:v>288</c:v>
                </c:pt>
                <c:pt idx="278">
                  <c:v>289</c:v>
                </c:pt>
                <c:pt idx="279">
                  <c:v>290</c:v>
                </c:pt>
                <c:pt idx="280">
                  <c:v>291</c:v>
                </c:pt>
                <c:pt idx="281">
                  <c:v>292</c:v>
                </c:pt>
                <c:pt idx="282">
                  <c:v>293</c:v>
                </c:pt>
                <c:pt idx="283">
                  <c:v>294</c:v>
                </c:pt>
                <c:pt idx="284">
                  <c:v>295</c:v>
                </c:pt>
                <c:pt idx="285">
                  <c:v>296</c:v>
                </c:pt>
                <c:pt idx="286">
                  <c:v>297</c:v>
                </c:pt>
                <c:pt idx="287">
                  <c:v>298</c:v>
                </c:pt>
                <c:pt idx="288">
                  <c:v>299</c:v>
                </c:pt>
                <c:pt idx="289">
                  <c:v>300</c:v>
                </c:pt>
                <c:pt idx="290">
                  <c:v>301</c:v>
                </c:pt>
                <c:pt idx="291">
                  <c:v>302</c:v>
                </c:pt>
                <c:pt idx="292">
                  <c:v>303</c:v>
                </c:pt>
                <c:pt idx="293">
                  <c:v>304</c:v>
                </c:pt>
                <c:pt idx="294">
                  <c:v>305</c:v>
                </c:pt>
                <c:pt idx="295">
                  <c:v>306</c:v>
                </c:pt>
                <c:pt idx="296">
                  <c:v>307</c:v>
                </c:pt>
                <c:pt idx="297">
                  <c:v>308</c:v>
                </c:pt>
                <c:pt idx="298">
                  <c:v>309</c:v>
                </c:pt>
                <c:pt idx="299">
                  <c:v>310</c:v>
                </c:pt>
                <c:pt idx="300">
                  <c:v>311</c:v>
                </c:pt>
                <c:pt idx="301">
                  <c:v>312</c:v>
                </c:pt>
                <c:pt idx="302">
                  <c:v>313</c:v>
                </c:pt>
                <c:pt idx="303">
                  <c:v>314</c:v>
                </c:pt>
                <c:pt idx="304">
                  <c:v>315</c:v>
                </c:pt>
                <c:pt idx="305">
                  <c:v>316</c:v>
                </c:pt>
                <c:pt idx="306">
                  <c:v>317</c:v>
                </c:pt>
                <c:pt idx="307">
                  <c:v>318</c:v>
                </c:pt>
                <c:pt idx="308">
                  <c:v>319</c:v>
                </c:pt>
                <c:pt idx="309">
                  <c:v>320</c:v>
                </c:pt>
                <c:pt idx="310">
                  <c:v>321</c:v>
                </c:pt>
                <c:pt idx="311">
                  <c:v>322</c:v>
                </c:pt>
                <c:pt idx="312">
                  <c:v>323</c:v>
                </c:pt>
                <c:pt idx="313">
                  <c:v>324</c:v>
                </c:pt>
                <c:pt idx="314">
                  <c:v>325</c:v>
                </c:pt>
                <c:pt idx="315">
                  <c:v>326</c:v>
                </c:pt>
                <c:pt idx="316">
                  <c:v>327</c:v>
                </c:pt>
                <c:pt idx="317">
                  <c:v>328</c:v>
                </c:pt>
                <c:pt idx="318">
                  <c:v>329</c:v>
                </c:pt>
                <c:pt idx="319">
                  <c:v>330</c:v>
                </c:pt>
                <c:pt idx="320">
                  <c:v>331</c:v>
                </c:pt>
                <c:pt idx="321">
                  <c:v>332</c:v>
                </c:pt>
                <c:pt idx="322">
                  <c:v>333</c:v>
                </c:pt>
                <c:pt idx="323">
                  <c:v>334</c:v>
                </c:pt>
                <c:pt idx="324">
                  <c:v>335</c:v>
                </c:pt>
                <c:pt idx="325">
                  <c:v>336</c:v>
                </c:pt>
                <c:pt idx="326">
                  <c:v>337</c:v>
                </c:pt>
                <c:pt idx="327">
                  <c:v>338</c:v>
                </c:pt>
                <c:pt idx="328">
                  <c:v>339</c:v>
                </c:pt>
                <c:pt idx="329">
                  <c:v>340</c:v>
                </c:pt>
                <c:pt idx="330">
                  <c:v>341</c:v>
                </c:pt>
                <c:pt idx="331">
                  <c:v>342</c:v>
                </c:pt>
                <c:pt idx="332">
                  <c:v>343</c:v>
                </c:pt>
                <c:pt idx="333">
                  <c:v>344</c:v>
                </c:pt>
                <c:pt idx="334">
                  <c:v>345</c:v>
                </c:pt>
                <c:pt idx="335">
                  <c:v>346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362</c:v>
                </c:pt>
                <c:pt idx="352">
                  <c:v>363</c:v>
                </c:pt>
                <c:pt idx="353">
                  <c:v>364</c:v>
                </c:pt>
                <c:pt idx="354">
                  <c:v>365</c:v>
                </c:pt>
                <c:pt idx="355">
                  <c:v>366</c:v>
                </c:pt>
                <c:pt idx="356">
                  <c:v>367</c:v>
                </c:pt>
                <c:pt idx="357">
                  <c:v>368</c:v>
                </c:pt>
                <c:pt idx="358">
                  <c:v>369</c:v>
                </c:pt>
                <c:pt idx="359">
                  <c:v>370</c:v>
                </c:pt>
                <c:pt idx="360">
                  <c:v>371</c:v>
                </c:pt>
                <c:pt idx="361">
                  <c:v>372</c:v>
                </c:pt>
                <c:pt idx="362">
                  <c:v>373</c:v>
                </c:pt>
                <c:pt idx="363">
                  <c:v>374</c:v>
                </c:pt>
                <c:pt idx="364">
                  <c:v>375</c:v>
                </c:pt>
                <c:pt idx="365">
                  <c:v>376</c:v>
                </c:pt>
                <c:pt idx="366">
                  <c:v>377</c:v>
                </c:pt>
                <c:pt idx="367">
                  <c:v>378</c:v>
                </c:pt>
                <c:pt idx="368">
                  <c:v>379</c:v>
                </c:pt>
                <c:pt idx="369">
                  <c:v>380</c:v>
                </c:pt>
              </c:numCache>
            </c:numRef>
          </c:xVal>
          <c:yVal>
            <c:numRef>
              <c:f>'Markov Model_b (2)'!$G$10:$G$408</c:f>
              <c:numCache>
                <c:formatCode>0.000</c:formatCode>
                <c:ptCount val="399"/>
                <c:pt idx="0" formatCode="General">
                  <c:v>100</c:v>
                </c:pt>
                <c:pt idx="1">
                  <c:v>81.2</c:v>
                </c:pt>
                <c:pt idx="2">
                  <c:v>78.733697622135793</c:v>
                </c:pt>
                <c:pt idx="3">
                  <c:v>76.435841640263902</c:v>
                </c:pt>
                <c:pt idx="4">
                  <c:v>74.292355776136532</c:v>
                </c:pt>
                <c:pt idx="5">
                  <c:v>72.2905631963838</c:v>
                </c:pt>
                <c:pt idx="6">
                  <c:v>70.419026783068134</c:v>
                </c:pt>
                <c:pt idx="7">
                  <c:v>68.667409774657514</c:v>
                </c:pt>
                <c:pt idx="8">
                  <c:v>67.026353927071256</c:v>
                </c:pt>
                <c:pt idx="9">
                  <c:v>65.487372776469897</c:v>
                </c:pt>
                <c:pt idx="10">
                  <c:v>64.042757947242279</c:v>
                </c:pt>
                <c:pt idx="11">
                  <c:v>62.685496752340477</c:v>
                </c:pt>
                <c:pt idx="12">
                  <c:v>61.409199588657238</c:v>
                </c:pt>
                <c:pt idx="13">
                  <c:v>60.208035845664938</c:v>
                </c:pt>
                <c:pt idx="14">
                  <c:v>59.076677227718015</c:v>
                </c:pt>
                <c:pt idx="15">
                  <c:v>58.010247544762841</c:v>
                </c:pt>
                <c:pt idx="16">
                  <c:v>57.004278157236541</c:v>
                </c:pt>
                <c:pt idx="17">
                  <c:v>56.054668372425574</c:v>
                </c:pt>
                <c:pt idx="18">
                  <c:v>55.157650184607256</c:v>
                </c:pt>
                <c:pt idx="19">
                  <c:v>54.309756832502096</c:v>
                </c:pt>
                <c:pt idx="20">
                  <c:v>53.507794717076003</c:v>
                </c:pt>
                <c:pt idx="21">
                  <c:v>52.748818282348878</c:v>
                </c:pt>
                <c:pt idx="22">
                  <c:v>52.03010751309543</c:v>
                </c:pt>
                <c:pt idx="23">
                  <c:v>51.349147747427644</c:v>
                </c:pt>
                <c:pt idx="24">
                  <c:v>50.703611540285912</c:v>
                </c:pt>
                <c:pt idx="25">
                  <c:v>50.091342346731096</c:v>
                </c:pt>
                <c:pt idx="26">
                  <c:v>49.510339822375506</c:v>
                </c:pt>
                <c:pt idx="27">
                  <c:v>48.958746562952911</c:v>
                </c:pt>
                <c:pt idx="28">
                  <c:v>48.434836126446541</c:v>
                </c:pt>
                <c:pt idx="29">
                  <c:v>47.93700219982555</c:v>
                </c:pt>
                <c:pt idx="30">
                  <c:v>47.463748788674181</c:v>
                </c:pt>
                <c:pt idx="31">
                  <c:v>47.013681322164743</c:v>
                </c:pt>
                <c:pt idx="32">
                  <c:v>46.58549857820735</c:v>
                </c:pt>
                <c:pt idx="33">
                  <c:v>46.177985344448203</c:v>
                </c:pt>
                <c:pt idx="34">
                  <c:v>45.790005740289814</c:v>
                </c:pt>
                <c:pt idx="35">
                  <c:v>45.420497133448563</c:v>
                </c:pt>
                <c:pt idx="36">
                  <c:v>45.068464591898959</c:v>
                </c:pt>
                <c:pt idx="37">
                  <c:v>44.732975818511356</c:v>
                </c:pt>
                <c:pt idx="38">
                  <c:v>44.413156521382305</c:v>
                </c:pt>
                <c:pt idx="39">
                  <c:v>44.108186177883184</c:v>
                </c:pt>
                <c:pt idx="40">
                  <c:v>43.817294154894711</c:v>
                </c:pt>
                <c:pt idx="41">
                  <c:v>43.539756151628325</c:v>
                </c:pt>
                <c:pt idx="42">
                  <c:v>43.274890934919917</c:v>
                </c:pt>
                <c:pt idx="43">
                  <c:v>43.022057339974801</c:v>
                </c:pt>
                <c:pt idx="44">
                  <c:v>42.780651512290333</c:v>
                </c:pt>
                <c:pt idx="45">
                  <c:v>42.550104368926853</c:v>
                </c:pt>
                <c:pt idx="46">
                  <c:v>42.329879259474907</c:v>
                </c:pt>
                <c:pt idx="47">
                  <c:v>42.119469809007185</c:v>
                </c:pt>
                <c:pt idx="48">
                  <c:v>41.918397927036501</c:v>
                </c:pt>
                <c:pt idx="49">
                  <c:v>41.726211968049533</c:v>
                </c:pt>
                <c:pt idx="50">
                  <c:v>41.542485030570774</c:v>
                </c:pt>
                <c:pt idx="51">
                  <c:v>41.366813382952181</c:v>
                </c:pt>
                <c:pt idx="52">
                  <c:v>41.198815005195698</c:v>
                </c:pt>
                <c:pt idx="53">
                  <c:v>41.038128237114186</c:v>
                </c:pt>
                <c:pt idx="54">
                  <c:v>40.884410524032965</c:v>
                </c:pt>
                <c:pt idx="55">
                  <c:v>40.737337252040369</c:v>
                </c:pt>
                <c:pt idx="56">
                  <c:v>40.596600665521642</c:v>
                </c:pt>
                <c:pt idx="57">
                  <c:v>40.461908860364623</c:v>
                </c:pt>
                <c:pt idx="58">
                  <c:v>40.33298484681513</c:v>
                </c:pt>
                <c:pt idx="59">
                  <c:v>40.209565676492971</c:v>
                </c:pt>
                <c:pt idx="60">
                  <c:v>40.091401628559886</c:v>
                </c:pt>
                <c:pt idx="61">
                  <c:v>39.97825545046652</c:v>
                </c:pt>
                <c:pt idx="62">
                  <c:v>39.945566542912758</c:v>
                </c:pt>
                <c:pt idx="63">
                  <c:v>39.912904364005982</c:v>
                </c:pt>
                <c:pt idx="64">
                  <c:v>39.880268891891049</c:v>
                </c:pt>
                <c:pt idx="65">
                  <c:v>39.8476601047307</c:v>
                </c:pt>
                <c:pt idx="66">
                  <c:v>39.815077980705524</c:v>
                </c:pt>
                <c:pt idx="67">
                  <c:v>39.782522498013947</c:v>
                </c:pt>
                <c:pt idx="68">
                  <c:v>39.749993634872219</c:v>
                </c:pt>
                <c:pt idx="69">
                  <c:v>39.71749136951442</c:v>
                </c:pt>
                <c:pt idx="70">
                  <c:v>39.685015680192407</c:v>
                </c:pt>
                <c:pt idx="71">
                  <c:v>39.65256654517583</c:v>
                </c:pt>
                <c:pt idx="72">
                  <c:v>39.620143942752101</c:v>
                </c:pt>
                <c:pt idx="73">
                  <c:v>39.587747851226389</c:v>
                </c:pt>
                <c:pt idx="74">
                  <c:v>39.553050666519418</c:v>
                </c:pt>
                <c:pt idx="75">
                  <c:v>39.518383892600937</c:v>
                </c:pt>
                <c:pt idx="76">
                  <c:v>39.483747502817018</c:v>
                </c:pt>
                <c:pt idx="77">
                  <c:v>39.4491414705371</c:v>
                </c:pt>
                <c:pt idx="78">
                  <c:v>39.414565769153967</c:v>
                </c:pt>
                <c:pt idx="79">
                  <c:v>39.38002037208372</c:v>
                </c:pt>
                <c:pt idx="80">
                  <c:v>39.345505252765761</c:v>
                </c:pt>
                <c:pt idx="81">
                  <c:v>39.311020384662761</c:v>
                </c:pt>
                <c:pt idx="82">
                  <c:v>39.276565741260661</c:v>
                </c:pt>
                <c:pt idx="83">
                  <c:v>39.242141296068645</c:v>
                </c:pt>
                <c:pt idx="84">
                  <c:v>39.207747022619102</c:v>
                </c:pt>
                <c:pt idx="85">
                  <c:v>39.173382894467622</c:v>
                </c:pt>
                <c:pt idx="86">
                  <c:v>39.136694700020605</c:v>
                </c:pt>
                <c:pt idx="87">
                  <c:v>39.100040866241784</c:v>
                </c:pt>
                <c:pt idx="88">
                  <c:v>39.063421360950358</c:v>
                </c:pt>
                <c:pt idx="89">
                  <c:v>39.026836151995667</c:v>
                </c:pt>
                <c:pt idx="90">
                  <c:v>38.990285207257152</c:v>
                </c:pt>
                <c:pt idx="91">
                  <c:v>38.953768494644351</c:v>
                </c:pt>
                <c:pt idx="92">
                  <c:v>38.91728598209685</c:v>
                </c:pt>
                <c:pt idx="93">
                  <c:v>38.880837637584257</c:v>
                </c:pt>
                <c:pt idx="94">
                  <c:v>38.844423429106179</c:v>
                </c:pt>
                <c:pt idx="95">
                  <c:v>38.808043324692207</c:v>
                </c:pt>
                <c:pt idx="96">
                  <c:v>38.771697292401853</c:v>
                </c:pt>
                <c:pt idx="97">
                  <c:v>38.735385300324566</c:v>
                </c:pt>
                <c:pt idx="98">
                  <c:v>38.696689795234889</c:v>
                </c:pt>
                <c:pt idx="99">
                  <c:v>38.658032945811151</c:v>
                </c:pt>
                <c:pt idx="100">
                  <c:v>38.619414713437479</c:v>
                </c:pt>
                <c:pt idx="101">
                  <c:v>38.580835059536589</c:v>
                </c:pt>
                <c:pt idx="102">
                  <c:v>38.542293945569725</c:v>
                </c:pt>
                <c:pt idx="103">
                  <c:v>38.503791333036624</c:v>
                </c:pt>
                <c:pt idx="104">
                  <c:v>38.465327183475502</c:v>
                </c:pt>
                <c:pt idx="105">
                  <c:v>38.426901458462979</c:v>
                </c:pt>
                <c:pt idx="106">
                  <c:v>38.388514119614072</c:v>
                </c:pt>
                <c:pt idx="107">
                  <c:v>38.350165128582134</c:v>
                </c:pt>
                <c:pt idx="108">
                  <c:v>38.311854447058835</c:v>
                </c:pt>
                <c:pt idx="109">
                  <c:v>38.273582036774101</c:v>
                </c:pt>
                <c:pt idx="110">
                  <c:v>38.082411150384104</c:v>
                </c:pt>
                <c:pt idx="111">
                  <c:v>37.87954855953484</c:v>
                </c:pt>
                <c:pt idx="112">
                  <c:v>37.677766604851271</c:v>
                </c:pt>
                <c:pt idx="113">
                  <c:v>37.47705952985303</c:v>
                </c:pt>
                <c:pt idx="114">
                  <c:v>37.277421608724147</c:v>
                </c:pt>
                <c:pt idx="115">
                  <c:v>37.078847146149712</c:v>
                </c:pt>
                <c:pt idx="116">
                  <c:v>36.881330477153405</c:v>
                </c:pt>
                <c:pt idx="117">
                  <c:v>36.68486596693586</c:v>
                </c:pt>
                <c:pt idx="118">
                  <c:v>36.48944801071395</c:v>
                </c:pt>
                <c:pt idx="119">
                  <c:v>36.295071033560852</c:v>
                </c:pt>
                <c:pt idx="120">
                  <c:v>36.101729490247045</c:v>
                </c:pt>
                <c:pt idx="121">
                  <c:v>35.909417865082077</c:v>
                </c:pt>
                <c:pt idx="122">
                  <c:v>35.718130671757237</c:v>
                </c:pt>
                <c:pt idx="123">
                  <c:v>35.514138730926206</c:v>
                </c:pt>
                <c:pt idx="124">
                  <c:v>35.311311820603251</c:v>
                </c:pt>
                <c:pt idx="125">
                  <c:v>35.109643287113329</c:v>
                </c:pt>
                <c:pt idx="126">
                  <c:v>34.909126514781605</c:v>
                </c:pt>
                <c:pt idx="127">
                  <c:v>34.70975492571641</c:v>
                </c:pt>
                <c:pt idx="128">
                  <c:v>34.511521979593482</c:v>
                </c:pt>
                <c:pt idx="129">
                  <c:v>34.31442117344136</c:v>
                </c:pt>
                <c:pt idx="130">
                  <c:v>34.118446041428129</c:v>
                </c:pt>
                <c:pt idx="131">
                  <c:v>33.923590154649233</c:v>
                </c:pt>
                <c:pt idx="132">
                  <c:v>33.729847120916645</c:v>
                </c:pt>
                <c:pt idx="133">
                  <c:v>33.537210584549129</c:v>
                </c:pt>
                <c:pt idx="134">
                  <c:v>33.345674226163766</c:v>
                </c:pt>
                <c:pt idx="135">
                  <c:v>33.141169497863459</c:v>
                </c:pt>
                <c:pt idx="136">
                  <c:v>32.937918970741194</c:v>
                </c:pt>
                <c:pt idx="137">
                  <c:v>32.735914952942579</c:v>
                </c:pt>
                <c:pt idx="138">
                  <c:v>32.535149799786353</c:v>
                </c:pt>
                <c:pt idx="139">
                  <c:v>32.33561591347511</c:v>
                </c:pt>
                <c:pt idx="140">
                  <c:v>32.137305742807769</c:v>
                </c:pt>
                <c:pt idx="141">
                  <c:v>31.940211782893769</c:v>
                </c:pt>
                <c:pt idx="142">
                  <c:v>31.744326574869106</c:v>
                </c:pt>
                <c:pt idx="143">
                  <c:v>31.549642705614005</c:v>
                </c:pt>
                <c:pt idx="144">
                  <c:v>31.356152807472412</c:v>
                </c:pt>
                <c:pt idx="145">
                  <c:v>31.163849557973151</c:v>
                </c:pt>
                <c:pt idx="146">
                  <c:v>30.972725679552838</c:v>
                </c:pt>
                <c:pt idx="147">
                  <c:v>30.767723066774707</c:v>
                </c:pt>
                <c:pt idx="148">
                  <c:v>30.564077327514283</c:v>
                </c:pt>
                <c:pt idx="149">
                  <c:v>30.361779480882419</c:v>
                </c:pt>
                <c:pt idx="150">
                  <c:v>30.160820605432747</c:v>
                </c:pt>
                <c:pt idx="151">
                  <c:v>29.961191838768272</c:v>
                </c:pt>
                <c:pt idx="152">
                  <c:v>29.762884377150556</c:v>
                </c:pt>
                <c:pt idx="153">
                  <c:v>29.565889475111405</c:v>
                </c:pt>
                <c:pt idx="154">
                  <c:v>29.370198445067231</c:v>
                </c:pt>
                <c:pt idx="155">
                  <c:v>29.175802656935943</c:v>
                </c:pt>
                <c:pt idx="156">
                  <c:v>28.982693537756305</c:v>
                </c:pt>
                <c:pt idx="157">
                  <c:v>28.790862571309901</c:v>
                </c:pt>
                <c:pt idx="158">
                  <c:v>28.60030129774556</c:v>
                </c:pt>
                <c:pt idx="159">
                  <c:v>28.39490937874217</c:v>
                </c:pt>
                <c:pt idx="160">
                  <c:v>28.190992473584018</c:v>
                </c:pt>
                <c:pt idx="161">
                  <c:v>27.988539989518202</c:v>
                </c:pt>
                <c:pt idx="162">
                  <c:v>27.787541409863266</c:v>
                </c:pt>
                <c:pt idx="163">
                  <c:v>27.587986293462876</c:v>
                </c:pt>
                <c:pt idx="164">
                  <c:v>27.389864274143449</c:v>
                </c:pt>
                <c:pt idx="165">
                  <c:v>27.193165060175659</c:v>
                </c:pt>
                <c:pt idx="166">
                  <c:v>26.997878433739828</c:v>
                </c:pt>
                <c:pt idx="167">
                  <c:v>26.803994250395121</c:v>
                </c:pt>
                <c:pt idx="168">
                  <c:v>26.61150243855262</c:v>
                </c:pt>
                <c:pt idx="169">
                  <c:v>26.420392998952124</c:v>
                </c:pt>
                <c:pt idx="170">
                  <c:v>26.230656004142702</c:v>
                </c:pt>
                <c:pt idx="171">
                  <c:v>26.027526859474307</c:v>
                </c:pt>
                <c:pt idx="172">
                  <c:v>25.825970738729026</c:v>
                </c:pt>
                <c:pt idx="173">
                  <c:v>25.625975460472901</c:v>
                </c:pt>
                <c:pt idx="174">
                  <c:v>25.427528937604507</c:v>
                </c:pt>
                <c:pt idx="175">
                  <c:v>25.23061917662443</c:v>
                </c:pt>
                <c:pt idx="176">
                  <c:v>25.03523427691043</c:v>
                </c:pt>
                <c:pt idx="177">
                  <c:v>24.841362429998227</c:v>
                </c:pt>
                <c:pt idx="178">
                  <c:v>24.648991918867807</c:v>
                </c:pt>
                <c:pt idx="179">
                  <c:v>24.458111117235276</c:v>
                </c:pt>
                <c:pt idx="180">
                  <c:v>24.268708488850223</c:v>
                </c:pt>
                <c:pt idx="181">
                  <c:v>24.080772586798503</c:v>
                </c:pt>
                <c:pt idx="182">
                  <c:v>23.894292052810414</c:v>
                </c:pt>
                <c:pt idx="183">
                  <c:v>23.690108519488717</c:v>
                </c:pt>
                <c:pt idx="184">
                  <c:v>23.487669792633241</c:v>
                </c:pt>
                <c:pt idx="185">
                  <c:v>23.28696096237563</c:v>
                </c:pt>
                <c:pt idx="186">
                  <c:v>23.087967246256582</c:v>
                </c:pt>
                <c:pt idx="187">
                  <c:v>22.890673988137138</c:v>
                </c:pt>
                <c:pt idx="188">
                  <c:v>22.695066657119213</c:v>
                </c:pt>
                <c:pt idx="189">
                  <c:v>22.501130846475391</c:v>
                </c:pt>
                <c:pt idx="190">
                  <c:v>22.308852272587828</c:v>
                </c:pt>
                <c:pt idx="191">
                  <c:v>22.118216773896279</c:v>
                </c:pt>
                <c:pt idx="192">
                  <c:v>21.92921030985508</c:v>
                </c:pt>
                <c:pt idx="193">
                  <c:v>21.741818959899007</c:v>
                </c:pt>
                <c:pt idx="194">
                  <c:v>21.556028922418037</c:v>
                </c:pt>
                <c:pt idx="195">
                  <c:v>21.355476043705451</c:v>
                </c:pt>
                <c:pt idx="196">
                  <c:v>21.156789067905905</c:v>
                </c:pt>
                <c:pt idx="197">
                  <c:v>20.959950635040798</c:v>
                </c:pt>
                <c:pt idx="198">
                  <c:v>20.764943546645242</c:v>
                </c:pt>
                <c:pt idx="199">
                  <c:v>20.571750764265317</c:v>
                </c:pt>
                <c:pt idx="200">
                  <c:v>20.380355407969404</c:v>
                </c:pt>
                <c:pt idx="201">
                  <c:v>20.190740754873289</c:v>
                </c:pt>
                <c:pt idx="202">
                  <c:v>20.002890237679082</c:v>
                </c:pt>
                <c:pt idx="203">
                  <c:v>19.816787443227625</c:v>
                </c:pt>
                <c:pt idx="204">
                  <c:v>19.632416111064416</c:v>
                </c:pt>
                <c:pt idx="205">
                  <c:v>19.449760132018909</c:v>
                </c:pt>
                <c:pt idx="206">
                  <c:v>19.268803546796988</c:v>
                </c:pt>
                <c:pt idx="207">
                  <c:v>19.072370083185675</c:v>
                </c:pt>
                <c:pt idx="208">
                  <c:v>18.877939136520084</c:v>
                </c:pt>
                <c:pt idx="209">
                  <c:v>18.685490292385879</c:v>
                </c:pt>
                <c:pt idx="210">
                  <c:v>18.495003344480949</c:v>
                </c:pt>
                <c:pt idx="211">
                  <c:v>18.306458292493886</c:v>
                </c:pt>
                <c:pt idx="212">
                  <c:v>18.119835340004002</c:v>
                </c:pt>
                <c:pt idx="213">
                  <c:v>17.935114892402808</c:v>
                </c:pt>
                <c:pt idx="214">
                  <c:v>17.752277554836652</c:v>
                </c:pt>
                <c:pt idx="215">
                  <c:v>17.571304130170347</c:v>
                </c:pt>
                <c:pt idx="216">
                  <c:v>17.392175616971571</c:v>
                </c:pt>
                <c:pt idx="217">
                  <c:v>17.214873207515751</c:v>
                </c:pt>
                <c:pt idx="218">
                  <c:v>17.039378285811381</c:v>
                </c:pt>
                <c:pt idx="219">
                  <c:v>16.850060176292629</c:v>
                </c:pt>
                <c:pt idx="220">
                  <c:v>16.662845508929479</c:v>
                </c:pt>
                <c:pt idx="221">
                  <c:v>16.477710913168991</c:v>
                </c:pt>
                <c:pt idx="222">
                  <c:v>16.294633278119633</c:v>
                </c:pt>
                <c:pt idx="223">
                  <c:v>16.113589749666261</c:v>
                </c:pt>
                <c:pt idx="224">
                  <c:v>15.934557727617204</c:v>
                </c:pt>
                <c:pt idx="225">
                  <c:v>15.757514862882985</c:v>
                </c:pt>
                <c:pt idx="226">
                  <c:v>15.582439054686461</c:v>
                </c:pt>
                <c:pt idx="227">
                  <c:v>15.40930844780388</c:v>
                </c:pt>
                <c:pt idx="228">
                  <c:v>15.238101429836632</c:v>
                </c:pt>
                <c:pt idx="229">
                  <c:v>15.06879662851334</c:v>
                </c:pt>
                <c:pt idx="230">
                  <c:v>14.901372909021873</c:v>
                </c:pt>
                <c:pt idx="231">
                  <c:v>14.718608167365758</c:v>
                </c:pt>
                <c:pt idx="232">
                  <c:v>14.538085027942984</c:v>
                </c:pt>
                <c:pt idx="233">
                  <c:v>14.359775997591967</c:v>
                </c:pt>
                <c:pt idx="234">
                  <c:v>14.183653920353663</c:v>
                </c:pt>
                <c:pt idx="235">
                  <c:v>14.009691973335762</c:v>
                </c:pt>
                <c:pt idx="236">
                  <c:v>13.837863662627683</c:v>
                </c:pt>
                <c:pt idx="237">
                  <c:v>13.668142819265555</c:v>
                </c:pt>
                <c:pt idx="238">
                  <c:v>13.50050359524684</c:v>
                </c:pt>
                <c:pt idx="239">
                  <c:v>13.33492045959369</c:v>
                </c:pt>
                <c:pt idx="240">
                  <c:v>13.171368194464691</c:v>
                </c:pt>
                <c:pt idx="241">
                  <c:v>13.009821891314232</c:v>
                </c:pt>
                <c:pt idx="242">
                  <c:v>12.850256947099027</c:v>
                </c:pt>
                <c:pt idx="243">
                  <c:v>12.676349127093332</c:v>
                </c:pt>
                <c:pt idx="244">
                  <c:v>12.50479487324462</c:v>
                </c:pt>
                <c:pt idx="245">
                  <c:v>12.3355623337727</c:v>
                </c:pt>
                <c:pt idx="246">
                  <c:v>12.168620087960647</c:v>
                </c:pt>
                <c:pt idx="247">
                  <c:v>12.003937140321028</c:v>
                </c:pt>
                <c:pt idx="248">
                  <c:v>11.841482914841137</c:v>
                </c:pt>
                <c:pt idx="249">
                  <c:v>11.681227249306019</c:v>
                </c:pt>
                <c:pt idx="250">
                  <c:v>11.523140389698398</c:v>
                </c:pt>
                <c:pt idx="251">
                  <c:v>11.367192984674375</c:v>
                </c:pt>
                <c:pt idx="252">
                  <c:v>11.213356080113883</c:v>
                </c:pt>
                <c:pt idx="253">
                  <c:v>11.061601113744871</c:v>
                </c:pt>
                <c:pt idx="254">
                  <c:v>10.911899909840287</c:v>
                </c:pt>
                <c:pt idx="255">
                  <c:v>10.748075258155112</c:v>
                </c:pt>
                <c:pt idx="256">
                  <c:v>10.58671017049835</c:v>
                </c:pt>
                <c:pt idx="257">
                  <c:v>10.427767720466377</c:v>
                </c:pt>
                <c:pt idx="258">
                  <c:v>10.271211536046224</c:v>
                </c:pt>
                <c:pt idx="259">
                  <c:v>10.117005791292272</c:v>
                </c:pt>
                <c:pt idx="260">
                  <c:v>9.9651151981279611</c:v>
                </c:pt>
                <c:pt idx="261">
                  <c:v>9.815504998270498</c:v>
                </c:pt>
                <c:pt idx="262">
                  <c:v>9.6681409552768827</c:v>
                </c:pt>
                <c:pt idx="263">
                  <c:v>9.5229893467093376</c:v>
                </c:pt>
                <c:pt idx="264">
                  <c:v>9.3800169564183165</c:v>
                </c:pt>
                <c:pt idx="265">
                  <c:v>9.2391910669414159</c:v>
                </c:pt>
                <c:pt idx="266">
                  <c:v>9.1004794520163728</c:v>
                </c:pt>
                <c:pt idx="267">
                  <c:v>8.94887463331888</c:v>
                </c:pt>
                <c:pt idx="268">
                  <c:v>8.7997953981550268</c:v>
                </c:pt>
                <c:pt idx="269">
                  <c:v>8.653199672847748</c:v>
                </c:pt>
                <c:pt idx="270">
                  <c:v>8.5090460846250267</c:v>
                </c:pt>
                <c:pt idx="271">
                  <c:v>8.3672939499435444</c:v>
                </c:pt>
                <c:pt idx="272">
                  <c:v>8.2279032630068514</c:v>
                </c:pt>
                <c:pt idx="273">
                  <c:v>8.0908346844747285</c:v>
                </c:pt>
                <c:pt idx="274">
                  <c:v>7.9560495303607439</c:v>
                </c:pt>
                <c:pt idx="275">
                  <c:v>7.8235097611146927</c:v>
                </c:pt>
                <c:pt idx="276">
                  <c:v>7.6931779708869641</c:v>
                </c:pt>
                <c:pt idx="277">
                  <c:v>7.5650173769717242</c:v>
                </c:pt>
                <c:pt idx="278">
                  <c:v>7.4389918094259286</c:v>
                </c:pt>
                <c:pt idx="279">
                  <c:v>7.3017401498731687</c:v>
                </c:pt>
                <c:pt idx="280">
                  <c:v>7.16702082514918</c:v>
                </c:pt>
                <c:pt idx="281">
                  <c:v>7.0347871129068267</c:v>
                </c:pt>
                <c:pt idx="282">
                  <c:v>6.9049931528404329</c:v>
                </c:pt>
                <c:pt idx="283">
                  <c:v>6.7775939307809381</c:v>
                </c:pt>
                <c:pt idx="284">
                  <c:v>6.6525452630843773</c:v>
                </c:pt>
                <c:pt idx="285">
                  <c:v>6.5298037813084164</c:v>
                </c:pt>
                <c:pt idx="286">
                  <c:v>6.4093269171716827</c:v>
                </c:pt>
                <c:pt idx="287">
                  <c:v>6.2910728877905342</c:v>
                </c:pt>
                <c:pt idx="288">
                  <c:v>6.175000681188223</c:v>
                </c:pt>
                <c:pt idx="289">
                  <c:v>6.0610700420714352</c:v>
                </c:pt>
                <c:pt idx="290">
                  <c:v>5.949241457869249</c:v>
                </c:pt>
                <c:pt idx="291">
                  <c:v>5.827133045781693</c:v>
                </c:pt>
                <c:pt idx="292">
                  <c:v>5.7075309135969121</c:v>
                </c:pt>
                <c:pt idx="293">
                  <c:v>5.5903836198225036</c:v>
                </c:pt>
                <c:pt idx="294">
                  <c:v>5.4756407788047028</c:v>
                </c:pt>
                <c:pt idx="295">
                  <c:v>5.3632530390572697</c:v>
                </c:pt>
                <c:pt idx="296">
                  <c:v>5.2531720620351052</c:v>
                </c:pt>
                <c:pt idx="297">
                  <c:v>5.1453505013436427</c:v>
                </c:pt>
                <c:pt idx="298">
                  <c:v>5.0397419823749061</c:v>
                </c:pt>
                <c:pt idx="299">
                  <c:v>4.9363010823615525</c:v>
                </c:pt>
                <c:pt idx="300">
                  <c:v>4.8349833108402862</c:v>
                </c:pt>
                <c:pt idx="301">
                  <c:v>4.7357450905163176</c:v>
                </c:pt>
                <c:pt idx="302">
                  <c:v>4.6385437385205108</c:v>
                </c:pt>
                <c:pt idx="303">
                  <c:v>4.5330943887760782</c:v>
                </c:pt>
                <c:pt idx="304">
                  <c:v>4.4300422494468847</c:v>
                </c:pt>
                <c:pt idx="305">
                  <c:v>4.3293328240586675</c:v>
                </c:pt>
                <c:pt idx="306">
                  <c:v>4.2309128550211881</c:v>
                </c:pt>
                <c:pt idx="307">
                  <c:v>4.1347302954643368</c:v>
                </c:pt>
                <c:pt idx="308">
                  <c:v>4.040734281714478</c:v>
                </c:pt>
                <c:pt idx="309">
                  <c:v>3.948875106396514</c:v>
                </c:pt>
                <c:pt idx="310">
                  <c:v>3.8591041921473987</c:v>
                </c:pt>
                <c:pt idx="311">
                  <c:v>3.7713740659272759</c:v>
                </c:pt>
                <c:pt idx="312">
                  <c:v>3.685638333914568</c:v>
                </c:pt>
                <c:pt idx="313">
                  <c:v>3.6018516569717747</c:v>
                </c:pt>
                <c:pt idx="314">
                  <c:v>3.5199697266690748</c:v>
                </c:pt>
                <c:pt idx="315">
                  <c:v>3.4306327491664348</c:v>
                </c:pt>
                <c:pt idx="316">
                  <c:v>3.3435631478542263</c:v>
                </c:pt>
                <c:pt idx="317">
                  <c:v>3.2587033766308053</c:v>
                </c:pt>
                <c:pt idx="318">
                  <c:v>3.1759973499169547</c:v>
                </c:pt>
                <c:pt idx="319">
                  <c:v>3.0953904055877786</c:v>
                </c:pt>
                <c:pt idx="320">
                  <c:v>3.0168292688453988</c:v>
                </c:pt>
                <c:pt idx="321">
                  <c:v>2.940262017008493</c:v>
                </c:pt>
                <c:pt idx="322">
                  <c:v>2.8656380451955528</c:v>
                </c:pt>
                <c:pt idx="323">
                  <c:v>2.7929080328790548</c:v>
                </c:pt>
                <c:pt idx="324">
                  <c:v>2.7220239112885025</c:v>
                </c:pt>
                <c:pt idx="325">
                  <c:v>2.652938831640796</c:v>
                </c:pt>
                <c:pt idx="326">
                  <c:v>2.5856071341768967</c:v>
                </c:pt>
                <c:pt idx="327">
                  <c:v>2.5116096940633952</c:v>
                </c:pt>
                <c:pt idx="328">
                  <c:v>2.4397299852443979</c:v>
                </c:pt>
                <c:pt idx="329">
                  <c:v>2.3699074004093177</c:v>
                </c:pt>
                <c:pt idx="330">
                  <c:v>2.3020830667670111</c:v>
                </c:pt>
                <c:pt idx="331">
                  <c:v>2.236199796405586</c:v>
                </c:pt>
                <c:pt idx="332">
                  <c:v>2.1722020380728821</c:v>
                </c:pt>
                <c:pt idx="333">
                  <c:v>2.1100358303369546</c:v>
                </c:pt>
                <c:pt idx="334">
                  <c:v>2.0496487560870236</c:v>
                </c:pt>
                <c:pt idx="335">
                  <c:v>1.990989898336565</c:v>
                </c:pt>
                <c:pt idx="336">
                  <c:v>1.93400979729131</c:v>
                </c:pt>
                <c:pt idx="337">
                  <c:v>1.8786604086458709</c:v>
                </c:pt>
                <c:pt idx="338">
                  <c:v>1.824895063073896</c:v>
                </c:pt>
                <c:pt idx="339">
                  <c:v>1.766586945706436</c:v>
                </c:pt>
                <c:pt idx="340">
                  <c:v>1.7101418596001849</c:v>
                </c:pt>
                <c:pt idx="341">
                  <c:v>1.655500278129395</c:v>
                </c:pt>
                <c:pt idx="342">
                  <c:v>1.602604576632757</c:v>
                </c:pt>
                <c:pt idx="343">
                  <c:v>1.5513989716427687</c:v>
                </c:pt>
                <c:pt idx="344">
                  <c:v>1.5018294620568611</c:v>
                </c:pt>
                <c:pt idx="345">
                  <c:v>1.4538437721881934</c:v>
                </c:pt>
                <c:pt idx="346">
                  <c:v>1.4073912966360211</c:v>
                </c:pt>
                <c:pt idx="347">
                  <c:v>1.3624230469176126</c:v>
                </c:pt>
                <c:pt idx="348">
                  <c:v>1.3188915998052551</c:v>
                </c:pt>
                <c:pt idx="349">
                  <c:v>1.2767510473140504</c:v>
                </c:pt>
                <c:pt idx="350">
                  <c:v>1.2359569482876509</c:v>
                </c:pt>
                <c:pt idx="351">
                  <c:v>1.1920784919777674</c:v>
                </c:pt>
                <c:pt idx="352">
                  <c:v>1.149757791324987</c:v>
                </c:pt>
                <c:pt idx="353">
                  <c:v>1.1089395435021174</c:v>
                </c:pt>
                <c:pt idx="354">
                  <c:v>1.0695704090211109</c:v>
                </c:pt>
                <c:pt idx="355">
                  <c:v>1.0315989420314224</c:v>
                </c:pt>
                <c:pt idx="356">
                  <c:v>0.99497552309279058</c:v>
                </c:pt>
                <c:pt idx="357">
                  <c:v>0.95965229433477361</c:v>
                </c:pt>
                <c:pt idx="358">
                  <c:v>0.92558309691816021</c:v>
                </c:pt>
                <c:pt idx="359">
                  <c:v>0.89272341071665551</c:v>
                </c:pt>
                <c:pt idx="360">
                  <c:v>0.8610302961399583</c:v>
                </c:pt>
                <c:pt idx="361">
                  <c:v>0.83046233802215852</c:v>
                </c:pt>
                <c:pt idx="362">
                  <c:v>0.80097959150222664</c:v>
                </c:pt>
                <c:pt idx="363">
                  <c:v>0.76930757655640036</c:v>
                </c:pt>
                <c:pt idx="364">
                  <c:v>0.73888792376982337</c:v>
                </c:pt>
                <c:pt idx="365">
                  <c:v>0.70967111273841965</c:v>
                </c:pt>
                <c:pt idx="366">
                  <c:v>0.68160958117414339</c:v>
                </c:pt>
                <c:pt idx="367">
                  <c:v>0.65465764747794708</c:v>
                </c:pt>
                <c:pt idx="368">
                  <c:v>0.62877143637432198</c:v>
                </c:pt>
                <c:pt idx="369">
                  <c:v>0.60390880748634856</c:v>
                </c:pt>
                <c:pt idx="370">
                  <c:v>0.58002928673506915</c:v>
                </c:pt>
                <c:pt idx="371">
                  <c:v>0.5570940004513858</c:v>
                </c:pt>
                <c:pt idx="372">
                  <c:v>0.53506561209327685</c:v>
                </c:pt>
                <c:pt idx="373">
                  <c:v>0.51390826146536028</c:v>
                </c:pt>
                <c:pt idx="374">
                  <c:v>0.49358750634175408</c:v>
                </c:pt>
                <c:pt idx="375">
                  <c:v>0.47157433633714163</c:v>
                </c:pt>
                <c:pt idx="376">
                  <c:v>0.45054291657422141</c:v>
                </c:pt>
                <c:pt idx="377">
                  <c:v>0.43044946264863881</c:v>
                </c:pt>
                <c:pt idx="378">
                  <c:v>0.41125214286655876</c:v>
                </c:pt>
                <c:pt idx="379">
                  <c:v>0.39291099115715156</c:v>
                </c:pt>
                <c:pt idx="380">
                  <c:v>0.37538782386889125</c:v>
                </c:pt>
                <c:pt idx="381">
                  <c:v>0.35864616027669172</c:v>
                </c:pt>
                <c:pt idx="382">
                  <c:v>0.34265114663425322</c:v>
                </c:pt>
                <c:pt idx="383">
                  <c:v>0.3273694836135661</c:v>
                </c:pt>
                <c:pt idx="384">
                  <c:v>0.31276935698045349</c:v>
                </c:pt>
                <c:pt idx="385">
                  <c:v>0.29882037136192707</c:v>
                </c:pt>
                <c:pt idx="386">
                  <c:v>0.28549348696734</c:v>
                </c:pt>
                <c:pt idx="387">
                  <c:v>0.27115769902623299</c:v>
                </c:pt>
                <c:pt idx="388">
                  <c:v>0.25754176924397143</c:v>
                </c:pt>
                <c:pt idx="389">
                  <c:v>0.2446095506176249</c:v>
                </c:pt>
                <c:pt idx="390">
                  <c:v>0.23232671123213322</c:v>
                </c:pt>
                <c:pt idx="391">
                  <c:v>0.22066064311738387</c:v>
                </c:pt>
                <c:pt idx="392">
                  <c:v>0.20958037568192367</c:v>
                </c:pt>
                <c:pt idx="393">
                  <c:v>0.19905649349354348</c:v>
                </c:pt>
                <c:pt idx="394">
                  <c:v>0.18906105818838626</c:v>
                </c:pt>
                <c:pt idx="395">
                  <c:v>0.17956753430136985</c:v>
                </c:pt>
                <c:pt idx="396">
                  <c:v>0.17055071882093387</c:v>
                </c:pt>
                <c:pt idx="397">
                  <c:v>0.16198667428109559</c:v>
                </c:pt>
                <c:pt idx="398">
                  <c:v>0.15385266521333563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1E-432E-AC32-F508473DA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11840"/>
        <c:axId val="810202984"/>
      </c:scatterChart>
      <c:valAx>
        <c:axId val="810211840"/>
        <c:scaling>
          <c:orientation val="minMax"/>
          <c:max val="40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Months</a:t>
                </a:r>
                <a:r>
                  <a:rPr lang="en-US" sz="1400" b="1" baseline="0">
                    <a:solidFill>
                      <a:sysClr val="windowText" lastClr="000000"/>
                    </a:solidFill>
                  </a:rPr>
                  <a:t> Post-Transplant</a:t>
                </a:r>
                <a:endParaRPr lang="en-US" sz="1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02984"/>
        <c:crosses val="autoZero"/>
        <c:crossBetween val="midCat"/>
        <c:majorUnit val="12"/>
      </c:valAx>
      <c:valAx>
        <c:axId val="8102029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% Survival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11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Estimated</a:t>
            </a:r>
            <a:r>
              <a:rPr lang="en-US" sz="1600" b="1" baseline="0">
                <a:solidFill>
                  <a:sysClr val="windowText" lastClr="000000"/>
                </a:solidFill>
              </a:rPr>
              <a:t> Survival Curves: Letermovir vs PET-Alone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'Markov Model_b (3)'!$P$7</c:f>
              <c:strCache>
                <c:ptCount val="1"/>
                <c:pt idx="0">
                  <c:v>PET Only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'Markov Model_b (3)'!$AC$23:$AC$400</c:f>
              <c:numCache>
                <c:formatCode>General</c:formatCode>
                <c:ptCount val="378"/>
                <c:pt idx="0">
                  <c:v>0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54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58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64</c:v>
                </c:pt>
                <c:pt idx="54">
                  <c:v>65</c:v>
                </c:pt>
                <c:pt idx="55">
                  <c:v>66</c:v>
                </c:pt>
                <c:pt idx="56">
                  <c:v>67</c:v>
                </c:pt>
                <c:pt idx="57">
                  <c:v>68</c:v>
                </c:pt>
                <c:pt idx="58">
                  <c:v>69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78</c:v>
                </c:pt>
                <c:pt idx="68">
                  <c:v>79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83</c:v>
                </c:pt>
                <c:pt idx="73">
                  <c:v>84</c:v>
                </c:pt>
                <c:pt idx="74">
                  <c:v>85</c:v>
                </c:pt>
                <c:pt idx="75">
                  <c:v>86</c:v>
                </c:pt>
                <c:pt idx="76">
                  <c:v>87</c:v>
                </c:pt>
                <c:pt idx="77">
                  <c:v>88</c:v>
                </c:pt>
                <c:pt idx="78">
                  <c:v>89</c:v>
                </c:pt>
                <c:pt idx="79">
                  <c:v>90</c:v>
                </c:pt>
                <c:pt idx="80">
                  <c:v>91</c:v>
                </c:pt>
                <c:pt idx="81">
                  <c:v>92</c:v>
                </c:pt>
                <c:pt idx="82">
                  <c:v>93</c:v>
                </c:pt>
                <c:pt idx="83">
                  <c:v>94</c:v>
                </c:pt>
                <c:pt idx="84">
                  <c:v>95</c:v>
                </c:pt>
                <c:pt idx="85">
                  <c:v>96</c:v>
                </c:pt>
                <c:pt idx="86">
                  <c:v>97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  <c:pt idx="90">
                  <c:v>101</c:v>
                </c:pt>
                <c:pt idx="91">
                  <c:v>102</c:v>
                </c:pt>
                <c:pt idx="92">
                  <c:v>103</c:v>
                </c:pt>
                <c:pt idx="93">
                  <c:v>104</c:v>
                </c:pt>
                <c:pt idx="94">
                  <c:v>105</c:v>
                </c:pt>
                <c:pt idx="95">
                  <c:v>106</c:v>
                </c:pt>
                <c:pt idx="96">
                  <c:v>107</c:v>
                </c:pt>
                <c:pt idx="97">
                  <c:v>108</c:v>
                </c:pt>
                <c:pt idx="98">
                  <c:v>109</c:v>
                </c:pt>
                <c:pt idx="99">
                  <c:v>110</c:v>
                </c:pt>
                <c:pt idx="100">
                  <c:v>111</c:v>
                </c:pt>
                <c:pt idx="101">
                  <c:v>112</c:v>
                </c:pt>
                <c:pt idx="102">
                  <c:v>113</c:v>
                </c:pt>
                <c:pt idx="103">
                  <c:v>114</c:v>
                </c:pt>
                <c:pt idx="104">
                  <c:v>115</c:v>
                </c:pt>
                <c:pt idx="105">
                  <c:v>116</c:v>
                </c:pt>
                <c:pt idx="106">
                  <c:v>117</c:v>
                </c:pt>
                <c:pt idx="107">
                  <c:v>118</c:v>
                </c:pt>
                <c:pt idx="108">
                  <c:v>119</c:v>
                </c:pt>
                <c:pt idx="109">
                  <c:v>120</c:v>
                </c:pt>
                <c:pt idx="110">
                  <c:v>121</c:v>
                </c:pt>
                <c:pt idx="111">
                  <c:v>122</c:v>
                </c:pt>
                <c:pt idx="112">
                  <c:v>123</c:v>
                </c:pt>
                <c:pt idx="113">
                  <c:v>124</c:v>
                </c:pt>
                <c:pt idx="114">
                  <c:v>125</c:v>
                </c:pt>
                <c:pt idx="115">
                  <c:v>126</c:v>
                </c:pt>
                <c:pt idx="116">
                  <c:v>127</c:v>
                </c:pt>
                <c:pt idx="117">
                  <c:v>128</c:v>
                </c:pt>
                <c:pt idx="118">
                  <c:v>129</c:v>
                </c:pt>
                <c:pt idx="119">
                  <c:v>130</c:v>
                </c:pt>
                <c:pt idx="120">
                  <c:v>131</c:v>
                </c:pt>
                <c:pt idx="121">
                  <c:v>132</c:v>
                </c:pt>
                <c:pt idx="122">
                  <c:v>133</c:v>
                </c:pt>
                <c:pt idx="123">
                  <c:v>134</c:v>
                </c:pt>
                <c:pt idx="124">
                  <c:v>135</c:v>
                </c:pt>
                <c:pt idx="125">
                  <c:v>136</c:v>
                </c:pt>
                <c:pt idx="126">
                  <c:v>137</c:v>
                </c:pt>
                <c:pt idx="127">
                  <c:v>138</c:v>
                </c:pt>
                <c:pt idx="128">
                  <c:v>139</c:v>
                </c:pt>
                <c:pt idx="129">
                  <c:v>140</c:v>
                </c:pt>
                <c:pt idx="130">
                  <c:v>141</c:v>
                </c:pt>
                <c:pt idx="131">
                  <c:v>142</c:v>
                </c:pt>
                <c:pt idx="132">
                  <c:v>143</c:v>
                </c:pt>
                <c:pt idx="133">
                  <c:v>144</c:v>
                </c:pt>
                <c:pt idx="134">
                  <c:v>145</c:v>
                </c:pt>
                <c:pt idx="135">
                  <c:v>146</c:v>
                </c:pt>
                <c:pt idx="136">
                  <c:v>147</c:v>
                </c:pt>
                <c:pt idx="137">
                  <c:v>148</c:v>
                </c:pt>
                <c:pt idx="138">
                  <c:v>149</c:v>
                </c:pt>
                <c:pt idx="139">
                  <c:v>150</c:v>
                </c:pt>
                <c:pt idx="140">
                  <c:v>151</c:v>
                </c:pt>
                <c:pt idx="141">
                  <c:v>152</c:v>
                </c:pt>
                <c:pt idx="142">
                  <c:v>153</c:v>
                </c:pt>
                <c:pt idx="143">
                  <c:v>154</c:v>
                </c:pt>
                <c:pt idx="144">
                  <c:v>155</c:v>
                </c:pt>
                <c:pt idx="145">
                  <c:v>156</c:v>
                </c:pt>
                <c:pt idx="146">
                  <c:v>157</c:v>
                </c:pt>
                <c:pt idx="147">
                  <c:v>158</c:v>
                </c:pt>
                <c:pt idx="148">
                  <c:v>159</c:v>
                </c:pt>
                <c:pt idx="149">
                  <c:v>160</c:v>
                </c:pt>
                <c:pt idx="150">
                  <c:v>161</c:v>
                </c:pt>
                <c:pt idx="151">
                  <c:v>162</c:v>
                </c:pt>
                <c:pt idx="152">
                  <c:v>163</c:v>
                </c:pt>
                <c:pt idx="153">
                  <c:v>164</c:v>
                </c:pt>
                <c:pt idx="154">
                  <c:v>165</c:v>
                </c:pt>
                <c:pt idx="155">
                  <c:v>166</c:v>
                </c:pt>
                <c:pt idx="156">
                  <c:v>167</c:v>
                </c:pt>
                <c:pt idx="157">
                  <c:v>168</c:v>
                </c:pt>
                <c:pt idx="158">
                  <c:v>169</c:v>
                </c:pt>
                <c:pt idx="159">
                  <c:v>170</c:v>
                </c:pt>
                <c:pt idx="160">
                  <c:v>171</c:v>
                </c:pt>
                <c:pt idx="161">
                  <c:v>172</c:v>
                </c:pt>
                <c:pt idx="162">
                  <c:v>173</c:v>
                </c:pt>
                <c:pt idx="163">
                  <c:v>174</c:v>
                </c:pt>
                <c:pt idx="164">
                  <c:v>175</c:v>
                </c:pt>
                <c:pt idx="165">
                  <c:v>176</c:v>
                </c:pt>
                <c:pt idx="166">
                  <c:v>177</c:v>
                </c:pt>
                <c:pt idx="167">
                  <c:v>178</c:v>
                </c:pt>
                <c:pt idx="168">
                  <c:v>179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183</c:v>
                </c:pt>
                <c:pt idx="173">
                  <c:v>184</c:v>
                </c:pt>
                <c:pt idx="174">
                  <c:v>185</c:v>
                </c:pt>
                <c:pt idx="175">
                  <c:v>186</c:v>
                </c:pt>
                <c:pt idx="176">
                  <c:v>187</c:v>
                </c:pt>
                <c:pt idx="177">
                  <c:v>188</c:v>
                </c:pt>
                <c:pt idx="178">
                  <c:v>189</c:v>
                </c:pt>
                <c:pt idx="179">
                  <c:v>190</c:v>
                </c:pt>
                <c:pt idx="180">
                  <c:v>191</c:v>
                </c:pt>
                <c:pt idx="181">
                  <c:v>192</c:v>
                </c:pt>
                <c:pt idx="182">
                  <c:v>193</c:v>
                </c:pt>
                <c:pt idx="183">
                  <c:v>194</c:v>
                </c:pt>
                <c:pt idx="184">
                  <c:v>195</c:v>
                </c:pt>
                <c:pt idx="185">
                  <c:v>196</c:v>
                </c:pt>
                <c:pt idx="186">
                  <c:v>197</c:v>
                </c:pt>
                <c:pt idx="187">
                  <c:v>198</c:v>
                </c:pt>
                <c:pt idx="188">
                  <c:v>199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203</c:v>
                </c:pt>
                <c:pt idx="193">
                  <c:v>204</c:v>
                </c:pt>
                <c:pt idx="194">
                  <c:v>205</c:v>
                </c:pt>
                <c:pt idx="195">
                  <c:v>206</c:v>
                </c:pt>
                <c:pt idx="196">
                  <c:v>207</c:v>
                </c:pt>
                <c:pt idx="197">
                  <c:v>208</c:v>
                </c:pt>
                <c:pt idx="198">
                  <c:v>209</c:v>
                </c:pt>
                <c:pt idx="199">
                  <c:v>210</c:v>
                </c:pt>
                <c:pt idx="200">
                  <c:v>211</c:v>
                </c:pt>
                <c:pt idx="201">
                  <c:v>212</c:v>
                </c:pt>
                <c:pt idx="202">
                  <c:v>213</c:v>
                </c:pt>
                <c:pt idx="203">
                  <c:v>214</c:v>
                </c:pt>
                <c:pt idx="204">
                  <c:v>215</c:v>
                </c:pt>
                <c:pt idx="205">
                  <c:v>216</c:v>
                </c:pt>
                <c:pt idx="206">
                  <c:v>217</c:v>
                </c:pt>
                <c:pt idx="207">
                  <c:v>218</c:v>
                </c:pt>
                <c:pt idx="208">
                  <c:v>219</c:v>
                </c:pt>
                <c:pt idx="209">
                  <c:v>220</c:v>
                </c:pt>
                <c:pt idx="210">
                  <c:v>221</c:v>
                </c:pt>
                <c:pt idx="211">
                  <c:v>222</c:v>
                </c:pt>
                <c:pt idx="212">
                  <c:v>223</c:v>
                </c:pt>
                <c:pt idx="213">
                  <c:v>224</c:v>
                </c:pt>
                <c:pt idx="214">
                  <c:v>225</c:v>
                </c:pt>
                <c:pt idx="215">
                  <c:v>226</c:v>
                </c:pt>
                <c:pt idx="216">
                  <c:v>227</c:v>
                </c:pt>
                <c:pt idx="217">
                  <c:v>228</c:v>
                </c:pt>
                <c:pt idx="218">
                  <c:v>229</c:v>
                </c:pt>
                <c:pt idx="219">
                  <c:v>230</c:v>
                </c:pt>
                <c:pt idx="220">
                  <c:v>231</c:v>
                </c:pt>
                <c:pt idx="221">
                  <c:v>232</c:v>
                </c:pt>
                <c:pt idx="222">
                  <c:v>233</c:v>
                </c:pt>
                <c:pt idx="223">
                  <c:v>234</c:v>
                </c:pt>
                <c:pt idx="224">
                  <c:v>235</c:v>
                </c:pt>
                <c:pt idx="225">
                  <c:v>236</c:v>
                </c:pt>
                <c:pt idx="226">
                  <c:v>237</c:v>
                </c:pt>
                <c:pt idx="227">
                  <c:v>238</c:v>
                </c:pt>
                <c:pt idx="228">
                  <c:v>239</c:v>
                </c:pt>
                <c:pt idx="229">
                  <c:v>240</c:v>
                </c:pt>
                <c:pt idx="230">
                  <c:v>241</c:v>
                </c:pt>
                <c:pt idx="231">
                  <c:v>242</c:v>
                </c:pt>
                <c:pt idx="232">
                  <c:v>243</c:v>
                </c:pt>
                <c:pt idx="233">
                  <c:v>244</c:v>
                </c:pt>
                <c:pt idx="234">
                  <c:v>245</c:v>
                </c:pt>
                <c:pt idx="235">
                  <c:v>246</c:v>
                </c:pt>
                <c:pt idx="236">
                  <c:v>247</c:v>
                </c:pt>
                <c:pt idx="237">
                  <c:v>248</c:v>
                </c:pt>
                <c:pt idx="238">
                  <c:v>249</c:v>
                </c:pt>
                <c:pt idx="239">
                  <c:v>250</c:v>
                </c:pt>
                <c:pt idx="240">
                  <c:v>251</c:v>
                </c:pt>
                <c:pt idx="241">
                  <c:v>252</c:v>
                </c:pt>
                <c:pt idx="242">
                  <c:v>253</c:v>
                </c:pt>
                <c:pt idx="243">
                  <c:v>254</c:v>
                </c:pt>
                <c:pt idx="244">
                  <c:v>255</c:v>
                </c:pt>
                <c:pt idx="245">
                  <c:v>256</c:v>
                </c:pt>
                <c:pt idx="246">
                  <c:v>257</c:v>
                </c:pt>
                <c:pt idx="247">
                  <c:v>258</c:v>
                </c:pt>
                <c:pt idx="248">
                  <c:v>259</c:v>
                </c:pt>
                <c:pt idx="249">
                  <c:v>260</c:v>
                </c:pt>
                <c:pt idx="250">
                  <c:v>261</c:v>
                </c:pt>
                <c:pt idx="251">
                  <c:v>262</c:v>
                </c:pt>
                <c:pt idx="252">
                  <c:v>263</c:v>
                </c:pt>
                <c:pt idx="253">
                  <c:v>264</c:v>
                </c:pt>
                <c:pt idx="254">
                  <c:v>265</c:v>
                </c:pt>
                <c:pt idx="255">
                  <c:v>266</c:v>
                </c:pt>
                <c:pt idx="256">
                  <c:v>267</c:v>
                </c:pt>
                <c:pt idx="257">
                  <c:v>268</c:v>
                </c:pt>
                <c:pt idx="258">
                  <c:v>269</c:v>
                </c:pt>
                <c:pt idx="259">
                  <c:v>270</c:v>
                </c:pt>
                <c:pt idx="260">
                  <c:v>271</c:v>
                </c:pt>
                <c:pt idx="261">
                  <c:v>272</c:v>
                </c:pt>
                <c:pt idx="262">
                  <c:v>273</c:v>
                </c:pt>
                <c:pt idx="263">
                  <c:v>274</c:v>
                </c:pt>
                <c:pt idx="264">
                  <c:v>275</c:v>
                </c:pt>
                <c:pt idx="265">
                  <c:v>276</c:v>
                </c:pt>
                <c:pt idx="266">
                  <c:v>277</c:v>
                </c:pt>
                <c:pt idx="267">
                  <c:v>278</c:v>
                </c:pt>
                <c:pt idx="268">
                  <c:v>279</c:v>
                </c:pt>
                <c:pt idx="269">
                  <c:v>280</c:v>
                </c:pt>
                <c:pt idx="270">
                  <c:v>281</c:v>
                </c:pt>
                <c:pt idx="271">
                  <c:v>282</c:v>
                </c:pt>
                <c:pt idx="272">
                  <c:v>283</c:v>
                </c:pt>
                <c:pt idx="273">
                  <c:v>284</c:v>
                </c:pt>
                <c:pt idx="274">
                  <c:v>285</c:v>
                </c:pt>
                <c:pt idx="275">
                  <c:v>286</c:v>
                </c:pt>
                <c:pt idx="276">
                  <c:v>287</c:v>
                </c:pt>
                <c:pt idx="277">
                  <c:v>288</c:v>
                </c:pt>
                <c:pt idx="278">
                  <c:v>289</c:v>
                </c:pt>
                <c:pt idx="279">
                  <c:v>290</c:v>
                </c:pt>
                <c:pt idx="280">
                  <c:v>291</c:v>
                </c:pt>
                <c:pt idx="281">
                  <c:v>292</c:v>
                </c:pt>
                <c:pt idx="282">
                  <c:v>293</c:v>
                </c:pt>
                <c:pt idx="283">
                  <c:v>294</c:v>
                </c:pt>
                <c:pt idx="284">
                  <c:v>295</c:v>
                </c:pt>
                <c:pt idx="285">
                  <c:v>296</c:v>
                </c:pt>
                <c:pt idx="286">
                  <c:v>297</c:v>
                </c:pt>
                <c:pt idx="287">
                  <c:v>298</c:v>
                </c:pt>
                <c:pt idx="288">
                  <c:v>299</c:v>
                </c:pt>
                <c:pt idx="289">
                  <c:v>300</c:v>
                </c:pt>
                <c:pt idx="290">
                  <c:v>301</c:v>
                </c:pt>
                <c:pt idx="291">
                  <c:v>302</c:v>
                </c:pt>
                <c:pt idx="292">
                  <c:v>303</c:v>
                </c:pt>
                <c:pt idx="293">
                  <c:v>304</c:v>
                </c:pt>
                <c:pt idx="294">
                  <c:v>305</c:v>
                </c:pt>
                <c:pt idx="295">
                  <c:v>306</c:v>
                </c:pt>
                <c:pt idx="296">
                  <c:v>307</c:v>
                </c:pt>
                <c:pt idx="297">
                  <c:v>308</c:v>
                </c:pt>
                <c:pt idx="298">
                  <c:v>309</c:v>
                </c:pt>
                <c:pt idx="299">
                  <c:v>310</c:v>
                </c:pt>
                <c:pt idx="300">
                  <c:v>311</c:v>
                </c:pt>
                <c:pt idx="301">
                  <c:v>312</c:v>
                </c:pt>
                <c:pt idx="302">
                  <c:v>313</c:v>
                </c:pt>
                <c:pt idx="303">
                  <c:v>314</c:v>
                </c:pt>
                <c:pt idx="304">
                  <c:v>315</c:v>
                </c:pt>
                <c:pt idx="305">
                  <c:v>316</c:v>
                </c:pt>
                <c:pt idx="306">
                  <c:v>317</c:v>
                </c:pt>
                <c:pt idx="307">
                  <c:v>318</c:v>
                </c:pt>
                <c:pt idx="308">
                  <c:v>319</c:v>
                </c:pt>
                <c:pt idx="309">
                  <c:v>320</c:v>
                </c:pt>
                <c:pt idx="310">
                  <c:v>321</c:v>
                </c:pt>
                <c:pt idx="311">
                  <c:v>322</c:v>
                </c:pt>
                <c:pt idx="312">
                  <c:v>323</c:v>
                </c:pt>
                <c:pt idx="313">
                  <c:v>324</c:v>
                </c:pt>
                <c:pt idx="314">
                  <c:v>325</c:v>
                </c:pt>
                <c:pt idx="315">
                  <c:v>326</c:v>
                </c:pt>
                <c:pt idx="316">
                  <c:v>327</c:v>
                </c:pt>
                <c:pt idx="317">
                  <c:v>328</c:v>
                </c:pt>
                <c:pt idx="318">
                  <c:v>329</c:v>
                </c:pt>
                <c:pt idx="319">
                  <c:v>330</c:v>
                </c:pt>
                <c:pt idx="320">
                  <c:v>331</c:v>
                </c:pt>
                <c:pt idx="321">
                  <c:v>332</c:v>
                </c:pt>
                <c:pt idx="322">
                  <c:v>333</c:v>
                </c:pt>
                <c:pt idx="323">
                  <c:v>334</c:v>
                </c:pt>
                <c:pt idx="324">
                  <c:v>335</c:v>
                </c:pt>
                <c:pt idx="325">
                  <c:v>336</c:v>
                </c:pt>
                <c:pt idx="326">
                  <c:v>337</c:v>
                </c:pt>
                <c:pt idx="327">
                  <c:v>338</c:v>
                </c:pt>
                <c:pt idx="328">
                  <c:v>339</c:v>
                </c:pt>
                <c:pt idx="329">
                  <c:v>340</c:v>
                </c:pt>
                <c:pt idx="330">
                  <c:v>341</c:v>
                </c:pt>
                <c:pt idx="331">
                  <c:v>342</c:v>
                </c:pt>
                <c:pt idx="332">
                  <c:v>343</c:v>
                </c:pt>
                <c:pt idx="333">
                  <c:v>344</c:v>
                </c:pt>
                <c:pt idx="334">
                  <c:v>345</c:v>
                </c:pt>
                <c:pt idx="335">
                  <c:v>346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362</c:v>
                </c:pt>
                <c:pt idx="352">
                  <c:v>363</c:v>
                </c:pt>
                <c:pt idx="353">
                  <c:v>364</c:v>
                </c:pt>
                <c:pt idx="354">
                  <c:v>365</c:v>
                </c:pt>
                <c:pt idx="355">
                  <c:v>366</c:v>
                </c:pt>
                <c:pt idx="356">
                  <c:v>367</c:v>
                </c:pt>
                <c:pt idx="357">
                  <c:v>368</c:v>
                </c:pt>
                <c:pt idx="358">
                  <c:v>369</c:v>
                </c:pt>
                <c:pt idx="359">
                  <c:v>370</c:v>
                </c:pt>
                <c:pt idx="360">
                  <c:v>371</c:v>
                </c:pt>
                <c:pt idx="361">
                  <c:v>372</c:v>
                </c:pt>
                <c:pt idx="362">
                  <c:v>373</c:v>
                </c:pt>
                <c:pt idx="363">
                  <c:v>374</c:v>
                </c:pt>
                <c:pt idx="364">
                  <c:v>375</c:v>
                </c:pt>
                <c:pt idx="365">
                  <c:v>376</c:v>
                </c:pt>
                <c:pt idx="366">
                  <c:v>377</c:v>
                </c:pt>
                <c:pt idx="367">
                  <c:v>378</c:v>
                </c:pt>
                <c:pt idx="368">
                  <c:v>379</c:v>
                </c:pt>
                <c:pt idx="369">
                  <c:v>380</c:v>
                </c:pt>
                <c:pt idx="370">
                  <c:v>381</c:v>
                </c:pt>
                <c:pt idx="371">
                  <c:v>382</c:v>
                </c:pt>
                <c:pt idx="372">
                  <c:v>383</c:v>
                </c:pt>
                <c:pt idx="373">
                  <c:v>384</c:v>
                </c:pt>
                <c:pt idx="374">
                  <c:v>385</c:v>
                </c:pt>
                <c:pt idx="375">
                  <c:v>386</c:v>
                </c:pt>
                <c:pt idx="376">
                  <c:v>387</c:v>
                </c:pt>
                <c:pt idx="377">
                  <c:v>388</c:v>
                </c:pt>
              </c:numCache>
            </c:numRef>
          </c:xVal>
          <c:yVal>
            <c:numRef>
              <c:f>'Markov Model_b (3)'!$T$10:$T$408</c:f>
              <c:numCache>
                <c:formatCode>0.000</c:formatCode>
                <c:ptCount val="399"/>
                <c:pt idx="0" formatCode="General">
                  <c:v>100</c:v>
                </c:pt>
                <c:pt idx="1">
                  <c:v>76.5</c:v>
                </c:pt>
                <c:pt idx="2">
                  <c:v>71</c:v>
                </c:pt>
                <c:pt idx="3">
                  <c:v>69.515207160072904</c:v>
                </c:pt>
                <c:pt idx="4">
                  <c:v>68.365103275615098</c:v>
                </c:pt>
                <c:pt idx="5">
                  <c:v>67.226305873970603</c:v>
                </c:pt>
                <c:pt idx="6">
                  <c:v>66.100237657802495</c:v>
                </c:pt>
                <c:pt idx="7">
                  <c:v>64.988321329773896</c:v>
                </c:pt>
                <c:pt idx="8">
                  <c:v>63.891958837097597</c:v>
                </c:pt>
                <c:pt idx="9">
                  <c:v>62.812469105184704</c:v>
                </c:pt>
                <c:pt idx="10">
                  <c:v>61.751150303995708</c:v>
                </c:pt>
                <c:pt idx="11">
                  <c:v>60.7092626867475</c:v>
                </c:pt>
                <c:pt idx="12">
                  <c:v>59.687914839681298</c:v>
                </c:pt>
                <c:pt idx="13">
                  <c:v>58.688177432294495</c:v>
                </c:pt>
                <c:pt idx="14">
                  <c:v>57.711121134084593</c:v>
                </c:pt>
                <c:pt idx="15">
                  <c:v>56.757743496121101</c:v>
                </c:pt>
                <c:pt idx="16">
                  <c:v>55.828749595761394</c:v>
                </c:pt>
                <c:pt idx="17">
                  <c:v>54.924771391934897</c:v>
                </c:pt>
                <c:pt idx="18">
                  <c:v>54.046440843570991</c:v>
                </c:pt>
                <c:pt idx="19">
                  <c:v>53.19433085349619</c:v>
                </c:pt>
                <c:pt idx="20">
                  <c:v>52.368778100125198</c:v>
                </c:pt>
                <c:pt idx="21">
                  <c:v>51.570060205769892</c:v>
                </c:pt>
                <c:pt idx="22">
                  <c:v>50.798401053646501</c:v>
                </c:pt>
                <c:pt idx="23">
                  <c:v>50.053809570590403</c:v>
                </c:pt>
                <c:pt idx="24">
                  <c:v>49.336240944341306</c:v>
                </c:pt>
                <c:pt idx="25">
                  <c:v>48.645650362639003</c:v>
                </c:pt>
                <c:pt idx="26">
                  <c:v>47.981947531298808</c:v>
                </c:pt>
                <c:pt idx="27">
                  <c:v>47.344860228437199</c:v>
                </c:pt>
                <c:pt idx="28">
                  <c:v>46.734070750246204</c:v>
                </c:pt>
                <c:pt idx="29">
                  <c:v>46.149232459436909</c:v>
                </c:pt>
                <c:pt idx="30">
                  <c:v>45.589882984798002</c:v>
                </c:pt>
                <c:pt idx="31">
                  <c:v>45.055531021637393</c:v>
                </c:pt>
                <c:pt idx="32">
                  <c:v>44.545685265262989</c:v>
                </c:pt>
                <c:pt idx="33">
                  <c:v>44.059830538006992</c:v>
                </c:pt>
                <c:pt idx="34">
                  <c:v>43.597356170299392</c:v>
                </c:pt>
                <c:pt idx="35">
                  <c:v>43.157627619594294</c:v>
                </c:pt>
                <c:pt idx="36">
                  <c:v>42.740010343346086</c:v>
                </c:pt>
                <c:pt idx="37">
                  <c:v>42.343861449731683</c:v>
                </c:pt>
                <c:pt idx="38">
                  <c:v>41.968504649819288</c:v>
                </c:pt>
                <c:pt idx="39">
                  <c:v>41.613255305399491</c:v>
                </c:pt>
                <c:pt idx="40">
                  <c:v>41.277427671632289</c:v>
                </c:pt>
                <c:pt idx="41">
                  <c:v>40.960331577152878</c:v>
                </c:pt>
                <c:pt idx="42">
                  <c:v>40.66127574396549</c:v>
                </c:pt>
                <c:pt idx="43">
                  <c:v>40.379568894074183</c:v>
                </c:pt>
                <c:pt idx="44">
                  <c:v>40.114524997881787</c:v>
                </c:pt>
                <c:pt idx="45">
                  <c:v>39.865479019385489</c:v>
                </c:pt>
                <c:pt idx="46">
                  <c:v>39.631771170980791</c:v>
                </c:pt>
                <c:pt idx="47">
                  <c:v>39.412741665063493</c:v>
                </c:pt>
                <c:pt idx="48">
                  <c:v>39.207738289321682</c:v>
                </c:pt>
                <c:pt idx="49">
                  <c:v>39.01613913261378</c:v>
                </c:pt>
                <c:pt idx="50">
                  <c:v>38.837329859090985</c:v>
                </c:pt>
                <c:pt idx="51">
                  <c:v>38.67070484032299</c:v>
                </c:pt>
                <c:pt idx="52">
                  <c:v>38.515693277555698</c:v>
                </c:pt>
                <c:pt idx="53">
                  <c:v>38.371733079453897</c:v>
                </c:pt>
                <c:pt idx="54">
                  <c:v>38.238262154682502</c:v>
                </c:pt>
                <c:pt idx="55">
                  <c:v>38.114727218082002</c:v>
                </c:pt>
                <c:pt idx="56">
                  <c:v>38.000610209196196</c:v>
                </c:pt>
                <c:pt idx="57">
                  <c:v>37.895401873744696</c:v>
                </c:pt>
                <c:pt idx="58">
                  <c:v>37.7985985414265</c:v>
                </c:pt>
                <c:pt idx="59">
                  <c:v>37.709718877857902</c:v>
                </c:pt>
                <c:pt idx="60">
                  <c:v>37.628287132634696</c:v>
                </c:pt>
                <c:pt idx="61">
                  <c:v>37.553827555352591</c:v>
                </c:pt>
                <c:pt idx="62">
                  <c:v>37.485869772302792</c:v>
                </c:pt>
                <c:pt idx="63">
                  <c:v>37.423964916558596</c:v>
                </c:pt>
                <c:pt idx="64">
                  <c:v>37.367669497888805</c:v>
                </c:pt>
                <c:pt idx="65">
                  <c:v>37.316540026062214</c:v>
                </c:pt>
                <c:pt idx="66">
                  <c:v>37.270138938510605</c:v>
                </c:pt>
                <c:pt idx="67">
                  <c:v>37.228052383317404</c:v>
                </c:pt>
                <c:pt idx="68">
                  <c:v>37.189872436229003</c:v>
                </c:pt>
                <c:pt idx="69">
                  <c:v>37.155198919013202</c:v>
                </c:pt>
                <c:pt idx="70">
                  <c:v>37.123662637522109</c:v>
                </c:pt>
                <c:pt idx="71">
                  <c:v>37.094902143629312</c:v>
                </c:pt>
                <c:pt idx="72">
                  <c:v>37.068555989208114</c:v>
                </c:pt>
                <c:pt idx="73">
                  <c:v>37.044270582642518</c:v>
                </c:pt>
                <c:pt idx="74">
                  <c:v>37.021723758357318</c:v>
                </c:pt>
                <c:pt idx="75">
                  <c:v>37.00060120728822</c:v>
                </c:pt>
                <c:pt idx="76">
                  <c:v>36.980594830734624</c:v>
                </c:pt>
                <c:pt idx="77">
                  <c:v>36.961421371451728</c:v>
                </c:pt>
                <c:pt idx="78">
                  <c:v>36.942803782558727</c:v>
                </c:pt>
                <c:pt idx="79">
                  <c:v>36.924465017175031</c:v>
                </c:pt>
                <c:pt idx="80">
                  <c:v>36.906134351227124</c:v>
                </c:pt>
                <c:pt idx="81">
                  <c:v>36.887566351870625</c:v>
                </c:pt>
                <c:pt idx="82">
                  <c:v>36.868521909068328</c:v>
                </c:pt>
                <c:pt idx="83">
                  <c:v>36.848761912783331</c:v>
                </c:pt>
                <c:pt idx="84">
                  <c:v>36.828050853630927</c:v>
                </c:pt>
                <c:pt idx="85">
                  <c:v>36.80616762483713</c:v>
                </c:pt>
                <c:pt idx="86">
                  <c:v>36.782894720280623</c:v>
                </c:pt>
                <c:pt idx="87">
                  <c:v>36.758016947509716</c:v>
                </c:pt>
                <c:pt idx="88">
                  <c:v>36.731328368751726</c:v>
                </c:pt>
                <c:pt idx="89">
                  <c:v>36.702625359903827</c:v>
                </c:pt>
                <c:pt idx="90">
                  <c:v>36.671704296863126</c:v>
                </c:pt>
                <c:pt idx="91">
                  <c:v>36.638363885038729</c:v>
                </c:pt>
                <c:pt idx="92">
                  <c:v>36.60241214788762</c:v>
                </c:pt>
                <c:pt idx="93">
                  <c:v>36.563659438378913</c:v>
                </c:pt>
                <c:pt idx="94">
                  <c:v>36.521916109481722</c:v>
                </c:pt>
                <c:pt idx="95">
                  <c:v>36.476994351165317</c:v>
                </c:pt>
                <c:pt idx="96">
                  <c:v>36.428713701399722</c:v>
                </c:pt>
                <c:pt idx="97">
                  <c:v>36.376895535155221</c:v>
                </c:pt>
                <c:pt idx="98">
                  <c:v>36.321365062118815</c:v>
                </c:pt>
                <c:pt idx="99">
                  <c:v>36.261962830843821</c:v>
                </c:pt>
                <c:pt idx="100">
                  <c:v>36.19853322460002</c:v>
                </c:pt>
                <c:pt idx="101">
                  <c:v>36.13092062665752</c:v>
                </c:pt>
                <c:pt idx="102">
                  <c:v>36.058975242133926</c:v>
                </c:pt>
                <c:pt idx="103">
                  <c:v>35.982570563538232</c:v>
                </c:pt>
                <c:pt idx="104">
                  <c:v>35.901585905227037</c:v>
                </c:pt>
                <c:pt idx="105">
                  <c:v>35.815910606392038</c:v>
                </c:pt>
                <c:pt idx="106">
                  <c:v>35.725474105564544</c:v>
                </c:pt>
                <c:pt idx="107">
                  <c:v>35.630215866110845</c:v>
                </c:pt>
                <c:pt idx="108">
                  <c:v>35.530075351397343</c:v>
                </c:pt>
                <c:pt idx="109">
                  <c:v>35.425011365058438</c:v>
                </c:pt>
                <c:pt idx="110">
                  <c:v>35.315060071800929</c:v>
                </c:pt>
                <c:pt idx="111">
                  <c:v>35.200276976599625</c:v>
                </c:pt>
                <c:pt idx="112">
                  <c:v>35.080717584429422</c:v>
                </c:pt>
                <c:pt idx="113">
                  <c:v>34.956450729082817</c:v>
                </c:pt>
                <c:pt idx="114">
                  <c:v>34.827598559622828</c:v>
                </c:pt>
                <c:pt idx="115">
                  <c:v>34.694296553930229</c:v>
                </c:pt>
                <c:pt idx="116">
                  <c:v>34.556686036406333</c:v>
                </c:pt>
                <c:pt idx="117">
                  <c:v>34.414931717534941</c:v>
                </c:pt>
                <c:pt idx="118">
                  <c:v>34.269204154320335</c:v>
                </c:pt>
                <c:pt idx="119">
                  <c:v>34.119673903767037</c:v>
                </c:pt>
                <c:pt idx="120">
                  <c:v>33.966514428014037</c:v>
                </c:pt>
                <c:pt idx="121">
                  <c:v>33.809910809739634</c:v>
                </c:pt>
                <c:pt idx="122">
                  <c:v>33.650051036756324</c:v>
                </c:pt>
                <c:pt idx="123">
                  <c:v>33.487123096877127</c:v>
                </c:pt>
                <c:pt idx="124">
                  <c:v>33.32131435349271</c:v>
                </c:pt>
                <c:pt idx="125">
                  <c:v>33.152809672305807</c:v>
                </c:pt>
                <c:pt idx="126">
                  <c:v>32.98179329459731</c:v>
                </c:pt>
                <c:pt idx="127">
                  <c:v>32.808446480283507</c:v>
                </c:pt>
                <c:pt idx="128">
                  <c:v>32.632938563823302</c:v>
                </c:pt>
                <c:pt idx="129">
                  <c:v>32.455435898311706</c:v>
                </c:pt>
                <c:pt idx="130">
                  <c:v>32.276104836843103</c:v>
                </c:pt>
                <c:pt idx="131">
                  <c:v>32.095107854102508</c:v>
                </c:pt>
                <c:pt idx="132">
                  <c:v>31.912591911134911</c:v>
                </c:pt>
                <c:pt idx="133">
                  <c:v>31.728700090575416</c:v>
                </c:pt>
                <c:pt idx="134">
                  <c:v>31.543571807323715</c:v>
                </c:pt>
                <c:pt idx="135">
                  <c:v>31.357331805336926</c:v>
                </c:pt>
                <c:pt idx="136">
                  <c:v>31.170101160836921</c:v>
                </c:pt>
                <c:pt idx="137">
                  <c:v>30.982000950045318</c:v>
                </c:pt>
                <c:pt idx="138">
                  <c:v>30.79314728210872</c:v>
                </c:pt>
                <c:pt idx="139">
                  <c:v>30.603636397872421</c:v>
                </c:pt>
                <c:pt idx="140">
                  <c:v>30.413559571106816</c:v>
                </c:pt>
                <c:pt idx="141">
                  <c:v>30.223008075582115</c:v>
                </c:pt>
                <c:pt idx="142">
                  <c:v>30.03206937786112</c:v>
                </c:pt>
                <c:pt idx="143">
                  <c:v>29.840815715676626</c:v>
                </c:pt>
                <c:pt idx="144">
                  <c:v>29.649315519554037</c:v>
                </c:pt>
                <c:pt idx="145">
                  <c:v>29.457634235702145</c:v>
                </c:pt>
                <c:pt idx="146">
                  <c:v>29.26582537306264</c:v>
                </c:pt>
                <c:pt idx="147">
                  <c:v>29.073939456260533</c:v>
                </c:pt>
                <c:pt idx="148">
                  <c:v>28.882027009921131</c:v>
                </c:pt>
                <c:pt idx="149">
                  <c:v>28.690135951147624</c:v>
                </c:pt>
                <c:pt idx="150">
                  <c:v>28.498303766955829</c:v>
                </c:pt>
                <c:pt idx="151">
                  <c:v>28.306565336840023</c:v>
                </c:pt>
                <c:pt idx="152">
                  <c:v>28.114953354821722</c:v>
                </c:pt>
                <c:pt idx="153">
                  <c:v>27.92349177303312</c:v>
                </c:pt>
                <c:pt idx="154">
                  <c:v>27.732202358133719</c:v>
                </c:pt>
                <c:pt idx="155">
                  <c:v>27.541106876783019</c:v>
                </c:pt>
                <c:pt idx="156">
                  <c:v>27.350225201070515</c:v>
                </c:pt>
                <c:pt idx="157">
                  <c:v>27.159569624804718</c:v>
                </c:pt>
                <c:pt idx="158">
                  <c:v>26.969150547224217</c:v>
                </c:pt>
                <c:pt idx="159">
                  <c:v>26.778978367567319</c:v>
                </c:pt>
                <c:pt idx="160">
                  <c:v>26.589062744057728</c:v>
                </c:pt>
                <c:pt idx="161">
                  <c:v>26.399410370859428</c:v>
                </c:pt>
                <c:pt idx="162">
                  <c:v>26.210027201121434</c:v>
                </c:pt>
                <c:pt idx="163">
                  <c:v>26.020918285054435</c:v>
                </c:pt>
                <c:pt idx="164">
                  <c:v>25.832085061114242</c:v>
                </c:pt>
                <c:pt idx="165">
                  <c:v>25.643528064818042</c:v>
                </c:pt>
                <c:pt idx="166">
                  <c:v>25.455247831683138</c:v>
                </c:pt>
                <c:pt idx="167">
                  <c:v>25.267244222185738</c:v>
                </c:pt>
                <c:pt idx="168">
                  <c:v>25.079514396639141</c:v>
                </c:pt>
                <c:pt idx="169">
                  <c:v>24.89205484031524</c:v>
                </c:pt>
                <c:pt idx="170">
                  <c:v>24.704862038486439</c:v>
                </c:pt>
                <c:pt idx="171">
                  <c:v>24.517932544878533</c:v>
                </c:pt>
                <c:pt idx="172">
                  <c:v>24.331263187033429</c:v>
                </c:pt>
                <c:pt idx="173">
                  <c:v>24.14485086094632</c:v>
                </c:pt>
                <c:pt idx="174">
                  <c:v>23.958692423723321</c:v>
                </c:pt>
                <c:pt idx="175">
                  <c:v>23.772784576912031</c:v>
                </c:pt>
                <c:pt idx="176">
                  <c:v>23.587123983170429</c:v>
                </c:pt>
                <c:pt idx="177">
                  <c:v>23.40170730515662</c:v>
                </c:pt>
                <c:pt idx="178">
                  <c:v>23.216531166883414</c:v>
                </c:pt>
                <c:pt idx="179">
                  <c:v>23.03159203778371</c:v>
                </c:pt>
                <c:pt idx="180">
                  <c:v>22.846886348645015</c:v>
                </c:pt>
                <c:pt idx="181">
                  <c:v>22.662411177293606</c:v>
                </c:pt>
                <c:pt idx="182">
                  <c:v>22.478166189711402</c:v>
                </c:pt>
                <c:pt idx="183">
                  <c:v>22.29415169891881</c:v>
                </c:pt>
                <c:pt idx="184">
                  <c:v>22.110368017936509</c:v>
                </c:pt>
                <c:pt idx="185">
                  <c:v>21.926816140312312</c:v>
                </c:pt>
                <c:pt idx="186">
                  <c:v>21.743499781704912</c:v>
                </c:pt>
                <c:pt idx="187">
                  <c:v>21.560423338300211</c:v>
                </c:pt>
                <c:pt idx="188">
                  <c:v>21.377591206284208</c:v>
                </c:pt>
                <c:pt idx="189">
                  <c:v>21.195007838675409</c:v>
                </c:pt>
                <c:pt idx="190">
                  <c:v>21.012677915821712</c:v>
                </c:pt>
                <c:pt idx="191">
                  <c:v>20.830606174903309</c:v>
                </c:pt>
                <c:pt idx="192">
                  <c:v>20.648797673384806</c:v>
                </c:pt>
                <c:pt idx="193">
                  <c:v>20.467258749867611</c:v>
                </c:pt>
                <c:pt idx="194">
                  <c:v>20.285996063237008</c:v>
                </c:pt>
                <c:pt idx="195">
                  <c:v>20.10501627237872</c:v>
                </c:pt>
                <c:pt idx="196">
                  <c:v>19.924326496963317</c:v>
                </c:pt>
                <c:pt idx="197">
                  <c:v>19.74393569980252</c:v>
                </c:pt>
                <c:pt idx="198">
                  <c:v>19.563853304493222</c:v>
                </c:pt>
                <c:pt idx="199">
                  <c:v>19.384088734632215</c:v>
                </c:pt>
                <c:pt idx="200">
                  <c:v>19.204651316029114</c:v>
                </c:pt>
                <c:pt idx="201">
                  <c:v>19.025549983344817</c:v>
                </c:pt>
                <c:pt idx="202">
                  <c:v>18.846793573452715</c:v>
                </c:pt>
                <c:pt idx="203">
                  <c:v>18.668390938005416</c:v>
                </c:pt>
                <c:pt idx="204">
                  <c:v>18.490350987772118</c:v>
                </c:pt>
                <c:pt idx="205">
                  <c:v>18.312682648301418</c:v>
                </c:pt>
                <c:pt idx="206">
                  <c:v>18.13539484514142</c:v>
                </c:pt>
                <c:pt idx="207">
                  <c:v>17.95849687315642</c:v>
                </c:pt>
                <c:pt idx="208">
                  <c:v>17.781999504473731</c:v>
                </c:pt>
                <c:pt idx="209">
                  <c:v>17.605913880536235</c:v>
                </c:pt>
                <c:pt idx="210">
                  <c:v>17.430251057503142</c:v>
                </c:pt>
                <c:pt idx="211">
                  <c:v>17.255021750398342</c:v>
                </c:pt>
                <c:pt idx="212">
                  <c:v>17.08023658896164</c:v>
                </c:pt>
                <c:pt idx="213">
                  <c:v>16.90590620293294</c:v>
                </c:pt>
                <c:pt idx="214">
                  <c:v>16.732040933297839</c:v>
                </c:pt>
                <c:pt idx="215">
                  <c:v>16.558649966025143</c:v>
                </c:pt>
                <c:pt idx="216">
                  <c:v>16.385742198329353</c:v>
                </c:pt>
                <c:pt idx="217">
                  <c:v>16.213326527424755</c:v>
                </c:pt>
                <c:pt idx="218">
                  <c:v>16.041411978092157</c:v>
                </c:pt>
                <c:pt idx="219">
                  <c:v>15.870008085377052</c:v>
                </c:pt>
                <c:pt idx="220">
                  <c:v>15.699124511891242</c:v>
                </c:pt>
                <c:pt idx="221">
                  <c:v>15.528770904994843</c:v>
                </c:pt>
                <c:pt idx="222">
                  <c:v>15.358956851040944</c:v>
                </c:pt>
                <c:pt idx="223">
                  <c:v>15.189691921131242</c:v>
                </c:pt>
                <c:pt idx="224">
                  <c:v>15.020985686367254</c:v>
                </c:pt>
                <c:pt idx="225">
                  <c:v>14.852847413632261</c:v>
                </c:pt>
                <c:pt idx="226">
                  <c:v>14.685285152937567</c:v>
                </c:pt>
                <c:pt idx="227">
                  <c:v>14.51830665007617</c:v>
                </c:pt>
                <c:pt idx="228">
                  <c:v>14.351919753722569</c:v>
                </c:pt>
                <c:pt idx="229">
                  <c:v>14.186132724076259</c:v>
                </c:pt>
                <c:pt idx="230">
                  <c:v>14.020953924218261</c:v>
                </c:pt>
                <c:pt idx="231">
                  <c:v>13.856391717229471</c:v>
                </c:pt>
                <c:pt idx="232">
                  <c:v>13.692454775218764</c:v>
                </c:pt>
                <c:pt idx="233">
                  <c:v>13.529153006407071</c:v>
                </c:pt>
                <c:pt idx="234">
                  <c:v>13.366496628043265</c:v>
                </c:pt>
                <c:pt idx="235">
                  <c:v>13.204495857376457</c:v>
                </c:pt>
                <c:pt idx="236">
                  <c:v>13.043160738384756</c:v>
                </c:pt>
                <c:pt idx="237">
                  <c:v>12.88250062196316</c:v>
                </c:pt>
                <c:pt idx="238">
                  <c:v>12.722524685736261</c:v>
                </c:pt>
                <c:pt idx="239">
                  <c:v>12.563242072447551</c:v>
                </c:pt>
                <c:pt idx="240">
                  <c:v>12.404661785317558</c:v>
                </c:pt>
                <c:pt idx="241">
                  <c:v>12.246792792685952</c:v>
                </c:pt>
                <c:pt idx="242">
                  <c:v>12.089644062892546</c:v>
                </c:pt>
                <c:pt idx="243">
                  <c:v>11.933224894757544</c:v>
                </c:pt>
                <c:pt idx="244">
                  <c:v>11.777545909023544</c:v>
                </c:pt>
                <c:pt idx="245">
                  <c:v>11.622618056913851</c:v>
                </c:pt>
                <c:pt idx="246">
                  <c:v>11.468452289651452</c:v>
                </c:pt>
                <c:pt idx="247">
                  <c:v>11.315059489285844</c:v>
                </c:pt>
                <c:pt idx="248">
                  <c:v>11.16245026117204</c:v>
                </c:pt>
                <c:pt idx="249">
                  <c:v>11.010635141491036</c:v>
                </c:pt>
                <c:pt idx="250">
                  <c:v>10.859624520434437</c:v>
                </c:pt>
                <c:pt idx="251">
                  <c:v>10.70942820423484</c:v>
                </c:pt>
                <c:pt idx="252">
                  <c:v>10.560055853135239</c:v>
                </c:pt>
                <c:pt idx="253">
                  <c:v>10.411517127378545</c:v>
                </c:pt>
                <c:pt idx="254">
                  <c:v>10.263821941403151</c:v>
                </c:pt>
                <c:pt idx="255">
                  <c:v>10.116981226429644</c:v>
                </c:pt>
                <c:pt idx="256">
                  <c:v>9.9710061678739237</c:v>
                </c:pt>
                <c:pt idx="257">
                  <c:v>9.825908039917465</c:v>
                </c:pt>
                <c:pt idx="258">
                  <c:v>9.6816984718036707</c:v>
                </c:pt>
                <c:pt idx="259">
                  <c:v>9.538389181541433</c:v>
                </c:pt>
                <c:pt idx="260">
                  <c:v>9.3959918871396297</c:v>
                </c:pt>
                <c:pt idx="261">
                  <c:v>9.2545180501146262</c:v>
                </c:pt>
                <c:pt idx="262">
                  <c:v>9.1139781060127518</c:v>
                </c:pt>
                <c:pt idx="263">
                  <c:v>8.9743822338878232</c:v>
                </c:pt>
                <c:pt idx="264">
                  <c:v>8.8357406127936144</c:v>
                </c:pt>
                <c:pt idx="265">
                  <c:v>8.6980634679041486</c:v>
                </c:pt>
                <c:pt idx="266">
                  <c:v>8.5613612088741888</c:v>
                </c:pt>
                <c:pt idx="267">
                  <c:v>8.425644291478676</c:v>
                </c:pt>
                <c:pt idx="268">
                  <c:v>8.2909232925719039</c:v>
                </c:pt>
                <c:pt idx="269">
                  <c:v>8.1572092733253925</c:v>
                </c:pt>
                <c:pt idx="270">
                  <c:v>8.0245134159900005</c:v>
                </c:pt>
                <c:pt idx="271">
                  <c:v>7.8928469028165722</c:v>
                </c:pt>
                <c:pt idx="272">
                  <c:v>7.762220634381535</c:v>
                </c:pt>
                <c:pt idx="273">
                  <c:v>7.6326443845636902</c:v>
                </c:pt>
                <c:pt idx="274">
                  <c:v>7.5041276455673653</c:v>
                </c:pt>
                <c:pt idx="275">
                  <c:v>7.3766797162541309</c:v>
                </c:pt>
                <c:pt idx="276">
                  <c:v>7.2503091221143592</c:v>
                </c:pt>
                <c:pt idx="277">
                  <c:v>7.1250241952956799</c:v>
                </c:pt>
                <c:pt idx="278">
                  <c:v>7.0008332679457084</c:v>
                </c:pt>
                <c:pt idx="279">
                  <c:v>6.8777447210348157</c:v>
                </c:pt>
                <c:pt idx="280">
                  <c:v>6.755767130824438</c:v>
                </c:pt>
                <c:pt idx="281">
                  <c:v>6.6349091223987813</c:v>
                </c:pt>
                <c:pt idx="282">
                  <c:v>6.5151793208420514</c:v>
                </c:pt>
                <c:pt idx="283">
                  <c:v>6.3965861154120489</c:v>
                </c:pt>
                <c:pt idx="284">
                  <c:v>6.279136952060739</c:v>
                </c:pt>
                <c:pt idx="285">
                  <c:v>6.1628390409136955</c:v>
                </c:pt>
                <c:pt idx="286">
                  <c:v>6.0476992808188044</c:v>
                </c:pt>
                <c:pt idx="287">
                  <c:v>5.9337233255133555</c:v>
                </c:pt>
                <c:pt idx="288">
                  <c:v>5.8209165174569506</c:v>
                </c:pt>
                <c:pt idx="289">
                  <c:v>5.7092841991091916</c:v>
                </c:pt>
                <c:pt idx="290">
                  <c:v>5.5988316982177651</c:v>
                </c:pt>
                <c:pt idx="291">
                  <c:v>5.4895642836824976</c:v>
                </c:pt>
                <c:pt idx="292">
                  <c:v>5.381487209691258</c:v>
                </c:pt>
                <c:pt idx="293">
                  <c:v>5.2746057304319294</c:v>
                </c:pt>
                <c:pt idx="294">
                  <c:v>5.1689249682575991</c:v>
                </c:pt>
                <c:pt idx="295">
                  <c:v>5.064449518182272</c:v>
                </c:pt>
                <c:pt idx="296">
                  <c:v>4.9611838433851148</c:v>
                </c:pt>
                <c:pt idx="297">
                  <c:v>4.8591320285301833</c:v>
                </c:pt>
                <c:pt idx="298">
                  <c:v>4.7582966442209198</c:v>
                </c:pt>
                <c:pt idx="299">
                  <c:v>4.6586798825456128</c:v>
                </c:pt>
                <c:pt idx="300">
                  <c:v>4.5602839355926079</c:v>
                </c:pt>
                <c:pt idx="301">
                  <c:v>4.4631108392181744</c:v>
                </c:pt>
                <c:pt idx="302">
                  <c:v>4.3671620043507033</c:v>
                </c:pt>
                <c:pt idx="303">
                  <c:v>4.2724386856865664</c:v>
                </c:pt>
                <c:pt idx="304">
                  <c:v>4.1789420842859215</c:v>
                </c:pt>
                <c:pt idx="305">
                  <c:v>4.0866731866640436</c:v>
                </c:pt>
                <c:pt idx="306">
                  <c:v>3.9956329256999226</c:v>
                </c:pt>
                <c:pt idx="307">
                  <c:v>3.9058222342725912</c:v>
                </c:pt>
                <c:pt idx="308">
                  <c:v>3.8172416902817332</c:v>
                </c:pt>
                <c:pt idx="309">
                  <c:v>3.7298904517096076</c:v>
                </c:pt>
                <c:pt idx="310">
                  <c:v>3.6437673215591388</c:v>
                </c:pt>
                <c:pt idx="311">
                  <c:v>3.5588711028332654</c:v>
                </c:pt>
                <c:pt idx="312">
                  <c:v>3.4752004176691713</c:v>
                </c:pt>
                <c:pt idx="313">
                  <c:v>3.3927531647411229</c:v>
                </c:pt>
                <c:pt idx="314">
                  <c:v>3.3115270618577028</c:v>
                </c:pt>
                <c:pt idx="315">
                  <c:v>3.231519882774549</c:v>
                </c:pt>
                <c:pt idx="316">
                  <c:v>3.1527296250356329</c:v>
                </c:pt>
                <c:pt idx="317">
                  <c:v>3.0751543421320662</c:v>
                </c:pt>
                <c:pt idx="318">
                  <c:v>2.9987920875549179</c:v>
                </c:pt>
                <c:pt idx="319">
                  <c:v>2.9236407046022066</c:v>
                </c:pt>
                <c:pt idx="320">
                  <c:v>2.8496971957996351</c:v>
                </c:pt>
                <c:pt idx="321">
                  <c:v>2.7769583534797988</c:v>
                </c:pt>
                <c:pt idx="322">
                  <c:v>2.7054209699753216</c:v>
                </c:pt>
                <c:pt idx="323">
                  <c:v>2.6350816508311397</c:v>
                </c:pt>
                <c:pt idx="324">
                  <c:v>2.5659362544414819</c:v>
                </c:pt>
                <c:pt idx="325">
                  <c:v>2.4979804524128895</c:v>
                </c:pt>
                <c:pt idx="326">
                  <c:v>2.4312099679179795</c:v>
                </c:pt>
                <c:pt idx="327">
                  <c:v>2.3656207303937435</c:v>
                </c:pt>
                <c:pt idx="328">
                  <c:v>2.301208720843249</c:v>
                </c:pt>
                <c:pt idx="329">
                  <c:v>2.2379699202695633</c:v>
                </c:pt>
                <c:pt idx="330">
                  <c:v>2.1759002166711099</c:v>
                </c:pt>
                <c:pt idx="331">
                  <c:v>2.1149951260278783</c:v>
                </c:pt>
                <c:pt idx="332">
                  <c:v>2.0552500713151289</c:v>
                </c:pt>
                <c:pt idx="333">
                  <c:v>1.9966602022586102</c:v>
                </c:pt>
                <c:pt idx="334">
                  <c:v>1.9392195755855113</c:v>
                </c:pt>
                <c:pt idx="335">
                  <c:v>1.8829219747733816</c:v>
                </c:pt>
                <c:pt idx="336">
                  <c:v>1.8277611832998133</c:v>
                </c:pt>
                <c:pt idx="337">
                  <c:v>1.7737307938224944</c:v>
                </c:pt>
                <c:pt idx="338">
                  <c:v>1.7208236357195688</c:v>
                </c:pt>
                <c:pt idx="339">
                  <c:v>1.6690323475493329</c:v>
                </c:pt>
                <c:pt idx="340">
                  <c:v>1.6183495678700268</c:v>
                </c:pt>
                <c:pt idx="341">
                  <c:v>1.5687677912030296</c:v>
                </c:pt>
                <c:pt idx="342">
                  <c:v>1.5202789359219224</c:v>
                </c:pt>
                <c:pt idx="343">
                  <c:v>1.4728747763633976</c:v>
                </c:pt>
                <c:pt idx="344">
                  <c:v>1.4265467275595114</c:v>
                </c:pt>
                <c:pt idx="345">
                  <c:v>1.381284767323919</c:v>
                </c:pt>
                <c:pt idx="346">
                  <c:v>1.3370785141656967</c:v>
                </c:pt>
                <c:pt idx="347">
                  <c:v>1.2939175865938637</c:v>
                </c:pt>
                <c:pt idx="348">
                  <c:v>1.2517912974784196</c:v>
                </c:pt>
                <c:pt idx="349">
                  <c:v>1.2106877371331564</c:v>
                </c:pt>
                <c:pt idx="350">
                  <c:v>1.1705946902327895</c:v>
                </c:pt>
                <c:pt idx="351">
                  <c:v>1.1314997289840818</c:v>
                </c:pt>
                <c:pt idx="352">
                  <c:v>1.0933895757218721</c:v>
                </c:pt>
                <c:pt idx="353">
                  <c:v>1.0562507403130752</c:v>
                </c:pt>
                <c:pt idx="354">
                  <c:v>1.0200697326245773</c:v>
                </c:pt>
                <c:pt idx="355">
                  <c:v>0.98483263141230282</c:v>
                </c:pt>
                <c:pt idx="356">
                  <c:v>0.95052379098835615</c:v>
                </c:pt>
                <c:pt idx="357">
                  <c:v>0.91712713455385142</c:v>
                </c:pt>
                <c:pt idx="358">
                  <c:v>0.8846265853099311</c:v>
                </c:pt>
                <c:pt idx="359">
                  <c:v>0.8530057008495362</c:v>
                </c:pt>
                <c:pt idx="360">
                  <c:v>0.82224657633284437</c:v>
                </c:pt>
                <c:pt idx="361">
                  <c:v>0.79233094131186022</c:v>
                </c:pt>
                <c:pt idx="362">
                  <c:v>0.76324025160377573</c:v>
                </c:pt>
                <c:pt idx="363">
                  <c:v>0.7349548680866036</c:v>
                </c:pt>
                <c:pt idx="364">
                  <c:v>0.70745487790354389</c:v>
                </c:pt>
                <c:pt idx="365">
                  <c:v>0.68072036819778248</c:v>
                </c:pt>
                <c:pt idx="366">
                  <c:v>0.65473100703047749</c:v>
                </c:pt>
                <c:pt idx="367">
                  <c:v>0.62946478613464762</c:v>
                </c:pt>
                <c:pt idx="368">
                  <c:v>0.60489927816121281</c:v>
                </c:pt>
                <c:pt idx="369">
                  <c:v>0.58101205576113557</c:v>
                </c:pt>
                <c:pt idx="370">
                  <c:v>0.55778034249911457</c:v>
                </c:pt>
                <c:pt idx="371">
                  <c:v>0.5351799655948497</c:v>
                </c:pt>
                <c:pt idx="372">
                  <c:v>0.51318640318176278</c:v>
                </c:pt>
                <c:pt idx="373">
                  <c:v>0.49177488488345489</c:v>
                </c:pt>
                <c:pt idx="374">
                  <c:v>0.47091964628418737</c:v>
                </c:pt>
                <c:pt idx="375">
                  <c:v>0.45059467445840085</c:v>
                </c:pt>
                <c:pt idx="376">
                  <c:v>0.43077395648053596</c:v>
                </c:pt>
                <c:pt idx="377">
                  <c:v>0.41143130169238873</c:v>
                </c:pt>
                <c:pt idx="378">
                  <c:v>0.39253980850519099</c:v>
                </c:pt>
                <c:pt idx="379">
                  <c:v>0.37407239759750155</c:v>
                </c:pt>
                <c:pt idx="380">
                  <c:v>0.35600187760546476</c:v>
                </c:pt>
                <c:pt idx="381">
                  <c:v>0.33830060899542502</c:v>
                </c:pt>
                <c:pt idx="382">
                  <c:v>0.32094084019128388</c:v>
                </c:pt>
                <c:pt idx="383">
                  <c:v>0.30389481961691445</c:v>
                </c:pt>
                <c:pt idx="384">
                  <c:v>0.28713497337155047</c:v>
                </c:pt>
                <c:pt idx="385">
                  <c:v>0.27063443825589673</c:v>
                </c:pt>
                <c:pt idx="386">
                  <c:v>0.25436652874599019</c:v>
                </c:pt>
                <c:pt idx="387">
                  <c:v>0.23830455931786787</c:v>
                </c:pt>
                <c:pt idx="388">
                  <c:v>0.2224222982534485</c:v>
                </c:pt>
                <c:pt idx="389">
                  <c:v>0.20669532905810684</c:v>
                </c:pt>
                <c:pt idx="390">
                  <c:v>0.19109968904309937</c:v>
                </c:pt>
                <c:pt idx="391">
                  <c:v>0.17561224253351781</c:v>
                </c:pt>
                <c:pt idx="392">
                  <c:v>0.16021316190980883</c:v>
                </c:pt>
                <c:pt idx="393">
                  <c:v>0.1448834465662685</c:v>
                </c:pt>
                <c:pt idx="394">
                  <c:v>0.12960409589717869</c:v>
                </c:pt>
                <c:pt idx="395">
                  <c:v>0.11435779090902543</c:v>
                </c:pt>
                <c:pt idx="396">
                  <c:v>9.9133939057068687E-2</c:v>
                </c:pt>
                <c:pt idx="397">
                  <c:v>8.3923629408772626E-2</c:v>
                </c:pt>
                <c:pt idx="398">
                  <c:v>6.8717951031587177E-2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5-4E89-8546-E07D690C3E42}"/>
            </c:ext>
          </c:extLst>
        </c:ser>
        <c:ser>
          <c:idx val="1"/>
          <c:order val="1"/>
          <c:tx>
            <c:strRef>
              <c:f>'Markov Model_b (3)'!$C$7</c:f>
              <c:strCache>
                <c:ptCount val="1"/>
                <c:pt idx="0">
                  <c:v>Prophylaxis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'Markov Model_b (3)'!$AC$23:$AC$392</c:f>
              <c:numCache>
                <c:formatCode>General</c:formatCode>
                <c:ptCount val="370"/>
                <c:pt idx="0">
                  <c:v>0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54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58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64</c:v>
                </c:pt>
                <c:pt idx="54">
                  <c:v>65</c:v>
                </c:pt>
                <c:pt idx="55">
                  <c:v>66</c:v>
                </c:pt>
                <c:pt idx="56">
                  <c:v>67</c:v>
                </c:pt>
                <c:pt idx="57">
                  <c:v>68</c:v>
                </c:pt>
                <c:pt idx="58">
                  <c:v>69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78</c:v>
                </c:pt>
                <c:pt idx="68">
                  <c:v>79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83</c:v>
                </c:pt>
                <c:pt idx="73">
                  <c:v>84</c:v>
                </c:pt>
                <c:pt idx="74">
                  <c:v>85</c:v>
                </c:pt>
                <c:pt idx="75">
                  <c:v>86</c:v>
                </c:pt>
                <c:pt idx="76">
                  <c:v>87</c:v>
                </c:pt>
                <c:pt idx="77">
                  <c:v>88</c:v>
                </c:pt>
                <c:pt idx="78">
                  <c:v>89</c:v>
                </c:pt>
                <c:pt idx="79">
                  <c:v>90</c:v>
                </c:pt>
                <c:pt idx="80">
                  <c:v>91</c:v>
                </c:pt>
                <c:pt idx="81">
                  <c:v>92</c:v>
                </c:pt>
                <c:pt idx="82">
                  <c:v>93</c:v>
                </c:pt>
                <c:pt idx="83">
                  <c:v>94</c:v>
                </c:pt>
                <c:pt idx="84">
                  <c:v>95</c:v>
                </c:pt>
                <c:pt idx="85">
                  <c:v>96</c:v>
                </c:pt>
                <c:pt idx="86">
                  <c:v>97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  <c:pt idx="90">
                  <c:v>101</c:v>
                </c:pt>
                <c:pt idx="91">
                  <c:v>102</c:v>
                </c:pt>
                <c:pt idx="92">
                  <c:v>103</c:v>
                </c:pt>
                <c:pt idx="93">
                  <c:v>104</c:v>
                </c:pt>
                <c:pt idx="94">
                  <c:v>105</c:v>
                </c:pt>
                <c:pt idx="95">
                  <c:v>106</c:v>
                </c:pt>
                <c:pt idx="96">
                  <c:v>107</c:v>
                </c:pt>
                <c:pt idx="97">
                  <c:v>108</c:v>
                </c:pt>
                <c:pt idx="98">
                  <c:v>109</c:v>
                </c:pt>
                <c:pt idx="99">
                  <c:v>110</c:v>
                </c:pt>
                <c:pt idx="100">
                  <c:v>111</c:v>
                </c:pt>
                <c:pt idx="101">
                  <c:v>112</c:v>
                </c:pt>
                <c:pt idx="102">
                  <c:v>113</c:v>
                </c:pt>
                <c:pt idx="103">
                  <c:v>114</c:v>
                </c:pt>
                <c:pt idx="104">
                  <c:v>115</c:v>
                </c:pt>
                <c:pt idx="105">
                  <c:v>116</c:v>
                </c:pt>
                <c:pt idx="106">
                  <c:v>117</c:v>
                </c:pt>
                <c:pt idx="107">
                  <c:v>118</c:v>
                </c:pt>
                <c:pt idx="108">
                  <c:v>119</c:v>
                </c:pt>
                <c:pt idx="109">
                  <c:v>120</c:v>
                </c:pt>
                <c:pt idx="110">
                  <c:v>121</c:v>
                </c:pt>
                <c:pt idx="111">
                  <c:v>122</c:v>
                </c:pt>
                <c:pt idx="112">
                  <c:v>123</c:v>
                </c:pt>
                <c:pt idx="113">
                  <c:v>124</c:v>
                </c:pt>
                <c:pt idx="114">
                  <c:v>125</c:v>
                </c:pt>
                <c:pt idx="115">
                  <c:v>126</c:v>
                </c:pt>
                <c:pt idx="116">
                  <c:v>127</c:v>
                </c:pt>
                <c:pt idx="117">
                  <c:v>128</c:v>
                </c:pt>
                <c:pt idx="118">
                  <c:v>129</c:v>
                </c:pt>
                <c:pt idx="119">
                  <c:v>130</c:v>
                </c:pt>
                <c:pt idx="120">
                  <c:v>131</c:v>
                </c:pt>
                <c:pt idx="121">
                  <c:v>132</c:v>
                </c:pt>
                <c:pt idx="122">
                  <c:v>133</c:v>
                </c:pt>
                <c:pt idx="123">
                  <c:v>134</c:v>
                </c:pt>
                <c:pt idx="124">
                  <c:v>135</c:v>
                </c:pt>
                <c:pt idx="125">
                  <c:v>136</c:v>
                </c:pt>
                <c:pt idx="126">
                  <c:v>137</c:v>
                </c:pt>
                <c:pt idx="127">
                  <c:v>138</c:v>
                </c:pt>
                <c:pt idx="128">
                  <c:v>139</c:v>
                </c:pt>
                <c:pt idx="129">
                  <c:v>140</c:v>
                </c:pt>
                <c:pt idx="130">
                  <c:v>141</c:v>
                </c:pt>
                <c:pt idx="131">
                  <c:v>142</c:v>
                </c:pt>
                <c:pt idx="132">
                  <c:v>143</c:v>
                </c:pt>
                <c:pt idx="133">
                  <c:v>144</c:v>
                </c:pt>
                <c:pt idx="134">
                  <c:v>145</c:v>
                </c:pt>
                <c:pt idx="135">
                  <c:v>146</c:v>
                </c:pt>
                <c:pt idx="136">
                  <c:v>147</c:v>
                </c:pt>
                <c:pt idx="137">
                  <c:v>148</c:v>
                </c:pt>
                <c:pt idx="138">
                  <c:v>149</c:v>
                </c:pt>
                <c:pt idx="139">
                  <c:v>150</c:v>
                </c:pt>
                <c:pt idx="140">
                  <c:v>151</c:v>
                </c:pt>
                <c:pt idx="141">
                  <c:v>152</c:v>
                </c:pt>
                <c:pt idx="142">
                  <c:v>153</c:v>
                </c:pt>
                <c:pt idx="143">
                  <c:v>154</c:v>
                </c:pt>
                <c:pt idx="144">
                  <c:v>155</c:v>
                </c:pt>
                <c:pt idx="145">
                  <c:v>156</c:v>
                </c:pt>
                <c:pt idx="146">
                  <c:v>157</c:v>
                </c:pt>
                <c:pt idx="147">
                  <c:v>158</c:v>
                </c:pt>
                <c:pt idx="148">
                  <c:v>159</c:v>
                </c:pt>
                <c:pt idx="149">
                  <c:v>160</c:v>
                </c:pt>
                <c:pt idx="150">
                  <c:v>161</c:v>
                </c:pt>
                <c:pt idx="151">
                  <c:v>162</c:v>
                </c:pt>
                <c:pt idx="152">
                  <c:v>163</c:v>
                </c:pt>
                <c:pt idx="153">
                  <c:v>164</c:v>
                </c:pt>
                <c:pt idx="154">
                  <c:v>165</c:v>
                </c:pt>
                <c:pt idx="155">
                  <c:v>166</c:v>
                </c:pt>
                <c:pt idx="156">
                  <c:v>167</c:v>
                </c:pt>
                <c:pt idx="157">
                  <c:v>168</c:v>
                </c:pt>
                <c:pt idx="158">
                  <c:v>169</c:v>
                </c:pt>
                <c:pt idx="159">
                  <c:v>170</c:v>
                </c:pt>
                <c:pt idx="160">
                  <c:v>171</c:v>
                </c:pt>
                <c:pt idx="161">
                  <c:v>172</c:v>
                </c:pt>
                <c:pt idx="162">
                  <c:v>173</c:v>
                </c:pt>
                <c:pt idx="163">
                  <c:v>174</c:v>
                </c:pt>
                <c:pt idx="164">
                  <c:v>175</c:v>
                </c:pt>
                <c:pt idx="165">
                  <c:v>176</c:v>
                </c:pt>
                <c:pt idx="166">
                  <c:v>177</c:v>
                </c:pt>
                <c:pt idx="167">
                  <c:v>178</c:v>
                </c:pt>
                <c:pt idx="168">
                  <c:v>179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183</c:v>
                </c:pt>
                <c:pt idx="173">
                  <c:v>184</c:v>
                </c:pt>
                <c:pt idx="174">
                  <c:v>185</c:v>
                </c:pt>
                <c:pt idx="175">
                  <c:v>186</c:v>
                </c:pt>
                <c:pt idx="176">
                  <c:v>187</c:v>
                </c:pt>
                <c:pt idx="177">
                  <c:v>188</c:v>
                </c:pt>
                <c:pt idx="178">
                  <c:v>189</c:v>
                </c:pt>
                <c:pt idx="179">
                  <c:v>190</c:v>
                </c:pt>
                <c:pt idx="180">
                  <c:v>191</c:v>
                </c:pt>
                <c:pt idx="181">
                  <c:v>192</c:v>
                </c:pt>
                <c:pt idx="182">
                  <c:v>193</c:v>
                </c:pt>
                <c:pt idx="183">
                  <c:v>194</c:v>
                </c:pt>
                <c:pt idx="184">
                  <c:v>195</c:v>
                </c:pt>
                <c:pt idx="185">
                  <c:v>196</c:v>
                </c:pt>
                <c:pt idx="186">
                  <c:v>197</c:v>
                </c:pt>
                <c:pt idx="187">
                  <c:v>198</c:v>
                </c:pt>
                <c:pt idx="188">
                  <c:v>199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203</c:v>
                </c:pt>
                <c:pt idx="193">
                  <c:v>204</c:v>
                </c:pt>
                <c:pt idx="194">
                  <c:v>205</c:v>
                </c:pt>
                <c:pt idx="195">
                  <c:v>206</c:v>
                </c:pt>
                <c:pt idx="196">
                  <c:v>207</c:v>
                </c:pt>
                <c:pt idx="197">
                  <c:v>208</c:v>
                </c:pt>
                <c:pt idx="198">
                  <c:v>209</c:v>
                </c:pt>
                <c:pt idx="199">
                  <c:v>210</c:v>
                </c:pt>
                <c:pt idx="200">
                  <c:v>211</c:v>
                </c:pt>
                <c:pt idx="201">
                  <c:v>212</c:v>
                </c:pt>
                <c:pt idx="202">
                  <c:v>213</c:v>
                </c:pt>
                <c:pt idx="203">
                  <c:v>214</c:v>
                </c:pt>
                <c:pt idx="204">
                  <c:v>215</c:v>
                </c:pt>
                <c:pt idx="205">
                  <c:v>216</c:v>
                </c:pt>
                <c:pt idx="206">
                  <c:v>217</c:v>
                </c:pt>
                <c:pt idx="207">
                  <c:v>218</c:v>
                </c:pt>
                <c:pt idx="208">
                  <c:v>219</c:v>
                </c:pt>
                <c:pt idx="209">
                  <c:v>220</c:v>
                </c:pt>
                <c:pt idx="210">
                  <c:v>221</c:v>
                </c:pt>
                <c:pt idx="211">
                  <c:v>222</c:v>
                </c:pt>
                <c:pt idx="212">
                  <c:v>223</c:v>
                </c:pt>
                <c:pt idx="213">
                  <c:v>224</c:v>
                </c:pt>
                <c:pt idx="214">
                  <c:v>225</c:v>
                </c:pt>
                <c:pt idx="215">
                  <c:v>226</c:v>
                </c:pt>
                <c:pt idx="216">
                  <c:v>227</c:v>
                </c:pt>
                <c:pt idx="217">
                  <c:v>228</c:v>
                </c:pt>
                <c:pt idx="218">
                  <c:v>229</c:v>
                </c:pt>
                <c:pt idx="219">
                  <c:v>230</c:v>
                </c:pt>
                <c:pt idx="220">
                  <c:v>231</c:v>
                </c:pt>
                <c:pt idx="221">
                  <c:v>232</c:v>
                </c:pt>
                <c:pt idx="222">
                  <c:v>233</c:v>
                </c:pt>
                <c:pt idx="223">
                  <c:v>234</c:v>
                </c:pt>
                <c:pt idx="224">
                  <c:v>235</c:v>
                </c:pt>
                <c:pt idx="225">
                  <c:v>236</c:v>
                </c:pt>
                <c:pt idx="226">
                  <c:v>237</c:v>
                </c:pt>
                <c:pt idx="227">
                  <c:v>238</c:v>
                </c:pt>
                <c:pt idx="228">
                  <c:v>239</c:v>
                </c:pt>
                <c:pt idx="229">
                  <c:v>240</c:v>
                </c:pt>
                <c:pt idx="230">
                  <c:v>241</c:v>
                </c:pt>
                <c:pt idx="231">
                  <c:v>242</c:v>
                </c:pt>
                <c:pt idx="232">
                  <c:v>243</c:v>
                </c:pt>
                <c:pt idx="233">
                  <c:v>244</c:v>
                </c:pt>
                <c:pt idx="234">
                  <c:v>245</c:v>
                </c:pt>
                <c:pt idx="235">
                  <c:v>246</c:v>
                </c:pt>
                <c:pt idx="236">
                  <c:v>247</c:v>
                </c:pt>
                <c:pt idx="237">
                  <c:v>248</c:v>
                </c:pt>
                <c:pt idx="238">
                  <c:v>249</c:v>
                </c:pt>
                <c:pt idx="239">
                  <c:v>250</c:v>
                </c:pt>
                <c:pt idx="240">
                  <c:v>251</c:v>
                </c:pt>
                <c:pt idx="241">
                  <c:v>252</c:v>
                </c:pt>
                <c:pt idx="242">
                  <c:v>253</c:v>
                </c:pt>
                <c:pt idx="243">
                  <c:v>254</c:v>
                </c:pt>
                <c:pt idx="244">
                  <c:v>255</c:v>
                </c:pt>
                <c:pt idx="245">
                  <c:v>256</c:v>
                </c:pt>
                <c:pt idx="246">
                  <c:v>257</c:v>
                </c:pt>
                <c:pt idx="247">
                  <c:v>258</c:v>
                </c:pt>
                <c:pt idx="248">
                  <c:v>259</c:v>
                </c:pt>
                <c:pt idx="249">
                  <c:v>260</c:v>
                </c:pt>
                <c:pt idx="250">
                  <c:v>261</c:v>
                </c:pt>
                <c:pt idx="251">
                  <c:v>262</c:v>
                </c:pt>
                <c:pt idx="252">
                  <c:v>263</c:v>
                </c:pt>
                <c:pt idx="253">
                  <c:v>264</c:v>
                </c:pt>
                <c:pt idx="254">
                  <c:v>265</c:v>
                </c:pt>
                <c:pt idx="255">
                  <c:v>266</c:v>
                </c:pt>
                <c:pt idx="256">
                  <c:v>267</c:v>
                </c:pt>
                <c:pt idx="257">
                  <c:v>268</c:v>
                </c:pt>
                <c:pt idx="258">
                  <c:v>269</c:v>
                </c:pt>
                <c:pt idx="259">
                  <c:v>270</c:v>
                </c:pt>
                <c:pt idx="260">
                  <c:v>271</c:v>
                </c:pt>
                <c:pt idx="261">
                  <c:v>272</c:v>
                </c:pt>
                <c:pt idx="262">
                  <c:v>273</c:v>
                </c:pt>
                <c:pt idx="263">
                  <c:v>274</c:v>
                </c:pt>
                <c:pt idx="264">
                  <c:v>275</c:v>
                </c:pt>
                <c:pt idx="265">
                  <c:v>276</c:v>
                </c:pt>
                <c:pt idx="266">
                  <c:v>277</c:v>
                </c:pt>
                <c:pt idx="267">
                  <c:v>278</c:v>
                </c:pt>
                <c:pt idx="268">
                  <c:v>279</c:v>
                </c:pt>
                <c:pt idx="269">
                  <c:v>280</c:v>
                </c:pt>
                <c:pt idx="270">
                  <c:v>281</c:v>
                </c:pt>
                <c:pt idx="271">
                  <c:v>282</c:v>
                </c:pt>
                <c:pt idx="272">
                  <c:v>283</c:v>
                </c:pt>
                <c:pt idx="273">
                  <c:v>284</c:v>
                </c:pt>
                <c:pt idx="274">
                  <c:v>285</c:v>
                </c:pt>
                <c:pt idx="275">
                  <c:v>286</c:v>
                </c:pt>
                <c:pt idx="276">
                  <c:v>287</c:v>
                </c:pt>
                <c:pt idx="277">
                  <c:v>288</c:v>
                </c:pt>
                <c:pt idx="278">
                  <c:v>289</c:v>
                </c:pt>
                <c:pt idx="279">
                  <c:v>290</c:v>
                </c:pt>
                <c:pt idx="280">
                  <c:v>291</c:v>
                </c:pt>
                <c:pt idx="281">
                  <c:v>292</c:v>
                </c:pt>
                <c:pt idx="282">
                  <c:v>293</c:v>
                </c:pt>
                <c:pt idx="283">
                  <c:v>294</c:v>
                </c:pt>
                <c:pt idx="284">
                  <c:v>295</c:v>
                </c:pt>
                <c:pt idx="285">
                  <c:v>296</c:v>
                </c:pt>
                <c:pt idx="286">
                  <c:v>297</c:v>
                </c:pt>
                <c:pt idx="287">
                  <c:v>298</c:v>
                </c:pt>
                <c:pt idx="288">
                  <c:v>299</c:v>
                </c:pt>
                <c:pt idx="289">
                  <c:v>300</c:v>
                </c:pt>
                <c:pt idx="290">
                  <c:v>301</c:v>
                </c:pt>
                <c:pt idx="291">
                  <c:v>302</c:v>
                </c:pt>
                <c:pt idx="292">
                  <c:v>303</c:v>
                </c:pt>
                <c:pt idx="293">
                  <c:v>304</c:v>
                </c:pt>
                <c:pt idx="294">
                  <c:v>305</c:v>
                </c:pt>
                <c:pt idx="295">
                  <c:v>306</c:v>
                </c:pt>
                <c:pt idx="296">
                  <c:v>307</c:v>
                </c:pt>
                <c:pt idx="297">
                  <c:v>308</c:v>
                </c:pt>
                <c:pt idx="298">
                  <c:v>309</c:v>
                </c:pt>
                <c:pt idx="299">
                  <c:v>310</c:v>
                </c:pt>
                <c:pt idx="300">
                  <c:v>311</c:v>
                </c:pt>
                <c:pt idx="301">
                  <c:v>312</c:v>
                </c:pt>
                <c:pt idx="302">
                  <c:v>313</c:v>
                </c:pt>
                <c:pt idx="303">
                  <c:v>314</c:v>
                </c:pt>
                <c:pt idx="304">
                  <c:v>315</c:v>
                </c:pt>
                <c:pt idx="305">
                  <c:v>316</c:v>
                </c:pt>
                <c:pt idx="306">
                  <c:v>317</c:v>
                </c:pt>
                <c:pt idx="307">
                  <c:v>318</c:v>
                </c:pt>
                <c:pt idx="308">
                  <c:v>319</c:v>
                </c:pt>
                <c:pt idx="309">
                  <c:v>320</c:v>
                </c:pt>
                <c:pt idx="310">
                  <c:v>321</c:v>
                </c:pt>
                <c:pt idx="311">
                  <c:v>322</c:v>
                </c:pt>
                <c:pt idx="312">
                  <c:v>323</c:v>
                </c:pt>
                <c:pt idx="313">
                  <c:v>324</c:v>
                </c:pt>
                <c:pt idx="314">
                  <c:v>325</c:v>
                </c:pt>
                <c:pt idx="315">
                  <c:v>326</c:v>
                </c:pt>
                <c:pt idx="316">
                  <c:v>327</c:v>
                </c:pt>
                <c:pt idx="317">
                  <c:v>328</c:v>
                </c:pt>
                <c:pt idx="318">
                  <c:v>329</c:v>
                </c:pt>
                <c:pt idx="319">
                  <c:v>330</c:v>
                </c:pt>
                <c:pt idx="320">
                  <c:v>331</c:v>
                </c:pt>
                <c:pt idx="321">
                  <c:v>332</c:v>
                </c:pt>
                <c:pt idx="322">
                  <c:v>333</c:v>
                </c:pt>
                <c:pt idx="323">
                  <c:v>334</c:v>
                </c:pt>
                <c:pt idx="324">
                  <c:v>335</c:v>
                </c:pt>
                <c:pt idx="325">
                  <c:v>336</c:v>
                </c:pt>
                <c:pt idx="326">
                  <c:v>337</c:v>
                </c:pt>
                <c:pt idx="327">
                  <c:v>338</c:v>
                </c:pt>
                <c:pt idx="328">
                  <c:v>339</c:v>
                </c:pt>
                <c:pt idx="329">
                  <c:v>340</c:v>
                </c:pt>
                <c:pt idx="330">
                  <c:v>341</c:v>
                </c:pt>
                <c:pt idx="331">
                  <c:v>342</c:v>
                </c:pt>
                <c:pt idx="332">
                  <c:v>343</c:v>
                </c:pt>
                <c:pt idx="333">
                  <c:v>344</c:v>
                </c:pt>
                <c:pt idx="334">
                  <c:v>345</c:v>
                </c:pt>
                <c:pt idx="335">
                  <c:v>346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362</c:v>
                </c:pt>
                <c:pt idx="352">
                  <c:v>363</c:v>
                </c:pt>
                <c:pt idx="353">
                  <c:v>364</c:v>
                </c:pt>
                <c:pt idx="354">
                  <c:v>365</c:v>
                </c:pt>
                <c:pt idx="355">
                  <c:v>366</c:v>
                </c:pt>
                <c:pt idx="356">
                  <c:v>367</c:v>
                </c:pt>
                <c:pt idx="357">
                  <c:v>368</c:v>
                </c:pt>
                <c:pt idx="358">
                  <c:v>369</c:v>
                </c:pt>
                <c:pt idx="359">
                  <c:v>370</c:v>
                </c:pt>
                <c:pt idx="360">
                  <c:v>371</c:v>
                </c:pt>
                <c:pt idx="361">
                  <c:v>372</c:v>
                </c:pt>
                <c:pt idx="362">
                  <c:v>373</c:v>
                </c:pt>
                <c:pt idx="363">
                  <c:v>374</c:v>
                </c:pt>
                <c:pt idx="364">
                  <c:v>375</c:v>
                </c:pt>
                <c:pt idx="365">
                  <c:v>376</c:v>
                </c:pt>
                <c:pt idx="366">
                  <c:v>377</c:v>
                </c:pt>
                <c:pt idx="367">
                  <c:v>378</c:v>
                </c:pt>
                <c:pt idx="368">
                  <c:v>379</c:v>
                </c:pt>
                <c:pt idx="369">
                  <c:v>380</c:v>
                </c:pt>
              </c:numCache>
            </c:numRef>
          </c:xVal>
          <c:yVal>
            <c:numRef>
              <c:f>'Markov Model_b (3)'!$G$10:$G$408</c:f>
              <c:numCache>
                <c:formatCode>0.000</c:formatCode>
                <c:ptCount val="399"/>
                <c:pt idx="0" formatCode="General">
                  <c:v>100</c:v>
                </c:pt>
                <c:pt idx="1">
                  <c:v>81.2</c:v>
                </c:pt>
                <c:pt idx="2">
                  <c:v>74.257400000000004</c:v>
                </c:pt>
                <c:pt idx="3">
                  <c:v>73.093424520226748</c:v>
                </c:pt>
                <c:pt idx="4">
                  <c:v>71.937084353889702</c:v>
                </c:pt>
                <c:pt idx="5">
                  <c:v>70.789696408353265</c:v>
                </c:pt>
                <c:pt idx="6">
                  <c:v>69.652731836719937</c:v>
                </c:pt>
                <c:pt idx="7">
                  <c:v>68.527661792092204</c:v>
                </c:pt>
                <c:pt idx="8">
                  <c:v>67.415945986926332</c:v>
                </c:pt>
                <c:pt idx="9">
                  <c:v>66.318998371092377</c:v>
                </c:pt>
                <c:pt idx="10">
                  <c:v>65.238221453814575</c:v>
                </c:pt>
                <c:pt idx="11">
                  <c:v>64.174986654721607</c:v>
                </c:pt>
                <c:pt idx="12">
                  <c:v>63.130541035061107</c:v>
                </c:pt>
                <c:pt idx="13">
                  <c:v>62.106100566485559</c:v>
                </c:pt>
                <c:pt idx="14">
                  <c:v>61.102881220647369</c:v>
                </c:pt>
                <c:pt idx="15">
                  <c:v>60.12202686353627</c:v>
                </c:pt>
                <c:pt idx="16">
                  <c:v>59.164392938490238</c:v>
                </c:pt>
                <c:pt idx="17">
                  <c:v>58.23076278318473</c:v>
                </c:pt>
                <c:pt idx="18">
                  <c:v>57.321919735295118</c:v>
                </c:pt>
                <c:pt idx="19">
                  <c:v>56.438585982260484</c:v>
                </c:pt>
                <c:pt idx="20">
                  <c:v>55.581239110575794</c:v>
                </c:pt>
                <c:pt idx="21">
                  <c:v>54.750295556499786</c:v>
                </c:pt>
                <c:pt idx="22">
                  <c:v>53.946114159632565</c:v>
                </c:pt>
                <c:pt idx="23">
                  <c:v>53.168823372939144</c:v>
                </c:pt>
                <c:pt idx="24">
                  <c:v>52.418494052725904</c:v>
                </c:pt>
                <c:pt idx="25">
                  <c:v>51.695197055299268</c:v>
                </c:pt>
                <c:pt idx="26">
                  <c:v>50.998953376114258</c:v>
                </c:pt>
                <c:pt idx="27">
                  <c:v>50.329584567220493</c:v>
                </c:pt>
                <c:pt idx="28">
                  <c:v>49.686862319816434</c:v>
                </c:pt>
                <c:pt idx="29">
                  <c:v>49.070525306413018</c:v>
                </c:pt>
                <c:pt idx="30">
                  <c:v>48.480180124772666</c:v>
                </c:pt>
                <c:pt idx="31">
                  <c:v>47.915400353970064</c:v>
                </c:pt>
                <c:pt idx="32">
                  <c:v>47.375759573080238</c:v>
                </c:pt>
                <c:pt idx="33">
                  <c:v>46.86080277681085</c:v>
                </c:pt>
                <c:pt idx="34">
                  <c:v>46.369960622400292</c:v>
                </c:pt>
                <c:pt idx="35">
                  <c:v>45.902635182719727</c:v>
                </c:pt>
                <c:pt idx="36">
                  <c:v>45.458228530640532</c:v>
                </c:pt>
                <c:pt idx="37">
                  <c:v>45.036131276135563</c:v>
                </c:pt>
                <c:pt idx="38">
                  <c:v>44.635688177584711</c:v>
                </c:pt>
                <c:pt idx="39">
                  <c:v>44.256232530469958</c:v>
                </c:pt>
                <c:pt idx="40">
                  <c:v>43.897094098443866</c:v>
                </c:pt>
                <c:pt idx="41">
                  <c:v>43.557588517843158</c:v>
                </c:pt>
                <c:pt idx="42">
                  <c:v>43.237027893175231</c:v>
                </c:pt>
                <c:pt idx="43">
                  <c:v>42.934724328947574</c:v>
                </c:pt>
                <c:pt idx="44">
                  <c:v>42.649992898601418</c:v>
                </c:pt>
                <c:pt idx="45">
                  <c:v>42.3821605513115</c:v>
                </c:pt>
                <c:pt idx="46">
                  <c:v>42.1305572051863</c:v>
                </c:pt>
                <c:pt idx="47">
                  <c:v>41.894512778334096</c:v>
                </c:pt>
                <c:pt idx="48">
                  <c:v>41.673363544610844</c:v>
                </c:pt>
                <c:pt idx="49">
                  <c:v>41.466471200862642</c:v>
                </c:pt>
                <c:pt idx="50">
                  <c:v>41.273203799683166</c:v>
                </c:pt>
                <c:pt idx="51">
                  <c:v>41.092937272459601</c:v>
                </c:pt>
                <c:pt idx="52">
                  <c:v>40.925079065753692</c:v>
                </c:pt>
                <c:pt idx="53">
                  <c:v>40.769044504920913</c:v>
                </c:pt>
                <c:pt idx="54">
                  <c:v>40.624248915316691</c:v>
                </c:pt>
                <c:pt idx="55">
                  <c:v>40.49011585371106</c:v>
                </c:pt>
                <c:pt idx="56">
                  <c:v>40.366101802533215</c:v>
                </c:pt>
                <c:pt idx="57">
                  <c:v>40.251671475626928</c:v>
                </c:pt>
                <c:pt idx="58">
                  <c:v>40.146294821499218</c:v>
                </c:pt>
                <c:pt idx="59">
                  <c:v>40.049462727309098</c:v>
                </c:pt>
                <c:pt idx="60">
                  <c:v>39.960671314879029</c:v>
                </c:pt>
                <c:pt idx="61">
                  <c:v>39.879416706031158</c:v>
                </c:pt>
                <c:pt idx="62">
                  <c:v>39.805200113008645</c:v>
                </c:pt>
                <c:pt idx="63">
                  <c:v>39.737543109737906</c:v>
                </c:pt>
                <c:pt idx="64">
                  <c:v>39.675972360566291</c:v>
                </c:pt>
                <c:pt idx="65">
                  <c:v>39.620014529841022</c:v>
                </c:pt>
                <c:pt idx="66">
                  <c:v>39.569202298861818</c:v>
                </c:pt>
                <c:pt idx="67">
                  <c:v>39.523092416738535</c:v>
                </c:pt>
                <c:pt idx="68">
                  <c:v>39.481247649533607</c:v>
                </c:pt>
                <c:pt idx="69">
                  <c:v>39.443238854952867</c:v>
                </c:pt>
                <c:pt idx="70">
                  <c:v>39.40866925727763</c:v>
                </c:pt>
                <c:pt idx="71">
                  <c:v>39.377150172432714</c:v>
                </c:pt>
                <c:pt idx="72">
                  <c:v>39.348292916343055</c:v>
                </c:pt>
                <c:pt idx="73">
                  <c:v>39.32171710027631</c:v>
                </c:pt>
                <c:pt idx="74">
                  <c:v>39.297075516870756</c:v>
                </c:pt>
                <c:pt idx="75">
                  <c:v>39.27402925410744</c:v>
                </c:pt>
                <c:pt idx="76">
                  <c:v>39.252246036100694</c:v>
                </c:pt>
                <c:pt idx="77">
                  <c:v>39.231420131497764</c:v>
                </c:pt>
                <c:pt idx="78">
                  <c:v>39.21125244507946</c:v>
                </c:pt>
                <c:pt idx="79">
                  <c:v>39.191443881626419</c:v>
                </c:pt>
                <c:pt idx="80">
                  <c:v>39.171702161090856</c:v>
                </c:pt>
                <c:pt idx="81">
                  <c:v>39.151762264111866</c:v>
                </c:pt>
                <c:pt idx="82">
                  <c:v>39.13136598649983</c:v>
                </c:pt>
                <c:pt idx="83">
                  <c:v>39.110255124065425</c:v>
                </c:pt>
                <c:pt idx="84">
                  <c:v>39.088175403364708</c:v>
                </c:pt>
                <c:pt idx="85">
                  <c:v>39.064888273936958</c:v>
                </c:pt>
                <c:pt idx="86">
                  <c:v>39.040159116066633</c:v>
                </c:pt>
                <c:pt idx="87">
                  <c:v>39.013755878091807</c:v>
                </c:pt>
                <c:pt idx="88">
                  <c:v>38.98545678056302</c:v>
                </c:pt>
                <c:pt idx="89">
                  <c:v>38.955042612083808</c:v>
                </c:pt>
                <c:pt idx="90">
                  <c:v>38.922294161258009</c:v>
                </c:pt>
                <c:pt idx="91">
                  <c:v>38.886994826088944</c:v>
                </c:pt>
                <c:pt idx="92">
                  <c:v>38.848938442178415</c:v>
                </c:pt>
                <c:pt idx="93">
                  <c:v>38.807921454528007</c:v>
                </c:pt>
                <c:pt idx="94">
                  <c:v>38.763740308139212</c:v>
                </c:pt>
                <c:pt idx="95">
                  <c:v>38.716193494539489</c:v>
                </c:pt>
                <c:pt idx="96">
                  <c:v>38.665087691360057</c:v>
                </c:pt>
                <c:pt idx="97">
                  <c:v>38.610231622758043</c:v>
                </c:pt>
                <c:pt idx="98">
                  <c:v>38.551438167947722</c:v>
                </c:pt>
                <c:pt idx="99">
                  <c:v>38.488536826370783</c:v>
                </c:pt>
                <c:pt idx="100">
                  <c:v>38.421361252526282</c:v>
                </c:pt>
                <c:pt idx="101">
                  <c:v>38.349745100913061</c:v>
                </c:pt>
                <c:pt idx="102">
                  <c:v>38.273528279240516</c:v>
                </c:pt>
                <c:pt idx="103">
                  <c:v>38.192575708060701</c:v>
                </c:pt>
                <c:pt idx="104">
                  <c:v>38.106758561136317</c:v>
                </c:pt>
                <c:pt idx="105">
                  <c:v>38.015958703804984</c:v>
                </c:pt>
                <c:pt idx="106">
                  <c:v>37.920100767704248</c:v>
                </c:pt>
                <c:pt idx="107">
                  <c:v>37.819120076046893</c:v>
                </c:pt>
                <c:pt idx="108">
                  <c:v>37.712951952045493</c:v>
                </c:pt>
                <c:pt idx="109">
                  <c:v>37.601552297475969</c:v>
                </c:pt>
                <c:pt idx="110">
                  <c:v>37.484959328366926</c:v>
                </c:pt>
                <c:pt idx="111">
                  <c:v>37.363231839310508</c:v>
                </c:pt>
                <c:pt idx="112">
                  <c:v>37.23642862489848</c:v>
                </c:pt>
                <c:pt idx="113">
                  <c:v>37.1046226541606</c:v>
                </c:pt>
                <c:pt idx="114">
                  <c:v>36.967943593877195</c:v>
                </c:pt>
                <c:pt idx="115">
                  <c:v>36.826535285266502</c:v>
                </c:pt>
                <c:pt idx="116">
                  <c:v>36.680547792207186</c:v>
                </c:pt>
                <c:pt idx="117">
                  <c:v>36.530156069220062</c:v>
                </c:pt>
                <c:pt idx="118">
                  <c:v>36.37554129348667</c:v>
                </c:pt>
                <c:pt idx="119">
                  <c:v>36.216884642188418</c:v>
                </c:pt>
                <c:pt idx="120">
                  <c:v>36.054370388004912</c:v>
                </c:pt>
                <c:pt idx="121">
                  <c:v>35.888195185608723</c:v>
                </c:pt>
                <c:pt idx="122">
                  <c:v>35.718558785170373</c:v>
                </c:pt>
                <c:pt idx="123">
                  <c:v>35.545660936860713</c:v>
                </c:pt>
                <c:pt idx="124">
                  <c:v>35.369700731468441</c:v>
                </c:pt>
                <c:pt idx="125">
                  <c:v>35.190874622254825</c:v>
                </c:pt>
                <c:pt idx="126">
                  <c:v>35.009378403098921</c:v>
                </c:pt>
                <c:pt idx="127">
                  <c:v>34.825404702671932</c:v>
                </c:pt>
                <c:pt idx="128">
                  <c:v>34.639133488811481</c:v>
                </c:pt>
                <c:pt idx="129">
                  <c:v>34.450741564147279</c:v>
                </c:pt>
                <c:pt idx="130">
                  <c:v>34.260405731308751</c:v>
                </c:pt>
                <c:pt idx="131">
                  <c:v>34.068298673429453</c:v>
                </c:pt>
                <c:pt idx="132">
                  <c:v>33.874576595658894</c:v>
                </c:pt>
                <c:pt idx="133">
                  <c:v>33.679391583650442</c:v>
                </c:pt>
                <c:pt idx="134">
                  <c:v>33.482891825668005</c:v>
                </c:pt>
                <c:pt idx="135">
                  <c:v>33.285209920416406</c:v>
                </c:pt>
                <c:pt idx="136">
                  <c:v>33.086474569210893</c:v>
                </c:pt>
                <c:pt idx="137">
                  <c:v>32.886814473366513</c:v>
                </c:pt>
                <c:pt idx="138">
                  <c:v>32.686353055754395</c:v>
                </c:pt>
                <c:pt idx="139">
                  <c:v>32.485192625468656</c:v>
                </c:pt>
                <c:pt idx="140">
                  <c:v>32.283430213158937</c:v>
                </c:pt>
                <c:pt idx="141">
                  <c:v>32.081162849475362</c:v>
                </c:pt>
                <c:pt idx="142">
                  <c:v>31.878483518976182</c:v>
                </c:pt>
                <c:pt idx="143">
                  <c:v>31.675469021853928</c:v>
                </c:pt>
                <c:pt idx="144">
                  <c:v>31.472192112209342</c:v>
                </c:pt>
                <c:pt idx="145">
                  <c:v>31.268722371719733</c:v>
                </c:pt>
                <c:pt idx="146">
                  <c:v>31.065116692367411</c:v>
                </c:pt>
                <c:pt idx="147">
                  <c:v>30.861428793710871</c:v>
                </c:pt>
                <c:pt idx="148">
                  <c:v>30.657712395308707</c:v>
                </c:pt>
                <c:pt idx="149">
                  <c:v>30.454018444612331</c:v>
                </c:pt>
                <c:pt idx="150">
                  <c:v>30.250386800644321</c:v>
                </c:pt>
                <c:pt idx="151">
                  <c:v>30.046854550320276</c:v>
                </c:pt>
                <c:pt idx="152">
                  <c:v>29.843456457511252</c:v>
                </c:pt>
                <c:pt idx="153">
                  <c:v>29.64021799391071</c:v>
                </c:pt>
                <c:pt idx="154">
                  <c:v>29.43716230816797</c:v>
                </c:pt>
                <c:pt idx="155">
                  <c:v>29.234312548932039</c:v>
                </c:pt>
                <c:pt idx="156">
                  <c:v>29.031689850440486</c:v>
                </c:pt>
                <c:pt idx="157">
                  <c:v>28.82930728928342</c:v>
                </c:pt>
                <c:pt idx="158">
                  <c:v>28.627175927639129</c:v>
                </c:pt>
                <c:pt idx="159">
                  <c:v>28.425306827685958</c:v>
                </c:pt>
                <c:pt idx="160">
                  <c:v>28.223710263044126</c:v>
                </c:pt>
                <c:pt idx="161">
                  <c:v>28.022393353100668</c:v>
                </c:pt>
                <c:pt idx="162">
                  <c:v>27.821362428684495</c:v>
                </c:pt>
                <c:pt idx="163">
                  <c:v>27.620622860750615</c:v>
                </c:pt>
                <c:pt idx="164">
                  <c:v>27.420176180759228</c:v>
                </c:pt>
                <c:pt idx="165">
                  <c:v>27.220022960296546</c:v>
                </c:pt>
                <c:pt idx="166">
                  <c:v>27.020163770948884</c:v>
                </c:pt>
                <c:pt idx="167">
                  <c:v>26.820598466546102</c:v>
                </c:pt>
                <c:pt idx="168">
                  <c:v>26.621324029892179</c:v>
                </c:pt>
                <c:pt idx="169">
                  <c:v>26.422336726034303</c:v>
                </c:pt>
                <c:pt idx="170">
                  <c:v>26.223632820020001</c:v>
                </c:pt>
                <c:pt idx="171">
                  <c:v>26.025208648994948</c:v>
                </c:pt>
                <c:pt idx="172">
                  <c:v>25.827060838498753</c:v>
                </c:pt>
                <c:pt idx="173">
                  <c:v>25.629186086169142</c:v>
                </c:pt>
                <c:pt idx="174">
                  <c:v>25.431581048085107</c:v>
                </c:pt>
                <c:pt idx="175">
                  <c:v>25.234242214089505</c:v>
                </c:pt>
                <c:pt idx="176">
                  <c:v>25.037166032466288</c:v>
                </c:pt>
                <c:pt idx="177">
                  <c:v>24.840348951499507</c:v>
                </c:pt>
                <c:pt idx="178">
                  <c:v>24.643787378341841</c:v>
                </c:pt>
                <c:pt idx="179">
                  <c:v>24.447477555621006</c:v>
                </c:pt>
                <c:pt idx="180">
                  <c:v>24.25141568483366</c:v>
                </c:pt>
                <c:pt idx="181">
                  <c:v>24.05559865435896</c:v>
                </c:pt>
                <c:pt idx="182">
                  <c:v>23.860026100106907</c:v>
                </c:pt>
                <c:pt idx="183">
                  <c:v>23.664698344870132</c:v>
                </c:pt>
                <c:pt idx="184">
                  <c:v>23.469615711441264</c:v>
                </c:pt>
                <c:pt idx="185">
                  <c:v>23.274779245158129</c:v>
                </c:pt>
                <c:pt idx="186">
                  <c:v>23.080192881539489</c:v>
                </c:pt>
                <c:pt idx="187">
                  <c:v>22.885861278649088</c:v>
                </c:pt>
                <c:pt idx="188">
                  <c:v>22.691789094550984</c:v>
                </c:pt>
                <c:pt idx="189">
                  <c:v>22.497981047833591</c:v>
                </c:pt>
                <c:pt idx="190">
                  <c:v>22.304442099184669</c:v>
                </c:pt>
                <c:pt idx="191">
                  <c:v>22.111177269816665</c:v>
                </c:pt>
                <c:pt idx="192">
                  <c:v>21.918191921125825</c:v>
                </c:pt>
                <c:pt idx="193">
                  <c:v>21.725492775245215</c:v>
                </c:pt>
                <c:pt idx="194">
                  <c:v>21.533086894491476</c:v>
                </c:pt>
                <c:pt idx="195">
                  <c:v>21.340981341181703</c:v>
                </c:pt>
                <c:pt idx="196">
                  <c:v>21.149183667003314</c:v>
                </c:pt>
                <c:pt idx="197">
                  <c:v>20.957703381126606</c:v>
                </c:pt>
                <c:pt idx="198">
                  <c:v>20.766550482092455</c:v>
                </c:pt>
                <c:pt idx="199">
                  <c:v>20.575734968441651</c:v>
                </c:pt>
                <c:pt idx="200">
                  <c:v>20.385266735100757</c:v>
                </c:pt>
                <c:pt idx="201">
                  <c:v>20.195155262538165</c:v>
                </c:pt>
                <c:pt idx="202">
                  <c:v>20.005409927607744</c:v>
                </c:pt>
                <c:pt idx="203">
                  <c:v>19.816040123013153</c:v>
                </c:pt>
                <c:pt idx="204">
                  <c:v>19.627055304855389</c:v>
                </c:pt>
                <c:pt idx="205">
                  <c:v>19.438464945085329</c:v>
                </c:pt>
                <c:pt idx="206">
                  <c:v>19.250278515653449</c:v>
                </c:pt>
                <c:pt idx="207">
                  <c:v>19.062505880671722</c:v>
                </c:pt>
                <c:pt idx="208">
                  <c:v>18.87515847289626</c:v>
                </c:pt>
                <c:pt idx="209">
                  <c:v>18.688248117244569</c:v>
                </c:pt>
                <c:pt idx="210">
                  <c:v>18.501786548204819</c:v>
                </c:pt>
                <c:pt idx="211">
                  <c:v>18.315785138548762</c:v>
                </c:pt>
                <c:pt idx="212">
                  <c:v>18.130255170618639</c:v>
                </c:pt>
                <c:pt idx="213">
                  <c:v>17.945207926756979</c:v>
                </c:pt>
                <c:pt idx="214">
                  <c:v>17.760654382898267</c:v>
                </c:pt>
                <c:pt idx="215">
                  <c:v>17.576604289345326</c:v>
                </c:pt>
                <c:pt idx="216">
                  <c:v>17.393067089992513</c:v>
                </c:pt>
                <c:pt idx="217">
                  <c:v>17.21005222873481</c:v>
                </c:pt>
                <c:pt idx="218">
                  <c:v>17.027569284927523</c:v>
                </c:pt>
                <c:pt idx="219">
                  <c:v>16.845628379768826</c:v>
                </c:pt>
                <c:pt idx="220">
                  <c:v>16.6642397699177</c:v>
                </c:pt>
                <c:pt idx="221">
                  <c:v>16.483413695877573</c:v>
                </c:pt>
                <c:pt idx="222">
                  <c:v>16.303160333528467</c:v>
                </c:pt>
                <c:pt idx="223">
                  <c:v>16.123489842595021</c:v>
                </c:pt>
                <c:pt idx="224">
                  <c:v>15.944412382801758</c:v>
                </c:pt>
                <c:pt idx="225">
                  <c:v>15.765937790975187</c:v>
                </c:pt>
                <c:pt idx="226">
                  <c:v>15.588074612350397</c:v>
                </c:pt>
                <c:pt idx="227">
                  <c:v>15.410831069264319</c:v>
                </c:pt>
                <c:pt idx="228">
                  <c:v>15.234215493267996</c:v>
                </c:pt>
                <c:pt idx="229">
                  <c:v>15.058236652768883</c:v>
                </c:pt>
                <c:pt idx="230">
                  <c:v>14.882903425388548</c:v>
                </c:pt>
                <c:pt idx="231">
                  <c:v>14.70822468874853</c:v>
                </c:pt>
                <c:pt idx="232">
                  <c:v>14.534209648497381</c:v>
                </c:pt>
                <c:pt idx="233">
                  <c:v>14.360868822392234</c:v>
                </c:pt>
                <c:pt idx="234">
                  <c:v>14.188213056217137</c:v>
                </c:pt>
                <c:pt idx="235">
                  <c:v>14.016253195756406</c:v>
                </c:pt>
                <c:pt idx="236">
                  <c:v>13.844999902866022</c:v>
                </c:pt>
                <c:pt idx="237">
                  <c:v>13.674463103689675</c:v>
                </c:pt>
                <c:pt idx="238">
                  <c:v>13.504652540443303</c:v>
                </c:pt>
                <c:pt idx="239">
                  <c:v>13.335577918310804</c:v>
                </c:pt>
                <c:pt idx="240">
                  <c:v>13.1672487943503</c:v>
                </c:pt>
                <c:pt idx="241">
                  <c:v>12.999674688588073</c:v>
                </c:pt>
                <c:pt idx="242">
                  <c:v>12.832865121050418</c:v>
                </c:pt>
                <c:pt idx="243">
                  <c:v>12.666829962549755</c:v>
                </c:pt>
                <c:pt idx="244">
                  <c:v>12.501580487041409</c:v>
                </c:pt>
                <c:pt idx="245">
                  <c:v>12.337128319267038</c:v>
                </c:pt>
                <c:pt idx="246">
                  <c:v>12.173485083968004</c:v>
                </c:pt>
                <c:pt idx="247">
                  <c:v>12.010662332449243</c:v>
                </c:pt>
                <c:pt idx="248">
                  <c:v>11.84867132227059</c:v>
                </c:pt>
                <c:pt idx="249">
                  <c:v>11.687523237555268</c:v>
                </c:pt>
                <c:pt idx="250">
                  <c:v>11.527229107452683</c:v>
                </c:pt>
                <c:pt idx="251">
                  <c:v>11.367799341217264</c:v>
                </c:pt>
                <c:pt idx="252">
                  <c:v>11.209244193129436</c:v>
                </c:pt>
                <c:pt idx="253">
                  <c:v>11.051573917469696</c:v>
                </c:pt>
                <c:pt idx="254">
                  <c:v>10.894799038333602</c:v>
                </c:pt>
                <c:pt idx="255">
                  <c:v>10.738931159076955</c:v>
                </c:pt>
                <c:pt idx="256">
                  <c:v>10.583982152870291</c:v>
                </c:pt>
                <c:pt idx="257">
                  <c:v>10.429963987100791</c:v>
                </c:pt>
                <c:pt idx="258">
                  <c:v>10.276889006021321</c:v>
                </c:pt>
                <c:pt idx="259">
                  <c:v>10.124769648100994</c:v>
                </c:pt>
                <c:pt idx="260">
                  <c:v>9.9736183518091224</c:v>
                </c:pt>
                <c:pt idx="261">
                  <c:v>9.8234472833467521</c:v>
                </c:pt>
                <c:pt idx="262">
                  <c:v>9.6742675198427577</c:v>
                </c:pt>
                <c:pt idx="263">
                  <c:v>9.5260898661579176</c:v>
                </c:pt>
                <c:pt idx="264">
                  <c:v>9.3789251271530247</c:v>
                </c:pt>
                <c:pt idx="265">
                  <c:v>9.2327841566414151</c:v>
                </c:pt>
                <c:pt idx="266">
                  <c:v>9.0876780042466692</c:v>
                </c:pt>
                <c:pt idx="267">
                  <c:v>8.9436177685448968</c:v>
                </c:pt>
                <c:pt idx="268">
                  <c:v>8.8006146766324491</c:v>
                </c:pt>
                <c:pt idx="269">
                  <c:v>8.6586804696863311</c:v>
                </c:pt>
                <c:pt idx="270">
                  <c:v>8.5178270174037465</c:v>
                </c:pt>
                <c:pt idx="271">
                  <c:v>8.3780661894819133</c:v>
                </c:pt>
                <c:pt idx="272">
                  <c:v>8.239409556626029</c:v>
                </c:pt>
                <c:pt idx="273">
                  <c:v>8.1018674935733515</c:v>
                </c:pt>
                <c:pt idx="274">
                  <c:v>7.9654500760690894</c:v>
                </c:pt>
                <c:pt idx="275">
                  <c:v>7.8301671746291248</c:v>
                </c:pt>
                <c:pt idx="276">
                  <c:v>7.6960278388518333</c:v>
                </c:pt>
                <c:pt idx="277">
                  <c:v>7.5630409131062066</c:v>
                </c:pt>
                <c:pt idx="278">
                  <c:v>7.4312152417612509</c:v>
                </c:pt>
                <c:pt idx="279">
                  <c:v>7.3005597210083835</c:v>
                </c:pt>
                <c:pt idx="280">
                  <c:v>7.1710834543286524</c:v>
                </c:pt>
                <c:pt idx="281">
                  <c:v>7.0427955970254743</c:v>
                </c:pt>
                <c:pt idx="282">
                  <c:v>6.9157053044022803</c:v>
                </c:pt>
                <c:pt idx="283">
                  <c:v>6.7898214814378832</c:v>
                </c:pt>
                <c:pt idx="284">
                  <c:v>6.6651520318126529</c:v>
                </c:pt>
                <c:pt idx="285">
                  <c:v>6.5417046088822985</c:v>
                </c:pt>
                <c:pt idx="286">
                  <c:v>6.4194865355893569</c:v>
                </c:pt>
                <c:pt idx="287">
                  <c:v>6.2985038132236468</c:v>
                </c:pt>
                <c:pt idx="288">
                  <c:v>6.1787621126618433</c:v>
                </c:pt>
                <c:pt idx="289">
                  <c:v>6.0602671047805643</c:v>
                </c:pt>
                <c:pt idx="290">
                  <c:v>5.943024444839736</c:v>
                </c:pt>
                <c:pt idx="291">
                  <c:v>5.8270397256322752</c:v>
                </c:pt>
                <c:pt idx="292">
                  <c:v>5.7123185243343357</c:v>
                </c:pt>
                <c:pt idx="293">
                  <c:v>5.5988664181220997</c:v>
                </c:pt>
                <c:pt idx="294">
                  <c:v>5.4866888442319208</c:v>
                </c:pt>
                <c:pt idx="295">
                  <c:v>5.3757906801408666</c:v>
                </c:pt>
                <c:pt idx="296">
                  <c:v>5.2661766633862186</c:v>
                </c:pt>
                <c:pt idx="297">
                  <c:v>5.1578511297217631</c:v>
                </c:pt>
                <c:pt idx="298">
                  <c:v>5.0508168077676316</c:v>
                </c:pt>
                <c:pt idx="299">
                  <c:v>4.9450760243604606</c:v>
                </c:pt>
                <c:pt idx="300">
                  <c:v>4.8406311063369287</c:v>
                </c:pt>
                <c:pt idx="301">
                  <c:v>4.7374842146975169</c:v>
                </c:pt>
                <c:pt idx="302">
                  <c:v>4.6356368470979277</c:v>
                </c:pt>
                <c:pt idx="303">
                  <c:v>4.5350903353576655</c:v>
                </c:pt>
                <c:pt idx="304">
                  <c:v>4.4358459543628896</c:v>
                </c:pt>
                <c:pt idx="305">
                  <c:v>4.3379047512662652</c:v>
                </c:pt>
                <c:pt idx="306">
                  <c:v>4.2412677162871546</c:v>
                </c:pt>
                <c:pt idx="307">
                  <c:v>4.1459358396448778</c:v>
                </c:pt>
                <c:pt idx="308">
                  <c:v>4.0519097347573734</c:v>
                </c:pt>
                <c:pt idx="309">
                  <c:v>3.9591885078371689</c:v>
                </c:pt>
                <c:pt idx="310">
                  <c:v>3.8677708882954249</c:v>
                </c:pt>
                <c:pt idx="311">
                  <c:v>3.7776556055432877</c:v>
                </c:pt>
                <c:pt idx="312">
                  <c:v>3.6888411970080028</c:v>
                </c:pt>
                <c:pt idx="313">
                  <c:v>3.6013254321813264</c:v>
                </c:pt>
                <c:pt idx="314">
                  <c:v>3.5151058885710995</c:v>
                </c:pt>
                <c:pt idx="315">
                  <c:v>3.4301802030715152</c:v>
                </c:pt>
                <c:pt idx="316">
                  <c:v>3.3465462501221594</c:v>
                </c:pt>
                <c:pt idx="317">
                  <c:v>3.2642019635489419</c:v>
                </c:pt>
                <c:pt idx="318">
                  <c:v>3.1831452771778004</c:v>
                </c:pt>
                <c:pt idx="319">
                  <c:v>3.1033739017202606</c:v>
                </c:pt>
                <c:pt idx="320">
                  <c:v>3.0248846554301139</c:v>
                </c:pt>
                <c:pt idx="321">
                  <c:v>2.9476741334467818</c:v>
                </c:pt>
                <c:pt idx="322">
                  <c:v>2.8717389309096291</c:v>
                </c:pt>
                <c:pt idx="323">
                  <c:v>2.7970754446878345</c:v>
                </c:pt>
                <c:pt idx="324">
                  <c:v>2.7236792785696196</c:v>
                </c:pt>
                <c:pt idx="325">
                  <c:v>2.651545838072991</c:v>
                </c:pt>
                <c:pt idx="326">
                  <c:v>2.5806705834516492</c:v>
                </c:pt>
                <c:pt idx="327">
                  <c:v>2.5110491939021529</c:v>
                </c:pt>
                <c:pt idx="328">
                  <c:v>2.4426774033567398</c:v>
                </c:pt>
                <c:pt idx="329">
                  <c:v>2.375550945747662</c:v>
                </c:pt>
                <c:pt idx="330">
                  <c:v>2.309665456284975</c:v>
                </c:pt>
                <c:pt idx="331">
                  <c:v>2.2450161752898907</c:v>
                </c:pt>
                <c:pt idx="332">
                  <c:v>2.1815982443614246</c:v>
                </c:pt>
                <c:pt idx="333">
                  <c:v>2.1194065150507271</c:v>
                </c:pt>
                <c:pt idx="334">
                  <c:v>2.0584346787174184</c:v>
                </c:pt>
                <c:pt idx="335">
                  <c:v>1.9986761366732253</c:v>
                </c:pt>
                <c:pt idx="336">
                  <c:v>1.9401242902298748</c:v>
                </c:pt>
                <c:pt idx="337">
                  <c:v>1.8827723381482144</c:v>
                </c:pt>
                <c:pt idx="338">
                  <c:v>1.8266126689855184</c:v>
                </c:pt>
                <c:pt idx="339">
                  <c:v>1.7716374687481391</c:v>
                </c:pt>
                <c:pt idx="340">
                  <c:v>1.7178389234424856</c:v>
                </c:pt>
                <c:pt idx="341">
                  <c:v>1.6652090661833654</c:v>
                </c:pt>
                <c:pt idx="342">
                  <c:v>1.6137393185194924</c:v>
                </c:pt>
                <c:pt idx="343">
                  <c:v>1.5634209491080355</c:v>
                </c:pt>
                <c:pt idx="344">
                  <c:v>1.5142448452146056</c:v>
                </c:pt>
                <c:pt idx="345">
                  <c:v>1.466200368538523</c:v>
                </c:pt>
                <c:pt idx="346">
                  <c:v>1.4192764993876352</c:v>
                </c:pt>
                <c:pt idx="347">
                  <c:v>1.3734622180696761</c:v>
                </c:pt>
                <c:pt idx="348">
                  <c:v>1.328746180464222</c:v>
                </c:pt>
                <c:pt idx="349">
                  <c:v>1.2851157447377091</c:v>
                </c:pt>
                <c:pt idx="350">
                  <c:v>1.2425579446283592</c:v>
                </c:pt>
                <c:pt idx="351">
                  <c:v>1.2010595883438953</c:v>
                </c:pt>
                <c:pt idx="352">
                  <c:v>1.1606065819701854</c:v>
                </c:pt>
                <c:pt idx="353">
                  <c:v>1.1211846060626272</c:v>
                </c:pt>
                <c:pt idx="354">
                  <c:v>1.0827793411766748</c:v>
                </c:pt>
                <c:pt idx="355">
                  <c:v>1.0453760102524114</c:v>
                </c:pt>
                <c:pt idx="356">
                  <c:v>1.0089580057687897</c:v>
                </c:pt>
                <c:pt idx="357">
                  <c:v>0.97350826258946199</c:v>
                </c:pt>
                <c:pt idx="358">
                  <c:v>0.93900971557809498</c:v>
                </c:pt>
                <c:pt idx="359">
                  <c:v>0.90544491151443651</c:v>
                </c:pt>
                <c:pt idx="360">
                  <c:v>0.87279484484265879</c:v>
                </c:pt>
                <c:pt idx="361">
                  <c:v>0.84104012192302946</c:v>
                </c:pt>
                <c:pt idx="362">
                  <c:v>0.81016105855309206</c:v>
                </c:pt>
                <c:pt idx="363">
                  <c:v>0.7801368082794653</c:v>
                </c:pt>
                <c:pt idx="364">
                  <c:v>0.75094623408600114</c:v>
                </c:pt>
                <c:pt idx="365">
                  <c:v>0.72256819895656577</c:v>
                </c:pt>
                <c:pt idx="366">
                  <c:v>0.69498112102941434</c:v>
                </c:pt>
                <c:pt idx="367">
                  <c:v>0.66816163906030113</c:v>
                </c:pt>
                <c:pt idx="368">
                  <c:v>0.64208594695931254</c:v>
                </c:pt>
                <c:pt idx="369">
                  <c:v>0.61673023863657761</c:v>
                </c:pt>
                <c:pt idx="370">
                  <c:v>0.59207033745539661</c:v>
                </c:pt>
                <c:pt idx="371">
                  <c:v>0.56808058459191102</c:v>
                </c:pt>
                <c:pt idx="372">
                  <c:v>0.54473495067543354</c:v>
                </c:pt>
                <c:pt idx="373">
                  <c:v>0.52200714254826153</c:v>
                </c:pt>
                <c:pt idx="374">
                  <c:v>0.49986981190446045</c:v>
                </c:pt>
                <c:pt idx="375">
                  <c:v>0.47829534665108042</c:v>
                </c:pt>
                <c:pt idx="376">
                  <c:v>0.45725613469514315</c:v>
                </c:pt>
                <c:pt idx="377">
                  <c:v>0.43672437528448427</c:v>
                </c:pt>
                <c:pt idx="378">
                  <c:v>0.41667151303018102</c:v>
                </c:pt>
                <c:pt idx="379">
                  <c:v>0.39706880388411037</c:v>
                </c:pt>
                <c:pt idx="380">
                  <c:v>0.37788738486779039</c:v>
                </c:pt>
                <c:pt idx="381">
                  <c:v>0.35909791728136042</c:v>
                </c:pt>
                <c:pt idx="382">
                  <c:v>0.34067094349460092</c:v>
                </c:pt>
                <c:pt idx="383">
                  <c:v>0.32257700587729232</c:v>
                </c:pt>
                <c:pt idx="384">
                  <c:v>0.30478683539723761</c:v>
                </c:pt>
                <c:pt idx="385">
                  <c:v>0.28727191741430147</c:v>
                </c:pt>
                <c:pt idx="386">
                  <c:v>0.27000392588635691</c:v>
                </c:pt>
                <c:pt idx="387">
                  <c:v>0.25295453477129115</c:v>
                </c:pt>
                <c:pt idx="388">
                  <c:v>0.23609589973193579</c:v>
                </c:pt>
                <c:pt idx="389">
                  <c:v>0.21940210325108467</c:v>
                </c:pt>
                <c:pt idx="390">
                  <c:v>0.20284770951649023</c:v>
                </c:pt>
                <c:pt idx="391">
                  <c:v>0.18640816057096288</c:v>
                </c:pt>
                <c:pt idx="392">
                  <c:v>0.17006240987760179</c:v>
                </c:pt>
                <c:pt idx="393">
                  <c:v>0.15379028875453571</c:v>
                </c:pt>
                <c:pt idx="394">
                  <c:v>0.13757162851992177</c:v>
                </c:pt>
                <c:pt idx="395">
                  <c:v>0.12138804548203552</c:v>
                </c:pt>
                <c:pt idx="396">
                  <c:v>0.10522829590954075</c:v>
                </c:pt>
                <c:pt idx="397">
                  <c:v>8.9082921061233833E-2</c:v>
                </c:pt>
                <c:pt idx="398">
                  <c:v>7.2942462195925373E-2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65-4E89-8546-E07D690C3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11840"/>
        <c:axId val="810202984"/>
      </c:scatterChart>
      <c:valAx>
        <c:axId val="810211840"/>
        <c:scaling>
          <c:orientation val="minMax"/>
          <c:max val="40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Months</a:t>
                </a:r>
                <a:r>
                  <a:rPr lang="en-US" sz="1400" b="1" baseline="0">
                    <a:solidFill>
                      <a:sysClr val="windowText" lastClr="000000"/>
                    </a:solidFill>
                  </a:rPr>
                  <a:t> Post-Transplant</a:t>
                </a:r>
                <a:endParaRPr lang="en-US" sz="1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02984"/>
        <c:crosses val="autoZero"/>
        <c:crossBetween val="midCat"/>
        <c:majorUnit val="12"/>
      </c:valAx>
      <c:valAx>
        <c:axId val="8102029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% Survival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11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Estimated</a:t>
            </a:r>
            <a:r>
              <a:rPr lang="en-US" sz="1600" b="1" baseline="0">
                <a:solidFill>
                  <a:sysClr val="windowText" lastClr="000000"/>
                </a:solidFill>
              </a:rPr>
              <a:t> Survival Curves: Letermovir vs PET-Alone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'Markov Model_SA1'!$P$7</c:f>
              <c:strCache>
                <c:ptCount val="1"/>
                <c:pt idx="0">
                  <c:v>PET Only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'Markov Model_SA1'!$AC$23:$AC$400</c:f>
              <c:numCache>
                <c:formatCode>General</c:formatCode>
                <c:ptCount val="378"/>
                <c:pt idx="0">
                  <c:v>0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54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58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64</c:v>
                </c:pt>
                <c:pt idx="54">
                  <c:v>65</c:v>
                </c:pt>
                <c:pt idx="55">
                  <c:v>66</c:v>
                </c:pt>
                <c:pt idx="56">
                  <c:v>67</c:v>
                </c:pt>
                <c:pt idx="57">
                  <c:v>68</c:v>
                </c:pt>
                <c:pt idx="58">
                  <c:v>69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78</c:v>
                </c:pt>
                <c:pt idx="68">
                  <c:v>79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83</c:v>
                </c:pt>
                <c:pt idx="73">
                  <c:v>84</c:v>
                </c:pt>
                <c:pt idx="74">
                  <c:v>85</c:v>
                </c:pt>
                <c:pt idx="75">
                  <c:v>86</c:v>
                </c:pt>
                <c:pt idx="76">
                  <c:v>87</c:v>
                </c:pt>
                <c:pt idx="77">
                  <c:v>88</c:v>
                </c:pt>
                <c:pt idx="78">
                  <c:v>89</c:v>
                </c:pt>
                <c:pt idx="79">
                  <c:v>90</c:v>
                </c:pt>
                <c:pt idx="80">
                  <c:v>91</c:v>
                </c:pt>
                <c:pt idx="81">
                  <c:v>92</c:v>
                </c:pt>
                <c:pt idx="82">
                  <c:v>93</c:v>
                </c:pt>
                <c:pt idx="83">
                  <c:v>94</c:v>
                </c:pt>
                <c:pt idx="84">
                  <c:v>95</c:v>
                </c:pt>
                <c:pt idx="85">
                  <c:v>96</c:v>
                </c:pt>
                <c:pt idx="86">
                  <c:v>97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  <c:pt idx="90">
                  <c:v>101</c:v>
                </c:pt>
                <c:pt idx="91">
                  <c:v>102</c:v>
                </c:pt>
                <c:pt idx="92">
                  <c:v>103</c:v>
                </c:pt>
                <c:pt idx="93">
                  <c:v>104</c:v>
                </c:pt>
                <c:pt idx="94">
                  <c:v>105</c:v>
                </c:pt>
                <c:pt idx="95">
                  <c:v>106</c:v>
                </c:pt>
                <c:pt idx="96">
                  <c:v>107</c:v>
                </c:pt>
                <c:pt idx="97">
                  <c:v>108</c:v>
                </c:pt>
                <c:pt idx="98">
                  <c:v>109</c:v>
                </c:pt>
                <c:pt idx="99">
                  <c:v>110</c:v>
                </c:pt>
                <c:pt idx="100">
                  <c:v>111</c:v>
                </c:pt>
                <c:pt idx="101">
                  <c:v>112</c:v>
                </c:pt>
                <c:pt idx="102">
                  <c:v>113</c:v>
                </c:pt>
                <c:pt idx="103">
                  <c:v>114</c:v>
                </c:pt>
                <c:pt idx="104">
                  <c:v>115</c:v>
                </c:pt>
                <c:pt idx="105">
                  <c:v>116</c:v>
                </c:pt>
                <c:pt idx="106">
                  <c:v>117</c:v>
                </c:pt>
                <c:pt idx="107">
                  <c:v>118</c:v>
                </c:pt>
                <c:pt idx="108">
                  <c:v>119</c:v>
                </c:pt>
                <c:pt idx="109">
                  <c:v>120</c:v>
                </c:pt>
                <c:pt idx="110">
                  <c:v>121</c:v>
                </c:pt>
                <c:pt idx="111">
                  <c:v>122</c:v>
                </c:pt>
                <c:pt idx="112">
                  <c:v>123</c:v>
                </c:pt>
                <c:pt idx="113">
                  <c:v>124</c:v>
                </c:pt>
                <c:pt idx="114">
                  <c:v>125</c:v>
                </c:pt>
                <c:pt idx="115">
                  <c:v>126</c:v>
                </c:pt>
                <c:pt idx="116">
                  <c:v>127</c:v>
                </c:pt>
                <c:pt idx="117">
                  <c:v>128</c:v>
                </c:pt>
                <c:pt idx="118">
                  <c:v>129</c:v>
                </c:pt>
                <c:pt idx="119">
                  <c:v>130</c:v>
                </c:pt>
                <c:pt idx="120">
                  <c:v>131</c:v>
                </c:pt>
                <c:pt idx="121">
                  <c:v>132</c:v>
                </c:pt>
                <c:pt idx="122">
                  <c:v>133</c:v>
                </c:pt>
                <c:pt idx="123">
                  <c:v>134</c:v>
                </c:pt>
                <c:pt idx="124">
                  <c:v>135</c:v>
                </c:pt>
                <c:pt idx="125">
                  <c:v>136</c:v>
                </c:pt>
                <c:pt idx="126">
                  <c:v>137</c:v>
                </c:pt>
                <c:pt idx="127">
                  <c:v>138</c:v>
                </c:pt>
                <c:pt idx="128">
                  <c:v>139</c:v>
                </c:pt>
                <c:pt idx="129">
                  <c:v>140</c:v>
                </c:pt>
                <c:pt idx="130">
                  <c:v>141</c:v>
                </c:pt>
                <c:pt idx="131">
                  <c:v>142</c:v>
                </c:pt>
                <c:pt idx="132">
                  <c:v>143</c:v>
                </c:pt>
                <c:pt idx="133">
                  <c:v>144</c:v>
                </c:pt>
                <c:pt idx="134">
                  <c:v>145</c:v>
                </c:pt>
                <c:pt idx="135">
                  <c:v>146</c:v>
                </c:pt>
                <c:pt idx="136">
                  <c:v>147</c:v>
                </c:pt>
                <c:pt idx="137">
                  <c:v>148</c:v>
                </c:pt>
                <c:pt idx="138">
                  <c:v>149</c:v>
                </c:pt>
                <c:pt idx="139">
                  <c:v>150</c:v>
                </c:pt>
                <c:pt idx="140">
                  <c:v>151</c:v>
                </c:pt>
                <c:pt idx="141">
                  <c:v>152</c:v>
                </c:pt>
                <c:pt idx="142">
                  <c:v>153</c:v>
                </c:pt>
                <c:pt idx="143">
                  <c:v>154</c:v>
                </c:pt>
                <c:pt idx="144">
                  <c:v>155</c:v>
                </c:pt>
                <c:pt idx="145">
                  <c:v>156</c:v>
                </c:pt>
                <c:pt idx="146">
                  <c:v>157</c:v>
                </c:pt>
                <c:pt idx="147">
                  <c:v>158</c:v>
                </c:pt>
                <c:pt idx="148">
                  <c:v>159</c:v>
                </c:pt>
                <c:pt idx="149">
                  <c:v>160</c:v>
                </c:pt>
                <c:pt idx="150">
                  <c:v>161</c:v>
                </c:pt>
                <c:pt idx="151">
                  <c:v>162</c:v>
                </c:pt>
                <c:pt idx="152">
                  <c:v>163</c:v>
                </c:pt>
                <c:pt idx="153">
                  <c:v>164</c:v>
                </c:pt>
                <c:pt idx="154">
                  <c:v>165</c:v>
                </c:pt>
                <c:pt idx="155">
                  <c:v>166</c:v>
                </c:pt>
                <c:pt idx="156">
                  <c:v>167</c:v>
                </c:pt>
                <c:pt idx="157">
                  <c:v>168</c:v>
                </c:pt>
                <c:pt idx="158">
                  <c:v>169</c:v>
                </c:pt>
                <c:pt idx="159">
                  <c:v>170</c:v>
                </c:pt>
                <c:pt idx="160">
                  <c:v>171</c:v>
                </c:pt>
                <c:pt idx="161">
                  <c:v>172</c:v>
                </c:pt>
                <c:pt idx="162">
                  <c:v>173</c:v>
                </c:pt>
                <c:pt idx="163">
                  <c:v>174</c:v>
                </c:pt>
                <c:pt idx="164">
                  <c:v>175</c:v>
                </c:pt>
                <c:pt idx="165">
                  <c:v>176</c:v>
                </c:pt>
                <c:pt idx="166">
                  <c:v>177</c:v>
                </c:pt>
                <c:pt idx="167">
                  <c:v>178</c:v>
                </c:pt>
                <c:pt idx="168">
                  <c:v>179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183</c:v>
                </c:pt>
                <c:pt idx="173">
                  <c:v>184</c:v>
                </c:pt>
                <c:pt idx="174">
                  <c:v>185</c:v>
                </c:pt>
                <c:pt idx="175">
                  <c:v>186</c:v>
                </c:pt>
                <c:pt idx="176">
                  <c:v>187</c:v>
                </c:pt>
                <c:pt idx="177">
                  <c:v>188</c:v>
                </c:pt>
                <c:pt idx="178">
                  <c:v>189</c:v>
                </c:pt>
                <c:pt idx="179">
                  <c:v>190</c:v>
                </c:pt>
                <c:pt idx="180">
                  <c:v>191</c:v>
                </c:pt>
                <c:pt idx="181">
                  <c:v>192</c:v>
                </c:pt>
                <c:pt idx="182">
                  <c:v>193</c:v>
                </c:pt>
                <c:pt idx="183">
                  <c:v>194</c:v>
                </c:pt>
                <c:pt idx="184">
                  <c:v>195</c:v>
                </c:pt>
                <c:pt idx="185">
                  <c:v>196</c:v>
                </c:pt>
                <c:pt idx="186">
                  <c:v>197</c:v>
                </c:pt>
                <c:pt idx="187">
                  <c:v>198</c:v>
                </c:pt>
                <c:pt idx="188">
                  <c:v>199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203</c:v>
                </c:pt>
                <c:pt idx="193">
                  <c:v>204</c:v>
                </c:pt>
                <c:pt idx="194">
                  <c:v>205</c:v>
                </c:pt>
                <c:pt idx="195">
                  <c:v>206</c:v>
                </c:pt>
                <c:pt idx="196">
                  <c:v>207</c:v>
                </c:pt>
                <c:pt idx="197">
                  <c:v>208</c:v>
                </c:pt>
                <c:pt idx="198">
                  <c:v>209</c:v>
                </c:pt>
                <c:pt idx="199">
                  <c:v>210</c:v>
                </c:pt>
                <c:pt idx="200">
                  <c:v>211</c:v>
                </c:pt>
                <c:pt idx="201">
                  <c:v>212</c:v>
                </c:pt>
                <c:pt idx="202">
                  <c:v>213</c:v>
                </c:pt>
                <c:pt idx="203">
                  <c:v>214</c:v>
                </c:pt>
                <c:pt idx="204">
                  <c:v>215</c:v>
                </c:pt>
                <c:pt idx="205">
                  <c:v>216</c:v>
                </c:pt>
                <c:pt idx="206">
                  <c:v>217</c:v>
                </c:pt>
                <c:pt idx="207">
                  <c:v>218</c:v>
                </c:pt>
                <c:pt idx="208">
                  <c:v>219</c:v>
                </c:pt>
                <c:pt idx="209">
                  <c:v>220</c:v>
                </c:pt>
                <c:pt idx="210">
                  <c:v>221</c:v>
                </c:pt>
                <c:pt idx="211">
                  <c:v>222</c:v>
                </c:pt>
                <c:pt idx="212">
                  <c:v>223</c:v>
                </c:pt>
                <c:pt idx="213">
                  <c:v>224</c:v>
                </c:pt>
                <c:pt idx="214">
                  <c:v>225</c:v>
                </c:pt>
                <c:pt idx="215">
                  <c:v>226</c:v>
                </c:pt>
                <c:pt idx="216">
                  <c:v>227</c:v>
                </c:pt>
                <c:pt idx="217">
                  <c:v>228</c:v>
                </c:pt>
                <c:pt idx="218">
                  <c:v>229</c:v>
                </c:pt>
                <c:pt idx="219">
                  <c:v>230</c:v>
                </c:pt>
                <c:pt idx="220">
                  <c:v>231</c:v>
                </c:pt>
                <c:pt idx="221">
                  <c:v>232</c:v>
                </c:pt>
                <c:pt idx="222">
                  <c:v>233</c:v>
                </c:pt>
                <c:pt idx="223">
                  <c:v>234</c:v>
                </c:pt>
                <c:pt idx="224">
                  <c:v>235</c:v>
                </c:pt>
                <c:pt idx="225">
                  <c:v>236</c:v>
                </c:pt>
                <c:pt idx="226">
                  <c:v>237</c:v>
                </c:pt>
                <c:pt idx="227">
                  <c:v>238</c:v>
                </c:pt>
                <c:pt idx="228">
                  <c:v>239</c:v>
                </c:pt>
                <c:pt idx="229">
                  <c:v>240</c:v>
                </c:pt>
                <c:pt idx="230">
                  <c:v>241</c:v>
                </c:pt>
                <c:pt idx="231">
                  <c:v>242</c:v>
                </c:pt>
                <c:pt idx="232">
                  <c:v>243</c:v>
                </c:pt>
                <c:pt idx="233">
                  <c:v>244</c:v>
                </c:pt>
                <c:pt idx="234">
                  <c:v>245</c:v>
                </c:pt>
                <c:pt idx="235">
                  <c:v>246</c:v>
                </c:pt>
                <c:pt idx="236">
                  <c:v>247</c:v>
                </c:pt>
                <c:pt idx="237">
                  <c:v>248</c:v>
                </c:pt>
                <c:pt idx="238">
                  <c:v>249</c:v>
                </c:pt>
                <c:pt idx="239">
                  <c:v>250</c:v>
                </c:pt>
                <c:pt idx="240">
                  <c:v>251</c:v>
                </c:pt>
                <c:pt idx="241">
                  <c:v>252</c:v>
                </c:pt>
                <c:pt idx="242">
                  <c:v>253</c:v>
                </c:pt>
                <c:pt idx="243">
                  <c:v>254</c:v>
                </c:pt>
                <c:pt idx="244">
                  <c:v>255</c:v>
                </c:pt>
                <c:pt idx="245">
                  <c:v>256</c:v>
                </c:pt>
                <c:pt idx="246">
                  <c:v>257</c:v>
                </c:pt>
                <c:pt idx="247">
                  <c:v>258</c:v>
                </c:pt>
                <c:pt idx="248">
                  <c:v>259</c:v>
                </c:pt>
                <c:pt idx="249">
                  <c:v>260</c:v>
                </c:pt>
                <c:pt idx="250">
                  <c:v>261</c:v>
                </c:pt>
                <c:pt idx="251">
                  <c:v>262</c:v>
                </c:pt>
                <c:pt idx="252">
                  <c:v>263</c:v>
                </c:pt>
                <c:pt idx="253">
                  <c:v>264</c:v>
                </c:pt>
                <c:pt idx="254">
                  <c:v>265</c:v>
                </c:pt>
                <c:pt idx="255">
                  <c:v>266</c:v>
                </c:pt>
                <c:pt idx="256">
                  <c:v>267</c:v>
                </c:pt>
                <c:pt idx="257">
                  <c:v>268</c:v>
                </c:pt>
                <c:pt idx="258">
                  <c:v>269</c:v>
                </c:pt>
                <c:pt idx="259">
                  <c:v>270</c:v>
                </c:pt>
                <c:pt idx="260">
                  <c:v>271</c:v>
                </c:pt>
                <c:pt idx="261">
                  <c:v>272</c:v>
                </c:pt>
                <c:pt idx="262">
                  <c:v>273</c:v>
                </c:pt>
                <c:pt idx="263">
                  <c:v>274</c:v>
                </c:pt>
                <c:pt idx="264">
                  <c:v>275</c:v>
                </c:pt>
                <c:pt idx="265">
                  <c:v>276</c:v>
                </c:pt>
                <c:pt idx="266">
                  <c:v>277</c:v>
                </c:pt>
                <c:pt idx="267">
                  <c:v>278</c:v>
                </c:pt>
                <c:pt idx="268">
                  <c:v>279</c:v>
                </c:pt>
                <c:pt idx="269">
                  <c:v>280</c:v>
                </c:pt>
                <c:pt idx="270">
                  <c:v>281</c:v>
                </c:pt>
                <c:pt idx="271">
                  <c:v>282</c:v>
                </c:pt>
                <c:pt idx="272">
                  <c:v>283</c:v>
                </c:pt>
                <c:pt idx="273">
                  <c:v>284</c:v>
                </c:pt>
                <c:pt idx="274">
                  <c:v>285</c:v>
                </c:pt>
                <c:pt idx="275">
                  <c:v>286</c:v>
                </c:pt>
                <c:pt idx="276">
                  <c:v>287</c:v>
                </c:pt>
                <c:pt idx="277">
                  <c:v>288</c:v>
                </c:pt>
                <c:pt idx="278">
                  <c:v>289</c:v>
                </c:pt>
                <c:pt idx="279">
                  <c:v>290</c:v>
                </c:pt>
                <c:pt idx="280">
                  <c:v>291</c:v>
                </c:pt>
                <c:pt idx="281">
                  <c:v>292</c:v>
                </c:pt>
                <c:pt idx="282">
                  <c:v>293</c:v>
                </c:pt>
                <c:pt idx="283">
                  <c:v>294</c:v>
                </c:pt>
                <c:pt idx="284">
                  <c:v>295</c:v>
                </c:pt>
                <c:pt idx="285">
                  <c:v>296</c:v>
                </c:pt>
                <c:pt idx="286">
                  <c:v>297</c:v>
                </c:pt>
                <c:pt idx="287">
                  <c:v>298</c:v>
                </c:pt>
                <c:pt idx="288">
                  <c:v>299</c:v>
                </c:pt>
                <c:pt idx="289">
                  <c:v>300</c:v>
                </c:pt>
                <c:pt idx="290">
                  <c:v>301</c:v>
                </c:pt>
                <c:pt idx="291">
                  <c:v>302</c:v>
                </c:pt>
                <c:pt idx="292">
                  <c:v>303</c:v>
                </c:pt>
                <c:pt idx="293">
                  <c:v>304</c:v>
                </c:pt>
                <c:pt idx="294">
                  <c:v>305</c:v>
                </c:pt>
                <c:pt idx="295">
                  <c:v>306</c:v>
                </c:pt>
                <c:pt idx="296">
                  <c:v>307</c:v>
                </c:pt>
                <c:pt idx="297">
                  <c:v>308</c:v>
                </c:pt>
                <c:pt idx="298">
                  <c:v>309</c:v>
                </c:pt>
                <c:pt idx="299">
                  <c:v>310</c:v>
                </c:pt>
                <c:pt idx="300">
                  <c:v>311</c:v>
                </c:pt>
                <c:pt idx="301">
                  <c:v>312</c:v>
                </c:pt>
                <c:pt idx="302">
                  <c:v>313</c:v>
                </c:pt>
                <c:pt idx="303">
                  <c:v>314</c:v>
                </c:pt>
                <c:pt idx="304">
                  <c:v>315</c:v>
                </c:pt>
                <c:pt idx="305">
                  <c:v>316</c:v>
                </c:pt>
                <c:pt idx="306">
                  <c:v>317</c:v>
                </c:pt>
                <c:pt idx="307">
                  <c:v>318</c:v>
                </c:pt>
                <c:pt idx="308">
                  <c:v>319</c:v>
                </c:pt>
                <c:pt idx="309">
                  <c:v>320</c:v>
                </c:pt>
                <c:pt idx="310">
                  <c:v>321</c:v>
                </c:pt>
                <c:pt idx="311">
                  <c:v>322</c:v>
                </c:pt>
                <c:pt idx="312">
                  <c:v>323</c:v>
                </c:pt>
                <c:pt idx="313">
                  <c:v>324</c:v>
                </c:pt>
                <c:pt idx="314">
                  <c:v>325</c:v>
                </c:pt>
                <c:pt idx="315">
                  <c:v>326</c:v>
                </c:pt>
                <c:pt idx="316">
                  <c:v>327</c:v>
                </c:pt>
                <c:pt idx="317">
                  <c:v>328</c:v>
                </c:pt>
                <c:pt idx="318">
                  <c:v>329</c:v>
                </c:pt>
                <c:pt idx="319">
                  <c:v>330</c:v>
                </c:pt>
                <c:pt idx="320">
                  <c:v>331</c:v>
                </c:pt>
                <c:pt idx="321">
                  <c:v>332</c:v>
                </c:pt>
                <c:pt idx="322">
                  <c:v>333</c:v>
                </c:pt>
                <c:pt idx="323">
                  <c:v>334</c:v>
                </c:pt>
                <c:pt idx="324">
                  <c:v>335</c:v>
                </c:pt>
                <c:pt idx="325">
                  <c:v>336</c:v>
                </c:pt>
                <c:pt idx="326">
                  <c:v>337</c:v>
                </c:pt>
                <c:pt idx="327">
                  <c:v>338</c:v>
                </c:pt>
                <c:pt idx="328">
                  <c:v>339</c:v>
                </c:pt>
                <c:pt idx="329">
                  <c:v>340</c:v>
                </c:pt>
                <c:pt idx="330">
                  <c:v>341</c:v>
                </c:pt>
                <c:pt idx="331">
                  <c:v>342</c:v>
                </c:pt>
                <c:pt idx="332">
                  <c:v>343</c:v>
                </c:pt>
                <c:pt idx="333">
                  <c:v>344</c:v>
                </c:pt>
                <c:pt idx="334">
                  <c:v>345</c:v>
                </c:pt>
                <c:pt idx="335">
                  <c:v>346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362</c:v>
                </c:pt>
                <c:pt idx="352">
                  <c:v>363</c:v>
                </c:pt>
                <c:pt idx="353">
                  <c:v>364</c:v>
                </c:pt>
                <c:pt idx="354">
                  <c:v>365</c:v>
                </c:pt>
                <c:pt idx="355">
                  <c:v>366</c:v>
                </c:pt>
                <c:pt idx="356">
                  <c:v>367</c:v>
                </c:pt>
                <c:pt idx="357">
                  <c:v>368</c:v>
                </c:pt>
                <c:pt idx="358">
                  <c:v>369</c:v>
                </c:pt>
                <c:pt idx="359">
                  <c:v>370</c:v>
                </c:pt>
                <c:pt idx="360">
                  <c:v>371</c:v>
                </c:pt>
                <c:pt idx="361">
                  <c:v>372</c:v>
                </c:pt>
                <c:pt idx="362">
                  <c:v>373</c:v>
                </c:pt>
                <c:pt idx="363">
                  <c:v>374</c:v>
                </c:pt>
                <c:pt idx="364">
                  <c:v>375</c:v>
                </c:pt>
                <c:pt idx="365">
                  <c:v>376</c:v>
                </c:pt>
                <c:pt idx="366">
                  <c:v>377</c:v>
                </c:pt>
                <c:pt idx="367">
                  <c:v>378</c:v>
                </c:pt>
                <c:pt idx="368">
                  <c:v>379</c:v>
                </c:pt>
                <c:pt idx="369">
                  <c:v>380</c:v>
                </c:pt>
                <c:pt idx="370">
                  <c:v>381</c:v>
                </c:pt>
                <c:pt idx="371">
                  <c:v>382</c:v>
                </c:pt>
                <c:pt idx="372">
                  <c:v>383</c:v>
                </c:pt>
                <c:pt idx="373">
                  <c:v>384</c:v>
                </c:pt>
                <c:pt idx="374">
                  <c:v>385</c:v>
                </c:pt>
                <c:pt idx="375">
                  <c:v>386</c:v>
                </c:pt>
                <c:pt idx="376">
                  <c:v>387</c:v>
                </c:pt>
                <c:pt idx="377">
                  <c:v>388</c:v>
                </c:pt>
              </c:numCache>
            </c:numRef>
          </c:xVal>
          <c:yVal>
            <c:numRef>
              <c:f>'Markov Model_SA1'!$T$10:$T$408</c:f>
              <c:numCache>
                <c:formatCode>0.000</c:formatCode>
                <c:ptCount val="399"/>
                <c:pt idx="0" formatCode="General">
                  <c:v>100</c:v>
                </c:pt>
                <c:pt idx="1">
                  <c:v>76.5</c:v>
                </c:pt>
                <c:pt idx="2">
                  <c:v>74.176451577504764</c:v>
                </c:pt>
                <c:pt idx="3">
                  <c:v>72.01159957487917</c:v>
                </c:pt>
                <c:pt idx="4">
                  <c:v>69.99218247382322</c:v>
                </c:pt>
                <c:pt idx="5">
                  <c:v>68.106257198563554</c:v>
                </c:pt>
                <c:pt idx="6">
                  <c:v>66.343048631831437</c:v>
                </c:pt>
                <c:pt idx="7">
                  <c:v>64.692818322183498</c:v>
                </c:pt>
                <c:pt idx="8">
                  <c:v>63.146749697302354</c:v>
                </c:pt>
                <c:pt idx="9">
                  <c:v>61.696847504925465</c:v>
                </c:pt>
                <c:pt idx="10">
                  <c:v>60.335849543892053</c:v>
                </c:pt>
                <c:pt idx="11">
                  <c:v>59.057149033916829</c:v>
                </c:pt>
                <c:pt idx="12">
                  <c:v>57.854726213451706</c:v>
                </c:pt>
                <c:pt idx="13">
                  <c:v>56.723087958046392</c:v>
                </c:pt>
                <c:pt idx="14">
                  <c:v>55.657214383256495</c:v>
                </c:pt>
                <c:pt idx="15">
                  <c:v>54.652511541556116</c:v>
                </c:pt>
                <c:pt idx="16">
                  <c:v>53.70476944616496</c:v>
                </c:pt>
                <c:pt idx="17">
                  <c:v>52.810124759735906</c:v>
                </c:pt>
                <c:pt idx="18">
                  <c:v>51.965027575399681</c:v>
                </c:pt>
                <c:pt idx="19">
                  <c:v>51.166211794167602</c:v>
                </c:pt>
                <c:pt idx="20">
                  <c:v>50.410668668181195</c:v>
                </c:pt>
                <c:pt idx="21">
                  <c:v>49.695623135464139</c:v>
                </c:pt>
                <c:pt idx="22">
                  <c:v>49.018512620096047</c:v>
                </c:pt>
                <c:pt idx="23">
                  <c:v>48.376968013278486</c:v>
                </c:pt>
                <c:pt idx="24">
                  <c:v>47.768796586599393</c:v>
                </c:pt>
                <c:pt idx="25">
                  <c:v>47.191966619765118</c:v>
                </c:pt>
                <c:pt idx="26">
                  <c:v>46.644593551868532</c:v>
                </c:pt>
                <c:pt idx="27">
                  <c:v>46.124927488496255</c:v>
                </c:pt>
                <c:pt idx="28">
                  <c:v>45.63134191715713</c:v>
                </c:pt>
                <c:pt idx="29">
                  <c:v>45.162323501067156</c:v>
                </c:pt>
                <c:pt idx="30">
                  <c:v>44.716462836620366</c:v>
                </c:pt>
                <c:pt idx="31">
                  <c:v>44.292446073221697</c:v>
                </c:pt>
                <c:pt idx="32">
                  <c:v>43.889047305823418</c:v>
                </c:pt>
                <c:pt idx="33">
                  <c:v>43.505121660717819</c:v>
                </c:pt>
                <c:pt idx="34">
                  <c:v>43.139599004090769</c:v>
                </c:pt>
                <c:pt idx="35">
                  <c:v>42.791478210699687</c:v>
                </c:pt>
                <c:pt idx="36">
                  <c:v>42.459821936949133</c:v>
                </c:pt>
                <c:pt idx="37">
                  <c:v>42.143751848720669</c:v>
                </c:pt>
                <c:pt idx="38">
                  <c:v>41.842444259676675</c:v>
                </c:pt>
                <c:pt idx="39">
                  <c:v>41.555126140493385</c:v>
                </c:pt>
                <c:pt idx="40">
                  <c:v>41.28107146366311</c:v>
                </c:pt>
                <c:pt idx="41">
                  <c:v>41.019597852211405</c:v>
                </c:pt>
                <c:pt idx="42">
                  <c:v>40.770063503957793</c:v>
                </c:pt>
                <c:pt idx="43">
                  <c:v>40.531864365862944</c:v>
                </c:pt>
                <c:pt idx="44">
                  <c:v>40.304431535593707</c:v>
                </c:pt>
                <c:pt idx="45">
                  <c:v>40.08722886974018</c:v>
                </c:pt>
                <c:pt idx="46">
                  <c:v>39.879750780170305</c:v>
                </c:pt>
                <c:pt idx="47">
                  <c:v>39.681520201835568</c:v>
                </c:pt>
                <c:pt idx="48">
                  <c:v>39.492086716974022</c:v>
                </c:pt>
                <c:pt idx="49">
                  <c:v>39.311024822115606</c:v>
                </c:pt>
                <c:pt idx="50">
                  <c:v>39.171979257463079</c:v>
                </c:pt>
                <c:pt idx="51">
                  <c:v>39.033425505708763</c:v>
                </c:pt>
                <c:pt idx="52">
                  <c:v>38.895361827279544</c:v>
                </c:pt>
                <c:pt idx="53">
                  <c:v>38.757786488755272</c:v>
                </c:pt>
                <c:pt idx="54">
                  <c:v>38.62069776284703</c:v>
                </c:pt>
                <c:pt idx="55">
                  <c:v>38.484093928375415</c:v>
                </c:pt>
                <c:pt idx="56">
                  <c:v>38.347973270248957</c:v>
                </c:pt>
                <c:pt idx="57">
                  <c:v>38.212334079442563</c:v>
                </c:pt>
                <c:pt idx="58">
                  <c:v>38.077174652976069</c:v>
                </c:pt>
                <c:pt idx="59">
                  <c:v>37.942493293892866</c:v>
                </c:pt>
                <c:pt idx="60">
                  <c:v>37.808288311238584</c:v>
                </c:pt>
                <c:pt idx="61">
                  <c:v>37.674558020039861</c:v>
                </c:pt>
                <c:pt idx="62">
                  <c:v>37.531220174697964</c:v>
                </c:pt>
                <c:pt idx="63">
                  <c:v>37.388427677171329</c:v>
                </c:pt>
                <c:pt idx="64">
                  <c:v>37.246178452611979</c:v>
                </c:pt>
                <c:pt idx="65">
                  <c:v>37.104470434065952</c:v>
                </c:pt>
                <c:pt idx="66">
                  <c:v>36.963301562443299</c:v>
                </c:pt>
                <c:pt idx="67">
                  <c:v>36.822669786488156</c:v>
                </c:pt>
                <c:pt idx="68">
                  <c:v>36.682573062748922</c:v>
                </c:pt>
                <c:pt idx="69">
                  <c:v>36.543009355548584</c:v>
                </c:pt>
                <c:pt idx="70">
                  <c:v>36.403976636955129</c:v>
                </c:pt>
                <c:pt idx="71">
                  <c:v>36.265472886752079</c:v>
                </c:pt>
                <c:pt idx="72">
                  <c:v>36.127496092409146</c:v>
                </c:pt>
                <c:pt idx="73">
                  <c:v>35.990044249052971</c:v>
                </c:pt>
                <c:pt idx="74">
                  <c:v>35.842904858394604</c:v>
                </c:pt>
                <c:pt idx="75">
                  <c:v>35.696367022992291</c:v>
                </c:pt>
                <c:pt idx="76">
                  <c:v>35.550428283486056</c:v>
                </c:pt>
                <c:pt idx="77">
                  <c:v>35.405086190570643</c:v>
                </c:pt>
                <c:pt idx="78">
                  <c:v>35.260338304954345</c:v>
                </c:pt>
                <c:pt idx="79">
                  <c:v>35.116182197318125</c:v>
                </c:pt>
                <c:pt idx="80">
                  <c:v>34.972615448274809</c:v>
                </c:pt>
                <c:pt idx="81">
                  <c:v>34.829635648328505</c:v>
                </c:pt>
                <c:pt idx="82">
                  <c:v>34.687240397834117</c:v>
                </c:pt>
                <c:pt idx="83">
                  <c:v>34.545427306957137</c:v>
                </c:pt>
                <c:pt idx="84">
                  <c:v>34.404193995633491</c:v>
                </c:pt>
                <c:pt idx="85">
                  <c:v>34.263538093529604</c:v>
                </c:pt>
                <c:pt idx="86">
                  <c:v>34.113384526520278</c:v>
                </c:pt>
                <c:pt idx="87">
                  <c:v>33.963888979521144</c:v>
                </c:pt>
                <c:pt idx="88">
                  <c:v>33.815048568882204</c:v>
                </c:pt>
                <c:pt idx="89">
                  <c:v>33.666860423590506</c:v>
                </c:pt>
                <c:pt idx="90">
                  <c:v>33.519321685214791</c:v>
                </c:pt>
                <c:pt idx="91">
                  <c:v>33.372429507850342</c:v>
                </c:pt>
                <c:pt idx="92">
                  <c:v>33.226181058064086</c:v>
                </c:pt>
                <c:pt idx="93">
                  <c:v>33.080573514839926</c:v>
                </c:pt>
                <c:pt idx="94">
                  <c:v>32.935604069524359</c:v>
                </c:pt>
                <c:pt idx="95">
                  <c:v>32.791269925772284</c:v>
                </c:pt>
                <c:pt idx="96">
                  <c:v>32.647568299493059</c:v>
                </c:pt>
                <c:pt idx="97">
                  <c:v>32.504496418796791</c:v>
                </c:pt>
                <c:pt idx="98">
                  <c:v>32.352284483433962</c:v>
                </c:pt>
                <c:pt idx="99">
                  <c:v>32.200785325557931</c:v>
                </c:pt>
                <c:pt idx="100">
                  <c:v>32.049995607376914</c:v>
                </c:pt>
                <c:pt idx="101">
                  <c:v>31.899912006729352</c:v>
                </c:pt>
                <c:pt idx="102">
                  <c:v>31.750531217010661</c:v>
                </c:pt>
                <c:pt idx="103">
                  <c:v>31.601849947100433</c:v>
                </c:pt>
                <c:pt idx="104">
                  <c:v>31.453864921289906</c:v>
                </c:pt>
                <c:pt idx="105">
                  <c:v>31.306572879209781</c:v>
                </c:pt>
                <c:pt idx="106">
                  <c:v>31.159970575758422</c:v>
                </c:pt>
                <c:pt idx="107">
                  <c:v>31.014054781030339</c:v>
                </c:pt>
                <c:pt idx="108">
                  <c:v>30.868822280245013</c:v>
                </c:pt>
                <c:pt idx="109">
                  <c:v>30.724269873676107</c:v>
                </c:pt>
                <c:pt idx="110">
                  <c:v>30.57080668594017</c:v>
                </c:pt>
                <c:pt idx="111">
                  <c:v>30.407957936049513</c:v>
                </c:pt>
                <c:pt idx="112">
                  <c:v>30.245976671129526</c:v>
                </c:pt>
                <c:pt idx="113">
                  <c:v>30.084858270142732</c:v>
                </c:pt>
                <c:pt idx="114">
                  <c:v>29.92459813666764</c:v>
                </c:pt>
                <c:pt idx="115">
                  <c:v>29.765191698767595</c:v>
                </c:pt>
                <c:pt idx="116">
                  <c:v>29.606634408860387</c:v>
                </c:pt>
                <c:pt idx="117">
                  <c:v>29.448921743588457</c:v>
                </c:pt>
                <c:pt idx="118">
                  <c:v>29.292049203689913</c:v>
                </c:pt>
                <c:pt idx="119">
                  <c:v>29.136012313870111</c:v>
                </c:pt>
                <c:pt idx="120">
                  <c:v>28.980806622674052</c:v>
                </c:pt>
                <c:pt idx="121">
                  <c:v>28.826427702359339</c:v>
                </c:pt>
                <c:pt idx="122">
                  <c:v>28.672871148769886</c:v>
                </c:pt>
                <c:pt idx="123">
                  <c:v>28.509115808699406</c:v>
                </c:pt>
                <c:pt idx="124">
                  <c:v>28.346295701492849</c:v>
                </c:pt>
                <c:pt idx="125">
                  <c:v>28.184405485886188</c:v>
                </c:pt>
                <c:pt idx="126">
                  <c:v>28.023439851120173</c:v>
                </c:pt>
                <c:pt idx="127">
                  <c:v>27.86339351676618</c:v>
                </c:pt>
                <c:pt idx="128">
                  <c:v>27.704261232552938</c:v>
                </c:pt>
                <c:pt idx="129">
                  <c:v>27.546037778194304</c:v>
                </c:pt>
                <c:pt idx="130">
                  <c:v>27.388717963218042</c:v>
                </c:pt>
                <c:pt idx="131">
                  <c:v>27.232296626795517</c:v>
                </c:pt>
                <c:pt idx="132">
                  <c:v>27.076768637572414</c:v>
                </c:pt>
                <c:pt idx="133">
                  <c:v>26.9221288935004</c:v>
                </c:pt>
                <c:pt idx="134">
                  <c:v>26.768372321669759</c:v>
                </c:pt>
                <c:pt idx="135">
                  <c:v>26.604205339423245</c:v>
                </c:pt>
                <c:pt idx="136">
                  <c:v>26.44104517214987</c:v>
                </c:pt>
                <c:pt idx="137">
                  <c:v>26.278885645182982</c:v>
                </c:pt>
                <c:pt idx="138">
                  <c:v>26.117720621724374</c:v>
                </c:pt>
                <c:pt idx="139">
                  <c:v>25.957544002612011</c:v>
                </c:pt>
                <c:pt idx="140">
                  <c:v>25.79834972608927</c:v>
                </c:pt>
                <c:pt idx="141">
                  <c:v>25.640131767575468</c:v>
                </c:pt>
                <c:pt idx="142">
                  <c:v>25.482884139437914</c:v>
                </c:pt>
                <c:pt idx="143">
                  <c:v>25.326600890765292</c:v>
                </c:pt>
                <c:pt idx="144">
                  <c:v>25.171276107142461</c:v>
                </c:pt>
                <c:pt idx="145">
                  <c:v>25.016903910426635</c:v>
                </c:pt>
                <c:pt idx="146">
                  <c:v>24.863478458524924</c:v>
                </c:pt>
                <c:pt idx="147">
                  <c:v>24.698911797537932</c:v>
                </c:pt>
                <c:pt idx="148">
                  <c:v>24.535434372152196</c:v>
                </c:pt>
                <c:pt idx="149">
                  <c:v>24.373038972923325</c:v>
                </c:pt>
                <c:pt idx="150">
                  <c:v>24.211718438124834</c:v>
                </c:pt>
                <c:pt idx="151">
                  <c:v>24.051465653432373</c:v>
                </c:pt>
                <c:pt idx="152">
                  <c:v>23.892273551609961</c:v>
                </c:pt>
                <c:pt idx="153">
                  <c:v>23.734135112198302</c:v>
                </c:pt>
                <c:pt idx="154">
                  <c:v>23.577043361205213</c:v>
                </c:pt>
                <c:pt idx="155">
                  <c:v>23.420991370798021</c:v>
                </c:pt>
                <c:pt idx="156">
                  <c:v>23.265972258998076</c:v>
                </c:pt>
                <c:pt idx="157">
                  <c:v>23.111979189377251</c:v>
                </c:pt>
                <c:pt idx="158">
                  <c:v>22.959005370756444</c:v>
                </c:pt>
                <c:pt idx="159">
                  <c:v>22.794126192652115</c:v>
                </c:pt>
                <c:pt idx="160">
                  <c:v>22.630431087765814</c:v>
                </c:pt>
                <c:pt idx="161">
                  <c:v>22.467911552723137</c:v>
                </c:pt>
                <c:pt idx="162">
                  <c:v>22.306559145216298</c:v>
                </c:pt>
                <c:pt idx="163">
                  <c:v>22.146365483565617</c:v>
                </c:pt>
                <c:pt idx="164">
                  <c:v>21.987322246284108</c:v>
                </c:pt>
                <c:pt idx="165">
                  <c:v>21.829421171645222</c:v>
                </c:pt>
                <c:pt idx="166">
                  <c:v>21.672654057253638</c:v>
                </c:pt>
                <c:pt idx="167">
                  <c:v>21.517012759619249</c:v>
                </c:pt>
                <c:pt idx="168">
                  <c:v>21.362489193734064</c:v>
                </c:pt>
                <c:pt idx="169">
                  <c:v>21.209075332652262</c:v>
                </c:pt>
                <c:pt idx="170">
                  <c:v>21.056763207073217</c:v>
                </c:pt>
                <c:pt idx="171">
                  <c:v>20.893700480046405</c:v>
                </c:pt>
                <c:pt idx="172">
                  <c:v>20.731900504216625</c:v>
                </c:pt>
                <c:pt idx="173">
                  <c:v>20.571353500889415</c:v>
                </c:pt>
                <c:pt idx="174">
                  <c:v>20.412049767096136</c:v>
                </c:pt>
                <c:pt idx="175">
                  <c:v>20.253979675007542</c:v>
                </c:pt>
                <c:pt idx="176">
                  <c:v>20.097133671351912</c:v>
                </c:pt>
                <c:pt idx="177">
                  <c:v>19.941502276837667</c:v>
                </c:pt>
                <c:pt idx="178">
                  <c:v>19.787076085580495</c:v>
                </c:pt>
                <c:pt idx="179">
                  <c:v>19.633845764534854</c:v>
                </c:pt>
                <c:pt idx="180">
                  <c:v>19.48180205292995</c:v>
                </c:pt>
                <c:pt idx="181">
                  <c:v>19.330935761710023</c:v>
                </c:pt>
                <c:pt idx="182">
                  <c:v>19.181237772978989</c:v>
                </c:pt>
                <c:pt idx="183">
                  <c:v>19.017328631276257</c:v>
                </c:pt>
                <c:pt idx="184">
                  <c:v>18.854820139888787</c:v>
                </c:pt>
                <c:pt idx="185">
                  <c:v>18.693700329860562</c:v>
                </c:pt>
                <c:pt idx="186">
                  <c:v>18.53395733451373</c:v>
                </c:pt>
                <c:pt idx="187">
                  <c:v>18.375579388574565</c:v>
                </c:pt>
                <c:pt idx="188">
                  <c:v>18.21855482730696</c:v>
                </c:pt>
                <c:pt idx="189">
                  <c:v>18.062872085653296</c:v>
                </c:pt>
                <c:pt idx="190">
                  <c:v>17.908519697382687</c:v>
                </c:pt>
                <c:pt idx="191">
                  <c:v>17.755486294246438</c:v>
                </c:pt>
                <c:pt idx="192">
                  <c:v>17.603760605140792</c:v>
                </c:pt>
                <c:pt idx="193">
                  <c:v>17.453331455276768</c:v>
                </c:pt>
                <c:pt idx="194">
                  <c:v>17.304187765357142</c:v>
                </c:pt>
                <c:pt idx="195">
                  <c:v>17.143193146050592</c:v>
                </c:pt>
                <c:pt idx="196">
                  <c:v>16.98369638771257</c:v>
                </c:pt>
                <c:pt idx="197">
                  <c:v>16.825683554551361</c:v>
                </c:pt>
                <c:pt idx="198">
                  <c:v>16.669140840430998</c:v>
                </c:pt>
                <c:pt idx="199">
                  <c:v>16.514054567664985</c:v>
                </c:pt>
                <c:pt idx="200">
                  <c:v>16.360411185821235</c:v>
                </c:pt>
                <c:pt idx="201">
                  <c:v>16.208197270538079</c:v>
                </c:pt>
                <c:pt idx="202">
                  <c:v>16.057399522351375</c:v>
                </c:pt>
                <c:pt idx="203">
                  <c:v>15.908004765532482</c:v>
                </c:pt>
                <c:pt idx="204">
                  <c:v>15.759999946937015</c:v>
                </c:pt>
                <c:pt idx="205">
                  <c:v>15.613372134864392</c:v>
                </c:pt>
                <c:pt idx="206">
                  <c:v>15.468108517927902</c:v>
                </c:pt>
                <c:pt idx="207">
                  <c:v>15.310420775442338</c:v>
                </c:pt>
                <c:pt idx="208">
                  <c:v>15.154340561382199</c:v>
                </c:pt>
                <c:pt idx="209">
                  <c:v>14.999851487995358</c:v>
                </c:pt>
                <c:pt idx="210">
                  <c:v>14.84693733459261</c:v>
                </c:pt>
                <c:pt idx="211">
                  <c:v>14.695582045844603</c:v>
                </c:pt>
                <c:pt idx="212">
                  <c:v>14.545769730096055</c:v>
                </c:pt>
                <c:pt idx="213">
                  <c:v>14.397484657697234</c:v>
                </c:pt>
                <c:pt idx="214">
                  <c:v>14.2507112593524</c:v>
                </c:pt>
                <c:pt idx="215">
                  <c:v>14.105434124485114</c:v>
                </c:pt>
                <c:pt idx="216">
                  <c:v>13.961637999620137</c:v>
                </c:pt>
                <c:pt idx="217">
                  <c:v>13.819307786781948</c:v>
                </c:pt>
                <c:pt idx="218">
                  <c:v>13.678428541909497</c:v>
                </c:pt>
                <c:pt idx="219">
                  <c:v>13.526452678159941</c:v>
                </c:pt>
                <c:pt idx="220">
                  <c:v>13.376165360948576</c:v>
                </c:pt>
                <c:pt idx="221">
                  <c:v>13.227547829471291</c:v>
                </c:pt>
                <c:pt idx="222">
                  <c:v>13.080581531368168</c:v>
                </c:pt>
                <c:pt idx="223">
                  <c:v>12.935248120407593</c:v>
                </c:pt>
                <c:pt idx="224">
                  <c:v>12.791529454195995</c:v>
                </c:pt>
                <c:pt idx="225">
                  <c:v>12.649407591913118</c:v>
                </c:pt>
                <c:pt idx="226">
                  <c:v>12.508864792072387</c:v>
                </c:pt>
                <c:pt idx="227">
                  <c:v>12.369883510306209</c:v>
                </c:pt>
                <c:pt idx="228">
                  <c:v>12.232446397175835</c:v>
                </c:pt>
                <c:pt idx="229">
                  <c:v>12.096536296005581</c:v>
                </c:pt>
                <c:pt idx="230">
                  <c:v>11.962136240741145</c:v>
                </c:pt>
                <c:pt idx="231">
                  <c:v>11.815421119051209</c:v>
                </c:pt>
                <c:pt idx="232">
                  <c:v>11.670505452450172</c:v>
                </c:pt>
                <c:pt idx="233">
                  <c:v>11.527367170693466</c:v>
                </c:pt>
                <c:pt idx="234">
                  <c:v>11.3859844742272</c:v>
                </c:pt>
                <c:pt idx="235">
                  <c:v>11.246335830868119</c:v>
                </c:pt>
                <c:pt idx="236">
                  <c:v>11.108399972524353</c:v>
                </c:pt>
                <c:pt idx="237">
                  <c:v>10.972155891956305</c:v>
                </c:pt>
                <c:pt idx="238">
                  <c:v>10.837582839577365</c:v>
                </c:pt>
                <c:pt idx="239">
                  <c:v>10.704660320293726</c:v>
                </c:pt>
                <c:pt idx="240">
                  <c:v>10.573368090383127</c:v>
                </c:pt>
                <c:pt idx="241">
                  <c:v>10.443686154411722</c:v>
                </c:pt>
                <c:pt idx="242">
                  <c:v>10.315594762188866</c:v>
                </c:pt>
                <c:pt idx="243">
                  <c:v>10.175989569503642</c:v>
                </c:pt>
                <c:pt idx="244">
                  <c:v>10.038273711391369</c:v>
                </c:pt>
                <c:pt idx="245">
                  <c:v>9.9024216187090843</c:v>
                </c:pt>
                <c:pt idx="246">
                  <c:v>9.7684080683515759</c:v>
                </c:pt>
                <c:pt idx="247">
                  <c:v>9.6362081785683245</c:v>
                </c:pt>
                <c:pt idx="248">
                  <c:v>9.5057974043437525</c:v>
                </c:pt>
                <c:pt idx="249">
                  <c:v>9.3771515328401165</c:v>
                </c:pt>
                <c:pt idx="250">
                  <c:v>9.2502466789019735</c:v>
                </c:pt>
                <c:pt idx="251">
                  <c:v>9.1250592806215138</c:v>
                </c:pt>
                <c:pt idx="252">
                  <c:v>9.0015660949639482</c:v>
                </c:pt>
                <c:pt idx="253">
                  <c:v>8.8797441934520265</c:v>
                </c:pt>
                <c:pt idx="254">
                  <c:v>8.7595709579090624</c:v>
                </c:pt>
                <c:pt idx="255">
                  <c:v>8.6280600686094999</c:v>
                </c:pt>
                <c:pt idx="256">
                  <c:v>8.498523604094828</c:v>
                </c:pt>
                <c:pt idx="257">
                  <c:v>8.3709319215480065</c:v>
                </c:pt>
                <c:pt idx="258">
                  <c:v>8.2452558231912718</c:v>
                </c:pt>
                <c:pt idx="259">
                  <c:v>8.1214665496046194</c:v>
                </c:pt>
                <c:pt idx="260">
                  <c:v>7.9995357731445154</c:v>
                </c:pt>
                <c:pt idx="261">
                  <c:v>7.8794355914615295</c:v>
                </c:pt>
                <c:pt idx="262">
                  <c:v>7.7611385211151571</c:v>
                </c:pt>
                <c:pt idx="263">
                  <c:v>7.6446174912846487</c:v>
                </c:pt>
                <c:pt idx="264">
                  <c:v>7.5298458375741291</c:v>
                </c:pt>
                <c:pt idx="265">
                  <c:v>7.4167972959108113</c:v>
                </c:pt>
                <c:pt idx="266">
                  <c:v>7.3054459965347576</c:v>
                </c:pt>
                <c:pt idx="267">
                  <c:v>7.1837446266620333</c:v>
                </c:pt>
                <c:pt idx="268">
                  <c:v>7.0640706789940424</c:v>
                </c:pt>
                <c:pt idx="269">
                  <c:v>6.946390378719542</c:v>
                </c:pt>
                <c:pt idx="270">
                  <c:v>6.8306705136816106</c:v>
                </c:pt>
                <c:pt idx="271">
                  <c:v>6.7168784250043956</c:v>
                </c:pt>
                <c:pt idx="272">
                  <c:v>6.6049819978760098</c:v>
                </c:pt>
                <c:pt idx="273">
                  <c:v>6.4949496524849764</c:v>
                </c:pt>
                <c:pt idx="274">
                  <c:v>6.3867503351076778</c:v>
                </c:pt>
                <c:pt idx="275">
                  <c:v>6.2803535093442093</c:v>
                </c:pt>
                <c:pt idx="276">
                  <c:v>6.1757291475003484</c:v>
                </c:pt>
                <c:pt idx="277">
                  <c:v>6.0728477221130106</c:v>
                </c:pt>
                <c:pt idx="278">
                  <c:v>5.9716801976168767</c:v>
                </c:pt>
                <c:pt idx="279">
                  <c:v>5.8615008832099562</c:v>
                </c:pt>
                <c:pt idx="280">
                  <c:v>5.7533544106367316</c:v>
                </c:pt>
                <c:pt idx="281">
                  <c:v>5.6472032733475999</c:v>
                </c:pt>
                <c:pt idx="282">
                  <c:v>5.543010656800206</c:v>
                </c:pt>
                <c:pt idx="283">
                  <c:v>5.440740425691672</c:v>
                </c:pt>
                <c:pt idx="284">
                  <c:v>5.3403571114264565</c:v>
                </c:pt>
                <c:pt idx="285">
                  <c:v>5.2418258998153817</c:v>
                </c:pt>
                <c:pt idx="286">
                  <c:v>5.1451126190016225</c:v>
                </c:pt>
                <c:pt idx="287">
                  <c:v>5.0501837276095074</c:v>
                </c:pt>
                <c:pt idx="288">
                  <c:v>4.9570063031119531</c:v>
                </c:pt>
                <c:pt idx="289">
                  <c:v>4.8655480304124836</c:v>
                </c:pt>
                <c:pt idx="290">
                  <c:v>4.7757771906379816</c:v>
                </c:pt>
                <c:pt idx="291">
                  <c:v>4.6777541782316945</c:v>
                </c:pt>
                <c:pt idx="292">
                  <c:v>4.581743091963844</c:v>
                </c:pt>
                <c:pt idx="293">
                  <c:v>4.4877026369722586</c:v>
                </c:pt>
                <c:pt idx="294">
                  <c:v>4.3955923659734282</c:v>
                </c:pt>
                <c:pt idx="295">
                  <c:v>4.3053726618659027</c:v>
                </c:pt>
                <c:pt idx="296">
                  <c:v>4.217004720690781</c:v>
                </c:pt>
                <c:pt idx="297">
                  <c:v>4.1304505349419145</c:v>
                </c:pt>
                <c:pt idx="298">
                  <c:v>4.0456728772187063</c:v>
                </c:pt>
                <c:pt idx="299">
                  <c:v>3.9626352842144144</c:v>
                </c:pt>
                <c:pt idx="300">
                  <c:v>3.8813020410330523</c:v>
                </c:pt>
                <c:pt idx="301">
                  <c:v>3.8016381658282796</c:v>
                </c:pt>
                <c:pt idx="302">
                  <c:v>3.7236093947575313</c:v>
                </c:pt>
                <c:pt idx="303">
                  <c:v>3.638959510760813</c:v>
                </c:pt>
                <c:pt idx="304">
                  <c:v>3.5562339969385732</c:v>
                </c:pt>
                <c:pt idx="305">
                  <c:v>3.4753891060298088</c:v>
                </c:pt>
                <c:pt idx="306">
                  <c:v>3.3963820852926006</c:v>
                </c:pt>
                <c:pt idx="307">
                  <c:v>3.319171153895411</c:v>
                </c:pt>
                <c:pt idx="308">
                  <c:v>3.243715480822388</c:v>
                </c:pt>
                <c:pt idx="309">
                  <c:v>3.1699751632808812</c:v>
                </c:pt>
                <c:pt idx="310">
                  <c:v>3.0979112055999281</c:v>
                </c:pt>
                <c:pt idx="311">
                  <c:v>3.0274854986083852</c:v>
                </c:pt>
                <c:pt idx="312">
                  <c:v>2.9586607994818479</c:v>
                </c:pt>
                <c:pt idx="313">
                  <c:v>2.8914007120477692</c:v>
                </c:pt>
                <c:pt idx="314">
                  <c:v>2.82566966753825</c:v>
                </c:pt>
                <c:pt idx="315">
                  <c:v>2.7539540543026675</c:v>
                </c:pt>
                <c:pt idx="316">
                  <c:v>2.6840585863023279</c:v>
                </c:pt>
                <c:pt idx="317">
                  <c:v>2.6159370681757537</c:v>
                </c:pt>
                <c:pt idx="318">
                  <c:v>2.5495444770016604</c:v>
                </c:pt>
                <c:pt idx="319">
                  <c:v>2.4848369325423505</c:v>
                </c:pt>
                <c:pt idx="320">
                  <c:v>2.4217716682423855</c:v>
                </c:pt>
                <c:pt idx="321">
                  <c:v>2.3603070029632818</c:v>
                </c:pt>
                <c:pt idx="322">
                  <c:v>2.3004023134355691</c:v>
                </c:pt>
                <c:pt idx="323">
                  <c:v>2.2420180074100529</c:v>
                </c:pt>
                <c:pt idx="324">
                  <c:v>2.1851154974904432</c:v>
                </c:pt>
                <c:pt idx="325">
                  <c:v>2.1296571756301859</c:v>
                </c:pt>
                <c:pt idx="326">
                  <c:v>2.0756063882764977</c:v>
                </c:pt>
                <c:pt idx="327">
                  <c:v>2.0162046495569825</c:v>
                </c:pt>
                <c:pt idx="328">
                  <c:v>1.9585029280386266</c:v>
                </c:pt>
                <c:pt idx="329">
                  <c:v>1.9024525709623248</c:v>
                </c:pt>
                <c:pt idx="330">
                  <c:v>1.8480063179613353</c:v>
                </c:pt>
                <c:pt idx="331">
                  <c:v>1.795118261212437</c:v>
                </c:pt>
                <c:pt idx="332">
                  <c:v>1.743743806727494</c:v>
                </c:pt>
                <c:pt idx="333">
                  <c:v>1.6938396367528554</c:v>
                </c:pt>
                <c:pt idx="334">
                  <c:v>1.645363673244816</c:v>
                </c:pt>
                <c:pt idx="335">
                  <c:v>1.5982750423903695</c:v>
                </c:pt>
                <c:pt idx="336">
                  <c:v>1.5525340401433851</c:v>
                </c:pt>
                <c:pt idx="337">
                  <c:v>1.5081020987470595</c:v>
                </c:pt>
                <c:pt idx="338">
                  <c:v>1.4649417542144363</c:v>
                </c:pt>
                <c:pt idx="339">
                  <c:v>1.4181346815944096</c:v>
                </c:pt>
                <c:pt idx="340">
                  <c:v>1.3728231647129974</c:v>
                </c:pt>
                <c:pt idx="341">
                  <c:v>1.3289594183351454</c:v>
                </c:pt>
                <c:pt idx="342">
                  <c:v>1.2864971840352979</c:v>
                </c:pt>
                <c:pt idx="343">
                  <c:v>1.2453916814135226</c:v>
                </c:pt>
                <c:pt idx="344">
                  <c:v>1.2055995608704393</c:v>
                </c:pt>
                <c:pt idx="345">
                  <c:v>1.1670788578909566</c:v>
                </c:pt>
                <c:pt idx="346">
                  <c:v>1.1297889487888</c:v>
                </c:pt>
                <c:pt idx="347">
                  <c:v>1.0936905078650341</c:v>
                </c:pt>
                <c:pt idx="348">
                  <c:v>1.0587454659354165</c:v>
                </c:pt>
                <c:pt idx="349">
                  <c:v>1.024916970182872</c:v>
                </c:pt>
                <c:pt idx="350">
                  <c:v>0.99216934529277978</c:v>
                </c:pt>
                <c:pt idx="351">
                  <c:v>0.95694574035269397</c:v>
                </c:pt>
                <c:pt idx="352">
                  <c:v>0.92297262994850371</c:v>
                </c:pt>
                <c:pt idx="353">
                  <c:v>0.89020561951620891</c:v>
                </c:pt>
                <c:pt idx="354">
                  <c:v>0.8586018905700854</c:v>
                </c:pt>
                <c:pt idx="355">
                  <c:v>0.82812014474943396</c:v>
                </c:pt>
                <c:pt idx="356">
                  <c:v>0.79872054985168006</c:v>
                </c:pt>
                <c:pt idx="357">
                  <c:v>0.77036468778138101</c:v>
                </c:pt>
                <c:pt idx="358">
                  <c:v>0.74301550434718422</c:v>
                </c:pt>
                <c:pt idx="359">
                  <c:v>0.71663726084102564</c:v>
                </c:pt>
                <c:pt idx="360">
                  <c:v>0.69119548733635838</c:v>
                </c:pt>
                <c:pt idx="361">
                  <c:v>0.66665693764440448</c:v>
                </c:pt>
                <c:pt idx="362">
                  <c:v>0.64298954586944035</c:v>
                </c:pt>
                <c:pt idx="363">
                  <c:v>0.6175647101771915</c:v>
                </c:pt>
                <c:pt idx="364">
                  <c:v>0.59314521317844537</c:v>
                </c:pt>
                <c:pt idx="365">
                  <c:v>0.56969130217228781</c:v>
                </c:pt>
                <c:pt idx="366">
                  <c:v>0.5471647963432531</c:v>
                </c:pt>
                <c:pt idx="367">
                  <c:v>0.52552902460639928</c:v>
                </c:pt>
                <c:pt idx="368">
                  <c:v>0.50474876591019324</c:v>
                </c:pt>
                <c:pt idx="369">
                  <c:v>0.48479019189981898</c:v>
                </c:pt>
                <c:pt idx="370">
                  <c:v>0.46562081184777071</c:v>
                </c:pt>
                <c:pt idx="371">
                  <c:v>0.4472094197618901</c:v>
                </c:pt>
                <c:pt idx="372">
                  <c:v>0.42952604358491442</c:v>
                </c:pt>
                <c:pt idx="373">
                  <c:v>0.41254189640267214</c:v>
                </c:pt>
                <c:pt idx="374">
                  <c:v>0.39622932958165791</c:v>
                </c:pt>
                <c:pt idx="375">
                  <c:v>0.37855816999834246</c:v>
                </c:pt>
                <c:pt idx="376">
                  <c:v>0.36167511431776234</c:v>
                </c:pt>
                <c:pt idx="377">
                  <c:v>0.34554501443552965</c:v>
                </c:pt>
                <c:pt idx="378">
                  <c:v>0.33013428979342052</c:v>
                </c:pt>
                <c:pt idx="379">
                  <c:v>0.31541085746945896</c:v>
                </c:pt>
                <c:pt idx="380">
                  <c:v>0.30134406538584813</c:v>
                </c:pt>
                <c:pt idx="381">
                  <c:v>0.28790462849575249</c:v>
                </c:pt>
                <c:pt idx="382">
                  <c:v>0.27506456781600264</c:v>
                </c:pt>
                <c:pt idx="383">
                  <c:v>0.26279715217889077</c:v>
                </c:pt>
                <c:pt idx="384">
                  <c:v>0.25107684258168206</c:v>
                </c:pt>
                <c:pt idx="385">
                  <c:v>0.23987923901805175</c:v>
                </c:pt>
                <c:pt idx="386">
                  <c:v>0.22918102968083076</c:v>
                </c:pt>
                <c:pt idx="387">
                  <c:v>0.21767291901767294</c:v>
                </c:pt>
                <c:pt idx="388">
                  <c:v>0.20674267734838736</c:v>
                </c:pt>
                <c:pt idx="389">
                  <c:v>0.1963612875229046</c:v>
                </c:pt>
                <c:pt idx="390">
                  <c:v>0.18650118946015937</c:v>
                </c:pt>
                <c:pt idx="391">
                  <c:v>0.17713620698273758</c:v>
                </c:pt>
                <c:pt idx="392">
                  <c:v>0.16824147832545577</c:v>
                </c:pt>
                <c:pt idx="393">
                  <c:v>0.15979339013334481</c:v>
                </c:pt>
                <c:pt idx="394">
                  <c:v>0.15176951477396017</c:v>
                </c:pt>
                <c:pt idx="395">
                  <c:v>0.14414855079738231</c:v>
                </c:pt>
                <c:pt idx="396">
                  <c:v>0.13691026638606729</c:v>
                </c:pt>
                <c:pt idx="397">
                  <c:v>0.13003544564419656</c:v>
                </c:pt>
                <c:pt idx="398">
                  <c:v>0.1235058375841902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3-4371-B668-690D61C74131}"/>
            </c:ext>
          </c:extLst>
        </c:ser>
        <c:ser>
          <c:idx val="1"/>
          <c:order val="1"/>
          <c:tx>
            <c:strRef>
              <c:f>'Markov Model_SA1'!$C$7</c:f>
              <c:strCache>
                <c:ptCount val="1"/>
                <c:pt idx="0">
                  <c:v>Prophylaxis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'Markov Model_SA1'!$AC$23:$AC$392</c:f>
              <c:numCache>
                <c:formatCode>General</c:formatCode>
                <c:ptCount val="370"/>
                <c:pt idx="0">
                  <c:v>0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54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58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64</c:v>
                </c:pt>
                <c:pt idx="54">
                  <c:v>65</c:v>
                </c:pt>
                <c:pt idx="55">
                  <c:v>66</c:v>
                </c:pt>
                <c:pt idx="56">
                  <c:v>67</c:v>
                </c:pt>
                <c:pt idx="57">
                  <c:v>68</c:v>
                </c:pt>
                <c:pt idx="58">
                  <c:v>69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78</c:v>
                </c:pt>
                <c:pt idx="68">
                  <c:v>79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83</c:v>
                </c:pt>
                <c:pt idx="73">
                  <c:v>84</c:v>
                </c:pt>
                <c:pt idx="74">
                  <c:v>85</c:v>
                </c:pt>
                <c:pt idx="75">
                  <c:v>86</c:v>
                </c:pt>
                <c:pt idx="76">
                  <c:v>87</c:v>
                </c:pt>
                <c:pt idx="77">
                  <c:v>88</c:v>
                </c:pt>
                <c:pt idx="78">
                  <c:v>89</c:v>
                </c:pt>
                <c:pt idx="79">
                  <c:v>90</c:v>
                </c:pt>
                <c:pt idx="80">
                  <c:v>91</c:v>
                </c:pt>
                <c:pt idx="81">
                  <c:v>92</c:v>
                </c:pt>
                <c:pt idx="82">
                  <c:v>93</c:v>
                </c:pt>
                <c:pt idx="83">
                  <c:v>94</c:v>
                </c:pt>
                <c:pt idx="84">
                  <c:v>95</c:v>
                </c:pt>
                <c:pt idx="85">
                  <c:v>96</c:v>
                </c:pt>
                <c:pt idx="86">
                  <c:v>97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  <c:pt idx="90">
                  <c:v>101</c:v>
                </c:pt>
                <c:pt idx="91">
                  <c:v>102</c:v>
                </c:pt>
                <c:pt idx="92">
                  <c:v>103</c:v>
                </c:pt>
                <c:pt idx="93">
                  <c:v>104</c:v>
                </c:pt>
                <c:pt idx="94">
                  <c:v>105</c:v>
                </c:pt>
                <c:pt idx="95">
                  <c:v>106</c:v>
                </c:pt>
                <c:pt idx="96">
                  <c:v>107</c:v>
                </c:pt>
                <c:pt idx="97">
                  <c:v>108</c:v>
                </c:pt>
                <c:pt idx="98">
                  <c:v>109</c:v>
                </c:pt>
                <c:pt idx="99">
                  <c:v>110</c:v>
                </c:pt>
                <c:pt idx="100">
                  <c:v>111</c:v>
                </c:pt>
                <c:pt idx="101">
                  <c:v>112</c:v>
                </c:pt>
                <c:pt idx="102">
                  <c:v>113</c:v>
                </c:pt>
                <c:pt idx="103">
                  <c:v>114</c:v>
                </c:pt>
                <c:pt idx="104">
                  <c:v>115</c:v>
                </c:pt>
                <c:pt idx="105">
                  <c:v>116</c:v>
                </c:pt>
                <c:pt idx="106">
                  <c:v>117</c:v>
                </c:pt>
                <c:pt idx="107">
                  <c:v>118</c:v>
                </c:pt>
                <c:pt idx="108">
                  <c:v>119</c:v>
                </c:pt>
                <c:pt idx="109">
                  <c:v>120</c:v>
                </c:pt>
                <c:pt idx="110">
                  <c:v>121</c:v>
                </c:pt>
                <c:pt idx="111">
                  <c:v>122</c:v>
                </c:pt>
                <c:pt idx="112">
                  <c:v>123</c:v>
                </c:pt>
                <c:pt idx="113">
                  <c:v>124</c:v>
                </c:pt>
                <c:pt idx="114">
                  <c:v>125</c:v>
                </c:pt>
                <c:pt idx="115">
                  <c:v>126</c:v>
                </c:pt>
                <c:pt idx="116">
                  <c:v>127</c:v>
                </c:pt>
                <c:pt idx="117">
                  <c:v>128</c:v>
                </c:pt>
                <c:pt idx="118">
                  <c:v>129</c:v>
                </c:pt>
                <c:pt idx="119">
                  <c:v>130</c:v>
                </c:pt>
                <c:pt idx="120">
                  <c:v>131</c:v>
                </c:pt>
                <c:pt idx="121">
                  <c:v>132</c:v>
                </c:pt>
                <c:pt idx="122">
                  <c:v>133</c:v>
                </c:pt>
                <c:pt idx="123">
                  <c:v>134</c:v>
                </c:pt>
                <c:pt idx="124">
                  <c:v>135</c:v>
                </c:pt>
                <c:pt idx="125">
                  <c:v>136</c:v>
                </c:pt>
                <c:pt idx="126">
                  <c:v>137</c:v>
                </c:pt>
                <c:pt idx="127">
                  <c:v>138</c:v>
                </c:pt>
                <c:pt idx="128">
                  <c:v>139</c:v>
                </c:pt>
                <c:pt idx="129">
                  <c:v>140</c:v>
                </c:pt>
                <c:pt idx="130">
                  <c:v>141</c:v>
                </c:pt>
                <c:pt idx="131">
                  <c:v>142</c:v>
                </c:pt>
                <c:pt idx="132">
                  <c:v>143</c:v>
                </c:pt>
                <c:pt idx="133">
                  <c:v>144</c:v>
                </c:pt>
                <c:pt idx="134">
                  <c:v>145</c:v>
                </c:pt>
                <c:pt idx="135">
                  <c:v>146</c:v>
                </c:pt>
                <c:pt idx="136">
                  <c:v>147</c:v>
                </c:pt>
                <c:pt idx="137">
                  <c:v>148</c:v>
                </c:pt>
                <c:pt idx="138">
                  <c:v>149</c:v>
                </c:pt>
                <c:pt idx="139">
                  <c:v>150</c:v>
                </c:pt>
                <c:pt idx="140">
                  <c:v>151</c:v>
                </c:pt>
                <c:pt idx="141">
                  <c:v>152</c:v>
                </c:pt>
                <c:pt idx="142">
                  <c:v>153</c:v>
                </c:pt>
                <c:pt idx="143">
                  <c:v>154</c:v>
                </c:pt>
                <c:pt idx="144">
                  <c:v>155</c:v>
                </c:pt>
                <c:pt idx="145">
                  <c:v>156</c:v>
                </c:pt>
                <c:pt idx="146">
                  <c:v>157</c:v>
                </c:pt>
                <c:pt idx="147">
                  <c:v>158</c:v>
                </c:pt>
                <c:pt idx="148">
                  <c:v>159</c:v>
                </c:pt>
                <c:pt idx="149">
                  <c:v>160</c:v>
                </c:pt>
                <c:pt idx="150">
                  <c:v>161</c:v>
                </c:pt>
                <c:pt idx="151">
                  <c:v>162</c:v>
                </c:pt>
                <c:pt idx="152">
                  <c:v>163</c:v>
                </c:pt>
                <c:pt idx="153">
                  <c:v>164</c:v>
                </c:pt>
                <c:pt idx="154">
                  <c:v>165</c:v>
                </c:pt>
                <c:pt idx="155">
                  <c:v>166</c:v>
                </c:pt>
                <c:pt idx="156">
                  <c:v>167</c:v>
                </c:pt>
                <c:pt idx="157">
                  <c:v>168</c:v>
                </c:pt>
                <c:pt idx="158">
                  <c:v>169</c:v>
                </c:pt>
                <c:pt idx="159">
                  <c:v>170</c:v>
                </c:pt>
                <c:pt idx="160">
                  <c:v>171</c:v>
                </c:pt>
                <c:pt idx="161">
                  <c:v>172</c:v>
                </c:pt>
                <c:pt idx="162">
                  <c:v>173</c:v>
                </c:pt>
                <c:pt idx="163">
                  <c:v>174</c:v>
                </c:pt>
                <c:pt idx="164">
                  <c:v>175</c:v>
                </c:pt>
                <c:pt idx="165">
                  <c:v>176</c:v>
                </c:pt>
                <c:pt idx="166">
                  <c:v>177</c:v>
                </c:pt>
                <c:pt idx="167">
                  <c:v>178</c:v>
                </c:pt>
                <c:pt idx="168">
                  <c:v>179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183</c:v>
                </c:pt>
                <c:pt idx="173">
                  <c:v>184</c:v>
                </c:pt>
                <c:pt idx="174">
                  <c:v>185</c:v>
                </c:pt>
                <c:pt idx="175">
                  <c:v>186</c:v>
                </c:pt>
                <c:pt idx="176">
                  <c:v>187</c:v>
                </c:pt>
                <c:pt idx="177">
                  <c:v>188</c:v>
                </c:pt>
                <c:pt idx="178">
                  <c:v>189</c:v>
                </c:pt>
                <c:pt idx="179">
                  <c:v>190</c:v>
                </c:pt>
                <c:pt idx="180">
                  <c:v>191</c:v>
                </c:pt>
                <c:pt idx="181">
                  <c:v>192</c:v>
                </c:pt>
                <c:pt idx="182">
                  <c:v>193</c:v>
                </c:pt>
                <c:pt idx="183">
                  <c:v>194</c:v>
                </c:pt>
                <c:pt idx="184">
                  <c:v>195</c:v>
                </c:pt>
                <c:pt idx="185">
                  <c:v>196</c:v>
                </c:pt>
                <c:pt idx="186">
                  <c:v>197</c:v>
                </c:pt>
                <c:pt idx="187">
                  <c:v>198</c:v>
                </c:pt>
                <c:pt idx="188">
                  <c:v>199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203</c:v>
                </c:pt>
                <c:pt idx="193">
                  <c:v>204</c:v>
                </c:pt>
                <c:pt idx="194">
                  <c:v>205</c:v>
                </c:pt>
                <c:pt idx="195">
                  <c:v>206</c:v>
                </c:pt>
                <c:pt idx="196">
                  <c:v>207</c:v>
                </c:pt>
                <c:pt idx="197">
                  <c:v>208</c:v>
                </c:pt>
                <c:pt idx="198">
                  <c:v>209</c:v>
                </c:pt>
                <c:pt idx="199">
                  <c:v>210</c:v>
                </c:pt>
                <c:pt idx="200">
                  <c:v>211</c:v>
                </c:pt>
                <c:pt idx="201">
                  <c:v>212</c:v>
                </c:pt>
                <c:pt idx="202">
                  <c:v>213</c:v>
                </c:pt>
                <c:pt idx="203">
                  <c:v>214</c:v>
                </c:pt>
                <c:pt idx="204">
                  <c:v>215</c:v>
                </c:pt>
                <c:pt idx="205">
                  <c:v>216</c:v>
                </c:pt>
                <c:pt idx="206">
                  <c:v>217</c:v>
                </c:pt>
                <c:pt idx="207">
                  <c:v>218</c:v>
                </c:pt>
                <c:pt idx="208">
                  <c:v>219</c:v>
                </c:pt>
                <c:pt idx="209">
                  <c:v>220</c:v>
                </c:pt>
                <c:pt idx="210">
                  <c:v>221</c:v>
                </c:pt>
                <c:pt idx="211">
                  <c:v>222</c:v>
                </c:pt>
                <c:pt idx="212">
                  <c:v>223</c:v>
                </c:pt>
                <c:pt idx="213">
                  <c:v>224</c:v>
                </c:pt>
                <c:pt idx="214">
                  <c:v>225</c:v>
                </c:pt>
                <c:pt idx="215">
                  <c:v>226</c:v>
                </c:pt>
                <c:pt idx="216">
                  <c:v>227</c:v>
                </c:pt>
                <c:pt idx="217">
                  <c:v>228</c:v>
                </c:pt>
                <c:pt idx="218">
                  <c:v>229</c:v>
                </c:pt>
                <c:pt idx="219">
                  <c:v>230</c:v>
                </c:pt>
                <c:pt idx="220">
                  <c:v>231</c:v>
                </c:pt>
                <c:pt idx="221">
                  <c:v>232</c:v>
                </c:pt>
                <c:pt idx="222">
                  <c:v>233</c:v>
                </c:pt>
                <c:pt idx="223">
                  <c:v>234</c:v>
                </c:pt>
                <c:pt idx="224">
                  <c:v>235</c:v>
                </c:pt>
                <c:pt idx="225">
                  <c:v>236</c:v>
                </c:pt>
                <c:pt idx="226">
                  <c:v>237</c:v>
                </c:pt>
                <c:pt idx="227">
                  <c:v>238</c:v>
                </c:pt>
                <c:pt idx="228">
                  <c:v>239</c:v>
                </c:pt>
                <c:pt idx="229">
                  <c:v>240</c:v>
                </c:pt>
                <c:pt idx="230">
                  <c:v>241</c:v>
                </c:pt>
                <c:pt idx="231">
                  <c:v>242</c:v>
                </c:pt>
                <c:pt idx="232">
                  <c:v>243</c:v>
                </c:pt>
                <c:pt idx="233">
                  <c:v>244</c:v>
                </c:pt>
                <c:pt idx="234">
                  <c:v>245</c:v>
                </c:pt>
                <c:pt idx="235">
                  <c:v>246</c:v>
                </c:pt>
                <c:pt idx="236">
                  <c:v>247</c:v>
                </c:pt>
                <c:pt idx="237">
                  <c:v>248</c:v>
                </c:pt>
                <c:pt idx="238">
                  <c:v>249</c:v>
                </c:pt>
                <c:pt idx="239">
                  <c:v>250</c:v>
                </c:pt>
                <c:pt idx="240">
                  <c:v>251</c:v>
                </c:pt>
                <c:pt idx="241">
                  <c:v>252</c:v>
                </c:pt>
                <c:pt idx="242">
                  <c:v>253</c:v>
                </c:pt>
                <c:pt idx="243">
                  <c:v>254</c:v>
                </c:pt>
                <c:pt idx="244">
                  <c:v>255</c:v>
                </c:pt>
                <c:pt idx="245">
                  <c:v>256</c:v>
                </c:pt>
                <c:pt idx="246">
                  <c:v>257</c:v>
                </c:pt>
                <c:pt idx="247">
                  <c:v>258</c:v>
                </c:pt>
                <c:pt idx="248">
                  <c:v>259</c:v>
                </c:pt>
                <c:pt idx="249">
                  <c:v>260</c:v>
                </c:pt>
                <c:pt idx="250">
                  <c:v>261</c:v>
                </c:pt>
                <c:pt idx="251">
                  <c:v>262</c:v>
                </c:pt>
                <c:pt idx="252">
                  <c:v>263</c:v>
                </c:pt>
                <c:pt idx="253">
                  <c:v>264</c:v>
                </c:pt>
                <c:pt idx="254">
                  <c:v>265</c:v>
                </c:pt>
                <c:pt idx="255">
                  <c:v>266</c:v>
                </c:pt>
                <c:pt idx="256">
                  <c:v>267</c:v>
                </c:pt>
                <c:pt idx="257">
                  <c:v>268</c:v>
                </c:pt>
                <c:pt idx="258">
                  <c:v>269</c:v>
                </c:pt>
                <c:pt idx="259">
                  <c:v>270</c:v>
                </c:pt>
                <c:pt idx="260">
                  <c:v>271</c:v>
                </c:pt>
                <c:pt idx="261">
                  <c:v>272</c:v>
                </c:pt>
                <c:pt idx="262">
                  <c:v>273</c:v>
                </c:pt>
                <c:pt idx="263">
                  <c:v>274</c:v>
                </c:pt>
                <c:pt idx="264">
                  <c:v>275</c:v>
                </c:pt>
                <c:pt idx="265">
                  <c:v>276</c:v>
                </c:pt>
                <c:pt idx="266">
                  <c:v>277</c:v>
                </c:pt>
                <c:pt idx="267">
                  <c:v>278</c:v>
                </c:pt>
                <c:pt idx="268">
                  <c:v>279</c:v>
                </c:pt>
                <c:pt idx="269">
                  <c:v>280</c:v>
                </c:pt>
                <c:pt idx="270">
                  <c:v>281</c:v>
                </c:pt>
                <c:pt idx="271">
                  <c:v>282</c:v>
                </c:pt>
                <c:pt idx="272">
                  <c:v>283</c:v>
                </c:pt>
                <c:pt idx="273">
                  <c:v>284</c:v>
                </c:pt>
                <c:pt idx="274">
                  <c:v>285</c:v>
                </c:pt>
                <c:pt idx="275">
                  <c:v>286</c:v>
                </c:pt>
                <c:pt idx="276">
                  <c:v>287</c:v>
                </c:pt>
                <c:pt idx="277">
                  <c:v>288</c:v>
                </c:pt>
                <c:pt idx="278">
                  <c:v>289</c:v>
                </c:pt>
                <c:pt idx="279">
                  <c:v>290</c:v>
                </c:pt>
                <c:pt idx="280">
                  <c:v>291</c:v>
                </c:pt>
                <c:pt idx="281">
                  <c:v>292</c:v>
                </c:pt>
                <c:pt idx="282">
                  <c:v>293</c:v>
                </c:pt>
                <c:pt idx="283">
                  <c:v>294</c:v>
                </c:pt>
                <c:pt idx="284">
                  <c:v>295</c:v>
                </c:pt>
                <c:pt idx="285">
                  <c:v>296</c:v>
                </c:pt>
                <c:pt idx="286">
                  <c:v>297</c:v>
                </c:pt>
                <c:pt idx="287">
                  <c:v>298</c:v>
                </c:pt>
                <c:pt idx="288">
                  <c:v>299</c:v>
                </c:pt>
                <c:pt idx="289">
                  <c:v>300</c:v>
                </c:pt>
                <c:pt idx="290">
                  <c:v>301</c:v>
                </c:pt>
                <c:pt idx="291">
                  <c:v>302</c:v>
                </c:pt>
                <c:pt idx="292">
                  <c:v>303</c:v>
                </c:pt>
                <c:pt idx="293">
                  <c:v>304</c:v>
                </c:pt>
                <c:pt idx="294">
                  <c:v>305</c:v>
                </c:pt>
                <c:pt idx="295">
                  <c:v>306</c:v>
                </c:pt>
                <c:pt idx="296">
                  <c:v>307</c:v>
                </c:pt>
                <c:pt idx="297">
                  <c:v>308</c:v>
                </c:pt>
                <c:pt idx="298">
                  <c:v>309</c:v>
                </c:pt>
                <c:pt idx="299">
                  <c:v>310</c:v>
                </c:pt>
                <c:pt idx="300">
                  <c:v>311</c:v>
                </c:pt>
                <c:pt idx="301">
                  <c:v>312</c:v>
                </c:pt>
                <c:pt idx="302">
                  <c:v>313</c:v>
                </c:pt>
                <c:pt idx="303">
                  <c:v>314</c:v>
                </c:pt>
                <c:pt idx="304">
                  <c:v>315</c:v>
                </c:pt>
                <c:pt idx="305">
                  <c:v>316</c:v>
                </c:pt>
                <c:pt idx="306">
                  <c:v>317</c:v>
                </c:pt>
                <c:pt idx="307">
                  <c:v>318</c:v>
                </c:pt>
                <c:pt idx="308">
                  <c:v>319</c:v>
                </c:pt>
                <c:pt idx="309">
                  <c:v>320</c:v>
                </c:pt>
                <c:pt idx="310">
                  <c:v>321</c:v>
                </c:pt>
                <c:pt idx="311">
                  <c:v>322</c:v>
                </c:pt>
                <c:pt idx="312">
                  <c:v>323</c:v>
                </c:pt>
                <c:pt idx="313">
                  <c:v>324</c:v>
                </c:pt>
                <c:pt idx="314">
                  <c:v>325</c:v>
                </c:pt>
                <c:pt idx="315">
                  <c:v>326</c:v>
                </c:pt>
                <c:pt idx="316">
                  <c:v>327</c:v>
                </c:pt>
                <c:pt idx="317">
                  <c:v>328</c:v>
                </c:pt>
                <c:pt idx="318">
                  <c:v>329</c:v>
                </c:pt>
                <c:pt idx="319">
                  <c:v>330</c:v>
                </c:pt>
                <c:pt idx="320">
                  <c:v>331</c:v>
                </c:pt>
                <c:pt idx="321">
                  <c:v>332</c:v>
                </c:pt>
                <c:pt idx="322">
                  <c:v>333</c:v>
                </c:pt>
                <c:pt idx="323">
                  <c:v>334</c:v>
                </c:pt>
                <c:pt idx="324">
                  <c:v>335</c:v>
                </c:pt>
                <c:pt idx="325">
                  <c:v>336</c:v>
                </c:pt>
                <c:pt idx="326">
                  <c:v>337</c:v>
                </c:pt>
                <c:pt idx="327">
                  <c:v>338</c:v>
                </c:pt>
                <c:pt idx="328">
                  <c:v>339</c:v>
                </c:pt>
                <c:pt idx="329">
                  <c:v>340</c:v>
                </c:pt>
                <c:pt idx="330">
                  <c:v>341</c:v>
                </c:pt>
                <c:pt idx="331">
                  <c:v>342</c:v>
                </c:pt>
                <c:pt idx="332">
                  <c:v>343</c:v>
                </c:pt>
                <c:pt idx="333">
                  <c:v>344</c:v>
                </c:pt>
                <c:pt idx="334">
                  <c:v>345</c:v>
                </c:pt>
                <c:pt idx="335">
                  <c:v>346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362</c:v>
                </c:pt>
                <c:pt idx="352">
                  <c:v>363</c:v>
                </c:pt>
                <c:pt idx="353">
                  <c:v>364</c:v>
                </c:pt>
                <c:pt idx="354">
                  <c:v>365</c:v>
                </c:pt>
                <c:pt idx="355">
                  <c:v>366</c:v>
                </c:pt>
                <c:pt idx="356">
                  <c:v>367</c:v>
                </c:pt>
                <c:pt idx="357">
                  <c:v>368</c:v>
                </c:pt>
                <c:pt idx="358">
                  <c:v>369</c:v>
                </c:pt>
                <c:pt idx="359">
                  <c:v>370</c:v>
                </c:pt>
                <c:pt idx="360">
                  <c:v>371</c:v>
                </c:pt>
                <c:pt idx="361">
                  <c:v>372</c:v>
                </c:pt>
                <c:pt idx="362">
                  <c:v>373</c:v>
                </c:pt>
                <c:pt idx="363">
                  <c:v>374</c:v>
                </c:pt>
                <c:pt idx="364">
                  <c:v>375</c:v>
                </c:pt>
                <c:pt idx="365">
                  <c:v>376</c:v>
                </c:pt>
                <c:pt idx="366">
                  <c:v>377</c:v>
                </c:pt>
                <c:pt idx="367">
                  <c:v>378</c:v>
                </c:pt>
                <c:pt idx="368">
                  <c:v>379</c:v>
                </c:pt>
                <c:pt idx="369">
                  <c:v>380</c:v>
                </c:pt>
              </c:numCache>
            </c:numRef>
          </c:xVal>
          <c:yVal>
            <c:numRef>
              <c:f>'Markov Model_SA1'!$G$10:$G$408</c:f>
              <c:numCache>
                <c:formatCode>0.000</c:formatCode>
                <c:ptCount val="399"/>
                <c:pt idx="0" formatCode="General">
                  <c:v>100</c:v>
                </c:pt>
                <c:pt idx="1">
                  <c:v>81.2</c:v>
                </c:pt>
                <c:pt idx="2">
                  <c:v>78.733697622135793</c:v>
                </c:pt>
                <c:pt idx="3">
                  <c:v>76.435841640263902</c:v>
                </c:pt>
                <c:pt idx="4">
                  <c:v>74.292355776136532</c:v>
                </c:pt>
                <c:pt idx="5">
                  <c:v>72.2905631963838</c:v>
                </c:pt>
                <c:pt idx="6">
                  <c:v>70.419026783068134</c:v>
                </c:pt>
                <c:pt idx="7">
                  <c:v>68.667409774657514</c:v>
                </c:pt>
                <c:pt idx="8">
                  <c:v>67.026353927071256</c:v>
                </c:pt>
                <c:pt idx="9">
                  <c:v>65.487372776469897</c:v>
                </c:pt>
                <c:pt idx="10">
                  <c:v>64.042757947242279</c:v>
                </c:pt>
                <c:pt idx="11">
                  <c:v>62.685496752340477</c:v>
                </c:pt>
                <c:pt idx="12">
                  <c:v>61.409199588657238</c:v>
                </c:pt>
                <c:pt idx="13">
                  <c:v>60.208035845664938</c:v>
                </c:pt>
                <c:pt idx="14">
                  <c:v>59.076677227718015</c:v>
                </c:pt>
                <c:pt idx="15">
                  <c:v>58.010247544762841</c:v>
                </c:pt>
                <c:pt idx="16">
                  <c:v>57.004278157236541</c:v>
                </c:pt>
                <c:pt idx="17">
                  <c:v>56.054668372425574</c:v>
                </c:pt>
                <c:pt idx="18">
                  <c:v>55.157650184607256</c:v>
                </c:pt>
                <c:pt idx="19">
                  <c:v>54.309756832502096</c:v>
                </c:pt>
                <c:pt idx="20">
                  <c:v>53.507794717076003</c:v>
                </c:pt>
                <c:pt idx="21">
                  <c:v>52.748818282348878</c:v>
                </c:pt>
                <c:pt idx="22">
                  <c:v>52.03010751309543</c:v>
                </c:pt>
                <c:pt idx="23">
                  <c:v>51.349147747427644</c:v>
                </c:pt>
                <c:pt idx="24">
                  <c:v>50.703611540285912</c:v>
                </c:pt>
                <c:pt idx="25">
                  <c:v>50.091342346731096</c:v>
                </c:pt>
                <c:pt idx="26">
                  <c:v>49.510339822375506</c:v>
                </c:pt>
                <c:pt idx="27">
                  <c:v>48.958746562952911</c:v>
                </c:pt>
                <c:pt idx="28">
                  <c:v>48.434836126446541</c:v>
                </c:pt>
                <c:pt idx="29">
                  <c:v>47.93700219982555</c:v>
                </c:pt>
                <c:pt idx="30">
                  <c:v>47.463748788674181</c:v>
                </c:pt>
                <c:pt idx="31">
                  <c:v>47.013681322164743</c:v>
                </c:pt>
                <c:pt idx="32">
                  <c:v>46.58549857820735</c:v>
                </c:pt>
                <c:pt idx="33">
                  <c:v>46.177985344448203</c:v>
                </c:pt>
                <c:pt idx="34">
                  <c:v>45.790005740289814</c:v>
                </c:pt>
                <c:pt idx="35">
                  <c:v>45.420497133448563</c:v>
                </c:pt>
                <c:pt idx="36">
                  <c:v>45.068464591898959</c:v>
                </c:pt>
                <c:pt idx="37">
                  <c:v>44.732975818511356</c:v>
                </c:pt>
                <c:pt idx="38">
                  <c:v>44.413156521382305</c:v>
                </c:pt>
                <c:pt idx="39">
                  <c:v>44.108186177883184</c:v>
                </c:pt>
                <c:pt idx="40">
                  <c:v>43.817294154894711</c:v>
                </c:pt>
                <c:pt idx="41">
                  <c:v>43.539756151628325</c:v>
                </c:pt>
                <c:pt idx="42">
                  <c:v>43.274890934919917</c:v>
                </c:pt>
                <c:pt idx="43">
                  <c:v>43.022057339974801</c:v>
                </c:pt>
                <c:pt idx="44">
                  <c:v>42.780651512290333</c:v>
                </c:pt>
                <c:pt idx="45">
                  <c:v>42.550104368926853</c:v>
                </c:pt>
                <c:pt idx="46">
                  <c:v>42.329879259474907</c:v>
                </c:pt>
                <c:pt idx="47">
                  <c:v>42.119469809007185</c:v>
                </c:pt>
                <c:pt idx="48">
                  <c:v>41.918397927036501</c:v>
                </c:pt>
                <c:pt idx="49">
                  <c:v>41.726211968049533</c:v>
                </c:pt>
                <c:pt idx="50">
                  <c:v>41.578623734719002</c:v>
                </c:pt>
                <c:pt idx="51">
                  <c:v>41.431557530242529</c:v>
                </c:pt>
                <c:pt idx="52">
                  <c:v>41.285011508171252</c:v>
                </c:pt>
                <c:pt idx="53">
                  <c:v>41.138983828587321</c:v>
                </c:pt>
                <c:pt idx="54">
                  <c:v>40.99347265808079</c:v>
                </c:pt>
                <c:pt idx="55">
                  <c:v>40.848476169726609</c:v>
                </c:pt>
                <c:pt idx="56">
                  <c:v>40.703992543061659</c:v>
                </c:pt>
                <c:pt idx="57">
                  <c:v>40.560019964061929</c:v>
                </c:pt>
                <c:pt idx="58">
                  <c:v>40.416556625119718</c:v>
                </c:pt>
                <c:pt idx="59">
                  <c:v>40.273600725020948</c:v>
                </c:pt>
                <c:pt idx="60">
                  <c:v>40.131150468922542</c:v>
                </c:pt>
                <c:pt idx="61">
                  <c:v>39.989204068329911</c:v>
                </c:pt>
                <c:pt idx="62">
                  <c:v>39.837059845561782</c:v>
                </c:pt>
                <c:pt idx="63">
                  <c:v>39.685494475638087</c:v>
                </c:pt>
                <c:pt idx="64">
                  <c:v>39.534505756236527</c:v>
                </c:pt>
                <c:pt idx="65">
                  <c:v>39.38409149341382</c:v>
                </c:pt>
                <c:pt idx="66">
                  <c:v>39.234249501573828</c:v>
                </c:pt>
                <c:pt idx="67">
                  <c:v>39.084977603435817</c:v>
                </c:pt>
                <c:pt idx="68">
                  <c:v>38.936273630002795</c:v>
                </c:pt>
                <c:pt idx="69">
                  <c:v>38.788135420530011</c:v>
                </c:pt>
                <c:pt idx="70">
                  <c:v>38.640560822493555</c:v>
                </c:pt>
                <c:pt idx="71">
                  <c:v>38.49354769155908</c:v>
                </c:pt>
                <c:pt idx="72">
                  <c:v>38.347093891550628</c:v>
                </c:pt>
                <c:pt idx="73">
                  <c:v>38.201197294419629</c:v>
                </c:pt>
                <c:pt idx="74">
                  <c:v>38.045017967341735</c:v>
                </c:pt>
                <c:pt idx="75">
                  <c:v>37.889477153816664</c:v>
                </c:pt>
                <c:pt idx="76">
                  <c:v>37.734572243386516</c:v>
                </c:pt>
                <c:pt idx="77">
                  <c:v>37.580300636265832</c:v>
                </c:pt>
                <c:pt idx="78">
                  <c:v>37.426659743297947</c:v>
                </c:pt>
                <c:pt idx="79">
                  <c:v>37.273646985911533</c:v>
                </c:pt>
                <c:pt idx="80">
                  <c:v>37.121259796077325</c:v>
                </c:pt>
                <c:pt idx="81">
                  <c:v>36.969495616265036</c:v>
                </c:pt>
                <c:pt idx="82">
                  <c:v>36.818351899400412</c:v>
                </c:pt>
                <c:pt idx="83">
                  <c:v>36.667826108822496</c:v>
                </c:pt>
                <c:pt idx="84">
                  <c:v>36.517915718241056</c:v>
                </c:pt>
                <c:pt idx="85">
                  <c:v>36.368618211694177</c:v>
                </c:pt>
                <c:pt idx="86">
                  <c:v>36.209239523574468</c:v>
                </c:pt>
                <c:pt idx="87">
                  <c:v>36.05055928283813</c:v>
                </c:pt>
                <c:pt idx="88">
                  <c:v>35.892574428669732</c:v>
                </c:pt>
                <c:pt idx="89">
                  <c:v>35.735281913667308</c:v>
                </c:pt>
                <c:pt idx="90">
                  <c:v>35.578678703783552</c:v>
                </c:pt>
                <c:pt idx="91">
                  <c:v>35.422761778267301</c:v>
                </c:pt>
                <c:pt idx="92">
                  <c:v>35.267528129605282</c:v>
                </c:pt>
                <c:pt idx="93">
                  <c:v>35.112974763464081</c:v>
                </c:pt>
                <c:pt idx="94">
                  <c:v>34.959098698632403</c:v>
                </c:pt>
                <c:pt idx="95">
                  <c:v>34.80589696696353</c:v>
                </c:pt>
                <c:pt idx="96">
                  <c:v>34.653366613318127</c:v>
                </c:pt>
                <c:pt idx="97">
                  <c:v>34.50150469550718</c:v>
                </c:pt>
                <c:pt idx="98">
                  <c:v>34.339941177187427</c:v>
                </c:pt>
                <c:pt idx="99">
                  <c:v>34.179134227912471</c:v>
                </c:pt>
                <c:pt idx="100">
                  <c:v>34.019080304823603</c:v>
                </c:pt>
                <c:pt idx="101">
                  <c:v>33.859775881652595</c:v>
                </c:pt>
                <c:pt idx="102">
                  <c:v>33.701217448644002</c:v>
                </c:pt>
                <c:pt idx="103">
                  <c:v>33.543401512477857</c:v>
                </c:pt>
                <c:pt idx="104">
                  <c:v>33.386324596192694</c:v>
                </c:pt>
                <c:pt idx="105">
                  <c:v>33.229983239108961</c:v>
                </c:pt>
                <c:pt idx="106">
                  <c:v>33.074373996752755</c:v>
                </c:pt>
                <c:pt idx="107">
                  <c:v>32.919493440779945</c:v>
                </c:pt>
                <c:pt idx="108">
                  <c:v>32.765338158900619</c:v>
                </c:pt>
                <c:pt idx="109">
                  <c:v>32.611904754803959</c:v>
                </c:pt>
                <c:pt idx="110">
                  <c:v>32.449013109782285</c:v>
                </c:pt>
                <c:pt idx="111">
                  <c:v>32.27615927329704</c:v>
                </c:pt>
                <c:pt idx="112">
                  <c:v>32.104226218244705</c:v>
                </c:pt>
                <c:pt idx="113">
                  <c:v>31.933209039680932</c:v>
                </c:pt>
                <c:pt idx="114">
                  <c:v>31.763102858789722</c:v>
                </c:pt>
                <c:pt idx="115">
                  <c:v>31.593902822744184</c:v>
                </c:pt>
                <c:pt idx="116">
                  <c:v>31.425604104568166</c:v>
                </c:pt>
                <c:pt idx="117">
                  <c:v>31.258201902998493</c:v>
                </c:pt>
                <c:pt idx="118">
                  <c:v>31.091691442348008</c:v>
                </c:pt>
                <c:pt idx="119">
                  <c:v>30.926067972369353</c:v>
                </c:pt>
                <c:pt idx="120">
                  <c:v>30.761326768119417</c:v>
                </c:pt>
                <c:pt idx="121">
                  <c:v>30.59746312982459</c:v>
                </c:pt>
                <c:pt idx="122">
                  <c:v>30.434472382746634</c:v>
                </c:pt>
                <c:pt idx="123">
                  <c:v>30.260656257077045</c:v>
                </c:pt>
                <c:pt idx="124">
                  <c:v>30.087832823022509</c:v>
                </c:pt>
                <c:pt idx="125">
                  <c:v>29.91599641116288</c:v>
                </c:pt>
                <c:pt idx="126">
                  <c:v>29.745141384457</c:v>
                </c:pt>
                <c:pt idx="127">
                  <c:v>29.575262138057724</c:v>
                </c:pt>
                <c:pt idx="128">
                  <c:v>29.406353099128111</c:v>
                </c:pt>
                <c:pt idx="129">
                  <c:v>29.238408726658562</c:v>
                </c:pt>
                <c:pt idx="130">
                  <c:v>29.071423511285062</c:v>
                </c:pt>
                <c:pt idx="131">
                  <c:v>28.905391975108472</c:v>
                </c:pt>
                <c:pt idx="132">
                  <c:v>28.740308671514796</c:v>
                </c:pt>
                <c:pt idx="133">
                  <c:v>28.576168184996533</c:v>
                </c:pt>
                <c:pt idx="134">
                  <c:v>28.412965130974982</c:v>
                </c:pt>
                <c:pt idx="135">
                  <c:v>28.238712072695023</c:v>
                </c:pt>
                <c:pt idx="136">
                  <c:v>28.065527685994397</c:v>
                </c:pt>
                <c:pt idx="137">
                  <c:v>27.893405416847841</c:v>
                </c:pt>
                <c:pt idx="138">
                  <c:v>27.722338751425099</c:v>
                </c:pt>
                <c:pt idx="139">
                  <c:v>27.552321215844401</c:v>
                </c:pt>
                <c:pt idx="140">
                  <c:v>27.383346375927445</c:v>
                </c:pt>
                <c:pt idx="141">
                  <c:v>27.215407836955933</c:v>
                </c:pt>
                <c:pt idx="142">
                  <c:v>27.048499243429532</c:v>
                </c:pt>
                <c:pt idx="143">
                  <c:v>26.882614278825386</c:v>
                </c:pt>
                <c:pt idx="144">
                  <c:v>26.717746665359059</c:v>
                </c:pt>
                <c:pt idx="145">
                  <c:v>26.553890163746971</c:v>
                </c:pt>
                <c:pt idx="146">
                  <c:v>26.391038572970245</c:v>
                </c:pt>
                <c:pt idx="147">
                  <c:v>26.216361280523913</c:v>
                </c:pt>
                <c:pt idx="148">
                  <c:v>26.042840144036049</c:v>
                </c:pt>
                <c:pt idx="149">
                  <c:v>25.870467511129064</c:v>
                </c:pt>
                <c:pt idx="150">
                  <c:v>25.699235780074986</c:v>
                </c:pt>
                <c:pt idx="151">
                  <c:v>25.52913739946024</c:v>
                </c:pt>
                <c:pt idx="152">
                  <c:v>25.36016486785266</c:v>
                </c:pt>
                <c:pt idx="153">
                  <c:v>25.19231073347062</c:v>
                </c:pt>
                <c:pt idx="154">
                  <c:v>25.025567593854419</c:v>
                </c:pt>
                <c:pt idx="155">
                  <c:v>24.859928095539857</c:v>
                </c:pt>
                <c:pt idx="156">
                  <c:v>24.695384933733905</c:v>
                </c:pt>
                <c:pt idx="157">
                  <c:v>24.531930851992584</c:v>
                </c:pt>
                <c:pt idx="158">
                  <c:v>24.369558641900952</c:v>
                </c:pt>
                <c:pt idx="159">
                  <c:v>24.194549631939225</c:v>
                </c:pt>
                <c:pt idx="160">
                  <c:v>24.020797442177567</c:v>
                </c:pt>
                <c:pt idx="161">
                  <c:v>23.848293046812003</c:v>
                </c:pt>
                <c:pt idx="162">
                  <c:v>23.677027484857035</c:v>
                </c:pt>
                <c:pt idx="163">
                  <c:v>23.506991859680113</c:v>
                </c:pt>
                <c:pt idx="164">
                  <c:v>23.338177338539481</c:v>
                </c:pt>
                <c:pt idx="165">
                  <c:v>23.170575152125394</c:v>
                </c:pt>
                <c:pt idx="166">
                  <c:v>23.004176594104536</c:v>
                </c:pt>
                <c:pt idx="167">
                  <c:v>22.838973020667765</c:v>
                </c:pt>
                <c:pt idx="168">
                  <c:v>22.674955850081133</c:v>
                </c:pt>
                <c:pt idx="169">
                  <c:v>22.512116562240053</c:v>
                </c:pt>
                <c:pt idx="170">
                  <c:v>22.350446698226733</c:v>
                </c:pt>
                <c:pt idx="171">
                  <c:v>22.177365738297624</c:v>
                </c:pt>
                <c:pt idx="172">
                  <c:v>22.005625110358039</c:v>
                </c:pt>
                <c:pt idx="173">
                  <c:v>21.83521443493099</c:v>
                </c:pt>
                <c:pt idx="174">
                  <c:v>21.666123412917742</c:v>
                </c:pt>
                <c:pt idx="175">
                  <c:v>21.498341824975341</c:v>
                </c:pt>
                <c:pt idx="176">
                  <c:v>21.331859530899038</c:v>
                </c:pt>
                <c:pt idx="177">
                  <c:v>21.166666469009414</c:v>
                </c:pt>
                <c:pt idx="178">
                  <c:v>21.002752655544285</c:v>
                </c:pt>
                <c:pt idx="179">
                  <c:v>20.840108184055325</c:v>
                </c:pt>
                <c:pt idx="180">
                  <c:v>20.678723224809346</c:v>
                </c:pt>
                <c:pt idx="181">
                  <c:v>20.518588024194202</c:v>
                </c:pt>
                <c:pt idx="182">
                  <c:v>20.359692904129361</c:v>
                </c:pt>
                <c:pt idx="183">
                  <c:v>20.185713527576922</c:v>
                </c:pt>
                <c:pt idx="184">
                  <c:v>20.013220854365642</c:v>
                </c:pt>
                <c:pt idx="185">
                  <c:v>19.84220218019189</c:v>
                </c:pt>
                <c:pt idx="186">
                  <c:v>19.672644909313945</c:v>
                </c:pt>
                <c:pt idx="187">
                  <c:v>19.504536553624263</c:v>
                </c:pt>
                <c:pt idx="188">
                  <c:v>19.337864731729752</c:v>
                </c:pt>
                <c:pt idx="189">
                  <c:v>19.172617168039864</c:v>
                </c:pt>
                <c:pt idx="190">
                  <c:v>19.008781691862438</c:v>
                </c:pt>
                <c:pt idx="191">
                  <c:v>18.846346236507358</c:v>
                </c:pt>
                <c:pt idx="192">
                  <c:v>18.685298838397827</c:v>
                </c:pt>
                <c:pt idx="193">
                  <c:v>18.525627636189213</c:v>
                </c:pt>
                <c:pt idx="194">
                  <c:v>18.367320869895451</c:v>
                </c:pt>
                <c:pt idx="195">
                  <c:v>18.19643507789948</c:v>
                </c:pt>
                <c:pt idx="196">
                  <c:v>18.027139172317163</c:v>
                </c:pt>
                <c:pt idx="197">
                  <c:v>17.859418361170881</c:v>
                </c:pt>
                <c:pt idx="198">
                  <c:v>17.693257990104556</c:v>
                </c:pt>
                <c:pt idx="199">
                  <c:v>17.52864354110325</c:v>
                </c:pt>
                <c:pt idx="200">
                  <c:v>17.365560631224653</c:v>
                </c:pt>
                <c:pt idx="201">
                  <c:v>17.2039950113424</c:v>
                </c:pt>
                <c:pt idx="202">
                  <c:v>17.043932564901098</c:v>
                </c:pt>
                <c:pt idx="203">
                  <c:v>16.885359306682872</c:v>
                </c:pt>
                <c:pt idx="204">
                  <c:v>16.728261381585455</c:v>
                </c:pt>
                <c:pt idx="205">
                  <c:v>16.572625063411635</c:v>
                </c:pt>
                <c:pt idx="206">
                  <c:v>16.418436753669894</c:v>
                </c:pt>
                <c:pt idx="207">
                  <c:v>16.251061006090438</c:v>
                </c:pt>
                <c:pt idx="208">
                  <c:v>16.085391550120718</c:v>
                </c:pt>
                <c:pt idx="209">
                  <c:v>15.921410991179386</c:v>
                </c:pt>
                <c:pt idx="210">
                  <c:v>15.75910211201203</c:v>
                </c:pt>
                <c:pt idx="211">
                  <c:v>15.598447870883419</c:v>
                </c:pt>
                <c:pt idx="212">
                  <c:v>15.439431399788219</c:v>
                </c:pt>
                <c:pt idx="213">
                  <c:v>15.282036002679931</c:v>
                </c:pt>
                <c:pt idx="214">
                  <c:v>15.126245153717846</c:v>
                </c:pt>
                <c:pt idx="215">
                  <c:v>14.972042495531909</c:v>
                </c:pt>
                <c:pt idx="216">
                  <c:v>14.819411837505299</c:v>
                </c:pt>
                <c:pt idx="217">
                  <c:v>14.66833715407445</c:v>
                </c:pt>
                <c:pt idx="218">
                  <c:v>14.518802583046437</c:v>
                </c:pt>
                <c:pt idx="219">
                  <c:v>14.357489640086115</c:v>
                </c:pt>
                <c:pt idx="220">
                  <c:v>14.197968984431697</c:v>
                </c:pt>
                <c:pt idx="221">
                  <c:v>14.040220702654494</c:v>
                </c:pt>
                <c:pt idx="222">
                  <c:v>13.884225102576409</c:v>
                </c:pt>
                <c:pt idx="223">
                  <c:v>13.729962710811719</c:v>
                </c:pt>
                <c:pt idx="224">
                  <c:v>13.577414270336149</c:v>
                </c:pt>
                <c:pt idx="225">
                  <c:v>13.426560738082955</c:v>
                </c:pt>
                <c:pt idx="226">
                  <c:v>13.277383282565737</c:v>
                </c:pt>
                <c:pt idx="227">
                  <c:v>13.129863281527648</c:v>
                </c:pt>
                <c:pt idx="228">
                  <c:v>12.983982319616715</c:v>
                </c:pt>
                <c:pt idx="229">
                  <c:v>12.839722186086988</c:v>
                </c:pt>
                <c:pt idx="230">
                  <c:v>12.697064872525246</c:v>
                </c:pt>
                <c:pt idx="231">
                  <c:v>12.541335880613829</c:v>
                </c:pt>
                <c:pt idx="232">
                  <c:v>12.387516898548412</c:v>
                </c:pt>
                <c:pt idx="233">
                  <c:v>12.235584500134763</c:v>
                </c:pt>
                <c:pt idx="234">
                  <c:v>12.085515546499977</c:v>
                </c:pt>
                <c:pt idx="235">
                  <c:v>11.937287182568511</c:v>
                </c:pt>
                <c:pt idx="236">
                  <c:v>11.790876833581393</c:v>
                </c:pt>
                <c:pt idx="237">
                  <c:v>11.646262201658189</c:v>
                </c:pt>
                <c:pt idx="238">
                  <c:v>11.503421262401062</c:v>
                </c:pt>
                <c:pt idx="239">
                  <c:v>11.36233226154053</c:v>
                </c:pt>
                <c:pt idx="240">
                  <c:v>11.222973711622345</c:v>
                </c:pt>
                <c:pt idx="241">
                  <c:v>11.085324388735046</c:v>
                </c:pt>
                <c:pt idx="242">
                  <c:v>10.949363329277574</c:v>
                </c:pt>
                <c:pt idx="243">
                  <c:v>10.801181085538488</c:v>
                </c:pt>
                <c:pt idx="244">
                  <c:v>10.655004253136951</c:v>
                </c:pt>
                <c:pt idx="245">
                  <c:v>10.510805692015367</c:v>
                </c:pt>
                <c:pt idx="246">
                  <c:v>10.368558629413684</c:v>
                </c:pt>
                <c:pt idx="247">
                  <c:v>10.228236654898652</c:v>
                </c:pt>
                <c:pt idx="248">
                  <c:v>10.089813715460281</c:v>
                </c:pt>
                <c:pt idx="249">
                  <c:v>9.9532641106747235</c:v>
                </c:pt>
                <c:pt idx="250">
                  <c:v>9.8185624879325388</c:v>
                </c:pt>
                <c:pt idx="251">
                  <c:v>9.6856838377315739</c:v>
                </c:pt>
                <c:pt idx="252">
                  <c:v>9.5546034890336102</c:v>
                </c:pt>
                <c:pt idx="253">
                  <c:v>9.4252971046837075</c:v>
                </c:pt>
                <c:pt idx="254">
                  <c:v>9.2977406768916921</c:v>
                </c:pt>
                <c:pt idx="255">
                  <c:v>9.1581500336090187</c:v>
                </c:pt>
                <c:pt idx="256">
                  <c:v>9.0206551196405087</c:v>
                </c:pt>
                <c:pt idx="257">
                  <c:v>8.8852244709764392</c:v>
                </c:pt>
                <c:pt idx="258">
                  <c:v>8.7518270959886451</c:v>
                </c:pt>
                <c:pt idx="259">
                  <c:v>8.6204324683384925</c:v>
                </c:pt>
                <c:pt idx="260">
                  <c:v>8.4910105199913062</c:v>
                </c:pt>
                <c:pt idx="261">
                  <c:v>8.3635316343356294</c:v>
                </c:pt>
                <c:pt idx="262">
                  <c:v>8.237966639405883</c:v>
                </c:pt>
                <c:pt idx="263">
                  <c:v>8.1142868012067026</c:v>
                </c:pt>
                <c:pt idx="264">
                  <c:v>7.9924638171374909</c:v>
                </c:pt>
                <c:pt idx="265">
                  <c:v>7.8724698095157635</c:v>
                </c:pt>
                <c:pt idx="266">
                  <c:v>7.7542773191976551</c:v>
                </c:pt>
                <c:pt idx="267">
                  <c:v>7.6250988716987536</c:v>
                </c:pt>
                <c:pt idx="268">
                  <c:v>7.4980724069844911</c:v>
                </c:pt>
                <c:pt idx="269">
                  <c:v>7.3731620751898532</c:v>
                </c:pt>
                <c:pt idx="270">
                  <c:v>7.2503326236724632</c:v>
                </c:pt>
                <c:pt idx="271">
                  <c:v>7.1295493870634488</c:v>
                </c:pt>
                <c:pt idx="272">
                  <c:v>7.0107782774840359</c:v>
                </c:pt>
                <c:pt idx="273">
                  <c:v>6.8939857749251985</c:v>
                </c:pt>
                <c:pt idx="274">
                  <c:v>6.7791389177874635</c:v>
                </c:pt>
                <c:pt idx="275">
                  <c:v>6.6662052935784004</c:v>
                </c:pt>
                <c:pt idx="276">
                  <c:v>6.5551530297650515</c:v>
                </c:pt>
                <c:pt idx="277">
                  <c:v>6.4459507847787449</c:v>
                </c:pt>
                <c:pt idx="278">
                  <c:v>6.3385677391697755</c:v>
                </c:pt>
                <c:pt idx="279">
                  <c:v>6.2216192381260953</c:v>
                </c:pt>
                <c:pt idx="280">
                  <c:v>6.1068284724666739</c:v>
                </c:pt>
                <c:pt idx="281">
                  <c:v>5.9941556313179518</c:v>
                </c:pt>
                <c:pt idx="282">
                  <c:v>5.8835616383290841</c:v>
                </c:pt>
                <c:pt idx="283">
                  <c:v>5.7750081381197731</c:v>
                </c:pt>
                <c:pt idx="284">
                  <c:v>5.6684574829781411</c:v>
                </c:pt>
                <c:pt idx="285">
                  <c:v>5.5638727198040243</c:v>
                </c:pt>
                <c:pt idx="286">
                  <c:v>5.4612175772932119</c:v>
                </c:pt>
                <c:pt idx="287">
                  <c:v>5.3604564533580543</c:v>
                </c:pt>
                <c:pt idx="288">
                  <c:v>5.2615544027802486</c:v>
                </c:pt>
                <c:pt idx="289">
                  <c:v>5.1644771250913948</c:v>
                </c:pt>
                <c:pt idx="290">
                  <c:v>5.069190952677161</c:v>
                </c:pt>
                <c:pt idx="291">
                  <c:v>4.9651456114040826</c:v>
                </c:pt>
                <c:pt idx="292">
                  <c:v>4.8632358048034376</c:v>
                </c:pt>
                <c:pt idx="293">
                  <c:v>4.7634177009430942</c:v>
                </c:pt>
                <c:pt idx="294">
                  <c:v>4.665648367543028</c:v>
                </c:pt>
                <c:pt idx="295">
                  <c:v>4.5698857535099506</c:v>
                </c:pt>
                <c:pt idx="296">
                  <c:v>4.4760886708508707</c:v>
                </c:pt>
                <c:pt idx="297">
                  <c:v>4.3842167769579561</c:v>
                </c:pt>
                <c:pt idx="298">
                  <c:v>4.2942305572569808</c:v>
                </c:pt>
                <c:pt idx="299">
                  <c:v>4.2060913082118958</c:v>
                </c:pt>
                <c:pt idx="300">
                  <c:v>4.1197611206782199</c:v>
                </c:pt>
                <c:pt idx="301">
                  <c:v>4.0352028635981299</c:v>
                </c:pt>
                <c:pt idx="302">
                  <c:v>3.9523801680302171</c:v>
                </c:pt>
                <c:pt idx="303">
                  <c:v>3.862529572206256</c:v>
                </c:pt>
                <c:pt idx="304">
                  <c:v>3.7747215758354571</c:v>
                </c:pt>
                <c:pt idx="305">
                  <c:v>3.6889097439166108</c:v>
                </c:pt>
                <c:pt idx="306">
                  <c:v>3.605048697068753</c:v>
                </c:pt>
                <c:pt idx="307">
                  <c:v>3.5230940875334369</c:v>
                </c:pt>
                <c:pt idx="308">
                  <c:v>3.4430025757225877</c:v>
                </c:pt>
                <c:pt idx="309">
                  <c:v>3.3647318072994494</c:v>
                </c:pt>
                <c:pt idx="310">
                  <c:v>3.2882403907805866</c:v>
                </c:pt>
                <c:pt idx="311">
                  <c:v>3.2134878756470755</c:v>
                </c:pt>
                <c:pt idx="312">
                  <c:v>3.1404347309532881</c:v>
                </c:pt>
                <c:pt idx="313">
                  <c:v>3.0690423244219431</c:v>
                </c:pt>
                <c:pt idx="314">
                  <c:v>2.9992729020144537</c:v>
                </c:pt>
                <c:pt idx="315">
                  <c:v>2.9231512314951118</c:v>
                </c:pt>
                <c:pt idx="316">
                  <c:v>2.8489615321274329</c:v>
                </c:pt>
                <c:pt idx="317">
                  <c:v>2.7766547704035389</c:v>
                </c:pt>
                <c:pt idx="318">
                  <c:v>2.7061831572880237</c:v>
                </c:pt>
                <c:pt idx="319">
                  <c:v>2.6375001166331629</c:v>
                </c:pt>
                <c:pt idx="320">
                  <c:v>2.570560254395815</c:v>
                </c:pt>
                <c:pt idx="321">
                  <c:v>2.5053193286355082</c:v>
                </c:pt>
                <c:pt idx="322">
                  <c:v>2.4417342202740713</c:v>
                </c:pt>
                <c:pt idx="323">
                  <c:v>2.3797629045973139</c:v>
                </c:pt>
                <c:pt idx="324">
                  <c:v>2.3193644234800246</c:v>
                </c:pt>
                <c:pt idx="325">
                  <c:v>2.2604988583159411</c:v>
                </c:pt>
                <c:pt idx="326">
                  <c:v>2.2031273036346448</c:v>
                </c:pt>
                <c:pt idx="327">
                  <c:v>2.1400760463271382</c:v>
                </c:pt>
                <c:pt idx="328">
                  <c:v>2.078829251722027</c:v>
                </c:pt>
                <c:pt idx="329">
                  <c:v>2.0193352779364631</c:v>
                </c:pt>
                <c:pt idx="330">
                  <c:v>1.9615439610256118</c:v>
                </c:pt>
                <c:pt idx="331">
                  <c:v>1.9054065726855924</c:v>
                </c:pt>
                <c:pt idx="332">
                  <c:v>1.8508757791669268</c:v>
                </c:pt>
                <c:pt idx="333">
                  <c:v>1.7979056013637802</c:v>
                </c:pt>
                <c:pt idx="334">
                  <c:v>1.7464513760454423</c:v>
                </c:pt>
                <c:pt idx="335">
                  <c:v>1.6964697181973349</c:v>
                </c:pt>
                <c:pt idx="336">
                  <c:v>1.6479184844397565</c:v>
                </c:pt>
                <c:pt idx="337">
                  <c:v>1.6007567374935832</c:v>
                </c:pt>
                <c:pt idx="338">
                  <c:v>1.5549447116628841</c:v>
                </c:pt>
                <c:pt idx="339">
                  <c:v>1.5052619103982181</c:v>
                </c:pt>
                <c:pt idx="340">
                  <c:v>1.4571665486888037</c:v>
                </c:pt>
                <c:pt idx="341">
                  <c:v>1.410607905474663</c:v>
                </c:pt>
                <c:pt idx="342">
                  <c:v>1.3655368803093353</c:v>
                </c:pt>
                <c:pt idx="343">
                  <c:v>1.3219059415787768</c:v>
                </c:pt>
                <c:pt idx="344">
                  <c:v>1.2796690763748728</c:v>
                </c:pt>
                <c:pt idx="345">
                  <c:v>1.2387817419704987</c:v>
                </c:pt>
                <c:pt idx="346">
                  <c:v>1.1992008188450711</c:v>
                </c:pt>
                <c:pt idx="347">
                  <c:v>1.1608845652109636</c:v>
                </c:pt>
                <c:pt idx="348">
                  <c:v>1.1237925729928548</c:v>
                </c:pt>
                <c:pt idx="349">
                  <c:v>1.0878857252136811</c:v>
                </c:pt>
                <c:pt idx="350">
                  <c:v>1.0531261547421025</c:v>
                </c:pt>
                <c:pt idx="351">
                  <c:v>1.0157384851847837</c:v>
                </c:pt>
                <c:pt idx="352">
                  <c:v>0.97967813793223968</c:v>
                </c:pt>
                <c:pt idx="353">
                  <c:v>0.94489799091128646</c:v>
                </c:pt>
                <c:pt idx="354">
                  <c:v>0.9113525949580179</c:v>
                </c:pt>
                <c:pt idx="355">
                  <c:v>0.87899811442682108</c:v>
                </c:pt>
                <c:pt idx="356">
                  <c:v>0.8477922699078988</c:v>
                </c:pt>
                <c:pt idx="357">
                  <c:v>0.81769428297837976</c:v>
                </c:pt>
                <c:pt idx="358">
                  <c:v>0.78866482291488182</c:v>
                </c:pt>
                <c:pt idx="359">
                  <c:v>0.76066595529788117</c:v>
                </c:pt>
                <c:pt idx="360">
                  <c:v>0.73366109244064148</c:v>
                </c:pt>
                <c:pt idx="361">
                  <c:v>0.70761494557807225</c:v>
                </c:pt>
                <c:pt idx="362">
                  <c:v>0.6824934787528889</c:v>
                </c:pt>
                <c:pt idx="363">
                  <c:v>0.65550659433183966</c:v>
                </c:pt>
                <c:pt idx="364">
                  <c:v>0.62958681451094378</c:v>
                </c:pt>
                <c:pt idx="365">
                  <c:v>0.60469194426650574</c:v>
                </c:pt>
                <c:pt idx="366">
                  <c:v>0.58078145703359496</c:v>
                </c:pt>
                <c:pt idx="367">
                  <c:v>0.55781642873252224</c:v>
                </c:pt>
                <c:pt idx="368">
                  <c:v>0.53575947440398863</c:v>
                </c:pt>
                <c:pt idx="369">
                  <c:v>0.51457468734983536</c:v>
                </c:pt>
                <c:pt idx="370">
                  <c:v>0.494227580680203</c:v>
                </c:pt>
                <c:pt idx="371">
                  <c:v>0.47468503117205785</c:v>
                </c:pt>
                <c:pt idx="372">
                  <c:v>0.45591522534760998</c:v>
                </c:pt>
                <c:pt idx="373">
                  <c:v>0.43788760768488544</c:v>
                </c:pt>
                <c:pt idx="374">
                  <c:v>0.42057283087618202</c:v>
                </c:pt>
                <c:pt idx="375">
                  <c:v>0.40181599220736075</c:v>
                </c:pt>
                <c:pt idx="376">
                  <c:v>0.38389567689672788</c:v>
                </c:pt>
                <c:pt idx="377">
                  <c:v>0.36677457741389219</c:v>
                </c:pt>
                <c:pt idx="378">
                  <c:v>0.35041705008136148</c:v>
                </c:pt>
                <c:pt idx="379">
                  <c:v>0.33478904086952355</c:v>
                </c:pt>
                <c:pt idx="380">
                  <c:v>0.31985801450103679</c:v>
                </c:pt>
                <c:pt idx="381">
                  <c:v>0.30559288671703655</c:v>
                </c:pt>
                <c:pt idx="382">
                  <c:v>0.29196395956415699</c:v>
                </c:pt>
                <c:pt idx="383">
                  <c:v>0.27894285956763554</c:v>
                </c:pt>
                <c:pt idx="384">
                  <c:v>0.26650247866183463</c:v>
                </c:pt>
                <c:pt idx="385">
                  <c:v>0.25461691775508655</c:v>
                </c:pt>
                <c:pt idx="386">
                  <c:v>0.24326143281152213</c:v>
                </c:pt>
                <c:pt idx="387">
                  <c:v>0.23104628789847936</c:v>
                </c:pt>
                <c:pt idx="388">
                  <c:v>0.21944451504167262</c:v>
                </c:pt>
                <c:pt idx="389">
                  <c:v>0.20842531433802947</c:v>
                </c:pt>
                <c:pt idx="390">
                  <c:v>0.19795943247274295</c:v>
                </c:pt>
                <c:pt idx="391">
                  <c:v>0.18801908505881215</c:v>
                </c:pt>
                <c:pt idx="392">
                  <c:v>0.17857788287618348</c:v>
                </c:pt>
                <c:pt idx="393">
                  <c:v>0.16961076181475221</c:v>
                </c:pt>
                <c:pt idx="394">
                  <c:v>0.16109391633524694</c:v>
                </c:pt>
                <c:pt idx="395">
                  <c:v>0.15300473627122813</c:v>
                </c:pt>
                <c:pt idx="396">
                  <c:v>0.14532174680456933</c:v>
                </c:pt>
                <c:pt idx="397">
                  <c:v>0.13802455145503245</c:v>
                </c:pt>
                <c:pt idx="398">
                  <c:v>0.13109377793250587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3-4371-B668-690D61C74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11840"/>
        <c:axId val="810202984"/>
      </c:scatterChart>
      <c:valAx>
        <c:axId val="810211840"/>
        <c:scaling>
          <c:orientation val="minMax"/>
          <c:max val="40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Months</a:t>
                </a:r>
                <a:r>
                  <a:rPr lang="en-US" sz="1400" b="1" baseline="0">
                    <a:solidFill>
                      <a:sysClr val="windowText" lastClr="000000"/>
                    </a:solidFill>
                  </a:rPr>
                  <a:t> Post-Transplant</a:t>
                </a:r>
                <a:endParaRPr lang="en-US" sz="1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02984"/>
        <c:crosses val="autoZero"/>
        <c:crossBetween val="midCat"/>
        <c:majorUnit val="12"/>
      </c:valAx>
      <c:valAx>
        <c:axId val="8102029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% Survival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11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Estimated</a:t>
            </a:r>
            <a:r>
              <a:rPr lang="en-US" sz="1600" b="1" baseline="0">
                <a:solidFill>
                  <a:sysClr val="windowText" lastClr="000000"/>
                </a:solidFill>
              </a:rPr>
              <a:t> Survival Curves: Letermovir vs PET-Alone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'Markov Model_SA2'!$P$7</c:f>
              <c:strCache>
                <c:ptCount val="1"/>
                <c:pt idx="0">
                  <c:v>PET Only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'Markov Model_SA2'!$AC$23:$AC$400</c:f>
              <c:numCache>
                <c:formatCode>General</c:formatCode>
                <c:ptCount val="378"/>
                <c:pt idx="0">
                  <c:v>0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54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58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64</c:v>
                </c:pt>
                <c:pt idx="54">
                  <c:v>65</c:v>
                </c:pt>
                <c:pt idx="55">
                  <c:v>66</c:v>
                </c:pt>
                <c:pt idx="56">
                  <c:v>67</c:v>
                </c:pt>
                <c:pt idx="57">
                  <c:v>68</c:v>
                </c:pt>
                <c:pt idx="58">
                  <c:v>69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78</c:v>
                </c:pt>
                <c:pt idx="68">
                  <c:v>79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83</c:v>
                </c:pt>
                <c:pt idx="73">
                  <c:v>84</c:v>
                </c:pt>
                <c:pt idx="74">
                  <c:v>85</c:v>
                </c:pt>
                <c:pt idx="75">
                  <c:v>86</c:v>
                </c:pt>
                <c:pt idx="76">
                  <c:v>87</c:v>
                </c:pt>
                <c:pt idx="77">
                  <c:v>88</c:v>
                </c:pt>
                <c:pt idx="78">
                  <c:v>89</c:v>
                </c:pt>
                <c:pt idx="79">
                  <c:v>90</c:v>
                </c:pt>
                <c:pt idx="80">
                  <c:v>91</c:v>
                </c:pt>
                <c:pt idx="81">
                  <c:v>92</c:v>
                </c:pt>
                <c:pt idx="82">
                  <c:v>93</c:v>
                </c:pt>
                <c:pt idx="83">
                  <c:v>94</c:v>
                </c:pt>
                <c:pt idx="84">
                  <c:v>95</c:v>
                </c:pt>
                <c:pt idx="85">
                  <c:v>96</c:v>
                </c:pt>
                <c:pt idx="86">
                  <c:v>97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  <c:pt idx="90">
                  <c:v>101</c:v>
                </c:pt>
                <c:pt idx="91">
                  <c:v>102</c:v>
                </c:pt>
                <c:pt idx="92">
                  <c:v>103</c:v>
                </c:pt>
                <c:pt idx="93">
                  <c:v>104</c:v>
                </c:pt>
                <c:pt idx="94">
                  <c:v>105</c:v>
                </c:pt>
                <c:pt idx="95">
                  <c:v>106</c:v>
                </c:pt>
                <c:pt idx="96">
                  <c:v>107</c:v>
                </c:pt>
                <c:pt idx="97">
                  <c:v>108</c:v>
                </c:pt>
                <c:pt idx="98">
                  <c:v>109</c:v>
                </c:pt>
                <c:pt idx="99">
                  <c:v>110</c:v>
                </c:pt>
                <c:pt idx="100">
                  <c:v>111</c:v>
                </c:pt>
                <c:pt idx="101">
                  <c:v>112</c:v>
                </c:pt>
                <c:pt idx="102">
                  <c:v>113</c:v>
                </c:pt>
                <c:pt idx="103">
                  <c:v>114</c:v>
                </c:pt>
                <c:pt idx="104">
                  <c:v>115</c:v>
                </c:pt>
                <c:pt idx="105">
                  <c:v>116</c:v>
                </c:pt>
                <c:pt idx="106">
                  <c:v>117</c:v>
                </c:pt>
                <c:pt idx="107">
                  <c:v>118</c:v>
                </c:pt>
                <c:pt idx="108">
                  <c:v>119</c:v>
                </c:pt>
                <c:pt idx="109">
                  <c:v>120</c:v>
                </c:pt>
                <c:pt idx="110">
                  <c:v>121</c:v>
                </c:pt>
                <c:pt idx="111">
                  <c:v>122</c:v>
                </c:pt>
                <c:pt idx="112">
                  <c:v>123</c:v>
                </c:pt>
                <c:pt idx="113">
                  <c:v>124</c:v>
                </c:pt>
                <c:pt idx="114">
                  <c:v>125</c:v>
                </c:pt>
                <c:pt idx="115">
                  <c:v>126</c:v>
                </c:pt>
                <c:pt idx="116">
                  <c:v>127</c:v>
                </c:pt>
                <c:pt idx="117">
                  <c:v>128</c:v>
                </c:pt>
                <c:pt idx="118">
                  <c:v>129</c:v>
                </c:pt>
                <c:pt idx="119">
                  <c:v>130</c:v>
                </c:pt>
                <c:pt idx="120">
                  <c:v>131</c:v>
                </c:pt>
                <c:pt idx="121">
                  <c:v>132</c:v>
                </c:pt>
                <c:pt idx="122">
                  <c:v>133</c:v>
                </c:pt>
                <c:pt idx="123">
                  <c:v>134</c:v>
                </c:pt>
                <c:pt idx="124">
                  <c:v>135</c:v>
                </c:pt>
                <c:pt idx="125">
                  <c:v>136</c:v>
                </c:pt>
                <c:pt idx="126">
                  <c:v>137</c:v>
                </c:pt>
                <c:pt idx="127">
                  <c:v>138</c:v>
                </c:pt>
                <c:pt idx="128">
                  <c:v>139</c:v>
                </c:pt>
                <c:pt idx="129">
                  <c:v>140</c:v>
                </c:pt>
                <c:pt idx="130">
                  <c:v>141</c:v>
                </c:pt>
                <c:pt idx="131">
                  <c:v>142</c:v>
                </c:pt>
                <c:pt idx="132">
                  <c:v>143</c:v>
                </c:pt>
                <c:pt idx="133">
                  <c:v>144</c:v>
                </c:pt>
                <c:pt idx="134">
                  <c:v>145</c:v>
                </c:pt>
                <c:pt idx="135">
                  <c:v>146</c:v>
                </c:pt>
                <c:pt idx="136">
                  <c:v>147</c:v>
                </c:pt>
                <c:pt idx="137">
                  <c:v>148</c:v>
                </c:pt>
                <c:pt idx="138">
                  <c:v>149</c:v>
                </c:pt>
                <c:pt idx="139">
                  <c:v>150</c:v>
                </c:pt>
                <c:pt idx="140">
                  <c:v>151</c:v>
                </c:pt>
                <c:pt idx="141">
                  <c:v>152</c:v>
                </c:pt>
                <c:pt idx="142">
                  <c:v>153</c:v>
                </c:pt>
                <c:pt idx="143">
                  <c:v>154</c:v>
                </c:pt>
                <c:pt idx="144">
                  <c:v>155</c:v>
                </c:pt>
                <c:pt idx="145">
                  <c:v>156</c:v>
                </c:pt>
                <c:pt idx="146">
                  <c:v>157</c:v>
                </c:pt>
                <c:pt idx="147">
                  <c:v>158</c:v>
                </c:pt>
                <c:pt idx="148">
                  <c:v>159</c:v>
                </c:pt>
                <c:pt idx="149">
                  <c:v>160</c:v>
                </c:pt>
                <c:pt idx="150">
                  <c:v>161</c:v>
                </c:pt>
                <c:pt idx="151">
                  <c:v>162</c:v>
                </c:pt>
                <c:pt idx="152">
                  <c:v>163</c:v>
                </c:pt>
                <c:pt idx="153">
                  <c:v>164</c:v>
                </c:pt>
                <c:pt idx="154">
                  <c:v>165</c:v>
                </c:pt>
                <c:pt idx="155">
                  <c:v>166</c:v>
                </c:pt>
                <c:pt idx="156">
                  <c:v>167</c:v>
                </c:pt>
                <c:pt idx="157">
                  <c:v>168</c:v>
                </c:pt>
                <c:pt idx="158">
                  <c:v>169</c:v>
                </c:pt>
                <c:pt idx="159">
                  <c:v>170</c:v>
                </c:pt>
                <c:pt idx="160">
                  <c:v>171</c:v>
                </c:pt>
                <c:pt idx="161">
                  <c:v>172</c:v>
                </c:pt>
                <c:pt idx="162">
                  <c:v>173</c:v>
                </c:pt>
                <c:pt idx="163">
                  <c:v>174</c:v>
                </c:pt>
                <c:pt idx="164">
                  <c:v>175</c:v>
                </c:pt>
                <c:pt idx="165">
                  <c:v>176</c:v>
                </c:pt>
                <c:pt idx="166">
                  <c:v>177</c:v>
                </c:pt>
                <c:pt idx="167">
                  <c:v>178</c:v>
                </c:pt>
                <c:pt idx="168">
                  <c:v>179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183</c:v>
                </c:pt>
                <c:pt idx="173">
                  <c:v>184</c:v>
                </c:pt>
                <c:pt idx="174">
                  <c:v>185</c:v>
                </c:pt>
                <c:pt idx="175">
                  <c:v>186</c:v>
                </c:pt>
                <c:pt idx="176">
                  <c:v>187</c:v>
                </c:pt>
                <c:pt idx="177">
                  <c:v>188</c:v>
                </c:pt>
                <c:pt idx="178">
                  <c:v>189</c:v>
                </c:pt>
                <c:pt idx="179">
                  <c:v>190</c:v>
                </c:pt>
                <c:pt idx="180">
                  <c:v>191</c:v>
                </c:pt>
                <c:pt idx="181">
                  <c:v>192</c:v>
                </c:pt>
                <c:pt idx="182">
                  <c:v>193</c:v>
                </c:pt>
                <c:pt idx="183">
                  <c:v>194</c:v>
                </c:pt>
                <c:pt idx="184">
                  <c:v>195</c:v>
                </c:pt>
                <c:pt idx="185">
                  <c:v>196</c:v>
                </c:pt>
                <c:pt idx="186">
                  <c:v>197</c:v>
                </c:pt>
                <c:pt idx="187">
                  <c:v>198</c:v>
                </c:pt>
                <c:pt idx="188">
                  <c:v>199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203</c:v>
                </c:pt>
                <c:pt idx="193">
                  <c:v>204</c:v>
                </c:pt>
                <c:pt idx="194">
                  <c:v>205</c:v>
                </c:pt>
                <c:pt idx="195">
                  <c:v>206</c:v>
                </c:pt>
                <c:pt idx="196">
                  <c:v>207</c:v>
                </c:pt>
                <c:pt idx="197">
                  <c:v>208</c:v>
                </c:pt>
                <c:pt idx="198">
                  <c:v>209</c:v>
                </c:pt>
                <c:pt idx="199">
                  <c:v>210</c:v>
                </c:pt>
                <c:pt idx="200">
                  <c:v>211</c:v>
                </c:pt>
                <c:pt idx="201">
                  <c:v>212</c:v>
                </c:pt>
                <c:pt idx="202">
                  <c:v>213</c:v>
                </c:pt>
                <c:pt idx="203">
                  <c:v>214</c:v>
                </c:pt>
                <c:pt idx="204">
                  <c:v>215</c:v>
                </c:pt>
                <c:pt idx="205">
                  <c:v>216</c:v>
                </c:pt>
                <c:pt idx="206">
                  <c:v>217</c:v>
                </c:pt>
                <c:pt idx="207">
                  <c:v>218</c:v>
                </c:pt>
                <c:pt idx="208">
                  <c:v>219</c:v>
                </c:pt>
                <c:pt idx="209">
                  <c:v>220</c:v>
                </c:pt>
                <c:pt idx="210">
                  <c:v>221</c:v>
                </c:pt>
                <c:pt idx="211">
                  <c:v>222</c:v>
                </c:pt>
                <c:pt idx="212">
                  <c:v>223</c:v>
                </c:pt>
                <c:pt idx="213">
                  <c:v>224</c:v>
                </c:pt>
                <c:pt idx="214">
                  <c:v>225</c:v>
                </c:pt>
                <c:pt idx="215">
                  <c:v>226</c:v>
                </c:pt>
                <c:pt idx="216">
                  <c:v>227</c:v>
                </c:pt>
                <c:pt idx="217">
                  <c:v>228</c:v>
                </c:pt>
                <c:pt idx="218">
                  <c:v>229</c:v>
                </c:pt>
                <c:pt idx="219">
                  <c:v>230</c:v>
                </c:pt>
                <c:pt idx="220">
                  <c:v>231</c:v>
                </c:pt>
                <c:pt idx="221">
                  <c:v>232</c:v>
                </c:pt>
                <c:pt idx="222">
                  <c:v>233</c:v>
                </c:pt>
                <c:pt idx="223">
                  <c:v>234</c:v>
                </c:pt>
                <c:pt idx="224">
                  <c:v>235</c:v>
                </c:pt>
                <c:pt idx="225">
                  <c:v>236</c:v>
                </c:pt>
                <c:pt idx="226">
                  <c:v>237</c:v>
                </c:pt>
                <c:pt idx="227">
                  <c:v>238</c:v>
                </c:pt>
                <c:pt idx="228">
                  <c:v>239</c:v>
                </c:pt>
                <c:pt idx="229">
                  <c:v>240</c:v>
                </c:pt>
                <c:pt idx="230">
                  <c:v>241</c:v>
                </c:pt>
                <c:pt idx="231">
                  <c:v>242</c:v>
                </c:pt>
                <c:pt idx="232">
                  <c:v>243</c:v>
                </c:pt>
                <c:pt idx="233">
                  <c:v>244</c:v>
                </c:pt>
                <c:pt idx="234">
                  <c:v>245</c:v>
                </c:pt>
                <c:pt idx="235">
                  <c:v>246</c:v>
                </c:pt>
                <c:pt idx="236">
                  <c:v>247</c:v>
                </c:pt>
                <c:pt idx="237">
                  <c:v>248</c:v>
                </c:pt>
                <c:pt idx="238">
                  <c:v>249</c:v>
                </c:pt>
                <c:pt idx="239">
                  <c:v>250</c:v>
                </c:pt>
                <c:pt idx="240">
                  <c:v>251</c:v>
                </c:pt>
                <c:pt idx="241">
                  <c:v>252</c:v>
                </c:pt>
                <c:pt idx="242">
                  <c:v>253</c:v>
                </c:pt>
                <c:pt idx="243">
                  <c:v>254</c:v>
                </c:pt>
                <c:pt idx="244">
                  <c:v>255</c:v>
                </c:pt>
                <c:pt idx="245">
                  <c:v>256</c:v>
                </c:pt>
                <c:pt idx="246">
                  <c:v>257</c:v>
                </c:pt>
                <c:pt idx="247">
                  <c:v>258</c:v>
                </c:pt>
                <c:pt idx="248">
                  <c:v>259</c:v>
                </c:pt>
                <c:pt idx="249">
                  <c:v>260</c:v>
                </c:pt>
                <c:pt idx="250">
                  <c:v>261</c:v>
                </c:pt>
                <c:pt idx="251">
                  <c:v>262</c:v>
                </c:pt>
                <c:pt idx="252">
                  <c:v>263</c:v>
                </c:pt>
                <c:pt idx="253">
                  <c:v>264</c:v>
                </c:pt>
                <c:pt idx="254">
                  <c:v>265</c:v>
                </c:pt>
                <c:pt idx="255">
                  <c:v>266</c:v>
                </c:pt>
                <c:pt idx="256">
                  <c:v>267</c:v>
                </c:pt>
                <c:pt idx="257">
                  <c:v>268</c:v>
                </c:pt>
                <c:pt idx="258">
                  <c:v>269</c:v>
                </c:pt>
                <c:pt idx="259">
                  <c:v>270</c:v>
                </c:pt>
                <c:pt idx="260">
                  <c:v>271</c:v>
                </c:pt>
                <c:pt idx="261">
                  <c:v>272</c:v>
                </c:pt>
                <c:pt idx="262">
                  <c:v>273</c:v>
                </c:pt>
                <c:pt idx="263">
                  <c:v>274</c:v>
                </c:pt>
                <c:pt idx="264">
                  <c:v>275</c:v>
                </c:pt>
                <c:pt idx="265">
                  <c:v>276</c:v>
                </c:pt>
                <c:pt idx="266">
                  <c:v>277</c:v>
                </c:pt>
                <c:pt idx="267">
                  <c:v>278</c:v>
                </c:pt>
                <c:pt idx="268">
                  <c:v>279</c:v>
                </c:pt>
                <c:pt idx="269">
                  <c:v>280</c:v>
                </c:pt>
                <c:pt idx="270">
                  <c:v>281</c:v>
                </c:pt>
                <c:pt idx="271">
                  <c:v>282</c:v>
                </c:pt>
                <c:pt idx="272">
                  <c:v>283</c:v>
                </c:pt>
                <c:pt idx="273">
                  <c:v>284</c:v>
                </c:pt>
                <c:pt idx="274">
                  <c:v>285</c:v>
                </c:pt>
                <c:pt idx="275">
                  <c:v>286</c:v>
                </c:pt>
                <c:pt idx="276">
                  <c:v>287</c:v>
                </c:pt>
                <c:pt idx="277">
                  <c:v>288</c:v>
                </c:pt>
                <c:pt idx="278">
                  <c:v>289</c:v>
                </c:pt>
                <c:pt idx="279">
                  <c:v>290</c:v>
                </c:pt>
                <c:pt idx="280">
                  <c:v>291</c:v>
                </c:pt>
                <c:pt idx="281">
                  <c:v>292</c:v>
                </c:pt>
                <c:pt idx="282">
                  <c:v>293</c:v>
                </c:pt>
                <c:pt idx="283">
                  <c:v>294</c:v>
                </c:pt>
                <c:pt idx="284">
                  <c:v>295</c:v>
                </c:pt>
                <c:pt idx="285">
                  <c:v>296</c:v>
                </c:pt>
                <c:pt idx="286">
                  <c:v>297</c:v>
                </c:pt>
                <c:pt idx="287">
                  <c:v>298</c:v>
                </c:pt>
                <c:pt idx="288">
                  <c:v>299</c:v>
                </c:pt>
                <c:pt idx="289">
                  <c:v>300</c:v>
                </c:pt>
                <c:pt idx="290">
                  <c:v>301</c:v>
                </c:pt>
                <c:pt idx="291">
                  <c:v>302</c:v>
                </c:pt>
                <c:pt idx="292">
                  <c:v>303</c:v>
                </c:pt>
                <c:pt idx="293">
                  <c:v>304</c:v>
                </c:pt>
                <c:pt idx="294">
                  <c:v>305</c:v>
                </c:pt>
                <c:pt idx="295">
                  <c:v>306</c:v>
                </c:pt>
                <c:pt idx="296">
                  <c:v>307</c:v>
                </c:pt>
                <c:pt idx="297">
                  <c:v>308</c:v>
                </c:pt>
                <c:pt idx="298">
                  <c:v>309</c:v>
                </c:pt>
                <c:pt idx="299">
                  <c:v>310</c:v>
                </c:pt>
                <c:pt idx="300">
                  <c:v>311</c:v>
                </c:pt>
                <c:pt idx="301">
                  <c:v>312</c:v>
                </c:pt>
                <c:pt idx="302">
                  <c:v>313</c:v>
                </c:pt>
                <c:pt idx="303">
                  <c:v>314</c:v>
                </c:pt>
                <c:pt idx="304">
                  <c:v>315</c:v>
                </c:pt>
                <c:pt idx="305">
                  <c:v>316</c:v>
                </c:pt>
                <c:pt idx="306">
                  <c:v>317</c:v>
                </c:pt>
                <c:pt idx="307">
                  <c:v>318</c:v>
                </c:pt>
                <c:pt idx="308">
                  <c:v>319</c:v>
                </c:pt>
                <c:pt idx="309">
                  <c:v>320</c:v>
                </c:pt>
                <c:pt idx="310">
                  <c:v>321</c:v>
                </c:pt>
                <c:pt idx="311">
                  <c:v>322</c:v>
                </c:pt>
                <c:pt idx="312">
                  <c:v>323</c:v>
                </c:pt>
                <c:pt idx="313">
                  <c:v>324</c:v>
                </c:pt>
                <c:pt idx="314">
                  <c:v>325</c:v>
                </c:pt>
                <c:pt idx="315">
                  <c:v>326</c:v>
                </c:pt>
                <c:pt idx="316">
                  <c:v>327</c:v>
                </c:pt>
                <c:pt idx="317">
                  <c:v>328</c:v>
                </c:pt>
                <c:pt idx="318">
                  <c:v>329</c:v>
                </c:pt>
                <c:pt idx="319">
                  <c:v>330</c:v>
                </c:pt>
                <c:pt idx="320">
                  <c:v>331</c:v>
                </c:pt>
                <c:pt idx="321">
                  <c:v>332</c:v>
                </c:pt>
                <c:pt idx="322">
                  <c:v>333</c:v>
                </c:pt>
                <c:pt idx="323">
                  <c:v>334</c:v>
                </c:pt>
                <c:pt idx="324">
                  <c:v>335</c:v>
                </c:pt>
                <c:pt idx="325">
                  <c:v>336</c:v>
                </c:pt>
                <c:pt idx="326">
                  <c:v>337</c:v>
                </c:pt>
                <c:pt idx="327">
                  <c:v>338</c:v>
                </c:pt>
                <c:pt idx="328">
                  <c:v>339</c:v>
                </c:pt>
                <c:pt idx="329">
                  <c:v>340</c:v>
                </c:pt>
                <c:pt idx="330">
                  <c:v>341</c:v>
                </c:pt>
                <c:pt idx="331">
                  <c:v>342</c:v>
                </c:pt>
                <c:pt idx="332">
                  <c:v>343</c:v>
                </c:pt>
                <c:pt idx="333">
                  <c:v>344</c:v>
                </c:pt>
                <c:pt idx="334">
                  <c:v>345</c:v>
                </c:pt>
                <c:pt idx="335">
                  <c:v>346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362</c:v>
                </c:pt>
                <c:pt idx="352">
                  <c:v>363</c:v>
                </c:pt>
                <c:pt idx="353">
                  <c:v>364</c:v>
                </c:pt>
                <c:pt idx="354">
                  <c:v>365</c:v>
                </c:pt>
                <c:pt idx="355">
                  <c:v>366</c:v>
                </c:pt>
                <c:pt idx="356">
                  <c:v>367</c:v>
                </c:pt>
                <c:pt idx="357">
                  <c:v>368</c:v>
                </c:pt>
                <c:pt idx="358">
                  <c:v>369</c:v>
                </c:pt>
                <c:pt idx="359">
                  <c:v>370</c:v>
                </c:pt>
                <c:pt idx="360">
                  <c:v>371</c:v>
                </c:pt>
                <c:pt idx="361">
                  <c:v>372</c:v>
                </c:pt>
                <c:pt idx="362">
                  <c:v>373</c:v>
                </c:pt>
                <c:pt idx="363">
                  <c:v>374</c:v>
                </c:pt>
                <c:pt idx="364">
                  <c:v>375</c:v>
                </c:pt>
                <c:pt idx="365">
                  <c:v>376</c:v>
                </c:pt>
                <c:pt idx="366">
                  <c:v>377</c:v>
                </c:pt>
                <c:pt idx="367">
                  <c:v>378</c:v>
                </c:pt>
                <c:pt idx="368">
                  <c:v>379</c:v>
                </c:pt>
                <c:pt idx="369">
                  <c:v>380</c:v>
                </c:pt>
                <c:pt idx="370">
                  <c:v>381</c:v>
                </c:pt>
                <c:pt idx="371">
                  <c:v>382</c:v>
                </c:pt>
                <c:pt idx="372">
                  <c:v>383</c:v>
                </c:pt>
                <c:pt idx="373">
                  <c:v>384</c:v>
                </c:pt>
                <c:pt idx="374">
                  <c:v>385</c:v>
                </c:pt>
                <c:pt idx="375">
                  <c:v>386</c:v>
                </c:pt>
                <c:pt idx="376">
                  <c:v>387</c:v>
                </c:pt>
                <c:pt idx="377">
                  <c:v>388</c:v>
                </c:pt>
              </c:numCache>
            </c:numRef>
          </c:xVal>
          <c:yVal>
            <c:numRef>
              <c:f>'Markov Model_SA2'!$T$10:$T$408</c:f>
              <c:numCache>
                <c:formatCode>0.000</c:formatCode>
                <c:ptCount val="399"/>
                <c:pt idx="0" formatCode="General">
                  <c:v>100</c:v>
                </c:pt>
                <c:pt idx="1">
                  <c:v>76.5</c:v>
                </c:pt>
                <c:pt idx="2">
                  <c:v>74.176451577504764</c:v>
                </c:pt>
                <c:pt idx="3">
                  <c:v>72.01159957487917</c:v>
                </c:pt>
                <c:pt idx="4">
                  <c:v>69.99218247382322</c:v>
                </c:pt>
                <c:pt idx="5">
                  <c:v>68.106257198563554</c:v>
                </c:pt>
                <c:pt idx="6">
                  <c:v>66.343048631831437</c:v>
                </c:pt>
                <c:pt idx="7">
                  <c:v>64.692818322183498</c:v>
                </c:pt>
                <c:pt idx="8">
                  <c:v>63.146749697302354</c:v>
                </c:pt>
                <c:pt idx="9">
                  <c:v>61.696847504925465</c:v>
                </c:pt>
                <c:pt idx="10">
                  <c:v>60.335849543892053</c:v>
                </c:pt>
                <c:pt idx="11">
                  <c:v>59.057149033916829</c:v>
                </c:pt>
                <c:pt idx="12">
                  <c:v>57.854726213451706</c:v>
                </c:pt>
                <c:pt idx="13">
                  <c:v>56.723087958046392</c:v>
                </c:pt>
                <c:pt idx="14">
                  <c:v>55.657214383256495</c:v>
                </c:pt>
                <c:pt idx="15">
                  <c:v>54.652511541556116</c:v>
                </c:pt>
                <c:pt idx="16">
                  <c:v>53.70476944616496</c:v>
                </c:pt>
                <c:pt idx="17">
                  <c:v>52.810124759735906</c:v>
                </c:pt>
                <c:pt idx="18">
                  <c:v>51.965027575399681</c:v>
                </c:pt>
                <c:pt idx="19">
                  <c:v>51.166211794167602</c:v>
                </c:pt>
                <c:pt idx="20">
                  <c:v>50.410668668181195</c:v>
                </c:pt>
                <c:pt idx="21">
                  <c:v>49.695623135464139</c:v>
                </c:pt>
                <c:pt idx="22">
                  <c:v>49.018512620096047</c:v>
                </c:pt>
                <c:pt idx="23">
                  <c:v>48.376968013278486</c:v>
                </c:pt>
                <c:pt idx="24">
                  <c:v>47.768796586599393</c:v>
                </c:pt>
                <c:pt idx="25">
                  <c:v>47.191966619765118</c:v>
                </c:pt>
                <c:pt idx="26">
                  <c:v>47.047565743658978</c:v>
                </c:pt>
                <c:pt idx="27">
                  <c:v>46.903606714216878</c:v>
                </c:pt>
                <c:pt idx="28">
                  <c:v>46.760088179449269</c:v>
                </c:pt>
                <c:pt idx="29">
                  <c:v>46.617008791503508</c:v>
                </c:pt>
                <c:pt idx="30">
                  <c:v>46.474367206651195</c:v>
                </c:pt>
                <c:pt idx="31">
                  <c:v>46.332162085275556</c:v>
                </c:pt>
                <c:pt idx="32">
                  <c:v>46.190392091858854</c:v>
                </c:pt>
                <c:pt idx="33">
                  <c:v>46.049055894969847</c:v>
                </c:pt>
                <c:pt idx="34">
                  <c:v>45.908152167251302</c:v>
                </c:pt>
                <c:pt idx="35">
                  <c:v>45.7676795854075</c:v>
                </c:pt>
                <c:pt idx="36">
                  <c:v>45.627636830191832</c:v>
                </c:pt>
                <c:pt idx="37">
                  <c:v>45.488022586394393</c:v>
                </c:pt>
                <c:pt idx="38">
                  <c:v>45.338338106496359</c:v>
                </c:pt>
                <c:pt idx="39">
                  <c:v>45.189146183589123</c:v>
                </c:pt>
                <c:pt idx="40">
                  <c:v>45.040445196847401</c:v>
                </c:pt>
                <c:pt idx="41">
                  <c:v>44.89223353077945</c:v>
                </c:pt>
                <c:pt idx="42">
                  <c:v>44.744509575209534</c:v>
                </c:pt>
                <c:pt idx="43">
                  <c:v>44.597271725260413</c:v>
                </c:pt>
                <c:pt idx="44">
                  <c:v>44.450518381335904</c:v>
                </c:pt>
                <c:pt idx="45">
                  <c:v>44.304247949103527</c:v>
                </c:pt>
                <c:pt idx="46">
                  <c:v>44.158458839477149</c:v>
                </c:pt>
                <c:pt idx="47">
                  <c:v>44.01314946859975</c:v>
                </c:pt>
                <c:pt idx="48">
                  <c:v>43.868318257826211</c:v>
                </c:pt>
                <c:pt idx="49">
                  <c:v>43.723963633706141</c:v>
                </c:pt>
                <c:pt idx="50">
                  <c:v>43.569309227218241</c:v>
                </c:pt>
                <c:pt idx="51">
                  <c:v>43.415201843082812</c:v>
                </c:pt>
                <c:pt idx="52">
                  <c:v>43.261639546447419</c:v>
                </c:pt>
                <c:pt idx="53">
                  <c:v>43.108620409303327</c:v>
                </c:pt>
                <c:pt idx="54">
                  <c:v>42.956142510461298</c:v>
                </c:pt>
                <c:pt idx="55">
                  <c:v>42.804203935527447</c:v>
                </c:pt>
                <c:pt idx="56">
                  <c:v>42.65280277687922</c:v>
                </c:pt>
                <c:pt idx="57">
                  <c:v>42.501937133641455</c:v>
                </c:pt>
                <c:pt idx="58">
                  <c:v>42.351605111662501</c:v>
                </c:pt>
                <c:pt idx="59">
                  <c:v>42.201804823490434</c:v>
                </c:pt>
                <c:pt idx="60">
                  <c:v>42.052534388349379</c:v>
                </c:pt>
                <c:pt idx="61">
                  <c:v>41.903791932115872</c:v>
                </c:pt>
                <c:pt idx="62">
                  <c:v>41.744363406265357</c:v>
                </c:pt>
                <c:pt idx="63">
                  <c:v>41.585541447355041</c:v>
                </c:pt>
                <c:pt idx="64">
                  <c:v>41.427323747620669</c:v>
                </c:pt>
                <c:pt idx="65">
                  <c:v>41.269708008078176</c:v>
                </c:pt>
                <c:pt idx="66">
                  <c:v>41.1126919384903</c:v>
                </c:pt>
                <c:pt idx="67">
                  <c:v>40.95627325733328</c:v>
                </c:pt>
                <c:pt idx="68">
                  <c:v>40.800449691763717</c:v>
                </c:pt>
                <c:pt idx="69">
                  <c:v>40.645218977585543</c:v>
                </c:pt>
                <c:pt idx="70">
                  <c:v>40.490578859217131</c:v>
                </c:pt>
                <c:pt idx="71">
                  <c:v>40.336527089658503</c:v>
                </c:pt>
                <c:pt idx="72">
                  <c:v>40.1830614304587</c:v>
                </c:pt>
                <c:pt idx="73">
                  <c:v>40.030179651683241</c:v>
                </c:pt>
                <c:pt idx="74">
                  <c:v>39.86652283033748</c:v>
                </c:pt>
                <c:pt idx="75">
                  <c:v>39.703535093052942</c:v>
                </c:pt>
                <c:pt idx="76">
                  <c:v>39.541213704389229</c:v>
                </c:pt>
                <c:pt idx="77">
                  <c:v>39.37955594008934</c:v>
                </c:pt>
                <c:pt idx="78">
                  <c:v>39.218559087033952</c:v>
                </c:pt>
                <c:pt idx="79">
                  <c:v>39.058220443195886</c:v>
                </c:pt>
                <c:pt idx="80">
                  <c:v>38.898537317594752</c:v>
                </c:pt>
                <c:pt idx="81">
                  <c:v>38.739507030251801</c:v>
                </c:pt>
                <c:pt idx="82">
                  <c:v>38.581126912144931</c:v>
                </c:pt>
                <c:pt idx="83">
                  <c:v>38.423394305163896</c:v>
                </c:pt>
                <c:pt idx="84">
                  <c:v>38.266306562065708</c:v>
                </c:pt>
                <c:pt idx="85">
                  <c:v>38.109861046430183</c:v>
                </c:pt>
                <c:pt idx="86">
                  <c:v>37.942851686254613</c:v>
                </c:pt>
                <c:pt idx="87">
                  <c:v>37.776574213459909</c:v>
                </c:pt>
                <c:pt idx="88">
                  <c:v>37.611025420686083</c:v>
                </c:pt>
                <c:pt idx="89">
                  <c:v>37.446202114628811</c:v>
                </c:pt>
                <c:pt idx="90">
                  <c:v>37.282101115977838</c:v>
                </c:pt>
                <c:pt idx="91">
                  <c:v>37.118719259355629</c:v>
                </c:pt>
                <c:pt idx="92">
                  <c:v>36.956053393256333</c:v>
                </c:pt>
                <c:pt idx="93">
                  <c:v>36.794100379984982</c:v>
                </c:pt>
                <c:pt idx="94">
                  <c:v>36.632857095596975</c:v>
                </c:pt>
                <c:pt idx="95">
                  <c:v>36.472320429837822</c:v>
                </c:pt>
                <c:pt idx="96">
                  <c:v>36.312487286083126</c:v>
                </c:pt>
                <c:pt idx="97">
                  <c:v>36.15335458127889</c:v>
                </c:pt>
                <c:pt idx="98">
                  <c:v>35.984055786436073</c:v>
                </c:pt>
                <c:pt idx="99">
                  <c:v>35.8155497833623</c:v>
                </c:pt>
                <c:pt idx="100">
                  <c:v>35.647832859575203</c:v>
                </c:pt>
                <c:pt idx="101">
                  <c:v>35.480901319977235</c:v>
                </c:pt>
                <c:pt idx="102">
                  <c:v>35.314751486774213</c:v>
                </c:pt>
                <c:pt idx="103">
                  <c:v>35.149379699394345</c:v>
                </c:pt>
                <c:pt idx="104">
                  <c:v>34.984782314407511</c:v>
                </c:pt>
                <c:pt idx="105">
                  <c:v>34.820955705445073</c:v>
                </c:pt>
                <c:pt idx="106">
                  <c:v>34.657896263119923</c:v>
                </c:pt>
                <c:pt idx="107">
                  <c:v>34.495600394946962</c:v>
                </c:pt>
                <c:pt idx="108">
                  <c:v>34.334064525263983</c:v>
                </c:pt>
                <c:pt idx="109">
                  <c:v>34.173285095152877</c:v>
                </c:pt>
                <c:pt idx="110">
                  <c:v>34.002594586064347</c:v>
                </c:pt>
                <c:pt idx="111">
                  <c:v>33.821464919508117</c:v>
                </c:pt>
                <c:pt idx="112">
                  <c:v>33.641300119207131</c:v>
                </c:pt>
                <c:pt idx="113">
                  <c:v>33.462095045379996</c:v>
                </c:pt>
                <c:pt idx="114">
                  <c:v>33.283844585624593</c:v>
                </c:pt>
                <c:pt idx="115">
                  <c:v>33.106543654772267</c:v>
                </c:pt>
                <c:pt idx="116">
                  <c:v>32.930187194742729</c:v>
                </c:pt>
                <c:pt idx="117">
                  <c:v>32.754770174399738</c:v>
                </c:pt>
                <c:pt idx="118">
                  <c:v>32.580287589407632</c:v>
                </c:pt>
                <c:pt idx="119">
                  <c:v>32.406734462088522</c:v>
                </c:pt>
                <c:pt idx="120">
                  <c:v>32.234105841280268</c:v>
                </c:pt>
                <c:pt idx="121">
                  <c:v>32.062396802195295</c:v>
                </c:pt>
                <c:pt idx="122">
                  <c:v>31.891602446280018</c:v>
                </c:pt>
                <c:pt idx="123">
                  <c:v>31.709464418424815</c:v>
                </c:pt>
                <c:pt idx="124">
                  <c:v>31.528366609895272</c:v>
                </c:pt>
                <c:pt idx="125">
                  <c:v>31.348303079832931</c:v>
                </c:pt>
                <c:pt idx="126">
                  <c:v>31.169267921308503</c:v>
                </c:pt>
                <c:pt idx="127">
                  <c:v>30.991255261128117</c:v>
                </c:pt>
                <c:pt idx="128">
                  <c:v>30.814259259640664</c:v>
                </c:pt>
                <c:pt idx="129">
                  <c:v>30.638274110546206</c:v>
                </c:pt>
                <c:pt idx="130">
                  <c:v>30.463294040705506</c:v>
                </c:pt>
                <c:pt idx="131">
                  <c:v>30.289313309950643</c:v>
                </c:pt>
                <c:pt idx="132">
                  <c:v>30.11632621089673</c:v>
                </c:pt>
                <c:pt idx="133">
                  <c:v>29.944327068754646</c:v>
                </c:pt>
                <c:pt idx="134">
                  <c:v>29.773310241144898</c:v>
                </c:pt>
                <c:pt idx="135">
                  <c:v>29.590714361386418</c:v>
                </c:pt>
                <c:pt idx="136">
                  <c:v>29.409238318657643</c:v>
                </c:pt>
                <c:pt idx="137">
                  <c:v>29.228875245142191</c:v>
                </c:pt>
                <c:pt idx="138">
                  <c:v>29.049618315143121</c:v>
                </c:pt>
                <c:pt idx="139">
                  <c:v>28.871460744824617</c:v>
                </c:pt>
                <c:pt idx="140">
                  <c:v>28.694395791955245</c:v>
                </c:pt>
                <c:pt idx="141">
                  <c:v>28.518416755652808</c:v>
                </c:pt>
                <c:pt idx="142">
                  <c:v>28.343516976130772</c:v>
                </c:pt>
                <c:pt idx="143">
                  <c:v>28.169689834446203</c:v>
                </c:pt>
                <c:pt idx="144">
                  <c:v>27.996928752249303</c:v>
                </c:pt>
                <c:pt idx="145">
                  <c:v>27.825227191534438</c:v>
                </c:pt>
                <c:pt idx="146">
                  <c:v>27.654578654392722</c:v>
                </c:pt>
                <c:pt idx="147">
                  <c:v>27.471538229146219</c:v>
                </c:pt>
                <c:pt idx="148">
                  <c:v>27.289709313852299</c:v>
                </c:pt>
                <c:pt idx="149">
                  <c:v>27.109083889755752</c:v>
                </c:pt>
                <c:pt idx="150">
                  <c:v>26.929653991175982</c:v>
                </c:pt>
                <c:pt idx="151">
                  <c:v>26.751411705155718</c:v>
                </c:pt>
                <c:pt idx="152">
                  <c:v>26.574349171112075</c:v>
                </c:pt>
                <c:pt idx="153">
                  <c:v>26.398458580489859</c:v>
                </c:pt>
                <c:pt idx="154">
                  <c:v>26.223732176417258</c:v>
                </c:pt>
                <c:pt idx="155">
                  <c:v>26.050162253363681</c:v>
                </c:pt>
                <c:pt idx="156">
                  <c:v>25.877741156800028</c:v>
                </c:pt>
                <c:pt idx="157">
                  <c:v>25.706461282861056</c:v>
                </c:pt>
                <c:pt idx="158">
                  <c:v>25.536315078010077</c:v>
                </c:pt>
                <c:pt idx="159">
                  <c:v>25.352927053403462</c:v>
                </c:pt>
                <c:pt idx="160">
                  <c:v>25.170856022555199</c:v>
                </c:pt>
                <c:pt idx="161">
                  <c:v>24.990092527527338</c:v>
                </c:pt>
                <c:pt idx="162">
                  <c:v>24.810627178303704</c:v>
                </c:pt>
                <c:pt idx="163">
                  <c:v>24.632450652302182</c:v>
                </c:pt>
                <c:pt idx="164">
                  <c:v>24.45555369389038</c:v>
                </c:pt>
                <c:pt idx="165">
                  <c:v>24.279927113904861</c:v>
                </c:pt>
                <c:pt idx="166">
                  <c:v>24.105561789173819</c:v>
                </c:pt>
                <c:pt idx="167">
                  <c:v>23.932448662043114</c:v>
                </c:pt>
                <c:pt idx="168">
                  <c:v>23.76057873990581</c:v>
                </c:pt>
                <c:pt idx="169">
                  <c:v>23.589943094735006</c:v>
                </c:pt>
                <c:pt idx="170">
                  <c:v>23.420532862620064</c:v>
                </c:pt>
                <c:pt idx="171">
                  <c:v>23.239165198490326</c:v>
                </c:pt>
                <c:pt idx="172">
                  <c:v>23.059202038254014</c:v>
                </c:pt>
                <c:pt idx="173">
                  <c:v>22.880632505489501</c:v>
                </c:pt>
                <c:pt idx="174">
                  <c:v>22.703445808001717</c:v>
                </c:pt>
                <c:pt idx="175">
                  <c:v>22.527631237169928</c:v>
                </c:pt>
                <c:pt idx="176">
                  <c:v>22.353178167300513</c:v>
                </c:pt>
                <c:pt idx="177">
                  <c:v>22.180076054984795</c:v>
                </c:pt>
                <c:pt idx="178">
                  <c:v>22.008314438461838</c:v>
                </c:pt>
                <c:pt idx="179">
                  <c:v>21.837882936986162</c:v>
                </c:pt>
                <c:pt idx="180">
                  <c:v>21.668771250200365</c:v>
                </c:pt>
                <c:pt idx="181">
                  <c:v>21.500969157512586</c:v>
                </c:pt>
                <c:pt idx="182">
                  <c:v>21.33446651747883</c:v>
                </c:pt>
                <c:pt idx="183">
                  <c:v>21.152157422677249</c:v>
                </c:pt>
                <c:pt idx="184">
                  <c:v>20.971406211032487</c:v>
                </c:pt>
                <c:pt idx="185">
                  <c:v>20.792199569989123</c:v>
                </c:pt>
                <c:pt idx="186">
                  <c:v>20.614524300751299</c:v>
                </c:pt>
                <c:pt idx="187">
                  <c:v>20.438367317310622</c:v>
                </c:pt>
                <c:pt idx="188">
                  <c:v>20.263715645482392</c:v>
                </c:pt>
                <c:pt idx="189">
                  <c:v>20.090556421949998</c:v>
                </c:pt>
                <c:pt idx="190">
                  <c:v>19.918876893317545</c:v>
                </c:pt>
                <c:pt idx="191">
                  <c:v>19.748664415170524</c:v>
                </c:pt>
                <c:pt idx="192">
                  <c:v>19.579906451144552</c:v>
                </c:pt>
                <c:pt idx="193">
                  <c:v>19.412590572002074</c:v>
                </c:pt>
                <c:pt idx="194">
                  <c:v>19.246704454716891</c:v>
                </c:pt>
                <c:pt idx="195">
                  <c:v>19.067637057933538</c:v>
                </c:pt>
                <c:pt idx="196">
                  <c:v>18.890235667539301</c:v>
                </c:pt>
                <c:pt idx="197">
                  <c:v>18.714484783351892</c:v>
                </c:pt>
                <c:pt idx="198">
                  <c:v>18.540369049399573</c:v>
                </c:pt>
                <c:pt idx="199">
                  <c:v>18.367873252579415</c:v>
                </c:pt>
                <c:pt idx="200">
                  <c:v>18.196982321328079</c:v>
                </c:pt>
                <c:pt idx="201">
                  <c:v>18.027681324304965</c:v>
                </c:pt>
                <c:pt idx="202">
                  <c:v>17.859955469087609</c:v>
                </c:pt>
                <c:pt idx="203">
                  <c:v>17.693790100879227</c:v>
                </c:pt>
                <c:pt idx="204">
                  <c:v>17.529170701228239</c:v>
                </c:pt>
                <c:pt idx="205">
                  <c:v>17.366082886759798</c:v>
                </c:pt>
                <c:pt idx="206">
                  <c:v>17.204512407918997</c:v>
                </c:pt>
                <c:pt idx="207">
                  <c:v>17.029123108120302</c:v>
                </c:pt>
                <c:pt idx="208">
                  <c:v>16.855521793110398</c:v>
                </c:pt>
                <c:pt idx="209">
                  <c:v>16.683690235496798</c:v>
                </c:pt>
                <c:pt idx="210">
                  <c:v>16.513610393703942</c:v>
                </c:pt>
                <c:pt idx="211">
                  <c:v>16.345264410078912</c:v>
                </c:pt>
                <c:pt idx="212">
                  <c:v>16.178634609016441</c:v>
                </c:pt>
                <c:pt idx="213">
                  <c:v>16.013703495103073</c:v>
                </c:pt>
                <c:pt idx="214">
                  <c:v>15.850453751280213</c:v>
                </c:pt>
                <c:pt idx="215">
                  <c:v>15.688868237025872</c:v>
                </c:pt>
                <c:pt idx="216">
                  <c:v>15.528929986555056</c:v>
                </c:pt>
                <c:pt idx="217">
                  <c:v>15.370622207038366</c:v>
                </c:pt>
                <c:pt idx="218">
                  <c:v>15.213928276838871</c:v>
                </c:pt>
                <c:pt idx="219">
                  <c:v>15.044892054306999</c:v>
                </c:pt>
                <c:pt idx="220">
                  <c:v>14.877733929529242</c:v>
                </c:pt>
                <c:pt idx="221">
                  <c:v>14.712433035669349</c:v>
                </c:pt>
                <c:pt idx="222">
                  <c:v>14.548968737734626</c:v>
                </c:pt>
                <c:pt idx="223">
                  <c:v>14.387320630000033</c:v>
                </c:pt>
                <c:pt idx="224">
                  <c:v>14.227468533460808</c:v>
                </c:pt>
                <c:pt idx="225">
                  <c:v>14.069392493313543</c:v>
                </c:pt>
                <c:pt idx="226">
                  <c:v>13.9130727764651</c:v>
                </c:pt>
                <c:pt idx="227">
                  <c:v>13.758489869069322</c:v>
                </c:pt>
                <c:pt idx="228">
                  <c:v>13.60562447409103</c:v>
                </c:pt>
                <c:pt idx="229">
                  <c:v>13.454457508897121</c:v>
                </c:pt>
                <c:pt idx="230">
                  <c:v>13.304970102874464</c:v>
                </c:pt>
                <c:pt idx="231">
                  <c:v>13.141785177670556</c:v>
                </c:pt>
                <c:pt idx="232">
                  <c:v>12.980601709035739</c:v>
                </c:pt>
                <c:pt idx="233">
                  <c:v>12.821395149185363</c:v>
                </c:pt>
                <c:pt idx="234">
                  <c:v>12.664141251412417</c:v>
                </c:pt>
                <c:pt idx="235">
                  <c:v>12.508816066394758</c:v>
                </c:pt>
                <c:pt idx="236">
                  <c:v>12.355395938547716</c:v>
                </c:pt>
                <c:pt idx="237">
                  <c:v>12.203857502421442</c:v>
                </c:pt>
                <c:pt idx="238">
                  <c:v>12.054177679142356</c:v>
                </c:pt>
                <c:pt idx="239">
                  <c:v>11.90633367289837</c:v>
                </c:pt>
                <c:pt idx="240">
                  <c:v>11.760302967467112</c:v>
                </c:pt>
                <c:pt idx="241">
                  <c:v>11.616063322786758</c:v>
                </c:pt>
                <c:pt idx="242">
                  <c:v>11.473592771568974</c:v>
                </c:pt>
                <c:pt idx="243">
                  <c:v>11.318315914868677</c:v>
                </c:pt>
                <c:pt idx="244">
                  <c:v>11.165140483825269</c:v>
                </c:pt>
                <c:pt idx="245">
                  <c:v>11.014038038979791</c:v>
                </c:pt>
                <c:pt idx="246">
                  <c:v>10.864980525756195</c:v>
                </c:pt>
                <c:pt idx="247">
                  <c:v>10.717940269252594</c:v>
                </c:pt>
                <c:pt idx="248">
                  <c:v>10.572889969102931</c:v>
                </c:pt>
                <c:pt idx="249">
                  <c:v>10.429802694408252</c:v>
                </c:pt>
                <c:pt idx="250">
                  <c:v>10.288651878736545</c:v>
                </c:pt>
                <c:pt idx="251">
                  <c:v>10.149411315190264</c:v>
                </c:pt>
                <c:pt idx="252">
                  <c:v>10.012055151540608</c:v>
                </c:pt>
                <c:pt idx="253">
                  <c:v>9.8765578854276299</c:v>
                </c:pt>
                <c:pt idx="254">
                  <c:v>9.7428943596253248</c:v>
                </c:pt>
                <c:pt idx="255">
                  <c:v>9.5966204487519633</c:v>
                </c:pt>
                <c:pt idx="256">
                  <c:v>9.4525426057217317</c:v>
                </c:pt>
                <c:pt idx="257">
                  <c:v>9.3106278601030397</c:v>
                </c:pt>
                <c:pt idx="258">
                  <c:v>9.1708437364623876</c:v>
                </c:pt>
                <c:pt idx="259">
                  <c:v>9.0331582469327287</c:v>
                </c:pt>
                <c:pt idx="260">
                  <c:v>8.8975398838934723</c:v>
                </c:pt>
                <c:pt idx="261">
                  <c:v>8.7639576127603505</c:v>
                </c:pt>
                <c:pt idx="262">
                  <c:v>8.6323808648835438</c:v>
                </c:pt>
                <c:pt idx="263">
                  <c:v>8.5027795305523881</c:v>
                </c:pt>
                <c:pt idx="264">
                  <c:v>8.3751239521051986</c:v>
                </c:pt>
                <c:pt idx="265">
                  <c:v>8.2493849171424216</c:v>
                </c:pt>
                <c:pt idx="266">
                  <c:v>8.1255336518417778</c:v>
                </c:pt>
                <c:pt idx="267">
                  <c:v>7.9901704478915718</c:v>
                </c:pt>
                <c:pt idx="268">
                  <c:v>7.8570622585371837</c:v>
                </c:pt>
                <c:pt idx="269">
                  <c:v>7.7261715175074244</c:v>
                </c:pt>
                <c:pt idx="270">
                  <c:v>7.5974612843473466</c:v>
                </c:pt>
                <c:pt idx="271">
                  <c:v>7.4708952339927635</c:v>
                </c:pt>
                <c:pt idx="272">
                  <c:v>7.3464376465184529</c:v>
                </c:pt>
                <c:pt idx="273">
                  <c:v>7.2240533970571619</c:v>
                </c:pt>
                <c:pt idx="274">
                  <c:v>7.1037079458865406</c:v>
                </c:pt>
                <c:pt idx="275">
                  <c:v>6.9853673286812068</c:v>
                </c:pt>
                <c:pt idx="276">
                  <c:v>6.8689981469272112</c:v>
                </c:pt>
                <c:pt idx="277">
                  <c:v>6.7545675584962197</c:v>
                </c:pt>
                <c:pt idx="278">
                  <c:v>6.6420432683766535</c:v>
                </c:pt>
                <c:pt idx="279">
                  <c:v>6.5194955515945452</c:v>
                </c:pt>
                <c:pt idx="280">
                  <c:v>6.3992088774286486</c:v>
                </c:pt>
                <c:pt idx="281">
                  <c:v>6.2811415289555725</c:v>
                </c:pt>
                <c:pt idx="282">
                  <c:v>6.1652525589418445</c:v>
                </c:pt>
                <c:pt idx="283">
                  <c:v>6.0515017756428904</c:v>
                </c:pt>
                <c:pt idx="284">
                  <c:v>5.9398497288640471</c:v>
                </c:pt>
                <c:pt idx="285">
                  <c:v>5.8302576962787214</c:v>
                </c:pt>
                <c:pt idx="286">
                  <c:v>5.7226876699990186</c:v>
                </c:pt>
                <c:pt idx="287">
                  <c:v>5.6171023433941087</c:v>
                </c:pt>
                <c:pt idx="288">
                  <c:v>5.5134650981518689</c:v>
                </c:pt>
                <c:pt idx="289">
                  <c:v>5.4117399915791395</c:v>
                </c:pt>
                <c:pt idx="290">
                  <c:v>5.3118917441363749</c:v>
                </c:pt>
                <c:pt idx="291">
                  <c:v>5.2028649596881706</c:v>
                </c:pt>
                <c:pt idx="292">
                  <c:v>5.0960759542271177</c:v>
                </c:pt>
                <c:pt idx="293">
                  <c:v>4.9914787972525687</c:v>
                </c:pt>
                <c:pt idx="294">
                  <c:v>4.8890285009891699</c:v>
                </c:pt>
                <c:pt idx="295">
                  <c:v>4.7886810010374035</c:v>
                </c:pt>
                <c:pt idx="296">
                  <c:v>4.6903931374212675</c:v>
                </c:pt>
                <c:pt idx="297">
                  <c:v>4.5941226360249487</c:v>
                </c:pt>
                <c:pt idx="298">
                  <c:v>4.4998280904104888</c:v>
                </c:pt>
                <c:pt idx="299">
                  <c:v>4.4074689440086985</c:v>
                </c:pt>
                <c:pt idx="300">
                  <c:v>4.3170054726755183</c:v>
                </c:pt>
                <c:pt idx="301">
                  <c:v>4.2283987676065209</c:v>
                </c:pt>
                <c:pt idx="302">
                  <c:v>4.1416107186019815</c:v>
                </c:pt>
                <c:pt idx="303">
                  <c:v>4.047458290212802</c:v>
                </c:pt>
                <c:pt idx="304">
                  <c:v>3.9554462560745236</c:v>
                </c:pt>
                <c:pt idx="305">
                  <c:v>3.8655259579886518</c:v>
                </c:pt>
                <c:pt idx="306">
                  <c:v>3.7776498439175299</c:v>
                </c:pt>
                <c:pt idx="307">
                  <c:v>3.6917714428376485</c:v>
                </c:pt>
                <c:pt idx="308">
                  <c:v>3.6078453401646442</c:v>
                </c:pt>
                <c:pt idx="309">
                  <c:v>3.5258271537369836</c:v>
                </c:pt>
                <c:pt idx="310">
                  <c:v>3.4456735103455713</c:v>
                </c:pt>
                <c:pt idx="311">
                  <c:v>3.3673420227969757</c:v>
                </c:pt>
                <c:pt idx="312">
                  <c:v>3.2907912674980082</c:v>
                </c:pt>
                <c:pt idx="313">
                  <c:v>3.215980762549961</c:v>
                </c:pt>
                <c:pt idx="314">
                  <c:v>3.1428709463407785</c:v>
                </c:pt>
                <c:pt idx="315">
                  <c:v>3.0631047515068701</c:v>
                </c:pt>
                <c:pt idx="316">
                  <c:v>2.9853630260027302</c:v>
                </c:pt>
                <c:pt idx="317">
                  <c:v>2.9095943887128897</c:v>
                </c:pt>
                <c:pt idx="318">
                  <c:v>2.8357487625767135</c:v>
                </c:pt>
                <c:pt idx="319">
                  <c:v>2.7637773414914619</c:v>
                </c:pt>
                <c:pt idx="320">
                  <c:v>2.6936325580552705</c:v>
                </c:pt>
                <c:pt idx="321">
                  <c:v>2.6252680521289449</c:v>
                </c:pt>
                <c:pt idx="322">
                  <c:v>2.558638640195511</c:v>
                </c:pt>
                <c:pt idx="323">
                  <c:v>2.4937002854975532</c:v>
                </c:pt>
                <c:pt idx="324">
                  <c:v>2.4304100689323604</c:v>
                </c:pt>
                <c:pt idx="325">
                  <c:v>2.3687261606858385</c:v>
                </c:pt>
                <c:pt idx="326">
                  <c:v>2.3086077925863009</c:v>
                </c:pt>
                <c:pt idx="327">
                  <c:v>2.2425377912239952</c:v>
                </c:pt>
                <c:pt idx="328">
                  <c:v>2.1783586459412732</c:v>
                </c:pt>
                <c:pt idx="329">
                  <c:v>2.1160162423649069</c:v>
                </c:pt>
                <c:pt idx="330">
                  <c:v>2.0554580148198482</c:v>
                </c:pt>
                <c:pt idx="331">
                  <c:v>1.9966329020070788</c:v>
                </c:pt>
                <c:pt idx="332">
                  <c:v>1.9394913039498931</c:v>
                </c:pt>
                <c:pt idx="333">
                  <c:v>1.8839850401723623</c:v>
                </c:pt>
                <c:pt idx="334">
                  <c:v>1.83006730907465</c:v>
                </c:pt>
                <c:pt idx="335">
                  <c:v>1.777692648470989</c:v>
                </c:pt>
                <c:pt idx="336">
                  <c:v>1.7268168972570237</c:v>
                </c:pt>
                <c:pt idx="337">
                  <c:v>1.6773971581741733</c:v>
                </c:pt>
                <c:pt idx="338">
                  <c:v>1.6293917616396953</c:v>
                </c:pt>
                <c:pt idx="339">
                  <c:v>1.5773302661610273</c:v>
                </c:pt>
                <c:pt idx="340">
                  <c:v>1.5269322130633043</c:v>
                </c:pt>
                <c:pt idx="341">
                  <c:v>1.4781444528830008</c:v>
                </c:pt>
                <c:pt idx="342">
                  <c:v>1.4309155343611906</c:v>
                </c:pt>
                <c:pt idx="343">
                  <c:v>1.3851956501833484</c:v>
                </c:pt>
                <c:pt idx="344">
                  <c:v>1.3409365844528764</c:v>
                </c:pt>
                <c:pt idx="345">
                  <c:v>1.2980916618429603</c:v>
                </c:pt>
                <c:pt idx="346">
                  <c:v>1.2566156983730536</c:v>
                </c:pt>
                <c:pt idx="347">
                  <c:v>1.2164649537581198</c:v>
                </c:pt>
                <c:pt idx="348">
                  <c:v>1.1775970852804249</c:v>
                </c:pt>
                <c:pt idx="349">
                  <c:v>1.1399711031352098</c:v>
                </c:pt>
                <c:pt idx="350">
                  <c:v>1.1035473272030458</c:v>
                </c:pt>
                <c:pt idx="351">
                  <c:v>1.0643696250592427</c:v>
                </c:pt>
                <c:pt idx="352">
                  <c:v>1.0265827942513965</c:v>
                </c:pt>
                <c:pt idx="353">
                  <c:v>0.9901374566136667</c:v>
                </c:pt>
                <c:pt idx="354">
                  <c:v>0.95498598698441128</c:v>
                </c:pt>
                <c:pt idx="355">
                  <c:v>0.92108245097168151</c:v>
                </c:pt>
                <c:pt idx="356">
                  <c:v>0.88838254492821989</c:v>
                </c:pt>
                <c:pt idx="357">
                  <c:v>0.85684353805739022</c:v>
                </c:pt>
                <c:pt idx="358">
                  <c:v>0.82642421657442355</c:v>
                </c:pt>
                <c:pt idx="359">
                  <c:v>0.79708482985012097</c:v>
                </c:pt>
                <c:pt idx="360">
                  <c:v>0.76878703846644214</c:v>
                </c:pt>
                <c:pt idx="361">
                  <c:v>0.74149386411623652</c:v>
                </c:pt>
                <c:pt idx="362">
                  <c:v>0.71516964128166194</c:v>
                </c:pt>
                <c:pt idx="363">
                  <c:v>0.68689068909887396</c:v>
                </c:pt>
                <c:pt idx="364">
                  <c:v>0.65972993194338869</c:v>
                </c:pt>
                <c:pt idx="365">
                  <c:v>0.63364315459425313</c:v>
                </c:pt>
                <c:pt idx="366">
                  <c:v>0.60858789017110837</c:v>
                </c:pt>
                <c:pt idx="367">
                  <c:v>0.58452335100200514</c:v>
                </c:pt>
                <c:pt idx="368">
                  <c:v>0.56141036222484786</c:v>
                </c:pt>
                <c:pt idx="369">
                  <c:v>0.53921129801425138</c:v>
                </c:pt>
                <c:pt idx="370">
                  <c:v>0.51789002033021347</c:v>
                </c:pt>
                <c:pt idx="371">
                  <c:v>0.49741182008864371</c:v>
                </c:pt>
                <c:pt idx="372">
                  <c:v>0.47774336065819512</c:v>
                </c:pt>
                <c:pt idx="373">
                  <c:v>0.45885262359126955</c:v>
                </c:pt>
                <c:pt idx="374">
                  <c:v>0.44070885650094738</c:v>
                </c:pt>
                <c:pt idx="375">
                  <c:v>0.42105398506265601</c:v>
                </c:pt>
                <c:pt idx="376">
                  <c:v>0.40227568772891686</c:v>
                </c:pt>
                <c:pt idx="377">
                  <c:v>0.38433487077361406</c:v>
                </c:pt>
                <c:pt idx="378">
                  <c:v>0.36719418398486425</c:v>
                </c:pt>
                <c:pt idx="379">
                  <c:v>0.35081794290722712</c:v>
                </c:pt>
                <c:pt idx="380">
                  <c:v>0.33517205455173382</c:v>
                </c:pt>
                <c:pt idx="381">
                  <c:v>0.32022394641924734</c:v>
                </c:pt>
                <c:pt idx="382">
                  <c:v>0.30594249868909174</c:v>
                </c:pt>
                <c:pt idx="383">
                  <c:v>0.29229797943212077</c:v>
                </c:pt>
                <c:pt idx="384">
                  <c:v>0.27926198271305225</c:v>
                </c:pt>
                <c:pt idx="385">
                  <c:v>0.26680736945338879</c:v>
                </c:pt>
                <c:pt idx="386">
                  <c:v>0.25490821093174532</c:v>
                </c:pt>
                <c:pt idx="387">
                  <c:v>0.24210823396840908</c:v>
                </c:pt>
                <c:pt idx="388">
                  <c:v>0.2299509958547219</c:v>
                </c:pt>
                <c:pt idx="389">
                  <c:v>0.21840422206160781</c:v>
                </c:pt>
                <c:pt idx="390">
                  <c:v>0.20743725869520802</c:v>
                </c:pt>
                <c:pt idx="391">
                  <c:v>0.19702099111822235</c:v>
                </c:pt>
                <c:pt idx="392">
                  <c:v>0.18712776665758213</c:v>
                </c:pt>
                <c:pt idx="393">
                  <c:v>0.17773132119330626</c:v>
                </c:pt>
                <c:pt idx="394">
                  <c:v>0.16880670943355369</c:v>
                </c:pt>
                <c:pt idx="395">
                  <c:v>0.16033023869097462</c:v>
                </c:pt>
                <c:pt idx="396">
                  <c:v>0.15227940598428802</c:v>
                </c:pt>
                <c:pt idx="397">
                  <c:v>0.1446328382983495</c:v>
                </c:pt>
                <c:pt idx="398">
                  <c:v>0.13737023584394592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E9F-BF57-4FC69B10FB23}"/>
            </c:ext>
          </c:extLst>
        </c:ser>
        <c:ser>
          <c:idx val="1"/>
          <c:order val="1"/>
          <c:tx>
            <c:strRef>
              <c:f>'Markov Model_SA2'!$C$7</c:f>
              <c:strCache>
                <c:ptCount val="1"/>
                <c:pt idx="0">
                  <c:v>Prophylaxis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'Markov Model_SA2'!$AC$23:$AC$392</c:f>
              <c:numCache>
                <c:formatCode>General</c:formatCode>
                <c:ptCount val="370"/>
                <c:pt idx="0">
                  <c:v>0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54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58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64</c:v>
                </c:pt>
                <c:pt idx="54">
                  <c:v>65</c:v>
                </c:pt>
                <c:pt idx="55">
                  <c:v>66</c:v>
                </c:pt>
                <c:pt idx="56">
                  <c:v>67</c:v>
                </c:pt>
                <c:pt idx="57">
                  <c:v>68</c:v>
                </c:pt>
                <c:pt idx="58">
                  <c:v>69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78</c:v>
                </c:pt>
                <c:pt idx="68">
                  <c:v>79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83</c:v>
                </c:pt>
                <c:pt idx="73">
                  <c:v>84</c:v>
                </c:pt>
                <c:pt idx="74">
                  <c:v>85</c:v>
                </c:pt>
                <c:pt idx="75">
                  <c:v>86</c:v>
                </c:pt>
                <c:pt idx="76">
                  <c:v>87</c:v>
                </c:pt>
                <c:pt idx="77">
                  <c:v>88</c:v>
                </c:pt>
                <c:pt idx="78">
                  <c:v>89</c:v>
                </c:pt>
                <c:pt idx="79">
                  <c:v>90</c:v>
                </c:pt>
                <c:pt idx="80">
                  <c:v>91</c:v>
                </c:pt>
                <c:pt idx="81">
                  <c:v>92</c:v>
                </c:pt>
                <c:pt idx="82">
                  <c:v>93</c:v>
                </c:pt>
                <c:pt idx="83">
                  <c:v>94</c:v>
                </c:pt>
                <c:pt idx="84">
                  <c:v>95</c:v>
                </c:pt>
                <c:pt idx="85">
                  <c:v>96</c:v>
                </c:pt>
                <c:pt idx="86">
                  <c:v>97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  <c:pt idx="90">
                  <c:v>101</c:v>
                </c:pt>
                <c:pt idx="91">
                  <c:v>102</c:v>
                </c:pt>
                <c:pt idx="92">
                  <c:v>103</c:v>
                </c:pt>
                <c:pt idx="93">
                  <c:v>104</c:v>
                </c:pt>
                <c:pt idx="94">
                  <c:v>105</c:v>
                </c:pt>
                <c:pt idx="95">
                  <c:v>106</c:v>
                </c:pt>
                <c:pt idx="96">
                  <c:v>107</c:v>
                </c:pt>
                <c:pt idx="97">
                  <c:v>108</c:v>
                </c:pt>
                <c:pt idx="98">
                  <c:v>109</c:v>
                </c:pt>
                <c:pt idx="99">
                  <c:v>110</c:v>
                </c:pt>
                <c:pt idx="100">
                  <c:v>111</c:v>
                </c:pt>
                <c:pt idx="101">
                  <c:v>112</c:v>
                </c:pt>
                <c:pt idx="102">
                  <c:v>113</c:v>
                </c:pt>
                <c:pt idx="103">
                  <c:v>114</c:v>
                </c:pt>
                <c:pt idx="104">
                  <c:v>115</c:v>
                </c:pt>
                <c:pt idx="105">
                  <c:v>116</c:v>
                </c:pt>
                <c:pt idx="106">
                  <c:v>117</c:v>
                </c:pt>
                <c:pt idx="107">
                  <c:v>118</c:v>
                </c:pt>
                <c:pt idx="108">
                  <c:v>119</c:v>
                </c:pt>
                <c:pt idx="109">
                  <c:v>120</c:v>
                </c:pt>
                <c:pt idx="110">
                  <c:v>121</c:v>
                </c:pt>
                <c:pt idx="111">
                  <c:v>122</c:v>
                </c:pt>
                <c:pt idx="112">
                  <c:v>123</c:v>
                </c:pt>
                <c:pt idx="113">
                  <c:v>124</c:v>
                </c:pt>
                <c:pt idx="114">
                  <c:v>125</c:v>
                </c:pt>
                <c:pt idx="115">
                  <c:v>126</c:v>
                </c:pt>
                <c:pt idx="116">
                  <c:v>127</c:v>
                </c:pt>
                <c:pt idx="117">
                  <c:v>128</c:v>
                </c:pt>
                <c:pt idx="118">
                  <c:v>129</c:v>
                </c:pt>
                <c:pt idx="119">
                  <c:v>130</c:v>
                </c:pt>
                <c:pt idx="120">
                  <c:v>131</c:v>
                </c:pt>
                <c:pt idx="121">
                  <c:v>132</c:v>
                </c:pt>
                <c:pt idx="122">
                  <c:v>133</c:v>
                </c:pt>
                <c:pt idx="123">
                  <c:v>134</c:v>
                </c:pt>
                <c:pt idx="124">
                  <c:v>135</c:v>
                </c:pt>
                <c:pt idx="125">
                  <c:v>136</c:v>
                </c:pt>
                <c:pt idx="126">
                  <c:v>137</c:v>
                </c:pt>
                <c:pt idx="127">
                  <c:v>138</c:v>
                </c:pt>
                <c:pt idx="128">
                  <c:v>139</c:v>
                </c:pt>
                <c:pt idx="129">
                  <c:v>140</c:v>
                </c:pt>
                <c:pt idx="130">
                  <c:v>141</c:v>
                </c:pt>
                <c:pt idx="131">
                  <c:v>142</c:v>
                </c:pt>
                <c:pt idx="132">
                  <c:v>143</c:v>
                </c:pt>
                <c:pt idx="133">
                  <c:v>144</c:v>
                </c:pt>
                <c:pt idx="134">
                  <c:v>145</c:v>
                </c:pt>
                <c:pt idx="135">
                  <c:v>146</c:v>
                </c:pt>
                <c:pt idx="136">
                  <c:v>147</c:v>
                </c:pt>
                <c:pt idx="137">
                  <c:v>148</c:v>
                </c:pt>
                <c:pt idx="138">
                  <c:v>149</c:v>
                </c:pt>
                <c:pt idx="139">
                  <c:v>150</c:v>
                </c:pt>
                <c:pt idx="140">
                  <c:v>151</c:v>
                </c:pt>
                <c:pt idx="141">
                  <c:v>152</c:v>
                </c:pt>
                <c:pt idx="142">
                  <c:v>153</c:v>
                </c:pt>
                <c:pt idx="143">
                  <c:v>154</c:v>
                </c:pt>
                <c:pt idx="144">
                  <c:v>155</c:v>
                </c:pt>
                <c:pt idx="145">
                  <c:v>156</c:v>
                </c:pt>
                <c:pt idx="146">
                  <c:v>157</c:v>
                </c:pt>
                <c:pt idx="147">
                  <c:v>158</c:v>
                </c:pt>
                <c:pt idx="148">
                  <c:v>159</c:v>
                </c:pt>
                <c:pt idx="149">
                  <c:v>160</c:v>
                </c:pt>
                <c:pt idx="150">
                  <c:v>161</c:v>
                </c:pt>
                <c:pt idx="151">
                  <c:v>162</c:v>
                </c:pt>
                <c:pt idx="152">
                  <c:v>163</c:v>
                </c:pt>
                <c:pt idx="153">
                  <c:v>164</c:v>
                </c:pt>
                <c:pt idx="154">
                  <c:v>165</c:v>
                </c:pt>
                <c:pt idx="155">
                  <c:v>166</c:v>
                </c:pt>
                <c:pt idx="156">
                  <c:v>167</c:v>
                </c:pt>
                <c:pt idx="157">
                  <c:v>168</c:v>
                </c:pt>
                <c:pt idx="158">
                  <c:v>169</c:v>
                </c:pt>
                <c:pt idx="159">
                  <c:v>170</c:v>
                </c:pt>
                <c:pt idx="160">
                  <c:v>171</c:v>
                </c:pt>
                <c:pt idx="161">
                  <c:v>172</c:v>
                </c:pt>
                <c:pt idx="162">
                  <c:v>173</c:v>
                </c:pt>
                <c:pt idx="163">
                  <c:v>174</c:v>
                </c:pt>
                <c:pt idx="164">
                  <c:v>175</c:v>
                </c:pt>
                <c:pt idx="165">
                  <c:v>176</c:v>
                </c:pt>
                <c:pt idx="166">
                  <c:v>177</c:v>
                </c:pt>
                <c:pt idx="167">
                  <c:v>178</c:v>
                </c:pt>
                <c:pt idx="168">
                  <c:v>179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183</c:v>
                </c:pt>
                <c:pt idx="173">
                  <c:v>184</c:v>
                </c:pt>
                <c:pt idx="174">
                  <c:v>185</c:v>
                </c:pt>
                <c:pt idx="175">
                  <c:v>186</c:v>
                </c:pt>
                <c:pt idx="176">
                  <c:v>187</c:v>
                </c:pt>
                <c:pt idx="177">
                  <c:v>188</c:v>
                </c:pt>
                <c:pt idx="178">
                  <c:v>189</c:v>
                </c:pt>
                <c:pt idx="179">
                  <c:v>190</c:v>
                </c:pt>
                <c:pt idx="180">
                  <c:v>191</c:v>
                </c:pt>
                <c:pt idx="181">
                  <c:v>192</c:v>
                </c:pt>
                <c:pt idx="182">
                  <c:v>193</c:v>
                </c:pt>
                <c:pt idx="183">
                  <c:v>194</c:v>
                </c:pt>
                <c:pt idx="184">
                  <c:v>195</c:v>
                </c:pt>
                <c:pt idx="185">
                  <c:v>196</c:v>
                </c:pt>
                <c:pt idx="186">
                  <c:v>197</c:v>
                </c:pt>
                <c:pt idx="187">
                  <c:v>198</c:v>
                </c:pt>
                <c:pt idx="188">
                  <c:v>199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203</c:v>
                </c:pt>
                <c:pt idx="193">
                  <c:v>204</c:v>
                </c:pt>
                <c:pt idx="194">
                  <c:v>205</c:v>
                </c:pt>
                <c:pt idx="195">
                  <c:v>206</c:v>
                </c:pt>
                <c:pt idx="196">
                  <c:v>207</c:v>
                </c:pt>
                <c:pt idx="197">
                  <c:v>208</c:v>
                </c:pt>
                <c:pt idx="198">
                  <c:v>209</c:v>
                </c:pt>
                <c:pt idx="199">
                  <c:v>210</c:v>
                </c:pt>
                <c:pt idx="200">
                  <c:v>211</c:v>
                </c:pt>
                <c:pt idx="201">
                  <c:v>212</c:v>
                </c:pt>
                <c:pt idx="202">
                  <c:v>213</c:v>
                </c:pt>
                <c:pt idx="203">
                  <c:v>214</c:v>
                </c:pt>
                <c:pt idx="204">
                  <c:v>215</c:v>
                </c:pt>
                <c:pt idx="205">
                  <c:v>216</c:v>
                </c:pt>
                <c:pt idx="206">
                  <c:v>217</c:v>
                </c:pt>
                <c:pt idx="207">
                  <c:v>218</c:v>
                </c:pt>
                <c:pt idx="208">
                  <c:v>219</c:v>
                </c:pt>
                <c:pt idx="209">
                  <c:v>220</c:v>
                </c:pt>
                <c:pt idx="210">
                  <c:v>221</c:v>
                </c:pt>
                <c:pt idx="211">
                  <c:v>222</c:v>
                </c:pt>
                <c:pt idx="212">
                  <c:v>223</c:v>
                </c:pt>
                <c:pt idx="213">
                  <c:v>224</c:v>
                </c:pt>
                <c:pt idx="214">
                  <c:v>225</c:v>
                </c:pt>
                <c:pt idx="215">
                  <c:v>226</c:v>
                </c:pt>
                <c:pt idx="216">
                  <c:v>227</c:v>
                </c:pt>
                <c:pt idx="217">
                  <c:v>228</c:v>
                </c:pt>
                <c:pt idx="218">
                  <c:v>229</c:v>
                </c:pt>
                <c:pt idx="219">
                  <c:v>230</c:v>
                </c:pt>
                <c:pt idx="220">
                  <c:v>231</c:v>
                </c:pt>
                <c:pt idx="221">
                  <c:v>232</c:v>
                </c:pt>
                <c:pt idx="222">
                  <c:v>233</c:v>
                </c:pt>
                <c:pt idx="223">
                  <c:v>234</c:v>
                </c:pt>
                <c:pt idx="224">
                  <c:v>235</c:v>
                </c:pt>
                <c:pt idx="225">
                  <c:v>236</c:v>
                </c:pt>
                <c:pt idx="226">
                  <c:v>237</c:v>
                </c:pt>
                <c:pt idx="227">
                  <c:v>238</c:v>
                </c:pt>
                <c:pt idx="228">
                  <c:v>239</c:v>
                </c:pt>
                <c:pt idx="229">
                  <c:v>240</c:v>
                </c:pt>
                <c:pt idx="230">
                  <c:v>241</c:v>
                </c:pt>
                <c:pt idx="231">
                  <c:v>242</c:v>
                </c:pt>
                <c:pt idx="232">
                  <c:v>243</c:v>
                </c:pt>
                <c:pt idx="233">
                  <c:v>244</c:v>
                </c:pt>
                <c:pt idx="234">
                  <c:v>245</c:v>
                </c:pt>
                <c:pt idx="235">
                  <c:v>246</c:v>
                </c:pt>
                <c:pt idx="236">
                  <c:v>247</c:v>
                </c:pt>
                <c:pt idx="237">
                  <c:v>248</c:v>
                </c:pt>
                <c:pt idx="238">
                  <c:v>249</c:v>
                </c:pt>
                <c:pt idx="239">
                  <c:v>250</c:v>
                </c:pt>
                <c:pt idx="240">
                  <c:v>251</c:v>
                </c:pt>
                <c:pt idx="241">
                  <c:v>252</c:v>
                </c:pt>
                <c:pt idx="242">
                  <c:v>253</c:v>
                </c:pt>
                <c:pt idx="243">
                  <c:v>254</c:v>
                </c:pt>
                <c:pt idx="244">
                  <c:v>255</c:v>
                </c:pt>
                <c:pt idx="245">
                  <c:v>256</c:v>
                </c:pt>
                <c:pt idx="246">
                  <c:v>257</c:v>
                </c:pt>
                <c:pt idx="247">
                  <c:v>258</c:v>
                </c:pt>
                <c:pt idx="248">
                  <c:v>259</c:v>
                </c:pt>
                <c:pt idx="249">
                  <c:v>260</c:v>
                </c:pt>
                <c:pt idx="250">
                  <c:v>261</c:v>
                </c:pt>
                <c:pt idx="251">
                  <c:v>262</c:v>
                </c:pt>
                <c:pt idx="252">
                  <c:v>263</c:v>
                </c:pt>
                <c:pt idx="253">
                  <c:v>264</c:v>
                </c:pt>
                <c:pt idx="254">
                  <c:v>265</c:v>
                </c:pt>
                <c:pt idx="255">
                  <c:v>266</c:v>
                </c:pt>
                <c:pt idx="256">
                  <c:v>267</c:v>
                </c:pt>
                <c:pt idx="257">
                  <c:v>268</c:v>
                </c:pt>
                <c:pt idx="258">
                  <c:v>269</c:v>
                </c:pt>
                <c:pt idx="259">
                  <c:v>270</c:v>
                </c:pt>
                <c:pt idx="260">
                  <c:v>271</c:v>
                </c:pt>
                <c:pt idx="261">
                  <c:v>272</c:v>
                </c:pt>
                <c:pt idx="262">
                  <c:v>273</c:v>
                </c:pt>
                <c:pt idx="263">
                  <c:v>274</c:v>
                </c:pt>
                <c:pt idx="264">
                  <c:v>275</c:v>
                </c:pt>
                <c:pt idx="265">
                  <c:v>276</c:v>
                </c:pt>
                <c:pt idx="266">
                  <c:v>277</c:v>
                </c:pt>
                <c:pt idx="267">
                  <c:v>278</c:v>
                </c:pt>
                <c:pt idx="268">
                  <c:v>279</c:v>
                </c:pt>
                <c:pt idx="269">
                  <c:v>280</c:v>
                </c:pt>
                <c:pt idx="270">
                  <c:v>281</c:v>
                </c:pt>
                <c:pt idx="271">
                  <c:v>282</c:v>
                </c:pt>
                <c:pt idx="272">
                  <c:v>283</c:v>
                </c:pt>
                <c:pt idx="273">
                  <c:v>284</c:v>
                </c:pt>
                <c:pt idx="274">
                  <c:v>285</c:v>
                </c:pt>
                <c:pt idx="275">
                  <c:v>286</c:v>
                </c:pt>
                <c:pt idx="276">
                  <c:v>287</c:v>
                </c:pt>
                <c:pt idx="277">
                  <c:v>288</c:v>
                </c:pt>
                <c:pt idx="278">
                  <c:v>289</c:v>
                </c:pt>
                <c:pt idx="279">
                  <c:v>290</c:v>
                </c:pt>
                <c:pt idx="280">
                  <c:v>291</c:v>
                </c:pt>
                <c:pt idx="281">
                  <c:v>292</c:v>
                </c:pt>
                <c:pt idx="282">
                  <c:v>293</c:v>
                </c:pt>
                <c:pt idx="283">
                  <c:v>294</c:v>
                </c:pt>
                <c:pt idx="284">
                  <c:v>295</c:v>
                </c:pt>
                <c:pt idx="285">
                  <c:v>296</c:v>
                </c:pt>
                <c:pt idx="286">
                  <c:v>297</c:v>
                </c:pt>
                <c:pt idx="287">
                  <c:v>298</c:v>
                </c:pt>
                <c:pt idx="288">
                  <c:v>299</c:v>
                </c:pt>
                <c:pt idx="289">
                  <c:v>300</c:v>
                </c:pt>
                <c:pt idx="290">
                  <c:v>301</c:v>
                </c:pt>
                <c:pt idx="291">
                  <c:v>302</c:v>
                </c:pt>
                <c:pt idx="292">
                  <c:v>303</c:v>
                </c:pt>
                <c:pt idx="293">
                  <c:v>304</c:v>
                </c:pt>
                <c:pt idx="294">
                  <c:v>305</c:v>
                </c:pt>
                <c:pt idx="295">
                  <c:v>306</c:v>
                </c:pt>
                <c:pt idx="296">
                  <c:v>307</c:v>
                </c:pt>
                <c:pt idx="297">
                  <c:v>308</c:v>
                </c:pt>
                <c:pt idx="298">
                  <c:v>309</c:v>
                </c:pt>
                <c:pt idx="299">
                  <c:v>310</c:v>
                </c:pt>
                <c:pt idx="300">
                  <c:v>311</c:v>
                </c:pt>
                <c:pt idx="301">
                  <c:v>312</c:v>
                </c:pt>
                <c:pt idx="302">
                  <c:v>313</c:v>
                </c:pt>
                <c:pt idx="303">
                  <c:v>314</c:v>
                </c:pt>
                <c:pt idx="304">
                  <c:v>315</c:v>
                </c:pt>
                <c:pt idx="305">
                  <c:v>316</c:v>
                </c:pt>
                <c:pt idx="306">
                  <c:v>317</c:v>
                </c:pt>
                <c:pt idx="307">
                  <c:v>318</c:v>
                </c:pt>
                <c:pt idx="308">
                  <c:v>319</c:v>
                </c:pt>
                <c:pt idx="309">
                  <c:v>320</c:v>
                </c:pt>
                <c:pt idx="310">
                  <c:v>321</c:v>
                </c:pt>
                <c:pt idx="311">
                  <c:v>322</c:v>
                </c:pt>
                <c:pt idx="312">
                  <c:v>323</c:v>
                </c:pt>
                <c:pt idx="313">
                  <c:v>324</c:v>
                </c:pt>
                <c:pt idx="314">
                  <c:v>325</c:v>
                </c:pt>
                <c:pt idx="315">
                  <c:v>326</c:v>
                </c:pt>
                <c:pt idx="316">
                  <c:v>327</c:v>
                </c:pt>
                <c:pt idx="317">
                  <c:v>328</c:v>
                </c:pt>
                <c:pt idx="318">
                  <c:v>329</c:v>
                </c:pt>
                <c:pt idx="319">
                  <c:v>330</c:v>
                </c:pt>
                <c:pt idx="320">
                  <c:v>331</c:v>
                </c:pt>
                <c:pt idx="321">
                  <c:v>332</c:v>
                </c:pt>
                <c:pt idx="322">
                  <c:v>333</c:v>
                </c:pt>
                <c:pt idx="323">
                  <c:v>334</c:v>
                </c:pt>
                <c:pt idx="324">
                  <c:v>335</c:v>
                </c:pt>
                <c:pt idx="325">
                  <c:v>336</c:v>
                </c:pt>
                <c:pt idx="326">
                  <c:v>337</c:v>
                </c:pt>
                <c:pt idx="327">
                  <c:v>338</c:v>
                </c:pt>
                <c:pt idx="328">
                  <c:v>339</c:v>
                </c:pt>
                <c:pt idx="329">
                  <c:v>340</c:v>
                </c:pt>
                <c:pt idx="330">
                  <c:v>341</c:v>
                </c:pt>
                <c:pt idx="331">
                  <c:v>342</c:v>
                </c:pt>
                <c:pt idx="332">
                  <c:v>343</c:v>
                </c:pt>
                <c:pt idx="333">
                  <c:v>344</c:v>
                </c:pt>
                <c:pt idx="334">
                  <c:v>345</c:v>
                </c:pt>
                <c:pt idx="335">
                  <c:v>346</c:v>
                </c:pt>
                <c:pt idx="336">
                  <c:v>347</c:v>
                </c:pt>
                <c:pt idx="337">
                  <c:v>348</c:v>
                </c:pt>
                <c:pt idx="338">
                  <c:v>349</c:v>
                </c:pt>
                <c:pt idx="339">
                  <c:v>350</c:v>
                </c:pt>
                <c:pt idx="340">
                  <c:v>351</c:v>
                </c:pt>
                <c:pt idx="341">
                  <c:v>352</c:v>
                </c:pt>
                <c:pt idx="342">
                  <c:v>353</c:v>
                </c:pt>
                <c:pt idx="343">
                  <c:v>354</c:v>
                </c:pt>
                <c:pt idx="344">
                  <c:v>355</c:v>
                </c:pt>
                <c:pt idx="345">
                  <c:v>356</c:v>
                </c:pt>
                <c:pt idx="346">
                  <c:v>357</c:v>
                </c:pt>
                <c:pt idx="347">
                  <c:v>358</c:v>
                </c:pt>
                <c:pt idx="348">
                  <c:v>359</c:v>
                </c:pt>
                <c:pt idx="349">
                  <c:v>360</c:v>
                </c:pt>
                <c:pt idx="350">
                  <c:v>361</c:v>
                </c:pt>
                <c:pt idx="351">
                  <c:v>362</c:v>
                </c:pt>
                <c:pt idx="352">
                  <c:v>363</c:v>
                </c:pt>
                <c:pt idx="353">
                  <c:v>364</c:v>
                </c:pt>
                <c:pt idx="354">
                  <c:v>365</c:v>
                </c:pt>
                <c:pt idx="355">
                  <c:v>366</c:v>
                </c:pt>
                <c:pt idx="356">
                  <c:v>367</c:v>
                </c:pt>
                <c:pt idx="357">
                  <c:v>368</c:v>
                </c:pt>
                <c:pt idx="358">
                  <c:v>369</c:v>
                </c:pt>
                <c:pt idx="359">
                  <c:v>370</c:v>
                </c:pt>
                <c:pt idx="360">
                  <c:v>371</c:v>
                </c:pt>
                <c:pt idx="361">
                  <c:v>372</c:v>
                </c:pt>
                <c:pt idx="362">
                  <c:v>373</c:v>
                </c:pt>
                <c:pt idx="363">
                  <c:v>374</c:v>
                </c:pt>
                <c:pt idx="364">
                  <c:v>375</c:v>
                </c:pt>
                <c:pt idx="365">
                  <c:v>376</c:v>
                </c:pt>
                <c:pt idx="366">
                  <c:v>377</c:v>
                </c:pt>
                <c:pt idx="367">
                  <c:v>378</c:v>
                </c:pt>
                <c:pt idx="368">
                  <c:v>379</c:v>
                </c:pt>
                <c:pt idx="369">
                  <c:v>380</c:v>
                </c:pt>
              </c:numCache>
            </c:numRef>
          </c:xVal>
          <c:yVal>
            <c:numRef>
              <c:f>'Markov Model_SA2'!$G$10:$G$408</c:f>
              <c:numCache>
                <c:formatCode>0.000</c:formatCode>
                <c:ptCount val="399"/>
                <c:pt idx="0" formatCode="General">
                  <c:v>100</c:v>
                </c:pt>
                <c:pt idx="1">
                  <c:v>81.2</c:v>
                </c:pt>
                <c:pt idx="2">
                  <c:v>78.733697622135793</c:v>
                </c:pt>
                <c:pt idx="3">
                  <c:v>76.435841640263902</c:v>
                </c:pt>
                <c:pt idx="4">
                  <c:v>74.292355776136532</c:v>
                </c:pt>
                <c:pt idx="5">
                  <c:v>72.2905631963838</c:v>
                </c:pt>
                <c:pt idx="6">
                  <c:v>70.419026783068134</c:v>
                </c:pt>
                <c:pt idx="7">
                  <c:v>68.667409774657514</c:v>
                </c:pt>
                <c:pt idx="8">
                  <c:v>67.026353927071256</c:v>
                </c:pt>
                <c:pt idx="9">
                  <c:v>65.487372776469897</c:v>
                </c:pt>
                <c:pt idx="10">
                  <c:v>64.042757947242279</c:v>
                </c:pt>
                <c:pt idx="11">
                  <c:v>62.685496752340477</c:v>
                </c:pt>
                <c:pt idx="12">
                  <c:v>61.409199588657238</c:v>
                </c:pt>
                <c:pt idx="13">
                  <c:v>60.208035845664938</c:v>
                </c:pt>
                <c:pt idx="14">
                  <c:v>59.076677227718015</c:v>
                </c:pt>
                <c:pt idx="15">
                  <c:v>58.010247544762841</c:v>
                </c:pt>
                <c:pt idx="16">
                  <c:v>57.004278157236541</c:v>
                </c:pt>
                <c:pt idx="17">
                  <c:v>56.054668372425574</c:v>
                </c:pt>
                <c:pt idx="18">
                  <c:v>55.157650184607256</c:v>
                </c:pt>
                <c:pt idx="19">
                  <c:v>54.309756832502096</c:v>
                </c:pt>
                <c:pt idx="20">
                  <c:v>53.507794717076003</c:v>
                </c:pt>
                <c:pt idx="21">
                  <c:v>52.748818282348878</c:v>
                </c:pt>
                <c:pt idx="22">
                  <c:v>52.03010751309543</c:v>
                </c:pt>
                <c:pt idx="23">
                  <c:v>51.349147747427644</c:v>
                </c:pt>
                <c:pt idx="24">
                  <c:v>50.703611540285912</c:v>
                </c:pt>
                <c:pt idx="25">
                  <c:v>50.091342346731096</c:v>
                </c:pt>
                <c:pt idx="26">
                  <c:v>49.938069782811901</c:v>
                </c:pt>
                <c:pt idx="27">
                  <c:v>49.785266211691656</c:v>
                </c:pt>
                <c:pt idx="28">
                  <c:v>49.63293019831741</c:v>
                </c:pt>
                <c:pt idx="29">
                  <c:v>49.481060312027267</c:v>
                </c:pt>
                <c:pt idx="30">
                  <c:v>49.32965512653697</c:v>
                </c:pt>
                <c:pt idx="31">
                  <c:v>49.178713219926486</c:v>
                </c:pt>
                <c:pt idx="32">
                  <c:v>49.028233174626664</c:v>
                </c:pt>
                <c:pt idx="33">
                  <c:v>48.878213577405916</c:v>
                </c:pt>
                <c:pt idx="34">
                  <c:v>48.728653019356948</c:v>
                </c:pt>
                <c:pt idx="35">
                  <c:v>48.579550095883526</c:v>
                </c:pt>
                <c:pt idx="36">
                  <c:v>48.430903406687285</c:v>
                </c:pt>
                <c:pt idx="37">
                  <c:v>48.282711555754581</c:v>
                </c:pt>
                <c:pt idx="38">
                  <c:v>48.123830774477192</c:v>
                </c:pt>
                <c:pt idx="39">
                  <c:v>47.965472811861929</c:v>
                </c:pt>
                <c:pt idx="40">
                  <c:v>47.807635947503393</c:v>
                </c:pt>
                <c:pt idx="41">
                  <c:v>47.650318466657417</c:v>
                </c:pt>
                <c:pt idx="42">
                  <c:v>47.493518660222421</c:v>
                </c:pt>
                <c:pt idx="43">
                  <c:v>47.337234824720866</c:v>
                </c:pt>
                <c:pt idx="44">
                  <c:v>47.181465262280739</c:v>
                </c:pt>
                <c:pt idx="45">
                  <c:v>47.026208280617084</c:v>
                </c:pt>
                <c:pt idx="46">
                  <c:v>46.871462193013663</c:v>
                </c:pt>
                <c:pt idx="47">
                  <c:v>46.717225318304585</c:v>
                </c:pt>
                <c:pt idx="48">
                  <c:v>46.563495980856068</c:v>
                </c:pt>
                <c:pt idx="49">
                  <c:v>46.410272510548232</c:v>
                </c:pt>
                <c:pt idx="50">
                  <c:v>46.246116460785913</c:v>
                </c:pt>
                <c:pt idx="51">
                  <c:v>46.082541041285296</c:v>
                </c:pt>
                <c:pt idx="52">
                  <c:v>45.919544198320672</c:v>
                </c:pt>
                <c:pt idx="53">
                  <c:v>45.757123885430474</c:v>
                </c:pt>
                <c:pt idx="54">
                  <c:v>45.595278063391611</c:v>
                </c:pt>
                <c:pt idx="55">
                  <c:v>45.434004700193846</c:v>
                </c:pt>
                <c:pt idx="56">
                  <c:v>45.273301771014289</c:v>
                </c:pt>
                <c:pt idx="57">
                  <c:v>45.113167258191986</c:v>
                </c:pt>
                <c:pt idx="58">
                  <c:v>44.95359915120256</c:v>
                </c:pt>
                <c:pt idx="59">
                  <c:v>44.794595446632997</c:v>
                </c:pt>
                <c:pt idx="60">
                  <c:v>44.636154148156479</c:v>
                </c:pt>
                <c:pt idx="61">
                  <c:v>44.478273266507315</c:v>
                </c:pt>
                <c:pt idx="62">
                  <c:v>44.309049785473832</c:v>
                </c:pt>
                <c:pt idx="63">
                  <c:v>44.140470137584707</c:v>
                </c:pt>
                <c:pt idx="64">
                  <c:v>43.972531873291487</c:v>
                </c:pt>
                <c:pt idx="65">
                  <c:v>43.805232552365339</c:v>
                </c:pt>
                <c:pt idx="66">
                  <c:v>43.638569743861602</c:v>
                </c:pt>
                <c:pt idx="67">
                  <c:v>43.472541026084478</c:v>
                </c:pt>
                <c:pt idx="68">
                  <c:v>43.307143986551814</c:v>
                </c:pt>
                <c:pt idx="69">
                  <c:v>43.142376221960077</c:v>
                </c:pt>
                <c:pt idx="70">
                  <c:v>42.978235338149418</c:v>
                </c:pt>
                <c:pt idx="71">
                  <c:v>42.814718950068887</c:v>
                </c:pt>
                <c:pt idx="72">
                  <c:v>42.651824681741772</c:v>
                </c:pt>
                <c:pt idx="73">
                  <c:v>42.489550166231083</c:v>
                </c:pt>
                <c:pt idx="74">
                  <c:v>42.315838612070614</c:v>
                </c:pt>
                <c:pt idx="75">
                  <c:v>42.142837249096701</c:v>
                </c:pt>
                <c:pt idx="76">
                  <c:v>41.970543173809205</c:v>
                </c:pt>
                <c:pt idx="77">
                  <c:v>41.798953494578477</c:v>
                </c:pt>
                <c:pt idx="78">
                  <c:v>41.628065331596815</c:v>
                </c:pt>
                <c:pt idx="79">
                  <c:v>41.457875816830139</c:v>
                </c:pt>
                <c:pt idx="80">
                  <c:v>41.288382093969851</c:v>
                </c:pt>
                <c:pt idx="81">
                  <c:v>41.119581318384917</c:v>
                </c:pt>
                <c:pt idx="82">
                  <c:v>40.95147065707409</c:v>
                </c:pt>
                <c:pt idx="83">
                  <c:v>40.784047288618403</c:v>
                </c:pt>
                <c:pt idx="84">
                  <c:v>40.617308403133784</c:v>
                </c:pt>
                <c:pt idx="85">
                  <c:v>40.451251202223922</c:v>
                </c:pt>
                <c:pt idx="86">
                  <c:v>40.273981136259792</c:v>
                </c:pt>
                <c:pt idx="87">
                  <c:v>40.09748792330646</c:v>
                </c:pt>
                <c:pt idx="88">
                  <c:v>39.921768158950449</c:v>
                </c:pt>
                <c:pt idx="89">
                  <c:v>39.746818453697507</c:v>
                </c:pt>
                <c:pt idx="90">
                  <c:v>39.572635432907191</c:v>
                </c:pt>
                <c:pt idx="91">
                  <c:v>39.399215736727797</c:v>
                </c:pt>
                <c:pt idx="92">
                  <c:v>39.226556020031552</c:v>
                </c:pt>
                <c:pt idx="93">
                  <c:v>39.054652952350068</c:v>
                </c:pt>
                <c:pt idx="94">
                  <c:v>38.883503217810123</c:v>
                </c:pt>
                <c:pt idx="95">
                  <c:v>38.713103515069683</c:v>
                </c:pt>
                <c:pt idx="96">
                  <c:v>38.543450557254246</c:v>
                </c:pt>
                <c:pt idx="97">
                  <c:v>38.374541071893404</c:v>
                </c:pt>
                <c:pt idx="98">
                  <c:v>38.194840913184429</c:v>
                </c:pt>
                <c:pt idx="99">
                  <c:v>38.015982253712657</c:v>
                </c:pt>
                <c:pt idx="100">
                  <c:v>37.837961152908576</c:v>
                </c:pt>
                <c:pt idx="101">
                  <c:v>37.660773688655567</c:v>
                </c:pt>
                <c:pt idx="102">
                  <c:v>37.484415957203474</c:v>
                </c:pt>
                <c:pt idx="103">
                  <c:v>37.308884073082616</c:v>
                </c:pt>
                <c:pt idx="104">
                  <c:v>37.134174169018166</c:v>
                </c:pt>
                <c:pt idx="105">
                  <c:v>36.960282395844963</c:v>
                </c:pt>
                <c:pt idx="106">
                  <c:v>36.787204922422703</c:v>
                </c:pt>
                <c:pt idx="107">
                  <c:v>36.614937935551531</c:v>
                </c:pt>
                <c:pt idx="108">
                  <c:v>36.44347763988803</c:v>
                </c:pt>
                <c:pt idx="109">
                  <c:v>36.272820257861603</c:v>
                </c:pt>
                <c:pt idx="110">
                  <c:v>36.091642880894433</c:v>
                </c:pt>
                <c:pt idx="111">
                  <c:v>35.899384986458287</c:v>
                </c:pt>
                <c:pt idx="112">
                  <c:v>35.708151237642085</c:v>
                </c:pt>
                <c:pt idx="113">
                  <c:v>35.517936178886998</c:v>
                </c:pt>
                <c:pt idx="114">
                  <c:v>35.328734383695647</c:v>
                </c:pt>
                <c:pt idx="115">
                  <c:v>35.140540454477232</c:v>
                </c:pt>
                <c:pt idx="116">
                  <c:v>34.953349022393581</c:v>
                </c:pt>
                <c:pt idx="117">
                  <c:v>34.767154747205993</c:v>
                </c:pt>
                <c:pt idx="118">
                  <c:v>34.58195231712287</c:v>
                </c:pt>
                <c:pt idx="119">
                  <c:v>34.397736448648203</c:v>
                </c:pt>
                <c:pt idx="120">
                  <c:v>34.214501886430824</c:v>
                </c:pt>
                <c:pt idx="121">
                  <c:v>34.032243403114478</c:v>
                </c:pt>
                <c:pt idx="122">
                  <c:v>33.850955799188725</c:v>
                </c:pt>
                <c:pt idx="123">
                  <c:v>33.657627591844374</c:v>
                </c:pt>
                <c:pt idx="124">
                  <c:v>33.46540351272543</c:v>
                </c:pt>
                <c:pt idx="125">
                  <c:v>33.274277255979513</c:v>
                </c:pt>
                <c:pt idx="126">
                  <c:v>33.084242551767957</c:v>
                </c:pt>
                <c:pt idx="127">
                  <c:v>32.895293166060156</c:v>
                </c:pt>
                <c:pt idx="128">
                  <c:v>32.707422900429023</c:v>
                </c:pt>
                <c:pt idx="129">
                  <c:v>32.520625591847718</c:v>
                </c:pt>
                <c:pt idx="130">
                  <c:v>32.334895112487388</c:v>
                </c:pt>
                <c:pt idx="131">
                  <c:v>32.150225369516221</c:v>
                </c:pt>
                <c:pt idx="132">
                  <c:v>31.966610304899518</c:v>
                </c:pt>
                <c:pt idx="133">
                  <c:v>31.784043895200995</c:v>
                </c:pt>
                <c:pt idx="134">
                  <c:v>31.60252015138515</c:v>
                </c:pt>
                <c:pt idx="135">
                  <c:v>31.40870596267419</c:v>
                </c:pt>
                <c:pt idx="136">
                  <c:v>31.216080411437886</c:v>
                </c:pt>
                <c:pt idx="137">
                  <c:v>31.024636207915606</c:v>
                </c:pt>
                <c:pt idx="138">
                  <c:v>30.834366107053853</c:v>
                </c:pt>
                <c:pt idx="139">
                  <c:v>30.645262908232112</c:v>
                </c:pt>
                <c:pt idx="140">
                  <c:v>30.457319454990369</c:v>
                </c:pt>
                <c:pt idx="141">
                  <c:v>30.27052863475825</c:v>
                </c:pt>
                <c:pt idx="142">
                  <c:v>30.084883378585843</c:v>
                </c:pt>
                <c:pt idx="143">
                  <c:v>29.900376660876219</c:v>
                </c:pt>
                <c:pt idx="144">
                  <c:v>29.717001499119519</c:v>
                </c:pt>
                <c:pt idx="145">
                  <c:v>29.534750953628716</c:v>
                </c:pt>
                <c:pt idx="146">
                  <c:v>29.353618127276988</c:v>
                </c:pt>
                <c:pt idx="147">
                  <c:v>29.159332081132987</c:v>
                </c:pt>
                <c:pt idx="148">
                  <c:v>28.966331977579188</c:v>
                </c:pt>
                <c:pt idx="149">
                  <c:v>28.774609305204805</c:v>
                </c:pt>
                <c:pt idx="150">
                  <c:v>28.584155608934509</c:v>
                </c:pt>
                <c:pt idx="151">
                  <c:v>28.394962489655484</c:v>
                </c:pt>
                <c:pt idx="152">
                  <c:v>28.207021603847068</c:v>
                </c:pt>
                <c:pt idx="153">
                  <c:v>28.020324663212776</c:v>
                </c:pt>
                <c:pt idx="154">
                  <c:v>27.834863434314798</c:v>
                </c:pt>
                <c:pt idx="155">
                  <c:v>27.650629738210881</c:v>
                </c:pt>
                <c:pt idx="156">
                  <c:v>27.467615450093646</c:v>
                </c:pt>
                <c:pt idx="157">
                  <c:v>27.285812498932287</c:v>
                </c:pt>
                <c:pt idx="158">
                  <c:v>27.105212867116606</c:v>
                </c:pt>
                <c:pt idx="159">
                  <c:v>26.910557865834818</c:v>
                </c:pt>
                <c:pt idx="160">
                  <c:v>26.717300771653399</c:v>
                </c:pt>
                <c:pt idx="161">
                  <c:v>26.525431545558462</c:v>
                </c:pt>
                <c:pt idx="162">
                  <c:v>26.334940220630898</c:v>
                </c:pt>
                <c:pt idx="163">
                  <c:v>26.145816901528619</c:v>
                </c:pt>
                <c:pt idx="164">
                  <c:v>25.958051763972549</c:v>
                </c:pt>
                <c:pt idx="165">
                  <c:v>25.771635054236285</c:v>
                </c:pt>
                <c:pt idx="166">
                  <c:v>25.58655708863941</c:v>
                </c:pt>
                <c:pt idx="167">
                  <c:v>25.402808253044469</c:v>
                </c:pt>
                <c:pt idx="168">
                  <c:v>25.220379002357546</c:v>
                </c:pt>
                <c:pt idx="169">
                  <c:v>25.039259860032459</c:v>
                </c:pt>
                <c:pt idx="170">
                  <c:v>24.859441417578438</c:v>
                </c:pt>
                <c:pt idx="171">
                  <c:v>24.666930903495626</c:v>
                </c:pt>
                <c:pt idx="172">
                  <c:v>24.475911183087945</c:v>
                </c:pt>
                <c:pt idx="173">
                  <c:v>24.286370711709139</c:v>
                </c:pt>
                <c:pt idx="174">
                  <c:v>24.098298034114265</c:v>
                </c:pt>
                <c:pt idx="175">
                  <c:v>23.911681783767321</c:v>
                </c:pt>
                <c:pt idx="176">
                  <c:v>23.726510682154284</c:v>
                </c:pt>
                <c:pt idx="177">
                  <c:v>23.542773538101528</c:v>
                </c:pt>
                <c:pt idx="178">
                  <c:v>23.360459247099385</c:v>
                </c:pt>
                <c:pt idx="179">
                  <c:v>23.179556790631096</c:v>
                </c:pt>
                <c:pt idx="180">
                  <c:v>23.000055235506821</c:v>
                </c:pt>
                <c:pt idx="181">
                  <c:v>22.821943733202929</c:v>
                </c:pt>
                <c:pt idx="182">
                  <c:v>22.645211519206313</c:v>
                </c:pt>
                <c:pt idx="183">
                  <c:v>22.451701734920192</c:v>
                </c:pt>
                <c:pt idx="184">
                  <c:v>22.259845546873734</c:v>
                </c:pt>
                <c:pt idx="185">
                  <c:v>22.069628824615947</c:v>
                </c:pt>
                <c:pt idx="186">
                  <c:v>21.881037558444547</c:v>
                </c:pt>
                <c:pt idx="187">
                  <c:v>21.69405785837418</c:v>
                </c:pt>
                <c:pt idx="188">
                  <c:v>21.508675953113368</c:v>
                </c:pt>
                <c:pt idx="189">
                  <c:v>21.324878189050224</c:v>
                </c:pt>
                <c:pt idx="190">
                  <c:v>21.142651029246878</c:v>
                </c:pt>
                <c:pt idx="191">
                  <c:v>20.961981052442454</c:v>
                </c:pt>
                <c:pt idx="192">
                  <c:v>20.782854952064568</c:v>
                </c:pt>
                <c:pt idx="193">
                  <c:v>20.605259535249289</c:v>
                </c:pt>
                <c:pt idx="194">
                  <c:v>20.429181721869455</c:v>
                </c:pt>
                <c:pt idx="195">
                  <c:v>20.239112798747783</c:v>
                </c:pt>
                <c:pt idx="196">
                  <c:v>20.050812237963314</c:v>
                </c:pt>
                <c:pt idx="197">
                  <c:v>19.864263587034984</c:v>
                </c:pt>
                <c:pt idx="198">
                  <c:v>19.67945054655226</c:v>
                </c:pt>
                <c:pt idx="199">
                  <c:v>19.496356968750987</c:v>
                </c:pt>
                <c:pt idx="200">
                  <c:v>19.314966856102515</c:v>
                </c:pt>
                <c:pt idx="201">
                  <c:v>19.135264359915894</c:v>
                </c:pt>
                <c:pt idx="202">
                  <c:v>18.957233778953167</c:v>
                </c:pt>
                <c:pt idx="203">
                  <c:v>18.780859558057472</c:v>
                </c:pt>
                <c:pt idx="204">
                  <c:v>18.606126286793952</c:v>
                </c:pt>
                <c:pt idx="205">
                  <c:v>18.433018698103268</c:v>
                </c:pt>
                <c:pt idx="206">
                  <c:v>18.261521666967681</c:v>
                </c:pt>
                <c:pt idx="207">
                  <c:v>18.07535681541664</c:v>
                </c:pt>
                <c:pt idx="208">
                  <c:v>17.891089798700236</c:v>
                </c:pt>
                <c:pt idx="209">
                  <c:v>17.708701269573112</c:v>
                </c:pt>
                <c:pt idx="210">
                  <c:v>17.528172078023047</c:v>
                </c:pt>
                <c:pt idx="211">
                  <c:v>17.349483269260261</c:v>
                </c:pt>
                <c:pt idx="212">
                  <c:v>17.172616081727284</c:v>
                </c:pt>
                <c:pt idx="213">
                  <c:v>16.997551945129047</c:v>
                </c:pt>
                <c:pt idx="214">
                  <c:v>16.824272478483081</c:v>
                </c:pt>
                <c:pt idx="215">
                  <c:v>16.652759488189588</c:v>
                </c:pt>
                <c:pt idx="216">
                  <c:v>16.482994966121225</c:v>
                </c:pt>
                <c:pt idx="217">
                  <c:v>16.314961087732271</c:v>
                </c:pt>
                <c:pt idx="218">
                  <c:v>16.148640210187182</c:v>
                </c:pt>
                <c:pt idx="219">
                  <c:v>15.969218755682761</c:v>
                </c:pt>
                <c:pt idx="220">
                  <c:v>15.79179078533042</c:v>
                </c:pt>
                <c:pt idx="221">
                  <c:v>15.61633415027913</c:v>
                </c:pt>
                <c:pt idx="222">
                  <c:v>15.442826947765411</c:v>
                </c:pt>
                <c:pt idx="223">
                  <c:v>15.271247518379141</c:v>
                </c:pt>
                <c:pt idx="224">
                  <c:v>15.101574443359738</c:v>
                </c:pt>
                <c:pt idx="225">
                  <c:v>14.933786541922373</c:v>
                </c:pt>
                <c:pt idx="226">
                  <c:v>14.76786286861396</c:v>
                </c:pt>
                <c:pt idx="227">
                  <c:v>14.603782710698439</c:v>
                </c:pt>
                <c:pt idx="228">
                  <c:v>14.441525585571142</c:v>
                </c:pt>
                <c:pt idx="229">
                  <c:v>14.281071238201918</c:v>
                </c:pt>
                <c:pt idx="230">
                  <c:v>14.122399638606623</c:v>
                </c:pt>
                <c:pt idx="231">
                  <c:v>13.949188972900004</c:v>
                </c:pt>
                <c:pt idx="232">
                  <c:v>13.77810272906801</c:v>
                </c:pt>
                <c:pt idx="233">
                  <c:v>13.609114851161479</c:v>
                </c:pt>
                <c:pt idx="234">
                  <c:v>13.442199602806411</c:v>
                </c:pt>
                <c:pt idx="235">
                  <c:v>13.277331563284406</c:v>
                </c:pt>
                <c:pt idx="236">
                  <c:v>13.114485623661153</c:v>
                </c:pt>
                <c:pt idx="237">
                  <c:v>12.953636982962408</c:v>
                </c:pt>
                <c:pt idx="238">
                  <c:v>12.794761144396901</c:v>
                </c:pt>
                <c:pt idx="239">
                  <c:v>12.637833911625506</c:v>
                </c:pt>
                <c:pt idx="240">
                  <c:v>12.482831385076238</c:v>
                </c:pt>
                <c:pt idx="241">
                  <c:v>12.329729958304412</c:v>
                </c:pt>
                <c:pt idx="242">
                  <c:v>12.178506314397424</c:v>
                </c:pt>
                <c:pt idx="243">
                  <c:v>12.013689572383527</c:v>
                </c:pt>
                <c:pt idx="244">
                  <c:v>11.851103363223714</c:v>
                </c:pt>
                <c:pt idx="245">
                  <c:v>11.690717500198176</c:v>
                </c:pt>
                <c:pt idx="246">
                  <c:v>11.532502205116401</c:v>
                </c:pt>
                <c:pt idx="247">
                  <c:v>11.376428102788395</c:v>
                </c:pt>
                <c:pt idx="248">
                  <c:v>11.222466215570719</c:v>
                </c:pt>
                <c:pt idx="249">
                  <c:v>11.070587957986305</c:v>
                </c:pt>
                <c:pt idx="250">
                  <c:v>10.920765131417127</c:v>
                </c:pt>
                <c:pt idx="251">
                  <c:v>10.772969918868654</c:v>
                </c:pt>
                <c:pt idx="252">
                  <c:v>10.627174879805224</c:v>
                </c:pt>
                <c:pt idx="253">
                  <c:v>10.483352945055245</c:v>
                </c:pt>
                <c:pt idx="254">
                  <c:v>10.341477411785348</c:v>
                </c:pt>
                <c:pt idx="255">
                  <c:v>10.18621673776029</c:v>
                </c:pt>
                <c:pt idx="256">
                  <c:v>10.033287053393565</c:v>
                </c:pt>
                <c:pt idx="257">
                  <c:v>9.882653362619223</c:v>
                </c:pt>
                <c:pt idx="258">
                  <c:v>9.7342811947810333</c:v>
                </c:pt>
                <c:pt idx="259">
                  <c:v>9.5881365967443202</c:v>
                </c:pt>
                <c:pt idx="260">
                  <c:v>9.4441861251261798</c:v>
                </c:pt>
                <c:pt idx="261">
                  <c:v>9.3023968386423945</c:v>
                </c:pt>
                <c:pt idx="262">
                  <c:v>9.162736290569228</c:v>
                </c:pt>
                <c:pt idx="263">
                  <c:v>9.0251725213183818</c:v>
                </c:pt>
                <c:pt idx="264">
                  <c:v>8.8896740511234498</c:v>
                </c:pt>
                <c:pt idx="265">
                  <c:v>8.7562098728361661</c:v>
                </c:pt>
                <c:pt idx="266">
                  <c:v>8.6247494448307691</c:v>
                </c:pt>
                <c:pt idx="267">
                  <c:v>8.481069808742447</c:v>
                </c:pt>
                <c:pt idx="268">
                  <c:v>8.3397837306303444</c:v>
                </c:pt>
                <c:pt idx="269">
                  <c:v>8.2008513362301301</c:v>
                </c:pt>
                <c:pt idx="270">
                  <c:v>8.0642334155425743</c:v>
                </c:pt>
                <c:pt idx="271">
                  <c:v>7.9298914117675139</c:v>
                </c:pt>
                <c:pt idx="272">
                  <c:v>7.7977874104222309</c:v>
                </c:pt>
                <c:pt idx="273">
                  <c:v>7.6678841286410915</c:v>
                </c:pt>
                <c:pt idx="274">
                  <c:v>7.5401449046534452</c:v>
                </c:pt>
                <c:pt idx="275">
                  <c:v>7.4145336874368013</c:v>
                </c:pt>
                <c:pt idx="276">
                  <c:v>7.2910150265423681</c:v>
                </c:pt>
                <c:pt idx="277">
                  <c:v>7.1695540620901284</c:v>
                </c:pt>
                <c:pt idx="278">
                  <c:v>7.0501165149305365</c:v>
                </c:pt>
                <c:pt idx="279">
                  <c:v>6.920039722738295</c:v>
                </c:pt>
                <c:pt idx="280">
                  <c:v>6.7923628868916239</c:v>
                </c:pt>
                <c:pt idx="281">
                  <c:v>6.6670417274666107</c:v>
                </c:pt>
                <c:pt idx="282">
                  <c:v>6.5440327815174015</c:v>
                </c:pt>
                <c:pt idx="283">
                  <c:v>6.4232933880027048</c:v>
                </c:pt>
                <c:pt idx="284">
                  <c:v>6.3047816729903872</c:v>
                </c:pt>
                <c:pt idx="285">
                  <c:v>6.1884565351351171</c:v>
                </c:pt>
                <c:pt idx="286">
                  <c:v>6.0742776314238398</c:v>
                </c:pt>
                <c:pt idx="287">
                  <c:v>5.9622053631843812</c:v>
                </c:pt>
                <c:pt idx="288">
                  <c:v>5.8522008623520918</c:v>
                </c:pt>
                <c:pt idx="289">
                  <c:v>5.7442259779899274</c:v>
                </c:pt>
                <c:pt idx="290">
                  <c:v>5.6382432630572197</c:v>
                </c:pt>
                <c:pt idx="291">
                  <c:v>5.5225181010023903</c:v>
                </c:pt>
                <c:pt idx="292">
                  <c:v>5.4091682023953638</c:v>
                </c:pt>
                <c:pt idx="293">
                  <c:v>5.298144814861601</c:v>
                </c:pt>
                <c:pt idx="294">
                  <c:v>5.189400186670909</c:v>
                </c:pt>
                <c:pt idx="295">
                  <c:v>5.0828875461992311</c:v>
                </c:pt>
                <c:pt idx="296">
                  <c:v>4.9785610818119039</c:v>
                </c:pt>
                <c:pt idx="297">
                  <c:v>4.8763759221598661</c:v>
                </c:pt>
                <c:pt idx="298">
                  <c:v>4.7762881168802096</c:v>
                </c:pt>
                <c:pt idx="299">
                  <c:v>4.6782546176929429</c:v>
                </c:pt>
                <c:pt idx="300">
                  <c:v>4.5822332598856974</c:v>
                </c:pt>
                <c:pt idx="301">
                  <c:v>4.4881827441784736</c:v>
                </c:pt>
                <c:pt idx="302">
                  <c:v>4.3960626189605847</c:v>
                </c:pt>
                <c:pt idx="303">
                  <c:v>4.2961256622912742</c:v>
                </c:pt>
                <c:pt idx="304">
                  <c:v>4.1984606012190113</c:v>
                </c:pt>
                <c:pt idx="305">
                  <c:v>4.1030157880873475</c:v>
                </c:pt>
                <c:pt idx="306">
                  <c:v>4.0097407493608728</c:v>
                </c:pt>
                <c:pt idx="307">
                  <c:v>3.9185861589335929</c:v>
                </c:pt>
                <c:pt idx="308">
                  <c:v>3.8295038120440807</c:v>
                </c:pt>
                <c:pt idx="309">
                  <c:v>3.7424465997836052</c:v>
                </c:pt>
                <c:pt idx="310">
                  <c:v>3.6573684841838343</c:v>
                </c:pt>
                <c:pt idx="311">
                  <c:v>3.5742244738708138</c:v>
                </c:pt>
                <c:pt idx="312">
                  <c:v>3.4929706002724288</c:v>
                </c:pt>
                <c:pt idx="313">
                  <c:v>3.4135638943667885</c:v>
                </c:pt>
                <c:pt idx="314">
                  <c:v>3.3359623639591263</c:v>
                </c:pt>
                <c:pt idx="315">
                  <c:v>3.2512955009458722</c:v>
                </c:pt>
                <c:pt idx="316">
                  <c:v>3.1687774864238207</c:v>
                </c:pt>
                <c:pt idx="317">
                  <c:v>3.0883537825292393</c:v>
                </c:pt>
                <c:pt idx="318">
                  <c:v>3.0099712355716264</c:v>
                </c:pt>
                <c:pt idx="319">
                  <c:v>2.9335780409033561</c:v>
                </c:pt>
                <c:pt idx="320">
                  <c:v>2.8591237086808974</c:v>
                </c:pt>
                <c:pt idx="321">
                  <c:v>2.7865590304950416</c:v>
                </c:pt>
                <c:pt idx="322">
                  <c:v>2.7158360468480538</c:v>
                </c:pt>
                <c:pt idx="323">
                  <c:v>2.6469080154562334</c:v>
                </c:pt>
                <c:pt idx="324">
                  <c:v>2.5797293803569659</c:v>
                </c:pt>
                <c:pt idx="325">
                  <c:v>2.5142557417998717</c:v>
                </c:pt>
                <c:pt idx="326">
                  <c:v>2.4504438269020596</c:v>
                </c:pt>
                <c:pt idx="327">
                  <c:v>2.3803146228416665</c:v>
                </c:pt>
                <c:pt idx="328">
                  <c:v>2.3121924451036762</c:v>
                </c:pt>
                <c:pt idx="329">
                  <c:v>2.2460198546409202</c:v>
                </c:pt>
                <c:pt idx="330">
                  <c:v>2.1817410562532302</c:v>
                </c:pt>
                <c:pt idx="331">
                  <c:v>2.1193018515421613</c:v>
                </c:pt>
                <c:pt idx="332">
                  <c:v>2.0586495932121807</c:v>
                </c:pt>
                <c:pt idx="333">
                  <c:v>1.9997331406796945</c:v>
                </c:pt>
                <c:pt idx="334">
                  <c:v>1.942502816952441</c:v>
                </c:pt>
                <c:pt idx="335">
                  <c:v>1.8869103667430664</c:v>
                </c:pt>
                <c:pt idx="336">
                  <c:v>1.8329089157813172</c:v>
                </c:pt>
                <c:pt idx="337">
                  <c:v>1.7804529312907675</c:v>
                </c:pt>
                <c:pt idx="338">
                  <c:v>1.7294981835966468</c:v>
                </c:pt>
                <c:pt idx="339">
                  <c:v>1.6742381387225578</c:v>
                </c:pt>
                <c:pt idx="340">
                  <c:v>1.6207437346502047</c:v>
                </c:pt>
                <c:pt idx="341">
                  <c:v>1.5689585565241941</c:v>
                </c:pt>
                <c:pt idx="342">
                  <c:v>1.5188279920278376</c:v>
                </c:pt>
                <c:pt idx="343">
                  <c:v>1.4702991737893853</c:v>
                </c:pt>
                <c:pt idx="344">
                  <c:v>1.4233209236284239</c:v>
                </c:pt>
                <c:pt idx="345">
                  <c:v>1.3778436985836606</c:v>
                </c:pt>
                <c:pt idx="346">
                  <c:v>1.3338195386652671</c:v>
                </c:pt>
                <c:pt idx="347">
                  <c:v>1.2912020162765998</c:v>
                </c:pt>
                <c:pt idx="348">
                  <c:v>1.249946187251922</c:v>
                </c:pt>
                <c:pt idx="349">
                  <c:v>1.2100085434585708</c:v>
                </c:pt>
                <c:pt idx="350">
                  <c:v>1.1713469669135748</c:v>
                </c:pt>
                <c:pt idx="351">
                  <c:v>1.1297622686903566</c:v>
                </c:pt>
                <c:pt idx="352">
                  <c:v>1.089653894028956</c:v>
                </c:pt>
                <c:pt idx="353">
                  <c:v>1.0509694310723035</c:v>
                </c:pt>
                <c:pt idx="354">
                  <c:v>1.0136583286684413</c:v>
                </c:pt>
                <c:pt idx="355">
                  <c:v>0.97767183031244542</c:v>
                </c:pt>
                <c:pt idx="356">
                  <c:v>0.94296291043363567</c:v>
                </c:pt>
                <c:pt idx="357">
                  <c:v>0.90948621294459997</c:v>
                </c:pt>
                <c:pt idx="358">
                  <c:v>0.87719799197184045</c:v>
                </c:pt>
                <c:pt idx="359">
                  <c:v>0.84605605469062084</c:v>
                </c:pt>
                <c:pt idx="360">
                  <c:v>0.81601970618925179</c:v>
                </c:pt>
                <c:pt idx="361">
                  <c:v>0.78704969629073673</c:v>
                </c:pt>
                <c:pt idx="362">
                  <c:v>0.7591081682624008</c:v>
                </c:pt>
                <c:pt idx="363">
                  <c:v>0.72909181640302734</c:v>
                </c:pt>
                <c:pt idx="364">
                  <c:v>0.70026235913471169</c:v>
                </c:pt>
                <c:pt idx="365">
                  <c:v>0.6725728647458169</c:v>
                </c:pt>
                <c:pt idx="366">
                  <c:v>0.64597825727967972</c:v>
                </c:pt>
                <c:pt idx="367">
                  <c:v>0.62043524315510012</c:v>
                </c:pt>
                <c:pt idx="368">
                  <c:v>0.59590224068836051</c:v>
                </c:pt>
                <c:pt idx="369">
                  <c:v>0.5723393124020788</c:v>
                </c:pt>
                <c:pt idx="370">
                  <c:v>0.54970810001064763</c:v>
                </c:pt>
                <c:pt idx="371">
                  <c:v>0.52797176197645967</c:v>
                </c:pt>
                <c:pt idx="372">
                  <c:v>0.50709491353524072</c:v>
                </c:pt>
                <c:pt idx="373">
                  <c:v>0.48704356909296109</c:v>
                </c:pt>
                <c:pt idx="374">
                  <c:v>0.46778508690036347</c:v>
                </c:pt>
                <c:pt idx="375">
                  <c:v>0.44692266126912727</c:v>
                </c:pt>
                <c:pt idx="376">
                  <c:v>0.42699066462206758</c:v>
                </c:pt>
                <c:pt idx="377">
                  <c:v>0.40794760139631592</c:v>
                </c:pt>
                <c:pt idx="378">
                  <c:v>0.38975382666107805</c:v>
                </c:pt>
                <c:pt idx="379">
                  <c:v>0.37237146358258144</c:v>
                </c:pt>
                <c:pt idx="380">
                  <c:v>0.35576432456996088</c:v>
                </c:pt>
                <c:pt idx="381">
                  <c:v>0.33989783593781908</c:v>
                </c:pt>
                <c:pt idx="382">
                  <c:v>0.32473896592881601</c:v>
                </c:pt>
                <c:pt idx="383">
                  <c:v>0.31025615594624867</c:v>
                </c:pt>
                <c:pt idx="384">
                  <c:v>0.29641925485358911</c:v>
                </c:pt>
                <c:pt idx="385">
                  <c:v>0.28319945620411602</c:v>
                </c:pt>
                <c:pt idx="386">
                  <c:v>0.27056923827004198</c:v>
                </c:pt>
                <c:pt idx="387">
                  <c:v>0.25698285749326999</c:v>
                </c:pt>
                <c:pt idx="388">
                  <c:v>0.24407870409679333</c:v>
                </c:pt>
                <c:pt idx="389">
                  <c:v>0.23182252067194042</c:v>
                </c:pt>
                <c:pt idx="390">
                  <c:v>0.22018177001373829</c:v>
                </c:pt>
                <c:pt idx="391">
                  <c:v>0.20912554874247746</c:v>
                </c:pt>
                <c:pt idx="392">
                  <c:v>0.1986245052626856</c:v>
                </c:pt>
                <c:pt idx="393">
                  <c:v>0.18865076184177099</c:v>
                </c:pt>
                <c:pt idx="394">
                  <c:v>0.17917784060135489</c:v>
                </c:pt>
                <c:pt idx="395">
                  <c:v>0.17018059322491297</c:v>
                </c:pt>
                <c:pt idx="396">
                  <c:v>0.16163513419508035</c:v>
                </c:pt>
                <c:pt idx="397">
                  <c:v>0.15351877738333997</c:v>
                </c:pt>
                <c:pt idx="398">
                  <c:v>0.14580997582389443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15-4E9F-BF57-4FC69B10F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11840"/>
        <c:axId val="810202984"/>
      </c:scatterChart>
      <c:valAx>
        <c:axId val="810211840"/>
        <c:scaling>
          <c:orientation val="minMax"/>
          <c:max val="40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Months</a:t>
                </a:r>
                <a:r>
                  <a:rPr lang="en-US" sz="1400" b="1" baseline="0">
                    <a:solidFill>
                      <a:sysClr val="windowText" lastClr="000000"/>
                    </a:solidFill>
                  </a:rPr>
                  <a:t> Post-Transplant</a:t>
                </a:r>
                <a:endParaRPr lang="en-US" sz="1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02984"/>
        <c:crosses val="autoZero"/>
        <c:crossBetween val="midCat"/>
        <c:majorUnit val="12"/>
      </c:valAx>
      <c:valAx>
        <c:axId val="8102029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% Survival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11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Extrapolated Survival</a:t>
            </a:r>
            <a:r>
              <a:rPr lang="en-US" sz="1600" b="1" baseline="0">
                <a:solidFill>
                  <a:schemeClr val="tx1"/>
                </a:solidFill>
              </a:rPr>
              <a:t> Curves vs Original Kaplan-Meier Curve Fit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'Survival Extrapolation'!$BF$24</c:f>
              <c:strCache>
                <c:ptCount val="1"/>
                <c:pt idx="0">
                  <c:v>Original KM Data</c:v>
                </c:pt>
              </c:strCache>
            </c:strRef>
          </c:tx>
          <c:spPr>
            <a:ln w="25400" cap="rnd">
              <a:solidFill>
                <a:srgbClr val="FF7C8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Extrapolation'!$BF$26:$BF$102</c:f>
              <c:numCache>
                <c:formatCode>General</c:formatCode>
                <c:ptCount val="77"/>
                <c:pt idx="0">
                  <c:v>0.17799999999999999</c:v>
                </c:pt>
                <c:pt idx="1">
                  <c:v>1.08</c:v>
                </c:pt>
                <c:pt idx="2">
                  <c:v>1.35</c:v>
                </c:pt>
                <c:pt idx="3">
                  <c:v>1.58</c:v>
                </c:pt>
                <c:pt idx="4">
                  <c:v>1.67</c:v>
                </c:pt>
                <c:pt idx="5">
                  <c:v>1.81</c:v>
                </c:pt>
                <c:pt idx="6">
                  <c:v>2.0299999999999998</c:v>
                </c:pt>
                <c:pt idx="7">
                  <c:v>2.2999999999999998</c:v>
                </c:pt>
                <c:pt idx="8">
                  <c:v>2.44</c:v>
                </c:pt>
                <c:pt idx="9">
                  <c:v>2.71</c:v>
                </c:pt>
                <c:pt idx="10">
                  <c:v>2.85</c:v>
                </c:pt>
                <c:pt idx="11">
                  <c:v>3.34</c:v>
                </c:pt>
                <c:pt idx="12">
                  <c:v>3.53</c:v>
                </c:pt>
                <c:pt idx="13">
                  <c:v>3.98</c:v>
                </c:pt>
                <c:pt idx="14">
                  <c:v>3.98</c:v>
                </c:pt>
                <c:pt idx="15">
                  <c:v>4.57</c:v>
                </c:pt>
                <c:pt idx="16">
                  <c:v>4.88</c:v>
                </c:pt>
                <c:pt idx="17">
                  <c:v>5.2</c:v>
                </c:pt>
                <c:pt idx="18">
                  <c:v>5.56</c:v>
                </c:pt>
                <c:pt idx="19">
                  <c:v>5.88</c:v>
                </c:pt>
                <c:pt idx="20">
                  <c:v>5.92</c:v>
                </c:pt>
                <c:pt idx="21">
                  <c:v>6.24</c:v>
                </c:pt>
                <c:pt idx="22">
                  <c:v>6.51</c:v>
                </c:pt>
                <c:pt idx="23">
                  <c:v>6.78</c:v>
                </c:pt>
                <c:pt idx="24">
                  <c:v>6.87</c:v>
                </c:pt>
                <c:pt idx="25">
                  <c:v>6.96</c:v>
                </c:pt>
                <c:pt idx="26">
                  <c:v>7.42</c:v>
                </c:pt>
                <c:pt idx="27">
                  <c:v>7.46</c:v>
                </c:pt>
                <c:pt idx="28">
                  <c:v>7.78</c:v>
                </c:pt>
                <c:pt idx="29">
                  <c:v>7.91</c:v>
                </c:pt>
                <c:pt idx="30">
                  <c:v>8.09</c:v>
                </c:pt>
                <c:pt idx="31">
                  <c:v>8.41</c:v>
                </c:pt>
                <c:pt idx="32">
                  <c:v>9.23</c:v>
                </c:pt>
                <c:pt idx="33">
                  <c:v>9.4499999999999993</c:v>
                </c:pt>
                <c:pt idx="34">
                  <c:v>10.1</c:v>
                </c:pt>
                <c:pt idx="35">
                  <c:v>10.1</c:v>
                </c:pt>
                <c:pt idx="36">
                  <c:v>10.4</c:v>
                </c:pt>
                <c:pt idx="37">
                  <c:v>10.8</c:v>
                </c:pt>
                <c:pt idx="38">
                  <c:v>11.4</c:v>
                </c:pt>
                <c:pt idx="39">
                  <c:v>11.6</c:v>
                </c:pt>
                <c:pt idx="40">
                  <c:v>12</c:v>
                </c:pt>
                <c:pt idx="41">
                  <c:v>12.3</c:v>
                </c:pt>
                <c:pt idx="42">
                  <c:v>13.6</c:v>
                </c:pt>
                <c:pt idx="43">
                  <c:v>14</c:v>
                </c:pt>
                <c:pt idx="44">
                  <c:v>14.2</c:v>
                </c:pt>
                <c:pt idx="45">
                  <c:v>14.8</c:v>
                </c:pt>
                <c:pt idx="46">
                  <c:v>15.1</c:v>
                </c:pt>
                <c:pt idx="47">
                  <c:v>16.2</c:v>
                </c:pt>
                <c:pt idx="48">
                  <c:v>16.7</c:v>
                </c:pt>
                <c:pt idx="49">
                  <c:v>17.100000000000001</c:v>
                </c:pt>
                <c:pt idx="50">
                  <c:v>19.7</c:v>
                </c:pt>
                <c:pt idx="51">
                  <c:v>20.3</c:v>
                </c:pt>
                <c:pt idx="52">
                  <c:v>21</c:v>
                </c:pt>
                <c:pt idx="53">
                  <c:v>21.5</c:v>
                </c:pt>
                <c:pt idx="54">
                  <c:v>21.9</c:v>
                </c:pt>
                <c:pt idx="55">
                  <c:v>22.6</c:v>
                </c:pt>
                <c:pt idx="56">
                  <c:v>22.9</c:v>
                </c:pt>
                <c:pt idx="57">
                  <c:v>25.3</c:v>
                </c:pt>
                <c:pt idx="58">
                  <c:v>26.3</c:v>
                </c:pt>
                <c:pt idx="59">
                  <c:v>29</c:v>
                </c:pt>
                <c:pt idx="60">
                  <c:v>29.8</c:v>
                </c:pt>
                <c:pt idx="61">
                  <c:v>30.9</c:v>
                </c:pt>
                <c:pt idx="62">
                  <c:v>35.700000000000003</c:v>
                </c:pt>
                <c:pt idx="63">
                  <c:v>35.9</c:v>
                </c:pt>
                <c:pt idx="64">
                  <c:v>40</c:v>
                </c:pt>
                <c:pt idx="65">
                  <c:v>40.6</c:v>
                </c:pt>
                <c:pt idx="66">
                  <c:v>40.9</c:v>
                </c:pt>
                <c:pt idx="67">
                  <c:v>41.4</c:v>
                </c:pt>
                <c:pt idx="68">
                  <c:v>41.7</c:v>
                </c:pt>
                <c:pt idx="69">
                  <c:v>45.5</c:v>
                </c:pt>
                <c:pt idx="70">
                  <c:v>45.7</c:v>
                </c:pt>
                <c:pt idx="71">
                  <c:v>48</c:v>
                </c:pt>
                <c:pt idx="72">
                  <c:v>48.4</c:v>
                </c:pt>
                <c:pt idx="73">
                  <c:v>50.4</c:v>
                </c:pt>
                <c:pt idx="74">
                  <c:v>50.8</c:v>
                </c:pt>
                <c:pt idx="75">
                  <c:v>59.6</c:v>
                </c:pt>
                <c:pt idx="76">
                  <c:v>59.9</c:v>
                </c:pt>
              </c:numCache>
            </c:numRef>
          </c:xVal>
          <c:yVal>
            <c:numRef>
              <c:f>'Survival Extrapolation'!$BG$26:$BG$102</c:f>
              <c:numCache>
                <c:formatCode>General</c:formatCode>
                <c:ptCount val="77"/>
                <c:pt idx="0">
                  <c:v>1</c:v>
                </c:pt>
                <c:pt idx="1">
                  <c:v>1</c:v>
                </c:pt>
                <c:pt idx="2">
                  <c:v>0.99399999999999999</c:v>
                </c:pt>
                <c:pt idx="3">
                  <c:v>0.98499999999999999</c:v>
                </c:pt>
                <c:pt idx="4">
                  <c:v>0.97699999999999998</c:v>
                </c:pt>
                <c:pt idx="5">
                  <c:v>0.96599999999999997</c:v>
                </c:pt>
                <c:pt idx="6">
                  <c:v>0.96</c:v>
                </c:pt>
                <c:pt idx="7">
                  <c:v>0.95099999999999996</c:v>
                </c:pt>
                <c:pt idx="8">
                  <c:v>0.93899999999999995</c:v>
                </c:pt>
                <c:pt idx="9">
                  <c:v>0.93400000000000005</c:v>
                </c:pt>
                <c:pt idx="10">
                  <c:v>0.92300000000000004</c:v>
                </c:pt>
                <c:pt idx="11">
                  <c:v>0.91300000000000003</c:v>
                </c:pt>
                <c:pt idx="12">
                  <c:v>0.89200000000000002</c:v>
                </c:pt>
                <c:pt idx="13">
                  <c:v>0.88</c:v>
                </c:pt>
                <c:pt idx="14">
                  <c:v>0.86799999999999999</c:v>
                </c:pt>
                <c:pt idx="15">
                  <c:v>0.85599999999999998</c:v>
                </c:pt>
                <c:pt idx="16">
                  <c:v>0.84699999999999998</c:v>
                </c:pt>
                <c:pt idx="17">
                  <c:v>0.83699999999999997</c:v>
                </c:pt>
                <c:pt idx="18">
                  <c:v>0.82299999999999995</c:v>
                </c:pt>
                <c:pt idx="19">
                  <c:v>0.81</c:v>
                </c:pt>
                <c:pt idx="20">
                  <c:v>0.80300000000000005</c:v>
                </c:pt>
                <c:pt idx="21">
                  <c:v>0.79200000000000004</c:v>
                </c:pt>
                <c:pt idx="22">
                  <c:v>0.77700000000000002</c:v>
                </c:pt>
                <c:pt idx="23">
                  <c:v>0.76900000000000002</c:v>
                </c:pt>
                <c:pt idx="24">
                  <c:v>0.752</c:v>
                </c:pt>
                <c:pt idx="25">
                  <c:v>0.74</c:v>
                </c:pt>
                <c:pt idx="26">
                  <c:v>0.72499999999999998</c:v>
                </c:pt>
                <c:pt idx="27">
                  <c:v>0.70799999999999996</c:v>
                </c:pt>
                <c:pt idx="28">
                  <c:v>0.70099999999999996</c:v>
                </c:pt>
                <c:pt idx="29">
                  <c:v>0.68500000000000005</c:v>
                </c:pt>
                <c:pt idx="30">
                  <c:v>0.67600000000000005</c:v>
                </c:pt>
                <c:pt idx="31">
                  <c:v>0.66500000000000004</c:v>
                </c:pt>
                <c:pt idx="32">
                  <c:v>0.65500000000000003</c:v>
                </c:pt>
                <c:pt idx="33">
                  <c:v>0.64200000000000002</c:v>
                </c:pt>
                <c:pt idx="34">
                  <c:v>0.64100000000000001</c:v>
                </c:pt>
                <c:pt idx="35">
                  <c:v>0.621</c:v>
                </c:pt>
                <c:pt idx="36">
                  <c:v>0.61</c:v>
                </c:pt>
                <c:pt idx="37">
                  <c:v>0.6</c:v>
                </c:pt>
                <c:pt idx="38">
                  <c:v>0.58499999999999996</c:v>
                </c:pt>
                <c:pt idx="39">
                  <c:v>0.57499999999999996</c:v>
                </c:pt>
                <c:pt idx="40">
                  <c:v>0.56299999999999994</c:v>
                </c:pt>
                <c:pt idx="41">
                  <c:v>0.54300000000000004</c:v>
                </c:pt>
                <c:pt idx="42">
                  <c:v>0.54100000000000004</c:v>
                </c:pt>
                <c:pt idx="43">
                  <c:v>0.52600000000000002</c:v>
                </c:pt>
                <c:pt idx="44">
                  <c:v>0.50700000000000001</c:v>
                </c:pt>
                <c:pt idx="45">
                  <c:v>0.5</c:v>
                </c:pt>
                <c:pt idx="46">
                  <c:v>0.48599999999999999</c:v>
                </c:pt>
                <c:pt idx="47">
                  <c:v>0.48399999999999999</c:v>
                </c:pt>
                <c:pt idx="48">
                  <c:v>0.48</c:v>
                </c:pt>
                <c:pt idx="49">
                  <c:v>0.47499999999999998</c:v>
                </c:pt>
                <c:pt idx="50">
                  <c:v>0.47199999999999998</c:v>
                </c:pt>
                <c:pt idx="51">
                  <c:v>0.46200000000000002</c:v>
                </c:pt>
                <c:pt idx="52">
                  <c:v>0.46</c:v>
                </c:pt>
                <c:pt idx="53">
                  <c:v>0.45400000000000001</c:v>
                </c:pt>
                <c:pt idx="54">
                  <c:v>0.439</c:v>
                </c:pt>
                <c:pt idx="55">
                  <c:v>0.439</c:v>
                </c:pt>
                <c:pt idx="56">
                  <c:v>0.433</c:v>
                </c:pt>
                <c:pt idx="57">
                  <c:v>0.434</c:v>
                </c:pt>
                <c:pt idx="58">
                  <c:v>0.42</c:v>
                </c:pt>
                <c:pt idx="59">
                  <c:v>0.41499999999999998</c:v>
                </c:pt>
                <c:pt idx="60">
                  <c:v>0.40100000000000002</c:v>
                </c:pt>
                <c:pt idx="61">
                  <c:v>0.39300000000000002</c:v>
                </c:pt>
                <c:pt idx="62">
                  <c:v>0.39</c:v>
                </c:pt>
                <c:pt idx="63">
                  <c:v>0.38</c:v>
                </c:pt>
                <c:pt idx="64">
                  <c:v>0.379</c:v>
                </c:pt>
                <c:pt idx="65">
                  <c:v>0.37</c:v>
                </c:pt>
                <c:pt idx="66">
                  <c:v>0.36199999999999999</c:v>
                </c:pt>
                <c:pt idx="67">
                  <c:v>0.36099999999999999</c:v>
                </c:pt>
                <c:pt idx="68">
                  <c:v>0.35199999999999998</c:v>
                </c:pt>
                <c:pt idx="69">
                  <c:v>0.35</c:v>
                </c:pt>
                <c:pt idx="70">
                  <c:v>0.34599999999999997</c:v>
                </c:pt>
                <c:pt idx="71">
                  <c:v>0.34699999999999998</c:v>
                </c:pt>
                <c:pt idx="72">
                  <c:v>0.34100000000000003</c:v>
                </c:pt>
                <c:pt idx="73">
                  <c:v>0.33900000000000002</c:v>
                </c:pt>
                <c:pt idx="74">
                  <c:v>0.33200000000000002</c:v>
                </c:pt>
                <c:pt idx="75">
                  <c:v>0.33100000000000002</c:v>
                </c:pt>
                <c:pt idx="76">
                  <c:v>0.318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23-40FD-94CE-806E6702BC77}"/>
            </c:ext>
          </c:extLst>
        </c:ser>
        <c:ser>
          <c:idx val="1"/>
          <c:order val="1"/>
          <c:tx>
            <c:strRef>
              <c:f>'Survival Extrapolation'!$U$20:$V$20</c:f>
              <c:strCache>
                <c:ptCount val="1"/>
                <c:pt idx="0">
                  <c:v>Exponential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Extrapolation'!$V$26:$V$370</c:f>
              <c:numCache>
                <c:formatCode>General</c:formatCode>
                <c:ptCount val="345"/>
                <c:pt idx="0">
                  <c:v>1</c:v>
                </c:pt>
                <c:pt idx="1">
                  <c:v>0.97531935967688421</c:v>
                </c:pt>
                <c:pt idx="2">
                  <c:v>0.95124785336052753</c:v>
                </c:pt>
                <c:pt idx="3">
                  <c:v>0.92777044723360036</c:v>
                </c:pt>
                <c:pt idx="4">
                  <c:v>0.90487247852301167</c:v>
                </c:pt>
                <c:pt idx="5">
                  <c:v>0.88253964634229887</c:v>
                </c:pt>
                <c:pt idx="6">
                  <c:v>0.86075800276003478</c:v>
                </c:pt>
                <c:pt idx="7">
                  <c:v>0.83951394408867097</c:v>
                </c:pt>
                <c:pt idx="8">
                  <c:v>0.81879420238837819</c:v>
                </c:pt>
                <c:pt idx="9">
                  <c:v>0.79858583718057807</c:v>
                </c:pt>
                <c:pt idx="10">
                  <c:v>0.77887622736599005</c:v>
                </c:pt>
                <c:pt idx="11">
                  <c:v>0.75965306334214466</c:v>
                </c:pt>
                <c:pt idx="12">
                  <c:v>0.74090433931544408</c:v>
                </c:pt>
                <c:pt idx="13">
                  <c:v>0.72261834580296391</c:v>
                </c:pt>
                <c:pt idx="14">
                  <c:v>0.70478366231931611</c:v>
                </c:pt>
                <c:pt idx="15">
                  <c:v>0.68738915024400482</c:v>
                </c:pt>
                <c:pt idx="16">
                  <c:v>0.67042394586482035</c:v>
                </c:pt>
                <c:pt idx="17">
                  <c:v>0.65387745359292671</c:v>
                </c:pt>
                <c:pt idx="18">
                  <c:v>0.63773933934540483</c:v>
                </c:pt>
                <c:pt idx="19">
                  <c:v>0.62199952409111947</c:v>
                </c:pt>
                <c:pt idx="20">
                  <c:v>0.60664817755587741</c:v>
                </c:pt>
                <c:pt idx="21">
                  <c:v>0.59167571208294711</c:v>
                </c:pt>
                <c:pt idx="22">
                  <c:v>0.57707277664510448</c:v>
                </c:pt>
                <c:pt idx="23">
                  <c:v>0.56283025100446493</c:v>
                </c:pt>
                <c:pt idx="24">
                  <c:v>0.54893924001645478</c:v>
                </c:pt>
                <c:pt idx="25">
                  <c:v>0.5353910680743641</c:v>
                </c:pt>
                <c:pt idx="26">
                  <c:v>0.52217727369101197</c:v>
                </c:pt>
                <c:pt idx="27">
                  <c:v>0.50928960421413894</c:v>
                </c:pt>
                <c:pt idx="28">
                  <c:v>0.49672001067222782</c:v>
                </c:pt>
                <c:pt idx="29">
                  <c:v>0.48446064274753231</c:v>
                </c:pt>
                <c:pt idx="30">
                  <c:v>0.47250384387317501</c:v>
                </c:pt>
                <c:pt idx="31">
                  <c:v>0.46084214645125154</c:v>
                </c:pt>
                <c:pt idx="32">
                  <c:v>0.44946826718895555</c:v>
                </c:pt>
                <c:pt idx="33">
                  <c:v>0.43837510254981088</c:v>
                </c:pt>
                <c:pt idx="34">
                  <c:v>0.42755572431716998</c:v>
                </c:pt>
                <c:pt idx="35">
                  <c:v>0.41700337526720871</c:v>
                </c:pt>
                <c:pt idx="36">
                  <c:v>0.40671146494871341</c:v>
                </c:pt>
                <c:pt idx="37">
                  <c:v>0.39667356556702671</c:v>
                </c:pt>
                <c:pt idx="38">
                  <c:v>0.3868834079695791</c:v>
                </c:pt>
                <c:pt idx="39">
                  <c:v>0.37733487773050067</c:v>
                </c:pt>
                <c:pt idx="40">
                  <c:v>0.36802201133186729</c:v>
                </c:pt>
                <c:pt idx="41">
                  <c:v>0.35893899243919586</c:v>
                </c:pt>
                <c:pt idx="42">
                  <c:v>0.35008014826886252</c:v>
                </c:pt>
                <c:pt idx="43">
                  <c:v>0.34143994604517569</c:v>
                </c:pt>
                <c:pt idx="44">
                  <c:v>0.33301298954489067</c:v>
                </c:pt>
                <c:pt idx="45">
                  <c:v>0.32479401572700767</c:v>
                </c:pt>
                <c:pt idx="46">
                  <c:v>0.31677789144574897</c:v>
                </c:pt>
                <c:pt idx="47">
                  <c:v>0.30895961024466145</c:v>
                </c:pt>
                <c:pt idx="48">
                  <c:v>0.3013342892298429</c:v>
                </c:pt>
                <c:pt idx="49">
                  <c:v>0.29389716602033944</c:v>
                </c:pt>
                <c:pt idx="50">
                  <c:v>0.28664359577380844</c:v>
                </c:pt>
                <c:pt idx="51">
                  <c:v>0.27956904828559048</c:v>
                </c:pt>
                <c:pt idx="52">
                  <c:v>0.27266910515937803</c:v>
                </c:pt>
                <c:pt idx="53">
                  <c:v>0.2659394570477136</c:v>
                </c:pt>
                <c:pt idx="54">
                  <c:v>0.25937590096059432</c:v>
                </c:pt>
                <c:pt idx="55">
                  <c:v>0.25297433764050176</c:v>
                </c:pt>
                <c:pt idx="56">
                  <c:v>0.24673076900221813</c:v>
                </c:pt>
                <c:pt idx="57">
                  <c:v>0.24064129563582862</c:v>
                </c:pt>
                <c:pt idx="58">
                  <c:v>0.23470211437135213</c:v>
                </c:pt>
                <c:pt idx="59">
                  <c:v>0.22890951590347799</c:v>
                </c:pt>
                <c:pt idx="60">
                  <c:v>0.22325988247492573</c:v>
                </c:pt>
                <c:pt idx="61">
                  <c:v>0.21774968561698099</c:v>
                </c:pt>
                <c:pt idx="62">
                  <c:v>0.21237548394579675</c:v>
                </c:pt>
                <c:pt idx="63">
                  <c:v>0.20713392101308289</c:v>
                </c:pt>
                <c:pt idx="64">
                  <c:v>0.20202172320984235</c:v>
                </c:pt>
                <c:pt idx="65">
                  <c:v>0.19703569772184418</c:v>
                </c:pt>
                <c:pt idx="66">
                  <c:v>0.1921727305355572</c:v>
                </c:pt>
                <c:pt idx="67">
                  <c:v>0.18742978449329806</c:v>
                </c:pt>
                <c:pt idx="68">
                  <c:v>0.18280389739637987</c:v>
                </c:pt>
                <c:pt idx="69">
                  <c:v>0.17829218015507606</c:v>
                </c:pt>
                <c:pt idx="70">
                  <c:v>0.1738918149842445</c:v>
                </c:pt>
                <c:pt idx="71">
                  <c:v>0.16960005364348452</c:v>
                </c:pt>
                <c:pt idx="72">
                  <c:v>0.16541421572072854</c:v>
                </c:pt>
                <c:pt idx="73">
                  <c:v>0.16133168695819497</c:v>
                </c:pt>
                <c:pt idx="74">
                  <c:v>0.15734991761965825</c:v>
                </c:pt>
                <c:pt idx="75">
                  <c:v>0.15346642089801557</c:v>
                </c:pt>
                <c:pt idx="76">
                  <c:v>0.14967877136215577</c:v>
                </c:pt>
                <c:pt idx="77">
                  <c:v>0.14598460344216052</c:v>
                </c:pt>
                <c:pt idx="78">
                  <c:v>0.14238160995189186</c:v>
                </c:pt>
                <c:pt idx="79">
                  <c:v>0.13886754064804308</c:v>
                </c:pt>
                <c:pt idx="80">
                  <c:v>0.13544020082475305</c:v>
                </c:pt>
                <c:pt idx="81">
                  <c:v>0.13209744994290679</c:v>
                </c:pt>
                <c:pt idx="82">
                  <c:v>0.12883720029326512</c:v>
                </c:pt>
                <c:pt idx="83">
                  <c:v>0.12565741569258981</c:v>
                </c:pt>
                <c:pt idx="84">
                  <c:v>0.12255611021194876</c:v>
                </c:pt>
                <c:pt idx="85">
                  <c:v>0.11953134693640752</c:v>
                </c:pt>
                <c:pt idx="86">
                  <c:v>0.11658123675533248</c:v>
                </c:pt>
                <c:pt idx="87">
                  <c:v>0.11370393718255012</c:v>
                </c:pt>
                <c:pt idx="88">
                  <c:v>0.11089765120562546</c:v>
                </c:pt>
                <c:pt idx="89">
                  <c:v>0.10816062616354108</c:v>
                </c:pt>
                <c:pt idx="90">
                  <c:v>0.10549115265207569</c:v>
                </c:pt>
                <c:pt idx="91">
                  <c:v>0.10288756345619891</c:v>
                </c:pt>
                <c:pt idx="92">
                  <c:v>0.10034823250881472</c:v>
                </c:pt>
                <c:pt idx="93">
                  <c:v>9.7871573875204274E-2</c:v>
                </c:pt>
                <c:pt idx="94">
                  <c:v>9.5456040762533112E-2</c:v>
                </c:pt>
                <c:pt idx="95">
                  <c:v>9.3100124553804356E-2</c:v>
                </c:pt>
                <c:pt idx="96">
                  <c:v>9.0802353865654634E-2</c:v>
                </c:pt>
                <c:pt idx="97">
                  <c:v>8.8561293629404125E-2</c:v>
                </c:pt>
                <c:pt idx="98">
                  <c:v>8.6375544194786963E-2</c:v>
                </c:pt>
                <c:pt idx="99">
                  <c:v>8.4243740455802046E-2</c:v>
                </c:pt>
                <c:pt idx="100">
                  <c:v>8.2164550998138478E-2</c:v>
                </c:pt>
                <c:pt idx="101">
                  <c:v>8.0136677267643119E-2</c:v>
                </c:pt>
                <c:pt idx="102">
                  <c:v>7.815885275931081E-2</c:v>
                </c:pt>
                <c:pt idx="103">
                  <c:v>7.6229842226290909E-2</c:v>
                </c:pt>
                <c:pt idx="104">
                  <c:v>7.4348440908415955E-2</c:v>
                </c:pt>
                <c:pt idx="105">
                  <c:v>7.2513473779770923E-2</c:v>
                </c:pt>
                <c:pt idx="106">
                  <c:v>7.0723794814832708E-2</c:v>
                </c:pt>
                <c:pt idx="107">
                  <c:v>6.8978286272721984E-2</c:v>
                </c:pt>
                <c:pt idx="108">
                  <c:v>6.7275857999120017E-2</c:v>
                </c:pt>
                <c:pt idx="109">
                  <c:v>6.5615446745414738E-2</c:v>
                </c:pt>
                <c:pt idx="110">
                  <c:v>6.3996015504650602E-2</c:v>
                </c:pt>
                <c:pt idx="111">
                  <c:v>6.2416552863867776E-2</c:v>
                </c:pt>
                <c:pt idx="112">
                  <c:v>6.087607237242592E-2</c:v>
                </c:pt>
                <c:pt idx="113">
                  <c:v>5.9373611925918113E-2</c:v>
                </c:pt>
                <c:pt idx="114">
                  <c:v>5.7908233165290271E-2</c:v>
                </c:pt>
                <c:pt idx="115">
                  <c:v>5.647902089079062E-2</c:v>
                </c:pt>
                <c:pt idx="116">
                  <c:v>5.5085082490383248E-2</c:v>
                </c:pt>
                <c:pt idx="117">
                  <c:v>5.3725547382268944E-2</c:v>
                </c:pt>
                <c:pt idx="118">
                  <c:v>5.2399566471164651E-2</c:v>
                </c:pt>
                <c:pt idx="119">
                  <c:v>5.1106311618002637E-2</c:v>
                </c:pt>
                <c:pt idx="120">
                  <c:v>4.9844975122717648E-2</c:v>
                </c:pt>
                <c:pt idx="121">
                  <c:v>4.8614769219799202E-2</c:v>
                </c:pt>
                <c:pt idx="122">
                  <c:v>4.7414925586294059E-2</c:v>
                </c:pt>
                <c:pt idx="123">
                  <c:v>4.6244694861951437E-2</c:v>
                </c:pt>
                <c:pt idx="124">
                  <c:v>4.5103346181211375E-2</c:v>
                </c:pt>
                <c:pt idx="125">
                  <c:v>4.3990166716743918E-2</c:v>
                </c:pt>
                <c:pt idx="126">
                  <c:v>4.2904461234254065E-2</c:v>
                </c:pt>
                <c:pt idx="127">
                  <c:v>4.1845551658274381E-2</c:v>
                </c:pt>
                <c:pt idx="128">
                  <c:v>4.0812776648674151E-2</c:v>
                </c:pt>
                <c:pt idx="129">
                  <c:v>3.980549118762057E-2</c:v>
                </c:pt>
                <c:pt idx="130">
                  <c:v>3.882306617673395E-2</c:v>
                </c:pt>
                <c:pt idx="131">
                  <c:v>3.786488804418546E-2</c:v>
                </c:pt>
                <c:pt idx="132">
                  <c:v>3.6930358361491875E-2</c:v>
                </c:pt>
                <c:pt idx="133">
                  <c:v>3.6018893469768123E-2</c:v>
                </c:pt>
                <c:pt idx="134">
                  <c:v>3.5129924115204152E-2</c:v>
                </c:pt>
                <c:pt idx="135">
                  <c:v>3.4262895093538449E-2</c:v>
                </c:pt>
                <c:pt idx="136">
                  <c:v>3.3417264903306182E-2</c:v>
                </c:pt>
                <c:pt idx="137">
                  <c:v>3.2592505407645404E-2</c:v>
                </c:pt>
                <c:pt idx="138">
                  <c:v>3.1788101504450099E-2</c:v>
                </c:pt>
                <c:pt idx="139">
                  <c:v>3.1003550804664073E-2</c:v>
                </c:pt>
                <c:pt idx="140">
                  <c:v>3.0238363318514715E-2</c:v>
                </c:pt>
                <c:pt idx="141">
                  <c:v>2.9492061149490743E-2</c:v>
                </c:pt>
                <c:pt idx="142">
                  <c:v>2.8764178195872826E-2</c:v>
                </c:pt>
                <c:pt idx="143">
                  <c:v>2.8054259859630483E-2</c:v>
                </c:pt>
                <c:pt idx="144">
                  <c:v>2.7361862762503717E-2</c:v>
                </c:pt>
                <c:pt idx="145">
                  <c:v>2.6686554469091909E-2</c:v>
                </c:pt>
                <c:pt idx="146">
                  <c:v>2.6027913216777016E-2</c:v>
                </c:pt>
                <c:pt idx="147">
                  <c:v>2.5385527652312473E-2</c:v>
                </c:pt>
                <c:pt idx="148">
                  <c:v>2.475899657491324E-2</c:v>
                </c:pt>
                <c:pt idx="149">
                  <c:v>2.4147928685686552E-2</c:v>
                </c:pt>
                <c:pt idx="150">
                  <c:v>2.3551942343246871E-2</c:v>
                </c:pt>
                <c:pt idx="151">
                  <c:v>2.2970665325362436E-2</c:v>
                </c:pt>
                <c:pt idx="152">
                  <c:v>2.2403734596484499E-2</c:v>
                </c:pt>
                <c:pt idx="153">
                  <c:v>2.1850796081014121E-2</c:v>
                </c:pt>
                <c:pt idx="154">
                  <c:v>2.1311504442164866E-2</c:v>
                </c:pt>
                <c:pt idx="155">
                  <c:v>2.078552286628331E-2</c:v>
                </c:pt>
                <c:pt idx="156">
                  <c:v>2.0272522852492675E-2</c:v>
                </c:pt>
                <c:pt idx="157">
                  <c:v>1.977218400752816E-2</c:v>
                </c:pt>
                <c:pt idx="158">
                  <c:v>1.9284193845635896E-2</c:v>
                </c:pt>
                <c:pt idx="159">
                  <c:v>1.8808247593410512E-2</c:v>
                </c:pt>
                <c:pt idx="160">
                  <c:v>1.8344047999449442E-2</c:v>
                </c:pt>
                <c:pt idx="161">
                  <c:v>1.7891305148705058E-2</c:v>
                </c:pt>
                <c:pt idx="162">
                  <c:v>1.744973628141876E-2</c:v>
                </c:pt>
                <c:pt idx="163">
                  <c:v>1.7019065616523842E-2</c:v>
                </c:pt>
                <c:pt idx="164">
                  <c:v>1.659902417940691E-2</c:v>
                </c:pt>
                <c:pt idx="165">
                  <c:v>1.6189349633920266E-2</c:v>
                </c:pt>
                <c:pt idx="166">
                  <c:v>1.5789786118540317E-2</c:v>
                </c:pt>
                <c:pt idx="167">
                  <c:v>1.5400084086569696E-2</c:v>
                </c:pt>
                <c:pt idx="168">
                  <c:v>1.5020000150283331E-2</c:v>
                </c:pt>
                <c:pt idx="169">
                  <c:v>1.4649296928921043E-2</c:v>
                </c:pt>
                <c:pt idx="170">
                  <c:v>1.428774290043182E-2</c:v>
                </c:pt>
                <c:pt idx="171">
                  <c:v>1.3935112256877111E-2</c:v>
                </c:pt>
                <c:pt idx="172">
                  <c:v>1.3591184763402885E-2</c:v>
                </c:pt>
                <c:pt idx="173">
                  <c:v>1.3255745620692328E-2</c:v>
                </c:pt>
                <c:pt idx="174">
                  <c:v>1.2928585330813305E-2</c:v>
                </c:pt>
                <c:pt idx="175">
                  <c:v>1.2609499566376791E-2</c:v>
                </c:pt>
                <c:pt idx="176">
                  <c:v>1.2298289042924562E-2</c:v>
                </c:pt>
                <c:pt idx="177">
                  <c:v>1.1994759394466425E-2</c:v>
                </c:pt>
                <c:pt idx="178">
                  <c:v>1.1698721052089286E-2</c:v>
                </c:pt>
                <c:pt idx="179">
                  <c:v>1.1409989125562209E-2</c:v>
                </c:pt>
                <c:pt idx="180">
                  <c:v>1.1128383287863535E-2</c:v>
                </c:pt>
                <c:pt idx="181">
                  <c:v>1.0853727662558004E-2</c:v>
                </c:pt>
                <c:pt idx="182">
                  <c:v>1.0585850713953357E-2</c:v>
                </c:pt>
                <c:pt idx="183">
                  <c:v>1.0324585139968076E-2</c:v>
                </c:pt>
                <c:pt idx="184">
                  <c:v>1.0069767767643139E-2</c:v>
                </c:pt>
                <c:pt idx="185">
                  <c:v>9.8212394512326353E-3</c:v>
                </c:pt>
                <c:pt idx="186">
                  <c:v>9.5788449728095668E-3</c:v>
                </c:pt>
                <c:pt idx="187">
                  <c:v>9.3424329453247693E-3</c:v>
                </c:pt>
                <c:pt idx="188">
                  <c:v>9.1118557180583822E-3</c:v>
                </c:pt>
                <c:pt idx="189">
                  <c:v>8.8869692844048571E-3</c:v>
                </c:pt>
                <c:pt idx="190">
                  <c:v>8.6676331919338847E-3</c:v>
                </c:pt>
                <c:pt idx="191">
                  <c:v>8.4537104546710644E-3</c:v>
                </c:pt>
                <c:pt idx="192">
                  <c:v>8.2450674675435646E-3</c:v>
                </c:pt>
                <c:pt idx="193">
                  <c:v>8.0415739229372993E-3</c:v>
                </c:pt>
                <c:pt idx="194">
                  <c:v>7.843102729313536E-3</c:v>
                </c:pt>
                <c:pt idx="195">
                  <c:v>7.6495299318341016E-3</c:v>
                </c:pt>
                <c:pt idx="196">
                  <c:v>7.4607346349455962E-3</c:v>
                </c:pt>
                <c:pt idx="197">
                  <c:v>7.2765989268742922E-3</c:v>
                </c:pt>
                <c:pt idx="198">
                  <c:v>7.0970078059845376E-3</c:v>
                </c:pt>
                <c:pt idx="199">
                  <c:v>6.921849108954688E-3</c:v>
                </c:pt>
                <c:pt idx="200">
                  <c:v>6.7510134407256983E-3</c:v>
                </c:pt>
                <c:pt idx="201">
                  <c:v>6.5843941061786279E-3</c:v>
                </c:pt>
                <c:pt idx="202">
                  <c:v>6.42188704349839E-3</c:v>
                </c:pt>
                <c:pt idx="203">
                  <c:v>6.2633907591821292E-3</c:v>
                </c:pt>
                <c:pt idx="204">
                  <c:v>6.1088062646516283E-3</c:v>
                </c:pt>
                <c:pt idx="205">
                  <c:v>5.9580370144301648E-3</c:v>
                </c:pt>
                <c:pt idx="206">
                  <c:v>5.8109888458452033E-3</c:v>
                </c:pt>
                <c:pt idx="207">
                  <c:v>5.6675699202192609E-3</c:v>
                </c:pt>
                <c:pt idx="208">
                  <c:v>5.5276906655122192E-3</c:v>
                </c:pt>
                <c:pt idx="209">
                  <c:v>5.3912637203792678E-3</c:v>
                </c:pt>
                <c:pt idx="210">
                  <c:v>5.2582038796095245E-3</c:v>
                </c:pt>
                <c:pt idx="211">
                  <c:v>5.12842804091127E-3</c:v>
                </c:pt>
                <c:pt idx="212">
                  <c:v>5.0018551530105577E-3</c:v>
                </c:pt>
                <c:pt idx="213">
                  <c:v>4.8784061650307816E-3</c:v>
                </c:pt>
                <c:pt idx="214">
                  <c:v>4.7580039771215861E-3</c:v>
                </c:pt>
                <c:pt idx="215">
                  <c:v>4.6405733923062945E-3</c:v>
                </c:pt>
                <c:pt idx="216">
                  <c:v>4.526041069517762E-3</c:v>
                </c:pt>
                <c:pt idx="217">
                  <c:v>4.4143354777933432E-3</c:v>
                </c:pt>
                <c:pt idx="218">
                  <c:v>4.3053868516003567E-3</c:v>
                </c:pt>
                <c:pt idx="219">
                  <c:v>4.1991271472641371E-3</c:v>
                </c:pt>
                <c:pt idx="220">
                  <c:v>4.0954900004714799E-3</c:v>
                </c:pt>
                <c:pt idx="221">
                  <c:v>3.9944106848229261E-3</c:v>
                </c:pt>
                <c:pt idx="222">
                  <c:v>3.8958260714080008E-3</c:v>
                </c:pt>
                <c:pt idx="223">
                  <c:v>3.7996745893781629E-3</c:v>
                </c:pt>
                <c:pt idx="224">
                  <c:v>3.7058961874928379E-3</c:v>
                </c:pt>
                <c:pt idx="225">
                  <c:v>3.6144322966145215E-3</c:v>
                </c:pt>
                <c:pt idx="226">
                  <c:v>3.5252257931295251E-3</c:v>
                </c:pt>
                <c:pt idx="227">
                  <c:v>3.4382209632715251E-3</c:v>
                </c:pt>
                <c:pt idx="228">
                  <c:v>3.3533634683256238E-3</c:v>
                </c:pt>
                <c:pt idx="229">
                  <c:v>3.2706003106912035E-3</c:v>
                </c:pt>
                <c:pt idx="230">
                  <c:v>3.1898798007823632E-3</c:v>
                </c:pt>
                <c:pt idx="231">
                  <c:v>3.1111515247452788E-3</c:v>
                </c:pt>
                <c:pt idx="232">
                  <c:v>3.0343663129723275E-3</c:v>
                </c:pt>
                <c:pt idx="233">
                  <c:v>2.9594762093932787E-3</c:v>
                </c:pt>
                <c:pt idx="234">
                  <c:v>2.8864344415244253E-3</c:v>
                </c:pt>
                <c:pt idx="235">
                  <c:v>2.8151953912569075E-3</c:v>
                </c:pt>
                <c:pt idx="236">
                  <c:v>2.7457145663660025E-3</c:v>
                </c:pt>
                <c:pt idx="237">
                  <c:v>2.6779485727235837E-3</c:v>
                </c:pt>
                <c:pt idx="238">
                  <c:v>2.6118550871963918E-3</c:v>
                </c:pt>
                <c:pt idx="239">
                  <c:v>2.5473928312131975E-3</c:v>
                </c:pt>
                <c:pt idx="240">
                  <c:v>2.484521544984341E-3</c:v>
                </c:pt>
                <c:pt idx="241">
                  <c:v>2.4232019623575507E-3</c:v>
                </c:pt>
                <c:pt idx="242">
                  <c:v>2.3633957862943355E-3</c:v>
                </c:pt>
                <c:pt idx="243">
                  <c:v>2.3050656649516378E-3</c:v>
                </c:pt>
                <c:pt idx="244">
                  <c:v>2.2481751683538029E-3</c:v>
                </c:pt>
                <c:pt idx="245">
                  <c:v>2.1926887656403024E-3</c:v>
                </c:pt>
                <c:pt idx="246">
                  <c:v>2.1385718028749975E-3</c:v>
                </c:pt>
                <c:pt idx="247">
                  <c:v>2.0857904814030825E-3</c:v>
                </c:pt>
                <c:pt idx="248">
                  <c:v>2.0343118367421946E-3</c:v>
                </c:pt>
                <c:pt idx="249">
                  <c:v>1.9841037179945038E-3</c:v>
                </c:pt>
                <c:pt idx="250">
                  <c:v>1.9351347677669247E-3</c:v>
                </c:pt>
                <c:pt idx="251">
                  <c:v>1.8873744025869131E-3</c:v>
                </c:pt>
                <c:pt idx="252">
                  <c:v>1.8407927938016101E-3</c:v>
                </c:pt>
                <c:pt idx="253">
                  <c:v>1.7953608489484092E-3</c:v>
                </c:pt>
                <c:pt idx="254">
                  <c:v>1.7510501935853098E-3</c:v>
                </c:pt>
                <c:pt idx="255">
                  <c:v>1.7078331535697086E-3</c:v>
                </c:pt>
                <c:pt idx="256">
                  <c:v>1.6656827377745621E-3</c:v>
                </c:pt>
                <c:pt idx="257">
                  <c:v>1.6245726212311255E-3</c:v>
                </c:pt>
                <c:pt idx="258">
                  <c:v>1.5844771286877386E-3</c:v>
                </c:pt>
                <c:pt idx="259">
                  <c:v>1.5453712185743934E-3</c:v>
                </c:pt>
                <c:pt idx="260">
                  <c:v>1.5072304673630636E-3</c:v>
                </c:pt>
                <c:pt idx="261">
                  <c:v>1.4700310543140343E-3</c:v>
                </c:pt>
                <c:pt idx="262">
                  <c:v>1.4337497465986991E-3</c:v>
                </c:pt>
                <c:pt idx="263">
                  <c:v>1.3983638847895382E-3</c:v>
                </c:pt>
                <c:pt idx="264">
                  <c:v>1.3638513687082127E-3</c:v>
                </c:pt>
                <c:pt idx="265">
                  <c:v>1.3301906436229362E-3</c:v>
                </c:pt>
                <c:pt idx="266">
                  <c:v>1.2973606867865048E-3</c:v>
                </c:pt>
                <c:pt idx="267">
                  <c:v>1.2653409943065765E-3</c:v>
                </c:pt>
                <c:pt idx="268">
                  <c:v>1.2341115683400024E-3</c:v>
                </c:pt>
                <c:pt idx="269">
                  <c:v>1.2036529046032065E-3</c:v>
                </c:pt>
                <c:pt idx="270">
                  <c:v>1.1739459801908211E-3</c:v>
                </c:pt>
                <c:pt idx="271">
                  <c:v>1.1449722416949639E-3</c:v>
                </c:pt>
                <c:pt idx="272">
                  <c:v>1.116713593617739E-3</c:v>
                </c:pt>
                <c:pt idx="273">
                  <c:v>1.0891523870697256E-3</c:v>
                </c:pt>
                <c:pt idx="274">
                  <c:v>1.0622714087473947E-3</c:v>
                </c:pt>
                <c:pt idx="275">
                  <c:v>1.0360538701825709E-3</c:v>
                </c:pt>
                <c:pt idx="276">
                  <c:v>1.0104833972572227E-3</c:v>
                </c:pt>
                <c:pt idx="277">
                  <c:v>9.8554401997703726E-4</c:v>
                </c:pt>
                <c:pt idx="278">
                  <c:v>9.6122016249738636E-4</c:v>
                </c:pt>
                <c:pt idx="279">
                  <c:v>9.3749663339546152E-4</c:v>
                </c:pt>
                <c:pt idx="280">
                  <c:v>9.1435861618249618E-4</c:v>
                </c:pt>
                <c:pt idx="281">
                  <c:v>8.9179166005015414E-4</c:v>
                </c:pt>
                <c:pt idx="282">
                  <c:v>8.6978167084530121E-4</c:v>
                </c:pt>
                <c:pt idx="283">
                  <c:v>8.4831490226752976E-4</c:v>
                </c:pt>
                <c:pt idx="284">
                  <c:v>8.273779472839258E-4</c:v>
                </c:pt>
                <c:pt idx="285">
                  <c:v>8.0695772975573335E-4</c:v>
                </c:pt>
                <c:pt idx="286">
                  <c:v>7.8704149627167408E-4</c:v>
                </c:pt>
                <c:pt idx="287">
                  <c:v>7.6761680818282605E-4</c:v>
                </c:pt>
                <c:pt idx="288">
                  <c:v>7.4867153383408763E-4</c:v>
                </c:pt>
                <c:pt idx="289">
                  <c:v>7.3019384098737313E-4</c:v>
                </c:pt>
                <c:pt idx="290">
                  <c:v>7.1217218943180939E-4</c:v>
                </c:pt>
                <c:pt idx="291">
                  <c:v>6.9459532377631706E-4</c:v>
                </c:pt>
                <c:pt idx="292">
                  <c:v>6.7745226642007561E-4</c:v>
                </c:pt>
                <c:pt idx="293">
                  <c:v>6.6073231069648224E-4</c:v>
                </c:pt>
                <c:pt idx="294">
                  <c:v>6.4442501418632118E-4</c:v>
                </c:pt>
                <c:pt idx="295">
                  <c:v>6.2852019219596978E-4</c:v>
                </c:pt>
                <c:pt idx="296">
                  <c:v>6.1300791139656547E-4</c:v>
                </c:pt>
                <c:pt idx="297">
                  <c:v>5.9787848362016251E-4</c:v>
                </c:pt>
                <c:pt idx="298">
                  <c:v>5.8312245980900342E-4</c:v>
                </c:pt>
                <c:pt idx="299">
                  <c:v>5.6873062411412685E-4</c:v>
                </c:pt>
                <c:pt idx="300">
                  <c:v>5.5469398813962501E-4</c:v>
                </c:pt>
                <c:pt idx="301">
                  <c:v>5.4100378532895624E-4</c:v>
                </c:pt>
                <c:pt idx="302">
                  <c:v>5.2765146548980812E-4</c:v>
                </c:pt>
                <c:pt idx="303">
                  <c:v>5.1462868945408935E-4</c:v>
                </c:pt>
                <c:pt idx="304">
                  <c:v>5.0192732386971652E-4</c:v>
                </c:pt>
                <c:pt idx="305">
                  <c:v>4.8953943612094404E-4</c:v>
                </c:pt>
                <c:pt idx="306">
                  <c:v>4.7745728937406207E-4</c:v>
                </c:pt>
                <c:pt idx="307">
                  <c:v>4.6567333774537106E-4</c:v>
                </c:pt>
                <c:pt idx="308">
                  <c:v>4.5418022158841276E-4</c:v>
                </c:pt>
                <c:pt idx="309">
                  <c:v>4.4297076289751615E-4</c:v>
                </c:pt>
                <c:pt idx="310">
                  <c:v>4.320379608247864E-4</c:v>
                </c:pt>
                <c:pt idx="311">
                  <c:v>4.2137498730773743E-4</c:v>
                </c:pt>
                <c:pt idx="312">
                  <c:v>4.1097518280483773E-4</c:v>
                </c:pt>
                <c:pt idx="313">
                  <c:v>4.0083205213630477E-4</c:v>
                </c:pt>
                <c:pt idx="314">
                  <c:v>3.9093926042755228E-4</c:v>
                </c:pt>
                <c:pt idx="315">
                  <c:v>3.8129062915275496E-4</c:v>
                </c:pt>
                <c:pt idx="316">
                  <c:v>3.7188013227606136E-4</c:v>
                </c:pt>
                <c:pt idx="317">
                  <c:v>3.6270189248804315E-4</c:v>
                </c:pt>
                <c:pt idx="318">
                  <c:v>3.5375017753503236E-4</c:v>
                </c:pt>
                <c:pt idx="319">
                  <c:v>3.4501939663905191E-4</c:v>
                </c:pt>
                <c:pt idx="320">
                  <c:v>3.3650409700610503E-4</c:v>
                </c:pt>
                <c:pt idx="321">
                  <c:v>3.2819896042064224E-4</c:v>
                </c:pt>
                <c:pt idx="322">
                  <c:v>3.2009879992408015E-4</c:v>
                </c:pt>
                <c:pt idx="323">
                  <c:v>3.1219855657529266E-4</c:v>
                </c:pt>
                <c:pt idx="324">
                  <c:v>3.0449329629106224E-4</c:v>
                </c:pt>
                <c:pt idx="325">
                  <c:v>2.9697820676450237E-4</c:v>
                </c:pt>
                <c:pt idx="326">
                  <c:v>2.8964859445954402E-4</c:v>
                </c:pt>
                <c:pt idx="327">
                  <c:v>2.8249988167959177E-4</c:v>
                </c:pt>
                <c:pt idx="328">
                  <c:v>2.7552760370853528E-4</c:v>
                </c:pt>
                <c:pt idx="329">
                  <c:v>2.6872740602231469E-4</c:v>
                </c:pt>
                <c:pt idx="330">
                  <c:v>2.6209504156931429E-4</c:v>
                </c:pt>
                <c:pt idx="331">
                  <c:v>2.5562636811786975E-4</c:v>
                </c:pt>
                <c:pt idx="332">
                  <c:v>2.4931734566924842E-4</c:v>
                </c:pt>
                <c:pt idx="333">
                  <c:v>2.4316403393447158E-4</c:v>
                </c:pt>
                <c:pt idx="334">
                  <c:v>2.3716258987341719E-4</c:v>
                </c:pt>
                <c:pt idx="335">
                  <c:v>2.3130926529465256E-4</c:v>
                </c:pt>
                <c:pt idx="336">
                  <c:v>2.2560040451451128E-4</c:v>
                </c:pt>
                <c:pt idx="337">
                  <c:v>2.2003244207393903E-4</c:v>
                </c:pt>
                <c:pt idx="338">
                  <c:v>2.1460190051169554E-4</c:v>
                </c:pt>
                <c:pt idx="339">
                  <c:v>2.0930538819250911E-4</c:v>
                </c:pt>
                <c:pt idx="340">
                  <c:v>2.0413959718883987E-4</c:v>
                </c:pt>
                <c:pt idx="341">
                  <c:v>1.9910130121491621E-4</c:v>
                </c:pt>
                <c:pt idx="342">
                  <c:v>1.941873536117667E-4</c:v>
                </c:pt>
                <c:pt idx="343">
                  <c:v>1.8939468538197682E-4</c:v>
                </c:pt>
                <c:pt idx="344">
                  <c:v>1.8472030327295477E-4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23-40FD-94CE-806E6702BC77}"/>
            </c:ext>
          </c:extLst>
        </c:ser>
        <c:ser>
          <c:idx val="2"/>
          <c:order val="2"/>
          <c:tx>
            <c:strRef>
              <c:f>'Survival Extrapolation'!$Z$20:$AA$20</c:f>
              <c:strCache>
                <c:ptCount val="1"/>
                <c:pt idx="0">
                  <c:v>Weibull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Extrapolation'!$AA$26:$AA$370</c:f>
              <c:numCache>
                <c:formatCode>General</c:formatCode>
                <c:ptCount val="345"/>
                <c:pt idx="0">
                  <c:v>1</c:v>
                </c:pt>
                <c:pt idx="1">
                  <c:v>0.94450795571099744</c:v>
                </c:pt>
                <c:pt idx="2">
                  <c:v>0.9072680609722853</c:v>
                </c:pt>
                <c:pt idx="3">
                  <c:v>0.87551112881564974</c:v>
                </c:pt>
                <c:pt idx="4">
                  <c:v>0.84714226519078306</c:v>
                </c:pt>
                <c:pt idx="5">
                  <c:v>0.82122394967789547</c:v>
                </c:pt>
                <c:pt idx="6">
                  <c:v>0.79722246478913084</c:v>
                </c:pt>
                <c:pt idx="7">
                  <c:v>0.77479281956380419</c:v>
                </c:pt>
                <c:pt idx="8">
                  <c:v>0.75369346261267101</c:v>
                </c:pt>
                <c:pt idx="9">
                  <c:v>0.73374566917523898</c:v>
                </c:pt>
                <c:pt idx="10">
                  <c:v>0.71481173703915535</c:v>
                </c:pt>
                <c:pt idx="11">
                  <c:v>0.69678223409490236</c:v>
                </c:pt>
                <c:pt idx="12">
                  <c:v>0.67956804275844451</c:v>
                </c:pt>
                <c:pt idx="13">
                  <c:v>0.66309513972681267</c:v>
                </c:pt>
                <c:pt idx="14">
                  <c:v>0.64730102829607727</c:v>
                </c:pt>
                <c:pt idx="15">
                  <c:v>0.63213221695969846</c:v>
                </c:pt>
                <c:pt idx="16">
                  <c:v>0.61754238663628402</c:v>
                </c:pt>
                <c:pt idx="17">
                  <c:v>0.60349102619102335</c:v>
                </c:pt>
                <c:pt idx="18">
                  <c:v>0.58994239543567661</c:v>
                </c:pt>
                <c:pt idx="19">
                  <c:v>0.57686472273521561</c:v>
                </c:pt>
                <c:pt idx="20">
                  <c:v>0.56422957427321274</c:v>
                </c:pt>
                <c:pt idx="21">
                  <c:v>0.55201135127687884</c:v>
                </c:pt>
                <c:pt idx="22">
                  <c:v>0.54018688421684791</c:v>
                </c:pt>
                <c:pt idx="23">
                  <c:v>0.52873510159411174</c:v>
                </c:pt>
                <c:pt idx="24">
                  <c:v>0.51763675686296018</c:v>
                </c:pt>
                <c:pt idx="25">
                  <c:v>0.50687420121570159</c:v>
                </c:pt>
                <c:pt idx="26">
                  <c:v>0.49643119294415772</c:v>
                </c:pt>
                <c:pt idx="27">
                  <c:v>0.48629273626540231</c:v>
                </c:pt>
                <c:pt idx="28">
                  <c:v>0.47644494410044386</c:v>
                </c:pt>
                <c:pt idx="29">
                  <c:v>0.4668749204900407</c:v>
                </c:pt>
                <c:pt idx="30">
                  <c:v>0.45757065923502016</c:v>
                </c:pt>
                <c:pt idx="31">
                  <c:v>0.44852095603830577</c:v>
                </c:pt>
                <c:pt idx="32">
                  <c:v>0.4397153319580917</c:v>
                </c:pt>
                <c:pt idx="33">
                  <c:v>0.4311439663961083</c:v>
                </c:pt>
                <c:pt idx="34">
                  <c:v>0.42279763817057203</c:v>
                </c:pt>
                <c:pt idx="35">
                  <c:v>0.41466767348134326</c:v>
                </c:pt>
                <c:pt idx="36">
                  <c:v>0.40674589978067127</c:v>
                </c:pt>
                <c:pt idx="37">
                  <c:v>0.39902460472837636</c:v>
                </c:pt>
                <c:pt idx="38">
                  <c:v>0.39149649954422472</c:v>
                </c:pt>
                <c:pt idx="39">
                  <c:v>0.38415468617929382</c:v>
                </c:pt>
                <c:pt idx="40">
                  <c:v>0.37699262781745579</c:v>
                </c:pt>
                <c:pt idx="41">
                  <c:v>0.37000412229169821</c:v>
                </c:pt>
                <c:pt idx="42">
                  <c:v>0.3631832780609478</c:v>
                </c:pt>
                <c:pt idx="43">
                  <c:v>0.35652449244379675</c:v>
                </c:pt>
                <c:pt idx="44">
                  <c:v>0.35002243184795773</c:v>
                </c:pt>
                <c:pt idx="45">
                  <c:v>0.34367201376992579</c:v>
                </c:pt>
                <c:pt idx="46">
                  <c:v>0.33746839036940135</c:v>
                </c:pt>
                <c:pt idx="47">
                  <c:v>0.33140693344851507</c:v>
                </c:pt>
                <c:pt idx="48">
                  <c:v>0.32548322068757185</c:v>
                </c:pt>
                <c:pt idx="49">
                  <c:v>0.31969302300753849</c:v>
                </c:pt>
                <c:pt idx="50">
                  <c:v>0.31403229294535745</c:v>
                </c:pt>
                <c:pt idx="51">
                  <c:v>0.30849715394180077</c:v>
                </c:pt>
                <c:pt idx="52">
                  <c:v>0.30308389045334067</c:v>
                </c:pt>
                <c:pt idx="53">
                  <c:v>0.29778893880968427</c:v>
                </c:pt>
                <c:pt idx="54">
                  <c:v>0.29260887874745573</c:v>
                </c:pt>
                <c:pt idx="55">
                  <c:v>0.28754042555819076</c:v>
                </c:pt>
                <c:pt idx="56">
                  <c:v>0.28258042279552015</c:v>
                </c:pt>
                <c:pt idx="57">
                  <c:v>0.27772583549228635</c:v>
                </c:pt>
                <c:pt idx="58">
                  <c:v>0.27297374384349204</c:v>
                </c:pt>
                <c:pt idx="59">
                  <c:v>0.26832133731550545</c:v>
                </c:pt>
                <c:pt idx="60">
                  <c:v>0.26376590914594378</c:v>
                </c:pt>
                <c:pt idx="61">
                  <c:v>0.25930485120218527</c:v>
                </c:pt>
                <c:pt idx="62">
                  <c:v>0.25493564916958394</c:v>
                </c:pt>
                <c:pt idx="63">
                  <c:v>0.25065587804323802</c:v>
                </c:pt>
                <c:pt idx="64">
                  <c:v>0.24646319789962676</c:v>
                </c:pt>
                <c:pt idx="65">
                  <c:v>0.24235534992663021</c:v>
                </c:pt>
                <c:pt idx="66">
                  <c:v>0.2383301526924104</c:v>
                </c:pt>
                <c:pt idx="67">
                  <c:v>0.23438549863538408</c:v>
                </c:pt>
                <c:pt idx="68">
                  <c:v>0.23051935075909533</c:v>
                </c:pt>
                <c:pt idx="69">
                  <c:v>0.22672973951720313</c:v>
                </c:pt>
                <c:pt idx="70">
                  <c:v>0.22301475987507466</c:v>
                </c:pt>
                <c:pt idx="71">
                  <c:v>0.21937256853561238</c:v>
                </c:pt>
                <c:pt idx="72">
                  <c:v>0.21580138131798107</c:v>
                </c:pt>
                <c:pt idx="73">
                  <c:v>0.21229947067882707</c:v>
                </c:pt>
                <c:pt idx="74">
                  <c:v>0.20886516336643124</c:v>
                </c:pt>
                <c:pt idx="75">
                  <c:v>0.20549683819899611</c:v>
                </c:pt>
                <c:pt idx="76">
                  <c:v>0.20219292395896576</c:v>
                </c:pt>
                <c:pt idx="77">
                  <c:v>0.19895189739590396</c:v>
                </c:pt>
                <c:pt idx="78">
                  <c:v>0.19577228133103167</c:v>
                </c:pt>
                <c:pt idx="79">
                  <c:v>0.19265264285704686</c:v>
                </c:pt>
                <c:pt idx="80">
                  <c:v>0.18959159162732564</c:v>
                </c:pt>
                <c:pt idx="81">
                  <c:v>0.18658777822904027</c:v>
                </c:pt>
                <c:pt idx="82">
                  <c:v>0.18363989263512714</c:v>
                </c:pt>
                <c:pt idx="83">
                  <c:v>0.18074666273040219</c:v>
                </c:pt>
                <c:pt idx="84">
                  <c:v>0.17790685290745578</c:v>
                </c:pt>
                <c:pt idx="85">
                  <c:v>0.17511926272826581</c:v>
                </c:pt>
                <c:pt idx="86">
                  <c:v>0.17238272564774862</c:v>
                </c:pt>
                <c:pt idx="87">
                  <c:v>0.16969610779572741</c:v>
                </c:pt>
                <c:pt idx="88">
                  <c:v>0.1670583068140353</c:v>
                </c:pt>
                <c:pt idx="89">
                  <c:v>0.16446825074569116</c:v>
                </c:pt>
                <c:pt idx="90">
                  <c:v>0.16192489697328685</c:v>
                </c:pt>
                <c:pt idx="91">
                  <c:v>0.15942723120391436</c:v>
                </c:pt>
                <c:pt idx="92">
                  <c:v>0.1569742664981317</c:v>
                </c:pt>
                <c:pt idx="93">
                  <c:v>0.15456504234062812</c:v>
                </c:pt>
                <c:pt idx="94">
                  <c:v>0.15219862375039631</c:v>
                </c:pt>
                <c:pt idx="95">
                  <c:v>0.14987410042835642</c:v>
                </c:pt>
                <c:pt idx="96">
                  <c:v>0.14759058594050467</c:v>
                </c:pt>
                <c:pt idx="97">
                  <c:v>0.14534721693477728</c:v>
                </c:pt>
                <c:pt idx="98">
                  <c:v>0.14314315238992847</c:v>
                </c:pt>
                <c:pt idx="99">
                  <c:v>0.14097757289482635</c:v>
                </c:pt>
                <c:pt idx="100">
                  <c:v>0.13884967995666203</c:v>
                </c:pt>
                <c:pt idx="101">
                  <c:v>0.13675869533665899</c:v>
                </c:pt>
                <c:pt idx="102">
                  <c:v>0.13470386041194854</c:v>
                </c:pt>
                <c:pt idx="103">
                  <c:v>0.13268443556235671</c:v>
                </c:pt>
                <c:pt idx="104">
                  <c:v>0.13069969958091868</c:v>
                </c:pt>
                <c:pt idx="105">
                  <c:v>0.12874894910700305</c:v>
                </c:pt>
                <c:pt idx="106">
                  <c:v>0.12683149808099159</c:v>
                </c:pt>
                <c:pt idx="107">
                  <c:v>0.12494667721951838</c:v>
                </c:pt>
                <c:pt idx="108">
                  <c:v>0.12309383351032643</c:v>
                </c:pt>
                <c:pt idx="109">
                  <c:v>0.12127232972585211</c:v>
                </c:pt>
                <c:pt idx="110">
                  <c:v>0.11948154395469417</c:v>
                </c:pt>
                <c:pt idx="111">
                  <c:v>0.11772086915017081</c:v>
                </c:pt>
                <c:pt idx="112">
                  <c:v>0.11598971269520882</c:v>
                </c:pt>
                <c:pt idx="113">
                  <c:v>0.11428749598285004</c:v>
                </c:pt>
                <c:pt idx="114">
                  <c:v>0.11261365401169583</c:v>
                </c:pt>
                <c:pt idx="115">
                  <c:v>0.11096763499564687</c:v>
                </c:pt>
                <c:pt idx="116">
                  <c:v>0.10934889998732657</c:v>
                </c:pt>
                <c:pt idx="117">
                  <c:v>0.10775692251461023</c:v>
                </c:pt>
                <c:pt idx="118">
                  <c:v>0.10619118822970669</c:v>
                </c:pt>
                <c:pt idx="119">
                  <c:v>0.10465119457027242</c:v>
                </c:pt>
                <c:pt idx="120">
                  <c:v>0.10313645043205735</c:v>
                </c:pt>
                <c:pt idx="121">
                  <c:v>0.10164647585261206</c:v>
                </c:pt>
                <c:pt idx="122">
                  <c:v>0.1001808017056047</c:v>
                </c:pt>
                <c:pt idx="123">
                  <c:v>9.8738969405320051E-2</c:v>
                </c:pt>
                <c:pt idx="124">
                  <c:v>9.7320530620931531E-2</c:v>
                </c:pt>
                <c:pt idx="125">
                  <c:v>9.59250470001594E-2</c:v>
                </c:pt>
                <c:pt idx="126">
                  <c:v>9.4552089901943234E-2</c:v>
                </c:pt>
                <c:pt idx="127">
                  <c:v>9.3201240137775768E-2</c:v>
                </c:pt>
                <c:pt idx="128">
                  <c:v>9.1872087721361934E-2</c:v>
                </c:pt>
                <c:pt idx="129">
                  <c:v>9.0564231626281619E-2</c:v>
                </c:pt>
                <c:pt idx="130">
                  <c:v>8.9277279551348981E-2</c:v>
                </c:pt>
                <c:pt idx="131">
                  <c:v>8.8010847693375985E-2</c:v>
                </c:pt>
                <c:pt idx="132">
                  <c:v>8.6764560527060428E-2</c:v>
                </c:pt>
                <c:pt idx="133">
                  <c:v>8.5538050591730794E-2</c:v>
                </c:pt>
                <c:pt idx="134">
                  <c:v>8.4330958284693683E-2</c:v>
                </c:pt>
                <c:pt idx="135">
                  <c:v>8.3142931660937988E-2</c:v>
                </c:pt>
                <c:pt idx="136">
                  <c:v>8.1973626238963579E-2</c:v>
                </c:pt>
                <c:pt idx="137">
                  <c:v>8.0822704812510915E-2</c:v>
                </c:pt>
                <c:pt idx="138">
                  <c:v>7.9689837267976626E-2</c:v>
                </c:pt>
                <c:pt idx="139">
                  <c:v>7.8574700407312098E-2</c:v>
                </c:pt>
                <c:pt idx="140">
                  <c:v>7.7476977776207032E-2</c:v>
                </c:pt>
                <c:pt idx="141">
                  <c:v>7.6396359497372363E-2</c:v>
                </c:pt>
                <c:pt idx="142">
                  <c:v>7.5332542108740561E-2</c:v>
                </c:pt>
                <c:pt idx="143">
                  <c:v>7.4285228406411705E-2</c:v>
                </c:pt>
                <c:pt idx="144">
                  <c:v>7.3254127292180213E-2</c:v>
                </c:pt>
                <c:pt idx="145">
                  <c:v>7.2238953625483507E-2</c:v>
                </c:pt>
                <c:pt idx="146">
                  <c:v>7.1239428079619221E-2</c:v>
                </c:pt>
                <c:pt idx="147">
                  <c:v>7.0255277002087169E-2</c:v>
                </c:pt>
                <c:pt idx="148">
                  <c:v>6.9286232278913631E-2</c:v>
                </c:pt>
                <c:pt idx="149">
                  <c:v>6.8332031202825036E-2</c:v>
                </c:pt>
                <c:pt idx="150">
                  <c:v>6.7392416345140788E-2</c:v>
                </c:pt>
                <c:pt idx="151">
                  <c:v>6.6467135431261648E-2</c:v>
                </c:pt>
                <c:pt idx="152">
                  <c:v>6.5555941219633942E-2</c:v>
                </c:pt>
                <c:pt idx="153">
                  <c:v>6.4658591384075259E-2</c:v>
                </c:pt>
                <c:pt idx="154">
                  <c:v>6.3774848399351186E-2</c:v>
                </c:pt>
                <c:pt idx="155">
                  <c:v>6.2904479429897117E-2</c:v>
                </c:pt>
                <c:pt idx="156">
                  <c:v>6.204725622158317E-2</c:v>
                </c:pt>
                <c:pt idx="157">
                  <c:v>6.1202954996424024E-2</c:v>
                </c:pt>
                <c:pt idx="158">
                  <c:v>6.0371356350139578E-2</c:v>
                </c:pt>
                <c:pt idx="159">
                  <c:v>5.9552245152475064E-2</c:v>
                </c:pt>
                <c:pt idx="160">
                  <c:v>5.874541045019329E-2</c:v>
                </c:pt>
                <c:pt idx="161">
                  <c:v>5.7950645372655374E-2</c:v>
                </c:pt>
                <c:pt idx="162">
                  <c:v>5.7167747039907485E-2</c:v>
                </c:pt>
                <c:pt idx="163">
                  <c:v>5.6396516473196871E-2</c:v>
                </c:pt>
                <c:pt idx="164">
                  <c:v>5.5636758507840944E-2</c:v>
                </c:pt>
                <c:pt idx="165">
                  <c:v>5.4888281708376764E-2</c:v>
                </c:pt>
                <c:pt idx="166">
                  <c:v>5.4150898285921525E-2</c:v>
                </c:pt>
                <c:pt idx="167">
                  <c:v>5.3424424017675998E-2</c:v>
                </c:pt>
                <c:pt idx="168">
                  <c:v>5.2708678168506051E-2</c:v>
                </c:pt>
                <c:pt idx="169">
                  <c:v>5.2003483414539288E-2</c:v>
                </c:pt>
                <c:pt idx="170">
                  <c:v>5.1308665768716441E-2</c:v>
                </c:pt>
                <c:pt idx="171">
                  <c:v>5.0624054508238946E-2</c:v>
                </c:pt>
                <c:pt idx="172">
                  <c:v>4.9949482103856128E-2</c:v>
                </c:pt>
                <c:pt idx="173">
                  <c:v>4.9284784150937559E-2</c:v>
                </c:pt>
                <c:pt idx="174">
                  <c:v>4.8629799302278197E-2</c:v>
                </c:pt>
                <c:pt idx="175">
                  <c:v>4.7984369202585177E-2</c:v>
                </c:pt>
                <c:pt idx="176">
                  <c:v>4.7348338424597299E-2</c:v>
                </c:pt>
                <c:pt idx="177">
                  <c:v>4.6721554406789753E-2</c:v>
                </c:pt>
                <c:pt idx="178">
                  <c:v>4.6103867392618486E-2</c:v>
                </c:pt>
                <c:pt idx="179">
                  <c:v>4.5495130371259601E-2</c:v>
                </c:pt>
                <c:pt idx="180">
                  <c:v>4.4895199019800915E-2</c:v>
                </c:pt>
                <c:pt idx="181">
                  <c:v>4.4303931646844839E-2</c:v>
                </c:pt>
                <c:pt idx="182">
                  <c:v>4.3721189137481804E-2</c:v>
                </c:pt>
                <c:pt idx="183">
                  <c:v>4.3146834899596156E-2</c:v>
                </c:pt>
                <c:pt idx="184">
                  <c:v>4.2580734811466681E-2</c:v>
                </c:pt>
                <c:pt idx="185">
                  <c:v>4.2022757170625667E-2</c:v>
                </c:pt>
                <c:pt idx="186">
                  <c:v>4.1472772643941488E-2</c:v>
                </c:pt>
                <c:pt idx="187">
                  <c:v>4.093065421889059E-2</c:v>
                </c:pt>
                <c:pt idx="188">
                  <c:v>4.0396277155986267E-2</c:v>
                </c:pt>
                <c:pt idx="189">
                  <c:v>3.9869518942332385E-2</c:v>
                </c:pt>
                <c:pt idx="190">
                  <c:v>3.9350259246271072E-2</c:v>
                </c:pt>
                <c:pt idx="191">
                  <c:v>3.8838379873094762E-2</c:v>
                </c:pt>
                <c:pt idx="192">
                  <c:v>3.8333764721793631E-2</c:v>
                </c:pt>
                <c:pt idx="193">
                  <c:v>3.7836299742810497E-2</c:v>
                </c:pt>
                <c:pt idx="194">
                  <c:v>3.7345872896776086E-2</c:v>
                </c:pt>
                <c:pt idx="195">
                  <c:v>3.6862374114198203E-2</c:v>
                </c:pt>
                <c:pt idx="196">
                  <c:v>3.6385695256079736E-2</c:v>
                </c:pt>
                <c:pt idx="197">
                  <c:v>3.5915730075440438E-2</c:v>
                </c:pt>
                <c:pt idx="198">
                  <c:v>3.5452374179718867E-2</c:v>
                </c:pt>
                <c:pt idx="199">
                  <c:v>3.4995524994030983E-2</c:v>
                </c:pt>
                <c:pt idx="200">
                  <c:v>3.4545081725263251E-2</c:v>
                </c:pt>
                <c:pt idx="201">
                  <c:v>3.4100945326978313E-2</c:v>
                </c:pt>
                <c:pt idx="202">
                  <c:v>3.3663018465111785E-2</c:v>
                </c:pt>
                <c:pt idx="203">
                  <c:v>3.3231205484440307E-2</c:v>
                </c:pt>
                <c:pt idx="204">
                  <c:v>3.2805412375800251E-2</c:v>
                </c:pt>
                <c:pt idx="205">
                  <c:v>3.2385546744038138E-2</c:v>
                </c:pt>
                <c:pt idx="206">
                  <c:v>3.1971517776674022E-2</c:v>
                </c:pt>
                <c:pt idx="207">
                  <c:v>3.1563236213259432E-2</c:v>
                </c:pt>
                <c:pt idx="208">
                  <c:v>3.1160614315412588E-2</c:v>
                </c:pt>
                <c:pt idx="209">
                  <c:v>3.0763565837513076E-2</c:v>
                </c:pt>
                <c:pt idx="210">
                  <c:v>3.0372005998040116E-2</c:v>
                </c:pt>
                <c:pt idx="211">
                  <c:v>2.9985851451537752E-2</c:v>
                </c:pt>
                <c:pt idx="212">
                  <c:v>2.9605020261191307E-2</c:v>
                </c:pt>
                <c:pt idx="213">
                  <c:v>2.9229431872000007E-2</c:v>
                </c:pt>
                <c:pt idx="214">
                  <c:v>2.8859007084530892E-2</c:v>
                </c:pt>
                <c:pt idx="215">
                  <c:v>2.8493668029239382E-2</c:v>
                </c:pt>
                <c:pt idx="216">
                  <c:v>2.8133338141343087E-2</c:v>
                </c:pt>
                <c:pt idx="217">
                  <c:v>2.7777942136234517E-2</c:v>
                </c:pt>
                <c:pt idx="218">
                  <c:v>2.7427405985420018E-2</c:v>
                </c:pt>
                <c:pt idx="219">
                  <c:v>2.7081656892972039E-2</c:v>
                </c:pt>
                <c:pt idx="220">
                  <c:v>2.674062327248174E-2</c:v>
                </c:pt>
                <c:pt idx="221">
                  <c:v>2.6404234724500777E-2</c:v>
                </c:pt>
                <c:pt idx="222">
                  <c:v>2.6072422014459234E-2</c:v>
                </c:pt>
                <c:pt idx="223">
                  <c:v>2.5745117051049236E-2</c:v>
                </c:pt>
                <c:pt idx="224">
                  <c:v>2.5422252865062642E-2</c:v>
                </c:pt>
                <c:pt idx="225">
                  <c:v>2.5103763588671987E-2</c:v>
                </c:pt>
                <c:pt idx="226">
                  <c:v>2.4789584435143966E-2</c:v>
                </c:pt>
                <c:pt idx="227">
                  <c:v>2.4479651678975721E-2</c:v>
                </c:pt>
                <c:pt idx="228">
                  <c:v>2.4173902636443166E-2</c:v>
                </c:pt>
                <c:pt idx="229">
                  <c:v>2.3872275646552289E-2</c:v>
                </c:pt>
                <c:pt idx="230">
                  <c:v>2.3574710052383572E-2</c:v>
                </c:pt>
                <c:pt idx="231">
                  <c:v>2.3281146182820317E-2</c:v>
                </c:pt>
                <c:pt idx="232">
                  <c:v>2.299152533465243E-2</c:v>
                </c:pt>
                <c:pt idx="233">
                  <c:v>2.2705789755045846E-2</c:v>
                </c:pt>
                <c:pt idx="234">
                  <c:v>2.2423882624370516E-2</c:v>
                </c:pt>
                <c:pt idx="235">
                  <c:v>2.2145748039377328E-2</c:v>
                </c:pt>
                <c:pt idx="236">
                  <c:v>2.1871330996716818E-2</c:v>
                </c:pt>
                <c:pt idx="237">
                  <c:v>2.160057737679142E-2</c:v>
                </c:pt>
                <c:pt idx="238">
                  <c:v>2.133343392793367E-2</c:v>
                </c:pt>
                <c:pt idx="239">
                  <c:v>2.1069848250903023E-2</c:v>
                </c:pt>
                <c:pt idx="240">
                  <c:v>2.0809768783693828E-2</c:v>
                </c:pt>
                <c:pt idx="241">
                  <c:v>2.0553144786647604E-2</c:v>
                </c:pt>
                <c:pt idx="242">
                  <c:v>2.0299926327862653E-2</c:v>
                </c:pt>
                <c:pt idx="243">
                  <c:v>2.0050064268894247E-2</c:v>
                </c:pt>
                <c:pt idx="244">
                  <c:v>1.9803510250738825E-2</c:v>
                </c:pt>
                <c:pt idx="245">
                  <c:v>1.9560216680096151E-2</c:v>
                </c:pt>
                <c:pt idx="246">
                  <c:v>1.9320136715902624E-2</c:v>
                </c:pt>
                <c:pt idx="247">
                  <c:v>1.9083224256130387E-2</c:v>
                </c:pt>
                <c:pt idx="248">
                  <c:v>1.8849433924845688E-2</c:v>
                </c:pt>
                <c:pt idx="249">
                  <c:v>1.8618721059521275E-2</c:v>
                </c:pt>
                <c:pt idx="250">
                  <c:v>1.8391041698596764E-2</c:v>
                </c:pt>
                <c:pt idx="251">
                  <c:v>1.8166352569281983E-2</c:v>
                </c:pt>
                <c:pt idx="252">
                  <c:v>1.7944611075597475E-2</c:v>
                </c:pt>
                <c:pt idx="253">
                  <c:v>1.772577528664724E-2</c:v>
                </c:pt>
                <c:pt idx="254">
                  <c:v>1.7509803925118774E-2</c:v>
                </c:pt>
                <c:pt idx="255">
                  <c:v>1.7296656356005049E-2</c:v>
                </c:pt>
                <c:pt idx="256">
                  <c:v>1.708629257554397E-2</c:v>
                </c:pt>
                <c:pt idx="257">
                  <c:v>1.6878673200370432E-2</c:v>
                </c:pt>
                <c:pt idx="258">
                  <c:v>1.6673759456876488E-2</c:v>
                </c:pt>
                <c:pt idx="259">
                  <c:v>1.6471513170774957E-2</c:v>
                </c:pt>
                <c:pt idx="260">
                  <c:v>1.6271896756862355E-2</c:v>
                </c:pt>
                <c:pt idx="261">
                  <c:v>1.6074873208976721E-2</c:v>
                </c:pt>
                <c:pt idx="262">
                  <c:v>1.5880406090146199E-2</c:v>
                </c:pt>
                <c:pt idx="263">
                  <c:v>1.5688459522924251E-2</c:v>
                </c:pt>
                <c:pt idx="264">
                  <c:v>1.5498998179907844E-2</c:v>
                </c:pt>
                <c:pt idx="265">
                  <c:v>1.531198727443419E-2</c:v>
                </c:pt>
                <c:pt idx="266">
                  <c:v>1.5127392551452798E-2</c:v>
                </c:pt>
                <c:pt idx="267">
                  <c:v>1.494518027856884E-2</c:v>
                </c:pt>
                <c:pt idx="268">
                  <c:v>1.4765317237254374E-2</c:v>
                </c:pt>
                <c:pt idx="269">
                  <c:v>1.4587770714223722E-2</c:v>
                </c:pt>
                <c:pt idx="270">
                  <c:v>1.4412508492969813E-2</c:v>
                </c:pt>
                <c:pt idx="271">
                  <c:v>1.4239498845457962E-2</c:v>
                </c:pt>
                <c:pt idx="272">
                  <c:v>1.4068710523973968E-2</c:v>
                </c:pt>
                <c:pt idx="273">
                  <c:v>1.3900112753122956E-2</c:v>
                </c:pt>
                <c:pt idx="274">
                  <c:v>1.3733675221976441E-2</c:v>
                </c:pt>
                <c:pt idx="275">
                  <c:v>1.3569368076364045E-2</c:v>
                </c:pt>
                <c:pt idx="276">
                  <c:v>1.3407161911307029E-2</c:v>
                </c:pt>
                <c:pt idx="277">
                  <c:v>1.3247027763590989E-2</c:v>
                </c:pt>
                <c:pt idx="278">
                  <c:v>1.3088937104474395E-2</c:v>
                </c:pt>
                <c:pt idx="279">
                  <c:v>1.293286183253059E-2</c:v>
                </c:pt>
                <c:pt idx="280">
                  <c:v>1.2778774266620371E-2</c:v>
                </c:pt>
                <c:pt idx="281">
                  <c:v>1.2626647138992475E-2</c:v>
                </c:pt>
                <c:pt idx="282">
                  <c:v>1.2476453588509498E-2</c:v>
                </c:pt>
                <c:pt idx="283">
                  <c:v>1.2328167153996514E-2</c:v>
                </c:pt>
                <c:pt idx="284">
                  <c:v>1.2181761767710101E-2</c:v>
                </c:pt>
                <c:pt idx="285">
                  <c:v>1.203721174892524E-2</c:v>
                </c:pt>
                <c:pt idx="286">
                  <c:v>1.1894491797637864E-2</c:v>
                </c:pt>
                <c:pt idx="287">
                  <c:v>1.175357698838044E-2</c:v>
                </c:pt>
                <c:pt idx="288">
                  <c:v>1.1614442764148724E-2</c:v>
                </c:pt>
                <c:pt idx="289">
                  <c:v>1.1477064930437073E-2</c:v>
                </c:pt>
                <c:pt idx="290">
                  <c:v>1.1341419649380529E-2</c:v>
                </c:pt>
                <c:pt idx="291">
                  <c:v>1.1207483434001263E-2</c:v>
                </c:pt>
                <c:pt idx="292">
                  <c:v>1.107523314255739E-2</c:v>
                </c:pt>
                <c:pt idx="293">
                  <c:v>1.0944645972992276E-2</c:v>
                </c:pt>
                <c:pt idx="294">
                  <c:v>1.0815699457482172E-2</c:v>
                </c:pt>
                <c:pt idx="295">
                  <c:v>1.0688371457080308E-2</c:v>
                </c:pt>
                <c:pt idx="296">
                  <c:v>1.0562640156455652E-2</c:v>
                </c:pt>
                <c:pt idx="297">
                  <c:v>1.0438484058724197E-2</c:v>
                </c:pt>
                <c:pt idx="298">
                  <c:v>1.0315881980371365E-2</c:v>
                </c:pt>
                <c:pt idx="299">
                  <c:v>1.0194813046263492E-2</c:v>
                </c:pt>
                <c:pt idx="300">
                  <c:v>1.007525668474654E-2</c:v>
                </c:pt>
                <c:pt idx="301">
                  <c:v>9.9571926228308339E-3</c:v>
                </c:pt>
                <c:pt idx="302">
                  <c:v>9.8406008814595682E-3</c:v>
                </c:pt>
                <c:pt idx="303">
                  <c:v>9.7254617708598511E-3</c:v>
                </c:pt>
                <c:pt idx="304">
                  <c:v>9.611755885974663E-3</c:v>
                </c:pt>
                <c:pt idx="305">
                  <c:v>9.4994641019738868E-3</c:v>
                </c:pt>
                <c:pt idx="306">
                  <c:v>9.388567569843324E-3</c:v>
                </c:pt>
                <c:pt idx="307">
                  <c:v>9.2790477120498344E-3</c:v>
                </c:pt>
                <c:pt idx="308">
                  <c:v>9.1708862182813683E-3</c:v>
                </c:pt>
                <c:pt idx="309">
                  <c:v>9.0640650412603056E-3</c:v>
                </c:pt>
                <c:pt idx="310">
                  <c:v>8.9585663926288368E-3</c:v>
                </c:pt>
                <c:pt idx="311">
                  <c:v>8.854372738904992E-3</c:v>
                </c:pt>
                <c:pt idx="312">
                  <c:v>8.7514667975079324E-3</c:v>
                </c:pt>
                <c:pt idx="313">
                  <c:v>8.6498315328511193E-3</c:v>
                </c:pt>
                <c:pt idx="314">
                  <c:v>8.5494501525023633E-3</c:v>
                </c:pt>
                <c:pt idx="315">
                  <c:v>8.4503061034091487E-3</c:v>
                </c:pt>
                <c:pt idx="316">
                  <c:v>8.3523830681882273E-3</c:v>
                </c:pt>
                <c:pt idx="317">
                  <c:v>8.2556649614782089E-3</c:v>
                </c:pt>
                <c:pt idx="318">
                  <c:v>8.1601359263540132E-3</c:v>
                </c:pt>
                <c:pt idx="319">
                  <c:v>8.0657803308018996E-3</c:v>
                </c:pt>
                <c:pt idx="320">
                  <c:v>7.972582764254119E-3</c:v>
                </c:pt>
                <c:pt idx="321">
                  <c:v>7.880528034181945E-3</c:v>
                </c:pt>
                <c:pt idx="322">
                  <c:v>7.7896011627460529E-3</c:v>
                </c:pt>
                <c:pt idx="323">
                  <c:v>7.6997873835032852E-3</c:v>
                </c:pt>
                <c:pt idx="324">
                  <c:v>7.6110721381684263E-3</c:v>
                </c:pt>
                <c:pt idx="325">
                  <c:v>7.5234410734304705E-3</c:v>
                </c:pt>
                <c:pt idx="326">
                  <c:v>7.436880037821946E-3</c:v>
                </c:pt>
                <c:pt idx="327">
                  <c:v>7.3513750786404963E-3</c:v>
                </c:pt>
                <c:pt idx="328">
                  <c:v>7.2669124389218307E-3</c:v>
                </c:pt>
                <c:pt idx="329">
                  <c:v>7.1834785544629244E-3</c:v>
                </c:pt>
                <c:pt idx="330">
                  <c:v>7.101060050894727E-3</c:v>
                </c:pt>
                <c:pt idx="331">
                  <c:v>7.0196437408033647E-3</c:v>
                </c:pt>
                <c:pt idx="332">
                  <c:v>6.9392166208989588E-3</c:v>
                </c:pt>
                <c:pt idx="333">
                  <c:v>6.859765869231268E-3</c:v>
                </c:pt>
                <c:pt idx="334">
                  <c:v>6.7812788424512493E-3</c:v>
                </c:pt>
                <c:pt idx="335">
                  <c:v>6.7037430731176715E-3</c:v>
                </c:pt>
                <c:pt idx="336">
                  <c:v>6.6271462670481054E-3</c:v>
                </c:pt>
                <c:pt idx="337">
                  <c:v>6.5514763007132855E-3</c:v>
                </c:pt>
                <c:pt idx="338">
                  <c:v>6.4767212186742406E-3</c:v>
                </c:pt>
                <c:pt idx="339">
                  <c:v>6.4028692310613856E-3</c:v>
                </c:pt>
                <c:pt idx="340">
                  <c:v>6.3299087110947226E-3</c:v>
                </c:pt>
                <c:pt idx="341">
                  <c:v>6.2578281926445115E-3</c:v>
                </c:pt>
                <c:pt idx="342">
                  <c:v>6.1866163678317102E-3</c:v>
                </c:pt>
                <c:pt idx="343">
                  <c:v>6.1162620846673598E-3</c:v>
                </c:pt>
                <c:pt idx="344">
                  <c:v>6.0467543447303542E-3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23-40FD-94CE-806E6702BC77}"/>
            </c:ext>
          </c:extLst>
        </c:ser>
        <c:ser>
          <c:idx val="3"/>
          <c:order val="3"/>
          <c:tx>
            <c:strRef>
              <c:f>'Survival Extrapolation'!$AE$20:$AF$20</c:f>
              <c:strCache>
                <c:ptCount val="1"/>
                <c:pt idx="0">
                  <c:v>LogNormal</c:v>
                </c:pt>
              </c:strCache>
            </c:strRef>
          </c:tx>
          <c:spPr>
            <a:ln w="1905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Extrapolation'!$AF$26:$AF$370</c:f>
              <c:numCache>
                <c:formatCode>General</c:formatCode>
                <c:ptCount val="345"/>
                <c:pt idx="0">
                  <c:v>1</c:v>
                </c:pt>
                <c:pt idx="1">
                  <c:v>0.97905698946860908</c:v>
                </c:pt>
                <c:pt idx="2">
                  <c:v>0.94314133461885608</c:v>
                </c:pt>
                <c:pt idx="3">
                  <c:v>0.90603809559689241</c:v>
                </c:pt>
                <c:pt idx="4">
                  <c:v>0.87049954488659698</c:v>
                </c:pt>
                <c:pt idx="5">
                  <c:v>0.83718130425322013</c:v>
                </c:pt>
                <c:pt idx="6">
                  <c:v>0.80615066287857173</c:v>
                </c:pt>
                <c:pt idx="7">
                  <c:v>0.77728805537862167</c:v>
                </c:pt>
                <c:pt idx="8">
                  <c:v>0.75041876308738131</c:v>
                </c:pt>
                <c:pt idx="9">
                  <c:v>0.72536054491886504</c:v>
                </c:pt>
                <c:pt idx="10">
                  <c:v>0.70194111644042256</c:v>
                </c:pt>
                <c:pt idx="11">
                  <c:v>0.68000389705465225</c:v>
                </c:pt>
                <c:pt idx="12">
                  <c:v>0.65940902586736738</c:v>
                </c:pt>
                <c:pt idx="13">
                  <c:v>0.64003250007632095</c:v>
                </c:pt>
                <c:pt idx="14">
                  <c:v>0.62176464818356814</c:v>
                </c:pt>
                <c:pt idx="15">
                  <c:v>0.6045084592619836</c:v>
                </c:pt>
                <c:pt idx="16">
                  <c:v>0.58817798622468753</c:v>
                </c:pt>
                <c:pt idx="17">
                  <c:v>0.57269690490632985</c:v>
                </c:pt>
                <c:pt idx="18">
                  <c:v>0.55799724961987995</c:v>
                </c:pt>
                <c:pt idx="19">
                  <c:v>0.54401831926733335</c:v>
                </c:pt>
                <c:pt idx="20">
                  <c:v>0.530705737623139</c:v>
                </c:pt>
                <c:pt idx="21">
                  <c:v>0.51801064843129452</c:v>
                </c:pt>
                <c:pt idx="22">
                  <c:v>0.50588902633466493</c:v>
                </c:pt>
                <c:pt idx="23">
                  <c:v>0.49430108640594561</c:v>
                </c:pt>
                <c:pt idx="24">
                  <c:v>0.4832107772303067</c:v>
                </c:pt>
                <c:pt idx="25">
                  <c:v>0.47258534466597224</c:v>
                </c:pt>
                <c:pt idx="26">
                  <c:v>0.46239495539701969</c:v>
                </c:pt>
                <c:pt idx="27">
                  <c:v>0.45261237113048647</c:v>
                </c:pt>
                <c:pt idx="28">
                  <c:v>0.44321266577258212</c:v>
                </c:pt>
                <c:pt idx="29">
                  <c:v>0.43417297916658226</c:v>
                </c:pt>
                <c:pt idx="30">
                  <c:v>0.42547230201686559</c:v>
                </c:pt>
                <c:pt idx="31">
                  <c:v>0.41709128748998947</c:v>
                </c:pt>
                <c:pt idx="32">
                  <c:v>0.40901208570294523</c:v>
                </c:pt>
                <c:pt idx="33">
                  <c:v>0.40121819790568114</c:v>
                </c:pt>
                <c:pt idx="34">
                  <c:v>0.39369434766083478</c:v>
                </c:pt>
                <c:pt idx="35">
                  <c:v>0.38642636673614283</c:v>
                </c:pt>
                <c:pt idx="36">
                  <c:v>0.37940109376887998</c:v>
                </c:pt>
                <c:pt idx="37">
                  <c:v>0.37260628404902441</c:v>
                </c:pt>
                <c:pt idx="38">
                  <c:v>0.36603052900856015</c:v>
                </c:pt>
                <c:pt idx="39">
                  <c:v>0.35966318420651966</c:v>
                </c:pt>
                <c:pt idx="40">
                  <c:v>0.35349430476967658</c:v>
                </c:pt>
                <c:pt idx="41">
                  <c:v>0.34751458739265395</c:v>
                </c:pt>
                <c:pt idx="42">
                  <c:v>0.34171531812306122</c:v>
                </c:pt>
                <c:pt idx="43">
                  <c:v>0.33608832526077614</c:v>
                </c:pt>
                <c:pt idx="44">
                  <c:v>0.33062593678864916</c:v>
                </c:pt>
                <c:pt idx="45">
                  <c:v>0.32532094182720162</c:v>
                </c:pt>
                <c:pt idx="46">
                  <c:v>0.32016655567037522</c:v>
                </c:pt>
                <c:pt idx="47">
                  <c:v>0.31515638801475465</c:v>
                </c:pt>
                <c:pt idx="48">
                  <c:v>0.31028441404234708</c:v>
                </c:pt>
                <c:pt idx="49">
                  <c:v>0.30554494805813359</c:v>
                </c:pt>
                <c:pt idx="50">
                  <c:v>0.30093261941918703</c:v>
                </c:pt>
                <c:pt idx="51">
                  <c:v>0.29644235052300716</c:v>
                </c:pt>
                <c:pt idx="52">
                  <c:v>0.29206933664954038</c:v>
                </c:pt>
                <c:pt idx="53">
                  <c:v>0.28780902747470616</c:v>
                </c:pt>
                <c:pt idx="54">
                  <c:v>0.28365711009365491</c:v>
                </c:pt>
                <c:pt idx="55">
                  <c:v>0.27960949340981456</c:v>
                </c:pt>
                <c:pt idx="56">
                  <c:v>0.27566229376142837</c:v>
                </c:pt>
                <c:pt idx="57">
                  <c:v>0.27181182167102569</c:v>
                </c:pt>
                <c:pt idx="58">
                  <c:v>0.26805456961536012</c:v>
                </c:pt>
                <c:pt idx="59">
                  <c:v>0.26438720072401245</c:v>
                </c:pt>
                <c:pt idx="60">
                  <c:v>0.26080653832428069</c:v>
                </c:pt>
                <c:pt idx="61">
                  <c:v>0.2573095562583092</c:v>
                </c:pt>
                <c:pt idx="62">
                  <c:v>0.25389336990581635</c:v>
                </c:pt>
                <c:pt idx="63">
                  <c:v>0.25055522785232753</c:v>
                </c:pt>
                <c:pt idx="64">
                  <c:v>0.2472925041486782</c:v>
                </c:pt>
                <c:pt idx="65">
                  <c:v>0.2441026911127413</c:v>
                </c:pt>
                <c:pt idx="66">
                  <c:v>0.24098339262899171</c:v>
                </c:pt>
                <c:pt idx="67">
                  <c:v>0.2379323179056555</c:v>
                </c:pt>
                <c:pt idx="68">
                  <c:v>0.23494727565292262</c:v>
                </c:pt>
                <c:pt idx="69">
                  <c:v>0.23202616864902403</c:v>
                </c:pt>
                <c:pt idx="70">
                  <c:v>0.22916698866396323</c:v>
                </c:pt>
                <c:pt idx="71">
                  <c:v>0.2263678117133856</c:v>
                </c:pt>
                <c:pt idx="72">
                  <c:v>0.22362679361748428</c:v>
                </c:pt>
                <c:pt idx="73">
                  <c:v>0.2209421658420242</c:v>
                </c:pt>
                <c:pt idx="74">
                  <c:v>0.21831223160052882</c:v>
                </c:pt>
                <c:pt idx="75">
                  <c:v>0.21573536219846301</c:v>
                </c:pt>
                <c:pt idx="76">
                  <c:v>0.21320999360183801</c:v>
                </c:pt>
                <c:pt idx="77">
                  <c:v>0.21073462321414183</c:v>
                </c:pt>
                <c:pt idx="78">
                  <c:v>0.20830780684679928</c:v>
                </c:pt>
                <c:pt idx="79">
                  <c:v>0.20592815586958135</c:v>
                </c:pt>
                <c:pt idx="80">
                  <c:v>0.2035943345284652</c:v>
                </c:pt>
                <c:pt idx="81">
                  <c:v>0.20130505741944171</c:v>
                </c:pt>
                <c:pt idx="82">
                  <c:v>0.1990590871076694</c:v>
                </c:pt>
                <c:pt idx="83">
                  <c:v>0.19685523188219767</c:v>
                </c:pt>
                <c:pt idx="84">
                  <c:v>0.19469234363723631</c:v>
                </c:pt>
                <c:pt idx="85">
                  <c:v>0.19256931587163051</c:v>
                </c:pt>
                <c:pt idx="86">
                  <c:v>0.19048508179883483</c:v>
                </c:pt>
                <c:pt idx="87">
                  <c:v>0.1884386125602473</c:v>
                </c:pt>
                <c:pt idx="88">
                  <c:v>0.18642891553530039</c:v>
                </c:pt>
                <c:pt idx="89">
                  <c:v>0.18445503274217945</c:v>
                </c:pt>
                <c:pt idx="90">
                  <c:v>0.18251603932348937</c:v>
                </c:pt>
                <c:pt idx="91">
                  <c:v>0.18061104211159507</c:v>
                </c:pt>
                <c:pt idx="92">
                  <c:v>0.1787391782687342</c:v>
                </c:pt>
                <c:pt idx="93">
                  <c:v>0.17689961399735044</c:v>
                </c:pt>
                <c:pt idx="94">
                  <c:v>0.17509154331640442</c:v>
                </c:pt>
                <c:pt idx="95">
                  <c:v>0.17331418689972089</c:v>
                </c:pt>
                <c:pt idx="96">
                  <c:v>0.17156679097269556</c:v>
                </c:pt>
                <c:pt idx="97">
                  <c:v>0.16984862626393349</c:v>
                </c:pt>
                <c:pt idx="98">
                  <c:v>0.16815898700862442</c:v>
                </c:pt>
                <c:pt idx="99">
                  <c:v>0.16649719000067009</c:v>
                </c:pt>
                <c:pt idx="100">
                  <c:v>0.16486257369077661</c:v>
                </c:pt>
                <c:pt idx="101">
                  <c:v>0.16325449732790864</c:v>
                </c:pt>
                <c:pt idx="102">
                  <c:v>0.16167234014166643</c:v>
                </c:pt>
                <c:pt idx="103">
                  <c:v>0.16011550056330826</c:v>
                </c:pt>
                <c:pt idx="104">
                  <c:v>0.15858339548328559</c:v>
                </c:pt>
                <c:pt idx="105">
                  <c:v>0.15707545954328628</c:v>
                </c:pt>
                <c:pt idx="106">
                  <c:v>0.15559114446091693</c:v>
                </c:pt>
                <c:pt idx="107">
                  <c:v>0.15412991838526391</c:v>
                </c:pt>
                <c:pt idx="108">
                  <c:v>0.15269126528168331</c:v>
                </c:pt>
                <c:pt idx="109">
                  <c:v>0.15127468434427249</c:v>
                </c:pt>
                <c:pt idx="110">
                  <c:v>0.14987968943456542</c:v>
                </c:pt>
                <c:pt idx="111">
                  <c:v>0.14850580854508955</c:v>
                </c:pt>
                <c:pt idx="112">
                  <c:v>0.14715258328649028</c:v>
                </c:pt>
                <c:pt idx="113">
                  <c:v>0.14581956839702215</c:v>
                </c:pt>
                <c:pt idx="114">
                  <c:v>0.14450633127326062</c:v>
                </c:pt>
                <c:pt idx="115">
                  <c:v>0.14321245152096518</c:v>
                </c:pt>
                <c:pt idx="116">
                  <c:v>0.14193752052508368</c:v>
                </c:pt>
                <c:pt idx="117">
                  <c:v>0.14068114103794271</c:v>
                </c:pt>
                <c:pt idx="118">
                  <c:v>0.13944292678472892</c:v>
                </c:pt>
                <c:pt idx="119">
                  <c:v>0.13822250208540998</c:v>
                </c:pt>
                <c:pt idx="120">
                  <c:v>0.13701950149229791</c:v>
                </c:pt>
                <c:pt idx="121">
                  <c:v>0.13583356944249858</c:v>
                </c:pt>
                <c:pt idx="122">
                  <c:v>0.13466435992453196</c:v>
                </c:pt>
                <c:pt idx="123">
                  <c:v>0.13351153615844991</c:v>
                </c:pt>
                <c:pt idx="124">
                  <c:v>0.13237477028881317</c:v>
                </c:pt>
                <c:pt idx="125">
                  <c:v>0.13125374308992377</c:v>
                </c:pt>
                <c:pt idx="126">
                  <c:v>0.13014814368274208</c:v>
                </c:pt>
                <c:pt idx="127">
                  <c:v>0.12905766926294682</c:v>
                </c:pt>
                <c:pt idx="128">
                  <c:v>0.12798202483962717</c:v>
                </c:pt>
                <c:pt idx="129">
                  <c:v>0.1269209229841215</c:v>
                </c:pt>
                <c:pt idx="130">
                  <c:v>0.12587408358854191</c:v>
                </c:pt>
                <c:pt idx="131">
                  <c:v>0.12484123363354993</c:v>
                </c:pt>
                <c:pt idx="132">
                  <c:v>0.12382210696496809</c:v>
                </c:pt>
                <c:pt idx="133">
                  <c:v>0.12281644407883674</c:v>
                </c:pt>
                <c:pt idx="134">
                  <c:v>0.1218239919145423</c:v>
                </c:pt>
                <c:pt idx="135">
                  <c:v>0.12084450365566279</c:v>
                </c:pt>
                <c:pt idx="136">
                  <c:v>0.11987773853819739</c:v>
                </c:pt>
                <c:pt idx="137">
                  <c:v>0.11892346166585588</c:v>
                </c:pt>
                <c:pt idx="138">
                  <c:v>0.1179814438321094</c:v>
                </c:pt>
                <c:pt idx="139">
                  <c:v>0.11705146134871136</c:v>
                </c:pt>
                <c:pt idx="140">
                  <c:v>0.11613329588041299</c:v>
                </c:pt>
                <c:pt idx="141">
                  <c:v>0.1152267342856157</c:v>
                </c:pt>
                <c:pt idx="142">
                  <c:v>0.11433156846270809</c:v>
                </c:pt>
                <c:pt idx="143">
                  <c:v>0.11344759520185321</c:v>
                </c:pt>
                <c:pt idx="144">
                  <c:v>0.11257461604199881</c:v>
                </c:pt>
                <c:pt idx="145">
                  <c:v>0.11171243713289869</c:v>
                </c:pt>
                <c:pt idx="146">
                  <c:v>0.11086086910193582</c:v>
                </c:pt>
                <c:pt idx="147">
                  <c:v>0.11001972692555773</c:v>
                </c:pt>
                <c:pt idx="148">
                  <c:v>0.10918882980513256</c:v>
                </c:pt>
                <c:pt idx="149">
                  <c:v>0.10836800104705246</c:v>
                </c:pt>
                <c:pt idx="150">
                  <c:v>0.10755706794691311</c:v>
                </c:pt>
                <c:pt idx="151">
                  <c:v>0.10675586167760742</c:v>
                </c:pt>
                <c:pt idx="152">
                  <c:v>0.10596421718117965</c:v>
                </c:pt>
                <c:pt idx="153">
                  <c:v>0.105181973064294</c:v>
                </c:pt>
                <c:pt idx="154">
                  <c:v>0.10440897149717365</c:v>
                </c:pt>
                <c:pt idx="155">
                  <c:v>0.10364505811587832</c:v>
                </c:pt>
                <c:pt idx="156">
                  <c:v>0.10289008192779181</c:v>
                </c:pt>
                <c:pt idx="157">
                  <c:v>0.10214389522019451</c:v>
                </c:pt>
                <c:pt idx="158">
                  <c:v>0.10140635347180593</c:v>
                </c:pt>
                <c:pt idx="159">
                  <c:v>0.10067731526718326</c:v>
                </c:pt>
                <c:pt idx="160">
                  <c:v>9.9956642213868463E-2</c:v>
                </c:pt>
                <c:pt idx="161">
                  <c:v>9.9244198862181832E-2</c:v>
                </c:pt>
                <c:pt idx="162">
                  <c:v>9.8539852627563596E-2</c:v>
                </c:pt>
                <c:pt idx="163">
                  <c:v>9.7843473715366391E-2</c:v>
                </c:pt>
                <c:pt idx="164">
                  <c:v>9.715493504801398E-2</c:v>
                </c:pt>
                <c:pt idx="165">
                  <c:v>9.647411219443347E-2</c:v>
                </c:pt>
                <c:pt idx="166">
                  <c:v>9.5800883301681683E-2</c:v>
                </c:pt>
                <c:pt idx="167">
                  <c:v>9.5135129028686594E-2</c:v>
                </c:pt>
                <c:pt idx="168">
                  <c:v>9.4476732482024484E-2</c:v>
                </c:pt>
                <c:pt idx="169">
                  <c:v>9.382557915366363E-2</c:v>
                </c:pt>
                <c:pt idx="170">
                  <c:v>9.3181556860602033E-2</c:v>
                </c:pt>
                <c:pt idx="171">
                  <c:v>9.2544555686331798E-2</c:v>
                </c:pt>
                <c:pt idx="172">
                  <c:v>9.1914467924068211E-2</c:v>
                </c:pt>
                <c:pt idx="173">
                  <c:v>9.1291188021677572E-2</c:v>
                </c:pt>
                <c:pt idx="174">
                  <c:v>9.0674612528250043E-2</c:v>
                </c:pt>
                <c:pt idx="175">
                  <c:v>9.0064640042253008E-2</c:v>
                </c:pt>
                <c:pt idx="176">
                  <c:v>8.9461171161218989E-2</c:v>
                </c:pt>
                <c:pt idx="177">
                  <c:v>8.8864108432906708E-2</c:v>
                </c:pt>
                <c:pt idx="178">
                  <c:v>8.8273356307891571E-2</c:v>
                </c:pt>
                <c:pt idx="179">
                  <c:v>8.7688821093533709E-2</c:v>
                </c:pt>
                <c:pt idx="180">
                  <c:v>8.7110410909277292E-2</c:v>
                </c:pt>
                <c:pt idx="181">
                  <c:v>8.6538035643236588E-2</c:v>
                </c:pt>
                <c:pt idx="182">
                  <c:v>8.5971606910025922E-2</c:v>
                </c:pt>
                <c:pt idx="183">
                  <c:v>8.5411038009791218E-2</c:v>
                </c:pt>
                <c:pt idx="184">
                  <c:v>8.4856243888404292E-2</c:v>
                </c:pt>
                <c:pt idx="185">
                  <c:v>8.4307141098780125E-2</c:v>
                </c:pt>
                <c:pt idx="186">
                  <c:v>8.3763647763281601E-2</c:v>
                </c:pt>
                <c:pt idx="187">
                  <c:v>8.3225683537175077E-2</c:v>
                </c:pt>
                <c:pt idx="188">
                  <c:v>8.2693169573103242E-2</c:v>
                </c:pt>
                <c:pt idx="189">
                  <c:v>8.2166028486541753E-2</c:v>
                </c:pt>
                <c:pt idx="190">
                  <c:v>8.1644184322208324E-2</c:v>
                </c:pt>
                <c:pt idx="191">
                  <c:v>8.1127562521393637E-2</c:v>
                </c:pt>
                <c:pt idx="192">
                  <c:v>8.0616089890183984E-2</c:v>
                </c:pt>
                <c:pt idx="193">
                  <c:v>8.0109694568548995E-2</c:v>
                </c:pt>
                <c:pt idx="194">
                  <c:v>7.9608306000264362E-2</c:v>
                </c:pt>
                <c:pt idx="195">
                  <c:v>7.9111854903646361E-2</c:v>
                </c:pt>
                <c:pt idx="196">
                  <c:v>7.8620273243069527E-2</c:v>
                </c:pt>
                <c:pt idx="197">
                  <c:v>7.8133494201246156E-2</c:v>
                </c:pt>
                <c:pt idx="198">
                  <c:v>7.7651452152241451E-2</c:v>
                </c:pt>
                <c:pt idx="199">
                  <c:v>7.7174082635202979E-2</c:v>
                </c:pt>
                <c:pt idx="200">
                  <c:v>7.6701322328781796E-2</c:v>
                </c:pt>
                <c:pt idx="201">
                  <c:v>7.6233109026224377E-2</c:v>
                </c:pt>
                <c:pt idx="202">
                  <c:v>7.5769381611114905E-2</c:v>
                </c:pt>
                <c:pt idx="203">
                  <c:v>7.5310080033747506E-2</c:v>
                </c:pt>
                <c:pt idx="204">
                  <c:v>7.4855145288110325E-2</c:v>
                </c:pt>
                <c:pt idx="205">
                  <c:v>7.4404519389462798E-2</c:v>
                </c:pt>
                <c:pt idx="206">
                  <c:v>7.3958145352487126E-2</c:v>
                </c:pt>
                <c:pt idx="207">
                  <c:v>7.3515967169998975E-2</c:v>
                </c:pt>
                <c:pt idx="208">
                  <c:v>7.3077929792198071E-2</c:v>
                </c:pt>
                <c:pt idx="209">
                  <c:v>7.264397910644671E-2</c:v>
                </c:pt>
                <c:pt idx="210">
                  <c:v>7.2214061917555084E-2</c:v>
                </c:pt>
                <c:pt idx="211">
                  <c:v>7.1788125928563984E-2</c:v>
                </c:pt>
                <c:pt idx="212">
                  <c:v>7.1366119722006904E-2</c:v>
                </c:pt>
                <c:pt idx="213">
                  <c:v>7.0947992741638766E-2</c:v>
                </c:pt>
                <c:pt idx="214">
                  <c:v>7.0533695274618058E-2</c:v>
                </c:pt>
                <c:pt idx="215">
                  <c:v>7.0123178434128297E-2</c:v>
                </c:pt>
                <c:pt idx="216">
                  <c:v>6.9716394142427585E-2</c:v>
                </c:pt>
                <c:pt idx="217">
                  <c:v>6.9313295114312279E-2</c:v>
                </c:pt>
                <c:pt idx="218">
                  <c:v>6.8913834840985011E-2</c:v>
                </c:pt>
                <c:pt idx="219">
                  <c:v>6.8517967574313055E-2</c:v>
                </c:pt>
                <c:pt idx="220">
                  <c:v>6.8125648311469389E-2</c:v>
                </c:pt>
                <c:pt idx="221">
                  <c:v>6.7736832779942135E-2</c:v>
                </c:pt>
                <c:pt idx="222">
                  <c:v>6.7351477422904038E-2</c:v>
                </c:pt>
                <c:pt idx="223">
                  <c:v>6.6969539384932442E-2</c:v>
                </c:pt>
                <c:pt idx="224">
                  <c:v>6.6590976498067889E-2</c:v>
                </c:pt>
                <c:pt idx="225">
                  <c:v>6.6215747268204117E-2</c:v>
                </c:pt>
                <c:pt idx="226">
                  <c:v>6.5843810861799246E-2</c:v>
                </c:pt>
                <c:pt idx="227">
                  <c:v>6.5475127092899266E-2</c:v>
                </c:pt>
                <c:pt idx="228">
                  <c:v>6.5109656410465844E-2</c:v>
                </c:pt>
                <c:pt idx="229">
                  <c:v>6.4747359885999445E-2</c:v>
                </c:pt>
                <c:pt idx="230">
                  <c:v>6.438819920145078E-2</c:v>
                </c:pt>
                <c:pt idx="231">
                  <c:v>6.4032136637411807E-2</c:v>
                </c:pt>
                <c:pt idx="232">
                  <c:v>6.367913506157874E-2</c:v>
                </c:pt>
                <c:pt idx="233">
                  <c:v>6.3329157917480949E-2</c:v>
                </c:pt>
                <c:pt idx="234">
                  <c:v>6.298216921346711E-2</c:v>
                </c:pt>
                <c:pt idx="235">
                  <c:v>6.2638133511943472E-2</c:v>
                </c:pt>
                <c:pt idx="236">
                  <c:v>6.2297015918854948E-2</c:v>
                </c:pt>
                <c:pt idx="237">
                  <c:v>6.1958782073406216E-2</c:v>
                </c:pt>
                <c:pt idx="238">
                  <c:v>6.1623398138012764E-2</c:v>
                </c:pt>
                <c:pt idx="239">
                  <c:v>6.1290830788479078E-2</c:v>
                </c:pt>
                <c:pt idx="240">
                  <c:v>6.096104720439588E-2</c:v>
                </c:pt>
                <c:pt idx="241">
                  <c:v>6.0634015059750968E-2</c:v>
                </c:pt>
                <c:pt idx="242">
                  <c:v>6.0309702513749786E-2</c:v>
                </c:pt>
                <c:pt idx="243">
                  <c:v>5.9988078201838491E-2</c:v>
                </c:pt>
                <c:pt idx="244">
                  <c:v>5.966911122692431E-2</c:v>
                </c:pt>
                <c:pt idx="245">
                  <c:v>5.9352771150790296E-2</c:v>
                </c:pt>
                <c:pt idx="246">
                  <c:v>5.903902798569638E-2</c:v>
                </c:pt>
                <c:pt idx="247">
                  <c:v>5.8727852186164275E-2</c:v>
                </c:pt>
                <c:pt idx="248">
                  <c:v>5.8419214640941686E-2</c:v>
                </c:pt>
                <c:pt idx="249">
                  <c:v>5.8113086665138591E-2</c:v>
                </c:pt>
                <c:pt idx="250">
                  <c:v>5.7809439992535072E-2</c:v>
                </c:pt>
                <c:pt idx="251">
                  <c:v>5.7508246768052995E-2</c:v>
                </c:pt>
                <c:pt idx="252">
                  <c:v>5.7209479540390684E-2</c:v>
                </c:pt>
                <c:pt idx="253">
                  <c:v>5.6913111254812465E-2</c:v>
                </c:pt>
                <c:pt idx="254">
                  <c:v>5.6619115246093643E-2</c:v>
                </c:pt>
                <c:pt idx="255">
                  <c:v>5.6327465231613805E-2</c:v>
                </c:pt>
                <c:pt idx="256">
                  <c:v>5.6038135304596337E-2</c:v>
                </c:pt>
                <c:pt idx="257">
                  <c:v>5.575109992749061E-2</c:v>
                </c:pt>
                <c:pt idx="258">
                  <c:v>5.5466333925492051E-2</c:v>
                </c:pt>
                <c:pt idx="259">
                  <c:v>5.5183812480198324E-2</c:v>
                </c:pt>
                <c:pt idx="260">
                  <c:v>5.4903511123397308E-2</c:v>
                </c:pt>
                <c:pt idx="261">
                  <c:v>5.4625405730984511E-2</c:v>
                </c:pt>
                <c:pt idx="262">
                  <c:v>5.4349472517005726E-2</c:v>
                </c:pt>
                <c:pt idx="263">
                  <c:v>5.4075688027822033E-2</c:v>
                </c:pt>
                <c:pt idx="264">
                  <c:v>5.3804029136396481E-2</c:v>
                </c:pt>
                <c:pt idx="265">
                  <c:v>5.3534473036695673E-2</c:v>
                </c:pt>
                <c:pt idx="266">
                  <c:v>5.3266997238206604E-2</c:v>
                </c:pt>
                <c:pt idx="267">
                  <c:v>5.3001579560565393E-2</c:v>
                </c:pt>
                <c:pt idx="268">
                  <c:v>5.2738198128293612E-2</c:v>
                </c:pt>
                <c:pt idx="269">
                  <c:v>5.2476831365641963E-2</c:v>
                </c:pt>
                <c:pt idx="270">
                  <c:v>5.2217457991537763E-2</c:v>
                </c:pt>
                <c:pt idx="271">
                  <c:v>5.1960057014633243E-2</c:v>
                </c:pt>
                <c:pt idx="272">
                  <c:v>5.1704607728452978E-2</c:v>
                </c:pt>
                <c:pt idx="273">
                  <c:v>5.1451089706638586E-2</c:v>
                </c:pt>
                <c:pt idx="274">
                  <c:v>5.1199482798287232E-2</c:v>
                </c:pt>
                <c:pt idx="275">
                  <c:v>5.094976712338295E-2</c:v>
                </c:pt>
                <c:pt idx="276">
                  <c:v>5.0701923068318E-2</c:v>
                </c:pt>
                <c:pt idx="277">
                  <c:v>5.0455931281501609E-2</c:v>
                </c:pt>
                <c:pt idx="278">
                  <c:v>5.0211772669056742E-2</c:v>
                </c:pt>
                <c:pt idx="279">
                  <c:v>4.9969428390598591E-2</c:v>
                </c:pt>
                <c:pt idx="280">
                  <c:v>4.9728879855096775E-2</c:v>
                </c:pt>
                <c:pt idx="281">
                  <c:v>4.9490108716818138E-2</c:v>
                </c:pt>
                <c:pt idx="282">
                  <c:v>4.9253096871346824E-2</c:v>
                </c:pt>
                <c:pt idx="283">
                  <c:v>4.9017826451682289E-2</c:v>
                </c:pt>
                <c:pt idx="284">
                  <c:v>4.8784279824411914E-2</c:v>
                </c:pt>
                <c:pt idx="285">
                  <c:v>4.8552439585957119E-2</c:v>
                </c:pt>
                <c:pt idx="286">
                  <c:v>4.8322288558891091E-2</c:v>
                </c:pt>
                <c:pt idx="287">
                  <c:v>4.809380978832678E-2</c:v>
                </c:pt>
                <c:pt idx="288">
                  <c:v>4.7866986538373735E-2</c:v>
                </c:pt>
                <c:pt idx="289">
                  <c:v>4.7641802288661661E-2</c:v>
                </c:pt>
                <c:pt idx="290">
                  <c:v>4.7418240730929706E-2</c:v>
                </c:pt>
                <c:pt idx="291">
                  <c:v>4.7196285765680357E-2</c:v>
                </c:pt>
                <c:pt idx="292">
                  <c:v>4.6975921498895179E-2</c:v>
                </c:pt>
                <c:pt idx="293">
                  <c:v>4.675713223881317E-2</c:v>
                </c:pt>
                <c:pt idx="294">
                  <c:v>4.6539902492768515E-2</c:v>
                </c:pt>
                <c:pt idx="295">
                  <c:v>4.6324216964086506E-2</c:v>
                </c:pt>
                <c:pt idx="296">
                  <c:v>4.6110060549038989E-2</c:v>
                </c:pt>
                <c:pt idx="297">
                  <c:v>4.5897418333853413E-2</c:v>
                </c:pt>
                <c:pt idx="298">
                  <c:v>4.5686275591779513E-2</c:v>
                </c:pt>
                <c:pt idx="299">
                  <c:v>4.5476617780207618E-2</c:v>
                </c:pt>
                <c:pt idx="300">
                  <c:v>4.5268430537841908E-2</c:v>
                </c:pt>
                <c:pt idx="301">
                  <c:v>4.5061699681923306E-2</c:v>
                </c:pt>
                <c:pt idx="302">
                  <c:v>4.4856411205504321E-2</c:v>
                </c:pt>
                <c:pt idx="303">
                  <c:v>4.4652551274772634E-2</c:v>
                </c:pt>
                <c:pt idx="304">
                  <c:v>4.4450106226422981E-2</c:v>
                </c:pt>
                <c:pt idx="305">
                  <c:v>4.4249062565077546E-2</c:v>
                </c:pt>
                <c:pt idx="306">
                  <c:v>4.4049406960751436E-2</c:v>
                </c:pt>
                <c:pt idx="307">
                  <c:v>4.3851126246363892E-2</c:v>
                </c:pt>
                <c:pt idx="308">
                  <c:v>4.3654207415295021E-2</c:v>
                </c:pt>
                <c:pt idx="309">
                  <c:v>4.3458637618984719E-2</c:v>
                </c:pt>
                <c:pt idx="310">
                  <c:v>4.3264404164575332E-2</c:v>
                </c:pt>
                <c:pt idx="311">
                  <c:v>4.3071494512595287E-2</c:v>
                </c:pt>
                <c:pt idx="312">
                  <c:v>4.2879896274684248E-2</c:v>
                </c:pt>
                <c:pt idx="313">
                  <c:v>4.2689597211358121E-2</c:v>
                </c:pt>
                <c:pt idx="314">
                  <c:v>4.2500585229813703E-2</c:v>
                </c:pt>
                <c:pt idx="315">
                  <c:v>4.231284838177074E-2</c:v>
                </c:pt>
                <c:pt idx="316">
                  <c:v>4.2126374861353511E-2</c:v>
                </c:pt>
                <c:pt idx="317">
                  <c:v>4.194115300300727E-2</c:v>
                </c:pt>
                <c:pt idx="318">
                  <c:v>4.1757171279452221E-2</c:v>
                </c:pt>
                <c:pt idx="319">
                  <c:v>4.1574418299672899E-2</c:v>
                </c:pt>
                <c:pt idx="320">
                  <c:v>4.1392882806941533E-2</c:v>
                </c:pt>
                <c:pt idx="321">
                  <c:v>4.1212553676876151E-2</c:v>
                </c:pt>
                <c:pt idx="322">
                  <c:v>4.1033419915531777E-2</c:v>
                </c:pt>
                <c:pt idx="323">
                  <c:v>4.0855470657524262E-2</c:v>
                </c:pt>
                <c:pt idx="324">
                  <c:v>4.0678695164186429E-2</c:v>
                </c:pt>
                <c:pt idx="325">
                  <c:v>4.0503082821755299E-2</c:v>
                </c:pt>
                <c:pt idx="326">
                  <c:v>4.0328623139590514E-2</c:v>
                </c:pt>
                <c:pt idx="327">
                  <c:v>4.0155305748422521E-2</c:v>
                </c:pt>
                <c:pt idx="328">
                  <c:v>3.9983120398630501E-2</c:v>
                </c:pt>
                <c:pt idx="329">
                  <c:v>3.9812056958549613E-2</c:v>
                </c:pt>
                <c:pt idx="330">
                  <c:v>3.9642105412806217E-2</c:v>
                </c:pt>
                <c:pt idx="331">
                  <c:v>3.9473255860681178E-2</c:v>
                </c:pt>
                <c:pt idx="332">
                  <c:v>3.9305498514500936E-2</c:v>
                </c:pt>
                <c:pt idx="333">
                  <c:v>3.9138823698054437E-2</c:v>
                </c:pt>
                <c:pt idx="334">
                  <c:v>3.8973221845037487E-2</c:v>
                </c:pt>
                <c:pt idx="335">
                  <c:v>3.880868349752209E-2</c:v>
                </c:pt>
                <c:pt idx="336">
                  <c:v>3.8645199304451427E-2</c:v>
                </c:pt>
                <c:pt idx="337">
                  <c:v>3.8482760020159268E-2</c:v>
                </c:pt>
                <c:pt idx="338">
                  <c:v>3.8321356502914905E-2</c:v>
                </c:pt>
                <c:pt idx="339">
                  <c:v>3.8160979713489973E-2</c:v>
                </c:pt>
                <c:pt idx="340">
                  <c:v>3.8001620713750905E-2</c:v>
                </c:pt>
                <c:pt idx="341">
                  <c:v>3.7843270665272266E-2</c:v>
                </c:pt>
                <c:pt idx="342">
                  <c:v>3.7685920827974728E-2</c:v>
                </c:pt>
                <c:pt idx="343">
                  <c:v>3.7529562558783036E-2</c:v>
                </c:pt>
                <c:pt idx="344">
                  <c:v>3.7374187310307394E-2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23-40FD-94CE-806E6702BC77}"/>
            </c:ext>
          </c:extLst>
        </c:ser>
        <c:ser>
          <c:idx val="4"/>
          <c:order val="4"/>
          <c:tx>
            <c:strRef>
              <c:f>'Survival Extrapolation'!$AJ$20:$AK$20</c:f>
              <c:strCache>
                <c:ptCount val="1"/>
                <c:pt idx="0">
                  <c:v>LogLogistic</c:v>
                </c:pt>
              </c:strCache>
            </c:strRef>
          </c:tx>
          <c:spPr>
            <a:ln w="19050" cap="rnd">
              <a:solidFill>
                <a:srgbClr val="F3F743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Extrapolation'!$AK$26:$AK$370</c:f>
              <c:numCache>
                <c:formatCode>General</c:formatCode>
                <c:ptCount val="345"/>
                <c:pt idx="0">
                  <c:v>1</c:v>
                </c:pt>
                <c:pt idx="1">
                  <c:v>0.9627221764966124</c:v>
                </c:pt>
                <c:pt idx="2">
                  <c:v>0.92498848671902922</c:v>
                </c:pt>
                <c:pt idx="3">
                  <c:v>0.88891637265349288</c:v>
                </c:pt>
                <c:pt idx="4">
                  <c:v>0.85481956834506834</c:v>
                </c:pt>
                <c:pt idx="5">
                  <c:v>0.82272725786153533</c:v>
                </c:pt>
                <c:pt idx="6">
                  <c:v>0.79257104564411518</c:v>
                </c:pt>
                <c:pt idx="7">
                  <c:v>0.76424492393164012</c:v>
                </c:pt>
                <c:pt idx="8">
                  <c:v>0.73762997672209396</c:v>
                </c:pt>
                <c:pt idx="9">
                  <c:v>0.71260576384029573</c:v>
                </c:pt>
                <c:pt idx="10">
                  <c:v>0.68905578185644301</c:v>
                </c:pt>
                <c:pt idx="11">
                  <c:v>0.66687002537862594</c:v>
                </c:pt>
                <c:pt idx="12">
                  <c:v>0.64594604658063137</c:v>
                </c:pt>
                <c:pt idx="13">
                  <c:v>0.62618921510455361</c:v>
                </c:pt>
                <c:pt idx="14">
                  <c:v>0.60751255159102069</c:v>
                </c:pt>
                <c:pt idx="15">
                  <c:v>0.58983634091041282</c:v>
                </c:pt>
                <c:pt idx="16">
                  <c:v>0.5730876414915933</c:v>
                </c:pt>
                <c:pt idx="17">
                  <c:v>0.55719975708416936</c:v>
                </c:pt>
                <c:pt idx="18">
                  <c:v>0.54211170852347923</c:v>
                </c:pt>
                <c:pt idx="19">
                  <c:v>0.5277677262059296</c:v>
                </c:pt>
                <c:pt idx="20">
                  <c:v>0.51411677398521061</c:v>
                </c:pt>
                <c:pt idx="21">
                  <c:v>0.50111210925598315</c:v>
                </c:pt>
                <c:pt idx="22">
                  <c:v>0.48871088048355033</c:v>
                </c:pt>
                <c:pt idx="23">
                  <c:v>0.47687376141162224</c:v>
                </c:pt>
                <c:pt idx="24">
                  <c:v>0.46556462006111671</c:v>
                </c:pt>
                <c:pt idx="25">
                  <c:v>0.45475022006956251</c:v>
                </c:pt>
                <c:pt idx="26">
                  <c:v>0.44439995169553209</c:v>
                </c:pt>
                <c:pt idx="27">
                  <c:v>0.43448558978978646</c:v>
                </c:pt>
                <c:pt idx="28">
                  <c:v>0.42498107612935526</c:v>
                </c:pt>
                <c:pt idx="29">
                  <c:v>0.41586232366922732</c:v>
                </c:pt>
                <c:pt idx="30">
                  <c:v>0.40710704045545698</c:v>
                </c:pt>
                <c:pt idx="31">
                  <c:v>0.39869457114283713</c:v>
                </c:pt>
                <c:pt idx="32">
                  <c:v>0.39060575425757632</c:v>
                </c:pt>
                <c:pt idx="33">
                  <c:v>0.38282279353356546</c:v>
                </c:pt>
                <c:pt idx="34">
                  <c:v>0.3753291418260708</c:v>
                </c:pt>
                <c:pt idx="35">
                  <c:v>0.36810939626735878</c:v>
                </c:pt>
                <c:pt idx="36">
                  <c:v>0.3611492034744555</c:v>
                </c:pt>
                <c:pt idx="37">
                  <c:v>0.35443517375033246</c:v>
                </c:pt>
                <c:pt idx="38">
                  <c:v>0.34795480333711165</c:v>
                </c:pt>
                <c:pt idx="39">
                  <c:v>0.34169640388442662</c:v>
                </c:pt>
                <c:pt idx="40">
                  <c:v>0.33564903838898935</c:v>
                </c:pt>
                <c:pt idx="41">
                  <c:v>0.32980246294383142</c:v>
                </c:pt>
                <c:pt idx="42">
                  <c:v>0.32414707370870155</c:v>
                </c:pt>
                <c:pt idx="43">
                  <c:v>0.31867385857773489</c:v>
                </c:pt>
                <c:pt idx="44">
                  <c:v>0.31337435307770045</c:v>
                </c:pt>
                <c:pt idx="45">
                  <c:v>0.30824060008073939</c:v>
                </c:pt>
                <c:pt idx="46">
                  <c:v>0.30326511296028874</c:v>
                </c:pt>
                <c:pt idx="47">
                  <c:v>0.29844084185853131</c:v>
                </c:pt>
                <c:pt idx="48">
                  <c:v>0.29376114276882992</c:v>
                </c:pt>
                <c:pt idx="49">
                  <c:v>0.28921974916772863</c:v>
                </c:pt>
                <c:pt idx="50">
                  <c:v>0.28481074595871042</c:v>
                </c:pt>
                <c:pt idx="51">
                  <c:v>0.28052854551440881</c:v>
                </c:pt>
                <c:pt idx="52">
                  <c:v>0.27636786562574372</c:v>
                </c:pt>
                <c:pt idx="53">
                  <c:v>0.27232370918581872</c:v>
                </c:pt>
                <c:pt idx="54">
                  <c:v>0.26839134545365262</c:v>
                </c:pt>
                <c:pt idx="55">
                  <c:v>0.26456629275817989</c:v>
                </c:pt>
                <c:pt idx="56">
                  <c:v>0.26084430251665525</c:v>
                </c:pt>
                <c:pt idx="57">
                  <c:v>0.25722134445383082</c:v>
                </c:pt>
                <c:pt idx="58">
                  <c:v>0.25369359291921145</c:v>
                </c:pt>
                <c:pt idx="59">
                  <c:v>0.25025741420947351</c:v>
                </c:pt>
                <c:pt idx="60">
                  <c:v>0.24690935481190301</c:v>
                </c:pt>
                <c:pt idx="61">
                  <c:v>0.2436461304925609</c:v>
                </c:pt>
                <c:pt idx="62">
                  <c:v>0.24046461615994102</c:v>
                </c:pt>
                <c:pt idx="63">
                  <c:v>0.23736183644122344</c:v>
                </c:pt>
                <c:pt idx="64">
                  <c:v>0.23433495691392486</c:v>
                </c:pt>
                <c:pt idx="65">
                  <c:v>0.23138127594088342</c:v>
                </c:pt>
                <c:pt idx="66">
                  <c:v>0.22849821706114079</c:v>
                </c:pt>
                <c:pt idx="67">
                  <c:v>0.22568332189345683</c:v>
                </c:pt>
                <c:pt idx="68">
                  <c:v>0.22293424351296479</c:v>
                </c:pt>
                <c:pt idx="69">
                  <c:v>0.22024874026488156</c:v>
                </c:pt>
                <c:pt idx="70">
                  <c:v>0.2176246699822702</c:v>
                </c:pt>
                <c:pt idx="71">
                  <c:v>0.21505998457764844</c:v>
                </c:pt>
                <c:pt idx="72">
                  <c:v>0.21255272498076566</c:v>
                </c:pt>
                <c:pt idx="73">
                  <c:v>0.21010101639717249</c:v>
                </c:pt>
                <c:pt idx="74">
                  <c:v>0.20770306386429235</c:v>
                </c:pt>
                <c:pt idx="75">
                  <c:v>0.20535714808360273</c:v>
                </c:pt>
                <c:pt idx="76">
                  <c:v>0.20306162150926305</c:v>
                </c:pt>
                <c:pt idx="77">
                  <c:v>0.20081490467509533</c:v>
                </c:pt>
                <c:pt idx="78">
                  <c:v>0.19861548274326057</c:v>
                </c:pt>
                <c:pt idx="79">
                  <c:v>0.19646190225928198</c:v>
                </c:pt>
                <c:pt idx="80">
                  <c:v>0.19435276809925797</c:v>
                </c:pt>
                <c:pt idx="81">
                  <c:v>0.19228674059620379</c:v>
                </c:pt>
                <c:pt idx="82">
                  <c:v>0.19026253283345501</c:v>
                </c:pt>
                <c:pt idx="83">
                  <c:v>0.18827890809398312</c:v>
                </c:pt>
                <c:pt idx="84">
                  <c:v>0.18633467745530977</c:v>
                </c:pt>
                <c:pt idx="85">
                  <c:v>0.18442869752047297</c:v>
                </c:pt>
                <c:pt idx="86">
                  <c:v>0.18255986827620518</c:v>
                </c:pt>
                <c:pt idx="87">
                  <c:v>0.18072713107012797</c:v>
                </c:pt>
                <c:pt idx="88">
                  <c:v>0.17892946669936288</c:v>
                </c:pt>
                <c:pt idx="89">
                  <c:v>0.17716589360350571</c:v>
                </c:pt>
                <c:pt idx="90">
                  <c:v>0.17543546615541308</c:v>
                </c:pt>
                <c:pt idx="91">
                  <c:v>0.17373727304371364</c:v>
                </c:pt>
                <c:pt idx="92">
                  <c:v>0.17207043574138403</c:v>
                </c:pt>
                <c:pt idx="93">
                  <c:v>0.17043410705512252</c:v>
                </c:pt>
                <c:pt idx="94">
                  <c:v>0.16882746975061652</c:v>
                </c:pt>
                <c:pt idx="95">
                  <c:v>0.16724973524913614</c:v>
                </c:pt>
                <c:pt idx="96">
                  <c:v>0.16570014239119579</c:v>
                </c:pt>
                <c:pt idx="97">
                  <c:v>0.1641779562633123</c:v>
                </c:pt>
                <c:pt idx="98">
                  <c:v>0.16268246708415357</c:v>
                </c:pt>
                <c:pt idx="99">
                  <c:v>0.16121298914661641</c:v>
                </c:pt>
                <c:pt idx="100">
                  <c:v>0.159768859812602</c:v>
                </c:pt>
                <c:pt idx="101">
                  <c:v>0.15834943855746456</c:v>
                </c:pt>
                <c:pt idx="102">
                  <c:v>0.15695410606130863</c:v>
                </c:pt>
                <c:pt idx="103">
                  <c:v>0.15558226334448838</c:v>
                </c:pt>
                <c:pt idx="104">
                  <c:v>0.15423333094483294</c:v>
                </c:pt>
                <c:pt idx="105">
                  <c:v>0.15290674813427813</c:v>
                </c:pt>
                <c:pt idx="106">
                  <c:v>0.15160197217272936</c:v>
                </c:pt>
                <c:pt idx="107">
                  <c:v>0.15031847759711811</c:v>
                </c:pt>
                <c:pt idx="108">
                  <c:v>0.1490557555437379</c:v>
                </c:pt>
                <c:pt idx="109">
                  <c:v>0.14781331310206547</c:v>
                </c:pt>
                <c:pt idx="110">
                  <c:v>0.14659067269838064</c:v>
                </c:pt>
                <c:pt idx="111">
                  <c:v>0.14538737150760087</c:v>
                </c:pt>
                <c:pt idx="112">
                  <c:v>0.14420296089184209</c:v>
                </c:pt>
                <c:pt idx="113">
                  <c:v>0.14303700586430515</c:v>
                </c:pt>
                <c:pt idx="114">
                  <c:v>0.14188908457717089</c:v>
                </c:pt>
                <c:pt idx="115">
                  <c:v>0.14075878783226459</c:v>
                </c:pt>
                <c:pt idx="116">
                  <c:v>0.13964571861332095</c:v>
                </c:pt>
                <c:pt idx="117">
                  <c:v>0.13854949163875169</c:v>
                </c:pt>
                <c:pt idx="118">
                  <c:v>0.13746973293387751</c:v>
                </c:pt>
                <c:pt idx="119">
                  <c:v>0.13640607942164837</c:v>
                </c:pt>
                <c:pt idx="120">
                  <c:v>0.13535817853092971</c:v>
                </c:pt>
                <c:pt idx="121">
                  <c:v>0.1343256878214851</c:v>
                </c:pt>
                <c:pt idx="122">
                  <c:v>0.1333082746248338</c:v>
                </c:pt>
                <c:pt idx="123">
                  <c:v>0.13230561570020838</c:v>
                </c:pt>
                <c:pt idx="124">
                  <c:v>0.13131739690487906</c:v>
                </c:pt>
                <c:pt idx="125">
                  <c:v>0.13034331287815315</c:v>
                </c:pt>
                <c:pt idx="126">
                  <c:v>0.12938306673839411</c:v>
                </c:pt>
                <c:pt idx="127">
                  <c:v>0.12843636979244177</c:v>
                </c:pt>
                <c:pt idx="128">
                  <c:v>0.12750294125684727</c:v>
                </c:pt>
                <c:pt idx="129">
                  <c:v>0.12658250799036838</c:v>
                </c:pt>
                <c:pt idx="130">
                  <c:v>0.12567480423720007</c:v>
                </c:pt>
                <c:pt idx="131">
                  <c:v>0.12477957138044286</c:v>
                </c:pt>
                <c:pt idx="132">
                  <c:v>0.12389655770533774</c:v>
                </c:pt>
                <c:pt idx="133">
                  <c:v>0.12302551817182064</c:v>
                </c:pt>
                <c:pt idx="134">
                  <c:v>0.1221662141959729</c:v>
                </c:pt>
                <c:pt idx="135">
                  <c:v>0.12131841343996629</c:v>
                </c:pt>
                <c:pt idx="136">
                  <c:v>0.12048188961012059</c:v>
                </c:pt>
                <c:pt idx="137">
                  <c:v>0.11965642226271207</c:v>
                </c:pt>
                <c:pt idx="138">
                  <c:v>0.11884179661718997</c:v>
                </c:pt>
                <c:pt idx="139">
                  <c:v>0.11803780337647286</c:v>
                </c:pt>
                <c:pt idx="140">
                  <c:v>0.11724423855401682</c:v>
                </c:pt>
                <c:pt idx="141">
                  <c:v>0.11646090330735903</c:v>
                </c:pt>
                <c:pt idx="142">
                  <c:v>0.11568760377785765</c:v>
                </c:pt>
                <c:pt idx="143">
                  <c:v>0.11492415093636077</c:v>
                </c:pt>
                <c:pt idx="144">
                  <c:v>0.11417036043455152</c:v>
                </c:pt>
                <c:pt idx="145">
                  <c:v>0.11342605246172778</c:v>
                </c:pt>
                <c:pt idx="146">
                  <c:v>0.1126910516067867</c:v>
                </c:pt>
                <c:pt idx="147">
                  <c:v>0.11196518672519616</c:v>
                </c:pt>
                <c:pt idx="148">
                  <c:v>0.11124829081074396</c:v>
                </c:pt>
                <c:pt idx="149">
                  <c:v>0.1105402008718671</c:v>
                </c:pt>
                <c:pt idx="150">
                  <c:v>0.10984075781237165</c:v>
                </c:pt>
                <c:pt idx="151">
                  <c:v>0.10914980631636362</c:v>
                </c:pt>
                <c:pt idx="152">
                  <c:v>0.10846719473721812</c:v>
                </c:pt>
                <c:pt idx="153">
                  <c:v>0.10779277499042356</c:v>
                </c:pt>
                <c:pt idx="154">
                  <c:v>0.10712640245014458</c:v>
                </c:pt>
                <c:pt idx="155">
                  <c:v>0.10646793584935409</c:v>
                </c:pt>
                <c:pt idx="156">
                  <c:v>0.10581723718339235</c:v>
                </c:pt>
                <c:pt idx="157">
                  <c:v>0.10517417161681678</c:v>
                </c:pt>
                <c:pt idx="158">
                  <c:v>0.10453860739341339</c:v>
                </c:pt>
                <c:pt idx="159">
                  <c:v>0.1039104157492446</c:v>
                </c:pt>
                <c:pt idx="160">
                  <c:v>0.10328947082861603</c:v>
                </c:pt>
                <c:pt idx="161">
                  <c:v>0.10267564960284831</c:v>
                </c:pt>
                <c:pt idx="162">
                  <c:v>0.10206883179174579</c:v>
                </c:pt>
                <c:pt idx="163">
                  <c:v>0.10146889978765876</c:v>
                </c:pt>
                <c:pt idx="164">
                  <c:v>0.10087573858203959</c:v>
                </c:pt>
                <c:pt idx="165">
                  <c:v>0.10028923569439882</c:v>
                </c:pt>
                <c:pt idx="166">
                  <c:v>9.9709281103569886E-2</c:v>
                </c:pt>
                <c:pt idx="167">
                  <c:v>9.9135767181195683E-2</c:v>
                </c:pt>
                <c:pt idx="168">
                  <c:v>9.85685886273545E-2</c:v>
                </c:pt>
                <c:pt idx="169">
                  <c:v>9.8007642408244749E-2</c:v>
                </c:pt>
                <c:pt idx="170">
                  <c:v>9.7452827695853408E-2</c:v>
                </c:pt>
                <c:pt idx="171">
                  <c:v>9.6904045809534115E-2</c:v>
                </c:pt>
                <c:pt idx="172">
                  <c:v>9.6361200159425522E-2</c:v>
                </c:pt>
                <c:pt idx="173">
                  <c:v>9.5824196191643063E-2</c:v>
                </c:pt>
                <c:pt idx="174">
                  <c:v>9.5292941335178891E-2</c:v>
                </c:pt>
                <c:pt idx="175">
                  <c:v>9.4767344950449403E-2</c:v>
                </c:pt>
                <c:pt idx="176">
                  <c:v>9.4247318279430614E-2</c:v>
                </c:pt>
                <c:pt idx="177">
                  <c:v>9.3732774397324914E-2</c:v>
                </c:pt>
                <c:pt idx="178">
                  <c:v>9.3223628165704508E-2</c:v>
                </c:pt>
                <c:pt idx="179">
                  <c:v>9.2719796187079567E-2</c:v>
                </c:pt>
                <c:pt idx="180">
                  <c:v>9.222119676084102E-2</c:v>
                </c:pt>
                <c:pt idx="181">
                  <c:v>9.1727749840529477E-2</c:v>
                </c:pt>
                <c:pt idx="182">
                  <c:v>9.1239376992384671E-2</c:v>
                </c:pt>
                <c:pt idx="183">
                  <c:v>9.0756001355129859E-2</c:v>
                </c:pt>
                <c:pt idx="184">
                  <c:v>9.027754760095065E-2</c:v>
                </c:pt>
                <c:pt idx="185">
                  <c:v>8.9803941897624459E-2</c:v>
                </c:pt>
                <c:pt idx="186">
                  <c:v>8.9335111871764183E-2</c:v>
                </c:pt>
                <c:pt idx="187">
                  <c:v>8.8870986573135399E-2</c:v>
                </c:pt>
                <c:pt idx="188">
                  <c:v>8.8411496440013226E-2</c:v>
                </c:pt>
                <c:pt idx="189">
                  <c:v>8.795657326554196E-2</c:v>
                </c:pt>
                <c:pt idx="190">
                  <c:v>8.75061501650648E-2</c:v>
                </c:pt>
                <c:pt idx="191">
                  <c:v>8.706016154439139E-2</c:v>
                </c:pt>
                <c:pt idx="192">
                  <c:v>8.6618543068971141E-2</c:v>
                </c:pt>
                <c:pt idx="193">
                  <c:v>8.6181231633943173E-2</c:v>
                </c:pt>
                <c:pt idx="194">
                  <c:v>8.5748165335033863E-2</c:v>
                </c:pt>
                <c:pt idx="195">
                  <c:v>8.5319283440274105E-2</c:v>
                </c:pt>
                <c:pt idx="196">
                  <c:v>8.4894526362509437E-2</c:v>
                </c:pt>
                <c:pt idx="197">
                  <c:v>8.4473835632677491E-2</c:v>
                </c:pt>
                <c:pt idx="198">
                  <c:v>8.4057153873828033E-2</c:v>
                </c:pt>
                <c:pt idx="199">
                  <c:v>8.3644424775861342E-2</c:v>
                </c:pt>
                <c:pt idx="200">
                  <c:v>8.3235593070962302E-2</c:v>
                </c:pt>
                <c:pt idx="201">
                  <c:v>8.2830604509707986E-2</c:v>
                </c:pt>
                <c:pt idx="202">
                  <c:v>8.2429405837826708E-2</c:v>
                </c:pt>
                <c:pt idx="203">
                  <c:v>8.2031944773589258E-2</c:v>
                </c:pt>
                <c:pt idx="204">
                  <c:v>8.1638169985810694E-2</c:v>
                </c:pt>
                <c:pt idx="205">
                  <c:v>8.1248031072445562E-2</c:v>
                </c:pt>
                <c:pt idx="206">
                  <c:v>8.0861478539756046E-2</c:v>
                </c:pt>
                <c:pt idx="207">
                  <c:v>8.0478463782036797E-2</c:v>
                </c:pt>
                <c:pt idx="208">
                  <c:v>8.0098939061878358E-2</c:v>
                </c:pt>
                <c:pt idx="209">
                  <c:v>7.9722857490952773E-2</c:v>
                </c:pt>
                <c:pt idx="210">
                  <c:v>7.9350173011305827E-2</c:v>
                </c:pt>
                <c:pt idx="211">
                  <c:v>7.8980840377139788E-2</c:v>
                </c:pt>
                <c:pt idx="212">
                  <c:v>7.8614815137072094E-2</c:v>
                </c:pt>
                <c:pt idx="213">
                  <c:v>7.8252053616855513E-2</c:v>
                </c:pt>
                <c:pt idx="214">
                  <c:v>7.7892512902546063E-2</c:v>
                </c:pt>
                <c:pt idx="215">
                  <c:v>7.7536150824105005E-2</c:v>
                </c:pt>
                <c:pt idx="216">
                  <c:v>7.7182925939421582E-2</c:v>
                </c:pt>
                <c:pt idx="217">
                  <c:v>7.6832797518745291E-2</c:v>
                </c:pt>
                <c:pt idx="218">
                  <c:v>7.648572552951384E-2</c:v>
                </c:pt>
                <c:pt idx="219">
                  <c:v>7.6141670621566196E-2</c:v>
                </c:pt>
                <c:pt idx="220">
                  <c:v>7.5800594112729658E-2</c:v>
                </c:pt>
                <c:pt idx="221">
                  <c:v>7.546245797476854E-2</c:v>
                </c:pt>
                <c:pt idx="222">
                  <c:v>7.512722481968577E-2</c:v>
                </c:pt>
                <c:pt idx="223">
                  <c:v>7.4794857886365834E-2</c:v>
                </c:pt>
                <c:pt idx="224">
                  <c:v>7.4465321027549547E-2</c:v>
                </c:pt>
                <c:pt idx="225">
                  <c:v>7.4138578697131571E-2</c:v>
                </c:pt>
                <c:pt idx="226">
                  <c:v>7.3814595937770705E-2</c:v>
                </c:pt>
                <c:pt idx="227">
                  <c:v>7.3493338368804478E-2</c:v>
                </c:pt>
                <c:pt idx="228">
                  <c:v>7.3174772174459182E-2</c:v>
                </c:pt>
                <c:pt idx="229">
                  <c:v>7.2858864092347181E-2</c:v>
                </c:pt>
                <c:pt idx="230">
                  <c:v>7.2545581402243015E-2</c:v>
                </c:pt>
                <c:pt idx="231">
                  <c:v>7.2234891915130897E-2</c:v>
                </c:pt>
                <c:pt idx="232">
                  <c:v>7.1926763962515752E-2</c:v>
                </c:pt>
                <c:pt idx="233">
                  <c:v>7.1621166385990379E-2</c:v>
                </c:pt>
                <c:pt idx="234">
                  <c:v>7.1318068527051998E-2</c:v>
                </c:pt>
                <c:pt idx="235">
                  <c:v>7.1017440217160679E-2</c:v>
                </c:pt>
                <c:pt idx="236">
                  <c:v>7.0719251768033481E-2</c:v>
                </c:pt>
                <c:pt idx="237">
                  <c:v>7.0423473962167721E-2</c:v>
                </c:pt>
                <c:pt idx="238">
                  <c:v>7.013007804358698E-2</c:v>
                </c:pt>
                <c:pt idx="239">
                  <c:v>6.983903570880394E-2</c:v>
                </c:pt>
                <c:pt idx="240">
                  <c:v>6.9550319097993848E-2</c:v>
                </c:pt>
                <c:pt idx="241">
                  <c:v>6.9263900786373303E-2</c:v>
                </c:pt>
                <c:pt idx="242">
                  <c:v>6.8979753775778765E-2</c:v>
                </c:pt>
                <c:pt idx="243">
                  <c:v>6.8697851486438921E-2</c:v>
                </c:pt>
                <c:pt idx="244">
                  <c:v>6.8418167748936748E-2</c:v>
                </c:pt>
                <c:pt idx="245">
                  <c:v>6.814067679635484E-2</c:v>
                </c:pt>
                <c:pt idx="246">
                  <c:v>6.7865353256600647E-2</c:v>
                </c:pt>
                <c:pt idx="247">
                  <c:v>6.7592172144905496E-2</c:v>
                </c:pt>
                <c:pt idx="248">
                  <c:v>6.7321108856493839E-2</c:v>
                </c:pt>
                <c:pt idx="249">
                  <c:v>6.7052139159417656E-2</c:v>
                </c:pt>
                <c:pt idx="250">
                  <c:v>6.6785239187551929E-2</c:v>
                </c:pt>
                <c:pt idx="251">
                  <c:v>6.6520385433746887E-2</c:v>
                </c:pt>
                <c:pt idx="252">
                  <c:v>6.625755474313319E-2</c:v>
                </c:pt>
                <c:pt idx="253">
                  <c:v>6.5996724306575813E-2</c:v>
                </c:pt>
                <c:pt idx="254">
                  <c:v>6.5737871654272848E-2</c:v>
                </c:pt>
                <c:pt idx="255">
                  <c:v>6.548097464949558E-2</c:v>
                </c:pt>
                <c:pt idx="256">
                  <c:v>6.5226011482466401E-2</c:v>
                </c:pt>
                <c:pt idx="257">
                  <c:v>6.4972960664370555E-2</c:v>
                </c:pt>
                <c:pt idx="258">
                  <c:v>6.4721801021498729E-2</c:v>
                </c:pt>
                <c:pt idx="259">
                  <c:v>6.4472511689517106E-2</c:v>
                </c:pt>
                <c:pt idx="260">
                  <c:v>6.42250721078617E-2</c:v>
                </c:pt>
                <c:pt idx="261">
                  <c:v>6.3979462014253349E-2</c:v>
                </c:pt>
                <c:pt idx="262">
                  <c:v>6.373566143933139E-2</c:v>
                </c:pt>
                <c:pt idx="263">
                  <c:v>6.3493650701401741E-2</c:v>
                </c:pt>
                <c:pt idx="264">
                  <c:v>6.325341040129788E-2</c:v>
                </c:pt>
                <c:pt idx="265">
                  <c:v>6.3014921417350794E-2</c:v>
                </c:pt>
                <c:pt idx="266">
                  <c:v>6.2778164900465699E-2</c:v>
                </c:pt>
                <c:pt idx="267">
                  <c:v>6.2543122269303364E-2</c:v>
                </c:pt>
                <c:pt idx="268">
                  <c:v>6.2309775205562364E-2</c:v>
                </c:pt>
                <c:pt idx="269">
                  <c:v>6.2078105649360886E-2</c:v>
                </c:pt>
                <c:pt idx="270">
                  <c:v>6.1848095794714897E-2</c:v>
                </c:pt>
                <c:pt idx="271">
                  <c:v>6.1619728085110889E-2</c:v>
                </c:pt>
                <c:pt idx="272">
                  <c:v>6.1392985209170477E-2</c:v>
                </c:pt>
                <c:pt idx="273">
                  <c:v>6.116785009640488E-2</c:v>
                </c:pt>
                <c:pt idx="274">
                  <c:v>6.0944305913057127E-2</c:v>
                </c:pt>
                <c:pt idx="275">
                  <c:v>6.0722336058029742E-2</c:v>
                </c:pt>
                <c:pt idx="276">
                  <c:v>6.050192415889593E-2</c:v>
                </c:pt>
                <c:pt idx="277">
                  <c:v>6.0283054067992475E-2</c:v>
                </c:pt>
                <c:pt idx="278">
                  <c:v>6.0065709858591984E-2</c:v>
                </c:pt>
                <c:pt idx="279">
                  <c:v>5.9849875821152941E-2</c:v>
                </c:pt>
                <c:pt idx="280">
                  <c:v>5.9635536459645921E-2</c:v>
                </c:pt>
                <c:pt idx="281">
                  <c:v>5.9422676487953387E-2</c:v>
                </c:pt>
                <c:pt idx="282">
                  <c:v>5.9211280826342312E-2</c:v>
                </c:pt>
                <c:pt idx="283">
                  <c:v>5.9001334598007327E-2</c:v>
                </c:pt>
                <c:pt idx="284">
                  <c:v>5.8792823125682812E-2</c:v>
                </c:pt>
                <c:pt idx="285">
                  <c:v>5.8585731928322601E-2</c:v>
                </c:pt>
                <c:pt idx="286">
                  <c:v>5.8380046717845406E-2</c:v>
                </c:pt>
                <c:pt idx="287">
                  <c:v>5.8175753395944878E-2</c:v>
                </c:pt>
                <c:pt idx="288">
                  <c:v>5.7972838050962115E-2</c:v>
                </c:pt>
                <c:pt idx="289">
                  <c:v>5.7771286954820138E-2</c:v>
                </c:pt>
                <c:pt idx="290">
                  <c:v>5.7571086560018012E-2</c:v>
                </c:pt>
                <c:pt idx="291">
                  <c:v>5.737222349668377E-2</c:v>
                </c:pt>
                <c:pt idx="292">
                  <c:v>5.7174684569684914E-2</c:v>
                </c:pt>
                <c:pt idx="293">
                  <c:v>5.6978456755794639E-2</c:v>
                </c:pt>
                <c:pt idx="294">
                  <c:v>5.6783527200913002E-2</c:v>
                </c:pt>
                <c:pt idx="295">
                  <c:v>5.6589883217341826E-2</c:v>
                </c:pt>
                <c:pt idx="296">
                  <c:v>5.6397512281111666E-2</c:v>
                </c:pt>
                <c:pt idx="297">
                  <c:v>5.6206402029360163E-2</c:v>
                </c:pt>
                <c:pt idx="298">
                  <c:v>5.6016540257760566E-2</c:v>
                </c:pt>
                <c:pt idx="299">
                  <c:v>5.5827914917998829E-2</c:v>
                </c:pt>
                <c:pt idx="300">
                  <c:v>5.5640514115299085E-2</c:v>
                </c:pt>
                <c:pt idx="301">
                  <c:v>5.5454326105995551E-2</c:v>
                </c:pt>
                <c:pt idx="302">
                  <c:v>5.5269339295150446E-2</c:v>
                </c:pt>
                <c:pt idx="303">
                  <c:v>5.5085542234216481E-2</c:v>
                </c:pt>
                <c:pt idx="304">
                  <c:v>5.4902923618743486E-2</c:v>
                </c:pt>
                <c:pt idx="305">
                  <c:v>5.4721472286127601E-2</c:v>
                </c:pt>
                <c:pt idx="306">
                  <c:v>5.4541177213402466E-2</c:v>
                </c:pt>
                <c:pt idx="307">
                  <c:v>5.4362027515071569E-2</c:v>
                </c:pt>
                <c:pt idx="308">
                  <c:v>5.4184012440980672E-2</c:v>
                </c:pt>
                <c:pt idx="309">
                  <c:v>5.400712137422934E-2</c:v>
                </c:pt>
                <c:pt idx="310">
                  <c:v>5.383134382912115E-2</c:v>
                </c:pt>
                <c:pt idx="311">
                  <c:v>5.3656669449151533E-2</c:v>
                </c:pt>
                <c:pt idx="312">
                  <c:v>5.348308800503198E-2</c:v>
                </c:pt>
                <c:pt idx="313">
                  <c:v>5.3310589392750983E-2</c:v>
                </c:pt>
                <c:pt idx="314">
                  <c:v>5.3139163631669657E-2</c:v>
                </c:pt>
                <c:pt idx="315">
                  <c:v>5.2968800862652161E-2</c:v>
                </c:pt>
                <c:pt idx="316">
                  <c:v>5.2799491346229868E-2</c:v>
                </c:pt>
                <c:pt idx="317">
                  <c:v>5.263122546079866E-2</c:v>
                </c:pt>
                <c:pt idx="318">
                  <c:v>5.2463993700848477E-2</c:v>
                </c:pt>
                <c:pt idx="319">
                  <c:v>5.2297786675224896E-2</c:v>
                </c:pt>
                <c:pt idx="320">
                  <c:v>5.2132595105421224E-2</c:v>
                </c:pt>
                <c:pt idx="321">
                  <c:v>5.1968409823901766E-2</c:v>
                </c:pt>
                <c:pt idx="322">
                  <c:v>5.1805221772454169E-2</c:v>
                </c:pt>
                <c:pt idx="323">
                  <c:v>5.1643022000571324E-2</c:v>
                </c:pt>
                <c:pt idx="324">
                  <c:v>5.14818016638618E-2</c:v>
                </c:pt>
                <c:pt idx="325">
                  <c:v>5.1321552022488212E-2</c:v>
                </c:pt>
                <c:pt idx="326">
                  <c:v>5.116226443963303E-2</c:v>
                </c:pt>
                <c:pt idx="327">
                  <c:v>5.1003930379991132E-2</c:v>
                </c:pt>
                <c:pt idx="328">
                  <c:v>5.0846541408288988E-2</c:v>
                </c:pt>
                <c:pt idx="329">
                  <c:v>5.0690089187829163E-2</c:v>
                </c:pt>
                <c:pt idx="330">
                  <c:v>5.0534565479060552E-2</c:v>
                </c:pt>
                <c:pt idx="331">
                  <c:v>5.0379962138173008E-2</c:v>
                </c:pt>
                <c:pt idx="332">
                  <c:v>5.0226271115716377E-2</c:v>
                </c:pt>
                <c:pt idx="333">
                  <c:v>5.0073484455243358E-2</c:v>
                </c:pt>
                <c:pt idx="334">
                  <c:v>4.9921594291975402E-2</c:v>
                </c:pt>
                <c:pt idx="335">
                  <c:v>4.9770592851491817E-2</c:v>
                </c:pt>
                <c:pt idx="336">
                  <c:v>4.9620472448440915E-2</c:v>
                </c:pt>
                <c:pt idx="337">
                  <c:v>4.9471225485273204E-2</c:v>
                </c:pt>
                <c:pt idx="338">
                  <c:v>4.9322844450996245E-2</c:v>
                </c:pt>
                <c:pt idx="339">
                  <c:v>4.9175321919950221E-2</c:v>
                </c:pt>
                <c:pt idx="340">
                  <c:v>4.9028650550604555E-2</c:v>
                </c:pt>
                <c:pt idx="341">
                  <c:v>4.8882823084374472E-2</c:v>
                </c:pt>
                <c:pt idx="342">
                  <c:v>4.8737832344457659E-2</c:v>
                </c:pt>
                <c:pt idx="343">
                  <c:v>4.8593671234690231E-2</c:v>
                </c:pt>
                <c:pt idx="344">
                  <c:v>4.8450332738421815E-2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423-40FD-94CE-806E6702BC77}"/>
            </c:ext>
          </c:extLst>
        </c:ser>
        <c:ser>
          <c:idx val="5"/>
          <c:order val="5"/>
          <c:tx>
            <c:strRef>
              <c:f>'Survival Extrapolation'!$AO$20:$AP$20</c:f>
              <c:strCache>
                <c:ptCount val="1"/>
                <c:pt idx="0">
                  <c:v>Gamma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Extrapolation'!$AP$26:$AP$370</c:f>
              <c:numCache>
                <c:formatCode>General</c:formatCode>
                <c:ptCount val="345"/>
                <c:pt idx="0">
                  <c:v>1</c:v>
                </c:pt>
                <c:pt idx="1">
                  <c:v>0.94982191438543573</c:v>
                </c:pt>
                <c:pt idx="2">
                  <c:v>0.91607095392796012</c:v>
                </c:pt>
                <c:pt idx="3">
                  <c:v>0.88694281776690886</c:v>
                </c:pt>
                <c:pt idx="4">
                  <c:v>0.86062016515594819</c:v>
                </c:pt>
                <c:pt idx="5">
                  <c:v>0.83631096379460312</c:v>
                </c:pt>
                <c:pt idx="6">
                  <c:v>0.81357318743521512</c:v>
                </c:pt>
                <c:pt idx="7">
                  <c:v>0.79212557818210327</c:v>
                </c:pt>
                <c:pt idx="8">
                  <c:v>0.77177369004847174</c:v>
                </c:pt>
                <c:pt idx="9">
                  <c:v>0.75237511266268764</c:v>
                </c:pt>
                <c:pt idx="10">
                  <c:v>0.73382101100312314</c:v>
                </c:pt>
                <c:pt idx="11">
                  <c:v>0.71602544013823954</c:v>
                </c:pt>
                <c:pt idx="12">
                  <c:v>0.69891874316341784</c:v>
                </c:pt>
                <c:pt idx="13">
                  <c:v>0.68244325796037253</c:v>
                </c:pt>
                <c:pt idx="14">
                  <c:v>0.66655040782375341</c:v>
                </c:pt>
                <c:pt idx="15">
                  <c:v>0.651198661697175</c:v>
                </c:pt>
                <c:pt idx="16">
                  <c:v>0.6363520626854573</c:v>
                </c:pt>
                <c:pt idx="17">
                  <c:v>0.62197914038817381</c:v>
                </c:pt>
                <c:pt idx="18">
                  <c:v>0.60805208989145809</c:v>
                </c:pt>
                <c:pt idx="19">
                  <c:v>0.59454614059937905</c:v>
                </c:pt>
                <c:pt idx="20">
                  <c:v>0.58143906313246374</c:v>
                </c:pt>
                <c:pt idx="21">
                  <c:v>0.56871077854879037</c:v>
                </c:pt>
                <c:pt idx="22">
                  <c:v>0.55634304467692619</c:v>
                </c:pt>
                <c:pt idx="23">
                  <c:v>0.54431920143841783</c:v>
                </c:pt>
                <c:pt idx="24">
                  <c:v>0.53262396190917716</c:v>
                </c:pt>
                <c:pt idx="25">
                  <c:v>0.52124323928110416</c:v>
                </c:pt>
                <c:pt idx="26">
                  <c:v>0.51016400231630399</c:v>
                </c:pt>
                <c:pt idx="27">
                  <c:v>0.49937415364534588</c:v>
                </c:pt>
                <c:pt idx="28">
                  <c:v>0.4888624265521222</c:v>
                </c:pt>
                <c:pt idx="29">
                  <c:v>0.4786182968478202</c:v>
                </c:pt>
                <c:pt idx="30">
                  <c:v>0.46863190715885428</c:v>
                </c:pt>
                <c:pt idx="31">
                  <c:v>0.45889400150313753</c:v>
                </c:pt>
                <c:pt idx="32">
                  <c:v>0.44939586845142609</c:v>
                </c:pt>
                <c:pt idx="33">
                  <c:v>0.44012929149816582</c:v>
                </c:pt>
                <c:pt idx="34">
                  <c:v>0.43108650552276984</c:v>
                </c:pt>
                <c:pt idx="35">
                  <c:v>0.42226015842468434</c:v>
                </c:pt>
                <c:pt idx="36">
                  <c:v>0.41364327717658533</c:v>
                </c:pt>
                <c:pt idx="37">
                  <c:v>0.40522923766901497</c:v>
                </c:pt>
                <c:pt idx="38">
                  <c:v>0.39701173782375887</c:v>
                </c:pt>
                <c:pt idx="39">
                  <c:v>0.38898477353768746</c:v>
                </c:pt>
                <c:pt idx="40">
                  <c:v>0.38114261708770525</c:v>
                </c:pt>
                <c:pt idx="41">
                  <c:v>0.3734797976840567</c:v>
                </c:pt>
                <c:pt idx="42">
                  <c:v>0.36599108390596047</c:v>
                </c:pt>
                <c:pt idx="43">
                  <c:v>0.35867146779233194</c:v>
                </c:pt>
                <c:pt idx="44">
                  <c:v>0.35151615039267736</c:v>
                </c:pt>
                <c:pt idx="45">
                  <c:v>0.34452052861033911</c:v>
                </c:pt>
                <c:pt idx="46">
                  <c:v>0.33768018319305115</c:v>
                </c:pt>
                <c:pt idx="47">
                  <c:v>0.33099086774502062</c:v>
                </c:pt>
                <c:pt idx="48">
                  <c:v>0.32444849865108605</c:v>
                </c:pt>
                <c:pt idx="49">
                  <c:v>0.31804914581739863</c:v>
                </c:pt>
                <c:pt idx="50">
                  <c:v>0.31178902414496279</c:v>
                </c:pt>
                <c:pt idx="51">
                  <c:v>0.305664485662557</c:v>
                </c:pt>
                <c:pt idx="52">
                  <c:v>0.29967201225431905</c:v>
                </c:pt>
                <c:pt idx="53">
                  <c:v>0.29380820892485704</c:v>
                </c:pt>
                <c:pt idx="54">
                  <c:v>0.28806979755127804</c:v>
                </c:pt>
                <c:pt idx="55">
                  <c:v>0.28245361107723466</c:v>
                </c:pt>
                <c:pt idx="56">
                  <c:v>0.27695658810902546</c:v>
                </c:pt>
                <c:pt idx="57">
                  <c:v>0.27157576787811766</c:v>
                </c:pt>
                <c:pt idx="58">
                  <c:v>0.26630828553824171</c:v>
                </c:pt>
                <c:pt idx="59">
                  <c:v>0.26115136776853154</c:v>
                </c:pt>
                <c:pt idx="60">
                  <c:v>0.25610232865710136</c:v>
                </c:pt>
                <c:pt idx="61">
                  <c:v>0.25115856584203411</c:v>
                </c:pt>
                <c:pt idx="62">
                  <c:v>0.24631755688902457</c:v>
                </c:pt>
                <c:pt idx="63">
                  <c:v>0.24157685588694822</c:v>
                </c:pt>
                <c:pt idx="64">
                  <c:v>0.23693409024440337</c:v>
                </c:pt>
                <c:pt idx="65">
                  <c:v>0.23238695767188278</c:v>
                </c:pt>
                <c:pt idx="66">
                  <c:v>0.22793322333563037</c:v>
                </c:pt>
                <c:pt idx="67">
                  <c:v>0.2235707171705279</c:v>
                </c:pt>
                <c:pt idx="68">
                  <c:v>0.21929733134047114</c:v>
                </c:pt>
                <c:pt idx="69">
                  <c:v>0.21511101783571518</c:v>
                </c:pt>
                <c:pt idx="70">
                  <c:v>0.21100978619759225</c:v>
                </c:pt>
                <c:pt idx="71">
                  <c:v>0.20699170136180722</c:v>
                </c:pt>
                <c:pt idx="72">
                  <c:v>0.20305488161226615</c:v>
                </c:pt>
                <c:pt idx="73">
                  <c:v>0.1991974966380603</c:v>
                </c:pt>
                <c:pt idx="74">
                  <c:v>0.19541776568681546</c:v>
                </c:pt>
                <c:pt idx="75">
                  <c:v>0.19171395580818706</c:v>
                </c:pt>
                <c:pt idx="76">
                  <c:v>0.18808438018174278</c:v>
                </c:pt>
                <c:pt idx="77">
                  <c:v>0.18452739652395656</c:v>
                </c:pt>
                <c:pt idx="78">
                  <c:v>0.18104140556941117</c:v>
                </c:pt>
                <c:pt idx="79">
                  <c:v>0.1776248496217111</c:v>
                </c:pt>
                <c:pt idx="80">
                  <c:v>0.17427621116991143</c:v>
                </c:pt>
                <c:pt idx="81">
                  <c:v>0.17099401156660599</c:v>
                </c:pt>
                <c:pt idx="82">
                  <c:v>0.16777680976407872</c:v>
                </c:pt>
                <c:pt idx="83">
                  <c:v>0.16462320110519091</c:v>
                </c:pt>
                <c:pt idx="84">
                  <c:v>0.16153181616590628</c:v>
                </c:pt>
                <c:pt idx="85">
                  <c:v>0.15850131964658176</c:v>
                </c:pt>
                <c:pt idx="86">
                  <c:v>0.15553040930932993</c:v>
                </c:pt>
                <c:pt idx="87">
                  <c:v>0.15261781495897364</c:v>
                </c:pt>
                <c:pt idx="88">
                  <c:v>0.14976229746524072</c:v>
                </c:pt>
                <c:pt idx="89">
                  <c:v>0.14696264782404478</c:v>
                </c:pt>
                <c:pt idx="90">
                  <c:v>0.14421768625579823</c:v>
                </c:pt>
                <c:pt idx="91">
                  <c:v>0.14152626133887036</c:v>
                </c:pt>
                <c:pt idx="92">
                  <c:v>0.13888724917639839</c:v>
                </c:pt>
                <c:pt idx="93">
                  <c:v>0.13629955259479143</c:v>
                </c:pt>
                <c:pt idx="94">
                  <c:v>0.13376210037235436</c:v>
                </c:pt>
                <c:pt idx="95">
                  <c:v>0.13127384649656992</c:v>
                </c:pt>
                <c:pt idx="96">
                  <c:v>0.12883376944865454</c:v>
                </c:pt>
                <c:pt idx="97">
                  <c:v>0.12644087151409011</c:v>
                </c:pt>
                <c:pt idx="98">
                  <c:v>0.12409417811791668</c:v>
                </c:pt>
                <c:pt idx="99">
                  <c:v>0.12179273718363359</c:v>
                </c:pt>
                <c:pt idx="100">
                  <c:v>0.11953561851462757</c:v>
                </c:pt>
                <c:pt idx="101">
                  <c:v>0.11732191319710639</c:v>
                </c:pt>
                <c:pt idx="102">
                  <c:v>0.11515073302357792</c:v>
                </c:pt>
                <c:pt idx="103">
                  <c:v>0.11302120993596465</c:v>
                </c:pt>
                <c:pt idx="104">
                  <c:v>0.11093249548749429</c:v>
                </c:pt>
                <c:pt idx="105">
                  <c:v>0.10888376032255387</c:v>
                </c:pt>
                <c:pt idx="106">
                  <c:v>0.10687419367374473</c:v>
                </c:pt>
                <c:pt idx="107">
                  <c:v>0.10490300287540411</c:v>
                </c:pt>
                <c:pt idx="108">
                  <c:v>0.10296941289290906</c:v>
                </c:pt>
                <c:pt idx="109">
                  <c:v>0.10107266586711228</c:v>
                </c:pt>
                <c:pt idx="110">
                  <c:v>9.9212020673283607E-2</c:v>
                </c:pt>
                <c:pt idx="111">
                  <c:v>9.7386752493979767E-2</c:v>
                </c:pt>
                <c:pt idx="112">
                  <c:v>9.5596152405276302E-2</c:v>
                </c:pt>
                <c:pt idx="113">
                  <c:v>9.3839526975838305E-2</c:v>
                </c:pt>
                <c:pt idx="114">
                  <c:v>9.2116197878321371E-2</c:v>
                </c:pt>
                <c:pt idx="115">
                  <c:v>9.0425501512628514E-2</c:v>
                </c:pt>
                <c:pt idx="116">
                  <c:v>8.8766788640567085E-2</c:v>
                </c:pt>
                <c:pt idx="117">
                  <c:v>8.7139424031465462E-2</c:v>
                </c:pt>
                <c:pt idx="118">
                  <c:v>8.554278611834909E-2</c:v>
                </c:pt>
                <c:pt idx="119">
                  <c:v>8.3976266664267385E-2</c:v>
                </c:pt>
                <c:pt idx="120">
                  <c:v>8.2439270438410484E-2</c:v>
                </c:pt>
                <c:pt idx="121">
                  <c:v>8.0931214901644455E-2</c:v>
                </c:pt>
                <c:pt idx="122">
                  <c:v>7.9451529901135243E-2</c:v>
                </c:pt>
                <c:pt idx="123">
                  <c:v>7.7999657373726272E-2</c:v>
                </c:pt>
                <c:pt idx="124">
                  <c:v>7.6575051057762522E-2</c:v>
                </c:pt>
                <c:pt idx="125">
                  <c:v>7.5177176213061303E-2</c:v>
                </c:pt>
                <c:pt idx="126">
                  <c:v>7.3805509348745968E-2</c:v>
                </c:pt>
                <c:pt idx="127">
                  <c:v>7.2459537958670772E-2</c:v>
                </c:pt>
                <c:pt idx="128">
                  <c:v>7.1138760264173095E-2</c:v>
                </c:pt>
                <c:pt idx="129">
                  <c:v>6.9842684963906776E-2</c:v>
                </c:pt>
                <c:pt idx="130">
                  <c:v>6.8570830990516307E-2</c:v>
                </c:pt>
                <c:pt idx="131">
                  <c:v>6.732272727392119E-2</c:v>
                </c:pt>
                <c:pt idx="132">
                  <c:v>6.6097912510994172E-2</c:v>
                </c:pt>
                <c:pt idx="133">
                  <c:v>6.4895934941419875E-2</c:v>
                </c:pt>
                <c:pt idx="134">
                  <c:v>6.3716352129533194E-2</c:v>
                </c:pt>
                <c:pt idx="135">
                  <c:v>6.2558730751943292E-2</c:v>
                </c:pt>
                <c:pt idx="136">
                  <c:v>6.1422646390757896E-2</c:v>
                </c:pt>
                <c:pt idx="137">
                  <c:v>6.0307683332226913E-2</c:v>
                </c:pt>
                <c:pt idx="138">
                  <c:v>5.9213434370638085E-2</c:v>
                </c:pt>
                <c:pt idx="139">
                  <c:v>5.8139500617292672E-2</c:v>
                </c:pt>
                <c:pt idx="140">
                  <c:v>5.7085491314411207E-2</c:v>
                </c:pt>
                <c:pt idx="141">
                  <c:v>5.6051023653809873E-2</c:v>
                </c:pt>
                <c:pt idx="142">
                  <c:v>5.503572260020273E-2</c:v>
                </c:pt>
                <c:pt idx="143">
                  <c:v>5.403922071899081E-2</c:v>
                </c:pt>
                <c:pt idx="144">
                  <c:v>5.3061158008399278E-2</c:v>
                </c:pt>
                <c:pt idx="145">
                  <c:v>5.2101181735833224E-2</c:v>
                </c:pt>
                <c:pt idx="146">
                  <c:v>5.1158946278324624E-2</c:v>
                </c:pt>
                <c:pt idx="147">
                  <c:v>5.0234112966951683E-2</c:v>
                </c:pt>
                <c:pt idx="148">
                  <c:v>4.9326349935110092E-2</c:v>
                </c:pt>
                <c:pt idx="149">
                  <c:v>4.8435331970525297E-2</c:v>
                </c:pt>
                <c:pt idx="150">
                  <c:v>4.7560740370897303E-2</c:v>
                </c:pt>
                <c:pt idx="151">
                  <c:v>4.6702262803070549E-2</c:v>
                </c:pt>
                <c:pt idx="152">
                  <c:v>4.5859593165631374E-2</c:v>
                </c:pt>
                <c:pt idx="153">
                  <c:v>4.5032431454829602E-2</c:v>
                </c:pt>
                <c:pt idx="154">
                  <c:v>4.4220483633737206E-2</c:v>
                </c:pt>
                <c:pt idx="155">
                  <c:v>4.3423461504544347E-2</c:v>
                </c:pt>
                <c:pt idx="156">
                  <c:v>4.2641082583913636E-2</c:v>
                </c:pt>
                <c:pt idx="157">
                  <c:v>4.1873069981298139E-2</c:v>
                </c:pt>
                <c:pt idx="158">
                  <c:v>4.1119152280150506E-2</c:v>
                </c:pt>
                <c:pt idx="159">
                  <c:v>4.0379063421934092E-2</c:v>
                </c:pt>
                <c:pt idx="160">
                  <c:v>3.9652542592867324E-2</c:v>
                </c:pt>
                <c:pt idx="161">
                  <c:v>3.8939334113321511E-2</c:v>
                </c:pt>
                <c:pt idx="162">
                  <c:v>3.8239187329803359E-2</c:v>
                </c:pt>
                <c:pt idx="163">
                  <c:v>3.7551856509448811E-2</c:v>
                </c:pt>
                <c:pt idx="164">
                  <c:v>3.6877100736966817E-2</c:v>
                </c:pt>
                <c:pt idx="165">
                  <c:v>3.6214683813960979E-2</c:v>
                </c:pt>
                <c:pt idx="166">
                  <c:v>3.5564374160570456E-2</c:v>
                </c:pt>
                <c:pt idx="167">
                  <c:v>3.4925944719367941E-2</c:v>
                </c:pt>
                <c:pt idx="168">
                  <c:v>3.4299172861454341E-2</c:v>
                </c:pt>
                <c:pt idx="169">
                  <c:v>3.3683840294693179E-2</c:v>
                </c:pt>
                <c:pt idx="170">
                  <c:v>3.3079732974030551E-2</c:v>
                </c:pt>
                <c:pt idx="171">
                  <c:v>3.2486641013844575E-2</c:v>
                </c:pt>
                <c:pt idx="172">
                  <c:v>3.190435860227292E-2</c:v>
                </c:pt>
                <c:pt idx="173">
                  <c:v>3.1332683917468018E-2</c:v>
                </c:pt>
                <c:pt idx="174">
                  <c:v>3.0771419045730664E-2</c:v>
                </c:pt>
                <c:pt idx="175">
                  <c:v>3.0220369901473365E-2</c:v>
                </c:pt>
                <c:pt idx="176">
                  <c:v>2.9679346148969055E-2</c:v>
                </c:pt>
                <c:pt idx="177">
                  <c:v>2.9148161125837624E-2</c:v>
                </c:pt>
                <c:pt idx="178">
                  <c:v>2.8626631768229327E-2</c:v>
                </c:pt>
                <c:pt idx="179">
                  <c:v>2.8114578537661639E-2</c:v>
                </c:pt>
                <c:pt idx="180">
                  <c:v>2.7611825349467045E-2</c:v>
                </c:pt>
                <c:pt idx="181">
                  <c:v>2.7118199502814688E-2</c:v>
                </c:pt>
                <c:pt idx="182">
                  <c:v>2.6633531612264894E-2</c:v>
                </c:pt>
                <c:pt idx="183">
                  <c:v>2.6157655540819946E-2</c:v>
                </c:pt>
                <c:pt idx="184">
                  <c:v>2.5690408334434145E-2</c:v>
                </c:pt>
                <c:pt idx="185">
                  <c:v>2.5231630157947937E-2</c:v>
                </c:pt>
                <c:pt idx="186">
                  <c:v>2.4781164232411168E-2</c:v>
                </c:pt>
                <c:pt idx="187">
                  <c:v>2.4338856773762352E-2</c:v>
                </c:pt>
                <c:pt idx="188">
                  <c:v>2.3904556932830889E-2</c:v>
                </c:pt>
                <c:pt idx="189">
                  <c:v>2.3478116736631471E-2</c:v>
                </c:pt>
                <c:pt idx="190">
                  <c:v>2.3059391030917142E-2</c:v>
                </c:pt>
                <c:pt idx="191">
                  <c:v>2.2648237423965933E-2</c:v>
                </c:pt>
                <c:pt idx="192">
                  <c:v>2.2244516231565648E-2</c:v>
                </c:pt>
                <c:pt idx="193">
                  <c:v>2.1848090423174371E-2</c:v>
                </c:pt>
                <c:pt idx="194">
                  <c:v>2.1458825569224738E-2</c:v>
                </c:pt>
                <c:pt idx="195">
                  <c:v>2.1076589789546851E-2</c:v>
                </c:pt>
                <c:pt idx="196">
                  <c:v>2.0701253702884781E-2</c:v>
                </c:pt>
                <c:pt idx="197">
                  <c:v>2.033269037747798E-2</c:v>
                </c:pt>
                <c:pt idx="198">
                  <c:v>1.9970775282686648E-2</c:v>
                </c:pt>
                <c:pt idx="199">
                  <c:v>1.9615386241633948E-2</c:v>
                </c:pt>
                <c:pt idx="200">
                  <c:v>1.9266403384842867E-2</c:v>
                </c:pt>
                <c:pt idx="201">
                  <c:v>1.8923709104844644E-2</c:v>
                </c:pt>
                <c:pt idx="202">
                  <c:v>1.8587188011737199E-2</c:v>
                </c:pt>
                <c:pt idx="203">
                  <c:v>1.825672688966995E-2</c:v>
                </c:pt>
                <c:pt idx="204">
                  <c:v>1.7932214654235556E-2</c:v>
                </c:pt>
                <c:pt idx="205">
                  <c:v>1.7613542310748409E-2</c:v>
                </c:pt>
                <c:pt idx="206">
                  <c:v>1.7300602913386975E-2</c:v>
                </c:pt>
                <c:pt idx="207">
                  <c:v>1.6993291525184251E-2</c:v>
                </c:pt>
                <c:pt idx="208">
                  <c:v>1.6691505178844102E-2</c:v>
                </c:pt>
                <c:pt idx="209">
                  <c:v>1.6395142838366517E-2</c:v>
                </c:pt>
                <c:pt idx="210">
                  <c:v>1.6104105361463228E-2</c:v>
                </c:pt>
                <c:pt idx="211">
                  <c:v>1.5818295462746379E-2</c:v>
                </c:pt>
                <c:pt idx="212">
                  <c:v>1.5537617677672255E-2</c:v>
                </c:pt>
                <c:pt idx="213">
                  <c:v>1.5261978327224091E-2</c:v>
                </c:pt>
                <c:pt idx="214">
                  <c:v>1.4991285483317407E-2</c:v>
                </c:pt>
                <c:pt idx="215">
                  <c:v>1.4725448934911012E-2</c:v>
                </c:pt>
                <c:pt idx="216">
                  <c:v>1.4464380154809664E-2</c:v>
                </c:pt>
                <c:pt idx="217">
                  <c:v>1.4207992267141756E-2</c:v>
                </c:pt>
                <c:pt idx="218">
                  <c:v>1.3956200015498688E-2</c:v>
                </c:pt>
                <c:pt idx="219">
                  <c:v>1.370891973171906E-2</c:v>
                </c:pt>
                <c:pt idx="220">
                  <c:v>1.3466069305306694E-2</c:v>
                </c:pt>
                <c:pt idx="221">
                  <c:v>1.3227568153466374E-2</c:v>
                </c:pt>
                <c:pt idx="222">
                  <c:v>1.2993337191744669E-2</c:v>
                </c:pt>
                <c:pt idx="223">
                  <c:v>1.2763298805262169E-2</c:v>
                </c:pt>
                <c:pt idx="224">
                  <c:v>1.2537376820526136E-2</c:v>
                </c:pt>
                <c:pt idx="225">
                  <c:v>1.2315496477808718E-2</c:v>
                </c:pt>
                <c:pt idx="226">
                  <c:v>1.209758440407982E-2</c:v>
                </c:pt>
                <c:pt idx="227">
                  <c:v>1.1883568586482207E-2</c:v>
                </c:pt>
                <c:pt idx="228">
                  <c:v>1.1673378346338636E-2</c:v>
                </c:pt>
                <c:pt idx="229">
                  <c:v>1.1466944313677008E-2</c:v>
                </c:pt>
                <c:pt idx="230">
                  <c:v>1.1264198402264891E-2</c:v>
                </c:pt>
                <c:pt idx="231">
                  <c:v>1.1065073785141544E-2</c:v>
                </c:pt>
                <c:pt idx="232">
                  <c:v>1.0869504870636648E-2</c:v>
                </c:pt>
                <c:pt idx="233">
                  <c:v>1.0677427278866225E-2</c:v>
                </c:pt>
                <c:pt idx="234">
                  <c:v>1.0488777818694617E-2</c:v>
                </c:pt>
                <c:pt idx="235">
                  <c:v>1.0303494465154106E-2</c:v>
                </c:pt>
                <c:pt idx="236">
                  <c:v>1.0121516337310066E-2</c:v>
                </c:pt>
                <c:pt idx="237">
                  <c:v>9.9427836765659805E-3</c:v>
                </c:pt>
                <c:pt idx="238">
                  <c:v>9.7672378253955694E-3</c:v>
                </c:pt>
                <c:pt idx="239">
                  <c:v>9.5948212064942417E-3</c:v>
                </c:pt>
                <c:pt idx="240">
                  <c:v>9.4254773023427774E-3</c:v>
                </c:pt>
                <c:pt idx="241">
                  <c:v>9.2591506351713537E-3</c:v>
                </c:pt>
                <c:pt idx="242">
                  <c:v>9.0957867473192566E-3</c:v>
                </c:pt>
                <c:pt idx="243">
                  <c:v>8.93533218197895E-3</c:v>
                </c:pt>
                <c:pt idx="244">
                  <c:v>8.7777344643178434E-3</c:v>
                </c:pt>
                <c:pt idx="245">
                  <c:v>8.6229420829704306E-3</c:v>
                </c:pt>
                <c:pt idx="246">
                  <c:v>8.4709044718922488E-3</c:v>
                </c:pt>
                <c:pt idx="247">
                  <c:v>8.3215719925684439E-3</c:v>
                </c:pt>
                <c:pt idx="248">
                  <c:v>8.1748959165697244E-3</c:v>
                </c:pt>
                <c:pt idx="249">
                  <c:v>8.0308284084484871E-3</c:v>
                </c:pt>
                <c:pt idx="250">
                  <c:v>7.8893225089682328E-3</c:v>
                </c:pt>
                <c:pt idx="251">
                  <c:v>7.7503321186589424E-3</c:v>
                </c:pt>
                <c:pt idx="252">
                  <c:v>7.613811981692753E-3</c:v>
                </c:pt>
                <c:pt idx="253">
                  <c:v>7.4797176700724943E-3</c:v>
                </c:pt>
                <c:pt idx="254">
                  <c:v>7.3480055681265366E-3</c:v>
                </c:pt>
                <c:pt idx="255">
                  <c:v>7.2186328573048408E-3</c:v>
                </c:pt>
                <c:pt idx="256">
                  <c:v>7.0915575012686638E-3</c:v>
                </c:pt>
                <c:pt idx="257">
                  <c:v>6.9667382312691428E-3</c:v>
                </c:pt>
                <c:pt idx="258">
                  <c:v>6.8441345318083213E-3</c:v>
                </c:pt>
                <c:pt idx="259">
                  <c:v>6.7237066265768419E-3</c:v>
                </c:pt>
                <c:pt idx="260">
                  <c:v>6.605415464662423E-3</c:v>
                </c:pt>
                <c:pt idx="261">
                  <c:v>6.4892227070252329E-3</c:v>
                </c:pt>
                <c:pt idx="262">
                  <c:v>6.3750907132322787E-3</c:v>
                </c:pt>
                <c:pt idx="263">
                  <c:v>6.2629825284475915E-3</c:v>
                </c:pt>
                <c:pt idx="264">
                  <c:v>6.1528618706724325E-3</c:v>
                </c:pt>
                <c:pt idx="265">
                  <c:v>6.0446931182300823E-3</c:v>
                </c:pt>
                <c:pt idx="266">
                  <c:v>5.9384412974908818E-3</c:v>
                </c:pt>
                <c:pt idx="267">
                  <c:v>5.8340720708323079E-3</c:v>
                </c:pt>
                <c:pt idx="268">
                  <c:v>5.7315517248298642E-3</c:v>
                </c:pt>
                <c:pt idx="269">
                  <c:v>5.6308471586736797E-3</c:v>
                </c:pt>
                <c:pt idx="270">
                  <c:v>5.5319258728063758E-3</c:v>
                </c:pt>
                <c:pt idx="271">
                  <c:v>5.4347559577780924E-3</c:v>
                </c:pt>
                <c:pt idx="272">
                  <c:v>5.3393060833137884E-3</c:v>
                </c:pt>
                <c:pt idx="273">
                  <c:v>5.245545487589709E-3</c:v>
                </c:pt>
                <c:pt idx="274">
                  <c:v>5.1534439667137999E-3</c:v>
                </c:pt>
                <c:pt idx="275">
                  <c:v>5.0629718644054078E-3</c:v>
                </c:pt>
                <c:pt idx="276">
                  <c:v>4.9741000618730435E-3</c:v>
                </c:pt>
                <c:pt idx="277">
                  <c:v>4.8867999678827712E-3</c:v>
                </c:pt>
                <c:pt idx="278">
                  <c:v>4.801043509016556E-3</c:v>
                </c:pt>
                <c:pt idx="279">
                  <c:v>4.7168031201143545E-3</c:v>
                </c:pt>
                <c:pt idx="280">
                  <c:v>4.6340517348981702E-3</c:v>
                </c:pt>
                <c:pt idx="281">
                  <c:v>4.5527627767734113E-3</c:v>
                </c:pt>
                <c:pt idx="282">
                  <c:v>4.4729101498044432E-3</c:v>
                </c:pt>
                <c:pt idx="283">
                  <c:v>4.3944682298605597E-3</c:v>
                </c:pt>
                <c:pt idx="284">
                  <c:v>4.3174118559303754E-3</c:v>
                </c:pt>
                <c:pt idx="285">
                  <c:v>4.241716321598421E-3</c:v>
                </c:pt>
                <c:pt idx="286">
                  <c:v>4.1673573666848318E-3</c:v>
                </c:pt>
                <c:pt idx="287">
                  <c:v>4.0943111690406875E-3</c:v>
                </c:pt>
                <c:pt idx="288">
                  <c:v>4.022554336499562E-3</c:v>
                </c:pt>
                <c:pt idx="289">
                  <c:v>3.9520638989796186E-3</c:v>
                </c:pt>
                <c:pt idx="290">
                  <c:v>3.8828173007351419E-3</c:v>
                </c:pt>
                <c:pt idx="291">
                  <c:v>3.8147923927531746E-3</c:v>
                </c:pt>
                <c:pt idx="292">
                  <c:v>3.7479674252933748E-3</c:v>
                </c:pt>
                <c:pt idx="293">
                  <c:v>3.6823210405680928E-3</c:v>
                </c:pt>
                <c:pt idx="294">
                  <c:v>3.6178322655600059E-3</c:v>
                </c:pt>
                <c:pt idx="295">
                  <c:v>3.554480504973867E-3</c:v>
                </c:pt>
                <c:pt idx="296">
                  <c:v>3.4922455343208147E-3</c:v>
                </c:pt>
                <c:pt idx="297">
                  <c:v>3.4311074931323571E-3</c:v>
                </c:pt>
                <c:pt idx="298">
                  <c:v>3.3710468783012537E-3</c:v>
                </c:pt>
                <c:pt idx="299">
                  <c:v>3.3120445375471874E-3</c:v>
                </c:pt>
                <c:pt idx="300">
                  <c:v>3.2540816630042269E-3</c:v>
                </c:pt>
                <c:pt idx="301">
                  <c:v>3.1971397849284156E-3</c:v>
                </c:pt>
                <c:pt idx="302">
                  <c:v>3.1412007655229335E-3</c:v>
                </c:pt>
                <c:pt idx="303">
                  <c:v>3.0862467928784998E-3</c:v>
                </c:pt>
                <c:pt idx="304">
                  <c:v>3.0322603750265742E-3</c:v>
                </c:pt>
                <c:pt idx="305">
                  <c:v>2.9792243341042468E-3</c:v>
                </c:pt>
                <c:pt idx="306">
                  <c:v>2.9271218006259314E-3</c:v>
                </c:pt>
                <c:pt idx="307">
                  <c:v>2.8759362078645268E-3</c:v>
                </c:pt>
                <c:pt idx="308">
                  <c:v>2.8256512863348293E-3</c:v>
                </c:pt>
                <c:pt idx="309">
                  <c:v>2.776251058380419E-3</c:v>
                </c:pt>
                <c:pt idx="310">
                  <c:v>2.7277198328614638E-3</c:v>
                </c:pt>
                <c:pt idx="311">
                  <c:v>2.6800421999407797E-3</c:v>
                </c:pt>
                <c:pt idx="312">
                  <c:v>2.6332030259667016E-3</c:v>
                </c:pt>
                <c:pt idx="313">
                  <c:v>2.5871874484515445E-3</c:v>
                </c:pt>
                <c:pt idx="314">
                  <c:v>2.5419808711419911E-3</c:v>
                </c:pt>
                <c:pt idx="315">
                  <c:v>2.4975689591828498E-3</c:v>
                </c:pt>
                <c:pt idx="316">
                  <c:v>2.4539376343675201E-3</c:v>
                </c:pt>
                <c:pt idx="317">
                  <c:v>2.411073070480052E-3</c:v>
                </c:pt>
                <c:pt idx="318">
                  <c:v>2.3689616887199172E-3</c:v>
                </c:pt>
                <c:pt idx="319">
                  <c:v>2.327590153213821E-3</c:v>
                </c:pt>
                <c:pt idx="320">
                  <c:v>2.2869453666094497E-3</c:v>
                </c:pt>
                <c:pt idx="321">
                  <c:v>2.2470144657511515E-3</c:v>
                </c:pt>
                <c:pt idx="322">
                  <c:v>2.207784817434888E-3</c:v>
                </c:pt>
                <c:pt idx="323">
                  <c:v>2.1692440142421221E-3</c:v>
                </c:pt>
                <c:pt idx="324">
                  <c:v>2.1313798704504228E-3</c:v>
                </c:pt>
                <c:pt idx="325">
                  <c:v>2.0941804180195644E-3</c:v>
                </c:pt>
                <c:pt idx="326">
                  <c:v>2.0576339026512347E-3</c:v>
                </c:pt>
                <c:pt idx="327">
                  <c:v>2.0217287799220163E-3</c:v>
                </c:pt>
                <c:pt idx="328">
                  <c:v>1.9864537114870906E-3</c:v>
                </c:pt>
                <c:pt idx="329">
                  <c:v>1.9517975613538852E-3</c:v>
                </c:pt>
                <c:pt idx="330">
                  <c:v>1.9177493922246658E-3</c:v>
                </c:pt>
                <c:pt idx="331">
                  <c:v>1.8842984619056313E-3</c:v>
                </c:pt>
                <c:pt idx="332">
                  <c:v>1.8514342197832878E-3</c:v>
                </c:pt>
                <c:pt idx="333">
                  <c:v>1.8191463033643274E-3</c:v>
                </c:pt>
                <c:pt idx="334">
                  <c:v>1.7874245348793449E-3</c:v>
                </c:pt>
                <c:pt idx="335">
                  <c:v>1.7562589179497268E-3</c:v>
                </c:pt>
                <c:pt idx="336">
                  <c:v>1.7256396343144909E-3</c:v>
                </c:pt>
                <c:pt idx="337">
                  <c:v>1.6955570406183007E-3</c:v>
                </c:pt>
                <c:pt idx="338">
                  <c:v>1.6660016652574328E-3</c:v>
                </c:pt>
                <c:pt idx="339">
                  <c:v>1.6369642052844746E-3</c:v>
                </c:pt>
                <c:pt idx="340">
                  <c:v>1.6084355233683123E-3</c:v>
                </c:pt>
                <c:pt idx="341">
                  <c:v>1.5804066448120713E-3</c:v>
                </c:pt>
                <c:pt idx="342">
                  <c:v>1.5528687546229047E-3</c:v>
                </c:pt>
                <c:pt idx="343">
                  <c:v>1.5258131946376263E-3</c:v>
                </c:pt>
                <c:pt idx="344">
                  <c:v>1.4992314606996349E-3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423-40FD-94CE-806E6702BC77}"/>
            </c:ext>
          </c:extLst>
        </c:ser>
        <c:ser>
          <c:idx val="6"/>
          <c:order val="6"/>
          <c:tx>
            <c:strRef>
              <c:f>'Survival Extrapolation'!$AT$20:$AU$20</c:f>
              <c:strCache>
                <c:ptCount val="1"/>
                <c:pt idx="0">
                  <c:v>Gompertz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Extrapolation'!$AU$26:$AU$370</c:f>
              <c:numCache>
                <c:formatCode>General</c:formatCode>
                <c:ptCount val="345"/>
                <c:pt idx="0">
                  <c:v>1</c:v>
                </c:pt>
                <c:pt idx="1">
                  <c:v>0.95108542400097373</c:v>
                </c:pt>
                <c:pt idx="2">
                  <c:v>0.90636623456687859</c:v>
                </c:pt>
                <c:pt idx="3">
                  <c:v>0.86540270862813085</c:v>
                </c:pt>
                <c:pt idx="4">
                  <c:v>0.82780902761525021</c:v>
                </c:pt>
                <c:pt idx="5">
                  <c:v>0.79324581081731615</c:v>
                </c:pt>
                <c:pt idx="6">
                  <c:v>0.7614137909875538</c:v>
                </c:pt>
                <c:pt idx="7">
                  <c:v>0.73204844218248211</c:v>
                </c:pt>
                <c:pt idx="8">
                  <c:v>0.7049154038044918</c:v>
                </c:pt>
                <c:pt idx="9">
                  <c:v>0.67980657232354513</c:v>
                </c:pt>
                <c:pt idx="10">
                  <c:v>0.65653675448874182</c:v>
                </c:pt>
                <c:pt idx="11">
                  <c:v>0.63494079403409132</c:v>
                </c:pt>
                <c:pt idx="12">
                  <c:v>0.61487109874859003</c:v>
                </c:pt>
                <c:pt idx="13">
                  <c:v>0.59619550696381629</c:v>
                </c:pt>
                <c:pt idx="14">
                  <c:v>0.57879544252613668</c:v>
                </c:pt>
                <c:pt idx="15">
                  <c:v>0.56256431557505204</c:v>
                </c:pt>
                <c:pt idx="16">
                  <c:v>0.54740613327235088</c:v>
                </c:pt>
                <c:pt idx="17">
                  <c:v>0.53323429028216107</c:v>
                </c:pt>
                <c:pt idx="18">
                  <c:v>0.5199705135020114</c:v>
                </c:pt>
                <c:pt idx="19">
                  <c:v>0.5075439394612089</c:v>
                </c:pt>
                <c:pt idx="20">
                  <c:v>0.49589030607421852</c:v>
                </c:pt>
                <c:pt idx="21">
                  <c:v>0.48495124317624194</c:v>
                </c:pt>
                <c:pt idx="22">
                  <c:v>0.47467364856789102</c:v>
                </c:pt>
                <c:pt idx="23">
                  <c:v>0.46500913823090062</c:v>
                </c:pt>
                <c:pt idx="24">
                  <c:v>0.45591356100884833</c:v>
                </c:pt>
                <c:pt idx="25">
                  <c:v>0.44734656942638878</c:v>
                </c:pt>
                <c:pt idx="26">
                  <c:v>0.43927123948923658</c:v>
                </c:pt>
                <c:pt idx="27">
                  <c:v>0.43165373329938755</c:v>
                </c:pt>
                <c:pt idx="28">
                  <c:v>0.42446299916429975</c:v>
                </c:pt>
                <c:pt idx="29">
                  <c:v>0.41767050459852001</c:v>
                </c:pt>
                <c:pt idx="30">
                  <c:v>0.41124999823114899</c:v>
                </c:pt>
                <c:pt idx="31">
                  <c:v>0.40517729715889794</c:v>
                </c:pt>
                <c:pt idx="32">
                  <c:v>0.3994300967359305</c:v>
                </c:pt>
                <c:pt idx="33">
                  <c:v>0.39398780017960894</c:v>
                </c:pt>
                <c:pt idx="34">
                  <c:v>0.38883136570522792</c:v>
                </c:pt>
                <c:pt idx="35">
                  <c:v>0.38394316919085314</c:v>
                </c:pt>
                <c:pt idx="36">
                  <c:v>0.37930688062224527</c:v>
                </c:pt>
                <c:pt idx="37">
                  <c:v>0.37490735278325232</c:v>
                </c:pt>
                <c:pt idx="38">
                  <c:v>0.37073052084380048</c:v>
                </c:pt>
                <c:pt idx="39">
                  <c:v>0.36676331165980391</c:v>
                </c:pt>
                <c:pt idx="40">
                  <c:v>0.36299356174039782</c:v>
                </c:pt>
                <c:pt idx="41">
                  <c:v>0.35940994296082684</c:v>
                </c:pt>
                <c:pt idx="42">
                  <c:v>0.3560018952065947</c:v>
                </c:pt>
                <c:pt idx="43">
                  <c:v>0.35275956522824164</c:v>
                </c:pt>
                <c:pt idx="44">
                  <c:v>0.34967375106819143</c:v>
                </c:pt>
                <c:pt idx="45">
                  <c:v>0.34673585149305702</c:v>
                </c:pt>
                <c:pt idx="46">
                  <c:v>0.34393781992796413</c:v>
                </c:pt>
                <c:pt idx="47">
                  <c:v>0.3412721224449855</c:v>
                </c:pt>
                <c:pt idx="48">
                  <c:v>0.33873169940667702</c:v>
                </c:pt>
                <c:pt idx="49">
                  <c:v>0.33630993040881074</c:v>
                </c:pt>
                <c:pt idx="50">
                  <c:v>0.33400060220446293</c:v>
                </c:pt>
                <c:pt idx="51">
                  <c:v>0.33179787932524962</c:v>
                </c:pt>
                <c:pt idx="52">
                  <c:v>0.32969627714528787</c:v>
                </c:pt>
                <c:pt idx="53">
                  <c:v>0.32769063715984725</c:v>
                </c:pt>
                <c:pt idx="54">
                  <c:v>0.32577610427407805</c:v>
                </c:pt>
                <c:pt idx="55">
                  <c:v>0.32394810591801076</c:v>
                </c:pt>
                <c:pt idx="56">
                  <c:v>0.32220233282252736</c:v>
                </c:pt>
                <c:pt idx="57">
                  <c:v>0.32053472130749355</c:v>
                </c:pt>
                <c:pt idx="58">
                  <c:v>0.31894143694793475</c:v>
                </c:pt>
                <c:pt idx="59">
                  <c:v>0.31741885949726034</c:v>
                </c:pt>
                <c:pt idx="60">
                  <c:v>0.31596356895826566</c:v>
                </c:pt>
                <c:pt idx="61">
                  <c:v>0.31457233270312679</c:v>
                </c:pt>
                <c:pt idx="62">
                  <c:v>0.31324209355300092</c:v>
                </c:pt>
                <c:pt idx="63">
                  <c:v>0.3119699587362631</c:v>
                </c:pt>
                <c:pt idx="64">
                  <c:v>0.31075318965196952</c:v>
                </c:pt>
                <c:pt idx="65">
                  <c:v>0.309589192371928</c:v>
                </c:pt>
                <c:pt idx="66">
                  <c:v>0.30847550882086106</c:v>
                </c:pt>
                <c:pt idx="67">
                  <c:v>0.30740980857964306</c:v>
                </c:pt>
                <c:pt idx="68">
                  <c:v>0.30638988126154793</c:v>
                </c:pt>
                <c:pt idx="69">
                  <c:v>0.30541362941590433</c:v>
                </c:pt>
                <c:pt idx="70">
                  <c:v>0.30447906191759616</c:v>
                </c:pt>
                <c:pt idx="71">
                  <c:v>0.30358428780447799</c:v>
                </c:pt>
                <c:pt idx="72">
                  <c:v>0.3027275105280805</c:v>
                </c:pt>
                <c:pt idx="73">
                  <c:v>0.3019070225859552</c:v>
                </c:pt>
                <c:pt idx="74">
                  <c:v>0.30112120050671265</c:v>
                </c:pt>
                <c:pt idx="75">
                  <c:v>0.30036850016125843</c:v>
                </c:pt>
                <c:pt idx="76">
                  <c:v>0.29964745237595164</c:v>
                </c:pt>
                <c:pt idx="77">
                  <c:v>0.29895665882543287</c:v>
                </c:pt>
                <c:pt idx="78">
                  <c:v>0.29829478818470057</c:v>
                </c:pt>
                <c:pt idx="79">
                  <c:v>0.29766057252168687</c:v>
                </c:pt>
                <c:pt idx="80">
                  <c:v>0.29705280391310213</c:v>
                </c:pt>
                <c:pt idx="81">
                  <c:v>0.29647033126770284</c:v>
                </c:pt>
                <c:pt idx="82">
                  <c:v>0.29591205734240161</c:v>
                </c:pt>
                <c:pt idx="83">
                  <c:v>0.29537693593778713</c:v>
                </c:pt>
                <c:pt idx="84">
                  <c:v>0.29486396926067787</c:v>
                </c:pt>
                <c:pt idx="85">
                  <c:v>0.29437220544229203</c:v>
                </c:pt>
                <c:pt idx="86">
                  <c:v>0.29390073620149826</c:v>
                </c:pt>
                <c:pt idx="87">
                  <c:v>0.29344869464341317</c:v>
                </c:pt>
                <c:pt idx="88">
                  <c:v>0.29301525318435284</c:v>
                </c:pt>
                <c:pt idx="89">
                  <c:v>0.29259962159481773</c:v>
                </c:pt>
                <c:pt idx="90">
                  <c:v>0.29220104515281164</c:v>
                </c:pt>
                <c:pt idx="91">
                  <c:v>0.29181880290036316</c:v>
                </c:pt>
                <c:pt idx="92">
                  <c:v>0.29145220599664112</c:v>
                </c:pt>
                <c:pt idx="93">
                  <c:v>0.29110059616153466</c:v>
                </c:pt>
                <c:pt idx="94">
                  <c:v>0.29076334420400884</c:v>
                </c:pt>
                <c:pt idx="95">
                  <c:v>0.29043984862995625</c:v>
                </c:pt>
                <c:pt idx="96">
                  <c:v>0.29012953432463329</c:v>
                </c:pt>
                <c:pt idx="97">
                  <c:v>0.28983185130512051</c:v>
                </c:pt>
                <c:pt idx="98">
                  <c:v>0.28954627353855866</c:v>
                </c:pt>
                <c:pt idx="99">
                  <c:v>0.28927229782220876</c:v>
                </c:pt>
                <c:pt idx="100">
                  <c:v>0.28900944272165197</c:v>
                </c:pt>
                <c:pt idx="101">
                  <c:v>0.28875724756369803</c:v>
                </c:pt>
                <c:pt idx="102">
                  <c:v>0.28851527148079881</c:v>
                </c:pt>
                <c:pt idx="103">
                  <c:v>0.2882830925039791</c:v>
                </c:pt>
                <c:pt idx="104">
                  <c:v>0.28806030670149335</c:v>
                </c:pt>
                <c:pt idx="105">
                  <c:v>0.28784652736060073</c:v>
                </c:pt>
                <c:pt idx="106">
                  <c:v>0.28764138421001934</c:v>
                </c:pt>
                <c:pt idx="107">
                  <c:v>0.28744452268077875</c:v>
                </c:pt>
                <c:pt idx="108">
                  <c:v>0.28725560320333526</c:v>
                </c:pt>
                <c:pt idx="109">
                  <c:v>0.28707430053894861</c:v>
                </c:pt>
                <c:pt idx="110">
                  <c:v>0.28690030314344711</c:v>
                </c:pt>
                <c:pt idx="111">
                  <c:v>0.28673331256162132</c:v>
                </c:pt>
                <c:pt idx="112">
                  <c:v>0.28657304285059892</c:v>
                </c:pt>
                <c:pt idx="113">
                  <c:v>0.28641922003065023</c:v>
                </c:pt>
                <c:pt idx="114">
                  <c:v>0.28627158156197219</c:v>
                </c:pt>
                <c:pt idx="115">
                  <c:v>0.28612987584608174</c:v>
                </c:pt>
                <c:pt idx="116">
                  <c:v>0.28599386175053615</c:v>
                </c:pt>
                <c:pt idx="117">
                  <c:v>0.28586330815576794</c:v>
                </c:pt>
                <c:pt idx="118">
                  <c:v>0.28573799352289936</c:v>
                </c:pt>
                <c:pt idx="119">
                  <c:v>0.28561770548146209</c:v>
                </c:pt>
                <c:pt idx="120">
                  <c:v>0.2855022404360143</c:v>
                </c:pt>
                <c:pt idx="121">
                  <c:v>0.28539140319070155</c:v>
                </c:pt>
                <c:pt idx="122">
                  <c:v>0.28528500659086387</c:v>
                </c:pt>
                <c:pt idx="123">
                  <c:v>0.28518287118084196</c:v>
                </c:pt>
                <c:pt idx="124">
                  <c:v>0.28508482487718273</c:v>
                </c:pt>
                <c:pt idx="125">
                  <c:v>0.28499070265648757</c:v>
                </c:pt>
                <c:pt idx="126">
                  <c:v>0.28490034625719041</c:v>
                </c:pt>
                <c:pt idx="127">
                  <c:v>0.28481360389458976</c:v>
                </c:pt>
                <c:pt idx="128">
                  <c:v>0.2847303299884969</c:v>
                </c:pt>
                <c:pt idx="129">
                  <c:v>0.28465038490289551</c:v>
                </c:pt>
                <c:pt idx="130">
                  <c:v>0.28457363469704089</c:v>
                </c:pt>
                <c:pt idx="131">
                  <c:v>0.28449995088745805</c:v>
                </c:pt>
                <c:pt idx="132">
                  <c:v>0.28442921022032452</c:v>
                </c:pt>
                <c:pt idx="133">
                  <c:v>0.28436129445375136</c:v>
                </c:pt>
                <c:pt idx="134">
                  <c:v>0.28429609014950297</c:v>
                </c:pt>
                <c:pt idx="135">
                  <c:v>0.28423348847371621</c:v>
                </c:pt>
                <c:pt idx="136">
                  <c:v>0.28417338500620493</c:v>
                </c:pt>
                <c:pt idx="137">
                  <c:v>0.28411567955795591</c:v>
                </c:pt>
                <c:pt idx="138">
                  <c:v>0.2840602759964414</c:v>
                </c:pt>
                <c:pt idx="139">
                  <c:v>0.28400708207839387</c:v>
                </c:pt>
                <c:pt idx="140">
                  <c:v>0.28395600928970494</c:v>
                </c:pt>
                <c:pt idx="141">
                  <c:v>0.28390697269212584</c:v>
                </c:pt>
                <c:pt idx="142">
                  <c:v>0.28385989077646723</c:v>
                </c:pt>
                <c:pt idx="143">
                  <c:v>0.28381468532200577</c:v>
                </c:pt>
                <c:pt idx="144">
                  <c:v>0.28377128126182127</c:v>
                </c:pt>
                <c:pt idx="145">
                  <c:v>0.28372960655380275</c:v>
                </c:pt>
                <c:pt idx="146">
                  <c:v>0.283689592057072</c:v>
                </c:pt>
                <c:pt idx="147">
                  <c:v>0.28365117141358626</c:v>
                </c:pt>
                <c:pt idx="148">
                  <c:v>0.28361428093469387</c:v>
                </c:pt>
                <c:pt idx="149">
                  <c:v>0.28357885949242545</c:v>
                </c:pt>
                <c:pt idx="150">
                  <c:v>0.28354484841531474</c:v>
                </c:pt>
                <c:pt idx="151">
                  <c:v>0.28351219138855266</c:v>
                </c:pt>
                <c:pt idx="152">
                  <c:v>0.28348083435828719</c:v>
                </c:pt>
                <c:pt idx="153">
                  <c:v>0.28345072543988964</c:v>
                </c:pt>
                <c:pt idx="154">
                  <c:v>0.28342181483001733</c:v>
                </c:pt>
                <c:pt idx="155">
                  <c:v>0.28339405472230939</c:v>
                </c:pt>
                <c:pt idx="156">
                  <c:v>0.28336739922656129</c:v>
                </c:pt>
                <c:pt idx="157">
                  <c:v>0.28334180429122779</c:v>
                </c:pt>
                <c:pt idx="158">
                  <c:v>0.28331722762911488</c:v>
                </c:pt>
                <c:pt idx="159">
                  <c:v>0.28329362864612417</c:v>
                </c:pt>
                <c:pt idx="160">
                  <c:v>0.28327096837292048</c:v>
                </c:pt>
                <c:pt idx="161">
                  <c:v>0.28324920939939963</c:v>
                </c:pt>
                <c:pt idx="162">
                  <c:v>0.28322831581183855</c:v>
                </c:pt>
                <c:pt idx="163">
                  <c:v>0.283208253132614</c:v>
                </c:pt>
                <c:pt idx="164">
                  <c:v>0.28318898826238348</c:v>
                </c:pt>
                <c:pt idx="165">
                  <c:v>0.28317048942462397</c:v>
                </c:pt>
                <c:pt idx="166">
                  <c:v>0.28315272611243081</c:v>
                </c:pt>
                <c:pt idx="167">
                  <c:v>0.283135669037482</c:v>
                </c:pt>
                <c:pt idx="168">
                  <c:v>0.28311929008107839</c:v>
                </c:pt>
                <c:pt idx="169">
                  <c:v>0.28310356224717231</c:v>
                </c:pt>
                <c:pt idx="170">
                  <c:v>0.28308845961730372</c:v>
                </c:pt>
                <c:pt idx="171">
                  <c:v>0.28307395730736312</c:v>
                </c:pt>
                <c:pt idx="172">
                  <c:v>0.28306003142610758</c:v>
                </c:pt>
                <c:pt idx="173">
                  <c:v>0.28304665903535586</c:v>
                </c:pt>
                <c:pt idx="174">
                  <c:v>0.28303381811179407</c:v>
                </c:pt>
                <c:pt idx="175">
                  <c:v>0.28302148751032591</c:v>
                </c:pt>
                <c:pt idx="176">
                  <c:v>0.28300964692890374</c:v>
                </c:pt>
                <c:pt idx="177">
                  <c:v>0.28299827687477863</c:v>
                </c:pt>
                <c:pt idx="178">
                  <c:v>0.28298735863211361</c:v>
                </c:pt>
                <c:pt idx="179">
                  <c:v>0.28297687423090129</c:v>
                </c:pt>
                <c:pt idx="180">
                  <c:v>0.28296680641713551</c:v>
                </c:pt>
                <c:pt idx="181">
                  <c:v>0.28295713862418337</c:v>
                </c:pt>
                <c:pt idx="182">
                  <c:v>0.28294785494530955</c:v>
                </c:pt>
                <c:pt idx="183">
                  <c:v>0.28293894010730675</c:v>
                </c:pt>
                <c:pt idx="184">
                  <c:v>0.28293037944518568</c:v>
                </c:pt>
                <c:pt idx="185">
                  <c:v>0.28292215887788258</c:v>
                </c:pt>
                <c:pt idx="186">
                  <c:v>0.2829142648849427</c:v>
                </c:pt>
                <c:pt idx="187">
                  <c:v>0.2829066844841393</c:v>
                </c:pt>
                <c:pt idx="188">
                  <c:v>0.28289940520999191</c:v>
                </c:pt>
                <c:pt idx="189">
                  <c:v>0.28289241509314561</c:v>
                </c:pt>
                <c:pt idx="190">
                  <c:v>0.28288570264057739</c:v>
                </c:pt>
                <c:pt idx="191">
                  <c:v>0.28287925681659587</c:v>
                </c:pt>
                <c:pt idx="192">
                  <c:v>0.28287306702460252</c:v>
                </c:pt>
                <c:pt idx="193">
                  <c:v>0.28286712308958339</c:v>
                </c:pt>
                <c:pt idx="194">
                  <c:v>0.28286141524130154</c:v>
                </c:pt>
                <c:pt idx="195">
                  <c:v>0.28285593409816318</c:v>
                </c:pt>
                <c:pt idx="196">
                  <c:v>0.28285067065172759</c:v>
                </c:pt>
                <c:pt idx="197">
                  <c:v>0.28284561625183885</c:v>
                </c:pt>
                <c:pt idx="198">
                  <c:v>0.28284076259235064</c:v>
                </c:pt>
                <c:pt idx="199">
                  <c:v>0.28283610169742196</c:v>
                </c:pt>
                <c:pt idx="200">
                  <c:v>0.28283162590836142</c:v>
                </c:pt>
                <c:pt idx="201">
                  <c:v>0.2828273278709959</c:v>
                </c:pt>
                <c:pt idx="202">
                  <c:v>0.28282320052354482</c:v>
                </c:pt>
                <c:pt idx="203">
                  <c:v>0.28281923708497841</c:v>
                </c:pt>
                <c:pt idx="204">
                  <c:v>0.28281543104384022</c:v>
                </c:pt>
                <c:pt idx="205">
                  <c:v>0.28281177614751685</c:v>
                </c:pt>
                <c:pt idx="206">
                  <c:v>0.28280826639193479</c:v>
                </c:pt>
                <c:pt idx="207">
                  <c:v>0.28280489601166953</c:v>
                </c:pt>
                <c:pt idx="208">
                  <c:v>0.28280165947044827</c:v>
                </c:pt>
                <c:pt idx="209">
                  <c:v>0.28279855145203198</c:v>
                </c:pt>
                <c:pt idx="210">
                  <c:v>0.28279556685146057</c:v>
                </c:pt>
                <c:pt idx="211">
                  <c:v>0.2827927007666482</c:v>
                </c:pt>
                <c:pt idx="212">
                  <c:v>0.28278994849031208</c:v>
                </c:pt>
                <c:pt idx="213">
                  <c:v>0.28278730550222431</c:v>
                </c:pt>
                <c:pt idx="214">
                  <c:v>0.28278476746177184</c:v>
                </c:pt>
                <c:pt idx="215">
                  <c:v>0.28278233020081306</c:v>
                </c:pt>
                <c:pt idx="216">
                  <c:v>0.28277998971681872</c:v>
                </c:pt>
                <c:pt idx="217">
                  <c:v>0.28277774216628665</c:v>
                </c:pt>
                <c:pt idx="218">
                  <c:v>0.28277558385841817</c:v>
                </c:pt>
                <c:pt idx="219">
                  <c:v>0.28277351124904654</c:v>
                </c:pt>
                <c:pt idx="220">
                  <c:v>0.28277152093480745</c:v>
                </c:pt>
                <c:pt idx="221">
                  <c:v>0.28276960964754111</c:v>
                </c:pt>
                <c:pt idx="222">
                  <c:v>0.28276777424891741</c:v>
                </c:pt>
                <c:pt idx="223">
                  <c:v>0.28276601172527538</c:v>
                </c:pt>
                <c:pt idx="224">
                  <c:v>0.28276431918266726</c:v>
                </c:pt>
                <c:pt idx="225">
                  <c:v>0.28276269384210068</c:v>
                </c:pt>
                <c:pt idx="226">
                  <c:v>0.28276113303496936</c:v>
                </c:pt>
                <c:pt idx="227">
                  <c:v>0.2827596341986664</c:v>
                </c:pt>
                <c:pt idx="228">
                  <c:v>0.28275819487237125</c:v>
                </c:pt>
                <c:pt idx="229">
                  <c:v>0.28275681269300523</c:v>
                </c:pt>
                <c:pt idx="230">
                  <c:v>0.28275548539134687</c:v>
                </c:pt>
                <c:pt idx="231">
                  <c:v>0.28275421078830287</c:v>
                </c:pt>
                <c:pt idx="232">
                  <c:v>0.28275298679132654</c:v>
                </c:pt>
                <c:pt idx="233">
                  <c:v>0.28275181139097905</c:v>
                </c:pt>
                <c:pt idx="234">
                  <c:v>0.28275068265762732</c:v>
                </c:pt>
                <c:pt idx="235">
                  <c:v>0.28274959873827327</c:v>
                </c:pt>
                <c:pt idx="236">
                  <c:v>0.28274855785350911</c:v>
                </c:pt>
                <c:pt idx="237">
                  <c:v>0.2827475582945938</c:v>
                </c:pt>
                <c:pt idx="238">
                  <c:v>0.28274659842064553</c:v>
                </c:pt>
                <c:pt idx="239">
                  <c:v>0.2827456766559458</c:v>
                </c:pt>
                <c:pt idx="240">
                  <c:v>0.28274479148735121</c:v>
                </c:pt>
                <c:pt idx="241">
                  <c:v>0.2827439414618072</c:v>
                </c:pt>
                <c:pt idx="242">
                  <c:v>0.28274312518396166</c:v>
                </c:pt>
                <c:pt idx="243">
                  <c:v>0.28274234131387216</c:v>
                </c:pt>
                <c:pt idx="244">
                  <c:v>0.28274158856480575</c:v>
                </c:pt>
                <c:pt idx="245">
                  <c:v>0.28274086570112517</c:v>
                </c:pt>
                <c:pt idx="246">
                  <c:v>0.28274017153625891</c:v>
                </c:pt>
                <c:pt idx="247">
                  <c:v>0.28273950493075312</c:v>
                </c:pt>
                <c:pt idx="248">
                  <c:v>0.28273886479039978</c:v>
                </c:pt>
                <c:pt idx="249">
                  <c:v>0.28273825006443959</c:v>
                </c:pt>
                <c:pt idx="250">
                  <c:v>0.28273765974383652</c:v>
                </c:pt>
                <c:pt idx="251">
                  <c:v>0.28273709285962079</c:v>
                </c:pt>
                <c:pt idx="252">
                  <c:v>0.28273654848129737</c:v>
                </c:pt>
                <c:pt idx="253">
                  <c:v>0.28273602571531803</c:v>
                </c:pt>
                <c:pt idx="254">
                  <c:v>0.28273552370361449</c:v>
                </c:pt>
                <c:pt idx="255">
                  <c:v>0.28273504162218871</c:v>
                </c:pt>
                <c:pt idx="256">
                  <c:v>0.28273457867976032</c:v>
                </c:pt>
                <c:pt idx="257">
                  <c:v>0.28273413411646708</c:v>
                </c:pt>
                <c:pt idx="258">
                  <c:v>0.28273370720261742</c:v>
                </c:pt>
                <c:pt idx="259">
                  <c:v>0.28273329723749208</c:v>
                </c:pt>
                <c:pt idx="260">
                  <c:v>0.28273290354819414</c:v>
                </c:pt>
                <c:pt idx="261">
                  <c:v>0.28273252548854322</c:v>
                </c:pt>
                <c:pt idx="262">
                  <c:v>0.28273216243801563</c:v>
                </c:pt>
                <c:pt idx="263">
                  <c:v>0.28273181380072476</c:v>
                </c:pt>
                <c:pt idx="264">
                  <c:v>0.28273147900444334</c:v>
                </c:pt>
                <c:pt idx="265">
                  <c:v>0.28273115749966338</c:v>
                </c:pt>
                <c:pt idx="266">
                  <c:v>0.28273084875869459</c:v>
                </c:pt>
                <c:pt idx="267">
                  <c:v>0.28273055227479765</c:v>
                </c:pt>
                <c:pt idx="268">
                  <c:v>0.28273026756135261</c:v>
                </c:pt>
                <c:pt idx="269">
                  <c:v>0.2827299941510597</c:v>
                </c:pt>
                <c:pt idx="270">
                  <c:v>0.28272973159517234</c:v>
                </c:pt>
                <c:pt idx="271">
                  <c:v>0.2827294794627605</c:v>
                </c:pt>
                <c:pt idx="272">
                  <c:v>0.28272923734000316</c:v>
                </c:pt>
                <c:pt idx="273">
                  <c:v>0.28272900482950902</c:v>
                </c:pt>
                <c:pt idx="274">
                  <c:v>0.2827287815496643</c:v>
                </c:pt>
                <c:pt idx="275">
                  <c:v>0.2827285671340059</c:v>
                </c:pt>
                <c:pt idx="276">
                  <c:v>0.2827283612306204</c:v>
                </c:pt>
                <c:pt idx="277">
                  <c:v>0.28272816350156571</c:v>
                </c:pt>
                <c:pt idx="278">
                  <c:v>0.282727973622317</c:v>
                </c:pt>
                <c:pt idx="279">
                  <c:v>0.28272779128123338</c:v>
                </c:pt>
                <c:pt idx="280">
                  <c:v>0.28272761617904679</c:v>
                </c:pt>
                <c:pt idx="281">
                  <c:v>0.28272744802837052</c:v>
                </c:pt>
                <c:pt idx="282">
                  <c:v>0.2827272865532276</c:v>
                </c:pt>
                <c:pt idx="283">
                  <c:v>0.28272713148859774</c:v>
                </c:pt>
                <c:pt idx="284">
                  <c:v>0.28272698257998219</c:v>
                </c:pt>
                <c:pt idx="285">
                  <c:v>0.28272683958298617</c:v>
                </c:pt>
                <c:pt idx="286">
                  <c:v>0.28272670226291768</c:v>
                </c:pt>
                <c:pt idx="287">
                  <c:v>0.28272657039440213</c:v>
                </c:pt>
                <c:pt idx="288">
                  <c:v>0.28272644376101269</c:v>
                </c:pt>
                <c:pt idx="289">
                  <c:v>0.28272632215491489</c:v>
                </c:pt>
                <c:pt idx="290">
                  <c:v>0.28272620537652515</c:v>
                </c:pt>
                <c:pt idx="291">
                  <c:v>0.28272609323418385</c:v>
                </c:pt>
                <c:pt idx="292">
                  <c:v>0.28272598554384021</c:v>
                </c:pt>
                <c:pt idx="293">
                  <c:v>0.28272588212875055</c:v>
                </c:pt>
                <c:pt idx="294">
                  <c:v>0.28272578281918775</c:v>
                </c:pt>
                <c:pt idx="295">
                  <c:v>0.28272568745216325</c:v>
                </c:pt>
                <c:pt idx="296">
                  <c:v>0.28272559587115892</c:v>
                </c:pt>
                <c:pt idx="297">
                  <c:v>0.28272550792587076</c:v>
                </c:pt>
                <c:pt idx="298">
                  <c:v>0.28272542347196167</c:v>
                </c:pt>
                <c:pt idx="299">
                  <c:v>0.28272534237082486</c:v>
                </c:pt>
                <c:pt idx="300">
                  <c:v>0.28272526448935636</c:v>
                </c:pt>
                <c:pt idx="301">
                  <c:v>0.2827251896997362</c:v>
                </c:pt>
                <c:pt idx="302">
                  <c:v>0.28272511787921917</c:v>
                </c:pt>
                <c:pt idx="303">
                  <c:v>0.28272504890993289</c:v>
                </c:pt>
                <c:pt idx="304">
                  <c:v>0.28272498267868468</c:v>
                </c:pt>
                <c:pt idx="305">
                  <c:v>0.28272491907677538</c:v>
                </c:pt>
                <c:pt idx="306">
                  <c:v>0.28272485799982139</c:v>
                </c:pt>
                <c:pt idx="307">
                  <c:v>0.2827247993475831</c:v>
                </c:pt>
                <c:pt idx="308">
                  <c:v>0.28272474302380041</c:v>
                </c:pt>
                <c:pt idx="309">
                  <c:v>0.28272468893603464</c:v>
                </c:pt>
                <c:pt idx="310">
                  <c:v>0.28272463699551703</c:v>
                </c:pt>
                <c:pt idx="311">
                  <c:v>0.28272458711700288</c:v>
                </c:pt>
                <c:pt idx="312">
                  <c:v>0.28272453921863172</c:v>
                </c:pt>
                <c:pt idx="313">
                  <c:v>0.28272449322179288</c:v>
                </c:pt>
                <c:pt idx="314">
                  <c:v>0.28272444905099664</c:v>
                </c:pt>
                <c:pt idx="315">
                  <c:v>0.28272440663374998</c:v>
                </c:pt>
                <c:pt idx="316">
                  <c:v>0.28272436590043809</c:v>
                </c:pt>
                <c:pt idx="317">
                  <c:v>0.28272432678420956</c:v>
                </c:pt>
                <c:pt idx="318">
                  <c:v>0.28272428922086729</c:v>
                </c:pt>
                <c:pt idx="319">
                  <c:v>0.28272425314876248</c:v>
                </c:pt>
                <c:pt idx="320">
                  <c:v>0.282724218508694</c:v>
                </c:pt>
                <c:pt idx="321">
                  <c:v>0.28272418524381082</c:v>
                </c:pt>
                <c:pt idx="322">
                  <c:v>0.28272415329951905</c:v>
                </c:pt>
                <c:pt idx="323">
                  <c:v>0.28272412262339186</c:v>
                </c:pt>
                <c:pt idx="324">
                  <c:v>0.28272409316508407</c:v>
                </c:pt>
                <c:pt idx="325">
                  <c:v>0.28272406487624896</c:v>
                </c:pt>
                <c:pt idx="326">
                  <c:v>0.28272403771045934</c:v>
                </c:pt>
                <c:pt idx="327">
                  <c:v>0.28272401162313093</c:v>
                </c:pt>
                <c:pt idx="328">
                  <c:v>0.28272398657144965</c:v>
                </c:pt>
                <c:pt idx="329">
                  <c:v>0.28272396251430093</c:v>
                </c:pt>
                <c:pt idx="330">
                  <c:v>0.28272393941220253</c:v>
                </c:pt>
                <c:pt idx="331">
                  <c:v>0.28272391722723961</c:v>
                </c:pt>
                <c:pt idx="332">
                  <c:v>0.28272389592300251</c:v>
                </c:pt>
                <c:pt idx="333">
                  <c:v>0.2827238754645271</c:v>
                </c:pt>
                <c:pt idx="334">
                  <c:v>0.28272385581823722</c:v>
                </c:pt>
                <c:pt idx="335">
                  <c:v>0.28272383695188963</c:v>
                </c:pt>
                <c:pt idx="336">
                  <c:v>0.28272381883452125</c:v>
                </c:pt>
                <c:pt idx="337">
                  <c:v>0.28272380143639808</c:v>
                </c:pt>
                <c:pt idx="338">
                  <c:v>0.28272378472896664</c:v>
                </c:pt>
                <c:pt idx="339">
                  <c:v>0.28272376868480703</c:v>
                </c:pt>
                <c:pt idx="340">
                  <c:v>0.28272375327758781</c:v>
                </c:pt>
                <c:pt idx="341">
                  <c:v>0.28272373848202287</c:v>
                </c:pt>
                <c:pt idx="342">
                  <c:v>0.28272372427383013</c:v>
                </c:pt>
                <c:pt idx="343">
                  <c:v>0.28272371062969115</c:v>
                </c:pt>
                <c:pt idx="344">
                  <c:v>0.2827236975272136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423-40FD-94CE-806E6702BC77}"/>
            </c:ext>
          </c:extLst>
        </c:ser>
        <c:ser>
          <c:idx val="7"/>
          <c:order val="7"/>
          <c:tx>
            <c:strRef>
              <c:f>'Survival Extrapolation'!$AY$20:$AZ$20</c:f>
              <c:strCache>
                <c:ptCount val="1"/>
                <c:pt idx="0">
                  <c:v>GenGamma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Extrapolation'!$BA$26:$BA$370</c:f>
              <c:numCache>
                <c:formatCode>General</c:formatCode>
                <c:ptCount val="345"/>
                <c:pt idx="0">
                  <c:v>1</c:v>
                </c:pt>
                <c:pt idx="1">
                  <c:v>0.99941297136691376</c:v>
                </c:pt>
                <c:pt idx="2">
                  <c:v>0.97502320303125201</c:v>
                </c:pt>
                <c:pt idx="3">
                  <c:v>0.92318641951012514</c:v>
                </c:pt>
                <c:pt idx="4">
                  <c:v>0.86775688288637443</c:v>
                </c:pt>
                <c:pt idx="5">
                  <c:v>0.81726914756061741</c:v>
                </c:pt>
                <c:pt idx="6">
                  <c:v>0.77313281948968315</c:v>
                </c:pt>
                <c:pt idx="7">
                  <c:v>0.73483195660976852</c:v>
                </c:pt>
                <c:pt idx="8">
                  <c:v>0.70147805655127127</c:v>
                </c:pt>
                <c:pt idx="9">
                  <c:v>0.67222723897719217</c:v>
                </c:pt>
                <c:pt idx="10">
                  <c:v>0.64637144876854047</c:v>
                </c:pt>
                <c:pt idx="11">
                  <c:v>0.62333870267721458</c:v>
                </c:pt>
                <c:pt idx="12">
                  <c:v>0.60267147799071596</c:v>
                </c:pt>
                <c:pt idx="13">
                  <c:v>0.58400335763230271</c:v>
                </c:pt>
                <c:pt idx="14">
                  <c:v>0.56703914157140956</c:v>
                </c:pt>
                <c:pt idx="15">
                  <c:v>0.55153912319070297</c:v>
                </c:pt>
                <c:pt idx="16">
                  <c:v>0.53730698763996809</c:v>
                </c:pt>
                <c:pt idx="17">
                  <c:v>0.52418057189198752</c:v>
                </c:pt>
                <c:pt idx="18">
                  <c:v>0.5120248053349612</c:v>
                </c:pt>
                <c:pt idx="19">
                  <c:v>0.50072629028080695</c:v>
                </c:pt>
                <c:pt idx="20">
                  <c:v>0.49018911279253008</c:v>
                </c:pt>
                <c:pt idx="21">
                  <c:v>0.48033157918369657</c:v>
                </c:pt>
                <c:pt idx="22">
                  <c:v>0.47108365288925919</c:v>
                </c:pt>
                <c:pt idx="23">
                  <c:v>0.46238492496058764</c:v>
                </c:pt>
                <c:pt idx="24">
                  <c:v>0.45418299425519765</c:v>
                </c:pt>
                <c:pt idx="25">
                  <c:v>0.44643216465680735</c:v>
                </c:pt>
                <c:pt idx="26">
                  <c:v>0.4390923895522027</c:v>
                </c:pt>
                <c:pt idx="27">
                  <c:v>0.43212841063476937</c:v>
                </c:pt>
                <c:pt idx="28">
                  <c:v>0.42550905057590038</c:v>
                </c:pt>
                <c:pt idx="29">
                  <c:v>0.41920662840388062</c:v>
                </c:pt>
                <c:pt idx="30">
                  <c:v>0.41319647341291799</c:v>
                </c:pt>
                <c:pt idx="31">
                  <c:v>0.40745651870780591</c:v>
                </c:pt>
                <c:pt idx="32">
                  <c:v>0.40196695951540062</c:v>
                </c:pt>
                <c:pt idx="33">
                  <c:v>0.39670996448378609</c:v>
                </c:pt>
                <c:pt idx="34">
                  <c:v>0.39166943057778719</c:v>
                </c:pt>
                <c:pt idx="35">
                  <c:v>0.38683077403729882</c:v>
                </c:pt>
                <c:pt idx="36">
                  <c:v>0.38218075131969592</c:v>
                </c:pt>
                <c:pt idx="37">
                  <c:v>0.37770730509396888</c:v>
                </c:pt>
                <c:pt idx="38">
                  <c:v>0.373399431262949</c:v>
                </c:pt>
                <c:pt idx="39">
                  <c:v>0.36924706371448757</c:v>
                </c:pt>
                <c:pt idx="40">
                  <c:v>0.36524097408327921</c:v>
                </c:pt>
                <c:pt idx="41">
                  <c:v>0.36137268427308467</c:v>
                </c:pt>
                <c:pt idx="42">
                  <c:v>0.35763438986827745</c:v>
                </c:pt>
                <c:pt idx="43">
                  <c:v>0.35401889287221355</c:v>
                </c:pt>
                <c:pt idx="44">
                  <c:v>0.35051954246231726</c:v>
                </c:pt>
                <c:pt idx="45">
                  <c:v>0.34713018265902279</c:v>
                </c:pt>
                <c:pt idx="46">
                  <c:v>0.34384510597673001</c:v>
                </c:pt>
                <c:pt idx="47">
                  <c:v>0.34065901226656015</c:v>
                </c:pt>
                <c:pt idx="48">
                  <c:v>0.33756697207847958</c:v>
                </c:pt>
                <c:pt idx="49">
                  <c:v>0.33456439396869692</c:v>
                </c:pt>
                <c:pt idx="50">
                  <c:v>0.33164699526059888</c:v>
                </c:pt>
                <c:pt idx="51">
                  <c:v>0.32881077583676721</c:v>
                </c:pt>
                <c:pt idx="52">
                  <c:v>0.32605199459804274</c:v>
                </c:pt>
                <c:pt idx="53">
                  <c:v>0.32336714827505436</c:v>
                </c:pt>
                <c:pt idx="54">
                  <c:v>0.32075295231962714</c:v>
                </c:pt>
                <c:pt idx="55">
                  <c:v>0.31820632363923518</c:v>
                </c:pt>
                <c:pt idx="56">
                  <c:v>0.31572436496821371</c:v>
                </c:pt>
                <c:pt idx="57">
                  <c:v>0.31330435069559592</c:v>
                </c:pt>
                <c:pt idx="58">
                  <c:v>0.31094371399191817</c:v>
                </c:pt>
                <c:pt idx="59">
                  <c:v>0.30864003509667731</c:v>
                </c:pt>
                <c:pt idx="60">
                  <c:v>0.30639103064483253</c:v>
                </c:pt>
                <c:pt idx="61">
                  <c:v>0.30419454392519413</c:v>
                </c:pt>
                <c:pt idx="62">
                  <c:v>0.30204853597609171</c:v>
                </c:pt>
                <c:pt idx="63">
                  <c:v>0.29995107743461036</c:v>
                </c:pt>
                <c:pt idx="64">
                  <c:v>0.29790034106519253</c:v>
                </c:pt>
                <c:pt idx="65">
                  <c:v>0.29589459490169845</c:v>
                </c:pt>
                <c:pt idx="66">
                  <c:v>0.29393219594428982</c:v>
                </c:pt>
                <c:pt idx="67">
                  <c:v>0.2920115843588616</c:v>
                </c:pt>
                <c:pt idx="68">
                  <c:v>0.29013127813235096</c:v>
                </c:pt>
                <c:pt idx="69">
                  <c:v>0.2882898681421866</c:v>
                </c:pt>
                <c:pt idx="70">
                  <c:v>0.28648601360247</c:v>
                </c:pt>
                <c:pt idx="71">
                  <c:v>0.28471843785334799</c:v>
                </c:pt>
                <c:pt idx="72">
                  <c:v>0.28298592446341259</c:v>
                </c:pt>
                <c:pt idx="73">
                  <c:v>0.28128731361799325</c:v>
                </c:pt>
                <c:pt idx="74">
                  <c:v>0.27962149876888287</c:v>
                </c:pt>
                <c:pt idx="75">
                  <c:v>0.27798742352341815</c:v>
                </c:pt>
                <c:pt idx="76">
                  <c:v>0.27638407875295917</c:v>
                </c:pt>
                <c:pt idx="77">
                  <c:v>0.27481049990271295</c:v>
                </c:pt>
                <c:pt idx="78">
                  <c:v>0.27326576448653056</c:v>
                </c:pt>
                <c:pt idx="79">
                  <c:v>0.27174898975183104</c:v>
                </c:pt>
                <c:pt idx="80">
                  <c:v>0.27025933050115952</c:v>
                </c:pt>
                <c:pt idx="81">
                  <c:v>0.26879597705810654</c:v>
                </c:pt>
                <c:pt idx="82">
                  <c:v>0.26735815336641716</c:v>
                </c:pt>
                <c:pt idx="83">
                  <c:v>0.26594511521209618</c:v>
                </c:pt>
                <c:pt idx="84">
                  <c:v>0.26455614855921111</c:v>
                </c:pt>
                <c:pt idx="85">
                  <c:v>0.26319056799089507</c:v>
                </c:pt>
                <c:pt idx="86">
                  <c:v>0.261847715247778</c:v>
                </c:pt>
                <c:pt idx="87">
                  <c:v>0.26052695785672192</c:v>
                </c:pt>
                <c:pt idx="88">
                  <c:v>0.25922768784334471</c:v>
                </c:pt>
                <c:pt idx="89">
                  <c:v>0.25794932052233754</c:v>
                </c:pt>
                <c:pt idx="90">
                  <c:v>0.25669129336008278</c:v>
                </c:pt>
                <c:pt idx="91">
                  <c:v>0.25545306490451514</c:v>
                </c:pt>
                <c:pt idx="92">
                  <c:v>0.25423411377757726</c:v>
                </c:pt>
                <c:pt idx="93">
                  <c:v>0.25303393772598243</c:v>
                </c:pt>
                <c:pt idx="94">
                  <c:v>0.25185205272633909</c:v>
                </c:pt>
                <c:pt idx="95">
                  <c:v>0.25068799214099136</c:v>
                </c:pt>
                <c:pt idx="96">
                  <c:v>0.24954130592121182</c:v>
                </c:pt>
                <c:pt idx="97">
                  <c:v>0.24841155985463775</c:v>
                </c:pt>
                <c:pt idx="98">
                  <c:v>0.24729833485407238</c:v>
                </c:pt>
                <c:pt idx="99">
                  <c:v>0.24620122628499208</c:v>
                </c:pt>
                <c:pt idx="100">
                  <c:v>0.24511984332928891</c:v>
                </c:pt>
                <c:pt idx="101">
                  <c:v>0.24405380838296581</c:v>
                </c:pt>
                <c:pt idx="102">
                  <c:v>0.24300275648565775</c:v>
                </c:pt>
                <c:pt idx="103">
                  <c:v>0.24196633478001367</c:v>
                </c:pt>
                <c:pt idx="104">
                  <c:v>0.24094420199910324</c:v>
                </c:pt>
                <c:pt idx="105">
                  <c:v>0.23993602798014968</c:v>
                </c:pt>
                <c:pt idx="106">
                  <c:v>0.23894149320300312</c:v>
                </c:pt>
                <c:pt idx="107">
                  <c:v>0.23796028835187885</c:v>
                </c:pt>
                <c:pt idx="108">
                  <c:v>0.23699211389898625</c:v>
                </c:pt>
                <c:pt idx="109">
                  <c:v>0.23603667970876771</c:v>
                </c:pt>
                <c:pt idx="110">
                  <c:v>0.23509370466154875</c:v>
                </c:pt>
                <c:pt idx="111">
                  <c:v>0.23416291629548888</c:v>
                </c:pt>
                <c:pt idx="112">
                  <c:v>0.23324405046578103</c:v>
                </c:pt>
                <c:pt idx="113">
                  <c:v>0.23233685102013521</c:v>
                </c:pt>
                <c:pt idx="114">
                  <c:v>0.23144106948962503</c:v>
                </c:pt>
                <c:pt idx="115">
                  <c:v>0.23055646479405134</c:v>
                </c:pt>
                <c:pt idx="116">
                  <c:v>0.22968280296101759</c:v>
                </c:pt>
                <c:pt idx="117">
                  <c:v>0.22881985685797182</c:v>
                </c:pt>
                <c:pt idx="118">
                  <c:v>0.22796740593651466</c:v>
                </c:pt>
                <c:pt idx="119">
                  <c:v>0.22712523598830786</c:v>
                </c:pt>
                <c:pt idx="120">
                  <c:v>0.22629313891197431</c:v>
                </c:pt>
                <c:pt idx="121">
                  <c:v>0.2254709124904036</c:v>
                </c:pt>
                <c:pt idx="122">
                  <c:v>0.22465836017791796</c:v>
                </c:pt>
                <c:pt idx="123">
                  <c:v>0.22385529089679035</c:v>
                </c:pt>
                <c:pt idx="124">
                  <c:v>0.22306151884262651</c:v>
                </c:pt>
                <c:pt idx="125">
                  <c:v>0.22227686329816385</c:v>
                </c:pt>
                <c:pt idx="126">
                  <c:v>0.22150114845505442</c:v>
                </c:pt>
                <c:pt idx="127">
                  <c:v>0.22073420324323456</c:v>
                </c:pt>
                <c:pt idx="128">
                  <c:v>0.21997586116749918</c:v>
                </c:pt>
                <c:pt idx="129">
                  <c:v>0.21922596015092533</c:v>
                </c:pt>
                <c:pt idx="130">
                  <c:v>0.2184843423848058</c:v>
                </c:pt>
                <c:pt idx="131">
                  <c:v>0.21775085418477769</c:v>
                </c:pt>
                <c:pt idx="132">
                  <c:v>0.21702534585284441</c:v>
                </c:pt>
                <c:pt idx="133">
                  <c:v>0.21630767154500666</c:v>
                </c:pt>
                <c:pt idx="134">
                  <c:v>0.21559768914423577</c:v>
                </c:pt>
                <c:pt idx="135">
                  <c:v>0.21489526013853583</c:v>
                </c:pt>
                <c:pt idx="136">
                  <c:v>0.21420024950385641</c:v>
                </c:pt>
                <c:pt idx="137">
                  <c:v>0.21351252559162592</c:v>
                </c:pt>
                <c:pt idx="138">
                  <c:v>0.21283196002069543</c:v>
                </c:pt>
                <c:pt idx="139">
                  <c:v>0.21215842757348646</c:v>
                </c:pt>
                <c:pt idx="140">
                  <c:v>0.21149180609615376</c:v>
                </c:pt>
                <c:pt idx="141">
                  <c:v>0.21083197640257689</c:v>
                </c:pt>
                <c:pt idx="142">
                  <c:v>0.21017882218201175</c:v>
                </c:pt>
                <c:pt idx="143">
                  <c:v>0.20953222991023576</c:v>
                </c:pt>
                <c:pt idx="144">
                  <c:v>0.20889208876403254</c:v>
                </c:pt>
                <c:pt idx="145">
                  <c:v>0.20825829053886782</c:v>
                </c:pt>
                <c:pt idx="146">
                  <c:v>0.20763072956961764</c:v>
                </c:pt>
                <c:pt idx="147">
                  <c:v>0.20700930265421472</c:v>
                </c:pt>
                <c:pt idx="148">
                  <c:v>0.206393908980087</c:v>
                </c:pt>
                <c:pt idx="149">
                  <c:v>0.2057844500532694</c:v>
                </c:pt>
                <c:pt idx="150">
                  <c:v>0.20518082963007345</c:v>
                </c:pt>
                <c:pt idx="151">
                  <c:v>0.20458295365120616</c:v>
                </c:pt>
                <c:pt idx="152">
                  <c:v>0.20399073017823666</c:v>
                </c:pt>
                <c:pt idx="153">
                  <c:v>0.2034040693323089</c:v>
                </c:pt>
                <c:pt idx="154">
                  <c:v>0.20282288323501202</c:v>
                </c:pt>
                <c:pt idx="155">
                  <c:v>0.20224708595131366</c:v>
                </c:pt>
                <c:pt idx="156">
                  <c:v>0.20167659343447575</c:v>
                </c:pt>
                <c:pt idx="157">
                  <c:v>0.20111132347286928</c:v>
                </c:pt>
                <c:pt idx="158">
                  <c:v>0.20055119563861271</c:v>
                </c:pt>
                <c:pt idx="159">
                  <c:v>0.19999613123795965</c:v>
                </c:pt>
                <c:pt idx="160">
                  <c:v>0.19944605326336537</c:v>
                </c:pt>
                <c:pt idx="161">
                  <c:v>0.19890088634716649</c:v>
                </c:pt>
                <c:pt idx="162">
                  <c:v>0.19836055671680958</c:v>
                </c:pt>
                <c:pt idx="163">
                  <c:v>0.19782499215156546</c:v>
                </c:pt>
                <c:pt idx="164">
                  <c:v>0.19729412194067744</c:v>
                </c:pt>
                <c:pt idx="165">
                  <c:v>0.19676787684287883</c:v>
                </c:pt>
                <c:pt idx="166">
                  <c:v>0.19624618904723454</c:v>
                </c:pt>
                <c:pt idx="167">
                  <c:v>0.1957289921352528</c:v>
                </c:pt>
                <c:pt idx="168">
                  <c:v>0.19521622104421721</c:v>
                </c:pt>
                <c:pt idx="169">
                  <c:v>0.19470781203169626</c:v>
                </c:pt>
                <c:pt idx="170">
                  <c:v>0.1942037026411822</c:v>
                </c:pt>
                <c:pt idx="171">
                  <c:v>0.19370383166882021</c:v>
                </c:pt>
                <c:pt idx="172">
                  <c:v>0.19320813913118462</c:v>
                </c:pt>
                <c:pt idx="173">
                  <c:v>0.19271656623406538</c:v>
                </c:pt>
                <c:pt idx="174">
                  <c:v>0.19222905534222579</c:v>
                </c:pt>
                <c:pt idx="175">
                  <c:v>0.19174554995009732</c:v>
                </c:pt>
                <c:pt idx="176">
                  <c:v>0.19126599465337671</c:v>
                </c:pt>
                <c:pt idx="177">
                  <c:v>0.19079033512149229</c:v>
                </c:pt>
                <c:pt idx="178">
                  <c:v>0.1903185180709096</c:v>
                </c:pt>
                <c:pt idx="179">
                  <c:v>0.18985049123924472</c:v>
                </c:pt>
                <c:pt idx="180">
                  <c:v>0.18938620336015596</c:v>
                </c:pt>
                <c:pt idx="181">
                  <c:v>0.18892560413899057</c:v>
                </c:pt>
                <c:pt idx="182">
                  <c:v>0.18846864422915316</c:v>
                </c:pt>
                <c:pt idx="183">
                  <c:v>0.18801527520917669</c:v>
                </c:pt>
                <c:pt idx="184">
                  <c:v>0.1875654495604677</c:v>
                </c:pt>
                <c:pt idx="185">
                  <c:v>0.18711912064570407</c:v>
                </c:pt>
                <c:pt idx="186">
                  <c:v>0.1866762426878627</c:v>
                </c:pt>
                <c:pt idx="187">
                  <c:v>0.1862367707498549</c:v>
                </c:pt>
                <c:pt idx="188">
                  <c:v>0.18580066071474835</c:v>
                </c:pt>
                <c:pt idx="189">
                  <c:v>0.18536786926655807</c:v>
                </c:pt>
                <c:pt idx="190">
                  <c:v>0.184938353871584</c:v>
                </c:pt>
                <c:pt idx="191">
                  <c:v>0.18451207276027923</c:v>
                </c:pt>
                <c:pt idx="192">
                  <c:v>0.18408898490962999</c:v>
                </c:pt>
                <c:pt idx="193">
                  <c:v>0.18366905002603065</c:v>
                </c:pt>
                <c:pt idx="194">
                  <c:v>0.18325222852863768</c:v>
                </c:pt>
                <c:pt idx="195">
                  <c:v>0.18283848153318563</c:v>
                </c:pt>
                <c:pt idx="196">
                  <c:v>0.18242777083625264</c:v>
                </c:pt>
                <c:pt idx="197">
                  <c:v>0.18202005889995657</c:v>
                </c:pt>
                <c:pt idx="198">
                  <c:v>0.18161530883707333</c:v>
                </c:pt>
                <c:pt idx="199">
                  <c:v>0.18121348439655732</c:v>
                </c:pt>
                <c:pt idx="200">
                  <c:v>0.18081454994945811</c:v>
                </c:pt>
                <c:pt idx="201">
                  <c:v>0.18041847047521387</c:v>
                </c:pt>
                <c:pt idx="202">
                  <c:v>0.18002521154831533</c:v>
                </c:pt>
                <c:pt idx="203">
                  <c:v>0.17963473932532459</c:v>
                </c:pt>
                <c:pt idx="204">
                  <c:v>0.1792470205322392</c:v>
                </c:pt>
                <c:pt idx="205">
                  <c:v>0.17886202245219165</c:v>
                </c:pt>
                <c:pt idx="206">
                  <c:v>0.17847971291347142</c:v>
                </c:pt>
                <c:pt idx="207">
                  <c:v>0.17810006027786154</c:v>
                </c:pt>
                <c:pt idx="208">
                  <c:v>0.17772303342927909</c:v>
                </c:pt>
                <c:pt idx="209">
                  <c:v>0.17734860176271114</c:v>
                </c:pt>
                <c:pt idx="210">
                  <c:v>0.17697673517343548</c:v>
                </c:pt>
                <c:pt idx="211">
                  <c:v>0.17660740404651987</c:v>
                </c:pt>
                <c:pt idx="212">
                  <c:v>0.17624057924658784</c:v>
                </c:pt>
                <c:pt idx="213">
                  <c:v>0.17587623210784786</c:v>
                </c:pt>
                <c:pt idx="214">
                  <c:v>0.17551433442437314</c:v>
                </c:pt>
                <c:pt idx="215">
                  <c:v>0.17515485844062767</c:v>
                </c:pt>
                <c:pt idx="216">
                  <c:v>0.17479777684222975</c:v>
                </c:pt>
                <c:pt idx="217">
                  <c:v>0.1744430627469474</c:v>
                </c:pt>
                <c:pt idx="218">
                  <c:v>0.1740906896959166</c:v>
                </c:pt>
                <c:pt idx="219">
                  <c:v>0.17374063164507766</c:v>
                </c:pt>
                <c:pt idx="220">
                  <c:v>0.17339286295682366</c:v>
                </c:pt>
                <c:pt idx="221">
                  <c:v>0.17304735839185212</c:v>
                </c:pt>
                <c:pt idx="222">
                  <c:v>0.17270409310121701</c:v>
                </c:pt>
                <c:pt idx="223">
                  <c:v>0.17236304261857494</c:v>
                </c:pt>
                <c:pt idx="224">
                  <c:v>0.17202418285261703</c:v>
                </c:pt>
                <c:pt idx="225">
                  <c:v>0.17168749007968498</c:v>
                </c:pt>
                <c:pt idx="226">
                  <c:v>0.17135294093656372</c:v>
                </c:pt>
                <c:pt idx="227">
                  <c:v>0.17102051241344735</c:v>
                </c:pt>
                <c:pt idx="228">
                  <c:v>0.17069018184707077</c:v>
                </c:pt>
                <c:pt idx="229">
                  <c:v>0.17036192691400526</c:v>
                </c:pt>
                <c:pt idx="230">
                  <c:v>0.17003572562411251</c:v>
                </c:pt>
                <c:pt idx="231">
                  <c:v>0.16971155631415155</c:v>
                </c:pt>
                <c:pt idx="232">
                  <c:v>0.16938939764153554</c:v>
                </c:pt>
                <c:pt idx="233">
                  <c:v>0.16906922857823459</c:v>
                </c:pt>
                <c:pt idx="234">
                  <c:v>0.16875102840481868</c:v>
                </c:pt>
                <c:pt idx="235">
                  <c:v>0.16843477670463997</c:v>
                </c:pt>
                <c:pt idx="236">
                  <c:v>0.16812045335814649</c:v>
                </c:pt>
                <c:pt idx="237">
                  <c:v>0.16780803853732945</c:v>
                </c:pt>
                <c:pt idx="238">
                  <c:v>0.16749751270029309</c:v>
                </c:pt>
                <c:pt idx="239">
                  <c:v>0.16718885658595126</c:v>
                </c:pt>
                <c:pt idx="240">
                  <c:v>0.16688205120884228</c:v>
                </c:pt>
                <c:pt idx="241">
                  <c:v>0.16657707785406056</c:v>
                </c:pt>
                <c:pt idx="242">
                  <c:v>0.16627391807230321</c:v>
                </c:pt>
                <c:pt idx="243">
                  <c:v>0.16597255367502525</c:v>
                </c:pt>
                <c:pt idx="244">
                  <c:v>0.16567296672970439</c:v>
                </c:pt>
                <c:pt idx="245">
                  <c:v>0.16537513955520969</c:v>
                </c:pt>
                <c:pt idx="246">
                  <c:v>0.16507905471727341</c:v>
                </c:pt>
                <c:pt idx="247">
                  <c:v>0.1647846950240604</c:v>
                </c:pt>
                <c:pt idx="248">
                  <c:v>0.16449204352183752</c:v>
                </c:pt>
                <c:pt idx="249">
                  <c:v>0.16420108349073465</c:v>
                </c:pt>
                <c:pt idx="250">
                  <c:v>0.16391179844059883</c:v>
                </c:pt>
                <c:pt idx="251">
                  <c:v>0.16362417210693825</c:v>
                </c:pt>
                <c:pt idx="252">
                  <c:v>0.16333818844695422</c:v>
                </c:pt>
                <c:pt idx="253">
                  <c:v>0.16305383163565618</c:v>
                </c:pt>
                <c:pt idx="254">
                  <c:v>0.16277108606206245</c:v>
                </c:pt>
                <c:pt idx="255">
                  <c:v>0.16248993632547928</c:v>
                </c:pt>
                <c:pt idx="256">
                  <c:v>0.1622103672318608</c:v>
                </c:pt>
                <c:pt idx="257">
                  <c:v>0.16193236379024487</c:v>
                </c:pt>
                <c:pt idx="258">
                  <c:v>0.16165591120926442</c:v>
                </c:pt>
                <c:pt idx="259">
                  <c:v>0.16138099489373128</c:v>
                </c:pt>
                <c:pt idx="260">
                  <c:v>0.16110760044129199</c:v>
                </c:pt>
                <c:pt idx="261">
                  <c:v>0.16083571363915267</c:v>
                </c:pt>
                <c:pt idx="262">
                  <c:v>0.1605653204608728</c:v>
                </c:pt>
                <c:pt idx="263">
                  <c:v>0.16029640706322304</c:v>
                </c:pt>
                <c:pt idx="264">
                  <c:v>0.16002895978311021</c:v>
                </c:pt>
                <c:pt idx="265">
                  <c:v>0.15976296513456387</c:v>
                </c:pt>
                <c:pt idx="266">
                  <c:v>0.15949840980578436</c:v>
                </c:pt>
                <c:pt idx="267">
                  <c:v>0.15923528065625117</c:v>
                </c:pt>
                <c:pt idx="268">
                  <c:v>0.15897356471389024</c:v>
                </c:pt>
                <c:pt idx="269">
                  <c:v>0.15871324917229795</c:v>
                </c:pt>
                <c:pt idx="270">
                  <c:v>0.15845432138802068</c:v>
                </c:pt>
                <c:pt idx="271">
                  <c:v>0.15819676887789003</c:v>
                </c:pt>
                <c:pt idx="272">
                  <c:v>0.15794057931640981</c:v>
                </c:pt>
                <c:pt idx="273">
                  <c:v>0.15768574053319614</c:v>
                </c:pt>
                <c:pt idx="274">
                  <c:v>0.15743224051046742</c:v>
                </c:pt>
                <c:pt idx="275">
                  <c:v>0.1571800673805849</c:v>
                </c:pt>
                <c:pt idx="276">
                  <c:v>0.15692920942364041</c:v>
                </c:pt>
                <c:pt idx="277">
                  <c:v>0.15667965506509191</c:v>
                </c:pt>
                <c:pt idx="278">
                  <c:v>0.15643139287344626</c:v>
                </c:pt>
                <c:pt idx="279">
                  <c:v>0.15618441155798485</c:v>
                </c:pt>
                <c:pt idx="280">
                  <c:v>0.15593869996653562</c:v>
                </c:pt>
                <c:pt idx="281">
                  <c:v>0.15569424708328683</c:v>
                </c:pt>
                <c:pt idx="282">
                  <c:v>0.15545104202664309</c:v>
                </c:pt>
                <c:pt idx="283">
                  <c:v>0.15520907404712289</c:v>
                </c:pt>
                <c:pt idx="284">
                  <c:v>0.15496833252529604</c:v>
                </c:pt>
                <c:pt idx="285">
                  <c:v>0.1547288069697606</c:v>
                </c:pt>
                <c:pt idx="286">
                  <c:v>0.15449048701515802</c:v>
                </c:pt>
                <c:pt idx="287">
                  <c:v>0.15425336242022628</c:v>
                </c:pt>
                <c:pt idx="288">
                  <c:v>0.15401742306588911</c:v>
                </c:pt>
                <c:pt idx="289">
                  <c:v>0.15378265895338122</c:v>
                </c:pt>
                <c:pt idx="290">
                  <c:v>0.15354906020240958</c:v>
                </c:pt>
                <c:pt idx="291">
                  <c:v>0.15331661704934765</c:v>
                </c:pt>
                <c:pt idx="292">
                  <c:v>0.15308531984546447</c:v>
                </c:pt>
                <c:pt idx="293">
                  <c:v>0.15285515905518496</c:v>
                </c:pt>
                <c:pt idx="294">
                  <c:v>0.15262612525438435</c:v>
                </c:pt>
                <c:pt idx="295">
                  <c:v>0.15239820912871255</c:v>
                </c:pt>
                <c:pt idx="296">
                  <c:v>0.15217140147194999</c:v>
                </c:pt>
                <c:pt idx="297">
                  <c:v>0.15194569318439258</c:v>
                </c:pt>
                <c:pt idx="298">
                  <c:v>0.15172107527126807</c:v>
                </c:pt>
                <c:pt idx="299">
                  <c:v>0.15149753884117836</c:v>
                </c:pt>
                <c:pt idx="300">
                  <c:v>0.15127507510457314</c:v>
                </c:pt>
                <c:pt idx="301">
                  <c:v>0.15105367537224806</c:v>
                </c:pt>
                <c:pt idx="302">
                  <c:v>0.15083333105387214</c:v>
                </c:pt>
                <c:pt idx="303">
                  <c:v>0.15061403365654116</c:v>
                </c:pt>
                <c:pt idx="304">
                  <c:v>0.15039577478335528</c:v>
                </c:pt>
                <c:pt idx="305">
                  <c:v>0.15017854613202444</c:v>
                </c:pt>
                <c:pt idx="306">
                  <c:v>0.14996233949349688</c:v>
                </c:pt>
                <c:pt idx="307">
                  <c:v>0.14974714675061199</c:v>
                </c:pt>
                <c:pt idx="308">
                  <c:v>0.14953295987677792</c:v>
                </c:pt>
                <c:pt idx="309">
                  <c:v>0.1493197709346713</c:v>
                </c:pt>
                <c:pt idx="310">
                  <c:v>0.14910757207496089</c:v>
                </c:pt>
                <c:pt idx="311">
                  <c:v>0.14889635553505223</c:v>
                </c:pt>
                <c:pt idx="312">
                  <c:v>0.14868611363785458</c:v>
                </c:pt>
                <c:pt idx="313">
                  <c:v>0.14847683879057089</c:v>
                </c:pt>
                <c:pt idx="314">
                  <c:v>0.1482685234835055</c:v>
                </c:pt>
                <c:pt idx="315">
                  <c:v>0.1480611602888961</c:v>
                </c:pt>
                <c:pt idx="316">
                  <c:v>0.1478547418597615</c:v>
                </c:pt>
                <c:pt idx="317">
                  <c:v>0.14764926092877403</c:v>
                </c:pt>
                <c:pt idx="318">
                  <c:v>0.14744471030714687</c:v>
                </c:pt>
                <c:pt idx="319">
                  <c:v>0.14724108288354315</c:v>
                </c:pt>
                <c:pt idx="320">
                  <c:v>0.14703837162300204</c:v>
                </c:pt>
                <c:pt idx="321">
                  <c:v>0.14683656956588384</c:v>
                </c:pt>
                <c:pt idx="322">
                  <c:v>0.14663566982683235</c:v>
                </c:pt>
                <c:pt idx="323">
                  <c:v>0.1464356655937552</c:v>
                </c:pt>
                <c:pt idx="324">
                  <c:v>0.14623655012682102</c:v>
                </c:pt>
                <c:pt idx="325">
                  <c:v>0.14603831675747259</c:v>
                </c:pt>
                <c:pt idx="326">
                  <c:v>0.14584095888745818</c:v>
                </c:pt>
                <c:pt idx="327">
                  <c:v>0.14564446998787756</c:v>
                </c:pt>
                <c:pt idx="328">
                  <c:v>0.14544884359824428</c:v>
                </c:pt>
                <c:pt idx="329">
                  <c:v>0.14525407332556348</c:v>
                </c:pt>
                <c:pt idx="330">
                  <c:v>0.14506015284342463</c:v>
                </c:pt>
                <c:pt idx="331">
                  <c:v>0.14486707589110925</c:v>
                </c:pt>
                <c:pt idx="332">
                  <c:v>0.14467483627271396</c:v>
                </c:pt>
                <c:pt idx="333">
                  <c:v>0.14448342785628662</c:v>
                </c:pt>
                <c:pt idx="334">
                  <c:v>0.14429284457297706</c:v>
                </c:pt>
                <c:pt idx="335">
                  <c:v>0.14410308041620207</c:v>
                </c:pt>
                <c:pt idx="336">
                  <c:v>0.14391412944082294</c:v>
                </c:pt>
                <c:pt idx="337">
                  <c:v>0.14372598576233742</c:v>
                </c:pt>
                <c:pt idx="338">
                  <c:v>0.14353864355608326</c:v>
                </c:pt>
                <c:pt idx="339">
                  <c:v>0.14335209705645574</c:v>
                </c:pt>
                <c:pt idx="340">
                  <c:v>0.14316634055613731</c:v>
                </c:pt>
                <c:pt idx="341">
                  <c:v>0.14298136840533909</c:v>
                </c:pt>
                <c:pt idx="342">
                  <c:v>0.14279717501105521</c:v>
                </c:pt>
                <c:pt idx="343">
                  <c:v>0.14261375483632796</c:v>
                </c:pt>
                <c:pt idx="344">
                  <c:v>0.14243110239952536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423-40FD-94CE-806E6702B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378856"/>
        <c:axId val="695377544"/>
      </c:scatterChart>
      <c:valAx>
        <c:axId val="695378856"/>
        <c:scaling>
          <c:orientation val="minMax"/>
          <c:max val="12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377544"/>
        <c:crosses val="autoZero"/>
        <c:crossBetween val="midCat"/>
        <c:majorUnit val="12"/>
      </c:valAx>
      <c:valAx>
        <c:axId val="6953775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Probability of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Survival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37885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916150950888607"/>
          <c:y val="0.38731729925840302"/>
          <c:w val="9.6297515314135412E-2"/>
          <c:h val="0.22790137854002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ICER - Baseline Utility,</a:t>
            </a:r>
            <a:r>
              <a:rPr lang="en-US" baseline="0">
                <a:solidFill>
                  <a:sysClr val="windowText" lastClr="000000"/>
                </a:solidFill>
              </a:rPr>
              <a:t> Letermovir Group 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OWSA!$E$50</c:f>
              <c:strCache>
                <c:ptCount val="1"/>
                <c:pt idx="0">
                  <c:v>ICER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OWSA!$D$78:$D$104</c:f>
            </c:multiLvlStrRef>
          </c:cat>
          <c:val>
            <c:numRef>
              <c:f>OWSA!$E$78:$E$104</c:f>
            </c:numRef>
          </c:val>
          <c:smooth val="0"/>
          <c:extLst>
            <c:ext xmlns:c16="http://schemas.microsoft.com/office/drawing/2014/chart" uri="{C3380CC4-5D6E-409C-BE32-E72D297353CC}">
              <c16:uniqueId val="{00000001-508D-4C0B-B842-E79F21389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169600"/>
        <c:axId val="740175504"/>
      </c:lineChart>
      <c:catAx>
        <c:axId val="74016960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175504"/>
        <c:crosses val="autoZero"/>
        <c:auto val="1"/>
        <c:lblAlgn val="ctr"/>
        <c:lblOffset val="100"/>
        <c:noMultiLvlLbl val="0"/>
      </c:catAx>
      <c:valAx>
        <c:axId val="740175504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16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One Way Sensitivity Analysis - Tornado Diagram</a:t>
            </a:r>
          </a:p>
        </c:rich>
      </c:tx>
      <c:layout>
        <c:manualLayout>
          <c:xMode val="edge"/>
          <c:yMode val="edge"/>
          <c:x val="0.29257976773327538"/>
          <c:y val="1.5168627955468462E-2"/>
        </c:manualLayout>
      </c:layout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'OWSA Graph'!$B$1</c:f>
              <c:strCache>
                <c:ptCount val="1"/>
                <c:pt idx="0">
                  <c:v>Low Result</c:v>
                </c:pt>
              </c:strCache>
            </c:strRef>
          </c:tx>
          <c:spPr>
            <a:solidFill>
              <a:srgbClr val="465674"/>
            </a:solidFill>
            <a:ln cmpd="sng">
              <a:noFill/>
            </a:ln>
          </c:spPr>
          <c:invertIfNegative val="1"/>
          <c:cat>
            <c:strRef>
              <c:f>'OWSA Graph'!$A$2:$A$21</c:f>
              <c:strCache>
                <c:ptCount val="20"/>
                <c:pt idx="0">
                  <c:v>Alive Year 1,  PET</c:v>
                </c:pt>
                <c:pt idx="1">
                  <c:v>Weighed Year 1 Utility, LET </c:v>
                </c:pt>
                <c:pt idx="2">
                  <c:v>Weighed Year 1 Utility, PET </c:v>
                </c:pt>
                <c:pt idx="3">
                  <c:v>Alive Year 1, LET</c:v>
                </c:pt>
                <c:pt idx="4">
                  <c:v>Cost of Letermovir</c:v>
                </c:pt>
                <c:pt idx="5">
                  <c:v>Year 2+ Utility</c:v>
                </c:pt>
                <c:pt idx="6">
                  <c:v>Cost of Year 2 +</c:v>
                </c:pt>
                <c:pt idx="7">
                  <c:v>Discounting Rate</c:v>
                </c:pt>
                <c:pt idx="8">
                  <c:v>CMV Disease, PET</c:v>
                </c:pt>
                <c:pt idx="9">
                  <c:v>Neutropenia</c:v>
                </c:pt>
                <c:pt idx="10">
                  <c:v>CMV Viremia, PET</c:v>
                </c:pt>
                <c:pt idx="11">
                  <c:v>Cost of Neutropenia</c:v>
                </c:pt>
                <c:pt idx="12">
                  <c:v>CMV Viremia, LET</c:v>
                </c:pt>
                <c:pt idx="13">
                  <c:v>CMV Disease, LET</c:v>
                </c:pt>
                <c:pt idx="14">
                  <c:v>Cost of CMV Disease</c:v>
                </c:pt>
                <c:pt idx="15">
                  <c:v>Cost of PET</c:v>
                </c:pt>
                <c:pt idx="16">
                  <c:v>CMV Complications, PET</c:v>
                </c:pt>
                <c:pt idx="17">
                  <c:v>Cost of Rehospitalization</c:v>
                </c:pt>
                <c:pt idx="18">
                  <c:v>Cost of GVHD</c:v>
                </c:pt>
                <c:pt idx="19">
                  <c:v>CMV Complications, LET</c:v>
                </c:pt>
              </c:strCache>
            </c:strRef>
          </c:cat>
          <c:val>
            <c:numRef>
              <c:f>'OWSA Graph'!$B$2:$B$21</c:f>
              <c:numCache>
                <c:formatCode>"$"#,##0_);[Red]\("$"#,##0\)</c:formatCode>
                <c:ptCount val="20"/>
                <c:pt idx="0">
                  <c:v>42492.54</c:v>
                </c:pt>
                <c:pt idx="1">
                  <c:v>114874.82</c:v>
                </c:pt>
                <c:pt idx="2">
                  <c:v>41488.080000000002</c:v>
                </c:pt>
                <c:pt idx="3">
                  <c:v>97278.88</c:v>
                </c:pt>
                <c:pt idx="4">
                  <c:v>47980.99</c:v>
                </c:pt>
                <c:pt idx="5">
                  <c:v>69653.649999999994</c:v>
                </c:pt>
                <c:pt idx="6">
                  <c:v>56034.66</c:v>
                </c:pt>
                <c:pt idx="7">
                  <c:v>56024.98</c:v>
                </c:pt>
                <c:pt idx="8">
                  <c:v>62268.28</c:v>
                </c:pt>
                <c:pt idx="9">
                  <c:v>61898.1</c:v>
                </c:pt>
                <c:pt idx="10">
                  <c:v>61475.29</c:v>
                </c:pt>
                <c:pt idx="11">
                  <c:v>61199.03</c:v>
                </c:pt>
                <c:pt idx="12">
                  <c:v>58257.91</c:v>
                </c:pt>
                <c:pt idx="13">
                  <c:v>58554.57</c:v>
                </c:pt>
                <c:pt idx="14">
                  <c:v>59797.25</c:v>
                </c:pt>
                <c:pt idx="15">
                  <c:v>59633.3</c:v>
                </c:pt>
                <c:pt idx="16">
                  <c:v>59548.47</c:v>
                </c:pt>
                <c:pt idx="17">
                  <c:v>59542.61</c:v>
                </c:pt>
                <c:pt idx="18">
                  <c:v>59433.17</c:v>
                </c:pt>
                <c:pt idx="19">
                  <c:v>59284.76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465674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764-4F4C-ADB8-6261ABDD1B6B}"/>
            </c:ext>
          </c:extLst>
        </c:ser>
        <c:ser>
          <c:idx val="1"/>
          <c:order val="1"/>
          <c:tx>
            <c:strRef>
              <c:f>'OWSA Graph'!$C$1</c:f>
              <c:strCache>
                <c:ptCount val="1"/>
                <c:pt idx="0">
                  <c:v>High Result</c:v>
                </c:pt>
              </c:strCache>
            </c:strRef>
          </c:tx>
          <c:spPr>
            <a:solidFill>
              <a:srgbClr val="9DABC4"/>
            </a:solidFill>
            <a:ln cmpd="sng">
              <a:noFill/>
            </a:ln>
          </c:spPr>
          <c:invertIfNegative val="1"/>
          <c:cat>
            <c:strRef>
              <c:f>'OWSA Graph'!$A$2:$A$21</c:f>
              <c:strCache>
                <c:ptCount val="20"/>
                <c:pt idx="0">
                  <c:v>Alive Year 1,  PET</c:v>
                </c:pt>
                <c:pt idx="1">
                  <c:v>Weighed Year 1 Utility, LET </c:v>
                </c:pt>
                <c:pt idx="2">
                  <c:v>Weighed Year 1 Utility, PET </c:v>
                </c:pt>
                <c:pt idx="3">
                  <c:v>Alive Year 1, LET</c:v>
                </c:pt>
                <c:pt idx="4">
                  <c:v>Cost of Letermovir</c:v>
                </c:pt>
                <c:pt idx="5">
                  <c:v>Year 2+ Utility</c:v>
                </c:pt>
                <c:pt idx="6">
                  <c:v>Cost of Year 2 +</c:v>
                </c:pt>
                <c:pt idx="7">
                  <c:v>Discounting Rate</c:v>
                </c:pt>
                <c:pt idx="8">
                  <c:v>CMV Disease, PET</c:v>
                </c:pt>
                <c:pt idx="9">
                  <c:v>Neutropenia</c:v>
                </c:pt>
                <c:pt idx="10">
                  <c:v>CMV Viremia, PET</c:v>
                </c:pt>
                <c:pt idx="11">
                  <c:v>Cost of Neutropenia</c:v>
                </c:pt>
                <c:pt idx="12">
                  <c:v>CMV Viremia, LET</c:v>
                </c:pt>
                <c:pt idx="13">
                  <c:v>CMV Disease, LET</c:v>
                </c:pt>
                <c:pt idx="14">
                  <c:v>Cost of CMV Disease</c:v>
                </c:pt>
                <c:pt idx="15">
                  <c:v>Cost of PET</c:v>
                </c:pt>
                <c:pt idx="16">
                  <c:v>CMV Complications, PET</c:v>
                </c:pt>
                <c:pt idx="17">
                  <c:v>Cost of Rehospitalization</c:v>
                </c:pt>
                <c:pt idx="18">
                  <c:v>Cost of GVHD</c:v>
                </c:pt>
                <c:pt idx="19">
                  <c:v>CMV Complications, LET</c:v>
                </c:pt>
              </c:strCache>
            </c:strRef>
          </c:cat>
          <c:val>
            <c:numRef>
              <c:f>'OWSA Graph'!$C$2:$C$21</c:f>
              <c:numCache>
                <c:formatCode>"$"#,##0_);[Red]\("$"#,##0\)</c:formatCode>
                <c:ptCount val="20"/>
                <c:pt idx="0">
                  <c:v>162742.17000000001</c:v>
                </c:pt>
                <c:pt idx="1">
                  <c:v>40002.42</c:v>
                </c:pt>
                <c:pt idx="2">
                  <c:v>104802.04</c:v>
                </c:pt>
                <c:pt idx="3">
                  <c:v>45922.18</c:v>
                </c:pt>
                <c:pt idx="4">
                  <c:v>70731.070000000007</c:v>
                </c:pt>
                <c:pt idx="5">
                  <c:v>51711.06</c:v>
                </c:pt>
                <c:pt idx="6">
                  <c:v>62677.39</c:v>
                </c:pt>
                <c:pt idx="7">
                  <c:v>62607.55</c:v>
                </c:pt>
                <c:pt idx="8">
                  <c:v>56443.79</c:v>
                </c:pt>
                <c:pt idx="9">
                  <c:v>56813.97</c:v>
                </c:pt>
                <c:pt idx="10">
                  <c:v>57236.78</c:v>
                </c:pt>
                <c:pt idx="11">
                  <c:v>57513.04</c:v>
                </c:pt>
                <c:pt idx="12">
                  <c:v>60454.15</c:v>
                </c:pt>
                <c:pt idx="13">
                  <c:v>60157.49</c:v>
                </c:pt>
                <c:pt idx="14">
                  <c:v>58914.81</c:v>
                </c:pt>
                <c:pt idx="15">
                  <c:v>59078.77</c:v>
                </c:pt>
                <c:pt idx="16">
                  <c:v>59163.6</c:v>
                </c:pt>
                <c:pt idx="17">
                  <c:v>59169.46</c:v>
                </c:pt>
                <c:pt idx="18">
                  <c:v>59278.9</c:v>
                </c:pt>
                <c:pt idx="19">
                  <c:v>59427.31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9DABC4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764-4F4C-ADB8-6261ABDD1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overlap val="100"/>
        <c:axId val="1474342131"/>
        <c:axId val="1222688521"/>
      </c:barChart>
      <c:catAx>
        <c:axId val="147434213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Model Input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/>
          <a:lstStyle/>
          <a:p>
            <a:pPr>
              <a:defRPr sz="1050"/>
            </a:pPr>
            <a:endParaRPr lang="en-US"/>
          </a:p>
        </c:txPr>
        <c:crossAx val="1222688521"/>
        <c:crossesAt val="59356.03"/>
        <c:auto val="1"/>
        <c:lblAlgn val="ctr"/>
        <c:lblOffset val="100"/>
        <c:noMultiLvlLbl val="1"/>
      </c:catAx>
      <c:valAx>
        <c:axId val="1222688521"/>
        <c:scaling>
          <c:orientation val="minMax"/>
          <c:max val="180000"/>
          <c:min val="4000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Incremental Cost-Effectiveness Ratio (USD/QALY</a:t>
                </a:r>
                <a:r>
                  <a:rPr lang="en-US" sz="1100" baseline="0"/>
                  <a:t>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0094875737865271"/>
              <c:y val="0.95161923071250665"/>
            </c:manualLayout>
          </c:layout>
          <c:overlay val="0"/>
        </c:title>
        <c:numFmt formatCode="&quot;$&quot;#,##0_);[Red]\(&quot;$&quot;#,##0\)" sourceLinked="1"/>
        <c:majorTickMark val="none"/>
        <c:minorTickMark val="none"/>
        <c:tickLblPos val="high"/>
        <c:spPr>
          <a:ln/>
        </c:spPr>
        <c:txPr>
          <a:bodyPr rot="0" vert="horz"/>
          <a:lstStyle/>
          <a:p>
            <a:pPr>
              <a:defRPr sz="1100"/>
            </a:pPr>
            <a:endParaRPr lang="en-US"/>
          </a:p>
        </c:txPr>
        <c:crossAx val="1474342131"/>
        <c:crosses val="max"/>
        <c:crossBetween val="between"/>
        <c:majorUnit val="20000"/>
        <c:minorUnit val="1000"/>
      </c:valAx>
    </c:plotArea>
    <c:legend>
      <c:legendPos val="t"/>
      <c:overlay val="0"/>
    </c:legend>
    <c:plotVisOnly val="1"/>
    <c:dispBlanksAs val="zero"/>
    <c:showDLblsOverMax val="1"/>
  </c:chart>
  <c:spPr>
    <a:ln>
      <a:noFill/>
    </a:ln>
  </c:spPr>
  <c:txPr>
    <a:bodyPr/>
    <a:lstStyle/>
    <a:p>
      <a:pPr>
        <a:defRPr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 sz="1400" b="0" i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One Way Sensitivity Analysis - Tornado Diagram</a:t>
            </a:r>
          </a:p>
        </c:rich>
      </c:tx>
      <c:layout>
        <c:manualLayout>
          <c:xMode val="edge"/>
          <c:yMode val="edge"/>
          <c:x val="0.29257976773327538"/>
          <c:y val="1.5168627955468462E-2"/>
        </c:manualLayout>
      </c:layout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'OWSA Graph'!$B$1</c:f>
              <c:strCache>
                <c:ptCount val="1"/>
                <c:pt idx="0">
                  <c:v>Low Result</c:v>
                </c:pt>
              </c:strCache>
            </c:strRef>
          </c:tx>
          <c:spPr>
            <a:solidFill>
              <a:srgbClr val="465674"/>
            </a:solidFill>
            <a:ln cmpd="sng">
              <a:noFill/>
            </a:ln>
          </c:spPr>
          <c:invertIfNegative val="1"/>
          <c:cat>
            <c:strRef>
              <c:f>'OWSA Graph'!$A$2:$A$21</c:f>
              <c:strCache>
                <c:ptCount val="20"/>
                <c:pt idx="0">
                  <c:v>Alive Year 1,  PET</c:v>
                </c:pt>
                <c:pt idx="1">
                  <c:v>Weighed Year 1 Utility, LET </c:v>
                </c:pt>
                <c:pt idx="2">
                  <c:v>Weighed Year 1 Utility, PET </c:v>
                </c:pt>
                <c:pt idx="3">
                  <c:v>Alive Year 1, LET</c:v>
                </c:pt>
                <c:pt idx="4">
                  <c:v>Cost of Letermovir</c:v>
                </c:pt>
                <c:pt idx="5">
                  <c:v>Year 2+ Utility</c:v>
                </c:pt>
                <c:pt idx="6">
                  <c:v>Cost of Year 2 +</c:v>
                </c:pt>
                <c:pt idx="7">
                  <c:v>Discounting Rate</c:v>
                </c:pt>
                <c:pt idx="8">
                  <c:v>CMV Disease, PET</c:v>
                </c:pt>
                <c:pt idx="9">
                  <c:v>Neutropenia</c:v>
                </c:pt>
                <c:pt idx="10">
                  <c:v>CMV Viremia, PET</c:v>
                </c:pt>
                <c:pt idx="11">
                  <c:v>Cost of Neutropenia</c:v>
                </c:pt>
                <c:pt idx="12">
                  <c:v>CMV Viremia, LET</c:v>
                </c:pt>
                <c:pt idx="13">
                  <c:v>CMV Disease, LET</c:v>
                </c:pt>
                <c:pt idx="14">
                  <c:v>Cost of CMV Disease</c:v>
                </c:pt>
                <c:pt idx="15">
                  <c:v>Cost of PET</c:v>
                </c:pt>
                <c:pt idx="16">
                  <c:v>CMV Complications, PET</c:v>
                </c:pt>
                <c:pt idx="17">
                  <c:v>Cost of Rehospitalization</c:v>
                </c:pt>
                <c:pt idx="18">
                  <c:v>Cost of GVHD</c:v>
                </c:pt>
                <c:pt idx="19">
                  <c:v>CMV Complications, LET</c:v>
                </c:pt>
              </c:strCache>
            </c:strRef>
          </c:cat>
          <c:val>
            <c:numRef>
              <c:f>'OWSA Graph'!$B$2:$B$21</c:f>
              <c:numCache>
                <c:formatCode>"$"#,##0_);[Red]\("$"#,##0\)</c:formatCode>
                <c:ptCount val="20"/>
                <c:pt idx="0">
                  <c:v>42492.54</c:v>
                </c:pt>
                <c:pt idx="1">
                  <c:v>114874.82</c:v>
                </c:pt>
                <c:pt idx="2">
                  <c:v>41488.080000000002</c:v>
                </c:pt>
                <c:pt idx="3">
                  <c:v>97278.88</c:v>
                </c:pt>
                <c:pt idx="4">
                  <c:v>47980.99</c:v>
                </c:pt>
                <c:pt idx="5">
                  <c:v>69653.649999999994</c:v>
                </c:pt>
                <c:pt idx="6">
                  <c:v>56034.66</c:v>
                </c:pt>
                <c:pt idx="7">
                  <c:v>56024.98</c:v>
                </c:pt>
                <c:pt idx="8">
                  <c:v>62268.28</c:v>
                </c:pt>
                <c:pt idx="9">
                  <c:v>61898.1</c:v>
                </c:pt>
                <c:pt idx="10">
                  <c:v>61475.29</c:v>
                </c:pt>
                <c:pt idx="11">
                  <c:v>61199.03</c:v>
                </c:pt>
                <c:pt idx="12">
                  <c:v>58257.91</c:v>
                </c:pt>
                <c:pt idx="13">
                  <c:v>58554.57</c:v>
                </c:pt>
                <c:pt idx="14">
                  <c:v>59797.25</c:v>
                </c:pt>
                <c:pt idx="15">
                  <c:v>59633.3</c:v>
                </c:pt>
                <c:pt idx="16">
                  <c:v>59548.47</c:v>
                </c:pt>
                <c:pt idx="17">
                  <c:v>59542.61</c:v>
                </c:pt>
                <c:pt idx="18">
                  <c:v>59433.17</c:v>
                </c:pt>
                <c:pt idx="19">
                  <c:v>59284.76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465674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905-E94F-A005-33604412EF29}"/>
            </c:ext>
          </c:extLst>
        </c:ser>
        <c:ser>
          <c:idx val="1"/>
          <c:order val="1"/>
          <c:tx>
            <c:strRef>
              <c:f>'OWSA Graph'!$C$1</c:f>
              <c:strCache>
                <c:ptCount val="1"/>
                <c:pt idx="0">
                  <c:v>High Result</c:v>
                </c:pt>
              </c:strCache>
            </c:strRef>
          </c:tx>
          <c:spPr>
            <a:solidFill>
              <a:srgbClr val="9DABC4"/>
            </a:solidFill>
            <a:ln cmpd="sng">
              <a:noFill/>
            </a:ln>
          </c:spPr>
          <c:invertIfNegative val="1"/>
          <c:cat>
            <c:strRef>
              <c:f>'OWSA Graph'!$A$2:$A$21</c:f>
              <c:strCache>
                <c:ptCount val="20"/>
                <c:pt idx="0">
                  <c:v>Alive Year 1,  PET</c:v>
                </c:pt>
                <c:pt idx="1">
                  <c:v>Weighed Year 1 Utility, LET </c:v>
                </c:pt>
                <c:pt idx="2">
                  <c:v>Weighed Year 1 Utility, PET </c:v>
                </c:pt>
                <c:pt idx="3">
                  <c:v>Alive Year 1, LET</c:v>
                </c:pt>
                <c:pt idx="4">
                  <c:v>Cost of Letermovir</c:v>
                </c:pt>
                <c:pt idx="5">
                  <c:v>Year 2+ Utility</c:v>
                </c:pt>
                <c:pt idx="6">
                  <c:v>Cost of Year 2 +</c:v>
                </c:pt>
                <c:pt idx="7">
                  <c:v>Discounting Rate</c:v>
                </c:pt>
                <c:pt idx="8">
                  <c:v>CMV Disease, PET</c:v>
                </c:pt>
                <c:pt idx="9">
                  <c:v>Neutropenia</c:v>
                </c:pt>
                <c:pt idx="10">
                  <c:v>CMV Viremia, PET</c:v>
                </c:pt>
                <c:pt idx="11">
                  <c:v>Cost of Neutropenia</c:v>
                </c:pt>
                <c:pt idx="12">
                  <c:v>CMV Viremia, LET</c:v>
                </c:pt>
                <c:pt idx="13">
                  <c:v>CMV Disease, LET</c:v>
                </c:pt>
                <c:pt idx="14">
                  <c:v>Cost of CMV Disease</c:v>
                </c:pt>
                <c:pt idx="15">
                  <c:v>Cost of PET</c:v>
                </c:pt>
                <c:pt idx="16">
                  <c:v>CMV Complications, PET</c:v>
                </c:pt>
                <c:pt idx="17">
                  <c:v>Cost of Rehospitalization</c:v>
                </c:pt>
                <c:pt idx="18">
                  <c:v>Cost of GVHD</c:v>
                </c:pt>
                <c:pt idx="19">
                  <c:v>CMV Complications, LET</c:v>
                </c:pt>
              </c:strCache>
            </c:strRef>
          </c:cat>
          <c:val>
            <c:numRef>
              <c:f>'OWSA Graph'!$C$2:$C$21</c:f>
              <c:numCache>
                <c:formatCode>"$"#,##0_);[Red]\("$"#,##0\)</c:formatCode>
                <c:ptCount val="20"/>
                <c:pt idx="0">
                  <c:v>162742.17000000001</c:v>
                </c:pt>
                <c:pt idx="1">
                  <c:v>40002.42</c:v>
                </c:pt>
                <c:pt idx="2">
                  <c:v>104802.04</c:v>
                </c:pt>
                <c:pt idx="3">
                  <c:v>45922.18</c:v>
                </c:pt>
                <c:pt idx="4">
                  <c:v>70731.070000000007</c:v>
                </c:pt>
                <c:pt idx="5">
                  <c:v>51711.06</c:v>
                </c:pt>
                <c:pt idx="6">
                  <c:v>62677.39</c:v>
                </c:pt>
                <c:pt idx="7">
                  <c:v>62607.55</c:v>
                </c:pt>
                <c:pt idx="8">
                  <c:v>56443.79</c:v>
                </c:pt>
                <c:pt idx="9">
                  <c:v>56813.97</c:v>
                </c:pt>
                <c:pt idx="10">
                  <c:v>57236.78</c:v>
                </c:pt>
                <c:pt idx="11">
                  <c:v>57513.04</c:v>
                </c:pt>
                <c:pt idx="12">
                  <c:v>60454.15</c:v>
                </c:pt>
                <c:pt idx="13">
                  <c:v>60157.49</c:v>
                </c:pt>
                <c:pt idx="14">
                  <c:v>58914.81</c:v>
                </c:pt>
                <c:pt idx="15">
                  <c:v>59078.77</c:v>
                </c:pt>
                <c:pt idx="16">
                  <c:v>59163.6</c:v>
                </c:pt>
                <c:pt idx="17">
                  <c:v>59169.46</c:v>
                </c:pt>
                <c:pt idx="18">
                  <c:v>59278.9</c:v>
                </c:pt>
                <c:pt idx="19">
                  <c:v>59427.31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9DABC4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7905-E94F-A005-33604412E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overlap val="100"/>
        <c:axId val="1474342131"/>
        <c:axId val="1222688521"/>
      </c:barChart>
      <c:catAx>
        <c:axId val="147434213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sz="1000"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050" b="0" i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Model</a:t>
                </a:r>
                <a:r>
                  <a:rPr lang="en-US" sz="1050" b="0" i="0" baseline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Input</a:t>
                </a:r>
                <a:endParaRPr lang="en-US" sz="1050" b="0" i="0">
                  <a:solidFill>
                    <a:srgbClr val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222688521"/>
        <c:crossesAt val="59356.03"/>
        <c:auto val="1"/>
        <c:lblAlgn val="ctr"/>
        <c:lblOffset val="100"/>
        <c:noMultiLvlLbl val="1"/>
      </c:catAx>
      <c:valAx>
        <c:axId val="1222688521"/>
        <c:scaling>
          <c:orientation val="minMax"/>
          <c:max val="180000"/>
          <c:min val="40000"/>
        </c:scaling>
        <c:delete val="0"/>
        <c:axPos val="b"/>
        <c:title>
          <c:tx>
            <c:rich>
              <a:bodyPr/>
              <a:lstStyle/>
              <a:p>
                <a:pPr lvl="0">
                  <a:defRPr sz="1200"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000" b="0" i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Incremental Cost-Effectiveness Ratio</a:t>
                </a:r>
              </a:p>
            </c:rich>
          </c:tx>
          <c:layout>
            <c:manualLayout>
              <c:xMode val="edge"/>
              <c:yMode val="edge"/>
              <c:x val="0.40094875737865271"/>
              <c:y val="0.95161923071250665"/>
            </c:manualLayout>
          </c:layout>
          <c:overlay val="0"/>
        </c:title>
        <c:numFmt formatCode="&quot;$&quot;#,##0_);[Red]\(&quot;$&quot;#,##0\)" sourceLinked="1"/>
        <c:majorTickMark val="none"/>
        <c:minorTickMark val="none"/>
        <c:tickLblPos val="high"/>
        <c:spPr>
          <a:ln/>
        </c:spPr>
        <c:txPr>
          <a:bodyPr rot="0" vert="horz" anchor="ctr" anchorCtr="0"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474342131"/>
        <c:crosses val="max"/>
        <c:crossBetween val="between"/>
        <c:majorUnit val="20000"/>
        <c:minorUnit val="1000"/>
      </c:valAx>
    </c:plotArea>
    <c:legend>
      <c:legendPos val="t"/>
      <c:overlay val="0"/>
      <c:txPr>
        <a:bodyPr/>
        <a:lstStyle/>
        <a:p>
          <a:pPr lvl="0">
            <a:defRPr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rgbClr val="000000"/>
                </a:solidFill>
                <a:latin typeface="Arial"/>
              </a:defRPr>
            </a:pPr>
            <a:r>
              <a:rPr lang="en-US" sz="1800" b="1" i="0">
                <a:solidFill>
                  <a:srgbClr val="000000"/>
                </a:solidFill>
                <a:latin typeface="Arial"/>
              </a:rPr>
              <a:t>Cost-Effectiveness Acceptability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strRef>
              <c:f>PSA!$AR$10</c:f>
              <c:strCache>
                <c:ptCount val="1"/>
                <c:pt idx="0">
                  <c:v>LET Prophylaxis</c:v>
                </c:pt>
              </c:strCache>
            </c:strRef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PSA!$AQ$14:$AQ$96</c:f>
              <c:numCache>
                <c:formatCode>General</c:formatCode>
                <c:ptCount val="83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  <c:pt idx="58">
                  <c:v>110000</c:v>
                </c:pt>
                <c:pt idx="59">
                  <c:v>120000</c:v>
                </c:pt>
                <c:pt idx="60">
                  <c:v>130000</c:v>
                </c:pt>
                <c:pt idx="61">
                  <c:v>140000</c:v>
                </c:pt>
                <c:pt idx="62">
                  <c:v>150000</c:v>
                </c:pt>
                <c:pt idx="63">
                  <c:v>160000</c:v>
                </c:pt>
                <c:pt idx="64">
                  <c:v>170000</c:v>
                </c:pt>
                <c:pt idx="65">
                  <c:v>180000</c:v>
                </c:pt>
                <c:pt idx="66">
                  <c:v>190000</c:v>
                </c:pt>
                <c:pt idx="67">
                  <c:v>200000</c:v>
                </c:pt>
                <c:pt idx="68">
                  <c:v>250000</c:v>
                </c:pt>
                <c:pt idx="69">
                  <c:v>300000</c:v>
                </c:pt>
                <c:pt idx="70">
                  <c:v>350000</c:v>
                </c:pt>
                <c:pt idx="71">
                  <c:v>400000</c:v>
                </c:pt>
                <c:pt idx="72">
                  <c:v>450000</c:v>
                </c:pt>
                <c:pt idx="73">
                  <c:v>500000</c:v>
                </c:pt>
                <c:pt idx="74">
                  <c:v>550000</c:v>
                </c:pt>
                <c:pt idx="75">
                  <c:v>600000</c:v>
                </c:pt>
                <c:pt idx="76">
                  <c:v>650000</c:v>
                </c:pt>
                <c:pt idx="77">
                  <c:v>700000</c:v>
                </c:pt>
                <c:pt idx="78">
                  <c:v>750000</c:v>
                </c:pt>
                <c:pt idx="79">
                  <c:v>800000</c:v>
                </c:pt>
                <c:pt idx="80">
                  <c:v>850000</c:v>
                </c:pt>
                <c:pt idx="81">
                  <c:v>900000</c:v>
                </c:pt>
                <c:pt idx="82">
                  <c:v>950000</c:v>
                </c:pt>
              </c:numCache>
            </c:numRef>
          </c:xVal>
          <c:yVal>
            <c:numRef>
              <c:f>PSA!$AR$14:$AR$96</c:f>
              <c:numCache>
                <c:formatCode>General</c:formatCode>
                <c:ptCount val="83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2.9000000000000001E-2</c:v>
                </c:pt>
                <c:pt idx="7">
                  <c:v>2.9000000000000001E-2</c:v>
                </c:pt>
                <c:pt idx="8">
                  <c:v>2.9000000000000001E-2</c:v>
                </c:pt>
                <c:pt idx="9">
                  <c:v>2.9000000000000001E-2</c:v>
                </c:pt>
                <c:pt idx="10">
                  <c:v>2.9000000000000001E-2</c:v>
                </c:pt>
                <c:pt idx="11">
                  <c:v>2.8000000000000001E-2</c:v>
                </c:pt>
                <c:pt idx="12">
                  <c:v>2.7E-2</c:v>
                </c:pt>
                <c:pt idx="13">
                  <c:v>2.5999999999999999E-2</c:v>
                </c:pt>
                <c:pt idx="14">
                  <c:v>2.5999999999999999E-2</c:v>
                </c:pt>
                <c:pt idx="15">
                  <c:v>2.5999999999999999E-2</c:v>
                </c:pt>
                <c:pt idx="16">
                  <c:v>2.7E-2</c:v>
                </c:pt>
                <c:pt idx="17">
                  <c:v>2.5999999999999999E-2</c:v>
                </c:pt>
                <c:pt idx="18">
                  <c:v>2.4E-2</c:v>
                </c:pt>
                <c:pt idx="19">
                  <c:v>2.5000000000000001E-2</c:v>
                </c:pt>
                <c:pt idx="20">
                  <c:v>2.4E-2</c:v>
                </c:pt>
                <c:pt idx="21">
                  <c:v>2.3E-2</c:v>
                </c:pt>
                <c:pt idx="22">
                  <c:v>2.3E-2</c:v>
                </c:pt>
                <c:pt idx="23">
                  <c:v>2.1999999999999999E-2</c:v>
                </c:pt>
                <c:pt idx="24">
                  <c:v>2.1000000000000001E-2</c:v>
                </c:pt>
                <c:pt idx="25">
                  <c:v>2.1999999999999999E-2</c:v>
                </c:pt>
                <c:pt idx="26">
                  <c:v>2.1000000000000001E-2</c:v>
                </c:pt>
                <c:pt idx="27">
                  <c:v>2.1000000000000001E-2</c:v>
                </c:pt>
                <c:pt idx="28">
                  <c:v>2.1999999999999999E-2</c:v>
                </c:pt>
                <c:pt idx="29">
                  <c:v>2.5000000000000001E-2</c:v>
                </c:pt>
                <c:pt idx="30">
                  <c:v>2.4E-2</c:v>
                </c:pt>
                <c:pt idx="31">
                  <c:v>2.5000000000000001E-2</c:v>
                </c:pt>
                <c:pt idx="32">
                  <c:v>0.03</c:v>
                </c:pt>
                <c:pt idx="33">
                  <c:v>3.3000000000000002E-2</c:v>
                </c:pt>
                <c:pt idx="34">
                  <c:v>3.9E-2</c:v>
                </c:pt>
                <c:pt idx="35">
                  <c:v>4.2000000000000003E-2</c:v>
                </c:pt>
                <c:pt idx="36">
                  <c:v>4.5999999999999999E-2</c:v>
                </c:pt>
                <c:pt idx="37">
                  <c:v>5.0999999999999997E-2</c:v>
                </c:pt>
                <c:pt idx="38">
                  <c:v>5.6000000000000001E-2</c:v>
                </c:pt>
                <c:pt idx="39">
                  <c:v>5.8000000000000003E-2</c:v>
                </c:pt>
                <c:pt idx="40">
                  <c:v>6.3E-2</c:v>
                </c:pt>
                <c:pt idx="41">
                  <c:v>7.0999999999999994E-2</c:v>
                </c:pt>
                <c:pt idx="42">
                  <c:v>8.2000000000000003E-2</c:v>
                </c:pt>
                <c:pt idx="43">
                  <c:v>0.1</c:v>
                </c:pt>
                <c:pt idx="44">
                  <c:v>0.14599999999999999</c:v>
                </c:pt>
                <c:pt idx="45">
                  <c:v>0.20300000000000001</c:v>
                </c:pt>
                <c:pt idx="46">
                  <c:v>0.26400000000000001</c:v>
                </c:pt>
                <c:pt idx="47">
                  <c:v>0.317</c:v>
                </c:pt>
                <c:pt idx="48">
                  <c:v>0.36499999999999999</c:v>
                </c:pt>
                <c:pt idx="49">
                  <c:v>0.39700000000000002</c:v>
                </c:pt>
                <c:pt idx="50">
                  <c:v>0.42899999999999999</c:v>
                </c:pt>
                <c:pt idx="51">
                  <c:v>0.45800000000000002</c:v>
                </c:pt>
                <c:pt idx="52">
                  <c:v>0.48199999999999998</c:v>
                </c:pt>
                <c:pt idx="53">
                  <c:v>0.50700000000000001</c:v>
                </c:pt>
                <c:pt idx="54">
                  <c:v>0.52400000000000002</c:v>
                </c:pt>
                <c:pt idx="55">
                  <c:v>0.54200000000000004</c:v>
                </c:pt>
                <c:pt idx="56">
                  <c:v>0.55500000000000005</c:v>
                </c:pt>
                <c:pt idx="57">
                  <c:v>0.57099999999999995</c:v>
                </c:pt>
                <c:pt idx="58">
                  <c:v>0.59299999999999997</c:v>
                </c:pt>
                <c:pt idx="59">
                  <c:v>0.61399999999999999</c:v>
                </c:pt>
                <c:pt idx="60">
                  <c:v>0.624</c:v>
                </c:pt>
                <c:pt idx="61">
                  <c:v>0.63400000000000001</c:v>
                </c:pt>
                <c:pt idx="62">
                  <c:v>0.64</c:v>
                </c:pt>
                <c:pt idx="63">
                  <c:v>0.64800000000000002</c:v>
                </c:pt>
                <c:pt idx="64">
                  <c:v>0.65600000000000003</c:v>
                </c:pt>
                <c:pt idx="65">
                  <c:v>0.66300000000000003</c:v>
                </c:pt>
                <c:pt idx="66">
                  <c:v>0.66800000000000004</c:v>
                </c:pt>
                <c:pt idx="67">
                  <c:v>0.67500000000000004</c:v>
                </c:pt>
                <c:pt idx="68">
                  <c:v>0.69199999999999995</c:v>
                </c:pt>
                <c:pt idx="69">
                  <c:v>0.70099999999999996</c:v>
                </c:pt>
                <c:pt idx="70">
                  <c:v>0.70599999999999996</c:v>
                </c:pt>
                <c:pt idx="71">
                  <c:v>0.71299999999999997</c:v>
                </c:pt>
                <c:pt idx="72">
                  <c:v>0.71699999999999997</c:v>
                </c:pt>
                <c:pt idx="73">
                  <c:v>0.72</c:v>
                </c:pt>
                <c:pt idx="74">
                  <c:v>0.72</c:v>
                </c:pt>
                <c:pt idx="75">
                  <c:v>0.72499999999999998</c:v>
                </c:pt>
                <c:pt idx="76">
                  <c:v>0.72499999999999998</c:v>
                </c:pt>
                <c:pt idx="77">
                  <c:v>0.72499999999999998</c:v>
                </c:pt>
                <c:pt idx="78">
                  <c:v>0.72599999999999998</c:v>
                </c:pt>
                <c:pt idx="79">
                  <c:v>0.72899999999999998</c:v>
                </c:pt>
                <c:pt idx="80">
                  <c:v>0.72899999999999998</c:v>
                </c:pt>
                <c:pt idx="81">
                  <c:v>0.72899999999999998</c:v>
                </c:pt>
                <c:pt idx="82">
                  <c:v>0.73099999999999998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11-7C40-AD36-77372E906E4E}"/>
            </c:ext>
          </c:extLst>
        </c:ser>
        <c:ser>
          <c:idx val="1"/>
          <c:order val="1"/>
          <c:tx>
            <c:strRef>
              <c:f>PSA!$AS$10</c:f>
              <c:strCache>
                <c:ptCount val="1"/>
                <c:pt idx="0">
                  <c:v>PET-Alone</c:v>
                </c:pt>
              </c:strCache>
            </c:strRef>
          </c:tx>
          <c:spPr>
            <a:ln w="952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PSA!$AQ$14:$AQ$96</c:f>
              <c:numCache>
                <c:formatCode>General</c:formatCode>
                <c:ptCount val="83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  <c:pt idx="58">
                  <c:v>110000</c:v>
                </c:pt>
                <c:pt idx="59">
                  <c:v>120000</c:v>
                </c:pt>
                <c:pt idx="60">
                  <c:v>130000</c:v>
                </c:pt>
                <c:pt idx="61">
                  <c:v>140000</c:v>
                </c:pt>
                <c:pt idx="62">
                  <c:v>150000</c:v>
                </c:pt>
                <c:pt idx="63">
                  <c:v>160000</c:v>
                </c:pt>
                <c:pt idx="64">
                  <c:v>170000</c:v>
                </c:pt>
                <c:pt idx="65">
                  <c:v>180000</c:v>
                </c:pt>
                <c:pt idx="66">
                  <c:v>190000</c:v>
                </c:pt>
                <c:pt idx="67">
                  <c:v>200000</c:v>
                </c:pt>
                <c:pt idx="68">
                  <c:v>250000</c:v>
                </c:pt>
                <c:pt idx="69">
                  <c:v>300000</c:v>
                </c:pt>
                <c:pt idx="70">
                  <c:v>350000</c:v>
                </c:pt>
                <c:pt idx="71">
                  <c:v>400000</c:v>
                </c:pt>
                <c:pt idx="72">
                  <c:v>450000</c:v>
                </c:pt>
                <c:pt idx="73">
                  <c:v>500000</c:v>
                </c:pt>
                <c:pt idx="74">
                  <c:v>550000</c:v>
                </c:pt>
                <c:pt idx="75">
                  <c:v>600000</c:v>
                </c:pt>
                <c:pt idx="76">
                  <c:v>650000</c:v>
                </c:pt>
                <c:pt idx="77">
                  <c:v>700000</c:v>
                </c:pt>
                <c:pt idx="78">
                  <c:v>750000</c:v>
                </c:pt>
                <c:pt idx="79">
                  <c:v>800000</c:v>
                </c:pt>
                <c:pt idx="80">
                  <c:v>850000</c:v>
                </c:pt>
                <c:pt idx="81">
                  <c:v>900000</c:v>
                </c:pt>
                <c:pt idx="82">
                  <c:v>950000</c:v>
                </c:pt>
              </c:numCache>
            </c:numRef>
          </c:xVal>
          <c:yVal>
            <c:numRef>
              <c:f>PSA!$AS$14:$AS$96</c:f>
              <c:numCache>
                <c:formatCode>General</c:formatCode>
                <c:ptCount val="83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0.97099999999999997</c:v>
                </c:pt>
                <c:pt idx="7">
                  <c:v>0.97099999999999997</c:v>
                </c:pt>
                <c:pt idx="8">
                  <c:v>0.97099999999999997</c:v>
                </c:pt>
                <c:pt idx="9">
                  <c:v>0.97099999999999997</c:v>
                </c:pt>
                <c:pt idx="10">
                  <c:v>0.97099999999999997</c:v>
                </c:pt>
                <c:pt idx="11">
                  <c:v>0.97199999999999998</c:v>
                </c:pt>
                <c:pt idx="12">
                  <c:v>0.97299999999999998</c:v>
                </c:pt>
                <c:pt idx="13">
                  <c:v>0.97399999999999998</c:v>
                </c:pt>
                <c:pt idx="14">
                  <c:v>0.97399999999999998</c:v>
                </c:pt>
                <c:pt idx="15">
                  <c:v>0.97399999999999998</c:v>
                </c:pt>
                <c:pt idx="16">
                  <c:v>0.97299999999999998</c:v>
                </c:pt>
                <c:pt idx="17">
                  <c:v>0.97399999999999998</c:v>
                </c:pt>
                <c:pt idx="18">
                  <c:v>0.97599999999999998</c:v>
                </c:pt>
                <c:pt idx="19">
                  <c:v>0.97499999999999998</c:v>
                </c:pt>
                <c:pt idx="20">
                  <c:v>0.97599999999999998</c:v>
                </c:pt>
                <c:pt idx="21">
                  <c:v>0.97699999999999998</c:v>
                </c:pt>
                <c:pt idx="22">
                  <c:v>0.97699999999999998</c:v>
                </c:pt>
                <c:pt idx="23">
                  <c:v>0.97799999999999998</c:v>
                </c:pt>
                <c:pt idx="24">
                  <c:v>0.97899999999999998</c:v>
                </c:pt>
                <c:pt idx="25">
                  <c:v>0.97799999999999998</c:v>
                </c:pt>
                <c:pt idx="26">
                  <c:v>0.97899999999999998</c:v>
                </c:pt>
                <c:pt idx="27">
                  <c:v>0.97899999999999998</c:v>
                </c:pt>
                <c:pt idx="28">
                  <c:v>0.97799999999999998</c:v>
                </c:pt>
                <c:pt idx="29">
                  <c:v>0.97499999999999998</c:v>
                </c:pt>
                <c:pt idx="30">
                  <c:v>0.97599999999999998</c:v>
                </c:pt>
                <c:pt idx="31">
                  <c:v>0.97499999999999998</c:v>
                </c:pt>
                <c:pt idx="32">
                  <c:v>0.97</c:v>
                </c:pt>
                <c:pt idx="33">
                  <c:v>0.96699999999999997</c:v>
                </c:pt>
                <c:pt idx="34">
                  <c:v>0.96099999999999997</c:v>
                </c:pt>
                <c:pt idx="35">
                  <c:v>0.95799999999999996</c:v>
                </c:pt>
                <c:pt idx="36">
                  <c:v>0.95399999999999996</c:v>
                </c:pt>
                <c:pt idx="37">
                  <c:v>0.94899999999999995</c:v>
                </c:pt>
                <c:pt idx="38">
                  <c:v>0.94399999999999995</c:v>
                </c:pt>
                <c:pt idx="39">
                  <c:v>0.94199999999999995</c:v>
                </c:pt>
                <c:pt idx="40">
                  <c:v>0.93700000000000006</c:v>
                </c:pt>
                <c:pt idx="41">
                  <c:v>0.92900000000000005</c:v>
                </c:pt>
                <c:pt idx="42">
                  <c:v>0.91800000000000004</c:v>
                </c:pt>
                <c:pt idx="43">
                  <c:v>0.9</c:v>
                </c:pt>
                <c:pt idx="44">
                  <c:v>0.85399999999999998</c:v>
                </c:pt>
                <c:pt idx="45">
                  <c:v>0.79700000000000004</c:v>
                </c:pt>
                <c:pt idx="46">
                  <c:v>0.73599999999999999</c:v>
                </c:pt>
                <c:pt idx="47">
                  <c:v>0.68300000000000005</c:v>
                </c:pt>
                <c:pt idx="48">
                  <c:v>0.63500000000000001</c:v>
                </c:pt>
                <c:pt idx="49">
                  <c:v>0.60299999999999998</c:v>
                </c:pt>
                <c:pt idx="50">
                  <c:v>0.57099999999999995</c:v>
                </c:pt>
                <c:pt idx="51">
                  <c:v>0.54200000000000004</c:v>
                </c:pt>
                <c:pt idx="52">
                  <c:v>0.51800000000000002</c:v>
                </c:pt>
                <c:pt idx="53">
                  <c:v>0.49299999999999999</c:v>
                </c:pt>
                <c:pt idx="54">
                  <c:v>0.47599999999999998</c:v>
                </c:pt>
                <c:pt idx="55">
                  <c:v>0.45800000000000002</c:v>
                </c:pt>
                <c:pt idx="56">
                  <c:v>0.44500000000000001</c:v>
                </c:pt>
                <c:pt idx="57">
                  <c:v>0.42899999999999999</c:v>
                </c:pt>
                <c:pt idx="58">
                  <c:v>0.40699999999999997</c:v>
                </c:pt>
                <c:pt idx="59">
                  <c:v>0.38600000000000001</c:v>
                </c:pt>
                <c:pt idx="60">
                  <c:v>0.376</c:v>
                </c:pt>
                <c:pt idx="61">
                  <c:v>0.36599999999999999</c:v>
                </c:pt>
                <c:pt idx="62">
                  <c:v>0.36</c:v>
                </c:pt>
                <c:pt idx="63">
                  <c:v>0.35199999999999998</c:v>
                </c:pt>
                <c:pt idx="64">
                  <c:v>0.34399999999999997</c:v>
                </c:pt>
                <c:pt idx="65">
                  <c:v>0.33700000000000002</c:v>
                </c:pt>
                <c:pt idx="66">
                  <c:v>0.33200000000000002</c:v>
                </c:pt>
                <c:pt idx="67">
                  <c:v>0.32500000000000001</c:v>
                </c:pt>
                <c:pt idx="68">
                  <c:v>0.308</c:v>
                </c:pt>
                <c:pt idx="69">
                  <c:v>0.29899999999999999</c:v>
                </c:pt>
                <c:pt idx="70">
                  <c:v>0.29399999999999998</c:v>
                </c:pt>
                <c:pt idx="71">
                  <c:v>0.28699999999999998</c:v>
                </c:pt>
                <c:pt idx="72">
                  <c:v>0.28299999999999997</c:v>
                </c:pt>
                <c:pt idx="73">
                  <c:v>0.28000000000000003</c:v>
                </c:pt>
                <c:pt idx="74">
                  <c:v>0.28000000000000003</c:v>
                </c:pt>
                <c:pt idx="75">
                  <c:v>0.27500000000000002</c:v>
                </c:pt>
                <c:pt idx="76">
                  <c:v>0.27500000000000002</c:v>
                </c:pt>
                <c:pt idx="77">
                  <c:v>0.27500000000000002</c:v>
                </c:pt>
                <c:pt idx="78">
                  <c:v>0.27400000000000002</c:v>
                </c:pt>
                <c:pt idx="79">
                  <c:v>0.27100000000000002</c:v>
                </c:pt>
                <c:pt idx="80">
                  <c:v>0.27100000000000002</c:v>
                </c:pt>
                <c:pt idx="81">
                  <c:v>0.27100000000000002</c:v>
                </c:pt>
                <c:pt idx="82">
                  <c:v>0.26900000000000002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11-7C40-AD36-77372E906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586814"/>
        <c:axId val="943814258"/>
      </c:scatterChart>
      <c:valAx>
        <c:axId val="1879586814"/>
        <c:scaling>
          <c:orientation val="minMax"/>
          <c:max val="300000"/>
        </c:scaling>
        <c:delete val="0"/>
        <c:axPos val="b"/>
        <c:title>
          <c:tx>
            <c:rich>
              <a:bodyPr/>
              <a:lstStyle/>
              <a:p>
                <a:pPr lvl="0">
                  <a:defRPr sz="1800"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800" b="1" i="0">
                    <a:solidFill>
                      <a:srgbClr val="000000"/>
                    </a:solidFill>
                    <a:latin typeface="+mn-lt"/>
                  </a:rPr>
                  <a:t>Value of Ceiling Ratio</a:t>
                </a:r>
              </a:p>
            </c:rich>
          </c:tx>
          <c:layout>
            <c:manualLayout>
              <c:xMode val="edge"/>
              <c:yMode val="edge"/>
              <c:x val="0.41763692249285633"/>
              <c:y val="0.9589123469102121"/>
            </c:manualLayout>
          </c:layout>
          <c:overlay val="0"/>
        </c:title>
        <c:numFmt formatCode="&quot;$&quot;#,##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16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943814258"/>
        <c:crosses val="autoZero"/>
        <c:crossBetween val="midCat"/>
      </c:valAx>
      <c:valAx>
        <c:axId val="943814258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lvl="0">
                  <a:defRPr sz="2000"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2000" b="1" i="0">
                    <a:solidFill>
                      <a:srgbClr val="000000"/>
                    </a:solidFill>
                    <a:latin typeface="+mn-lt"/>
                  </a:rPr>
                  <a:t>Probability Cost-Effective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18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879586814"/>
        <c:crosses val="autoZero"/>
        <c:crossBetween val="midCat"/>
      </c:valAx>
    </c:plotArea>
    <c:legend>
      <c:legendPos val="t"/>
      <c:overlay val="0"/>
      <c:txPr>
        <a:bodyPr/>
        <a:lstStyle/>
        <a:p>
          <a:pPr lvl="0">
            <a:defRPr sz="1400" b="0" i="0">
              <a:solidFill>
                <a:srgbClr val="000000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20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Incremental Cost-Effectiveness Plane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5000"/>
                </a:schemeClr>
              </a:solidFill>
              <a:ln w="317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PSA!$AG$14:$AG$1013</c:f>
              <c:numCache>
                <c:formatCode>General</c:formatCode>
                <c:ptCount val="1000"/>
                <c:pt idx="0">
                  <c:v>0.38284397607966447</c:v>
                </c:pt>
                <c:pt idx="1">
                  <c:v>0.35608129966130297</c:v>
                </c:pt>
                <c:pt idx="2">
                  <c:v>0.16085609884095975</c:v>
                </c:pt>
                <c:pt idx="3">
                  <c:v>3.4504159255624778E-2</c:v>
                </c:pt>
                <c:pt idx="4">
                  <c:v>0.40721114007046522</c:v>
                </c:pt>
                <c:pt idx="5">
                  <c:v>0.15796413192438941</c:v>
                </c:pt>
                <c:pt idx="6">
                  <c:v>5.7098807151071629E-2</c:v>
                </c:pt>
                <c:pt idx="7">
                  <c:v>8.6705173789507484E-2</c:v>
                </c:pt>
                <c:pt idx="8">
                  <c:v>4.5752633038927293E-2</c:v>
                </c:pt>
                <c:pt idx="9">
                  <c:v>5.4734655496933904E-2</c:v>
                </c:pt>
                <c:pt idx="10">
                  <c:v>0.27004331956426508</c:v>
                </c:pt>
                <c:pt idx="11">
                  <c:v>0.27526442372822979</c:v>
                </c:pt>
                <c:pt idx="12">
                  <c:v>0.20891514403507205</c:v>
                </c:pt>
                <c:pt idx="13">
                  <c:v>0.3806469594143107</c:v>
                </c:pt>
                <c:pt idx="14">
                  <c:v>0.32365798053449302</c:v>
                </c:pt>
                <c:pt idx="15">
                  <c:v>-0.38018495365253635</c:v>
                </c:pt>
                <c:pt idx="16">
                  <c:v>2.4822416449625795E-2</c:v>
                </c:pt>
                <c:pt idx="17">
                  <c:v>0.32005269232674216</c:v>
                </c:pt>
                <c:pt idx="18">
                  <c:v>4.5001927949877008E-3</c:v>
                </c:pt>
                <c:pt idx="19">
                  <c:v>0.29023838924059131</c:v>
                </c:pt>
                <c:pt idx="20">
                  <c:v>0.1390454577400968</c:v>
                </c:pt>
                <c:pt idx="21">
                  <c:v>-2.4696170068978951E-2</c:v>
                </c:pt>
                <c:pt idx="22">
                  <c:v>8.2023764857183767E-2</c:v>
                </c:pt>
                <c:pt idx="23">
                  <c:v>8.1328909583689324E-2</c:v>
                </c:pt>
                <c:pt idx="24">
                  <c:v>0.26415761480098565</c:v>
                </c:pt>
                <c:pt idx="25">
                  <c:v>0.1822621117955201</c:v>
                </c:pt>
                <c:pt idx="26">
                  <c:v>0.40967276427277044</c:v>
                </c:pt>
                <c:pt idx="27">
                  <c:v>0.425532764861972</c:v>
                </c:pt>
                <c:pt idx="28">
                  <c:v>0.44386954279435287</c:v>
                </c:pt>
                <c:pt idx="29">
                  <c:v>-0.13914284080518202</c:v>
                </c:pt>
                <c:pt idx="30">
                  <c:v>1.1926806599413364E-2</c:v>
                </c:pt>
                <c:pt idx="31">
                  <c:v>9.5242252074296374E-2</c:v>
                </c:pt>
                <c:pt idx="32">
                  <c:v>0.31005676485890232</c:v>
                </c:pt>
                <c:pt idx="33">
                  <c:v>0.33617628696407875</c:v>
                </c:pt>
                <c:pt idx="34">
                  <c:v>-0.14420122396057566</c:v>
                </c:pt>
                <c:pt idx="35">
                  <c:v>7.9160968395010745E-2</c:v>
                </c:pt>
                <c:pt idx="36">
                  <c:v>2.0917178839596318E-2</c:v>
                </c:pt>
                <c:pt idx="37">
                  <c:v>0.32383169012839685</c:v>
                </c:pt>
                <c:pt idx="38">
                  <c:v>0.28768963730915154</c:v>
                </c:pt>
                <c:pt idx="39">
                  <c:v>0.3807452391296331</c:v>
                </c:pt>
                <c:pt idx="40">
                  <c:v>0.26055036093767914</c:v>
                </c:pt>
                <c:pt idx="41">
                  <c:v>0.21987702717640678</c:v>
                </c:pt>
                <c:pt idx="42">
                  <c:v>0.13910841766471238</c:v>
                </c:pt>
                <c:pt idx="43">
                  <c:v>0.19095036286774425</c:v>
                </c:pt>
                <c:pt idx="44">
                  <c:v>0.31568862123390362</c:v>
                </c:pt>
                <c:pt idx="45">
                  <c:v>0.16138983406588281</c:v>
                </c:pt>
                <c:pt idx="46">
                  <c:v>-1.394085315151683E-2</c:v>
                </c:pt>
                <c:pt idx="47">
                  <c:v>5.3658835352482281E-2</c:v>
                </c:pt>
                <c:pt idx="48">
                  <c:v>-0.1398429618727639</c:v>
                </c:pt>
                <c:pt idx="49">
                  <c:v>0.10923845349957384</c:v>
                </c:pt>
                <c:pt idx="50">
                  <c:v>0.54358460548556309</c:v>
                </c:pt>
                <c:pt idx="51">
                  <c:v>6.3631200769254104E-2</c:v>
                </c:pt>
                <c:pt idx="52">
                  <c:v>0.29785022029293229</c:v>
                </c:pt>
                <c:pt idx="53">
                  <c:v>0.20781513206131086</c:v>
                </c:pt>
                <c:pt idx="54">
                  <c:v>-7.0482309568526968E-2</c:v>
                </c:pt>
                <c:pt idx="55">
                  <c:v>8.0135395992909864E-2</c:v>
                </c:pt>
                <c:pt idx="56">
                  <c:v>-8.1898824893338329E-2</c:v>
                </c:pt>
                <c:pt idx="57">
                  <c:v>0.31504211268849369</c:v>
                </c:pt>
                <c:pt idx="58">
                  <c:v>-1.2152578823609428E-2</c:v>
                </c:pt>
                <c:pt idx="59">
                  <c:v>0.41901698754815975</c:v>
                </c:pt>
                <c:pt idx="60">
                  <c:v>-0.20974153480863889</c:v>
                </c:pt>
                <c:pt idx="61">
                  <c:v>-6.2015383933355483E-2</c:v>
                </c:pt>
                <c:pt idx="62">
                  <c:v>4.1174476788033765E-2</c:v>
                </c:pt>
                <c:pt idx="63">
                  <c:v>-1.4419625180926321E-2</c:v>
                </c:pt>
                <c:pt idx="64">
                  <c:v>0.41658927379516886</c:v>
                </c:pt>
                <c:pt idx="65">
                  <c:v>-4.1797461915048739E-2</c:v>
                </c:pt>
                <c:pt idx="66">
                  <c:v>1.0822891672970236E-2</c:v>
                </c:pt>
                <c:pt idx="67">
                  <c:v>0.14944241264556357</c:v>
                </c:pt>
                <c:pt idx="68">
                  <c:v>3.5968906562784397E-3</c:v>
                </c:pt>
                <c:pt idx="69">
                  <c:v>0.30011039449337273</c:v>
                </c:pt>
                <c:pt idx="70">
                  <c:v>1.3147799865483645E-2</c:v>
                </c:pt>
                <c:pt idx="71">
                  <c:v>0.31776706601488014</c:v>
                </c:pt>
                <c:pt idx="72">
                  <c:v>-0.10557742331690756</c:v>
                </c:pt>
                <c:pt idx="73">
                  <c:v>9.5181357999499561E-2</c:v>
                </c:pt>
                <c:pt idx="74">
                  <c:v>0.29857066591747872</c:v>
                </c:pt>
                <c:pt idx="75">
                  <c:v>0.20360302609997127</c:v>
                </c:pt>
                <c:pt idx="76">
                  <c:v>0.17378308982592561</c:v>
                </c:pt>
                <c:pt idx="77">
                  <c:v>0.2539879674550356</c:v>
                </c:pt>
                <c:pt idx="78">
                  <c:v>-0.12958172985390082</c:v>
                </c:pt>
                <c:pt idx="79">
                  <c:v>-1.9668960942136771E-2</c:v>
                </c:pt>
                <c:pt idx="80">
                  <c:v>0.14842010999771427</c:v>
                </c:pt>
                <c:pt idx="81">
                  <c:v>3.2738470644399609E-2</c:v>
                </c:pt>
                <c:pt idx="82">
                  <c:v>0.18001660269807074</c:v>
                </c:pt>
                <c:pt idx="83">
                  <c:v>-6.8421884033104341E-2</c:v>
                </c:pt>
                <c:pt idx="84">
                  <c:v>0.26902005431840292</c:v>
                </c:pt>
                <c:pt idx="85">
                  <c:v>0.4372408889078816</c:v>
                </c:pt>
                <c:pt idx="86">
                  <c:v>0.52548228956329046</c:v>
                </c:pt>
                <c:pt idx="87">
                  <c:v>0.36509574661105715</c:v>
                </c:pt>
                <c:pt idx="88">
                  <c:v>0.2894633410297498</c:v>
                </c:pt>
                <c:pt idx="89">
                  <c:v>9.918562330562386E-2</c:v>
                </c:pt>
                <c:pt idx="90">
                  <c:v>9.4409699930020352E-4</c:v>
                </c:pt>
                <c:pt idx="91">
                  <c:v>-0.1233459994208026</c:v>
                </c:pt>
                <c:pt idx="92">
                  <c:v>0.2777498074775191</c:v>
                </c:pt>
                <c:pt idx="93">
                  <c:v>-6.0873354268378144E-3</c:v>
                </c:pt>
                <c:pt idx="94">
                  <c:v>0.35496746949325519</c:v>
                </c:pt>
                <c:pt idx="95">
                  <c:v>0.15491270187757467</c:v>
                </c:pt>
                <c:pt idx="96">
                  <c:v>0.12318699375975806</c:v>
                </c:pt>
                <c:pt idx="97">
                  <c:v>0.10416246698763487</c:v>
                </c:pt>
                <c:pt idx="98">
                  <c:v>7.3512544188457429E-2</c:v>
                </c:pt>
                <c:pt idx="99">
                  <c:v>-3.4150818582392439E-2</c:v>
                </c:pt>
                <c:pt idx="100">
                  <c:v>-0.11702278836315561</c:v>
                </c:pt>
                <c:pt idx="101">
                  <c:v>0.38882934451082241</c:v>
                </c:pt>
                <c:pt idx="102">
                  <c:v>0.26666351956999712</c:v>
                </c:pt>
                <c:pt idx="103">
                  <c:v>2.1725401413687173E-2</c:v>
                </c:pt>
                <c:pt idx="104">
                  <c:v>6.8970035317520217E-2</c:v>
                </c:pt>
                <c:pt idx="105">
                  <c:v>2.296981473132087E-2</c:v>
                </c:pt>
                <c:pt idx="106">
                  <c:v>0.17983868633621336</c:v>
                </c:pt>
                <c:pt idx="107">
                  <c:v>0.21626091991287533</c:v>
                </c:pt>
                <c:pt idx="108">
                  <c:v>0.50476902009927693</c:v>
                </c:pt>
                <c:pt idx="109">
                  <c:v>-0.15448343476866588</c:v>
                </c:pt>
                <c:pt idx="110">
                  <c:v>0.18120059514938802</c:v>
                </c:pt>
                <c:pt idx="111">
                  <c:v>-5.0726769822606155E-2</c:v>
                </c:pt>
                <c:pt idx="112">
                  <c:v>-0.15045941696280085</c:v>
                </c:pt>
                <c:pt idx="113">
                  <c:v>-6.2222070942823393E-3</c:v>
                </c:pt>
                <c:pt idx="114">
                  <c:v>0.16472290932889821</c:v>
                </c:pt>
                <c:pt idx="115">
                  <c:v>0.11983280511911154</c:v>
                </c:pt>
                <c:pt idx="116">
                  <c:v>7.9396448120239604E-2</c:v>
                </c:pt>
                <c:pt idx="117">
                  <c:v>0.34970594795791499</c:v>
                </c:pt>
                <c:pt idx="118">
                  <c:v>0.29357549030128327</c:v>
                </c:pt>
                <c:pt idx="119">
                  <c:v>6.0549765376523901E-2</c:v>
                </c:pt>
                <c:pt idx="120">
                  <c:v>0.27613046721166334</c:v>
                </c:pt>
                <c:pt idx="121">
                  <c:v>0.30722033100473567</c:v>
                </c:pt>
                <c:pt idx="122">
                  <c:v>-0.10596376189925261</c:v>
                </c:pt>
                <c:pt idx="123">
                  <c:v>0.43546400612695324</c:v>
                </c:pt>
                <c:pt idx="124">
                  <c:v>-0.10559421895813026</c:v>
                </c:pt>
                <c:pt idx="125">
                  <c:v>-0.12528735377026834</c:v>
                </c:pt>
                <c:pt idx="126">
                  <c:v>0.42341685269119766</c:v>
                </c:pt>
                <c:pt idx="127">
                  <c:v>0.2691391073028222</c:v>
                </c:pt>
                <c:pt idx="128">
                  <c:v>-5.1138575683341791E-2</c:v>
                </c:pt>
                <c:pt idx="129">
                  <c:v>0.3561741243435872</c:v>
                </c:pt>
                <c:pt idx="130">
                  <c:v>0.23770019724738356</c:v>
                </c:pt>
                <c:pt idx="131">
                  <c:v>0.48805414570243988</c:v>
                </c:pt>
                <c:pt idx="132">
                  <c:v>0.21495685734363379</c:v>
                </c:pt>
                <c:pt idx="133">
                  <c:v>0.12636337469771064</c:v>
                </c:pt>
                <c:pt idx="134">
                  <c:v>-0.1724028081145792</c:v>
                </c:pt>
                <c:pt idx="135">
                  <c:v>0.28284962952796988</c:v>
                </c:pt>
                <c:pt idx="136">
                  <c:v>0.23362031960298202</c:v>
                </c:pt>
                <c:pt idx="137">
                  <c:v>4.599311587936139E-3</c:v>
                </c:pt>
                <c:pt idx="138">
                  <c:v>0.29078606431393172</c:v>
                </c:pt>
                <c:pt idx="139">
                  <c:v>-3.4504617584856234E-2</c:v>
                </c:pt>
                <c:pt idx="140">
                  <c:v>0.26307112033525692</c:v>
                </c:pt>
                <c:pt idx="141">
                  <c:v>-2.4710782614457028E-2</c:v>
                </c:pt>
                <c:pt idx="142">
                  <c:v>0.31287225513536043</c:v>
                </c:pt>
                <c:pt idx="143">
                  <c:v>0.1453811174128905</c:v>
                </c:pt>
                <c:pt idx="144">
                  <c:v>1.0154497438546795E-2</c:v>
                </c:pt>
                <c:pt idx="145">
                  <c:v>0.29766486726882802</c:v>
                </c:pt>
                <c:pt idx="146">
                  <c:v>-5.3863545531788848E-2</c:v>
                </c:pt>
                <c:pt idx="147">
                  <c:v>-0.20619208525215793</c:v>
                </c:pt>
                <c:pt idx="148">
                  <c:v>-0.15900004837675441</c:v>
                </c:pt>
                <c:pt idx="149">
                  <c:v>0.19338544399818636</c:v>
                </c:pt>
                <c:pt idx="150">
                  <c:v>-6.9328497434867131E-2</c:v>
                </c:pt>
                <c:pt idx="151">
                  <c:v>3.9397436933781282E-2</c:v>
                </c:pt>
                <c:pt idx="152">
                  <c:v>0.15216374878608674</c:v>
                </c:pt>
                <c:pt idx="153">
                  <c:v>0.1434787295196287</c:v>
                </c:pt>
                <c:pt idx="154">
                  <c:v>6.3388924255785017E-2</c:v>
                </c:pt>
                <c:pt idx="155">
                  <c:v>0.12070695187134373</c:v>
                </c:pt>
                <c:pt idx="156">
                  <c:v>0.60778358537144594</c:v>
                </c:pt>
                <c:pt idx="157">
                  <c:v>0.2373207889631086</c:v>
                </c:pt>
                <c:pt idx="158">
                  <c:v>0.20816751864930838</c:v>
                </c:pt>
                <c:pt idx="159">
                  <c:v>0.35669947843968597</c:v>
                </c:pt>
                <c:pt idx="160">
                  <c:v>6.2003715037031171E-3</c:v>
                </c:pt>
                <c:pt idx="161">
                  <c:v>0.19072929140066197</c:v>
                </c:pt>
                <c:pt idx="162">
                  <c:v>-4.3148194889817137E-2</c:v>
                </c:pt>
                <c:pt idx="163">
                  <c:v>0.37468747007333025</c:v>
                </c:pt>
                <c:pt idx="164">
                  <c:v>0.35474205879829945</c:v>
                </c:pt>
                <c:pt idx="165">
                  <c:v>6.5703843656762739E-2</c:v>
                </c:pt>
                <c:pt idx="166">
                  <c:v>-4.0265869524897191E-2</c:v>
                </c:pt>
                <c:pt idx="167">
                  <c:v>-3.140228475403628E-3</c:v>
                </c:pt>
                <c:pt idx="168">
                  <c:v>-5.6033488036667745E-2</c:v>
                </c:pt>
                <c:pt idx="169">
                  <c:v>0.12089744358287779</c:v>
                </c:pt>
                <c:pt idx="170">
                  <c:v>0.21048983248045428</c:v>
                </c:pt>
                <c:pt idx="171">
                  <c:v>0.19555541389913289</c:v>
                </c:pt>
                <c:pt idx="172">
                  <c:v>8.5955418074294077E-2</c:v>
                </c:pt>
                <c:pt idx="173">
                  <c:v>-9.6244468350346057E-2</c:v>
                </c:pt>
                <c:pt idx="174">
                  <c:v>-2.5668059471717353E-2</c:v>
                </c:pt>
                <c:pt idx="175">
                  <c:v>0.16907241813265861</c:v>
                </c:pt>
                <c:pt idx="176">
                  <c:v>0.41825356197197605</c:v>
                </c:pt>
                <c:pt idx="177">
                  <c:v>0.19347659664483441</c:v>
                </c:pt>
                <c:pt idx="178">
                  <c:v>-4.8039874318117626E-2</c:v>
                </c:pt>
                <c:pt idx="179">
                  <c:v>0.11124433750276586</c:v>
                </c:pt>
                <c:pt idx="180">
                  <c:v>0.10468451911138654</c:v>
                </c:pt>
                <c:pt idx="181">
                  <c:v>0.19410920700839807</c:v>
                </c:pt>
                <c:pt idx="182">
                  <c:v>1.2358518617820557E-2</c:v>
                </c:pt>
                <c:pt idx="183">
                  <c:v>0.13834640980120572</c:v>
                </c:pt>
                <c:pt idx="184">
                  <c:v>0.28767724296445918</c:v>
                </c:pt>
                <c:pt idx="185">
                  <c:v>0.26590457465533568</c:v>
                </c:pt>
                <c:pt idx="186">
                  <c:v>-9.760861535471177E-2</c:v>
                </c:pt>
                <c:pt idx="187">
                  <c:v>-0.3658888190148355</c:v>
                </c:pt>
                <c:pt idx="188">
                  <c:v>8.188076660846777E-2</c:v>
                </c:pt>
                <c:pt idx="189">
                  <c:v>0.33706797460259486</c:v>
                </c:pt>
                <c:pt idx="190">
                  <c:v>-0.21338730085625945</c:v>
                </c:pt>
                <c:pt idx="191">
                  <c:v>-2.0562906452833207E-2</c:v>
                </c:pt>
                <c:pt idx="192">
                  <c:v>0.39552955257583289</c:v>
                </c:pt>
                <c:pt idx="193">
                  <c:v>0.27543979713862443</c:v>
                </c:pt>
                <c:pt idx="194">
                  <c:v>0.22592863722064793</c:v>
                </c:pt>
                <c:pt idx="195">
                  <c:v>0.35286785196709047</c:v>
                </c:pt>
                <c:pt idx="196">
                  <c:v>-0.12608787149269141</c:v>
                </c:pt>
                <c:pt idx="197">
                  <c:v>0.13541843884546312</c:v>
                </c:pt>
                <c:pt idx="198">
                  <c:v>0.13189622223049957</c:v>
                </c:pt>
                <c:pt idx="199">
                  <c:v>7.4966276688359201E-2</c:v>
                </c:pt>
                <c:pt idx="200">
                  <c:v>0.17143260571264873</c:v>
                </c:pt>
                <c:pt idx="201">
                  <c:v>7.1021736682075343E-4</c:v>
                </c:pt>
                <c:pt idx="202">
                  <c:v>2.2918800766565717E-2</c:v>
                </c:pt>
                <c:pt idx="203">
                  <c:v>0.10023572638011036</c:v>
                </c:pt>
                <c:pt idx="204">
                  <c:v>-3.9093989233079718E-2</c:v>
                </c:pt>
                <c:pt idx="205">
                  <c:v>0.41847430319845191</c:v>
                </c:pt>
                <c:pt idx="206">
                  <c:v>0.32253051051037218</c:v>
                </c:pt>
                <c:pt idx="207">
                  <c:v>6.1459428801136085E-2</c:v>
                </c:pt>
                <c:pt idx="208">
                  <c:v>6.1307024353799644E-2</c:v>
                </c:pt>
                <c:pt idx="209">
                  <c:v>0.17185364304109196</c:v>
                </c:pt>
                <c:pt idx="210">
                  <c:v>0.46394271490284611</c:v>
                </c:pt>
                <c:pt idx="211">
                  <c:v>0.12137421488721811</c:v>
                </c:pt>
                <c:pt idx="212">
                  <c:v>0.12543096767015349</c:v>
                </c:pt>
                <c:pt idx="213">
                  <c:v>0.16127185297009072</c:v>
                </c:pt>
                <c:pt idx="214">
                  <c:v>0.13561668164692264</c:v>
                </c:pt>
                <c:pt idx="215">
                  <c:v>-7.8734604737318747E-2</c:v>
                </c:pt>
                <c:pt idx="216">
                  <c:v>6.6875113766471816E-2</c:v>
                </c:pt>
                <c:pt idx="217">
                  <c:v>-0.19171961991288855</c:v>
                </c:pt>
                <c:pt idx="218">
                  <c:v>8.4262154769849218E-2</c:v>
                </c:pt>
                <c:pt idx="219">
                  <c:v>0.22943335598320802</c:v>
                </c:pt>
                <c:pt idx="220">
                  <c:v>-8.3686038873356683E-2</c:v>
                </c:pt>
                <c:pt idx="221">
                  <c:v>0.1653622207641372</c:v>
                </c:pt>
                <c:pt idx="222">
                  <c:v>0.24504349048925844</c:v>
                </c:pt>
                <c:pt idx="223">
                  <c:v>8.6352206279773469E-2</c:v>
                </c:pt>
                <c:pt idx="224">
                  <c:v>0.35083731618464986</c:v>
                </c:pt>
                <c:pt idx="225">
                  <c:v>5.9238216362442309E-2</c:v>
                </c:pt>
                <c:pt idx="226">
                  <c:v>0.11812525947654517</c:v>
                </c:pt>
                <c:pt idx="227">
                  <c:v>0.10462309523720847</c:v>
                </c:pt>
                <c:pt idx="228">
                  <c:v>0.29820613862740775</c:v>
                </c:pt>
                <c:pt idx="229">
                  <c:v>6.4887760667769356E-2</c:v>
                </c:pt>
                <c:pt idx="230">
                  <c:v>0.17087008824292038</c:v>
                </c:pt>
                <c:pt idx="231">
                  <c:v>0.61994573855606205</c:v>
                </c:pt>
                <c:pt idx="232">
                  <c:v>-0.12722078059145536</c:v>
                </c:pt>
                <c:pt idx="233">
                  <c:v>-5.3986625382745679E-2</c:v>
                </c:pt>
                <c:pt idx="234">
                  <c:v>-7.0789245139470047E-2</c:v>
                </c:pt>
                <c:pt idx="235">
                  <c:v>-1.4040903680271111E-2</c:v>
                </c:pt>
                <c:pt idx="236">
                  <c:v>4.9986357378076995E-2</c:v>
                </c:pt>
                <c:pt idx="237">
                  <c:v>0.12940081222771926</c:v>
                </c:pt>
                <c:pt idx="238">
                  <c:v>0.50830924995533344</c:v>
                </c:pt>
                <c:pt idx="239">
                  <c:v>0.2886332550416264</c:v>
                </c:pt>
                <c:pt idx="240">
                  <c:v>9.10215679390034E-2</c:v>
                </c:pt>
                <c:pt idx="241">
                  <c:v>5.4136872395968538E-2</c:v>
                </c:pt>
                <c:pt idx="242">
                  <c:v>-0.16534477822537674</c:v>
                </c:pt>
                <c:pt idx="243">
                  <c:v>0.30500927696673807</c:v>
                </c:pt>
                <c:pt idx="244">
                  <c:v>-0.15512601466240517</c:v>
                </c:pt>
                <c:pt idx="245">
                  <c:v>0.11467695704398428</c:v>
                </c:pt>
                <c:pt idx="246">
                  <c:v>0.25773706049076717</c:v>
                </c:pt>
                <c:pt idx="247">
                  <c:v>2.3272566190950528E-2</c:v>
                </c:pt>
                <c:pt idx="248">
                  <c:v>0.28967454372449764</c:v>
                </c:pt>
                <c:pt idx="249">
                  <c:v>-0.16342493038485895</c:v>
                </c:pt>
                <c:pt idx="250">
                  <c:v>0.22866506691118715</c:v>
                </c:pt>
                <c:pt idx="251">
                  <c:v>0.43364823527593099</c:v>
                </c:pt>
                <c:pt idx="252">
                  <c:v>6.8431938274799542E-2</c:v>
                </c:pt>
                <c:pt idx="253">
                  <c:v>0.27979326306704344</c:v>
                </c:pt>
                <c:pt idx="254">
                  <c:v>0.27603438661359947</c:v>
                </c:pt>
                <c:pt idx="255">
                  <c:v>0.20755386619928462</c:v>
                </c:pt>
                <c:pt idx="256">
                  <c:v>0.18369122359736467</c:v>
                </c:pt>
                <c:pt idx="257">
                  <c:v>-4.729848868612585E-2</c:v>
                </c:pt>
                <c:pt idx="258">
                  <c:v>0.10207409030554837</c:v>
                </c:pt>
                <c:pt idx="259">
                  <c:v>0.18483806963089222</c:v>
                </c:pt>
                <c:pt idx="260">
                  <c:v>-0.1959077191173475</c:v>
                </c:pt>
                <c:pt idx="261">
                  <c:v>0.21704934276270693</c:v>
                </c:pt>
                <c:pt idx="262">
                  <c:v>7.3987772265242668E-3</c:v>
                </c:pt>
                <c:pt idx="263">
                  <c:v>5.3985107920734521E-2</c:v>
                </c:pt>
                <c:pt idx="264">
                  <c:v>-5.1134442788336454E-2</c:v>
                </c:pt>
                <c:pt idx="265">
                  <c:v>-9.5570419519098948E-2</c:v>
                </c:pt>
                <c:pt idx="266">
                  <c:v>0.14096573244899879</c:v>
                </c:pt>
                <c:pt idx="267">
                  <c:v>0.23712193178893504</c:v>
                </c:pt>
                <c:pt idx="268">
                  <c:v>0.35148810859793578</c:v>
                </c:pt>
                <c:pt idx="269">
                  <c:v>0.25660225973413109</c:v>
                </c:pt>
                <c:pt idx="270">
                  <c:v>-0.10393856606705887</c:v>
                </c:pt>
                <c:pt idx="271">
                  <c:v>0.35996796651533725</c:v>
                </c:pt>
                <c:pt idx="272">
                  <c:v>0.37256397223235016</c:v>
                </c:pt>
                <c:pt idx="273">
                  <c:v>0.30325337821285769</c:v>
                </c:pt>
                <c:pt idx="274">
                  <c:v>0.41540525031392761</c:v>
                </c:pt>
                <c:pt idx="275">
                  <c:v>0.20653924470327967</c:v>
                </c:pt>
                <c:pt idx="276">
                  <c:v>0.5143220570863698</c:v>
                </c:pt>
                <c:pt idx="277">
                  <c:v>0.27154614870704163</c:v>
                </c:pt>
                <c:pt idx="278">
                  <c:v>8.0080900542215616E-2</c:v>
                </c:pt>
                <c:pt idx="279">
                  <c:v>1.7159496856854251E-2</c:v>
                </c:pt>
                <c:pt idx="280">
                  <c:v>0.30789777921001171</c:v>
                </c:pt>
                <c:pt idx="281">
                  <c:v>0.17942053633364852</c:v>
                </c:pt>
                <c:pt idx="282">
                  <c:v>-0.15878129889439041</c:v>
                </c:pt>
                <c:pt idx="283">
                  <c:v>3.0116827006949176E-2</c:v>
                </c:pt>
                <c:pt idx="284">
                  <c:v>9.6938046434518199E-2</c:v>
                </c:pt>
                <c:pt idx="285">
                  <c:v>0.19007558533481328</c:v>
                </c:pt>
                <c:pt idx="286">
                  <c:v>0.23098483436829254</c:v>
                </c:pt>
                <c:pt idx="287">
                  <c:v>0.18092124652740793</c:v>
                </c:pt>
                <c:pt idx="288">
                  <c:v>0.27149773663525512</c:v>
                </c:pt>
                <c:pt idx="289">
                  <c:v>4.0152970897318063E-2</c:v>
                </c:pt>
                <c:pt idx="290">
                  <c:v>-7.9586155589711716E-2</c:v>
                </c:pt>
                <c:pt idx="291">
                  <c:v>0.22126944653798164</c:v>
                </c:pt>
                <c:pt idx="292">
                  <c:v>6.0191051733198275E-2</c:v>
                </c:pt>
                <c:pt idx="293">
                  <c:v>6.9673844955412623E-2</c:v>
                </c:pt>
                <c:pt idx="294">
                  <c:v>0.26985929915761986</c:v>
                </c:pt>
                <c:pt idx="295">
                  <c:v>0.36146004703860513</c:v>
                </c:pt>
                <c:pt idx="296">
                  <c:v>0.46173606382361276</c:v>
                </c:pt>
                <c:pt idx="297">
                  <c:v>0.38015291773512683</c:v>
                </c:pt>
                <c:pt idx="298">
                  <c:v>-0.19238708837737617</c:v>
                </c:pt>
                <c:pt idx="299">
                  <c:v>0.19196148723801976</c:v>
                </c:pt>
                <c:pt idx="300">
                  <c:v>7.7065768144589875E-2</c:v>
                </c:pt>
                <c:pt idx="301">
                  <c:v>-9.8692843145352427E-2</c:v>
                </c:pt>
                <c:pt idx="302">
                  <c:v>8.9592752889771532E-2</c:v>
                </c:pt>
                <c:pt idx="303">
                  <c:v>-8.1311725681332714E-2</c:v>
                </c:pt>
                <c:pt idx="304">
                  <c:v>0.33652590806673954</c:v>
                </c:pt>
                <c:pt idx="305">
                  <c:v>4.2503495341368325E-2</c:v>
                </c:pt>
                <c:pt idx="306">
                  <c:v>6.6520208985991314E-2</c:v>
                </c:pt>
                <c:pt idx="307">
                  <c:v>0.25038758168516129</c:v>
                </c:pt>
                <c:pt idx="308">
                  <c:v>0.13064600542429661</c:v>
                </c:pt>
                <c:pt idx="309">
                  <c:v>-8.3506002371607657E-2</c:v>
                </c:pt>
                <c:pt idx="310">
                  <c:v>0.27082600433772441</c:v>
                </c:pt>
                <c:pt idx="311">
                  <c:v>0.18045116229471159</c:v>
                </c:pt>
                <c:pt idx="312">
                  <c:v>0.12166871200304286</c:v>
                </c:pt>
                <c:pt idx="313">
                  <c:v>5.5854643965419282E-2</c:v>
                </c:pt>
                <c:pt idx="314">
                  <c:v>7.8142544729200569E-2</c:v>
                </c:pt>
                <c:pt idx="315">
                  <c:v>0.29129284073174011</c:v>
                </c:pt>
                <c:pt idx="316">
                  <c:v>0.15435841419725982</c:v>
                </c:pt>
                <c:pt idx="317">
                  <c:v>2.8335713549942909E-4</c:v>
                </c:pt>
                <c:pt idx="318">
                  <c:v>0.10047621125384376</c:v>
                </c:pt>
                <c:pt idx="319">
                  <c:v>-7.3537066678548424E-2</c:v>
                </c:pt>
                <c:pt idx="320">
                  <c:v>0.43639899087355527</c:v>
                </c:pt>
                <c:pt idx="321">
                  <c:v>4.5950440687683614E-2</c:v>
                </c:pt>
                <c:pt idx="322">
                  <c:v>0.37564200697778105</c:v>
                </c:pt>
                <c:pt idx="323">
                  <c:v>0.10875245718629456</c:v>
                </c:pt>
                <c:pt idx="324">
                  <c:v>0.22251678570381905</c:v>
                </c:pt>
                <c:pt idx="325">
                  <c:v>7.2144811444936785E-2</c:v>
                </c:pt>
                <c:pt idx="326">
                  <c:v>2.2275127233015724E-2</c:v>
                </c:pt>
                <c:pt idx="327">
                  <c:v>-6.7862131763636757E-2</c:v>
                </c:pt>
                <c:pt idx="328">
                  <c:v>0.18291500070297317</c:v>
                </c:pt>
                <c:pt idx="329">
                  <c:v>0.20260542862421493</c:v>
                </c:pt>
                <c:pt idx="330">
                  <c:v>-0.21853577165991656</c:v>
                </c:pt>
                <c:pt idx="331">
                  <c:v>6.2876417441867005E-2</c:v>
                </c:pt>
                <c:pt idx="332">
                  <c:v>0.34849786565512852</c:v>
                </c:pt>
                <c:pt idx="333">
                  <c:v>0.20682575940776271</c:v>
                </c:pt>
                <c:pt idx="334">
                  <c:v>-0.15190545406543787</c:v>
                </c:pt>
                <c:pt idx="335">
                  <c:v>-8.7101626163184065E-2</c:v>
                </c:pt>
                <c:pt idx="336">
                  <c:v>0.1728609677521491</c:v>
                </c:pt>
                <c:pt idx="337">
                  <c:v>-0.14390440859404352</c:v>
                </c:pt>
                <c:pt idx="338">
                  <c:v>-3.6889785540897613E-2</c:v>
                </c:pt>
                <c:pt idx="339">
                  <c:v>0.22354909887553864</c:v>
                </c:pt>
                <c:pt idx="340">
                  <c:v>0.10438221672185088</c:v>
                </c:pt>
                <c:pt idx="341">
                  <c:v>-0.24369207598285669</c:v>
                </c:pt>
                <c:pt idx="342">
                  <c:v>0.27701254991851476</c:v>
                </c:pt>
                <c:pt idx="343">
                  <c:v>0.27775667868282561</c:v>
                </c:pt>
                <c:pt idx="344">
                  <c:v>6.9255977190993079E-2</c:v>
                </c:pt>
                <c:pt idx="345">
                  <c:v>0.43132322954426217</c:v>
                </c:pt>
                <c:pt idx="346">
                  <c:v>-0.15116687808873008</c:v>
                </c:pt>
                <c:pt idx="347">
                  <c:v>0.24601856823656565</c:v>
                </c:pt>
                <c:pt idx="348">
                  <c:v>-2.8598864730314144E-2</c:v>
                </c:pt>
                <c:pt idx="349">
                  <c:v>4.6097768573334807E-2</c:v>
                </c:pt>
                <c:pt idx="350">
                  <c:v>0.19370648951820835</c:v>
                </c:pt>
                <c:pt idx="351">
                  <c:v>0.1069726722345985</c:v>
                </c:pt>
                <c:pt idx="352">
                  <c:v>3.0698569208492898E-2</c:v>
                </c:pt>
                <c:pt idx="353">
                  <c:v>0.16598772975368092</c:v>
                </c:pt>
                <c:pt idx="354">
                  <c:v>0.41317078547162067</c:v>
                </c:pt>
                <c:pt idx="355">
                  <c:v>-0.11245194502434996</c:v>
                </c:pt>
                <c:pt idx="356">
                  <c:v>0.13392833370305013</c:v>
                </c:pt>
                <c:pt idx="357">
                  <c:v>9.7599959208708231E-2</c:v>
                </c:pt>
                <c:pt idx="358">
                  <c:v>0.19913380174684292</c:v>
                </c:pt>
                <c:pt idx="359">
                  <c:v>0.14346469927203875</c:v>
                </c:pt>
                <c:pt idx="360">
                  <c:v>0.23133751123827739</c:v>
                </c:pt>
                <c:pt idx="361">
                  <c:v>8.6606592519097081E-2</c:v>
                </c:pt>
                <c:pt idx="362">
                  <c:v>0.36375756998957787</c:v>
                </c:pt>
                <c:pt idx="363">
                  <c:v>8.02666556876801E-2</c:v>
                </c:pt>
                <c:pt idx="364">
                  <c:v>0.14179958061405928</c:v>
                </c:pt>
                <c:pt idx="365">
                  <c:v>3.3739617348777173E-2</c:v>
                </c:pt>
                <c:pt idx="366">
                  <c:v>-0.22353303102617916</c:v>
                </c:pt>
                <c:pt idx="367">
                  <c:v>0.24599984568163391</c:v>
                </c:pt>
                <c:pt idx="368">
                  <c:v>-0.12503923728578226</c:v>
                </c:pt>
                <c:pt idx="369">
                  <c:v>0.32334993150916347</c:v>
                </c:pt>
                <c:pt idx="370">
                  <c:v>-0.13429960808098018</c:v>
                </c:pt>
                <c:pt idx="371">
                  <c:v>0.14377460910422002</c:v>
                </c:pt>
                <c:pt idx="372">
                  <c:v>0.48824500132982873</c:v>
                </c:pt>
                <c:pt idx="373">
                  <c:v>0.11911376156223152</c:v>
                </c:pt>
                <c:pt idx="374">
                  <c:v>0.10390424818934108</c:v>
                </c:pt>
                <c:pt idx="375">
                  <c:v>-4.665836467126816E-3</c:v>
                </c:pt>
                <c:pt idx="376">
                  <c:v>-0.12669513565414237</c:v>
                </c:pt>
                <c:pt idx="377">
                  <c:v>0.25472509188660464</c:v>
                </c:pt>
                <c:pt idx="378">
                  <c:v>0.17441714158785793</c:v>
                </c:pt>
                <c:pt idx="379">
                  <c:v>-2.6474188214189009E-2</c:v>
                </c:pt>
                <c:pt idx="380">
                  <c:v>0.33620623535940508</c:v>
                </c:pt>
                <c:pt idx="381">
                  <c:v>-1.8351543318214425E-2</c:v>
                </c:pt>
                <c:pt idx="382">
                  <c:v>0.16077350493240239</c:v>
                </c:pt>
                <c:pt idx="383">
                  <c:v>-1.9562548132220581E-2</c:v>
                </c:pt>
                <c:pt idx="384">
                  <c:v>-0.22154762000827777</c:v>
                </c:pt>
                <c:pt idx="385">
                  <c:v>0.51710851050015316</c:v>
                </c:pt>
                <c:pt idx="386">
                  <c:v>0.24278848692437727</c:v>
                </c:pt>
                <c:pt idx="387">
                  <c:v>0.45095459818079942</c:v>
                </c:pt>
                <c:pt idx="388">
                  <c:v>0.25676266170226292</c:v>
                </c:pt>
                <c:pt idx="389">
                  <c:v>-0.30988976256072043</c:v>
                </c:pt>
                <c:pt idx="390">
                  <c:v>0.26462521688748009</c:v>
                </c:pt>
                <c:pt idx="391">
                  <c:v>0.1107267543591659</c:v>
                </c:pt>
                <c:pt idx="392">
                  <c:v>-7.3384103801131584E-2</c:v>
                </c:pt>
                <c:pt idx="393">
                  <c:v>0.46750412985099876</c:v>
                </c:pt>
                <c:pt idx="394">
                  <c:v>-1.3044574650768581E-2</c:v>
                </c:pt>
                <c:pt idx="395">
                  <c:v>-3.6457578181645189E-2</c:v>
                </c:pt>
                <c:pt idx="396">
                  <c:v>0.2869563900365919</c:v>
                </c:pt>
                <c:pt idx="397">
                  <c:v>7.2707395156686339E-2</c:v>
                </c:pt>
                <c:pt idx="398">
                  <c:v>0.32598342046750073</c:v>
                </c:pt>
                <c:pt idx="399">
                  <c:v>0.26488008225248327</c:v>
                </c:pt>
                <c:pt idx="400">
                  <c:v>1.5084142532861389E-2</c:v>
                </c:pt>
                <c:pt idx="401">
                  <c:v>-6.7142150549602597E-2</c:v>
                </c:pt>
                <c:pt idx="402">
                  <c:v>-0.25397856538812613</c:v>
                </c:pt>
                <c:pt idx="403">
                  <c:v>7.1258929307415286E-2</c:v>
                </c:pt>
                <c:pt idx="404">
                  <c:v>0.33717773076291602</c:v>
                </c:pt>
                <c:pt idx="405">
                  <c:v>5.5215039464284743E-3</c:v>
                </c:pt>
                <c:pt idx="406">
                  <c:v>0.10241584930061842</c:v>
                </c:pt>
                <c:pt idx="407">
                  <c:v>1.4022069448011543E-2</c:v>
                </c:pt>
                <c:pt idx="408">
                  <c:v>0.2768294009770389</c:v>
                </c:pt>
                <c:pt idx="409">
                  <c:v>0.11857952319025289</c:v>
                </c:pt>
                <c:pt idx="410">
                  <c:v>0.16542240980917589</c:v>
                </c:pt>
                <c:pt idx="411">
                  <c:v>0.11694641201918765</c:v>
                </c:pt>
                <c:pt idx="412">
                  <c:v>0.22923672314046373</c:v>
                </c:pt>
                <c:pt idx="413">
                  <c:v>-0.1732634530587176</c:v>
                </c:pt>
                <c:pt idx="414">
                  <c:v>-5.0534159255644084E-2</c:v>
                </c:pt>
                <c:pt idx="415">
                  <c:v>6.8537960506414475E-2</c:v>
                </c:pt>
                <c:pt idx="416">
                  <c:v>0.33077103477270553</c:v>
                </c:pt>
                <c:pt idx="417">
                  <c:v>-0.10298961978818344</c:v>
                </c:pt>
                <c:pt idx="418">
                  <c:v>0.37357126534010821</c:v>
                </c:pt>
                <c:pt idx="419">
                  <c:v>0.35756014754283871</c:v>
                </c:pt>
                <c:pt idx="420">
                  <c:v>0.1374445423439834</c:v>
                </c:pt>
                <c:pt idx="421">
                  <c:v>0.17149943166432058</c:v>
                </c:pt>
                <c:pt idx="422">
                  <c:v>0.1540520071316962</c:v>
                </c:pt>
                <c:pt idx="423">
                  <c:v>0.20466626200943638</c:v>
                </c:pt>
                <c:pt idx="424">
                  <c:v>-0.25733127451711679</c:v>
                </c:pt>
                <c:pt idx="425">
                  <c:v>-2.3105533224132557E-3</c:v>
                </c:pt>
                <c:pt idx="426">
                  <c:v>-0.21493819593515573</c:v>
                </c:pt>
                <c:pt idx="427">
                  <c:v>3.6320706684163095E-2</c:v>
                </c:pt>
                <c:pt idx="428">
                  <c:v>0.22490239847996651</c:v>
                </c:pt>
                <c:pt idx="429">
                  <c:v>0.27326649317613638</c:v>
                </c:pt>
                <c:pt idx="430">
                  <c:v>0.27991962225215605</c:v>
                </c:pt>
                <c:pt idx="431">
                  <c:v>0.46511539084551456</c:v>
                </c:pt>
                <c:pt idx="432">
                  <c:v>0.14116393592760268</c:v>
                </c:pt>
                <c:pt idx="433">
                  <c:v>0.13492771163917139</c:v>
                </c:pt>
                <c:pt idx="434">
                  <c:v>-3.16459814602843E-2</c:v>
                </c:pt>
                <c:pt idx="435">
                  <c:v>-0.11464288792152821</c:v>
                </c:pt>
                <c:pt idx="436">
                  <c:v>0.18584478521978998</c:v>
                </c:pt>
                <c:pt idx="437">
                  <c:v>0.4282999701257646</c:v>
                </c:pt>
                <c:pt idx="438">
                  <c:v>0.19084994414002576</c:v>
                </c:pt>
                <c:pt idx="439">
                  <c:v>0.26160214470163146</c:v>
                </c:pt>
                <c:pt idx="440">
                  <c:v>-0.14433590553125164</c:v>
                </c:pt>
                <c:pt idx="441">
                  <c:v>6.8715262368479912E-2</c:v>
                </c:pt>
                <c:pt idx="442">
                  <c:v>0.32430149553239263</c:v>
                </c:pt>
                <c:pt idx="443">
                  <c:v>-9.4540228765978451E-2</c:v>
                </c:pt>
                <c:pt idx="444">
                  <c:v>0.23450386631228515</c:v>
                </c:pt>
                <c:pt idx="445">
                  <c:v>0.1974718881479447</c:v>
                </c:pt>
                <c:pt idx="446">
                  <c:v>0.36083788649825843</c:v>
                </c:pt>
                <c:pt idx="447">
                  <c:v>0.38061622681286256</c:v>
                </c:pt>
                <c:pt idx="448">
                  <c:v>0.29275419553245197</c:v>
                </c:pt>
                <c:pt idx="449">
                  <c:v>3.7749041729753685E-2</c:v>
                </c:pt>
                <c:pt idx="450">
                  <c:v>0.36521294994645004</c:v>
                </c:pt>
                <c:pt idx="451">
                  <c:v>-4.9077278984707817E-2</c:v>
                </c:pt>
                <c:pt idx="452">
                  <c:v>-4.3650813199288319E-2</c:v>
                </c:pt>
                <c:pt idx="453">
                  <c:v>0.13968386682132694</c:v>
                </c:pt>
                <c:pt idx="454">
                  <c:v>0.63249202939820837</c:v>
                </c:pt>
                <c:pt idx="455">
                  <c:v>-0.14308744271376073</c:v>
                </c:pt>
                <c:pt idx="456">
                  <c:v>0.10111123067439953</c:v>
                </c:pt>
                <c:pt idx="457">
                  <c:v>0.49459351185574363</c:v>
                </c:pt>
                <c:pt idx="458">
                  <c:v>0.35511195202732759</c:v>
                </c:pt>
                <c:pt idx="459">
                  <c:v>8.4133096178094835E-2</c:v>
                </c:pt>
                <c:pt idx="460">
                  <c:v>3.6637535410906086E-2</c:v>
                </c:pt>
                <c:pt idx="461">
                  <c:v>0.34256151654680123</c:v>
                </c:pt>
                <c:pt idx="462">
                  <c:v>0.29605213834274702</c:v>
                </c:pt>
                <c:pt idx="463">
                  <c:v>0.17842099012251333</c:v>
                </c:pt>
                <c:pt idx="464">
                  <c:v>2.4648116148922927E-2</c:v>
                </c:pt>
                <c:pt idx="465">
                  <c:v>1.9790968922360097E-2</c:v>
                </c:pt>
                <c:pt idx="466">
                  <c:v>4.0317073576242812E-2</c:v>
                </c:pt>
                <c:pt idx="467">
                  <c:v>0.18120405831641628</c:v>
                </c:pt>
                <c:pt idx="468">
                  <c:v>9.3605063422543822E-3</c:v>
                </c:pt>
                <c:pt idx="469">
                  <c:v>8.8255324716484118E-2</c:v>
                </c:pt>
                <c:pt idx="470">
                  <c:v>3.2705347962203479E-2</c:v>
                </c:pt>
                <c:pt idx="471">
                  <c:v>-2.449844763155884E-2</c:v>
                </c:pt>
                <c:pt idx="472">
                  <c:v>-5.0167817275182269E-2</c:v>
                </c:pt>
                <c:pt idx="473">
                  <c:v>0.24358356949057391</c:v>
                </c:pt>
                <c:pt idx="474">
                  <c:v>0.31934488643169612</c:v>
                </c:pt>
                <c:pt idx="475">
                  <c:v>-0.14703246156560956</c:v>
                </c:pt>
                <c:pt idx="476">
                  <c:v>-8.0295860800948748E-2</c:v>
                </c:pt>
                <c:pt idx="477">
                  <c:v>0.24357219719427103</c:v>
                </c:pt>
                <c:pt idx="478">
                  <c:v>0.42378628772114713</c:v>
                </c:pt>
                <c:pt idx="479">
                  <c:v>0.24197108726927619</c:v>
                </c:pt>
                <c:pt idx="480">
                  <c:v>3.2175577316887249E-2</c:v>
                </c:pt>
                <c:pt idx="481">
                  <c:v>0.31883362358521916</c:v>
                </c:pt>
                <c:pt idx="482">
                  <c:v>4.2932225508502952E-3</c:v>
                </c:pt>
                <c:pt idx="483">
                  <c:v>5.8565858718325536E-2</c:v>
                </c:pt>
                <c:pt idx="484">
                  <c:v>-5.7305324146989189E-2</c:v>
                </c:pt>
                <c:pt idx="485">
                  <c:v>-2.9925223236098475E-2</c:v>
                </c:pt>
                <c:pt idx="486">
                  <c:v>0.13459076752854449</c:v>
                </c:pt>
                <c:pt idx="487">
                  <c:v>0.21404940944359074</c:v>
                </c:pt>
                <c:pt idx="488">
                  <c:v>0.53976364933073073</c:v>
                </c:pt>
                <c:pt idx="489">
                  <c:v>-3.1334683246292183E-2</c:v>
                </c:pt>
                <c:pt idx="490">
                  <c:v>0.39475268243695405</c:v>
                </c:pt>
                <c:pt idx="491">
                  <c:v>-0.22607208021736902</c:v>
                </c:pt>
                <c:pt idx="492">
                  <c:v>0.19759621479109368</c:v>
                </c:pt>
                <c:pt idx="493">
                  <c:v>0.13608274987745039</c:v>
                </c:pt>
                <c:pt idx="494">
                  <c:v>0.28248035717620779</c:v>
                </c:pt>
                <c:pt idx="495">
                  <c:v>0.13792100470407798</c:v>
                </c:pt>
                <c:pt idx="496">
                  <c:v>0.19394519200474925</c:v>
                </c:pt>
                <c:pt idx="497">
                  <c:v>0.30535158679094909</c:v>
                </c:pt>
                <c:pt idx="498">
                  <c:v>0.1646683192234657</c:v>
                </c:pt>
                <c:pt idx="499">
                  <c:v>0.42325434957585673</c:v>
                </c:pt>
                <c:pt idx="500">
                  <c:v>1.5883725229238532E-2</c:v>
                </c:pt>
                <c:pt idx="501">
                  <c:v>0.16002551535324105</c:v>
                </c:pt>
                <c:pt idx="502">
                  <c:v>-0.12712373744291616</c:v>
                </c:pt>
                <c:pt idx="503">
                  <c:v>-5.9593643805554208E-2</c:v>
                </c:pt>
                <c:pt idx="504">
                  <c:v>0.42876543951567081</c:v>
                </c:pt>
                <c:pt idx="505">
                  <c:v>0.14854223855189952</c:v>
                </c:pt>
                <c:pt idx="506">
                  <c:v>0.28005147205197067</c:v>
                </c:pt>
                <c:pt idx="507">
                  <c:v>0.11414586741577626</c:v>
                </c:pt>
                <c:pt idx="508">
                  <c:v>0.32307180584333661</c:v>
                </c:pt>
                <c:pt idx="509">
                  <c:v>0.50417745862022212</c:v>
                </c:pt>
                <c:pt idx="510">
                  <c:v>4.3374860088367662E-3</c:v>
                </c:pt>
                <c:pt idx="511">
                  <c:v>9.2384086692390177E-2</c:v>
                </c:pt>
                <c:pt idx="512">
                  <c:v>0.19748447245014633</c:v>
                </c:pt>
                <c:pt idx="513">
                  <c:v>0.15268227362303044</c:v>
                </c:pt>
                <c:pt idx="514">
                  <c:v>0.31202149888566533</c:v>
                </c:pt>
                <c:pt idx="515">
                  <c:v>-5.0941005251675886E-2</c:v>
                </c:pt>
                <c:pt idx="516">
                  <c:v>0.58059788563154546</c:v>
                </c:pt>
                <c:pt idx="517">
                  <c:v>-0.14496808487398294</c:v>
                </c:pt>
                <c:pt idx="518">
                  <c:v>3.0682798763436381E-2</c:v>
                </c:pt>
                <c:pt idx="519">
                  <c:v>0.45431151593947172</c:v>
                </c:pt>
                <c:pt idx="520">
                  <c:v>-4.2611520375960943E-2</c:v>
                </c:pt>
                <c:pt idx="521">
                  <c:v>6.5694956964632567E-2</c:v>
                </c:pt>
                <c:pt idx="522">
                  <c:v>-1.0399551477895397E-2</c:v>
                </c:pt>
                <c:pt idx="523">
                  <c:v>-0.19319414285064518</c:v>
                </c:pt>
                <c:pt idx="524">
                  <c:v>0.18758429721835679</c:v>
                </c:pt>
                <c:pt idx="525">
                  <c:v>0.46557815562015126</c:v>
                </c:pt>
                <c:pt idx="526">
                  <c:v>0.42319212680940588</c:v>
                </c:pt>
                <c:pt idx="527">
                  <c:v>-8.0810316967063756E-2</c:v>
                </c:pt>
                <c:pt idx="528">
                  <c:v>-2.0900088792141336E-2</c:v>
                </c:pt>
                <c:pt idx="529">
                  <c:v>6.6280536476210017E-2</c:v>
                </c:pt>
                <c:pt idx="530">
                  <c:v>0.48387099376736442</c:v>
                </c:pt>
                <c:pt idx="531">
                  <c:v>7.0593942279861821E-3</c:v>
                </c:pt>
                <c:pt idx="532">
                  <c:v>-4.9796447922421549E-2</c:v>
                </c:pt>
                <c:pt idx="533">
                  <c:v>-0.14466730537389427</c:v>
                </c:pt>
                <c:pt idx="534">
                  <c:v>0.11649690913293531</c:v>
                </c:pt>
                <c:pt idx="535">
                  <c:v>-0.10240072808551748</c:v>
                </c:pt>
                <c:pt idx="536">
                  <c:v>0.19479754716419784</c:v>
                </c:pt>
                <c:pt idx="537">
                  <c:v>0.11563982015249463</c:v>
                </c:pt>
                <c:pt idx="538">
                  <c:v>0.20659713774611355</c:v>
                </c:pt>
                <c:pt idx="539">
                  <c:v>0.40378976816743872</c:v>
                </c:pt>
                <c:pt idx="540">
                  <c:v>2.23581475540513E-2</c:v>
                </c:pt>
                <c:pt idx="541">
                  <c:v>-3.7518639228234285E-2</c:v>
                </c:pt>
                <c:pt idx="542">
                  <c:v>3.5115874628055099E-2</c:v>
                </c:pt>
                <c:pt idx="543">
                  <c:v>0.27760055452668331</c:v>
                </c:pt>
                <c:pt idx="544">
                  <c:v>0.24856721816823457</c:v>
                </c:pt>
                <c:pt idx="545">
                  <c:v>5.7329806317586662E-2</c:v>
                </c:pt>
                <c:pt idx="546">
                  <c:v>-7.5550863136171209E-3</c:v>
                </c:pt>
                <c:pt idx="547">
                  <c:v>0.11498252123224306</c:v>
                </c:pt>
                <c:pt idx="548">
                  <c:v>-0.10800395687573783</c:v>
                </c:pt>
                <c:pt idx="549">
                  <c:v>0.38858891488153668</c:v>
                </c:pt>
                <c:pt idx="550">
                  <c:v>-0.11444393307504175</c:v>
                </c:pt>
                <c:pt idx="551">
                  <c:v>0.24086320379415227</c:v>
                </c:pt>
                <c:pt idx="552">
                  <c:v>-7.8517976915794652E-2</c:v>
                </c:pt>
                <c:pt idx="553">
                  <c:v>3.4784577074748135E-2</c:v>
                </c:pt>
                <c:pt idx="554">
                  <c:v>0.21183849250475184</c:v>
                </c:pt>
                <c:pt idx="555">
                  <c:v>0.41693956639073892</c:v>
                </c:pt>
                <c:pt idx="556">
                  <c:v>0.12787815564553862</c:v>
                </c:pt>
                <c:pt idx="557">
                  <c:v>-7.0957963251176537E-2</c:v>
                </c:pt>
                <c:pt idx="558">
                  <c:v>0.53662289098301619</c:v>
                </c:pt>
                <c:pt idx="559">
                  <c:v>-0.2098688783262741</c:v>
                </c:pt>
                <c:pt idx="560">
                  <c:v>-0.10678386130036932</c:v>
                </c:pt>
                <c:pt idx="561">
                  <c:v>0.32654366809058111</c:v>
                </c:pt>
                <c:pt idx="562">
                  <c:v>0.16442251614292047</c:v>
                </c:pt>
                <c:pt idx="563">
                  <c:v>0.17537172071368046</c:v>
                </c:pt>
                <c:pt idx="564">
                  <c:v>-0.14714995229724126</c:v>
                </c:pt>
                <c:pt idx="565">
                  <c:v>0.24603493320779224</c:v>
                </c:pt>
                <c:pt idx="566">
                  <c:v>0.55096746902453253</c:v>
                </c:pt>
                <c:pt idx="567">
                  <c:v>0.20425222954571565</c:v>
                </c:pt>
                <c:pt idx="568">
                  <c:v>0.39088062266139456</c:v>
                </c:pt>
                <c:pt idx="569">
                  <c:v>0.32488408013499059</c:v>
                </c:pt>
                <c:pt idx="570">
                  <c:v>0.15183667785567767</c:v>
                </c:pt>
                <c:pt idx="571">
                  <c:v>0.31309636053733003</c:v>
                </c:pt>
                <c:pt idx="572">
                  <c:v>0.17449406038473692</c:v>
                </c:pt>
                <c:pt idx="573">
                  <c:v>0.11608229440476947</c:v>
                </c:pt>
                <c:pt idx="574">
                  <c:v>0.19565139959347499</c:v>
                </c:pt>
                <c:pt idx="575">
                  <c:v>6.4296085448225071E-2</c:v>
                </c:pt>
                <c:pt idx="576">
                  <c:v>-0.19296653794998564</c:v>
                </c:pt>
                <c:pt idx="577">
                  <c:v>5.5584380917142351E-2</c:v>
                </c:pt>
                <c:pt idx="578">
                  <c:v>0.47631824653004262</c:v>
                </c:pt>
                <c:pt idx="579">
                  <c:v>4.6918328175301838E-2</c:v>
                </c:pt>
                <c:pt idx="580">
                  <c:v>0.15294004547191742</c:v>
                </c:pt>
                <c:pt idx="581">
                  <c:v>-6.5106381101266209E-2</c:v>
                </c:pt>
                <c:pt idx="582">
                  <c:v>-0.19840557671418635</c:v>
                </c:pt>
                <c:pt idx="583">
                  <c:v>0.17847311749007577</c:v>
                </c:pt>
                <c:pt idx="584">
                  <c:v>0.22397916581376487</c:v>
                </c:pt>
                <c:pt idx="585">
                  <c:v>0.23591401096845122</c:v>
                </c:pt>
                <c:pt idx="586">
                  <c:v>1.9799730818217842E-2</c:v>
                </c:pt>
                <c:pt idx="587">
                  <c:v>-5.3458985354414512E-2</c:v>
                </c:pt>
                <c:pt idx="588">
                  <c:v>0.16489709040952416</c:v>
                </c:pt>
                <c:pt idx="589">
                  <c:v>0.13281342489197145</c:v>
                </c:pt>
                <c:pt idx="590">
                  <c:v>5.1856545591279168E-2</c:v>
                </c:pt>
                <c:pt idx="591">
                  <c:v>0.33343500300348738</c:v>
                </c:pt>
                <c:pt idx="592">
                  <c:v>-8.350666810198959E-2</c:v>
                </c:pt>
                <c:pt idx="593">
                  <c:v>0.14411435344344214</c:v>
                </c:pt>
                <c:pt idx="594">
                  <c:v>9.4260185176970435E-2</c:v>
                </c:pt>
                <c:pt idx="595">
                  <c:v>0.183428932596994</c:v>
                </c:pt>
                <c:pt idx="596">
                  <c:v>0.19456390910476529</c:v>
                </c:pt>
                <c:pt idx="597">
                  <c:v>0.19528195397889547</c:v>
                </c:pt>
                <c:pt idx="598">
                  <c:v>-8.9664082678466706E-3</c:v>
                </c:pt>
                <c:pt idx="599">
                  <c:v>0.34426380806052936</c:v>
                </c:pt>
                <c:pt idx="600">
                  <c:v>0.23747256828077967</c:v>
                </c:pt>
                <c:pt idx="601">
                  <c:v>0.13407368332088376</c:v>
                </c:pt>
                <c:pt idx="602">
                  <c:v>-0.10819344402398601</c:v>
                </c:pt>
                <c:pt idx="603">
                  <c:v>0.2948554168589137</c:v>
                </c:pt>
                <c:pt idx="604">
                  <c:v>4.6243618337000747E-2</c:v>
                </c:pt>
                <c:pt idx="605">
                  <c:v>0.14359477194264292</c:v>
                </c:pt>
                <c:pt idx="606">
                  <c:v>0.22101661997876265</c:v>
                </c:pt>
                <c:pt idx="607">
                  <c:v>6.0124530801102694E-2</c:v>
                </c:pt>
                <c:pt idx="608">
                  <c:v>3.6381944379602071E-2</c:v>
                </c:pt>
                <c:pt idx="609">
                  <c:v>-6.5843720670639705E-2</c:v>
                </c:pt>
                <c:pt idx="610">
                  <c:v>0.1860484834684315</c:v>
                </c:pt>
                <c:pt idx="611">
                  <c:v>0.12608843553703819</c:v>
                </c:pt>
                <c:pt idx="612">
                  <c:v>0.15091203275023846</c:v>
                </c:pt>
                <c:pt idx="613">
                  <c:v>2.0669089614742564E-2</c:v>
                </c:pt>
                <c:pt idx="614">
                  <c:v>0.21241513060327799</c:v>
                </c:pt>
                <c:pt idx="615">
                  <c:v>5.1519436327300827E-2</c:v>
                </c:pt>
                <c:pt idx="616">
                  <c:v>8.274701039537069E-2</c:v>
                </c:pt>
                <c:pt idx="617">
                  <c:v>0.47621598377382046</c:v>
                </c:pt>
                <c:pt idx="618">
                  <c:v>-0.17043206670778721</c:v>
                </c:pt>
                <c:pt idx="619">
                  <c:v>6.2130323868934134E-2</c:v>
                </c:pt>
                <c:pt idx="620">
                  <c:v>0.42751802724646071</c:v>
                </c:pt>
                <c:pt idx="621">
                  <c:v>-2.1347326976561831E-3</c:v>
                </c:pt>
                <c:pt idx="622">
                  <c:v>-0.25110113775486909</c:v>
                </c:pt>
                <c:pt idx="623">
                  <c:v>0.2860229311966429</c:v>
                </c:pt>
                <c:pt idx="624">
                  <c:v>0.14869819551983054</c:v>
                </c:pt>
                <c:pt idx="625">
                  <c:v>0.28454279881400968</c:v>
                </c:pt>
                <c:pt idx="626">
                  <c:v>0.27650277151612279</c:v>
                </c:pt>
                <c:pt idx="627">
                  <c:v>3.2650929063609446E-2</c:v>
                </c:pt>
                <c:pt idx="628">
                  <c:v>0.3154737483421064</c:v>
                </c:pt>
                <c:pt idx="629">
                  <c:v>0.16883569497242235</c:v>
                </c:pt>
                <c:pt idx="630">
                  <c:v>-2.5177854828207114E-2</c:v>
                </c:pt>
                <c:pt idx="631">
                  <c:v>0.11242883319762065</c:v>
                </c:pt>
                <c:pt idx="632">
                  <c:v>0.26652250684197698</c:v>
                </c:pt>
                <c:pt idx="633">
                  <c:v>0.1854315370489048</c:v>
                </c:pt>
                <c:pt idx="634">
                  <c:v>-2.736650977280064E-2</c:v>
                </c:pt>
                <c:pt idx="635">
                  <c:v>-3.5757889520040997E-2</c:v>
                </c:pt>
                <c:pt idx="636">
                  <c:v>-1.729472629624329E-2</c:v>
                </c:pt>
                <c:pt idx="637">
                  <c:v>6.8805338412832207E-2</c:v>
                </c:pt>
                <c:pt idx="638">
                  <c:v>-9.2487342796212957E-2</c:v>
                </c:pt>
                <c:pt idx="639">
                  <c:v>0.59741287933504061</c:v>
                </c:pt>
                <c:pt idx="640">
                  <c:v>-1.4127227980743395E-2</c:v>
                </c:pt>
                <c:pt idx="641">
                  <c:v>-0.12467075097093927</c:v>
                </c:pt>
                <c:pt idx="642">
                  <c:v>0.41835993366081725</c:v>
                </c:pt>
                <c:pt idx="643">
                  <c:v>0.36129593212304956</c:v>
                </c:pt>
                <c:pt idx="644">
                  <c:v>0.19018572115466936</c:v>
                </c:pt>
                <c:pt idx="645">
                  <c:v>0.29985405230592788</c:v>
                </c:pt>
                <c:pt idx="646">
                  <c:v>-6.8759747528434279E-2</c:v>
                </c:pt>
                <c:pt idx="647">
                  <c:v>0.28749547679389531</c:v>
                </c:pt>
                <c:pt idx="648">
                  <c:v>5.618714339177755E-2</c:v>
                </c:pt>
                <c:pt idx="649">
                  <c:v>0.11829288228713875</c:v>
                </c:pt>
                <c:pt idx="650">
                  <c:v>-8.561805022239799E-3</c:v>
                </c:pt>
                <c:pt idx="651">
                  <c:v>0.41796807011093362</c:v>
                </c:pt>
                <c:pt idx="652">
                  <c:v>6.2897999714909059E-2</c:v>
                </c:pt>
                <c:pt idx="653">
                  <c:v>0.44012895214587999</c:v>
                </c:pt>
                <c:pt idx="654">
                  <c:v>-0.11586352403869471</c:v>
                </c:pt>
                <c:pt idx="655">
                  <c:v>0.29771801330899939</c:v>
                </c:pt>
                <c:pt idx="656">
                  <c:v>6.9417040782267403E-2</c:v>
                </c:pt>
                <c:pt idx="657">
                  <c:v>0.45976488920263536</c:v>
                </c:pt>
                <c:pt idx="658">
                  <c:v>0.30591242191396217</c:v>
                </c:pt>
                <c:pt idx="659">
                  <c:v>0.20053511229595689</c:v>
                </c:pt>
                <c:pt idx="660">
                  <c:v>-0.14647845614140964</c:v>
                </c:pt>
                <c:pt idx="661">
                  <c:v>-0.1751713806974271</c:v>
                </c:pt>
                <c:pt idx="662">
                  <c:v>0.21196214122023616</c:v>
                </c:pt>
                <c:pt idx="663">
                  <c:v>-0.19314123347288525</c:v>
                </c:pt>
                <c:pt idx="664">
                  <c:v>1.6624171735803994E-2</c:v>
                </c:pt>
                <c:pt idx="665">
                  <c:v>-3.1652047137340045E-2</c:v>
                </c:pt>
                <c:pt idx="666">
                  <c:v>0.22836257735796073</c:v>
                </c:pt>
                <c:pt idx="667">
                  <c:v>0.33444336389204032</c:v>
                </c:pt>
                <c:pt idx="668">
                  <c:v>-7.6827923631097139E-2</c:v>
                </c:pt>
                <c:pt idx="669">
                  <c:v>0.11008322093946576</c:v>
                </c:pt>
                <c:pt idx="670">
                  <c:v>-0.22557441791166033</c:v>
                </c:pt>
                <c:pt idx="671">
                  <c:v>0.52969550141607558</c:v>
                </c:pt>
                <c:pt idx="672">
                  <c:v>0.47808162776566121</c:v>
                </c:pt>
                <c:pt idx="673">
                  <c:v>0.12837488658526386</c:v>
                </c:pt>
                <c:pt idx="674">
                  <c:v>-4.7660175325112686E-2</c:v>
                </c:pt>
                <c:pt idx="675">
                  <c:v>7.3018259540450714E-2</c:v>
                </c:pt>
                <c:pt idx="676">
                  <c:v>0.21222601913460748</c:v>
                </c:pt>
                <c:pt idx="677">
                  <c:v>0.17833185715267197</c:v>
                </c:pt>
                <c:pt idx="678">
                  <c:v>0.25349993075835453</c:v>
                </c:pt>
                <c:pt idx="679">
                  <c:v>-0.1906177775092468</c:v>
                </c:pt>
                <c:pt idx="680">
                  <c:v>6.274338204815999E-2</c:v>
                </c:pt>
                <c:pt idx="681">
                  <c:v>6.5690569852502989E-2</c:v>
                </c:pt>
                <c:pt idx="682">
                  <c:v>0.13390082046223872</c:v>
                </c:pt>
                <c:pt idx="683">
                  <c:v>-2.9987640130508364E-2</c:v>
                </c:pt>
                <c:pt idx="684">
                  <c:v>-3.6711226495043103E-2</c:v>
                </c:pt>
                <c:pt idx="685">
                  <c:v>0.21978649945228579</c:v>
                </c:pt>
                <c:pt idx="686">
                  <c:v>-0.27782324271770564</c:v>
                </c:pt>
                <c:pt idx="687">
                  <c:v>-3.3087169531836214E-2</c:v>
                </c:pt>
                <c:pt idx="688">
                  <c:v>-4.1474064326775029E-2</c:v>
                </c:pt>
                <c:pt idx="689">
                  <c:v>0.1211783200959009</c:v>
                </c:pt>
                <c:pt idx="690">
                  <c:v>0.47770991681196762</c:v>
                </c:pt>
                <c:pt idx="691">
                  <c:v>0.21241467559178195</c:v>
                </c:pt>
                <c:pt idx="692">
                  <c:v>0.12354154516293114</c:v>
                </c:pt>
                <c:pt idx="693">
                  <c:v>-5.819105057454399E-2</c:v>
                </c:pt>
                <c:pt idx="694">
                  <c:v>0.35374011537464822</c:v>
                </c:pt>
                <c:pt idx="695">
                  <c:v>-4.2755655447048735E-2</c:v>
                </c:pt>
                <c:pt idx="696">
                  <c:v>0.28507664679975075</c:v>
                </c:pt>
                <c:pt idx="697">
                  <c:v>3.2192733361734227E-2</c:v>
                </c:pt>
                <c:pt idx="698">
                  <c:v>-1.5157804600529623E-3</c:v>
                </c:pt>
                <c:pt idx="699">
                  <c:v>5.7053604174583938E-2</c:v>
                </c:pt>
                <c:pt idx="700">
                  <c:v>0.12445344170574968</c:v>
                </c:pt>
                <c:pt idx="701">
                  <c:v>0.25793481360839499</c:v>
                </c:pt>
                <c:pt idx="702">
                  <c:v>5.4331503926556834E-2</c:v>
                </c:pt>
                <c:pt idx="703">
                  <c:v>0.57850554246748054</c:v>
                </c:pt>
                <c:pt idx="704">
                  <c:v>-8.5878766537387907E-2</c:v>
                </c:pt>
                <c:pt idx="705">
                  <c:v>0.1184706084873568</c:v>
                </c:pt>
                <c:pt idx="706">
                  <c:v>-0.16482858236134712</c:v>
                </c:pt>
                <c:pt idx="707">
                  <c:v>-9.17432690157578E-2</c:v>
                </c:pt>
                <c:pt idx="708">
                  <c:v>-3.3208710087215376E-2</c:v>
                </c:pt>
                <c:pt idx="709">
                  <c:v>0.10923433246875058</c:v>
                </c:pt>
                <c:pt idx="710">
                  <c:v>1.1086883556608029E-2</c:v>
                </c:pt>
                <c:pt idx="711">
                  <c:v>0.25627514896157733</c:v>
                </c:pt>
                <c:pt idx="712">
                  <c:v>-9.3531746114425829E-3</c:v>
                </c:pt>
                <c:pt idx="713">
                  <c:v>0.35455164906406367</c:v>
                </c:pt>
                <c:pt idx="714">
                  <c:v>0.16185491789715156</c:v>
                </c:pt>
                <c:pt idx="715">
                  <c:v>-0.37715630002111178</c:v>
                </c:pt>
                <c:pt idx="716">
                  <c:v>0.23257957012554398</c:v>
                </c:pt>
                <c:pt idx="717">
                  <c:v>0.25538326501603104</c:v>
                </c:pt>
                <c:pt idx="718">
                  <c:v>0.12453620101762652</c:v>
                </c:pt>
                <c:pt idx="719">
                  <c:v>-2.4336377915114227E-2</c:v>
                </c:pt>
                <c:pt idx="720">
                  <c:v>-3.7179131851187819E-2</c:v>
                </c:pt>
                <c:pt idx="721">
                  <c:v>4.5975002741482918E-2</c:v>
                </c:pt>
                <c:pt idx="722">
                  <c:v>0.3379762719040329</c:v>
                </c:pt>
                <c:pt idx="723">
                  <c:v>0.25848167777585607</c:v>
                </c:pt>
                <c:pt idx="724">
                  <c:v>0.22101182664447094</c:v>
                </c:pt>
                <c:pt idx="725">
                  <c:v>-3.2188978654432709E-2</c:v>
                </c:pt>
                <c:pt idx="726">
                  <c:v>2.1701361162227428E-3</c:v>
                </c:pt>
                <c:pt idx="727">
                  <c:v>0.19184215477144484</c:v>
                </c:pt>
                <c:pt idx="728">
                  <c:v>8.8411823298361281E-2</c:v>
                </c:pt>
                <c:pt idx="729">
                  <c:v>-0.23876025340209317</c:v>
                </c:pt>
                <c:pt idx="730">
                  <c:v>0.26017732622935785</c:v>
                </c:pt>
                <c:pt idx="731">
                  <c:v>5.8885772382430979E-2</c:v>
                </c:pt>
                <c:pt idx="732">
                  <c:v>-0.11083098256925306</c:v>
                </c:pt>
                <c:pt idx="733">
                  <c:v>-8.3841059311973609E-2</c:v>
                </c:pt>
                <c:pt idx="734">
                  <c:v>9.1528261199275818E-2</c:v>
                </c:pt>
                <c:pt idx="735">
                  <c:v>-0.25410584181672879</c:v>
                </c:pt>
                <c:pt idx="736">
                  <c:v>0.23798515858006786</c:v>
                </c:pt>
                <c:pt idx="737">
                  <c:v>-0.12261411750716578</c:v>
                </c:pt>
                <c:pt idx="738">
                  <c:v>1.0010475907340943E-2</c:v>
                </c:pt>
                <c:pt idx="739">
                  <c:v>-4.8980101898075112E-2</c:v>
                </c:pt>
                <c:pt idx="740">
                  <c:v>-0.12471094178975228</c:v>
                </c:pt>
                <c:pt idx="741">
                  <c:v>0.24823708730110017</c:v>
                </c:pt>
                <c:pt idx="742">
                  <c:v>0.43278028199998131</c:v>
                </c:pt>
                <c:pt idx="743">
                  <c:v>0.1948445581075835</c:v>
                </c:pt>
                <c:pt idx="744">
                  <c:v>0.39200061020746846</c:v>
                </c:pt>
                <c:pt idx="745">
                  <c:v>0.36440966353603654</c:v>
                </c:pt>
                <c:pt idx="746">
                  <c:v>0.37883456257286774</c:v>
                </c:pt>
                <c:pt idx="747">
                  <c:v>0.21153656738658499</c:v>
                </c:pt>
                <c:pt idx="748">
                  <c:v>0.34390853701643964</c:v>
                </c:pt>
                <c:pt idx="749">
                  <c:v>1.8915238267642742E-2</c:v>
                </c:pt>
                <c:pt idx="750">
                  <c:v>-5.8608350986069979E-2</c:v>
                </c:pt>
                <c:pt idx="751">
                  <c:v>-0.27318352642241051</c:v>
                </c:pt>
                <c:pt idx="752">
                  <c:v>0.2375825092589543</c:v>
                </c:pt>
                <c:pt idx="753">
                  <c:v>0.14475929027428158</c:v>
                </c:pt>
                <c:pt idx="754">
                  <c:v>7.3954225144241992E-2</c:v>
                </c:pt>
                <c:pt idx="755">
                  <c:v>0.13865832409968482</c:v>
                </c:pt>
                <c:pt idx="756">
                  <c:v>5.8208363259917295E-2</c:v>
                </c:pt>
                <c:pt idx="757">
                  <c:v>-0.13543642195363681</c:v>
                </c:pt>
                <c:pt idx="758">
                  <c:v>6.3127677643596058E-2</c:v>
                </c:pt>
                <c:pt idx="759">
                  <c:v>-3.0285608444408307E-2</c:v>
                </c:pt>
                <c:pt idx="760">
                  <c:v>0.45523482660229231</c:v>
                </c:pt>
                <c:pt idx="761">
                  <c:v>-0.1639862453961185</c:v>
                </c:pt>
                <c:pt idx="762">
                  <c:v>0.25481263019334666</c:v>
                </c:pt>
                <c:pt idx="763">
                  <c:v>2.3957079754615584E-2</c:v>
                </c:pt>
                <c:pt idx="764">
                  <c:v>0.23130160672400146</c:v>
                </c:pt>
                <c:pt idx="765">
                  <c:v>-0.11854877093216309</c:v>
                </c:pt>
                <c:pt idx="766">
                  <c:v>-0.14998081257623719</c:v>
                </c:pt>
                <c:pt idx="767">
                  <c:v>0.16536968464939683</c:v>
                </c:pt>
                <c:pt idx="768">
                  <c:v>4.6317114603966481E-3</c:v>
                </c:pt>
                <c:pt idx="769">
                  <c:v>0.12977129975347079</c:v>
                </c:pt>
                <c:pt idx="770">
                  <c:v>2.696268699579818E-2</c:v>
                </c:pt>
                <c:pt idx="771">
                  <c:v>7.2530244597560856E-2</c:v>
                </c:pt>
                <c:pt idx="772">
                  <c:v>1.9940381757963532E-2</c:v>
                </c:pt>
                <c:pt idx="773">
                  <c:v>1.5909004854234965E-2</c:v>
                </c:pt>
                <c:pt idx="774">
                  <c:v>5.5050329238123918E-2</c:v>
                </c:pt>
                <c:pt idx="775">
                  <c:v>-1.6304104947523879E-2</c:v>
                </c:pt>
                <c:pt idx="776">
                  <c:v>0.27405478373218983</c:v>
                </c:pt>
                <c:pt idx="777">
                  <c:v>-8.0841994402845341E-2</c:v>
                </c:pt>
                <c:pt idx="778">
                  <c:v>0.37142678406227825</c:v>
                </c:pt>
                <c:pt idx="779">
                  <c:v>-3.9283102003494275E-2</c:v>
                </c:pt>
                <c:pt idx="780">
                  <c:v>0.19699799451219091</c:v>
                </c:pt>
                <c:pt idx="781">
                  <c:v>4.7814970490842601E-2</c:v>
                </c:pt>
                <c:pt idx="782">
                  <c:v>0.16218032590307185</c:v>
                </c:pt>
                <c:pt idx="783">
                  <c:v>6.3244596501343064E-2</c:v>
                </c:pt>
                <c:pt idx="784">
                  <c:v>0.3601100592855162</c:v>
                </c:pt>
                <c:pt idx="785">
                  <c:v>0.38841329720880013</c:v>
                </c:pt>
                <c:pt idx="786">
                  <c:v>-0.16706884104638231</c:v>
                </c:pt>
                <c:pt idx="787">
                  <c:v>0.42384630910752019</c:v>
                </c:pt>
                <c:pt idx="788">
                  <c:v>-1.4363872506173436E-3</c:v>
                </c:pt>
                <c:pt idx="789">
                  <c:v>0.45609423572267715</c:v>
                </c:pt>
                <c:pt idx="790">
                  <c:v>9.8116520785339834E-2</c:v>
                </c:pt>
                <c:pt idx="791">
                  <c:v>0.26575387577525822</c:v>
                </c:pt>
                <c:pt idx="792">
                  <c:v>0.35806088544475312</c:v>
                </c:pt>
                <c:pt idx="793">
                  <c:v>-0.11085244465633304</c:v>
                </c:pt>
                <c:pt idx="794">
                  <c:v>-4.9793659967986237E-2</c:v>
                </c:pt>
                <c:pt idx="795">
                  <c:v>0.48026960442118005</c:v>
                </c:pt>
                <c:pt idx="796">
                  <c:v>0.29546449577642031</c:v>
                </c:pt>
                <c:pt idx="797">
                  <c:v>0.10952129819883138</c:v>
                </c:pt>
                <c:pt idx="798">
                  <c:v>0.35739464863982162</c:v>
                </c:pt>
                <c:pt idx="799">
                  <c:v>0.20676223595947452</c:v>
                </c:pt>
                <c:pt idx="800">
                  <c:v>0.3315629221326426</c:v>
                </c:pt>
                <c:pt idx="801">
                  <c:v>4.8057784394748282E-2</c:v>
                </c:pt>
                <c:pt idx="802">
                  <c:v>-9.8285223000888156E-2</c:v>
                </c:pt>
                <c:pt idx="803">
                  <c:v>0.24636128565404825</c:v>
                </c:pt>
                <c:pt idx="804">
                  <c:v>0.15407727826534501</c:v>
                </c:pt>
                <c:pt idx="805">
                  <c:v>-2.3937881542210881E-2</c:v>
                </c:pt>
                <c:pt idx="806">
                  <c:v>0.21771604856617577</c:v>
                </c:pt>
                <c:pt idx="807">
                  <c:v>0.1417376378279509</c:v>
                </c:pt>
                <c:pt idx="808">
                  <c:v>0.40362415370311799</c:v>
                </c:pt>
                <c:pt idx="809">
                  <c:v>0.10466609503262259</c:v>
                </c:pt>
                <c:pt idx="810">
                  <c:v>0.10949408104542879</c:v>
                </c:pt>
                <c:pt idx="811">
                  <c:v>-9.8855170705367978E-2</c:v>
                </c:pt>
                <c:pt idx="812">
                  <c:v>0.28606794399892532</c:v>
                </c:pt>
                <c:pt idx="813">
                  <c:v>-0.33502326520368442</c:v>
                </c:pt>
                <c:pt idx="814">
                  <c:v>0.35210765081988749</c:v>
                </c:pt>
                <c:pt idx="815">
                  <c:v>0.24692658018984881</c:v>
                </c:pt>
                <c:pt idx="816">
                  <c:v>0.11841182343632273</c:v>
                </c:pt>
                <c:pt idx="817">
                  <c:v>-0.13919380896523981</c:v>
                </c:pt>
                <c:pt idx="818">
                  <c:v>-0.15578523452009208</c:v>
                </c:pt>
                <c:pt idx="819">
                  <c:v>0.22673630106428577</c:v>
                </c:pt>
                <c:pt idx="820">
                  <c:v>3.1564353521202904E-3</c:v>
                </c:pt>
                <c:pt idx="821">
                  <c:v>8.600701072634287E-2</c:v>
                </c:pt>
                <c:pt idx="822">
                  <c:v>-4.0239864598361486E-3</c:v>
                </c:pt>
                <c:pt idx="823">
                  <c:v>-2.325319069864662E-2</c:v>
                </c:pt>
                <c:pt idx="824">
                  <c:v>4.9490633615958846E-2</c:v>
                </c:pt>
                <c:pt idx="825">
                  <c:v>-4.959210263503433E-2</c:v>
                </c:pt>
                <c:pt idx="826">
                  <c:v>0.20968186419496071</c:v>
                </c:pt>
                <c:pt idx="827">
                  <c:v>0.27837365881479093</c:v>
                </c:pt>
                <c:pt idx="828">
                  <c:v>-9.0270819498591948E-2</c:v>
                </c:pt>
                <c:pt idx="829">
                  <c:v>0.32904479117494922</c:v>
                </c:pt>
                <c:pt idx="830">
                  <c:v>0.16974436191397402</c:v>
                </c:pt>
                <c:pt idx="831">
                  <c:v>0.23312193449955343</c:v>
                </c:pt>
                <c:pt idx="832">
                  <c:v>0.1589863815014203</c:v>
                </c:pt>
                <c:pt idx="833">
                  <c:v>-0.1319364142056747</c:v>
                </c:pt>
                <c:pt idx="834">
                  <c:v>-0.11198729287320264</c:v>
                </c:pt>
                <c:pt idx="835">
                  <c:v>0.16910208340769239</c:v>
                </c:pt>
                <c:pt idx="836">
                  <c:v>-3.7820598364879388E-2</c:v>
                </c:pt>
                <c:pt idx="837">
                  <c:v>-5.8369465421176159E-2</c:v>
                </c:pt>
                <c:pt idx="838">
                  <c:v>0.35296127477736849</c:v>
                </c:pt>
                <c:pt idx="839">
                  <c:v>0.38597874162018009</c:v>
                </c:pt>
                <c:pt idx="840">
                  <c:v>0.45011654616820396</c:v>
                </c:pt>
                <c:pt idx="841">
                  <c:v>-0.14881558493188995</c:v>
                </c:pt>
                <c:pt idx="842">
                  <c:v>0.22723440191088295</c:v>
                </c:pt>
                <c:pt idx="843">
                  <c:v>0.15135453930261988</c:v>
                </c:pt>
                <c:pt idx="844">
                  <c:v>0.4046594167189288</c:v>
                </c:pt>
                <c:pt idx="845">
                  <c:v>-0.13891220311181041</c:v>
                </c:pt>
                <c:pt idx="846">
                  <c:v>-8.0005372266415353E-2</c:v>
                </c:pt>
                <c:pt idx="847">
                  <c:v>0.26172370141955392</c:v>
                </c:pt>
                <c:pt idx="848">
                  <c:v>0.11715746733512677</c:v>
                </c:pt>
                <c:pt idx="849">
                  <c:v>0.11749922500491783</c:v>
                </c:pt>
                <c:pt idx="850">
                  <c:v>2.1909702152175026E-2</c:v>
                </c:pt>
                <c:pt idx="851">
                  <c:v>0.11884027964720723</c:v>
                </c:pt>
                <c:pt idx="852">
                  <c:v>-4.5076649244381706E-2</c:v>
                </c:pt>
                <c:pt idx="853">
                  <c:v>7.2673526091524554E-2</c:v>
                </c:pt>
                <c:pt idx="854">
                  <c:v>2.2562676050701391E-2</c:v>
                </c:pt>
                <c:pt idx="855">
                  <c:v>0.39831681565566379</c:v>
                </c:pt>
                <c:pt idx="856">
                  <c:v>6.8483308055363068E-2</c:v>
                </c:pt>
                <c:pt idx="857">
                  <c:v>0.50496607245238545</c:v>
                </c:pt>
                <c:pt idx="858">
                  <c:v>0.41160738330516589</c:v>
                </c:pt>
                <c:pt idx="859">
                  <c:v>8.2554953564967892E-2</c:v>
                </c:pt>
                <c:pt idx="860">
                  <c:v>8.9104200516984644E-2</c:v>
                </c:pt>
                <c:pt idx="861">
                  <c:v>-4.2043659411580947E-2</c:v>
                </c:pt>
                <c:pt idx="862">
                  <c:v>0.27237305917927124</c:v>
                </c:pt>
                <c:pt idx="863">
                  <c:v>0.13145741227506669</c:v>
                </c:pt>
                <c:pt idx="864">
                  <c:v>9.0172969636601596E-2</c:v>
                </c:pt>
                <c:pt idx="865">
                  <c:v>-3.8568118407297014E-2</c:v>
                </c:pt>
                <c:pt idx="866">
                  <c:v>-8.6694317049718528E-2</c:v>
                </c:pt>
                <c:pt idx="867">
                  <c:v>5.7705664796790401E-2</c:v>
                </c:pt>
                <c:pt idx="868">
                  <c:v>5.706874332909484E-2</c:v>
                </c:pt>
                <c:pt idx="869">
                  <c:v>0.20741671700758824</c:v>
                </c:pt>
                <c:pt idx="870">
                  <c:v>6.1873053482091933E-2</c:v>
                </c:pt>
                <c:pt idx="871">
                  <c:v>0.30533451371830767</c:v>
                </c:pt>
                <c:pt idx="872">
                  <c:v>8.0944652461751421E-2</c:v>
                </c:pt>
                <c:pt idx="873">
                  <c:v>0.16759587299200573</c:v>
                </c:pt>
                <c:pt idx="874">
                  <c:v>0.14554674960584668</c:v>
                </c:pt>
                <c:pt idx="875">
                  <c:v>1.6259654358632414E-2</c:v>
                </c:pt>
                <c:pt idx="876">
                  <c:v>-0.24992570250074175</c:v>
                </c:pt>
                <c:pt idx="877">
                  <c:v>-7.6842351395131736E-2</c:v>
                </c:pt>
                <c:pt idx="878">
                  <c:v>7.4404834126208907E-2</c:v>
                </c:pt>
                <c:pt idx="879">
                  <c:v>0.2905018237542043</c:v>
                </c:pt>
                <c:pt idx="880">
                  <c:v>6.0688034117888368E-2</c:v>
                </c:pt>
                <c:pt idx="881">
                  <c:v>0.1196334289566674</c:v>
                </c:pt>
                <c:pt idx="882">
                  <c:v>0.26856149841710941</c:v>
                </c:pt>
                <c:pt idx="883">
                  <c:v>0.12582502834304377</c:v>
                </c:pt>
                <c:pt idx="884">
                  <c:v>-4.2197083666885682E-2</c:v>
                </c:pt>
                <c:pt idx="885">
                  <c:v>0.32844040901750127</c:v>
                </c:pt>
                <c:pt idx="886">
                  <c:v>0.17343757167335205</c:v>
                </c:pt>
                <c:pt idx="887">
                  <c:v>0.24276700561900633</c:v>
                </c:pt>
                <c:pt idx="888">
                  <c:v>-9.7083965623053992E-2</c:v>
                </c:pt>
                <c:pt idx="889">
                  <c:v>-2.8591813399754251E-2</c:v>
                </c:pt>
                <c:pt idx="890">
                  <c:v>0.16174657584401597</c:v>
                </c:pt>
                <c:pt idx="891">
                  <c:v>0.30781520108314764</c:v>
                </c:pt>
                <c:pt idx="892">
                  <c:v>-0.39930715647040405</c:v>
                </c:pt>
                <c:pt idx="893">
                  <c:v>0.18259324069494998</c:v>
                </c:pt>
                <c:pt idx="894">
                  <c:v>0.14854418481209253</c:v>
                </c:pt>
                <c:pt idx="895">
                  <c:v>0.28210123354774952</c:v>
                </c:pt>
                <c:pt idx="896">
                  <c:v>0.32765559225518093</c:v>
                </c:pt>
                <c:pt idx="897">
                  <c:v>2.4437387941068867E-2</c:v>
                </c:pt>
                <c:pt idx="898">
                  <c:v>0.32823518835341714</c:v>
                </c:pt>
                <c:pt idx="899">
                  <c:v>7.2043406218740724E-2</c:v>
                </c:pt>
                <c:pt idx="900">
                  <c:v>6.9606032184683642E-3</c:v>
                </c:pt>
                <c:pt idx="901">
                  <c:v>-6.4655702414080807E-2</c:v>
                </c:pt>
                <c:pt idx="902">
                  <c:v>0.22704127797592966</c:v>
                </c:pt>
                <c:pt idx="903">
                  <c:v>0.70901377740376104</c:v>
                </c:pt>
                <c:pt idx="904">
                  <c:v>0.49104520098633531</c:v>
                </c:pt>
                <c:pt idx="905">
                  <c:v>-0.1601328723040889</c:v>
                </c:pt>
                <c:pt idx="906">
                  <c:v>0.15484580829597672</c:v>
                </c:pt>
                <c:pt idx="907">
                  <c:v>0.35133723306528308</c:v>
                </c:pt>
                <c:pt idx="908">
                  <c:v>0.15099601744438251</c:v>
                </c:pt>
                <c:pt idx="909">
                  <c:v>0.13760033752425072</c:v>
                </c:pt>
                <c:pt idx="910">
                  <c:v>0.18586834753338222</c:v>
                </c:pt>
                <c:pt idx="911">
                  <c:v>6.6805466125161583E-2</c:v>
                </c:pt>
                <c:pt idx="912">
                  <c:v>0.14166526511945898</c:v>
                </c:pt>
                <c:pt idx="913">
                  <c:v>0.2229914385976417</c:v>
                </c:pt>
                <c:pt idx="914">
                  <c:v>7.5904894192718952E-2</c:v>
                </c:pt>
                <c:pt idx="915">
                  <c:v>-7.9271215081829549E-2</c:v>
                </c:pt>
                <c:pt idx="916">
                  <c:v>6.4700312121030112E-2</c:v>
                </c:pt>
                <c:pt idx="917">
                  <c:v>7.0038766227876526E-2</c:v>
                </c:pt>
                <c:pt idx="918">
                  <c:v>0.20300968561935839</c:v>
                </c:pt>
                <c:pt idx="919">
                  <c:v>0.23611569311445457</c:v>
                </c:pt>
                <c:pt idx="920">
                  <c:v>-2.9556856809083598E-2</c:v>
                </c:pt>
                <c:pt idx="921">
                  <c:v>0.46953068502522077</c:v>
                </c:pt>
                <c:pt idx="922">
                  <c:v>0.33622169816544956</c:v>
                </c:pt>
                <c:pt idx="923">
                  <c:v>0.18059499222807318</c:v>
                </c:pt>
                <c:pt idx="924">
                  <c:v>0.16340790232782343</c:v>
                </c:pt>
                <c:pt idx="925">
                  <c:v>0.10443356960202888</c:v>
                </c:pt>
                <c:pt idx="926">
                  <c:v>0.1612236046904072</c:v>
                </c:pt>
                <c:pt idx="927">
                  <c:v>0.33520434379667963</c:v>
                </c:pt>
                <c:pt idx="928">
                  <c:v>-8.3108275380960883E-3</c:v>
                </c:pt>
                <c:pt idx="929">
                  <c:v>0.21267339955646536</c:v>
                </c:pt>
                <c:pt idx="930">
                  <c:v>0.35407716060822736</c:v>
                </c:pt>
                <c:pt idx="931">
                  <c:v>0.35740237036499511</c:v>
                </c:pt>
                <c:pt idx="932">
                  <c:v>0.15385854697712054</c:v>
                </c:pt>
                <c:pt idx="933">
                  <c:v>0.13568076806493501</c:v>
                </c:pt>
                <c:pt idx="934">
                  <c:v>-5.6778763990272818E-2</c:v>
                </c:pt>
                <c:pt idx="935">
                  <c:v>0.20538377240049366</c:v>
                </c:pt>
                <c:pt idx="936">
                  <c:v>-2.9614814400068745E-2</c:v>
                </c:pt>
                <c:pt idx="937">
                  <c:v>0.25647921146286956</c:v>
                </c:pt>
                <c:pt idx="938">
                  <c:v>0.18816197901179743</c:v>
                </c:pt>
                <c:pt idx="939">
                  <c:v>0.24310059594369626</c:v>
                </c:pt>
                <c:pt idx="940">
                  <c:v>0.36517461111776228</c:v>
                </c:pt>
                <c:pt idx="941">
                  <c:v>0.31705417794244273</c:v>
                </c:pt>
                <c:pt idx="942">
                  <c:v>0.23886551020289781</c:v>
                </c:pt>
                <c:pt idx="943">
                  <c:v>6.2330555934209553E-2</c:v>
                </c:pt>
                <c:pt idx="944">
                  <c:v>0.23401600330492478</c:v>
                </c:pt>
                <c:pt idx="945">
                  <c:v>-2.2522279374057597E-2</c:v>
                </c:pt>
                <c:pt idx="946">
                  <c:v>0.27929271481977391</c:v>
                </c:pt>
                <c:pt idx="947">
                  <c:v>4.4855351718523284E-2</c:v>
                </c:pt>
                <c:pt idx="948">
                  <c:v>-2.5231646372289696E-2</c:v>
                </c:pt>
                <c:pt idx="949">
                  <c:v>1.7654957566055618E-2</c:v>
                </c:pt>
                <c:pt idx="950">
                  <c:v>0.41125591243872517</c:v>
                </c:pt>
                <c:pt idx="951">
                  <c:v>0.11068950704056357</c:v>
                </c:pt>
                <c:pt idx="952">
                  <c:v>-5.4214514542993975E-3</c:v>
                </c:pt>
                <c:pt idx="953">
                  <c:v>0.17285848232121248</c:v>
                </c:pt>
                <c:pt idx="954">
                  <c:v>0.2256068774713289</c:v>
                </c:pt>
                <c:pt idx="955">
                  <c:v>0.20300038728222569</c:v>
                </c:pt>
                <c:pt idx="956">
                  <c:v>0.18059523117990928</c:v>
                </c:pt>
                <c:pt idx="957">
                  <c:v>8.0162629205599245E-2</c:v>
                </c:pt>
                <c:pt idx="958">
                  <c:v>0.25992064840008089</c:v>
                </c:pt>
                <c:pt idx="959">
                  <c:v>4.7682775837476044E-2</c:v>
                </c:pt>
                <c:pt idx="960">
                  <c:v>0.24367196639861399</c:v>
                </c:pt>
                <c:pt idx="961">
                  <c:v>0.1207994397690495</c:v>
                </c:pt>
                <c:pt idx="962">
                  <c:v>-7.823730402364415E-2</c:v>
                </c:pt>
                <c:pt idx="963">
                  <c:v>-2.8718277003944692E-2</c:v>
                </c:pt>
                <c:pt idx="964">
                  <c:v>-2.6765297195966209E-2</c:v>
                </c:pt>
                <c:pt idx="965">
                  <c:v>0.3769089808808026</c:v>
                </c:pt>
                <c:pt idx="966">
                  <c:v>0.10980075875529405</c:v>
                </c:pt>
                <c:pt idx="967">
                  <c:v>0.27815065740525613</c:v>
                </c:pt>
                <c:pt idx="968">
                  <c:v>0.25313816349596951</c:v>
                </c:pt>
                <c:pt idx="969">
                  <c:v>6.8358945369585644E-2</c:v>
                </c:pt>
                <c:pt idx="970">
                  <c:v>-0.10485902145082138</c:v>
                </c:pt>
                <c:pt idx="971">
                  <c:v>0.30863347440375799</c:v>
                </c:pt>
                <c:pt idx="972">
                  <c:v>0.24673334733819674</c:v>
                </c:pt>
                <c:pt idx="973">
                  <c:v>2.7665882034651812E-2</c:v>
                </c:pt>
                <c:pt idx="974">
                  <c:v>-0.12418169717728977</c:v>
                </c:pt>
                <c:pt idx="975">
                  <c:v>9.5456806646669889E-2</c:v>
                </c:pt>
                <c:pt idx="976">
                  <c:v>8.8560418527904083E-2</c:v>
                </c:pt>
                <c:pt idx="977">
                  <c:v>0.49383582584883934</c:v>
                </c:pt>
                <c:pt idx="978">
                  <c:v>0.11852793268760076</c:v>
                </c:pt>
                <c:pt idx="979">
                  <c:v>-0.22302550786132835</c:v>
                </c:pt>
                <c:pt idx="980">
                  <c:v>0.53421482614910065</c:v>
                </c:pt>
                <c:pt idx="981">
                  <c:v>0.44077311445585732</c:v>
                </c:pt>
                <c:pt idx="982">
                  <c:v>0.14545098793133615</c:v>
                </c:pt>
                <c:pt idx="983">
                  <c:v>0.14489908213177483</c:v>
                </c:pt>
                <c:pt idx="984">
                  <c:v>6.8130321673617544E-2</c:v>
                </c:pt>
                <c:pt idx="985">
                  <c:v>-0.21674819761282915</c:v>
                </c:pt>
                <c:pt idx="986">
                  <c:v>0.11043921721081906</c:v>
                </c:pt>
                <c:pt idx="987">
                  <c:v>0.18555696173466174</c:v>
                </c:pt>
                <c:pt idx="988">
                  <c:v>-3.9626661538689767E-3</c:v>
                </c:pt>
                <c:pt idx="989">
                  <c:v>0.28309673085015152</c:v>
                </c:pt>
                <c:pt idx="990">
                  <c:v>6.2731769792816028E-2</c:v>
                </c:pt>
                <c:pt idx="991">
                  <c:v>5.1358442029901585E-2</c:v>
                </c:pt>
                <c:pt idx="992">
                  <c:v>0.17906352601827447</c:v>
                </c:pt>
                <c:pt idx="993">
                  <c:v>0.13107214365794206</c:v>
                </c:pt>
                <c:pt idx="994">
                  <c:v>-4.3839644787550647E-2</c:v>
                </c:pt>
                <c:pt idx="995">
                  <c:v>9.5266870072223675E-3</c:v>
                </c:pt>
                <c:pt idx="996">
                  <c:v>0.14444229414613385</c:v>
                </c:pt>
                <c:pt idx="997">
                  <c:v>0.42160306902574662</c:v>
                </c:pt>
                <c:pt idx="998">
                  <c:v>-9.1602459923674218E-3</c:v>
                </c:pt>
                <c:pt idx="999">
                  <c:v>4.1461266175426115E-2</c:v>
                </c:pt>
              </c:numCache>
            </c:numRef>
          </c:xVal>
          <c:yVal>
            <c:numRef>
              <c:f>PSA!$AF$14:$AF$1013</c:f>
              <c:numCache>
                <c:formatCode>General</c:formatCode>
                <c:ptCount val="1000"/>
                <c:pt idx="0">
                  <c:v>12743.872146606322</c:v>
                </c:pt>
                <c:pt idx="1">
                  <c:v>18007.95748862694</c:v>
                </c:pt>
                <c:pt idx="2">
                  <c:v>12037.568400683587</c:v>
                </c:pt>
                <c:pt idx="3">
                  <c:v>5299.9329927747167</c:v>
                </c:pt>
                <c:pt idx="4">
                  <c:v>11889.366959141284</c:v>
                </c:pt>
                <c:pt idx="5">
                  <c:v>11620.862278392015</c:v>
                </c:pt>
                <c:pt idx="6">
                  <c:v>6667.465067008583</c:v>
                </c:pt>
                <c:pt idx="7">
                  <c:v>10725.415288292643</c:v>
                </c:pt>
                <c:pt idx="8">
                  <c:v>8741.9434222335694</c:v>
                </c:pt>
                <c:pt idx="9">
                  <c:v>12214.845548115118</c:v>
                </c:pt>
                <c:pt idx="10">
                  <c:v>19908.507840453887</c:v>
                </c:pt>
                <c:pt idx="11">
                  <c:v>5365.3545691284526</c:v>
                </c:pt>
                <c:pt idx="12">
                  <c:v>16279.380585911131</c:v>
                </c:pt>
                <c:pt idx="13">
                  <c:v>23751.509700694885</c:v>
                </c:pt>
                <c:pt idx="14">
                  <c:v>17011.780142766132</c:v>
                </c:pt>
                <c:pt idx="15">
                  <c:v>5058.8022866822575</c:v>
                </c:pt>
                <c:pt idx="16">
                  <c:v>2439.518252393842</c:v>
                </c:pt>
                <c:pt idx="17">
                  <c:v>9518.3259912720969</c:v>
                </c:pt>
                <c:pt idx="18">
                  <c:v>9164.2490232936689</c:v>
                </c:pt>
                <c:pt idx="19">
                  <c:v>10397.116858302586</c:v>
                </c:pt>
                <c:pt idx="20">
                  <c:v>15654.811165103696</c:v>
                </c:pt>
                <c:pt idx="21">
                  <c:v>6179.1283508734923</c:v>
                </c:pt>
                <c:pt idx="22">
                  <c:v>9482.8299809400487</c:v>
                </c:pt>
                <c:pt idx="23">
                  <c:v>2416.8456358591939</c:v>
                </c:pt>
                <c:pt idx="24">
                  <c:v>15957.018218055804</c:v>
                </c:pt>
                <c:pt idx="25">
                  <c:v>7080.7593912886368</c:v>
                </c:pt>
                <c:pt idx="26">
                  <c:v>7896.6853177966404</c:v>
                </c:pt>
                <c:pt idx="27">
                  <c:v>16614.27253404494</c:v>
                </c:pt>
                <c:pt idx="28">
                  <c:v>12035.075308278552</c:v>
                </c:pt>
                <c:pt idx="29">
                  <c:v>9144.4680523023999</c:v>
                </c:pt>
                <c:pt idx="30">
                  <c:v>-914.57521197194001</c:v>
                </c:pt>
                <c:pt idx="31">
                  <c:v>9709.8902153443632</c:v>
                </c:pt>
                <c:pt idx="32">
                  <c:v>10763.727497111598</c:v>
                </c:pt>
                <c:pt idx="33">
                  <c:v>10206.14276185607</c:v>
                </c:pt>
                <c:pt idx="34">
                  <c:v>-72.493526262507658</c:v>
                </c:pt>
                <c:pt idx="35">
                  <c:v>11352.980132608805</c:v>
                </c:pt>
                <c:pt idx="36">
                  <c:v>7612.9091135287599</c:v>
                </c:pt>
                <c:pt idx="37">
                  <c:v>11082.910918880829</c:v>
                </c:pt>
                <c:pt idx="38">
                  <c:v>14147.932546740565</c:v>
                </c:pt>
                <c:pt idx="39">
                  <c:v>17970.967681236783</c:v>
                </c:pt>
                <c:pt idx="40">
                  <c:v>14255.357687618598</c:v>
                </c:pt>
                <c:pt idx="41">
                  <c:v>5329.1813178861339</c:v>
                </c:pt>
                <c:pt idx="42">
                  <c:v>7354.2404054536164</c:v>
                </c:pt>
                <c:pt idx="43">
                  <c:v>8716.1222131644463</c:v>
                </c:pt>
                <c:pt idx="44">
                  <c:v>11712.413750107829</c:v>
                </c:pt>
                <c:pt idx="45">
                  <c:v>5756.1257097210619</c:v>
                </c:pt>
                <c:pt idx="46">
                  <c:v>4643.7455457168398</c:v>
                </c:pt>
                <c:pt idx="47">
                  <c:v>12409.576048624105</c:v>
                </c:pt>
                <c:pt idx="48">
                  <c:v>5767.5462943364837</c:v>
                </c:pt>
                <c:pt idx="49">
                  <c:v>3561.8176240715547</c:v>
                </c:pt>
                <c:pt idx="50">
                  <c:v>14210.975249361625</c:v>
                </c:pt>
                <c:pt idx="51">
                  <c:v>5114.1546251143154</c:v>
                </c:pt>
                <c:pt idx="52">
                  <c:v>18952.830112349977</c:v>
                </c:pt>
                <c:pt idx="53">
                  <c:v>10070.775915205813</c:v>
                </c:pt>
                <c:pt idx="54">
                  <c:v>5679.7067103300651</c:v>
                </c:pt>
                <c:pt idx="55">
                  <c:v>9102.8431346720972</c:v>
                </c:pt>
                <c:pt idx="56">
                  <c:v>1124.9908718592924</c:v>
                </c:pt>
                <c:pt idx="57">
                  <c:v>13508.913518502814</c:v>
                </c:pt>
                <c:pt idx="58">
                  <c:v>13233.055446785322</c:v>
                </c:pt>
                <c:pt idx="59">
                  <c:v>14584.135310481106</c:v>
                </c:pt>
                <c:pt idx="60">
                  <c:v>1569.3292103393323</c:v>
                </c:pt>
                <c:pt idx="61">
                  <c:v>3570.2007505194924</c:v>
                </c:pt>
                <c:pt idx="62">
                  <c:v>9205.4688169485598</c:v>
                </c:pt>
                <c:pt idx="63">
                  <c:v>4386.7326218863018</c:v>
                </c:pt>
                <c:pt idx="64">
                  <c:v>13295.79306972037</c:v>
                </c:pt>
                <c:pt idx="65">
                  <c:v>-5492.3145410698053</c:v>
                </c:pt>
                <c:pt idx="66">
                  <c:v>14572.41429617707</c:v>
                </c:pt>
                <c:pt idx="67">
                  <c:v>13292.068523115478</c:v>
                </c:pt>
                <c:pt idx="68">
                  <c:v>4381.0707699408231</c:v>
                </c:pt>
                <c:pt idx="69">
                  <c:v>10563.789425089926</c:v>
                </c:pt>
                <c:pt idx="70">
                  <c:v>7881.35795530412</c:v>
                </c:pt>
                <c:pt idx="71">
                  <c:v>16768.644048677597</c:v>
                </c:pt>
                <c:pt idx="72">
                  <c:v>223.4585417266353</c:v>
                </c:pt>
                <c:pt idx="73">
                  <c:v>9840.4250063615982</c:v>
                </c:pt>
                <c:pt idx="74">
                  <c:v>14284.012741178522</c:v>
                </c:pt>
                <c:pt idx="75">
                  <c:v>13690.734752290678</c:v>
                </c:pt>
                <c:pt idx="76">
                  <c:v>12669.110958086152</c:v>
                </c:pt>
                <c:pt idx="77">
                  <c:v>19442.629597519051</c:v>
                </c:pt>
                <c:pt idx="78">
                  <c:v>2664.7147344984405</c:v>
                </c:pt>
                <c:pt idx="79">
                  <c:v>1517.3497717069331</c:v>
                </c:pt>
                <c:pt idx="80">
                  <c:v>7131.4433968046651</c:v>
                </c:pt>
                <c:pt idx="81">
                  <c:v>3200.3488937518414</c:v>
                </c:pt>
                <c:pt idx="82">
                  <c:v>2773.5393040586932</c:v>
                </c:pt>
                <c:pt idx="83">
                  <c:v>9990.3097407675523</c:v>
                </c:pt>
                <c:pt idx="84">
                  <c:v>14219.508533061075</c:v>
                </c:pt>
                <c:pt idx="85">
                  <c:v>10098.822324097615</c:v>
                </c:pt>
                <c:pt idx="86">
                  <c:v>15509.464594605146</c:v>
                </c:pt>
                <c:pt idx="87">
                  <c:v>13422.763770252786</c:v>
                </c:pt>
                <c:pt idx="88">
                  <c:v>14197.33015872039</c:v>
                </c:pt>
                <c:pt idx="89">
                  <c:v>15253.790511634346</c:v>
                </c:pt>
                <c:pt idx="90">
                  <c:v>1841.6838599687908</c:v>
                </c:pt>
                <c:pt idx="91">
                  <c:v>1789.739866090662</c:v>
                </c:pt>
                <c:pt idx="92">
                  <c:v>12918.428772355561</c:v>
                </c:pt>
                <c:pt idx="93">
                  <c:v>5555.67147574712</c:v>
                </c:pt>
                <c:pt idx="94">
                  <c:v>17388.037599696603</c:v>
                </c:pt>
                <c:pt idx="95">
                  <c:v>12572.399773935496</c:v>
                </c:pt>
                <c:pt idx="96">
                  <c:v>10023.05290661547</c:v>
                </c:pt>
                <c:pt idx="97">
                  <c:v>7936.1141229230125</c:v>
                </c:pt>
                <c:pt idx="98">
                  <c:v>9638.8166135110368</c:v>
                </c:pt>
                <c:pt idx="99">
                  <c:v>7490.495957253188</c:v>
                </c:pt>
                <c:pt idx="100">
                  <c:v>106.92743677031831</c:v>
                </c:pt>
                <c:pt idx="101">
                  <c:v>13903.408902739844</c:v>
                </c:pt>
                <c:pt idx="102">
                  <c:v>17568.278585170105</c:v>
                </c:pt>
                <c:pt idx="103">
                  <c:v>20222.256880197834</c:v>
                </c:pt>
                <c:pt idx="104">
                  <c:v>9391.9131204872974</c:v>
                </c:pt>
                <c:pt idx="105">
                  <c:v>17397.128764833455</c:v>
                </c:pt>
                <c:pt idx="106">
                  <c:v>1344.4475164836622</c:v>
                </c:pt>
                <c:pt idx="107">
                  <c:v>5036.8496792363585</c:v>
                </c:pt>
                <c:pt idx="108">
                  <c:v>22922.391999495609</c:v>
                </c:pt>
                <c:pt idx="109">
                  <c:v>2010.8852790928213</c:v>
                </c:pt>
                <c:pt idx="110">
                  <c:v>12670.194138699691</c:v>
                </c:pt>
                <c:pt idx="111">
                  <c:v>10272.297875647753</c:v>
                </c:pt>
                <c:pt idx="112">
                  <c:v>9530.1723401049385</c:v>
                </c:pt>
                <c:pt idx="113">
                  <c:v>7727.3955685781766</c:v>
                </c:pt>
                <c:pt idx="114">
                  <c:v>15180.033368974953</c:v>
                </c:pt>
                <c:pt idx="115">
                  <c:v>12436.840773085889</c:v>
                </c:pt>
                <c:pt idx="116">
                  <c:v>5805.4756608616299</c:v>
                </c:pt>
                <c:pt idx="117">
                  <c:v>11222.191861648826</c:v>
                </c:pt>
                <c:pt idx="118">
                  <c:v>8670.4450329881147</c:v>
                </c:pt>
                <c:pt idx="119">
                  <c:v>13380.134174387931</c:v>
                </c:pt>
                <c:pt idx="120">
                  <c:v>9830.1120527060339</c:v>
                </c:pt>
                <c:pt idx="121">
                  <c:v>9520.4809465578583</c:v>
                </c:pt>
                <c:pt idx="122">
                  <c:v>10327.597816641362</c:v>
                </c:pt>
                <c:pt idx="123">
                  <c:v>19603.336009080915</c:v>
                </c:pt>
                <c:pt idx="124">
                  <c:v>7393.9061006916018</c:v>
                </c:pt>
                <c:pt idx="125">
                  <c:v>3512.0314465890988</c:v>
                </c:pt>
                <c:pt idx="126">
                  <c:v>20463.080674007593</c:v>
                </c:pt>
                <c:pt idx="127">
                  <c:v>16332.171447768895</c:v>
                </c:pt>
                <c:pt idx="128">
                  <c:v>10306.092459770589</c:v>
                </c:pt>
                <c:pt idx="129">
                  <c:v>10316.033063571092</c:v>
                </c:pt>
                <c:pt idx="130">
                  <c:v>6819.657901557468</c:v>
                </c:pt>
                <c:pt idx="131">
                  <c:v>20183.907120380652</c:v>
                </c:pt>
                <c:pt idx="132">
                  <c:v>12543.738706144111</c:v>
                </c:pt>
                <c:pt idx="133">
                  <c:v>12511.279523901809</c:v>
                </c:pt>
                <c:pt idx="134">
                  <c:v>3247.5718258551424</c:v>
                </c:pt>
                <c:pt idx="135">
                  <c:v>9299.8660364081443</c:v>
                </c:pt>
                <c:pt idx="136">
                  <c:v>14832.405546239432</c:v>
                </c:pt>
                <c:pt idx="137">
                  <c:v>8794.9773305880371</c:v>
                </c:pt>
                <c:pt idx="138">
                  <c:v>13581.999571083135</c:v>
                </c:pt>
                <c:pt idx="139">
                  <c:v>2636.0700488607399</c:v>
                </c:pt>
                <c:pt idx="140">
                  <c:v>9669.3499531324342</c:v>
                </c:pt>
                <c:pt idx="141">
                  <c:v>4419.1862523723539</c:v>
                </c:pt>
                <c:pt idx="142">
                  <c:v>4487.6833482183865</c:v>
                </c:pt>
                <c:pt idx="143">
                  <c:v>8048.6488366806079</c:v>
                </c:pt>
                <c:pt idx="144">
                  <c:v>12644.3971212795</c:v>
                </c:pt>
                <c:pt idx="145">
                  <c:v>10558.895697009626</c:v>
                </c:pt>
                <c:pt idx="146">
                  <c:v>2898.4619482651469</c:v>
                </c:pt>
                <c:pt idx="147">
                  <c:v>142.24040475592483</c:v>
                </c:pt>
                <c:pt idx="148">
                  <c:v>2983.4607368901197</c:v>
                </c:pt>
                <c:pt idx="149">
                  <c:v>5223.1937867754459</c:v>
                </c:pt>
                <c:pt idx="150">
                  <c:v>7387.7916568374931</c:v>
                </c:pt>
                <c:pt idx="151">
                  <c:v>3808.7940743257786</c:v>
                </c:pt>
                <c:pt idx="152">
                  <c:v>12296.427638513895</c:v>
                </c:pt>
                <c:pt idx="153">
                  <c:v>12281.279999415201</c:v>
                </c:pt>
                <c:pt idx="154">
                  <c:v>7953.9448344202392</c:v>
                </c:pt>
                <c:pt idx="155">
                  <c:v>8451.2185279391269</c:v>
                </c:pt>
                <c:pt idx="156">
                  <c:v>17178.24763840418</c:v>
                </c:pt>
                <c:pt idx="157">
                  <c:v>8328.5905005548848</c:v>
                </c:pt>
                <c:pt idx="158">
                  <c:v>17294.744114048779</c:v>
                </c:pt>
                <c:pt idx="159">
                  <c:v>15712.268990373334</c:v>
                </c:pt>
                <c:pt idx="160">
                  <c:v>10638.184062031753</c:v>
                </c:pt>
                <c:pt idx="161">
                  <c:v>9920.5492786669638</c:v>
                </c:pt>
                <c:pt idx="162">
                  <c:v>8136.7674858612299</c:v>
                </c:pt>
                <c:pt idx="163">
                  <c:v>10962.713948638499</c:v>
                </c:pt>
                <c:pt idx="164">
                  <c:v>15907.125264225666</c:v>
                </c:pt>
                <c:pt idx="165">
                  <c:v>10324.020071773397</c:v>
                </c:pt>
                <c:pt idx="166">
                  <c:v>4592.7062037874202</c:v>
                </c:pt>
                <c:pt idx="167">
                  <c:v>162.6489715816715</c:v>
                </c:pt>
                <c:pt idx="168">
                  <c:v>3670.0959526364313</c:v>
                </c:pt>
                <c:pt idx="169">
                  <c:v>7076.4422406203666</c:v>
                </c:pt>
                <c:pt idx="170">
                  <c:v>6182.2454127408128</c:v>
                </c:pt>
                <c:pt idx="171">
                  <c:v>11828.237752917688</c:v>
                </c:pt>
                <c:pt idx="172">
                  <c:v>3352.6066302186518</c:v>
                </c:pt>
                <c:pt idx="173">
                  <c:v>-3288.534572703531</c:v>
                </c:pt>
                <c:pt idx="174">
                  <c:v>12586.727279456012</c:v>
                </c:pt>
                <c:pt idx="175">
                  <c:v>7631.7285842682249</c:v>
                </c:pt>
                <c:pt idx="176">
                  <c:v>8498.473585666572</c:v>
                </c:pt>
                <c:pt idx="177">
                  <c:v>13152.743716343757</c:v>
                </c:pt>
                <c:pt idx="178">
                  <c:v>4891.6635331497819</c:v>
                </c:pt>
                <c:pt idx="179">
                  <c:v>11047.019818344008</c:v>
                </c:pt>
                <c:pt idx="180">
                  <c:v>8122.9557493914472</c:v>
                </c:pt>
                <c:pt idx="181">
                  <c:v>14885.850763692142</c:v>
                </c:pt>
                <c:pt idx="182">
                  <c:v>9839.3013433405358</c:v>
                </c:pt>
                <c:pt idx="183">
                  <c:v>13823.909535232451</c:v>
                </c:pt>
                <c:pt idx="184">
                  <c:v>12017.587372255533</c:v>
                </c:pt>
                <c:pt idx="185">
                  <c:v>16293.251046131583</c:v>
                </c:pt>
                <c:pt idx="186">
                  <c:v>6666.9725329548237</c:v>
                </c:pt>
                <c:pt idx="187">
                  <c:v>-591.78768056932313</c:v>
                </c:pt>
                <c:pt idx="188">
                  <c:v>8735.7905836319114</c:v>
                </c:pt>
                <c:pt idx="189">
                  <c:v>14144.204647431012</c:v>
                </c:pt>
                <c:pt idx="190">
                  <c:v>12276.735358035061</c:v>
                </c:pt>
                <c:pt idx="191">
                  <c:v>15180.082162993596</c:v>
                </c:pt>
                <c:pt idx="192">
                  <c:v>18653.655690015337</c:v>
                </c:pt>
                <c:pt idx="193">
                  <c:v>11578.535019648021</c:v>
                </c:pt>
                <c:pt idx="194">
                  <c:v>15199.741829128368</c:v>
                </c:pt>
                <c:pt idx="195">
                  <c:v>13101.334044296964</c:v>
                </c:pt>
                <c:pt idx="196">
                  <c:v>-1164.657614578944</c:v>
                </c:pt>
                <c:pt idx="197">
                  <c:v>7407.2348573648924</c:v>
                </c:pt>
                <c:pt idx="198">
                  <c:v>24682.990978808353</c:v>
                </c:pt>
                <c:pt idx="199">
                  <c:v>13734.812695169312</c:v>
                </c:pt>
                <c:pt idx="200">
                  <c:v>6313.6828614656406</c:v>
                </c:pt>
                <c:pt idx="201">
                  <c:v>3435.4325985952091</c:v>
                </c:pt>
                <c:pt idx="202">
                  <c:v>13308.675467867171</c:v>
                </c:pt>
                <c:pt idx="203">
                  <c:v>8132.9300775385127</c:v>
                </c:pt>
                <c:pt idx="204">
                  <c:v>6927.1258242644544</c:v>
                </c:pt>
                <c:pt idx="205">
                  <c:v>14678.708076178096</c:v>
                </c:pt>
                <c:pt idx="206">
                  <c:v>10083.5070550616</c:v>
                </c:pt>
                <c:pt idx="207">
                  <c:v>10457.792387257927</c:v>
                </c:pt>
                <c:pt idx="208">
                  <c:v>15767.752951970935</c:v>
                </c:pt>
                <c:pt idx="209">
                  <c:v>21047.795281482977</c:v>
                </c:pt>
                <c:pt idx="210">
                  <c:v>13946.555158337171</c:v>
                </c:pt>
                <c:pt idx="211">
                  <c:v>8576.6109875419934</c:v>
                </c:pt>
                <c:pt idx="212">
                  <c:v>11527.350920181911</c:v>
                </c:pt>
                <c:pt idx="213">
                  <c:v>6976.6422852528631</c:v>
                </c:pt>
                <c:pt idx="214">
                  <c:v>5447.3805502775649</c:v>
                </c:pt>
                <c:pt idx="215">
                  <c:v>2156.6164904636462</c:v>
                </c:pt>
                <c:pt idx="216">
                  <c:v>6703.2076641740277</c:v>
                </c:pt>
                <c:pt idx="217">
                  <c:v>4593.8871139326511</c:v>
                </c:pt>
                <c:pt idx="218">
                  <c:v>12593.562893687675</c:v>
                </c:pt>
                <c:pt idx="219">
                  <c:v>10737.608009902033</c:v>
                </c:pt>
                <c:pt idx="220">
                  <c:v>4984.4393966660718</c:v>
                </c:pt>
                <c:pt idx="221">
                  <c:v>5395.5202796197409</c:v>
                </c:pt>
                <c:pt idx="222">
                  <c:v>5173.6195972600981</c:v>
                </c:pt>
                <c:pt idx="223">
                  <c:v>9266.2758213008783</c:v>
                </c:pt>
                <c:pt idx="224">
                  <c:v>18092.649563076266</c:v>
                </c:pt>
                <c:pt idx="225">
                  <c:v>5510.8326280004403</c:v>
                </c:pt>
                <c:pt idx="226">
                  <c:v>11770.996225801297</c:v>
                </c:pt>
                <c:pt idx="227">
                  <c:v>8912.7268328584323</c:v>
                </c:pt>
                <c:pt idx="228">
                  <c:v>17165.353106882772</c:v>
                </c:pt>
                <c:pt idx="229">
                  <c:v>3955.7781537693372</c:v>
                </c:pt>
                <c:pt idx="230">
                  <c:v>10312.331810730917</c:v>
                </c:pt>
                <c:pt idx="231">
                  <c:v>19508.220611355144</c:v>
                </c:pt>
                <c:pt idx="232">
                  <c:v>4334.3782992271153</c:v>
                </c:pt>
                <c:pt idx="233">
                  <c:v>15716.171933235077</c:v>
                </c:pt>
                <c:pt idx="234">
                  <c:v>11317.678401443496</c:v>
                </c:pt>
                <c:pt idx="235">
                  <c:v>5262.416845841668</c:v>
                </c:pt>
                <c:pt idx="236">
                  <c:v>11833.85296253844</c:v>
                </c:pt>
                <c:pt idx="237">
                  <c:v>4748.0154755745025</c:v>
                </c:pt>
                <c:pt idx="238">
                  <c:v>21608.789654588109</c:v>
                </c:pt>
                <c:pt idx="239">
                  <c:v>22157.172504053822</c:v>
                </c:pt>
                <c:pt idx="240">
                  <c:v>10794.805358376281</c:v>
                </c:pt>
                <c:pt idx="241">
                  <c:v>6481.2774344069767</c:v>
                </c:pt>
                <c:pt idx="242">
                  <c:v>5699.5200582332473</c:v>
                </c:pt>
                <c:pt idx="243">
                  <c:v>11364.187835200093</c:v>
                </c:pt>
                <c:pt idx="244">
                  <c:v>2632.2957579330105</c:v>
                </c:pt>
                <c:pt idx="245">
                  <c:v>7074.8501669165125</c:v>
                </c:pt>
                <c:pt idx="246">
                  <c:v>15467.602871001029</c:v>
                </c:pt>
                <c:pt idx="247">
                  <c:v>8565.9693173980195</c:v>
                </c:pt>
                <c:pt idx="248">
                  <c:v>16431.801780795256</c:v>
                </c:pt>
                <c:pt idx="249">
                  <c:v>6602.5931231484137</c:v>
                </c:pt>
                <c:pt idx="250">
                  <c:v>10153.651511772841</c:v>
                </c:pt>
                <c:pt idx="251">
                  <c:v>22323.922312071125</c:v>
                </c:pt>
                <c:pt idx="252">
                  <c:v>4099.5286690470966</c:v>
                </c:pt>
                <c:pt idx="253">
                  <c:v>13130.845121269202</c:v>
                </c:pt>
                <c:pt idx="254">
                  <c:v>10509.123042425141</c:v>
                </c:pt>
                <c:pt idx="255">
                  <c:v>5658.178520433954</c:v>
                </c:pt>
                <c:pt idx="256">
                  <c:v>12968.824420675344</c:v>
                </c:pt>
                <c:pt idx="257">
                  <c:v>4162.4121049998139</c:v>
                </c:pt>
                <c:pt idx="258">
                  <c:v>10759.975266042093</c:v>
                </c:pt>
                <c:pt idx="259">
                  <c:v>9458.0991368866453</c:v>
                </c:pt>
                <c:pt idx="260">
                  <c:v>-253.08875235337473</c:v>
                </c:pt>
                <c:pt idx="261">
                  <c:v>14982.996667028754</c:v>
                </c:pt>
                <c:pt idx="262">
                  <c:v>8255.0114893476639</c:v>
                </c:pt>
                <c:pt idx="263">
                  <c:v>4104.332428814072</c:v>
                </c:pt>
                <c:pt idx="264">
                  <c:v>5922.5068422703189</c:v>
                </c:pt>
                <c:pt idx="265">
                  <c:v>4500.0202670059225</c:v>
                </c:pt>
                <c:pt idx="266">
                  <c:v>10583.251521221115</c:v>
                </c:pt>
                <c:pt idx="267">
                  <c:v>16820.352465980366</c:v>
                </c:pt>
                <c:pt idx="268">
                  <c:v>13786.363356530921</c:v>
                </c:pt>
                <c:pt idx="269">
                  <c:v>9645.8073924334894</c:v>
                </c:pt>
                <c:pt idx="270">
                  <c:v>5484.7787633538537</c:v>
                </c:pt>
                <c:pt idx="271">
                  <c:v>15221.18946027974</c:v>
                </c:pt>
                <c:pt idx="272">
                  <c:v>14123.061091490701</c:v>
                </c:pt>
                <c:pt idx="273">
                  <c:v>6328.0421508783911</c:v>
                </c:pt>
                <c:pt idx="274">
                  <c:v>10748.371195975342</c:v>
                </c:pt>
                <c:pt idx="275">
                  <c:v>12197.125305796857</c:v>
                </c:pt>
                <c:pt idx="276">
                  <c:v>20830.320086836793</c:v>
                </c:pt>
                <c:pt idx="277">
                  <c:v>13843.233129363623</c:v>
                </c:pt>
                <c:pt idx="278">
                  <c:v>16290.261507074028</c:v>
                </c:pt>
                <c:pt idx="279">
                  <c:v>12707.199098765523</c:v>
                </c:pt>
                <c:pt idx="280">
                  <c:v>9025.2453604875482</c:v>
                </c:pt>
                <c:pt idx="281">
                  <c:v>2103.1103460078157</c:v>
                </c:pt>
                <c:pt idx="282">
                  <c:v>-349.75791978822963</c:v>
                </c:pt>
                <c:pt idx="283">
                  <c:v>8501.0014157200494</c:v>
                </c:pt>
                <c:pt idx="284">
                  <c:v>8277.5536226076219</c:v>
                </c:pt>
                <c:pt idx="285">
                  <c:v>14994.597403204229</c:v>
                </c:pt>
                <c:pt idx="286">
                  <c:v>11904.864159302022</c:v>
                </c:pt>
                <c:pt idx="287">
                  <c:v>11314.285373391336</c:v>
                </c:pt>
                <c:pt idx="288">
                  <c:v>10507.889774958356</c:v>
                </c:pt>
                <c:pt idx="289">
                  <c:v>16629.326186364735</c:v>
                </c:pt>
                <c:pt idx="290">
                  <c:v>1519.9064863095118</c:v>
                </c:pt>
                <c:pt idx="291">
                  <c:v>8950.9642871707329</c:v>
                </c:pt>
                <c:pt idx="292">
                  <c:v>5256.7979854394434</c:v>
                </c:pt>
                <c:pt idx="293">
                  <c:v>6897.7765607995243</c:v>
                </c:pt>
                <c:pt idx="294">
                  <c:v>15294.654514596892</c:v>
                </c:pt>
                <c:pt idx="295">
                  <c:v>12237.967870844193</c:v>
                </c:pt>
                <c:pt idx="296">
                  <c:v>18798.026690292772</c:v>
                </c:pt>
                <c:pt idx="297">
                  <c:v>21439.270162120032</c:v>
                </c:pt>
                <c:pt idx="298">
                  <c:v>3189.2535280102893</c:v>
                </c:pt>
                <c:pt idx="299">
                  <c:v>8769.9577481718588</c:v>
                </c:pt>
                <c:pt idx="300">
                  <c:v>2480.5589144119294</c:v>
                </c:pt>
                <c:pt idx="301">
                  <c:v>2775.4517025506793</c:v>
                </c:pt>
                <c:pt idx="302">
                  <c:v>10479.922864528708</c:v>
                </c:pt>
                <c:pt idx="303">
                  <c:v>6695.3177529875393</c:v>
                </c:pt>
                <c:pt idx="304">
                  <c:v>16752.03282767073</c:v>
                </c:pt>
                <c:pt idx="305">
                  <c:v>12441.825200081381</c:v>
                </c:pt>
                <c:pt idx="306">
                  <c:v>14567.014408794712</c:v>
                </c:pt>
                <c:pt idx="307">
                  <c:v>16380.363378248949</c:v>
                </c:pt>
                <c:pt idx="308">
                  <c:v>8964.550278032948</c:v>
                </c:pt>
                <c:pt idx="309">
                  <c:v>4843.1837494539359</c:v>
                </c:pt>
                <c:pt idx="310">
                  <c:v>6493.554777644109</c:v>
                </c:pt>
                <c:pt idx="311">
                  <c:v>6899.4777183252882</c:v>
                </c:pt>
                <c:pt idx="312">
                  <c:v>14166.197526382472</c:v>
                </c:pt>
                <c:pt idx="313">
                  <c:v>7412.7045155043306</c:v>
                </c:pt>
                <c:pt idx="314">
                  <c:v>13154.985775269415</c:v>
                </c:pt>
                <c:pt idx="315">
                  <c:v>16850.529866261189</c:v>
                </c:pt>
                <c:pt idx="316">
                  <c:v>12017.521451021043</c:v>
                </c:pt>
                <c:pt idx="317">
                  <c:v>5841.3761695902213</c:v>
                </c:pt>
                <c:pt idx="318">
                  <c:v>12656.522563526596</c:v>
                </c:pt>
                <c:pt idx="319">
                  <c:v>2842.659634705502</c:v>
                </c:pt>
                <c:pt idx="320">
                  <c:v>8827.3125661989325</c:v>
                </c:pt>
                <c:pt idx="321">
                  <c:v>7538.2725004992099</c:v>
                </c:pt>
                <c:pt idx="322">
                  <c:v>15105.125558869098</c:v>
                </c:pt>
                <c:pt idx="323">
                  <c:v>14423.520096161024</c:v>
                </c:pt>
                <c:pt idx="324">
                  <c:v>21869.107744822279</c:v>
                </c:pt>
                <c:pt idx="325">
                  <c:v>8904.0739830244711</c:v>
                </c:pt>
                <c:pt idx="326">
                  <c:v>13086.062460102243</c:v>
                </c:pt>
                <c:pt idx="327">
                  <c:v>1465.056759046638</c:v>
                </c:pt>
                <c:pt idx="328">
                  <c:v>14107.493363668007</c:v>
                </c:pt>
                <c:pt idx="329">
                  <c:v>10144.146444283804</c:v>
                </c:pt>
                <c:pt idx="330">
                  <c:v>3880.986497109996</c:v>
                </c:pt>
                <c:pt idx="331">
                  <c:v>5773.2602644136932</c:v>
                </c:pt>
                <c:pt idx="332">
                  <c:v>24091.214229310353</c:v>
                </c:pt>
                <c:pt idx="333">
                  <c:v>5820.7926872234966</c:v>
                </c:pt>
                <c:pt idx="334">
                  <c:v>-936.06574626608926</c:v>
                </c:pt>
                <c:pt idx="335">
                  <c:v>3032.1499218133104</c:v>
                </c:pt>
                <c:pt idx="336">
                  <c:v>7374.7934557178669</c:v>
                </c:pt>
                <c:pt idx="337">
                  <c:v>-678.18945605604677</c:v>
                </c:pt>
                <c:pt idx="338">
                  <c:v>1037.2694315948611</c:v>
                </c:pt>
                <c:pt idx="339">
                  <c:v>16522.886331566515</c:v>
                </c:pt>
                <c:pt idx="340">
                  <c:v>4845.1060581392958</c:v>
                </c:pt>
                <c:pt idx="341">
                  <c:v>5967.7674644281069</c:v>
                </c:pt>
                <c:pt idx="342">
                  <c:v>9653.1960161124734</c:v>
                </c:pt>
                <c:pt idx="343">
                  <c:v>19009.502855547034</c:v>
                </c:pt>
                <c:pt idx="344">
                  <c:v>11484.937579350546</c:v>
                </c:pt>
                <c:pt idx="345">
                  <c:v>11880.775008785262</c:v>
                </c:pt>
                <c:pt idx="346">
                  <c:v>6597.2923853175598</c:v>
                </c:pt>
                <c:pt idx="347">
                  <c:v>15691.269444741381</c:v>
                </c:pt>
                <c:pt idx="348">
                  <c:v>6157.150034541788</c:v>
                </c:pt>
                <c:pt idx="349">
                  <c:v>11820.069839609729</c:v>
                </c:pt>
                <c:pt idx="350">
                  <c:v>19131.709018712834</c:v>
                </c:pt>
                <c:pt idx="351">
                  <c:v>10073.895373912863</c:v>
                </c:pt>
                <c:pt idx="352">
                  <c:v>1268.1039378688147</c:v>
                </c:pt>
                <c:pt idx="353">
                  <c:v>6855.8841349927243</c:v>
                </c:pt>
                <c:pt idx="354">
                  <c:v>8706.639347139746</c:v>
                </c:pt>
                <c:pt idx="355">
                  <c:v>9063.3187076726172</c:v>
                </c:pt>
                <c:pt idx="356">
                  <c:v>15833.586221105768</c:v>
                </c:pt>
                <c:pt idx="357">
                  <c:v>4859.2280988685015</c:v>
                </c:pt>
                <c:pt idx="358">
                  <c:v>8139.3183194452504</c:v>
                </c:pt>
                <c:pt idx="359">
                  <c:v>7081.3810581409634</c:v>
                </c:pt>
                <c:pt idx="360">
                  <c:v>16083.998275134451</c:v>
                </c:pt>
                <c:pt idx="361">
                  <c:v>7334.7201735972485</c:v>
                </c:pt>
                <c:pt idx="362">
                  <c:v>16505.328792694112</c:v>
                </c:pt>
                <c:pt idx="363">
                  <c:v>10044.420194522216</c:v>
                </c:pt>
                <c:pt idx="364">
                  <c:v>9332.198005179016</c:v>
                </c:pt>
                <c:pt idx="365">
                  <c:v>6982.8913265470183</c:v>
                </c:pt>
                <c:pt idx="366">
                  <c:v>10299.55302509552</c:v>
                </c:pt>
                <c:pt idx="367">
                  <c:v>11165.895550603906</c:v>
                </c:pt>
                <c:pt idx="368">
                  <c:v>10979.052003986784</c:v>
                </c:pt>
                <c:pt idx="369">
                  <c:v>10778.50713345984</c:v>
                </c:pt>
                <c:pt idx="370">
                  <c:v>5997.514340286114</c:v>
                </c:pt>
                <c:pt idx="371">
                  <c:v>12174.884204792455</c:v>
                </c:pt>
                <c:pt idx="372">
                  <c:v>9142.1675256315211</c:v>
                </c:pt>
                <c:pt idx="373">
                  <c:v>12321.995491670561</c:v>
                </c:pt>
                <c:pt idx="374">
                  <c:v>6296.7943572822842</c:v>
                </c:pt>
                <c:pt idx="375">
                  <c:v>2833.0975803238252</c:v>
                </c:pt>
                <c:pt idx="376">
                  <c:v>4384.2415408657835</c:v>
                </c:pt>
                <c:pt idx="377">
                  <c:v>8485.1494326933534</c:v>
                </c:pt>
                <c:pt idx="378">
                  <c:v>11471.946941614922</c:v>
                </c:pt>
                <c:pt idx="379">
                  <c:v>10334.456199880908</c:v>
                </c:pt>
                <c:pt idx="380">
                  <c:v>11824.146387139175</c:v>
                </c:pt>
                <c:pt idx="381">
                  <c:v>10274.739724602077</c:v>
                </c:pt>
                <c:pt idx="382">
                  <c:v>18729.830979367471</c:v>
                </c:pt>
                <c:pt idx="383">
                  <c:v>13385.0760005298</c:v>
                </c:pt>
                <c:pt idx="384">
                  <c:v>6247.1801474801614</c:v>
                </c:pt>
                <c:pt idx="385">
                  <c:v>16467.722828705308</c:v>
                </c:pt>
                <c:pt idx="386">
                  <c:v>11199.051033892509</c:v>
                </c:pt>
                <c:pt idx="387">
                  <c:v>16200.092273910122</c:v>
                </c:pt>
                <c:pt idx="388">
                  <c:v>12697.601003676958</c:v>
                </c:pt>
                <c:pt idx="389">
                  <c:v>1419.3690269918297</c:v>
                </c:pt>
                <c:pt idx="390">
                  <c:v>9621.1159299566643</c:v>
                </c:pt>
                <c:pt idx="391">
                  <c:v>5130.604537066276</c:v>
                </c:pt>
                <c:pt idx="392">
                  <c:v>656.96272166792187</c:v>
                </c:pt>
                <c:pt idx="393">
                  <c:v>18565.16003429929</c:v>
                </c:pt>
                <c:pt idx="394">
                  <c:v>6632.797376235656</c:v>
                </c:pt>
                <c:pt idx="395">
                  <c:v>5315.802480835875</c:v>
                </c:pt>
                <c:pt idx="396">
                  <c:v>12091.738260637052</c:v>
                </c:pt>
                <c:pt idx="397">
                  <c:v>3718.9337012152973</c:v>
                </c:pt>
                <c:pt idx="398">
                  <c:v>6355.7318524277216</c:v>
                </c:pt>
                <c:pt idx="399">
                  <c:v>15232.965327139318</c:v>
                </c:pt>
                <c:pt idx="400">
                  <c:v>7463.8542249260208</c:v>
                </c:pt>
                <c:pt idx="401">
                  <c:v>5768.3125208237034</c:v>
                </c:pt>
                <c:pt idx="402">
                  <c:v>718.48688973569369</c:v>
                </c:pt>
                <c:pt idx="403">
                  <c:v>12643.03739633457</c:v>
                </c:pt>
                <c:pt idx="404">
                  <c:v>5085.346504625908</c:v>
                </c:pt>
                <c:pt idx="405">
                  <c:v>7644.5624206905923</c:v>
                </c:pt>
                <c:pt idx="406">
                  <c:v>17171.545757044572</c:v>
                </c:pt>
                <c:pt idx="407">
                  <c:v>1202.710604764754</c:v>
                </c:pt>
                <c:pt idx="408">
                  <c:v>6764.6272456230799</c:v>
                </c:pt>
                <c:pt idx="409">
                  <c:v>20705.442657846303</c:v>
                </c:pt>
                <c:pt idx="410">
                  <c:v>11941.492250708281</c:v>
                </c:pt>
                <c:pt idx="411">
                  <c:v>12670.592007581756</c:v>
                </c:pt>
                <c:pt idx="412">
                  <c:v>10875.51635846823</c:v>
                </c:pt>
                <c:pt idx="413">
                  <c:v>4057.2682744864578</c:v>
                </c:pt>
                <c:pt idx="414">
                  <c:v>2397.2617587098794</c:v>
                </c:pt>
                <c:pt idx="415">
                  <c:v>7374.7603841082018</c:v>
                </c:pt>
                <c:pt idx="416">
                  <c:v>12863.588696359344</c:v>
                </c:pt>
                <c:pt idx="417">
                  <c:v>1554.6265236405306</c:v>
                </c:pt>
                <c:pt idx="418">
                  <c:v>15772.614009224344</c:v>
                </c:pt>
                <c:pt idx="419">
                  <c:v>5704.3094447364128</c:v>
                </c:pt>
                <c:pt idx="420">
                  <c:v>9231.6488898600219</c:v>
                </c:pt>
                <c:pt idx="421">
                  <c:v>5783.1639868787461</c:v>
                </c:pt>
                <c:pt idx="422">
                  <c:v>6708.8122017169226</c:v>
                </c:pt>
                <c:pt idx="423">
                  <c:v>6024.4296836521971</c:v>
                </c:pt>
                <c:pt idx="424">
                  <c:v>2073.2529608232944</c:v>
                </c:pt>
                <c:pt idx="425">
                  <c:v>4131.7955252865358</c:v>
                </c:pt>
                <c:pt idx="426">
                  <c:v>-1045.9651845055414</c:v>
                </c:pt>
                <c:pt idx="427">
                  <c:v>8956.2543358559051</c:v>
                </c:pt>
                <c:pt idx="428">
                  <c:v>14484.634356077921</c:v>
                </c:pt>
                <c:pt idx="429">
                  <c:v>12256.846034220565</c:v>
                </c:pt>
                <c:pt idx="430">
                  <c:v>16588.016584024052</c:v>
                </c:pt>
                <c:pt idx="431">
                  <c:v>13313.062913201982</c:v>
                </c:pt>
                <c:pt idx="432">
                  <c:v>9954.6721206266084</c:v>
                </c:pt>
                <c:pt idx="433">
                  <c:v>13760.687492889774</c:v>
                </c:pt>
                <c:pt idx="434">
                  <c:v>12333.337204567375</c:v>
                </c:pt>
                <c:pt idx="435">
                  <c:v>6263.0838066771685</c:v>
                </c:pt>
                <c:pt idx="436">
                  <c:v>10035.237926633701</c:v>
                </c:pt>
                <c:pt idx="437">
                  <c:v>18780.393161874541</c:v>
                </c:pt>
                <c:pt idx="438">
                  <c:v>12566.964135746872</c:v>
                </c:pt>
                <c:pt idx="439">
                  <c:v>8974.8668846286309</c:v>
                </c:pt>
                <c:pt idx="440">
                  <c:v>3239.0701343914843</c:v>
                </c:pt>
                <c:pt idx="441">
                  <c:v>11377.669791490116</c:v>
                </c:pt>
                <c:pt idx="442">
                  <c:v>11113.791117933928</c:v>
                </c:pt>
                <c:pt idx="443">
                  <c:v>5893.190096145976</c:v>
                </c:pt>
                <c:pt idx="444">
                  <c:v>10452.705326169074</c:v>
                </c:pt>
                <c:pt idx="445">
                  <c:v>11753.250282277397</c:v>
                </c:pt>
                <c:pt idx="446">
                  <c:v>21898.253036660841</c:v>
                </c:pt>
                <c:pt idx="447">
                  <c:v>17396.56858019004</c:v>
                </c:pt>
                <c:pt idx="448">
                  <c:v>13869.910257516662</c:v>
                </c:pt>
                <c:pt idx="449">
                  <c:v>2825.7766192320414</c:v>
                </c:pt>
                <c:pt idx="450">
                  <c:v>8939.1354031571391</c:v>
                </c:pt>
                <c:pt idx="451">
                  <c:v>7312.4268907915248</c:v>
                </c:pt>
                <c:pt idx="452">
                  <c:v>6478.1144075352204</c:v>
                </c:pt>
                <c:pt idx="453">
                  <c:v>10875.602410986088</c:v>
                </c:pt>
                <c:pt idx="454">
                  <c:v>11886.26652830909</c:v>
                </c:pt>
                <c:pt idx="455">
                  <c:v>2130.4568973667774</c:v>
                </c:pt>
                <c:pt idx="456">
                  <c:v>17624.780927114203</c:v>
                </c:pt>
                <c:pt idx="457">
                  <c:v>18559.276736523534</c:v>
                </c:pt>
                <c:pt idx="458">
                  <c:v>-724.76858643189917</c:v>
                </c:pt>
                <c:pt idx="459">
                  <c:v>8409.6813634736027</c:v>
                </c:pt>
                <c:pt idx="460">
                  <c:v>11567.893855988688</c:v>
                </c:pt>
                <c:pt idx="461">
                  <c:v>8174.129621068394</c:v>
                </c:pt>
                <c:pt idx="462">
                  <c:v>12647.859405644529</c:v>
                </c:pt>
                <c:pt idx="463">
                  <c:v>17276.030914236093</c:v>
                </c:pt>
                <c:pt idx="464">
                  <c:v>6422.8653906518011</c:v>
                </c:pt>
                <c:pt idx="465">
                  <c:v>15583.94441907444</c:v>
                </c:pt>
                <c:pt idx="466">
                  <c:v>6167.0512544710218</c:v>
                </c:pt>
                <c:pt idx="467">
                  <c:v>11036.58196653644</c:v>
                </c:pt>
                <c:pt idx="468">
                  <c:v>4021.910812228467</c:v>
                </c:pt>
                <c:pt idx="469">
                  <c:v>4186.2717108936049</c:v>
                </c:pt>
                <c:pt idx="470">
                  <c:v>11656.149207956158</c:v>
                </c:pt>
                <c:pt idx="471">
                  <c:v>9031.8186817457463</c:v>
                </c:pt>
                <c:pt idx="472">
                  <c:v>8057.394190820225</c:v>
                </c:pt>
                <c:pt idx="473">
                  <c:v>7284.5564341110585</c:v>
                </c:pt>
                <c:pt idx="474">
                  <c:v>1828.2130218271777</c:v>
                </c:pt>
                <c:pt idx="475">
                  <c:v>13671.792698105288</c:v>
                </c:pt>
                <c:pt idx="476">
                  <c:v>13469.667914520775</c:v>
                </c:pt>
                <c:pt idx="477">
                  <c:v>12609.464629901704</c:v>
                </c:pt>
                <c:pt idx="478">
                  <c:v>14007.058629768682</c:v>
                </c:pt>
                <c:pt idx="479">
                  <c:v>7188.3916129432182</c:v>
                </c:pt>
                <c:pt idx="480">
                  <c:v>6285.6359466765498</c:v>
                </c:pt>
                <c:pt idx="481">
                  <c:v>16802.828476374911</c:v>
                </c:pt>
                <c:pt idx="482">
                  <c:v>-1543.9064126046578</c:v>
                </c:pt>
                <c:pt idx="483">
                  <c:v>7239.4349622218288</c:v>
                </c:pt>
                <c:pt idx="484">
                  <c:v>2123.9834556223213</c:v>
                </c:pt>
                <c:pt idx="485">
                  <c:v>7780.2746077130432</c:v>
                </c:pt>
                <c:pt idx="486">
                  <c:v>10944.606040949642</c:v>
                </c:pt>
                <c:pt idx="487">
                  <c:v>6450.2671589039528</c:v>
                </c:pt>
                <c:pt idx="488">
                  <c:v>27079.73116288826</c:v>
                </c:pt>
                <c:pt idx="489">
                  <c:v>8270.2372655706786</c:v>
                </c:pt>
                <c:pt idx="490">
                  <c:v>8466.3903921866877</c:v>
                </c:pt>
                <c:pt idx="491">
                  <c:v>1494.6758402844716</c:v>
                </c:pt>
                <c:pt idx="492">
                  <c:v>16891.020534144976</c:v>
                </c:pt>
                <c:pt idx="493">
                  <c:v>14365.888257057755</c:v>
                </c:pt>
                <c:pt idx="494">
                  <c:v>18412.436627682742</c:v>
                </c:pt>
                <c:pt idx="495">
                  <c:v>15586.322825005518</c:v>
                </c:pt>
                <c:pt idx="496">
                  <c:v>12526.920477779538</c:v>
                </c:pt>
                <c:pt idx="497">
                  <c:v>14933.988992294209</c:v>
                </c:pt>
                <c:pt idx="498">
                  <c:v>10025.859806892317</c:v>
                </c:pt>
                <c:pt idx="499">
                  <c:v>17705.937449517936</c:v>
                </c:pt>
                <c:pt idx="500">
                  <c:v>9210.4479561167827</c:v>
                </c:pt>
                <c:pt idx="501">
                  <c:v>11481.831569462171</c:v>
                </c:pt>
                <c:pt idx="502">
                  <c:v>5144.1390005402718</c:v>
                </c:pt>
                <c:pt idx="503">
                  <c:v>2752.5041992170154</c:v>
                </c:pt>
                <c:pt idx="504">
                  <c:v>18240.867939355885</c:v>
                </c:pt>
                <c:pt idx="505">
                  <c:v>11237.808369444872</c:v>
                </c:pt>
                <c:pt idx="506">
                  <c:v>14961.075533751151</c:v>
                </c:pt>
                <c:pt idx="507">
                  <c:v>6097.5695094301191</c:v>
                </c:pt>
                <c:pt idx="508">
                  <c:v>12721.189290051159</c:v>
                </c:pt>
                <c:pt idx="509">
                  <c:v>14931.400445749576</c:v>
                </c:pt>
                <c:pt idx="510">
                  <c:v>11867.330887674791</c:v>
                </c:pt>
                <c:pt idx="511">
                  <c:v>7425.0268617187248</c:v>
                </c:pt>
                <c:pt idx="512">
                  <c:v>10508.44474426868</c:v>
                </c:pt>
                <c:pt idx="513">
                  <c:v>13594.681271842193</c:v>
                </c:pt>
                <c:pt idx="514">
                  <c:v>13550.352724331839</c:v>
                </c:pt>
                <c:pt idx="515">
                  <c:v>7604.9260099001694</c:v>
                </c:pt>
                <c:pt idx="516">
                  <c:v>17307.776898793963</c:v>
                </c:pt>
                <c:pt idx="517">
                  <c:v>6204.9037319985655</c:v>
                </c:pt>
                <c:pt idx="518">
                  <c:v>10748.195861531334</c:v>
                </c:pt>
                <c:pt idx="519">
                  <c:v>15327.361526393026</c:v>
                </c:pt>
                <c:pt idx="520">
                  <c:v>9832.2362911048695</c:v>
                </c:pt>
                <c:pt idx="521">
                  <c:v>5314.7879849988385</c:v>
                </c:pt>
                <c:pt idx="522">
                  <c:v>4533.3115424205171</c:v>
                </c:pt>
                <c:pt idx="523">
                  <c:v>6210.26899314193</c:v>
                </c:pt>
                <c:pt idx="524">
                  <c:v>4282.975846392219</c:v>
                </c:pt>
                <c:pt idx="525">
                  <c:v>19261.820113526534</c:v>
                </c:pt>
                <c:pt idx="526">
                  <c:v>23511.32614217676</c:v>
                </c:pt>
                <c:pt idx="527">
                  <c:v>9618.2235434422037</c:v>
                </c:pt>
                <c:pt idx="528">
                  <c:v>-648.17951704023289</c:v>
                </c:pt>
                <c:pt idx="529">
                  <c:v>9203.28338030343</c:v>
                </c:pt>
                <c:pt idx="530">
                  <c:v>21469.471549999638</c:v>
                </c:pt>
                <c:pt idx="531">
                  <c:v>7462.8840996998479</c:v>
                </c:pt>
                <c:pt idx="532">
                  <c:v>6237.2086757371653</c:v>
                </c:pt>
                <c:pt idx="533">
                  <c:v>1327.1088639194495</c:v>
                </c:pt>
                <c:pt idx="534">
                  <c:v>11342.594863593557</c:v>
                </c:pt>
                <c:pt idx="535">
                  <c:v>9325.4968584382441</c:v>
                </c:pt>
                <c:pt idx="536">
                  <c:v>13572.197471904612</c:v>
                </c:pt>
                <c:pt idx="537">
                  <c:v>6159.6794546039891</c:v>
                </c:pt>
                <c:pt idx="538">
                  <c:v>7384.7541977532819</c:v>
                </c:pt>
                <c:pt idx="539">
                  <c:v>11749.270887808947</c:v>
                </c:pt>
                <c:pt idx="540">
                  <c:v>8890.9191669241845</c:v>
                </c:pt>
                <c:pt idx="541">
                  <c:v>5211.7398427533917</c:v>
                </c:pt>
                <c:pt idx="542">
                  <c:v>11352.327902226018</c:v>
                </c:pt>
                <c:pt idx="543">
                  <c:v>14073.764289964798</c:v>
                </c:pt>
                <c:pt idx="544">
                  <c:v>21245.510363628957</c:v>
                </c:pt>
                <c:pt idx="545">
                  <c:v>6827.911358141806</c:v>
                </c:pt>
                <c:pt idx="546">
                  <c:v>10625.130169258235</c:v>
                </c:pt>
                <c:pt idx="547">
                  <c:v>8795.3380497512844</c:v>
                </c:pt>
                <c:pt idx="548">
                  <c:v>2437.7269843465911</c:v>
                </c:pt>
                <c:pt idx="549">
                  <c:v>21546.876447073118</c:v>
                </c:pt>
                <c:pt idx="550">
                  <c:v>7253.4196991615318</c:v>
                </c:pt>
                <c:pt idx="551">
                  <c:v>18028.864356149759</c:v>
                </c:pt>
                <c:pt idx="552">
                  <c:v>1185.9958806654322</c:v>
                </c:pt>
                <c:pt idx="553">
                  <c:v>5132.5140062858773</c:v>
                </c:pt>
                <c:pt idx="554">
                  <c:v>7979.4233708440734</c:v>
                </c:pt>
                <c:pt idx="555">
                  <c:v>17030.771399854333</c:v>
                </c:pt>
                <c:pt idx="556">
                  <c:v>16106.000041804044</c:v>
                </c:pt>
                <c:pt idx="557">
                  <c:v>5117.7462982220459</c:v>
                </c:pt>
                <c:pt idx="558">
                  <c:v>22548.004686976084</c:v>
                </c:pt>
                <c:pt idx="559">
                  <c:v>-2105.7195651213551</c:v>
                </c:pt>
                <c:pt idx="560">
                  <c:v>402.43933936799294</c:v>
                </c:pt>
                <c:pt idx="561">
                  <c:v>11894.594257774275</c:v>
                </c:pt>
                <c:pt idx="562">
                  <c:v>7641.4978979516454</c:v>
                </c:pt>
                <c:pt idx="563">
                  <c:v>3058.0853741648243</c:v>
                </c:pt>
                <c:pt idx="564">
                  <c:v>5095.3033876408444</c:v>
                </c:pt>
                <c:pt idx="565">
                  <c:v>8754.2529658794519</c:v>
                </c:pt>
                <c:pt idx="566">
                  <c:v>10018.074586434937</c:v>
                </c:pt>
                <c:pt idx="567">
                  <c:v>10944.064761737303</c:v>
                </c:pt>
                <c:pt idx="568">
                  <c:v>16150.354999703857</c:v>
                </c:pt>
                <c:pt idx="569">
                  <c:v>15522.083437750131</c:v>
                </c:pt>
                <c:pt idx="570">
                  <c:v>9411.5360250367739</c:v>
                </c:pt>
                <c:pt idx="571">
                  <c:v>9093.626964309813</c:v>
                </c:pt>
                <c:pt idx="572">
                  <c:v>6219.1731326895533</c:v>
                </c:pt>
                <c:pt idx="573">
                  <c:v>7917.7293406715544</c:v>
                </c:pt>
                <c:pt idx="574">
                  <c:v>10131.268613425789</c:v>
                </c:pt>
                <c:pt idx="575">
                  <c:v>6527.967393400264</c:v>
                </c:pt>
                <c:pt idx="576">
                  <c:v>7136.6374420899083</c:v>
                </c:pt>
                <c:pt idx="577">
                  <c:v>10671.730476934026</c:v>
                </c:pt>
                <c:pt idx="578">
                  <c:v>22334.990180056033</c:v>
                </c:pt>
                <c:pt idx="579">
                  <c:v>8349.9905975621223</c:v>
                </c:pt>
                <c:pt idx="580">
                  <c:v>2775.8146122637409</c:v>
                </c:pt>
                <c:pt idx="581">
                  <c:v>9354.0660623233271</c:v>
                </c:pt>
                <c:pt idx="582">
                  <c:v>8091.922424794262</c:v>
                </c:pt>
                <c:pt idx="583">
                  <c:v>11237.176182961732</c:v>
                </c:pt>
                <c:pt idx="584">
                  <c:v>7005.5252603836852</c:v>
                </c:pt>
                <c:pt idx="585">
                  <c:v>10198.71502140387</c:v>
                </c:pt>
                <c:pt idx="586">
                  <c:v>5412.6600047755128</c:v>
                </c:pt>
                <c:pt idx="587">
                  <c:v>13848.785963352333</c:v>
                </c:pt>
                <c:pt idx="588">
                  <c:v>8388.3671266907768</c:v>
                </c:pt>
                <c:pt idx="589">
                  <c:v>9449.625079694837</c:v>
                </c:pt>
                <c:pt idx="590">
                  <c:v>2602.202382169562</c:v>
                </c:pt>
                <c:pt idx="591">
                  <c:v>16870.682046301255</c:v>
                </c:pt>
                <c:pt idx="592">
                  <c:v>5945.4283382638241</c:v>
                </c:pt>
                <c:pt idx="593">
                  <c:v>7842.0561358133273</c:v>
                </c:pt>
                <c:pt idx="594">
                  <c:v>13070.65694832892</c:v>
                </c:pt>
                <c:pt idx="595">
                  <c:v>5547.6119055253366</c:v>
                </c:pt>
                <c:pt idx="596">
                  <c:v>13754.91340289294</c:v>
                </c:pt>
                <c:pt idx="597">
                  <c:v>8686.0182001231151</c:v>
                </c:pt>
                <c:pt idx="598">
                  <c:v>4381.5363822130385</c:v>
                </c:pt>
                <c:pt idx="599">
                  <c:v>10432.352539478074</c:v>
                </c:pt>
                <c:pt idx="600">
                  <c:v>12202.347796478571</c:v>
                </c:pt>
                <c:pt idx="601">
                  <c:v>7104.5608804678195</c:v>
                </c:pt>
                <c:pt idx="602">
                  <c:v>2344.9352473529871</c:v>
                </c:pt>
                <c:pt idx="603">
                  <c:v>11793.053676163399</c:v>
                </c:pt>
                <c:pt idx="604">
                  <c:v>6993.5393794627889</c:v>
                </c:pt>
                <c:pt idx="605">
                  <c:v>9628.3371341010643</c:v>
                </c:pt>
                <c:pt idx="606">
                  <c:v>12882.151707541168</c:v>
                </c:pt>
                <c:pt idx="607">
                  <c:v>5009.1353359642526</c:v>
                </c:pt>
                <c:pt idx="608">
                  <c:v>9841.6503329732004</c:v>
                </c:pt>
                <c:pt idx="609">
                  <c:v>9517.2485881026514</c:v>
                </c:pt>
                <c:pt idx="610">
                  <c:v>7282.9548723592015</c:v>
                </c:pt>
                <c:pt idx="611">
                  <c:v>10917.085704155135</c:v>
                </c:pt>
                <c:pt idx="612">
                  <c:v>11984.597919289852</c:v>
                </c:pt>
                <c:pt idx="613">
                  <c:v>2285.2582645252478</c:v>
                </c:pt>
                <c:pt idx="614">
                  <c:v>5731.557135517025</c:v>
                </c:pt>
                <c:pt idx="615">
                  <c:v>8554.6084561726602</c:v>
                </c:pt>
                <c:pt idx="616">
                  <c:v>4280.6469292785187</c:v>
                </c:pt>
                <c:pt idx="617">
                  <c:v>15920.145665291479</c:v>
                </c:pt>
                <c:pt idx="618">
                  <c:v>-2791.0916348805185</c:v>
                </c:pt>
                <c:pt idx="619">
                  <c:v>4895.6993378309562</c:v>
                </c:pt>
                <c:pt idx="620">
                  <c:v>11785.209707492439</c:v>
                </c:pt>
                <c:pt idx="621">
                  <c:v>2524.8907616249489</c:v>
                </c:pt>
                <c:pt idx="622">
                  <c:v>5469.0383615737228</c:v>
                </c:pt>
                <c:pt idx="623">
                  <c:v>16007.759764928996</c:v>
                </c:pt>
                <c:pt idx="624">
                  <c:v>3825.5740296179138</c:v>
                </c:pt>
                <c:pt idx="625">
                  <c:v>9370.8438787617706</c:v>
                </c:pt>
                <c:pt idx="626">
                  <c:v>7757.2381259705144</c:v>
                </c:pt>
                <c:pt idx="627">
                  <c:v>-911.94393595842121</c:v>
                </c:pt>
                <c:pt idx="628">
                  <c:v>10649.944723161629</c:v>
                </c:pt>
                <c:pt idx="629">
                  <c:v>17765.250824282717</c:v>
                </c:pt>
                <c:pt idx="630">
                  <c:v>3849.7379361153144</c:v>
                </c:pt>
                <c:pt idx="631">
                  <c:v>5591.5218948172987</c:v>
                </c:pt>
                <c:pt idx="632">
                  <c:v>16328.706735103682</c:v>
                </c:pt>
                <c:pt idx="633">
                  <c:v>16016.380510616087</c:v>
                </c:pt>
                <c:pt idx="634">
                  <c:v>10542.611402609138</c:v>
                </c:pt>
                <c:pt idx="635">
                  <c:v>14325.581341885045</c:v>
                </c:pt>
                <c:pt idx="636">
                  <c:v>5946.3537077043875</c:v>
                </c:pt>
                <c:pt idx="637">
                  <c:v>5596.1135971680778</c:v>
                </c:pt>
                <c:pt idx="638">
                  <c:v>9060.0971714034022</c:v>
                </c:pt>
                <c:pt idx="639">
                  <c:v>15940.066847227121</c:v>
                </c:pt>
                <c:pt idx="640">
                  <c:v>9884.1359383353702</c:v>
                </c:pt>
                <c:pt idx="641">
                  <c:v>2370.8397089958453</c:v>
                </c:pt>
                <c:pt idx="642">
                  <c:v>8863.7526173563529</c:v>
                </c:pt>
                <c:pt idx="643">
                  <c:v>20682.318935441115</c:v>
                </c:pt>
                <c:pt idx="644">
                  <c:v>5286.9489596814819</c:v>
                </c:pt>
                <c:pt idx="645">
                  <c:v>13482.824732638081</c:v>
                </c:pt>
                <c:pt idx="646">
                  <c:v>5890.0587713378045</c:v>
                </c:pt>
                <c:pt idx="647">
                  <c:v>9581.1151059855474</c:v>
                </c:pt>
                <c:pt idx="648">
                  <c:v>11333.102111112152</c:v>
                </c:pt>
                <c:pt idx="649">
                  <c:v>14196.8748057661</c:v>
                </c:pt>
                <c:pt idx="650">
                  <c:v>474.54521937119716</c:v>
                </c:pt>
                <c:pt idx="651">
                  <c:v>13398.748334798511</c:v>
                </c:pt>
                <c:pt idx="652">
                  <c:v>12265.074633958146</c:v>
                </c:pt>
                <c:pt idx="653">
                  <c:v>19416.103954106511</c:v>
                </c:pt>
                <c:pt idx="654">
                  <c:v>7673.0659097784228</c:v>
                </c:pt>
                <c:pt idx="655">
                  <c:v>17039.042160002296</c:v>
                </c:pt>
                <c:pt idx="656">
                  <c:v>12512.415454376809</c:v>
                </c:pt>
                <c:pt idx="657">
                  <c:v>12418.812722182018</c:v>
                </c:pt>
                <c:pt idx="658">
                  <c:v>13960.452620010932</c:v>
                </c:pt>
                <c:pt idx="659">
                  <c:v>13795.78488324667</c:v>
                </c:pt>
                <c:pt idx="660">
                  <c:v>8035.30422761706</c:v>
                </c:pt>
                <c:pt idx="661">
                  <c:v>2345.5595955501485</c:v>
                </c:pt>
                <c:pt idx="662">
                  <c:v>11624.990441082024</c:v>
                </c:pt>
                <c:pt idx="663">
                  <c:v>9817.2906466293789</c:v>
                </c:pt>
                <c:pt idx="664">
                  <c:v>485.26486315696093</c:v>
                </c:pt>
                <c:pt idx="665">
                  <c:v>9080.9910278856405</c:v>
                </c:pt>
                <c:pt idx="666">
                  <c:v>17221.44081290465</c:v>
                </c:pt>
                <c:pt idx="667">
                  <c:v>7374.8920036829077</c:v>
                </c:pt>
                <c:pt idx="668">
                  <c:v>2440.3042846444587</c:v>
                </c:pt>
                <c:pt idx="669">
                  <c:v>12622.208904627594</c:v>
                </c:pt>
                <c:pt idx="670">
                  <c:v>9803.2468130976777</c:v>
                </c:pt>
                <c:pt idx="671">
                  <c:v>12019.389487681205</c:v>
                </c:pt>
                <c:pt idx="672">
                  <c:v>23518.301209981015</c:v>
                </c:pt>
                <c:pt idx="673">
                  <c:v>11275.847431549009</c:v>
                </c:pt>
                <c:pt idx="674">
                  <c:v>3577.9970376397687</c:v>
                </c:pt>
                <c:pt idx="675">
                  <c:v>5274.0417658627557</c:v>
                </c:pt>
                <c:pt idx="676">
                  <c:v>16131.755438592896</c:v>
                </c:pt>
                <c:pt idx="677">
                  <c:v>16967.513634457864</c:v>
                </c:pt>
                <c:pt idx="678">
                  <c:v>10518.529895815649</c:v>
                </c:pt>
                <c:pt idx="679">
                  <c:v>3777.242893737508</c:v>
                </c:pt>
                <c:pt idx="680">
                  <c:v>6704.7722607703327</c:v>
                </c:pt>
                <c:pt idx="681">
                  <c:v>14676.243389318937</c:v>
                </c:pt>
                <c:pt idx="682">
                  <c:v>6194.4519545946096</c:v>
                </c:pt>
                <c:pt idx="683">
                  <c:v>8338.4107307095401</c:v>
                </c:pt>
                <c:pt idx="684">
                  <c:v>2103.0577618084208</c:v>
                </c:pt>
                <c:pt idx="685">
                  <c:v>16080.999007325954</c:v>
                </c:pt>
                <c:pt idx="686">
                  <c:v>8420.7194615739136</c:v>
                </c:pt>
                <c:pt idx="687">
                  <c:v>1867.5511314146861</c:v>
                </c:pt>
                <c:pt idx="688">
                  <c:v>7897.9301856740931</c:v>
                </c:pt>
                <c:pt idx="689">
                  <c:v>15893.322655005584</c:v>
                </c:pt>
                <c:pt idx="690">
                  <c:v>13718.23245215787</c:v>
                </c:pt>
                <c:pt idx="691">
                  <c:v>9515.17657522644</c:v>
                </c:pt>
                <c:pt idx="692">
                  <c:v>11943.579866515895</c:v>
                </c:pt>
                <c:pt idx="693">
                  <c:v>7055.2600318381883</c:v>
                </c:pt>
                <c:pt idx="694">
                  <c:v>13282.756752855625</c:v>
                </c:pt>
                <c:pt idx="695">
                  <c:v>8057.1637364698254</c:v>
                </c:pt>
                <c:pt idx="696">
                  <c:v>11198.162840302997</c:v>
                </c:pt>
                <c:pt idx="697">
                  <c:v>8018.2680675523225</c:v>
                </c:pt>
                <c:pt idx="698">
                  <c:v>5921.8068101538083</c:v>
                </c:pt>
                <c:pt idx="699">
                  <c:v>13919.786066449189</c:v>
                </c:pt>
                <c:pt idx="700">
                  <c:v>16456.405748222845</c:v>
                </c:pt>
                <c:pt idx="701">
                  <c:v>4830.8214973536233</c:v>
                </c:pt>
                <c:pt idx="702">
                  <c:v>10126.460697066235</c:v>
                </c:pt>
                <c:pt idx="703">
                  <c:v>19043.565959685257</c:v>
                </c:pt>
                <c:pt idx="704">
                  <c:v>4484.0182987490625</c:v>
                </c:pt>
                <c:pt idx="705">
                  <c:v>11060.324624793902</c:v>
                </c:pt>
                <c:pt idx="706">
                  <c:v>9478.3329499740648</c:v>
                </c:pt>
                <c:pt idx="707">
                  <c:v>7316.0256283494964</c:v>
                </c:pt>
                <c:pt idx="708">
                  <c:v>10329.443641562524</c:v>
                </c:pt>
                <c:pt idx="709">
                  <c:v>12960.992255357589</c:v>
                </c:pt>
                <c:pt idx="710">
                  <c:v>4562.7706932667206</c:v>
                </c:pt>
                <c:pt idx="711">
                  <c:v>16802.423145476612</c:v>
                </c:pt>
                <c:pt idx="712">
                  <c:v>7357.5913025446134</c:v>
                </c:pt>
                <c:pt idx="713">
                  <c:v>13817.658048120647</c:v>
                </c:pt>
                <c:pt idx="714">
                  <c:v>10213.548971513388</c:v>
                </c:pt>
                <c:pt idx="715">
                  <c:v>1275.7895388551988</c:v>
                </c:pt>
                <c:pt idx="716">
                  <c:v>9177.971360476382</c:v>
                </c:pt>
                <c:pt idx="717">
                  <c:v>19715.923999084029</c:v>
                </c:pt>
                <c:pt idx="718">
                  <c:v>6189.4913138872216</c:v>
                </c:pt>
                <c:pt idx="719">
                  <c:v>11212.050461323</c:v>
                </c:pt>
                <c:pt idx="720">
                  <c:v>6751.708531102573</c:v>
                </c:pt>
                <c:pt idx="721">
                  <c:v>8285.2440783020284</c:v>
                </c:pt>
                <c:pt idx="722">
                  <c:v>12629.737089004615</c:v>
                </c:pt>
                <c:pt idx="723">
                  <c:v>9992.4276361614757</c:v>
                </c:pt>
                <c:pt idx="724">
                  <c:v>15443.531196214462</c:v>
                </c:pt>
                <c:pt idx="725">
                  <c:v>7436.6798976861028</c:v>
                </c:pt>
                <c:pt idx="726">
                  <c:v>7658.203692240786</c:v>
                </c:pt>
                <c:pt idx="727">
                  <c:v>9236.0725002621475</c:v>
                </c:pt>
                <c:pt idx="728">
                  <c:v>8102.3898662976571</c:v>
                </c:pt>
                <c:pt idx="729">
                  <c:v>-2693.0225088160805</c:v>
                </c:pt>
                <c:pt idx="730">
                  <c:v>13761.386002155676</c:v>
                </c:pt>
                <c:pt idx="731">
                  <c:v>15570.766738884951</c:v>
                </c:pt>
                <c:pt idx="732">
                  <c:v>6534.4015572236531</c:v>
                </c:pt>
                <c:pt idx="733">
                  <c:v>7215.6807408161694</c:v>
                </c:pt>
                <c:pt idx="734">
                  <c:v>7106.968728170963</c:v>
                </c:pt>
                <c:pt idx="735">
                  <c:v>10648.594928334642</c:v>
                </c:pt>
                <c:pt idx="736">
                  <c:v>10364.697266243689</c:v>
                </c:pt>
                <c:pt idx="737">
                  <c:v>2254.6607017437054</c:v>
                </c:pt>
                <c:pt idx="738">
                  <c:v>-744.27331977717404</c:v>
                </c:pt>
                <c:pt idx="739">
                  <c:v>7326.0564557040489</c:v>
                </c:pt>
                <c:pt idx="740">
                  <c:v>4470.2934847015276</c:v>
                </c:pt>
                <c:pt idx="741">
                  <c:v>12790.738974325533</c:v>
                </c:pt>
                <c:pt idx="742">
                  <c:v>16358.977761895643</c:v>
                </c:pt>
                <c:pt idx="743">
                  <c:v>11067.343989843692</c:v>
                </c:pt>
                <c:pt idx="744">
                  <c:v>22182.803719513337</c:v>
                </c:pt>
                <c:pt idx="745">
                  <c:v>14104.448392068014</c:v>
                </c:pt>
                <c:pt idx="746">
                  <c:v>13358.537868232146</c:v>
                </c:pt>
                <c:pt idx="747">
                  <c:v>7314.9651802732769</c:v>
                </c:pt>
                <c:pt idx="748">
                  <c:v>14111.595453187634</c:v>
                </c:pt>
                <c:pt idx="749">
                  <c:v>8769.4420229835232</c:v>
                </c:pt>
                <c:pt idx="750">
                  <c:v>2487.9221204602654</c:v>
                </c:pt>
                <c:pt idx="751">
                  <c:v>4091.0945155082009</c:v>
                </c:pt>
                <c:pt idx="752">
                  <c:v>7310.9862164227525</c:v>
                </c:pt>
                <c:pt idx="753">
                  <c:v>21477.35762235838</c:v>
                </c:pt>
                <c:pt idx="754">
                  <c:v>4578.6003213344811</c:v>
                </c:pt>
                <c:pt idx="755">
                  <c:v>13804.90201422479</c:v>
                </c:pt>
                <c:pt idx="756">
                  <c:v>20314.452690600039</c:v>
                </c:pt>
                <c:pt idx="757">
                  <c:v>12207.808329409629</c:v>
                </c:pt>
                <c:pt idx="758">
                  <c:v>4424.8358514711144</c:v>
                </c:pt>
                <c:pt idx="759">
                  <c:v>8142.8887110982178</c:v>
                </c:pt>
                <c:pt idx="760">
                  <c:v>13690.546914645405</c:v>
                </c:pt>
                <c:pt idx="761">
                  <c:v>10095.481507638644</c:v>
                </c:pt>
                <c:pt idx="762">
                  <c:v>11117.357372095896</c:v>
                </c:pt>
                <c:pt idx="763">
                  <c:v>4645.846098597438</c:v>
                </c:pt>
                <c:pt idx="764">
                  <c:v>14552.514045973745</c:v>
                </c:pt>
                <c:pt idx="765">
                  <c:v>5251.7999677931002</c:v>
                </c:pt>
                <c:pt idx="766">
                  <c:v>5953.6591673230796</c:v>
                </c:pt>
                <c:pt idx="767">
                  <c:v>15192.554634386383</c:v>
                </c:pt>
                <c:pt idx="768">
                  <c:v>11134.251387808865</c:v>
                </c:pt>
                <c:pt idx="769">
                  <c:v>11895.926640168851</c:v>
                </c:pt>
                <c:pt idx="770">
                  <c:v>6105.5220761108358</c:v>
                </c:pt>
                <c:pt idx="771">
                  <c:v>1979.8711221915873</c:v>
                </c:pt>
                <c:pt idx="772">
                  <c:v>5275.0877518063789</c:v>
                </c:pt>
                <c:pt idx="773">
                  <c:v>5243.8842375298482</c:v>
                </c:pt>
                <c:pt idx="774">
                  <c:v>10932.904718623016</c:v>
                </c:pt>
                <c:pt idx="775">
                  <c:v>3542.5034843553003</c:v>
                </c:pt>
                <c:pt idx="776">
                  <c:v>3194.4094454154256</c:v>
                </c:pt>
                <c:pt idx="777">
                  <c:v>-323.72129929822404</c:v>
                </c:pt>
                <c:pt idx="778">
                  <c:v>8916.8441462402698</c:v>
                </c:pt>
                <c:pt idx="779">
                  <c:v>-1491.7815396618098</c:v>
                </c:pt>
                <c:pt idx="780">
                  <c:v>8287.9731230106554</c:v>
                </c:pt>
                <c:pt idx="781">
                  <c:v>5477.6669418843667</c:v>
                </c:pt>
                <c:pt idx="782">
                  <c:v>8882.2548491466005</c:v>
                </c:pt>
                <c:pt idx="783">
                  <c:v>6486.6525415660144</c:v>
                </c:pt>
                <c:pt idx="784">
                  <c:v>12524.457247095881</c:v>
                </c:pt>
                <c:pt idx="785">
                  <c:v>19423.698771151336</c:v>
                </c:pt>
                <c:pt idx="786">
                  <c:v>11371.440822833116</c:v>
                </c:pt>
                <c:pt idx="787">
                  <c:v>21713.45252870761</c:v>
                </c:pt>
                <c:pt idx="788">
                  <c:v>-327.91923547659826</c:v>
                </c:pt>
                <c:pt idx="789">
                  <c:v>11982.555598279199</c:v>
                </c:pt>
                <c:pt idx="790">
                  <c:v>16702.94534821836</c:v>
                </c:pt>
                <c:pt idx="791">
                  <c:v>11961.590549655491</c:v>
                </c:pt>
                <c:pt idx="792">
                  <c:v>18584.180674683812</c:v>
                </c:pt>
                <c:pt idx="793">
                  <c:v>3458.8522186058253</c:v>
                </c:pt>
                <c:pt idx="794">
                  <c:v>2404.7699391150381</c:v>
                </c:pt>
                <c:pt idx="795">
                  <c:v>22391.468773156448</c:v>
                </c:pt>
                <c:pt idx="796">
                  <c:v>14366.65766030486</c:v>
                </c:pt>
                <c:pt idx="797">
                  <c:v>7603.389895802291</c:v>
                </c:pt>
                <c:pt idx="798">
                  <c:v>12897.716276103718</c:v>
                </c:pt>
                <c:pt idx="799">
                  <c:v>15669.459137367667</c:v>
                </c:pt>
                <c:pt idx="800">
                  <c:v>9300.3203455844123</c:v>
                </c:pt>
                <c:pt idx="801">
                  <c:v>3835.7160676283529</c:v>
                </c:pt>
                <c:pt idx="802">
                  <c:v>7756.8777380536631</c:v>
                </c:pt>
                <c:pt idx="803">
                  <c:v>12937.166981701914</c:v>
                </c:pt>
                <c:pt idx="804">
                  <c:v>7680.6866303372808</c:v>
                </c:pt>
                <c:pt idx="805">
                  <c:v>8829.1958743446448</c:v>
                </c:pt>
                <c:pt idx="806">
                  <c:v>11964.9671246488</c:v>
                </c:pt>
                <c:pt idx="807">
                  <c:v>5910.9892381292593</c:v>
                </c:pt>
                <c:pt idx="808">
                  <c:v>17137.989628862735</c:v>
                </c:pt>
                <c:pt idx="809">
                  <c:v>14595.633211585067</c:v>
                </c:pt>
                <c:pt idx="810">
                  <c:v>6680.4464771255443</c:v>
                </c:pt>
                <c:pt idx="811">
                  <c:v>-2088.6739221521857</c:v>
                </c:pt>
                <c:pt idx="812">
                  <c:v>18596.577538876911</c:v>
                </c:pt>
                <c:pt idx="813">
                  <c:v>-8929.0960919991921</c:v>
                </c:pt>
                <c:pt idx="814">
                  <c:v>14511.089796579181</c:v>
                </c:pt>
                <c:pt idx="815">
                  <c:v>23182.159786516509</c:v>
                </c:pt>
                <c:pt idx="816">
                  <c:v>7821.7120018045971</c:v>
                </c:pt>
                <c:pt idx="817">
                  <c:v>7288.1731758290989</c:v>
                </c:pt>
                <c:pt idx="818">
                  <c:v>1742.9023044356145</c:v>
                </c:pt>
                <c:pt idx="819">
                  <c:v>8080.4235419656325</c:v>
                </c:pt>
                <c:pt idx="820">
                  <c:v>6886.4937001086946</c:v>
                </c:pt>
                <c:pt idx="821">
                  <c:v>16461.421340339963</c:v>
                </c:pt>
                <c:pt idx="822">
                  <c:v>7156.6611201670021</c:v>
                </c:pt>
                <c:pt idx="823">
                  <c:v>2588.9992711440718</c:v>
                </c:pt>
                <c:pt idx="824">
                  <c:v>10234.024704450712</c:v>
                </c:pt>
                <c:pt idx="825">
                  <c:v>8467.1101303247924</c:v>
                </c:pt>
                <c:pt idx="826">
                  <c:v>10767.200102396615</c:v>
                </c:pt>
                <c:pt idx="827">
                  <c:v>7265.645505349341</c:v>
                </c:pt>
                <c:pt idx="828">
                  <c:v>5199.1303376999276</c:v>
                </c:pt>
                <c:pt idx="829">
                  <c:v>9455.2306851953326</c:v>
                </c:pt>
                <c:pt idx="830">
                  <c:v>12254.352759831905</c:v>
                </c:pt>
                <c:pt idx="831">
                  <c:v>8071.6248941086233</c:v>
                </c:pt>
                <c:pt idx="832">
                  <c:v>10261.044863780568</c:v>
                </c:pt>
                <c:pt idx="833">
                  <c:v>-938.16293704741111</c:v>
                </c:pt>
                <c:pt idx="834">
                  <c:v>-1363.5657616598619</c:v>
                </c:pt>
                <c:pt idx="835">
                  <c:v>13692.111596296701</c:v>
                </c:pt>
                <c:pt idx="836">
                  <c:v>1447.8941040932259</c:v>
                </c:pt>
                <c:pt idx="837">
                  <c:v>11122.042505295743</c:v>
                </c:pt>
                <c:pt idx="838">
                  <c:v>15589.293161674374</c:v>
                </c:pt>
                <c:pt idx="839">
                  <c:v>8731.1827439159606</c:v>
                </c:pt>
                <c:pt idx="840">
                  <c:v>9053.4192901038332</c:v>
                </c:pt>
                <c:pt idx="841">
                  <c:v>5696.0879178702744</c:v>
                </c:pt>
                <c:pt idx="842">
                  <c:v>7455.4492971983709</c:v>
                </c:pt>
                <c:pt idx="843">
                  <c:v>7807.6201046011993</c:v>
                </c:pt>
                <c:pt idx="844">
                  <c:v>14543.79897334714</c:v>
                </c:pt>
                <c:pt idx="845">
                  <c:v>4169.6646396537399</c:v>
                </c:pt>
                <c:pt idx="846">
                  <c:v>8027.8201877982065</c:v>
                </c:pt>
                <c:pt idx="847">
                  <c:v>12012.459207010957</c:v>
                </c:pt>
                <c:pt idx="848">
                  <c:v>14048.645478219623</c:v>
                </c:pt>
                <c:pt idx="849">
                  <c:v>10247.710922640836</c:v>
                </c:pt>
                <c:pt idx="850">
                  <c:v>10446.834301367388</c:v>
                </c:pt>
                <c:pt idx="851">
                  <c:v>8243.9466527835029</c:v>
                </c:pt>
                <c:pt idx="852">
                  <c:v>2033.3749760831124</c:v>
                </c:pt>
                <c:pt idx="853">
                  <c:v>7505.809247920115</c:v>
                </c:pt>
                <c:pt idx="854">
                  <c:v>7628.1801497032429</c:v>
                </c:pt>
                <c:pt idx="855">
                  <c:v>17472.012306083707</c:v>
                </c:pt>
                <c:pt idx="856">
                  <c:v>8928.2270762792759</c:v>
                </c:pt>
                <c:pt idx="857">
                  <c:v>20195.773085800574</c:v>
                </c:pt>
                <c:pt idx="858">
                  <c:v>15104.463449350471</c:v>
                </c:pt>
                <c:pt idx="859">
                  <c:v>10973.362359416249</c:v>
                </c:pt>
                <c:pt idx="860">
                  <c:v>7721.9428695838287</c:v>
                </c:pt>
                <c:pt idx="861">
                  <c:v>11963.747299099603</c:v>
                </c:pt>
                <c:pt idx="862">
                  <c:v>13631.834587620688</c:v>
                </c:pt>
                <c:pt idx="863">
                  <c:v>9233.7229891618481</c:v>
                </c:pt>
                <c:pt idx="864">
                  <c:v>2109.5949180234747</c:v>
                </c:pt>
                <c:pt idx="865">
                  <c:v>10420.586053310952</c:v>
                </c:pt>
                <c:pt idx="866">
                  <c:v>5243.8779864051758</c:v>
                </c:pt>
                <c:pt idx="867">
                  <c:v>9503.5273142275473</c:v>
                </c:pt>
                <c:pt idx="868">
                  <c:v>5015.2595291172765</c:v>
                </c:pt>
                <c:pt idx="869">
                  <c:v>11740.38386386921</c:v>
                </c:pt>
                <c:pt idx="870">
                  <c:v>13264.929044984558</c:v>
                </c:pt>
                <c:pt idx="871">
                  <c:v>6109.9271230823651</c:v>
                </c:pt>
                <c:pt idx="872">
                  <c:v>8781.1238355362148</c:v>
                </c:pt>
                <c:pt idx="873">
                  <c:v>5696.4624106699048</c:v>
                </c:pt>
                <c:pt idx="874">
                  <c:v>12045.870788677523</c:v>
                </c:pt>
                <c:pt idx="875">
                  <c:v>6504.5001197276579</c:v>
                </c:pt>
                <c:pt idx="876">
                  <c:v>3166.503870230561</c:v>
                </c:pt>
                <c:pt idx="877">
                  <c:v>5332.4187101264688</c:v>
                </c:pt>
                <c:pt idx="878">
                  <c:v>8523.9389681675311</c:v>
                </c:pt>
                <c:pt idx="879">
                  <c:v>13943.084059771878</c:v>
                </c:pt>
                <c:pt idx="880">
                  <c:v>7147.4016323141404</c:v>
                </c:pt>
                <c:pt idx="881">
                  <c:v>6089.5853378366592</c:v>
                </c:pt>
                <c:pt idx="882">
                  <c:v>11430.367529270647</c:v>
                </c:pt>
                <c:pt idx="883">
                  <c:v>14934.63580515013</c:v>
                </c:pt>
                <c:pt idx="884">
                  <c:v>-4106.6403768935124</c:v>
                </c:pt>
                <c:pt idx="885">
                  <c:v>12610.289015163522</c:v>
                </c:pt>
                <c:pt idx="886">
                  <c:v>6186.8547160073067</c:v>
                </c:pt>
                <c:pt idx="887">
                  <c:v>8396.3833154460008</c:v>
                </c:pt>
                <c:pt idx="888">
                  <c:v>4281.4114422367566</c:v>
                </c:pt>
                <c:pt idx="889">
                  <c:v>4302.7944010296778</c:v>
                </c:pt>
                <c:pt idx="890">
                  <c:v>8303.257577234268</c:v>
                </c:pt>
                <c:pt idx="891">
                  <c:v>15265.707444606946</c:v>
                </c:pt>
                <c:pt idx="892">
                  <c:v>4285.7408449832437</c:v>
                </c:pt>
                <c:pt idx="893">
                  <c:v>7443.7811646522023</c:v>
                </c:pt>
                <c:pt idx="894">
                  <c:v>14882.683066539299</c:v>
                </c:pt>
                <c:pt idx="895">
                  <c:v>-691.95306617062306</c:v>
                </c:pt>
                <c:pt idx="896">
                  <c:v>11859.427174942117</c:v>
                </c:pt>
                <c:pt idx="897">
                  <c:v>716.11002137906326</c:v>
                </c:pt>
                <c:pt idx="898">
                  <c:v>20434.177078389897</c:v>
                </c:pt>
                <c:pt idx="899">
                  <c:v>10206.041296181429</c:v>
                </c:pt>
                <c:pt idx="900">
                  <c:v>9380.2974882908748</c:v>
                </c:pt>
                <c:pt idx="901">
                  <c:v>259.3365535265184</c:v>
                </c:pt>
                <c:pt idx="902">
                  <c:v>15108.237847320546</c:v>
                </c:pt>
                <c:pt idx="903">
                  <c:v>18979.626685622512</c:v>
                </c:pt>
                <c:pt idx="904">
                  <c:v>18666.314904454717</c:v>
                </c:pt>
                <c:pt idx="905">
                  <c:v>1849.0774345939863</c:v>
                </c:pt>
                <c:pt idx="906">
                  <c:v>13734.176238456974</c:v>
                </c:pt>
                <c:pt idx="907">
                  <c:v>12599.8804070603</c:v>
                </c:pt>
                <c:pt idx="908">
                  <c:v>6660.5254043122404</c:v>
                </c:pt>
                <c:pt idx="909">
                  <c:v>9972.6678263685608</c:v>
                </c:pt>
                <c:pt idx="910">
                  <c:v>7312.6976177486722</c:v>
                </c:pt>
                <c:pt idx="911">
                  <c:v>3733.2962751342275</c:v>
                </c:pt>
                <c:pt idx="912">
                  <c:v>12202.571537516327</c:v>
                </c:pt>
                <c:pt idx="913">
                  <c:v>6390.1037751851545</c:v>
                </c:pt>
                <c:pt idx="914">
                  <c:v>8322.0865113512918</c:v>
                </c:pt>
                <c:pt idx="915">
                  <c:v>-586.10931438751868</c:v>
                </c:pt>
                <c:pt idx="916">
                  <c:v>11562.277238045994</c:v>
                </c:pt>
                <c:pt idx="917">
                  <c:v>11751.838184744993</c:v>
                </c:pt>
                <c:pt idx="918">
                  <c:v>4097.723972205582</c:v>
                </c:pt>
                <c:pt idx="919">
                  <c:v>11995.122160383617</c:v>
                </c:pt>
                <c:pt idx="920">
                  <c:v>6146.774763169713</c:v>
                </c:pt>
                <c:pt idx="921">
                  <c:v>15096.502222785617</c:v>
                </c:pt>
                <c:pt idx="922">
                  <c:v>11180.079243234606</c:v>
                </c:pt>
                <c:pt idx="923">
                  <c:v>13927.702748718904</c:v>
                </c:pt>
                <c:pt idx="924">
                  <c:v>12934.356019019855</c:v>
                </c:pt>
                <c:pt idx="925">
                  <c:v>3626.9310797965882</c:v>
                </c:pt>
                <c:pt idx="926">
                  <c:v>14374.517827616175</c:v>
                </c:pt>
                <c:pt idx="927">
                  <c:v>14988.144155100177</c:v>
                </c:pt>
                <c:pt idx="928">
                  <c:v>10326.863514302866</c:v>
                </c:pt>
                <c:pt idx="929">
                  <c:v>13193.244506550225</c:v>
                </c:pt>
                <c:pt idx="930">
                  <c:v>19813.730008637867</c:v>
                </c:pt>
                <c:pt idx="931">
                  <c:v>20272.157190646409</c:v>
                </c:pt>
                <c:pt idx="932">
                  <c:v>6508.1172799816559</c:v>
                </c:pt>
                <c:pt idx="933">
                  <c:v>6447.2535804262152</c:v>
                </c:pt>
                <c:pt idx="934">
                  <c:v>6133.3926618996047</c:v>
                </c:pt>
                <c:pt idx="935">
                  <c:v>11979.848240175124</c:v>
                </c:pt>
                <c:pt idx="936">
                  <c:v>6906.9844259027886</c:v>
                </c:pt>
                <c:pt idx="937">
                  <c:v>16924.93069120821</c:v>
                </c:pt>
                <c:pt idx="938">
                  <c:v>8913.2424956461618</c:v>
                </c:pt>
                <c:pt idx="939">
                  <c:v>17334.13602370453</c:v>
                </c:pt>
                <c:pt idx="940">
                  <c:v>17617.192236424089</c:v>
                </c:pt>
                <c:pt idx="941">
                  <c:v>18188.897364474142</c:v>
                </c:pt>
                <c:pt idx="942">
                  <c:v>18160.235109734975</c:v>
                </c:pt>
                <c:pt idx="943">
                  <c:v>7639.0244940077828</c:v>
                </c:pt>
                <c:pt idx="944">
                  <c:v>9502.956809678959</c:v>
                </c:pt>
                <c:pt idx="945">
                  <c:v>6559.6761877035315</c:v>
                </c:pt>
                <c:pt idx="946">
                  <c:v>16425.464281234475</c:v>
                </c:pt>
                <c:pt idx="947">
                  <c:v>9614.7392742653319</c:v>
                </c:pt>
                <c:pt idx="948">
                  <c:v>9251.3253669851401</c:v>
                </c:pt>
                <c:pt idx="949">
                  <c:v>10015.307191950735</c:v>
                </c:pt>
                <c:pt idx="950">
                  <c:v>12546.35008755044</c:v>
                </c:pt>
                <c:pt idx="951">
                  <c:v>10397.676738155089</c:v>
                </c:pt>
                <c:pt idx="952">
                  <c:v>7936.7279575221328</c:v>
                </c:pt>
                <c:pt idx="953">
                  <c:v>20466.954109585567</c:v>
                </c:pt>
                <c:pt idx="954">
                  <c:v>6731.2798076824256</c:v>
                </c:pt>
                <c:pt idx="955">
                  <c:v>5823.5283621659473</c:v>
                </c:pt>
                <c:pt idx="956">
                  <c:v>18310.401481154477</c:v>
                </c:pt>
                <c:pt idx="957">
                  <c:v>11286.683468551484</c:v>
                </c:pt>
                <c:pt idx="958">
                  <c:v>12626.339076230826</c:v>
                </c:pt>
                <c:pt idx="959">
                  <c:v>9833.1701402312319</c:v>
                </c:pt>
                <c:pt idx="960">
                  <c:v>13874.075975636821</c:v>
                </c:pt>
                <c:pt idx="961">
                  <c:v>11924.82191400796</c:v>
                </c:pt>
                <c:pt idx="962">
                  <c:v>7961.9084310480248</c:v>
                </c:pt>
                <c:pt idx="963">
                  <c:v>-4100.1986657334928</c:v>
                </c:pt>
                <c:pt idx="964">
                  <c:v>11270.673946729163</c:v>
                </c:pt>
                <c:pt idx="965">
                  <c:v>11596.66627043231</c:v>
                </c:pt>
                <c:pt idx="966">
                  <c:v>10040.792627722447</c:v>
                </c:pt>
                <c:pt idx="967">
                  <c:v>11399.266720274536</c:v>
                </c:pt>
                <c:pt idx="968">
                  <c:v>16320.418604898601</c:v>
                </c:pt>
                <c:pt idx="969">
                  <c:v>10639.923458013029</c:v>
                </c:pt>
                <c:pt idx="970">
                  <c:v>6178.6502716280229</c:v>
                </c:pt>
                <c:pt idx="971">
                  <c:v>13786.661167644896</c:v>
                </c:pt>
                <c:pt idx="972">
                  <c:v>15139.013917741453</c:v>
                </c:pt>
                <c:pt idx="973">
                  <c:v>11036.420808552677</c:v>
                </c:pt>
                <c:pt idx="974">
                  <c:v>6865.1862677162426</c:v>
                </c:pt>
                <c:pt idx="975">
                  <c:v>9861.0850990468607</c:v>
                </c:pt>
                <c:pt idx="976">
                  <c:v>310.63819624829921</c:v>
                </c:pt>
                <c:pt idx="977">
                  <c:v>20033.989779163807</c:v>
                </c:pt>
                <c:pt idx="978">
                  <c:v>7433.1920288306428</c:v>
                </c:pt>
                <c:pt idx="979">
                  <c:v>11746.003027908177</c:v>
                </c:pt>
                <c:pt idx="980">
                  <c:v>24173.040583953945</c:v>
                </c:pt>
                <c:pt idx="981">
                  <c:v>10943.798328395707</c:v>
                </c:pt>
                <c:pt idx="982">
                  <c:v>8609.2611092374864</c:v>
                </c:pt>
                <c:pt idx="983">
                  <c:v>8053.505381576033</c:v>
                </c:pt>
                <c:pt idx="984">
                  <c:v>10479.980112803678</c:v>
                </c:pt>
                <c:pt idx="985">
                  <c:v>3417.9552258639596</c:v>
                </c:pt>
                <c:pt idx="986">
                  <c:v>7441.5532195360283</c:v>
                </c:pt>
                <c:pt idx="987">
                  <c:v>15495.047825610629</c:v>
                </c:pt>
                <c:pt idx="988">
                  <c:v>9774.0244099250995</c:v>
                </c:pt>
                <c:pt idx="989">
                  <c:v>12061.447056263321</c:v>
                </c:pt>
                <c:pt idx="990">
                  <c:v>8843.9518986351031</c:v>
                </c:pt>
                <c:pt idx="991">
                  <c:v>8100.2720972496463</c:v>
                </c:pt>
                <c:pt idx="992">
                  <c:v>16936.062636329531</c:v>
                </c:pt>
                <c:pt idx="993">
                  <c:v>7263.995690503536</c:v>
                </c:pt>
                <c:pt idx="994">
                  <c:v>7082.4993893746869</c:v>
                </c:pt>
                <c:pt idx="995">
                  <c:v>8773.0813515062327</c:v>
                </c:pt>
                <c:pt idx="996">
                  <c:v>11926.988615467271</c:v>
                </c:pt>
                <c:pt idx="997">
                  <c:v>17271.763994878915</c:v>
                </c:pt>
                <c:pt idx="998">
                  <c:v>12899.449747751984</c:v>
                </c:pt>
                <c:pt idx="999">
                  <c:v>16390.632580219826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D-42AF-A346-E17E1DA63097}"/>
            </c:ext>
          </c:extLst>
        </c:ser>
        <c:ser>
          <c:idx val="1"/>
          <c:order val="1"/>
          <c:spPr>
            <a:ln w="63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PSA!$BX$91:$BX$92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xVal>
          <c:yVal>
            <c:numRef>
              <c:f>PSA!$BY$91:$BY$92</c:f>
              <c:numCache>
                <c:formatCode>General</c:formatCode>
                <c:ptCount val="2"/>
                <c:pt idx="0">
                  <c:v>100000</c:v>
                </c:pt>
                <c:pt idx="1">
                  <c:v>-100000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0D-42AF-A346-E17E1DA63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205680"/>
        <c:axId val="740209616"/>
      </c:scatterChart>
      <c:valAx>
        <c:axId val="740205680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209616"/>
        <c:crosses val="autoZero"/>
        <c:crossBetween val="midCat"/>
      </c:valAx>
      <c:valAx>
        <c:axId val="740209616"/>
        <c:scaling>
          <c:orientation val="minMax"/>
          <c:max val="50000"/>
          <c:min val="-50000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4020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pn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39</xdr:row>
      <xdr:rowOff>142875</xdr:rowOff>
    </xdr:from>
    <xdr:ext cx="161925" cy="18097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269800" y="3694275"/>
          <a:ext cx="152400" cy="171450"/>
        </a:xfrm>
        <a:prstGeom prst="rect">
          <a:avLst/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6</xdr:col>
      <xdr:colOff>571500</xdr:colOff>
      <xdr:row>26</xdr:row>
      <xdr:rowOff>0</xdr:rowOff>
    </xdr:from>
    <xdr:ext cx="247650" cy="22860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226938" y="3670463"/>
          <a:ext cx="238125" cy="219075"/>
        </a:xfrm>
        <a:prstGeom prst="ellipse">
          <a:avLst/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15</xdr:col>
      <xdr:colOff>523875</xdr:colOff>
      <xdr:row>25</xdr:row>
      <xdr:rowOff>152400</xdr:rowOff>
    </xdr:from>
    <xdr:ext cx="1323975" cy="285750"/>
    <xdr:sp macro="" textlink="">
      <xdr:nvSpPr>
        <xdr:cNvPr id="73" name="Shape 5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4688775" y="3641888"/>
          <a:ext cx="1314450" cy="27622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7E609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mbria"/>
            <a:buNone/>
          </a:pPr>
          <a:r>
            <a:rPr lang="en-US" sz="1100" b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No CMV Disease</a:t>
          </a:r>
          <a:endParaRPr sz="1100" b="1">
            <a:solidFill>
              <a:schemeClr val="lt1"/>
            </a:solidFill>
            <a:latin typeface="Cambria"/>
            <a:ea typeface="Cambria"/>
            <a:cs typeface="Cambria"/>
            <a:sym typeface="Cambria"/>
          </a:endParaRPr>
        </a:p>
      </xdr:txBody>
    </xdr:sp>
    <xdr:clientData fLocksWithSheet="0"/>
  </xdr:oneCellAnchor>
  <xdr:oneCellAnchor>
    <xdr:from>
      <xdr:col>22</xdr:col>
      <xdr:colOff>371475</xdr:colOff>
      <xdr:row>49</xdr:row>
      <xdr:rowOff>114300</xdr:rowOff>
    </xdr:from>
    <xdr:ext cx="209550" cy="257175"/>
    <xdr:sp macro="" textlink="">
      <xdr:nvSpPr>
        <xdr:cNvPr id="145" name="Shape 87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-5400000">
          <a:off x="5222175" y="3679988"/>
          <a:ext cx="247650" cy="200025"/>
        </a:xfrm>
        <a:prstGeom prst="triangle">
          <a:avLst>
            <a:gd name="adj" fmla="val 50000"/>
          </a:avLst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23</xdr:col>
      <xdr:colOff>571500</xdr:colOff>
      <xdr:row>5</xdr:row>
      <xdr:rowOff>19050</xdr:rowOff>
    </xdr:from>
    <xdr:ext cx="4276725" cy="1676400"/>
    <xdr:sp macro="" textlink="">
      <xdr:nvSpPr>
        <xdr:cNvPr id="189" name="Shape 130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 txBox="1"/>
      </xdr:nvSpPr>
      <xdr:spPr>
        <a:xfrm>
          <a:off x="3212400" y="2946563"/>
          <a:ext cx="4267200" cy="1666875"/>
        </a:xfrm>
        <a:prstGeom prst="rect">
          <a:avLst/>
        </a:prstGeom>
        <a:solidFill>
          <a:schemeClr val="lt1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Primary Objective: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Determine the cost-effectiveness of prophylaxis versus no prophylaxis for allogeneic post-hematopoietic stem cell transplant patients up to 10 years post-transplant for cytomegalovirus (CMV) viremia in the United States.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 b="0">
            <a:latin typeface="Cambria"/>
            <a:ea typeface="Cambria"/>
            <a:cs typeface="Cambria"/>
            <a:sym typeface="Cambria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Perspective: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 Third party payer </a:t>
          </a:r>
          <a:endParaRPr sz="1400" b="1">
            <a:latin typeface="Cambria"/>
            <a:ea typeface="Cambria"/>
            <a:cs typeface="Cambria"/>
            <a:sym typeface="Cambria"/>
          </a:endParaRPr>
        </a:p>
      </xdr:txBody>
    </xdr:sp>
    <xdr:clientData fLocksWithSheet="0"/>
  </xdr:oneCellAnchor>
  <xdr:oneCellAnchor>
    <xdr:from>
      <xdr:col>24</xdr:col>
      <xdr:colOff>19050</xdr:colOff>
      <xdr:row>18</xdr:row>
      <xdr:rowOff>38100</xdr:rowOff>
    </xdr:from>
    <xdr:ext cx="4248150" cy="6381750"/>
    <xdr:sp macro="" textlink="">
      <xdr:nvSpPr>
        <xdr:cNvPr id="190" name="Shape 13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 txBox="1"/>
      </xdr:nvSpPr>
      <xdr:spPr>
        <a:xfrm>
          <a:off x="3226688" y="593888"/>
          <a:ext cx="4238625" cy="6372225"/>
        </a:xfrm>
        <a:prstGeom prst="rect">
          <a:avLst/>
        </a:prstGeom>
        <a:solidFill>
          <a:schemeClr val="lt1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CMV Viremia: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The isolation of CMV virus or detection of viral proteins or nucleic acid in any body fluid or tissue specimen.</a:t>
          </a:r>
          <a:r>
            <a:rPr lang="en-US" sz="1100" baseline="30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baseline="300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Pre-Emptive Therapy: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An approach in which patients are monitored for early replication (ie, viremia by PCR) and antiviral drug is administered only when CMV replication is detected to prevent its progression to higher-grade viremia and disease.</a:t>
          </a:r>
          <a:r>
            <a:rPr lang="en-US" sz="1100" baseline="30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2 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Patients with PET are at increased risk of experiencing acute kidney injury (AKI) and neutropenia.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800"/>
            <a:buFont typeface="Arial"/>
            <a:buNone/>
          </a:pPr>
          <a:endParaRPr sz="1800" b="1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CMV End-Organ Disease ("CMV Disease"):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Clinical symptoms and/or signs of end organ disease (e.g., pneumonia) combined with CMV documented in histopathology tissue samples, rapid culture, virus isolation in tissue, immunohistochemistry, or DNA hybridization techniques.</a:t>
          </a:r>
          <a:r>
            <a:rPr lang="en-US" sz="1100" baseline="30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baseline="300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400"/>
            <a:buFont typeface="Cambria"/>
            <a:buNone/>
          </a:pPr>
          <a:r>
            <a:rPr lang="en-US" sz="1400" b="1" i="0" u="none" strike="noStrike" cap="none">
              <a:solidFill>
                <a:srgbClr val="000000"/>
              </a:solidFill>
              <a:latin typeface="Cambria"/>
              <a:ea typeface="Cambria"/>
              <a:cs typeface="Cambria"/>
              <a:sym typeface="Cambria"/>
            </a:rPr>
            <a:t>Graft-versus-Host-Disease ("GVHD"):</a:t>
          </a:r>
          <a:r>
            <a:rPr lang="en-US" sz="1400" b="0" i="0" u="none" strike="noStrike" cap="none">
              <a:solidFill>
                <a:srgbClr val="000000"/>
              </a:solidFill>
              <a:latin typeface="Cambria"/>
              <a:ea typeface="Cambria"/>
              <a:cs typeface="Cambria"/>
              <a:sym typeface="Cambria"/>
            </a:rPr>
            <a:t> A condition that might occur after an allogeneic transplant. Donated bone marrow or peripheral blood stem cells view the recipient's body as foreign, attacking the body.</a:t>
          </a:r>
          <a:r>
            <a:rPr lang="en-US" sz="1100" baseline="30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3</a:t>
          </a:r>
          <a:endParaRPr sz="1400" b="1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 b="1">
            <a:latin typeface="Cambria"/>
            <a:ea typeface="Cambria"/>
            <a:cs typeface="Cambria"/>
            <a:sym typeface="Cambria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Complications: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 As defined in the model, complications consist of experiencing either GVHD, an opportunistic infection, or  a re-hospitalization due to CMV disease. </a:t>
          </a:r>
          <a:endParaRPr sz="1400" b="1">
            <a:latin typeface="Cambria"/>
            <a:ea typeface="Cambria"/>
            <a:cs typeface="Cambria"/>
            <a:sym typeface="Cambria"/>
          </a:endParaRPr>
        </a:p>
      </xdr:txBody>
    </xdr:sp>
    <xdr:clientData fLocksWithSheet="0"/>
  </xdr:oneCellAnchor>
  <xdr:oneCellAnchor>
    <xdr:from>
      <xdr:col>32</xdr:col>
      <xdr:colOff>76199</xdr:colOff>
      <xdr:row>5</xdr:row>
      <xdr:rowOff>28575</xdr:rowOff>
    </xdr:from>
    <xdr:ext cx="6513909" cy="2162175"/>
    <xdr:sp macro="" textlink="">
      <xdr:nvSpPr>
        <xdr:cNvPr id="194" name="Shape 135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>
          <a:off x="19167871" y="1808559"/>
          <a:ext cx="6513909" cy="2162175"/>
        </a:xfrm>
        <a:prstGeom prst="rect">
          <a:avLst/>
        </a:prstGeom>
        <a:noFill/>
        <a:ln w="12700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0</xdr:col>
      <xdr:colOff>180975</xdr:colOff>
      <xdr:row>0</xdr:row>
      <xdr:rowOff>95250</xdr:rowOff>
    </xdr:from>
    <xdr:ext cx="1085850" cy="1085850"/>
    <xdr:pic>
      <xdr:nvPicPr>
        <xdr:cNvPr id="228" name="image1.png" descr="University of California, San Diego - Wikipedia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298588</xdr:colOff>
      <xdr:row>5</xdr:row>
      <xdr:rowOff>66675</xdr:rowOff>
    </xdr:from>
    <xdr:ext cx="14249400" cy="11563350"/>
    <xdr:pic>
      <xdr:nvPicPr>
        <xdr:cNvPr id="229" name="image5.png">
          <a:extLst>
            <a:ext uri="{FF2B5EF4-FFF2-40B4-BE49-F238E27FC236}">
              <a16:creationId xmlns:a16="http://schemas.microsoft.com/office/drawing/2014/main" id="{9765AD1C-0556-442E-A25C-DD55F9C7015C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8588" y="1847436"/>
          <a:ext cx="14249400" cy="11563350"/>
        </a:xfrm>
        <a:prstGeom prst="rect">
          <a:avLst/>
        </a:prstGeom>
        <a:noFill/>
      </xdr:spPr>
    </xdr:pic>
    <xdr:clientData fLocksWithSheet="0"/>
  </xdr:oneCellAnchor>
  <xdr:twoCellAnchor>
    <xdr:from>
      <xdr:col>2</xdr:col>
      <xdr:colOff>400050</xdr:colOff>
      <xdr:row>1</xdr:row>
      <xdr:rowOff>85725</xdr:rowOff>
    </xdr:from>
    <xdr:to>
      <xdr:col>24</xdr:col>
      <xdr:colOff>581025</xdr:colOff>
      <xdr:row>2</xdr:row>
      <xdr:rowOff>171450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8C399FF5-51E7-4147-83FD-3B70749E46BF}"/>
            </a:ext>
          </a:extLst>
        </xdr:cNvPr>
        <xdr:cNvGrpSpPr/>
      </xdr:nvGrpSpPr>
      <xdr:grpSpPr>
        <a:xfrm>
          <a:off x="1619250" y="266700"/>
          <a:ext cx="13592175" cy="704850"/>
          <a:chOff x="1533525" y="266700"/>
          <a:chExt cx="13592175" cy="704850"/>
        </a:xfrm>
      </xdr:grpSpPr>
      <xdr:sp macro="[0]!Shape201_Click" textlink="">
        <xdr:nvSpPr>
          <xdr:cNvPr id="12" name="Shape 201">
            <a:extLst>
              <a:ext uri="{FF2B5EF4-FFF2-40B4-BE49-F238E27FC236}">
                <a16:creationId xmlns:a16="http://schemas.microsoft.com/office/drawing/2014/main" id="{CDB1FB1F-D170-266A-B0DE-DFC290593387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13" name="Shape 202">
            <a:extLst>
              <a:ext uri="{FF2B5EF4-FFF2-40B4-BE49-F238E27FC236}">
                <a16:creationId xmlns:a16="http://schemas.microsoft.com/office/drawing/2014/main" id="{8D8F3134-2360-98CA-78BD-A9BD98B85F02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14" name="Shape 203">
            <a:extLst>
              <a:ext uri="{FF2B5EF4-FFF2-40B4-BE49-F238E27FC236}">
                <a16:creationId xmlns:a16="http://schemas.microsoft.com/office/drawing/2014/main" id="{D5D73F22-665F-8595-A3FD-17A03EF7D212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15" name="Shape 204">
            <a:extLst>
              <a:ext uri="{FF2B5EF4-FFF2-40B4-BE49-F238E27FC236}">
                <a16:creationId xmlns:a16="http://schemas.microsoft.com/office/drawing/2014/main" id="{75CE97EE-05E5-313B-24E2-3FEB87B5044C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6" name="Shape 205">
            <a:extLst>
              <a:ext uri="{FF2B5EF4-FFF2-40B4-BE49-F238E27FC236}">
                <a16:creationId xmlns:a16="http://schemas.microsoft.com/office/drawing/2014/main" id="{DB961440-636D-342F-7722-E0AA95F9E342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7" name="Shape 206">
            <a:extLst>
              <a:ext uri="{FF2B5EF4-FFF2-40B4-BE49-F238E27FC236}">
                <a16:creationId xmlns:a16="http://schemas.microsoft.com/office/drawing/2014/main" id="{36EA4E51-52B1-0FF3-38E7-0D8D0CDA778F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8" name="Shape 207">
            <a:extLst>
              <a:ext uri="{FF2B5EF4-FFF2-40B4-BE49-F238E27FC236}">
                <a16:creationId xmlns:a16="http://schemas.microsoft.com/office/drawing/2014/main" id="{E8749455-DD05-3E6F-38E4-0AD88ACF720B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9" name="Shape 208">
            <a:extLst>
              <a:ext uri="{FF2B5EF4-FFF2-40B4-BE49-F238E27FC236}">
                <a16:creationId xmlns:a16="http://schemas.microsoft.com/office/drawing/2014/main" id="{287F7B53-9A49-30DD-A075-A4E2014E2313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oneCellAnchor>
    <xdr:from>
      <xdr:col>32</xdr:col>
      <xdr:colOff>85725</xdr:colOff>
      <xdr:row>20</xdr:row>
      <xdr:rowOff>73818</xdr:rowOff>
    </xdr:from>
    <xdr:ext cx="3545682" cy="694135"/>
    <xdr:sp macro="" textlink="">
      <xdr:nvSpPr>
        <xdr:cNvPr id="2" name="Shape 135">
          <a:extLst>
            <a:ext uri="{FF2B5EF4-FFF2-40B4-BE49-F238E27FC236}">
              <a16:creationId xmlns:a16="http://schemas.microsoft.com/office/drawing/2014/main" id="{2D68A22D-32C9-41FB-92BE-A5483F7AA90C}"/>
            </a:ext>
          </a:extLst>
        </xdr:cNvPr>
        <xdr:cNvSpPr/>
      </xdr:nvSpPr>
      <xdr:spPr>
        <a:xfrm>
          <a:off x="19177397" y="4300537"/>
          <a:ext cx="3545682" cy="694135"/>
        </a:xfrm>
        <a:prstGeom prst="rect">
          <a:avLst/>
        </a:prstGeom>
        <a:noFill/>
        <a:ln w="12700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200025</xdr:colOff>
      <xdr:row>23</xdr:row>
      <xdr:rowOff>76200</xdr:rowOff>
    </xdr:from>
    <xdr:ext cx="4657725" cy="129540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3021900" y="3137063"/>
          <a:ext cx="4648200" cy="128587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190500</xdr:colOff>
      <xdr:row>6</xdr:row>
      <xdr:rowOff>76200</xdr:rowOff>
    </xdr:from>
    <xdr:ext cx="4657725" cy="1438275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3021900" y="3065625"/>
          <a:ext cx="4648200" cy="142875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209550</xdr:colOff>
      <xdr:row>8</xdr:row>
      <xdr:rowOff>57150</xdr:rowOff>
    </xdr:from>
    <xdr:ext cx="3086100" cy="70485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3807713" y="3432338"/>
          <a:ext cx="3076575" cy="6953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457200</xdr:colOff>
      <xdr:row>7</xdr:row>
      <xdr:rowOff>142875</xdr:rowOff>
    </xdr:from>
    <xdr:ext cx="1047750" cy="238125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 txBox="1"/>
      </xdr:nvSpPr>
      <xdr:spPr>
        <a:xfrm>
          <a:off x="4826888" y="3665700"/>
          <a:ext cx="1038225" cy="2286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Valganciclovir</a:t>
          </a:r>
          <a:endParaRPr sz="1400"/>
        </a:p>
      </xdr:txBody>
    </xdr:sp>
    <xdr:clientData fLocksWithSheet="0"/>
  </xdr:oneCellAnchor>
  <xdr:oneCellAnchor>
    <xdr:from>
      <xdr:col>9</xdr:col>
      <xdr:colOff>209550</xdr:colOff>
      <xdr:row>12</xdr:row>
      <xdr:rowOff>85725</xdr:rowOff>
    </xdr:from>
    <xdr:ext cx="3086100" cy="123825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3807713" y="3165638"/>
          <a:ext cx="3076575" cy="12287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457200</xdr:colOff>
      <xdr:row>12</xdr:row>
      <xdr:rowOff>47625</xdr:rowOff>
    </xdr:from>
    <xdr:ext cx="942975" cy="161925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 txBox="1"/>
      </xdr:nvSpPr>
      <xdr:spPr>
        <a:xfrm>
          <a:off x="4879275" y="3703800"/>
          <a:ext cx="933450" cy="1524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Ganciclovir</a:t>
          </a:r>
          <a:endParaRPr sz="1400"/>
        </a:p>
      </xdr:txBody>
    </xdr:sp>
    <xdr:clientData fLocksWithSheet="0"/>
  </xdr:oneCellAnchor>
  <xdr:oneCellAnchor>
    <xdr:from>
      <xdr:col>9</xdr:col>
      <xdr:colOff>209550</xdr:colOff>
      <xdr:row>20</xdr:row>
      <xdr:rowOff>47625</xdr:rowOff>
    </xdr:from>
    <xdr:ext cx="3086100" cy="108585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3807713" y="3241838"/>
          <a:ext cx="3076575" cy="10763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533400</xdr:colOff>
      <xdr:row>20</xdr:row>
      <xdr:rowOff>0</xdr:rowOff>
    </xdr:from>
    <xdr:ext cx="942975" cy="19050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 txBox="1"/>
      </xdr:nvSpPr>
      <xdr:spPr>
        <a:xfrm>
          <a:off x="4879275" y="3689513"/>
          <a:ext cx="933450" cy="1809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Foscarnet</a:t>
          </a:r>
          <a:endParaRPr sz="1400"/>
        </a:p>
      </xdr:txBody>
    </xdr:sp>
    <xdr:clientData fLocksWithSheet="0"/>
  </xdr:oneCellAnchor>
  <xdr:oneCellAnchor>
    <xdr:from>
      <xdr:col>9</xdr:col>
      <xdr:colOff>104775</xdr:colOff>
      <xdr:row>6</xdr:row>
      <xdr:rowOff>95250</xdr:rowOff>
    </xdr:from>
    <xdr:ext cx="6477000" cy="3619500"/>
    <xdr:sp macro="" textlink="">
      <xdr:nvSpPr>
        <xdr:cNvPr id="164" name="Shape 164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2112263" y="1975013"/>
          <a:ext cx="6467475" cy="360997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304800</xdr:colOff>
      <xdr:row>5</xdr:row>
      <xdr:rowOff>95250</xdr:rowOff>
    </xdr:from>
    <xdr:ext cx="1828800" cy="428625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4436363" y="3570450"/>
          <a:ext cx="1819275" cy="419100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PET Costs</a:t>
          </a:r>
          <a:endParaRPr sz="1400"/>
        </a:p>
      </xdr:txBody>
    </xdr:sp>
    <xdr:clientData fLocksWithSheet="0"/>
  </xdr:oneCellAnchor>
  <xdr:oneCellAnchor>
    <xdr:from>
      <xdr:col>1</xdr:col>
      <xdr:colOff>314325</xdr:colOff>
      <xdr:row>5</xdr:row>
      <xdr:rowOff>142875</xdr:rowOff>
    </xdr:from>
    <xdr:ext cx="1314450" cy="38100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4693538" y="3594263"/>
          <a:ext cx="1304925" cy="371475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Letermovir</a:t>
          </a:r>
          <a:endParaRPr sz="1400"/>
        </a:p>
      </xdr:txBody>
    </xdr:sp>
    <xdr:clientData fLocksWithSheet="0"/>
  </xdr:oneCellAnchor>
  <xdr:oneCellAnchor>
    <xdr:from>
      <xdr:col>18</xdr:col>
      <xdr:colOff>19050</xdr:colOff>
      <xdr:row>21</xdr:row>
      <xdr:rowOff>152400</xdr:rowOff>
    </xdr:from>
    <xdr:ext cx="2905125" cy="55245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3898200" y="3508538"/>
          <a:ext cx="2895600" cy="5429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18</xdr:col>
      <xdr:colOff>152400</xdr:colOff>
      <xdr:row>21</xdr:row>
      <xdr:rowOff>66675</xdr:rowOff>
    </xdr:from>
    <xdr:ext cx="2028825" cy="22860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 txBox="1"/>
      </xdr:nvSpPr>
      <xdr:spPr>
        <a:xfrm>
          <a:off x="4336350" y="3670463"/>
          <a:ext cx="2019300" cy="2190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PET-Related Adverse Events </a:t>
          </a:r>
          <a:endParaRPr sz="1400"/>
        </a:p>
      </xdr:txBody>
    </xdr:sp>
    <xdr:clientData fLocksWithSheet="0"/>
  </xdr:oneCellAnchor>
  <xdr:oneCellAnchor>
    <xdr:from>
      <xdr:col>1</xdr:col>
      <xdr:colOff>323850</xdr:colOff>
      <xdr:row>15</xdr:row>
      <xdr:rowOff>19050</xdr:rowOff>
    </xdr:from>
    <xdr:ext cx="1381125" cy="38100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4660200" y="3594263"/>
          <a:ext cx="1371600" cy="371475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CMV-Related</a:t>
          </a:r>
          <a:endParaRPr sz="1400"/>
        </a:p>
      </xdr:txBody>
    </xdr:sp>
    <xdr:clientData fLocksWithSheet="0"/>
  </xdr:oneCellAnchor>
  <xdr:oneCellAnchor>
    <xdr:from>
      <xdr:col>1</xdr:col>
      <xdr:colOff>200025</xdr:colOff>
      <xdr:row>15</xdr:row>
      <xdr:rowOff>95250</xdr:rowOff>
    </xdr:from>
    <xdr:ext cx="4657725" cy="1038225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3021900" y="3265650"/>
          <a:ext cx="4648200" cy="102870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323850</xdr:colOff>
      <xdr:row>22</xdr:row>
      <xdr:rowOff>104775</xdr:rowOff>
    </xdr:from>
    <xdr:ext cx="1971675" cy="371475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4364925" y="3599025"/>
          <a:ext cx="1962150" cy="361950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Long-Term Costs, Yearly </a:t>
          </a:r>
          <a:endParaRPr sz="1400"/>
        </a:p>
      </xdr:txBody>
    </xdr:sp>
    <xdr:clientData fLocksWithSheet="0"/>
  </xdr:oneCellAnchor>
  <xdr:oneCellAnchor>
    <xdr:from>
      <xdr:col>1</xdr:col>
      <xdr:colOff>190500</xdr:colOff>
      <xdr:row>32</xdr:row>
      <xdr:rowOff>28576</xdr:rowOff>
    </xdr:from>
    <xdr:ext cx="4657725" cy="1771650"/>
    <xdr:sp macro="" textlink="">
      <xdr:nvSpPr>
        <xdr:cNvPr id="172" name="Shape 172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276225" y="6372226"/>
          <a:ext cx="4657725" cy="177165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285750</xdr:colOff>
      <xdr:row>31</xdr:row>
      <xdr:rowOff>47625</xdr:rowOff>
    </xdr:from>
    <xdr:ext cx="1447800" cy="38100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4626863" y="3594263"/>
          <a:ext cx="1438275" cy="371475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Other Costs</a:t>
          </a:r>
          <a:endParaRPr sz="1400"/>
        </a:p>
      </xdr:txBody>
    </xdr:sp>
    <xdr:clientData fLocksWithSheet="0"/>
  </xdr:oneCellAnchor>
  <xdr:oneCellAnchor>
    <xdr:from>
      <xdr:col>1</xdr:col>
      <xdr:colOff>266700</xdr:colOff>
      <xdr:row>34</xdr:row>
      <xdr:rowOff>28575</xdr:rowOff>
    </xdr:from>
    <xdr:ext cx="3448050" cy="485775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3626738" y="3541875"/>
          <a:ext cx="3438525" cy="47625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</xdr:col>
      <xdr:colOff>104775</xdr:colOff>
      <xdr:row>33</xdr:row>
      <xdr:rowOff>123825</xdr:rowOff>
    </xdr:from>
    <xdr:ext cx="1743075" cy="200025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 txBox="1"/>
      </xdr:nvSpPr>
      <xdr:spPr>
        <a:xfrm>
          <a:off x="4479225" y="3684750"/>
          <a:ext cx="1733550" cy="190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Graft-Versus-Host-Disease</a:t>
          </a:r>
          <a:endParaRPr sz="1400"/>
        </a:p>
      </xdr:txBody>
    </xdr:sp>
    <xdr:clientData fLocksWithSheet="0"/>
  </xdr:oneCellAnchor>
  <xdr:oneCellAnchor>
    <xdr:from>
      <xdr:col>1</xdr:col>
      <xdr:colOff>285750</xdr:colOff>
      <xdr:row>42</xdr:row>
      <xdr:rowOff>133350</xdr:rowOff>
    </xdr:from>
    <xdr:ext cx="3429000" cy="581025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3636263" y="3494250"/>
          <a:ext cx="3419475" cy="57150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</xdr:col>
      <xdr:colOff>66675</xdr:colOff>
      <xdr:row>42</xdr:row>
      <xdr:rowOff>47625</xdr:rowOff>
    </xdr:from>
    <xdr:ext cx="1190625" cy="200025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 txBox="1"/>
      </xdr:nvSpPr>
      <xdr:spPr>
        <a:xfrm>
          <a:off x="4755450" y="3684750"/>
          <a:ext cx="1181100" cy="190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Outpatient Visits</a:t>
          </a:r>
          <a:endParaRPr sz="1400"/>
        </a:p>
      </xdr:txBody>
    </xdr:sp>
    <xdr:clientData fLocksWithSheet="0"/>
  </xdr:oneCellAnchor>
  <xdr:oneCellAnchor>
    <xdr:from>
      <xdr:col>9</xdr:col>
      <xdr:colOff>209550</xdr:colOff>
      <xdr:row>31</xdr:row>
      <xdr:rowOff>47625</xdr:rowOff>
    </xdr:from>
    <xdr:ext cx="3067050" cy="904875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3817238" y="3332325"/>
          <a:ext cx="3057525" cy="89535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466725</xdr:colOff>
      <xdr:row>30</xdr:row>
      <xdr:rowOff>104775</xdr:rowOff>
    </xdr:from>
    <xdr:ext cx="1047750" cy="228600"/>
    <xdr:sp macro="" textlink="">
      <xdr:nvSpPr>
        <xdr:cNvPr id="179" name="Shape 179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 txBox="1"/>
      </xdr:nvSpPr>
      <xdr:spPr>
        <a:xfrm>
          <a:off x="4826888" y="3670463"/>
          <a:ext cx="1038225" cy="2190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Neutropenia</a:t>
          </a:r>
          <a:endParaRPr sz="1400"/>
        </a:p>
      </xdr:txBody>
    </xdr:sp>
    <xdr:clientData fLocksWithSheet="0"/>
  </xdr:oneCellAnchor>
  <xdr:oneCellAnchor>
    <xdr:from>
      <xdr:col>9</xdr:col>
      <xdr:colOff>142875</xdr:colOff>
      <xdr:row>29</xdr:row>
      <xdr:rowOff>19050</xdr:rowOff>
    </xdr:from>
    <xdr:ext cx="6486525" cy="139065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2107500" y="3089438"/>
          <a:ext cx="6477000" cy="13811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419100</xdr:colOff>
      <xdr:row>28</xdr:row>
      <xdr:rowOff>47625</xdr:rowOff>
    </xdr:from>
    <xdr:ext cx="1914525" cy="409575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4393500" y="3579975"/>
          <a:ext cx="1905000" cy="400050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PET Complication Rates</a:t>
          </a:r>
          <a:endParaRPr sz="1400"/>
        </a:p>
      </xdr:txBody>
    </xdr:sp>
    <xdr:clientData fLocksWithSheet="0"/>
  </xdr:oneCellAnchor>
  <xdr:oneCellAnchor>
    <xdr:from>
      <xdr:col>1</xdr:col>
      <xdr:colOff>190500</xdr:colOff>
      <xdr:row>49</xdr:row>
      <xdr:rowOff>47625</xdr:rowOff>
    </xdr:from>
    <xdr:ext cx="4657725" cy="144780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>
          <a:off x="3021900" y="3060863"/>
          <a:ext cx="4648200" cy="143827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323850</xdr:colOff>
      <xdr:row>48</xdr:row>
      <xdr:rowOff>95250</xdr:rowOff>
    </xdr:from>
    <xdr:ext cx="1971675" cy="295275"/>
    <xdr:sp macro="" textlink="">
      <xdr:nvSpPr>
        <xdr:cNvPr id="183" name="Shape 183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>
          <a:off x="4364925" y="3637125"/>
          <a:ext cx="1962150" cy="285750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Other Complication Rates</a:t>
          </a:r>
          <a:endParaRPr sz="1400"/>
        </a:p>
      </xdr:txBody>
    </xdr:sp>
    <xdr:clientData fLocksWithSheet="0"/>
  </xdr:oneCellAnchor>
  <xdr:oneCellAnchor>
    <xdr:from>
      <xdr:col>1</xdr:col>
      <xdr:colOff>85725</xdr:colOff>
      <xdr:row>0</xdr:row>
      <xdr:rowOff>66675</xdr:rowOff>
    </xdr:from>
    <xdr:ext cx="1066800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3</xdr:col>
      <xdr:colOff>775138</xdr:colOff>
      <xdr:row>1</xdr:row>
      <xdr:rowOff>72259</xdr:rowOff>
    </xdr:from>
    <xdr:to>
      <xdr:col>27</xdr:col>
      <xdr:colOff>184917</xdr:colOff>
      <xdr:row>2</xdr:row>
      <xdr:rowOff>159626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228CE93A-FB0E-47DD-957B-88DF77AEC68C}"/>
            </a:ext>
          </a:extLst>
        </xdr:cNvPr>
        <xdr:cNvGrpSpPr/>
      </xdr:nvGrpSpPr>
      <xdr:grpSpPr>
        <a:xfrm>
          <a:off x="1437747" y="254476"/>
          <a:ext cx="13622735" cy="708563"/>
          <a:chOff x="1533525" y="266700"/>
          <a:chExt cx="13592175" cy="704850"/>
        </a:xfrm>
      </xdr:grpSpPr>
      <xdr:sp macro="" textlink="">
        <xdr:nvSpPr>
          <xdr:cNvPr id="32" name="Shape 201">
            <a:extLst>
              <a:ext uri="{FF2B5EF4-FFF2-40B4-BE49-F238E27FC236}">
                <a16:creationId xmlns:a16="http://schemas.microsoft.com/office/drawing/2014/main" id="{FF2D1E8B-E9A8-FFC9-D36A-CDFB43EC5C24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33" name="Shape 202">
            <a:extLst>
              <a:ext uri="{FF2B5EF4-FFF2-40B4-BE49-F238E27FC236}">
                <a16:creationId xmlns:a16="http://schemas.microsoft.com/office/drawing/2014/main" id="{B8C117E1-6C7A-7576-D250-FE511E2EEBF6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34" name="Shape 203">
            <a:extLst>
              <a:ext uri="{FF2B5EF4-FFF2-40B4-BE49-F238E27FC236}">
                <a16:creationId xmlns:a16="http://schemas.microsoft.com/office/drawing/2014/main" id="{0ABC1EAF-75AB-E298-351E-A1430785DDAC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35" name="Shape 204">
            <a:extLst>
              <a:ext uri="{FF2B5EF4-FFF2-40B4-BE49-F238E27FC236}">
                <a16:creationId xmlns:a16="http://schemas.microsoft.com/office/drawing/2014/main" id="{3AB150CE-051C-FD22-C7C4-1AEBEBE34303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36" name="Shape 205">
            <a:extLst>
              <a:ext uri="{FF2B5EF4-FFF2-40B4-BE49-F238E27FC236}">
                <a16:creationId xmlns:a16="http://schemas.microsoft.com/office/drawing/2014/main" id="{7285F7D1-854E-7362-9A92-BA0821668657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37" name="Shape 206">
            <a:extLst>
              <a:ext uri="{FF2B5EF4-FFF2-40B4-BE49-F238E27FC236}">
                <a16:creationId xmlns:a16="http://schemas.microsoft.com/office/drawing/2014/main" id="{4157A402-3802-8982-B018-DE958365CE4D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38" name="Shape 207">
            <a:extLst>
              <a:ext uri="{FF2B5EF4-FFF2-40B4-BE49-F238E27FC236}">
                <a16:creationId xmlns:a16="http://schemas.microsoft.com/office/drawing/2014/main" id="{080A1610-1233-35B5-DE82-FCCA9B8153F6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39" name="Shape 208">
            <a:extLst>
              <a:ext uri="{FF2B5EF4-FFF2-40B4-BE49-F238E27FC236}">
                <a16:creationId xmlns:a16="http://schemas.microsoft.com/office/drawing/2014/main" id="{67B1A62F-8995-E63E-2218-38F38D77490C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twoCellAnchor>
    <xdr:from>
      <xdr:col>26</xdr:col>
      <xdr:colOff>314325</xdr:colOff>
      <xdr:row>5</xdr:row>
      <xdr:rowOff>9525</xdr:rowOff>
    </xdr:from>
    <xdr:to>
      <xdr:col>52</xdr:col>
      <xdr:colOff>0</xdr:colOff>
      <xdr:row>25</xdr:row>
      <xdr:rowOff>66675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3F5F716-E0B5-2F24-1401-C75E56FFF66D}"/>
            </a:ext>
          </a:extLst>
        </xdr:cNvPr>
        <xdr:cNvSpPr/>
      </xdr:nvSpPr>
      <xdr:spPr>
        <a:xfrm>
          <a:off x="14544675" y="1590675"/>
          <a:ext cx="15497175" cy="3552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</xdr:colOff>
      <xdr:row>0</xdr:row>
      <xdr:rowOff>76200</xdr:rowOff>
    </xdr:from>
    <xdr:ext cx="1076325" cy="1104900"/>
    <xdr:pic>
      <xdr:nvPicPr>
        <xdr:cNvPr id="4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49002</xdr:colOff>
      <xdr:row>6</xdr:row>
      <xdr:rowOff>81370</xdr:rowOff>
    </xdr:from>
    <xdr:ext cx="1381125" cy="541419"/>
    <xdr:sp macro="[0]!MC_Simulation" textlink="">
      <xdr:nvSpPr>
        <xdr:cNvPr id="14" name="Shape 200">
          <a:extLst>
            <a:ext uri="{FF2B5EF4-FFF2-40B4-BE49-F238E27FC236}">
              <a16:creationId xmlns:a16="http://schemas.microsoft.com/office/drawing/2014/main" id="{7461D6DD-DAE7-4AAD-9249-B67868A3D039}"/>
            </a:ext>
          </a:extLst>
        </xdr:cNvPr>
        <xdr:cNvSpPr/>
      </xdr:nvSpPr>
      <xdr:spPr>
        <a:xfrm>
          <a:off x="49002" y="1905774"/>
          <a:ext cx="1381125" cy="541419"/>
        </a:xfrm>
        <a:prstGeom prst="rect">
          <a:avLst/>
        </a:prstGeom>
        <a:solidFill>
          <a:schemeClr val="accent4"/>
        </a:solidFill>
        <a:ln w="1905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600"/>
            <a:buFont typeface="Cambria"/>
            <a:buNone/>
          </a:pPr>
          <a:r>
            <a:rPr lang="en-US" sz="1200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Run PSA</a:t>
          </a:r>
        </a:p>
      </xdr:txBody>
    </xdr:sp>
    <xdr:clientData fLocksWithSheet="0"/>
  </xdr:oneCellAnchor>
  <xdr:twoCellAnchor>
    <xdr:from>
      <xdr:col>1</xdr:col>
      <xdr:colOff>300405</xdr:colOff>
      <xdr:row>6</xdr:row>
      <xdr:rowOff>80596</xdr:rowOff>
    </xdr:from>
    <xdr:to>
      <xdr:col>2</xdr:col>
      <xdr:colOff>571501</xdr:colOff>
      <xdr:row>9</xdr:row>
      <xdr:rowOff>43961</xdr:rowOff>
    </xdr:to>
    <xdr:sp macro="[0]!CEAcurve" textlink="">
      <xdr:nvSpPr>
        <xdr:cNvPr id="5" name="Rectangle 4">
          <a:extLst>
            <a:ext uri="{FF2B5EF4-FFF2-40B4-BE49-F238E27FC236}">
              <a16:creationId xmlns:a16="http://schemas.microsoft.com/office/drawing/2014/main" id="{13B54448-713A-48D7-9992-2A6BA6B1B044}"/>
            </a:ext>
          </a:extLst>
        </xdr:cNvPr>
        <xdr:cNvSpPr/>
      </xdr:nvSpPr>
      <xdr:spPr>
        <a:xfrm>
          <a:off x="1494693" y="1905000"/>
          <a:ext cx="1260231" cy="534865"/>
        </a:xfrm>
        <a:prstGeom prst="rect">
          <a:avLst/>
        </a:prstGeom>
        <a:solidFill>
          <a:schemeClr val="accent4"/>
        </a:solidFill>
        <a:ln w="1905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600"/>
            <a:buFont typeface="Cambria"/>
            <a:buNone/>
          </a:pPr>
          <a:r>
            <a:rPr lang="en-US" sz="1100">
              <a:solidFill>
                <a:schemeClr val="lt1"/>
              </a:solidFill>
              <a:latin typeface="Cambria"/>
              <a:ea typeface="Cambria"/>
              <a:cs typeface="Cambria"/>
            </a:rPr>
            <a:t>Generate CEA Curve</a:t>
          </a:r>
        </a:p>
      </xdr:txBody>
    </xdr:sp>
    <xdr:clientData fLocksWithSheet="0"/>
  </xdr:twoCellAnchor>
  <xdr:twoCellAnchor>
    <xdr:from>
      <xdr:col>1</xdr:col>
      <xdr:colOff>285748</xdr:colOff>
      <xdr:row>1</xdr:row>
      <xdr:rowOff>73270</xdr:rowOff>
    </xdr:from>
    <xdr:to>
      <xdr:col>19</xdr:col>
      <xdr:colOff>110634</xdr:colOff>
      <xdr:row>2</xdr:row>
      <xdr:rowOff>155331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EBAA555-F5AB-4550-A15F-D071390B0235}"/>
            </a:ext>
          </a:extLst>
        </xdr:cNvPr>
        <xdr:cNvGrpSpPr/>
      </xdr:nvGrpSpPr>
      <xdr:grpSpPr>
        <a:xfrm>
          <a:off x="1480036" y="256443"/>
          <a:ext cx="13592175" cy="704850"/>
          <a:chOff x="1533525" y="266700"/>
          <a:chExt cx="13592175" cy="704850"/>
        </a:xfrm>
      </xdr:grpSpPr>
      <xdr:sp macro="" textlink="">
        <xdr:nvSpPr>
          <xdr:cNvPr id="7" name="Shape 201">
            <a:extLst>
              <a:ext uri="{FF2B5EF4-FFF2-40B4-BE49-F238E27FC236}">
                <a16:creationId xmlns:a16="http://schemas.microsoft.com/office/drawing/2014/main" id="{ACE7CF17-6F73-2FA9-E717-2DFA5688F262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8" name="Shape 202">
            <a:extLst>
              <a:ext uri="{FF2B5EF4-FFF2-40B4-BE49-F238E27FC236}">
                <a16:creationId xmlns:a16="http://schemas.microsoft.com/office/drawing/2014/main" id="{6021F716-D9EF-ABA3-639A-E1EFB6AEFCF5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9" name="Shape 203">
            <a:extLst>
              <a:ext uri="{FF2B5EF4-FFF2-40B4-BE49-F238E27FC236}">
                <a16:creationId xmlns:a16="http://schemas.microsoft.com/office/drawing/2014/main" id="{AA9FF39E-712A-B6E6-C66B-C79B48D67322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10" name="Shape 204">
            <a:extLst>
              <a:ext uri="{FF2B5EF4-FFF2-40B4-BE49-F238E27FC236}">
                <a16:creationId xmlns:a16="http://schemas.microsoft.com/office/drawing/2014/main" id="{0903AD13-766E-BDF7-6C90-268108115C92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1" name="Shape 205">
            <a:extLst>
              <a:ext uri="{FF2B5EF4-FFF2-40B4-BE49-F238E27FC236}">
                <a16:creationId xmlns:a16="http://schemas.microsoft.com/office/drawing/2014/main" id="{4A2A6840-6E14-2AFD-0EBD-EA8C5C7D3493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2" name="Shape 206">
            <a:extLst>
              <a:ext uri="{FF2B5EF4-FFF2-40B4-BE49-F238E27FC236}">
                <a16:creationId xmlns:a16="http://schemas.microsoft.com/office/drawing/2014/main" id="{C7BF0D2F-EFF4-E77F-149F-376ABB219A6B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3" name="Shape 207">
            <a:extLst>
              <a:ext uri="{FF2B5EF4-FFF2-40B4-BE49-F238E27FC236}">
                <a16:creationId xmlns:a16="http://schemas.microsoft.com/office/drawing/2014/main" id="{EFF1D6F7-E484-50F7-C8DC-58400A930E16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5" name="Shape 208">
            <a:extLst>
              <a:ext uri="{FF2B5EF4-FFF2-40B4-BE49-F238E27FC236}">
                <a16:creationId xmlns:a16="http://schemas.microsoft.com/office/drawing/2014/main" id="{67881668-8981-DC71-2D8C-693DAE0966E9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695325</xdr:colOff>
      <xdr:row>1</xdr:row>
      <xdr:rowOff>114300</xdr:rowOff>
    </xdr:from>
    <xdr:to>
      <xdr:col>17</xdr:col>
      <xdr:colOff>1219200</xdr:colOff>
      <xdr:row>2</xdr:row>
      <xdr:rowOff>200025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6D0F56C1-9486-1179-FB99-413B58371384}"/>
            </a:ext>
          </a:extLst>
        </xdr:cNvPr>
        <xdr:cNvGrpSpPr/>
      </xdr:nvGrpSpPr>
      <xdr:grpSpPr>
        <a:xfrm>
          <a:off x="1634218" y="291193"/>
          <a:ext cx="13586732" cy="711653"/>
          <a:chOff x="1533525" y="266700"/>
          <a:chExt cx="13592175" cy="704850"/>
        </a:xfrm>
      </xdr:grpSpPr>
      <xdr:sp macro="" textlink="">
        <xdr:nvSpPr>
          <xdr:cNvPr id="201" name="Shape 201">
            <a:extLst>
              <a:ext uri="{FF2B5EF4-FFF2-40B4-BE49-F238E27FC236}">
                <a16:creationId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202" name="Shape 202">
            <a:extLst>
              <a:ext uri="{FF2B5EF4-FFF2-40B4-BE49-F238E27FC236}">
                <a16:creationId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203" name="Shape 203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204" name="Shape 204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05" name="Shape 205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06" name="Shape 206"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07" name="Shape 207">
            <a:extLst>
              <a:ext uri="{FF2B5EF4-FFF2-40B4-BE49-F238E27FC236}">
                <a16:creationId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rgbClr val="304C5B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208" name="Shape 208"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oneCellAnchor>
    <xdr:from>
      <xdr:col>0</xdr:col>
      <xdr:colOff>57150</xdr:colOff>
      <xdr:row>0</xdr:row>
      <xdr:rowOff>104775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21</xdr:col>
      <xdr:colOff>274028</xdr:colOff>
      <xdr:row>5</xdr:row>
      <xdr:rowOff>35899</xdr:rowOff>
    </xdr:from>
    <xdr:ext cx="11005930" cy="8883513"/>
    <xdr:pic>
      <xdr:nvPicPr>
        <xdr:cNvPr id="3" name="image5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162586" y="1669803"/>
          <a:ext cx="11005930" cy="8883513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66800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40</xdr:col>
      <xdr:colOff>110713</xdr:colOff>
      <xdr:row>20</xdr:row>
      <xdr:rowOff>154998</xdr:rowOff>
    </xdr:from>
    <xdr:to>
      <xdr:col>53</xdr:col>
      <xdr:colOff>29483</xdr:colOff>
      <xdr:row>53</xdr:row>
      <xdr:rowOff>85936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77B0CC8-E97E-4A94-8CB7-8DF0B411B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13444</xdr:colOff>
      <xdr:row>21</xdr:row>
      <xdr:rowOff>1849</xdr:rowOff>
    </xdr:from>
    <xdr:to>
      <xdr:col>39</xdr:col>
      <xdr:colOff>18805</xdr:colOff>
      <xdr:row>53</xdr:row>
      <xdr:rowOff>115444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6A993E97-3A3F-E0CE-2AC8-FF5DB41F5B02}"/>
            </a:ext>
          </a:extLst>
        </xdr:cNvPr>
        <xdr:cNvGrpSpPr/>
      </xdr:nvGrpSpPr>
      <xdr:grpSpPr>
        <a:xfrm>
          <a:off x="18570385" y="4741937"/>
          <a:ext cx="9967391" cy="5851007"/>
          <a:chOff x="18124689" y="4994124"/>
          <a:chExt cx="9967391" cy="58493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C3FD4AC-7D26-41C6-88EA-31231DD4DD26}"/>
              </a:ext>
            </a:extLst>
          </xdr:cNvPr>
          <xdr:cNvGraphicFramePr/>
        </xdr:nvGraphicFramePr>
        <xdr:xfrm>
          <a:off x="18124689" y="4994124"/>
          <a:ext cx="9967391" cy="5849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25ECF9F7-582B-4253-BD82-83760BBA982D}"/>
              </a:ext>
            </a:extLst>
          </xdr:cNvPr>
          <xdr:cNvSpPr/>
        </xdr:nvSpPr>
        <xdr:spPr>
          <a:xfrm>
            <a:off x="20792516" y="6403627"/>
            <a:ext cx="1077438" cy="385802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Dead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58AA996A-7E0A-49E7-BFAD-0C154868DCDE}"/>
              </a:ext>
            </a:extLst>
          </xdr:cNvPr>
          <xdr:cNvSpPr/>
        </xdr:nvSpPr>
        <xdr:spPr>
          <a:xfrm>
            <a:off x="19479180" y="8355885"/>
            <a:ext cx="1060120" cy="385803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Alive</a:t>
            </a:r>
          </a:p>
        </xdr:txBody>
      </xdr:sp>
    </xdr:grpSp>
    <xdr:clientData/>
  </xdr:twoCellAnchor>
  <xdr:twoCellAnchor>
    <xdr:from>
      <xdr:col>43</xdr:col>
      <xdr:colOff>158952</xdr:colOff>
      <xdr:row>27</xdr:row>
      <xdr:rowOff>180109</xdr:rowOff>
    </xdr:from>
    <xdr:to>
      <xdr:col>45</xdr:col>
      <xdr:colOff>12860</xdr:colOff>
      <xdr:row>30</xdr:row>
      <xdr:rowOff>26348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AF54F40-5441-48CE-A883-7ACA8307D6EE}"/>
            </a:ext>
          </a:extLst>
        </xdr:cNvPr>
        <xdr:cNvSpPr/>
      </xdr:nvSpPr>
      <xdr:spPr>
        <a:xfrm>
          <a:off x="30514713" y="6044196"/>
          <a:ext cx="1079734" cy="392891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Dead</a:t>
          </a:r>
        </a:p>
      </xdr:txBody>
    </xdr:sp>
    <xdr:clientData/>
  </xdr:twoCellAnchor>
  <xdr:twoCellAnchor>
    <xdr:from>
      <xdr:col>42</xdr:col>
      <xdr:colOff>140772</xdr:colOff>
      <xdr:row>39</xdr:row>
      <xdr:rowOff>147576</xdr:rowOff>
    </xdr:from>
    <xdr:to>
      <xdr:col>43</xdr:col>
      <xdr:colOff>594756</xdr:colOff>
      <xdr:row>41</xdr:row>
      <xdr:rowOff>174791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FFB6BE4D-B4AA-46E3-8D0A-891BE1E94B12}"/>
            </a:ext>
          </a:extLst>
        </xdr:cNvPr>
        <xdr:cNvSpPr/>
      </xdr:nvSpPr>
      <xdr:spPr>
        <a:xfrm>
          <a:off x="29839722" y="8158101"/>
          <a:ext cx="1063584" cy="389165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Alive</a:t>
          </a:r>
        </a:p>
      </xdr:txBody>
    </xdr:sp>
    <xdr:clientData/>
  </xdr:twoCellAnchor>
  <xdr:twoCellAnchor>
    <xdr:from>
      <xdr:col>3</xdr:col>
      <xdr:colOff>38100</xdr:colOff>
      <xdr:row>1</xdr:row>
      <xdr:rowOff>114300</xdr:rowOff>
    </xdr:from>
    <xdr:to>
      <xdr:col>22</xdr:col>
      <xdr:colOff>952500</xdr:colOff>
      <xdr:row>2</xdr:row>
      <xdr:rowOff>200025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9D947BCC-3787-4B69-BDE4-386A723AF7DB}"/>
            </a:ext>
          </a:extLst>
        </xdr:cNvPr>
        <xdr:cNvGrpSpPr/>
      </xdr:nvGrpSpPr>
      <xdr:grpSpPr>
        <a:xfrm>
          <a:off x="2111188" y="293594"/>
          <a:ext cx="13565841" cy="702049"/>
          <a:chOff x="1533525" y="266700"/>
          <a:chExt cx="13592175" cy="704850"/>
        </a:xfrm>
      </xdr:grpSpPr>
      <xdr:sp macro="" textlink="">
        <xdr:nvSpPr>
          <xdr:cNvPr id="22" name="Shape 201">
            <a:extLst>
              <a:ext uri="{FF2B5EF4-FFF2-40B4-BE49-F238E27FC236}">
                <a16:creationId xmlns:a16="http://schemas.microsoft.com/office/drawing/2014/main" id="{2AA79448-B92D-A541-D29C-EA2EB294BE7A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23" name="Shape 202">
            <a:extLst>
              <a:ext uri="{FF2B5EF4-FFF2-40B4-BE49-F238E27FC236}">
                <a16:creationId xmlns:a16="http://schemas.microsoft.com/office/drawing/2014/main" id="{419CD2C2-59E3-7B71-D2EC-04A3985C51A3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24" name="Shape 203">
            <a:extLst>
              <a:ext uri="{FF2B5EF4-FFF2-40B4-BE49-F238E27FC236}">
                <a16:creationId xmlns:a16="http://schemas.microsoft.com/office/drawing/2014/main" id="{67BD4AA1-2840-D67C-F1BD-61F874A2A75B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25" name="Shape 204">
            <a:extLst>
              <a:ext uri="{FF2B5EF4-FFF2-40B4-BE49-F238E27FC236}">
                <a16:creationId xmlns:a16="http://schemas.microsoft.com/office/drawing/2014/main" id="{8AE4A432-7711-781A-7D37-D4627DB31E3C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6" name="Shape 205">
            <a:extLst>
              <a:ext uri="{FF2B5EF4-FFF2-40B4-BE49-F238E27FC236}">
                <a16:creationId xmlns:a16="http://schemas.microsoft.com/office/drawing/2014/main" id="{C7922BBA-017A-CC9D-17CD-85C79F3B0462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7" name="Shape 206">
            <a:extLst>
              <a:ext uri="{FF2B5EF4-FFF2-40B4-BE49-F238E27FC236}">
                <a16:creationId xmlns:a16="http://schemas.microsoft.com/office/drawing/2014/main" id="{83F68D4B-E0B0-938A-BB69-BCA9B0EE64B0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8" name="Shape 207">
            <a:extLst>
              <a:ext uri="{FF2B5EF4-FFF2-40B4-BE49-F238E27FC236}">
                <a16:creationId xmlns:a16="http://schemas.microsoft.com/office/drawing/2014/main" id="{36557C67-6FBB-6B50-28F8-7D6DB7C5B524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29" name="Shape 208">
            <a:extLst>
              <a:ext uri="{FF2B5EF4-FFF2-40B4-BE49-F238E27FC236}">
                <a16:creationId xmlns:a16="http://schemas.microsoft.com/office/drawing/2014/main" id="{F98B8E4B-2AB1-B62D-A95A-38E819DDEEB0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2D61905D-948D-4688-9992-E4181B53915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0" y="66675"/>
          <a:ext cx="1076325" cy="1085850"/>
        </a:xfrm>
        <a:prstGeom prst="rect">
          <a:avLst/>
        </a:prstGeom>
        <a:noFill/>
      </xdr:spPr>
    </xdr:pic>
    <xdr:clientData fLocksWithSheet="0"/>
  </xdr:oneCellAnchor>
  <xdr:twoCellAnchor>
    <xdr:from>
      <xdr:col>3</xdr:col>
      <xdr:colOff>38100</xdr:colOff>
      <xdr:row>1</xdr:row>
      <xdr:rowOff>114300</xdr:rowOff>
    </xdr:from>
    <xdr:to>
      <xdr:col>22</xdr:col>
      <xdr:colOff>952500</xdr:colOff>
      <xdr:row>2</xdr:row>
      <xdr:rowOff>200025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A886A5DD-E860-46EB-990C-2432C2D6AF1F}"/>
            </a:ext>
          </a:extLst>
        </xdr:cNvPr>
        <xdr:cNvGrpSpPr/>
      </xdr:nvGrpSpPr>
      <xdr:grpSpPr>
        <a:xfrm>
          <a:off x="1550894" y="293594"/>
          <a:ext cx="13565841" cy="702049"/>
          <a:chOff x="1533525" y="266700"/>
          <a:chExt cx="13592175" cy="704850"/>
        </a:xfrm>
      </xdr:grpSpPr>
      <xdr:sp macro="" textlink="">
        <xdr:nvSpPr>
          <xdr:cNvPr id="11" name="Shape 201">
            <a:extLst>
              <a:ext uri="{FF2B5EF4-FFF2-40B4-BE49-F238E27FC236}">
                <a16:creationId xmlns:a16="http://schemas.microsoft.com/office/drawing/2014/main" id="{FC89A34C-7A5E-AA77-C9DB-E8465992EBB1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12" name="Shape 202">
            <a:extLst>
              <a:ext uri="{FF2B5EF4-FFF2-40B4-BE49-F238E27FC236}">
                <a16:creationId xmlns:a16="http://schemas.microsoft.com/office/drawing/2014/main" id="{839E9F07-32D9-6CB7-0CED-F7322E92DD59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13" name="Shape 203">
            <a:extLst>
              <a:ext uri="{FF2B5EF4-FFF2-40B4-BE49-F238E27FC236}">
                <a16:creationId xmlns:a16="http://schemas.microsoft.com/office/drawing/2014/main" id="{E6F0BEBF-FCE6-420E-88C8-18B9EC6A272F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14" name="Shape 204">
            <a:extLst>
              <a:ext uri="{FF2B5EF4-FFF2-40B4-BE49-F238E27FC236}">
                <a16:creationId xmlns:a16="http://schemas.microsoft.com/office/drawing/2014/main" id="{BDA067B1-D5D3-7066-8243-2CB5973B9626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5" name="Shape 205">
            <a:extLst>
              <a:ext uri="{FF2B5EF4-FFF2-40B4-BE49-F238E27FC236}">
                <a16:creationId xmlns:a16="http://schemas.microsoft.com/office/drawing/2014/main" id="{893DA95F-576C-DF25-BC81-D343209D0785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6" name="Shape 206">
            <a:extLst>
              <a:ext uri="{FF2B5EF4-FFF2-40B4-BE49-F238E27FC236}">
                <a16:creationId xmlns:a16="http://schemas.microsoft.com/office/drawing/2014/main" id="{F35F8B47-847C-9772-0F83-1EDD7D60E8E9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7" name="Shape 207">
            <a:extLst>
              <a:ext uri="{FF2B5EF4-FFF2-40B4-BE49-F238E27FC236}">
                <a16:creationId xmlns:a16="http://schemas.microsoft.com/office/drawing/2014/main" id="{82E486E1-2603-7C30-4DE2-FBB30A54604C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8" name="Shape 208">
            <a:extLst>
              <a:ext uri="{FF2B5EF4-FFF2-40B4-BE49-F238E27FC236}">
                <a16:creationId xmlns:a16="http://schemas.microsoft.com/office/drawing/2014/main" id="{ABE25926-0FF5-B139-2936-4F2702AF2940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twoCellAnchor>
    <xdr:from>
      <xdr:col>27</xdr:col>
      <xdr:colOff>15106</xdr:colOff>
      <xdr:row>18</xdr:row>
      <xdr:rowOff>173447</xdr:rowOff>
    </xdr:from>
    <xdr:to>
      <xdr:col>43</xdr:col>
      <xdr:colOff>603973</xdr:colOff>
      <xdr:row>56</xdr:row>
      <xdr:rowOff>105968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7946FE3-7DD0-26F0-FE94-25E3FACBC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F8C3DF05-30CA-4000-992D-6CC7F467A05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0" y="66675"/>
          <a:ext cx="1076325" cy="1085850"/>
        </a:xfrm>
        <a:prstGeom prst="rect">
          <a:avLst/>
        </a:prstGeom>
        <a:noFill/>
      </xdr:spPr>
    </xdr:pic>
    <xdr:clientData fLocksWithSheet="0"/>
  </xdr:oneCellAnchor>
  <xdr:twoCellAnchor>
    <xdr:from>
      <xdr:col>3</xdr:col>
      <xdr:colOff>38100</xdr:colOff>
      <xdr:row>1</xdr:row>
      <xdr:rowOff>114300</xdr:rowOff>
    </xdr:from>
    <xdr:to>
      <xdr:col>22</xdr:col>
      <xdr:colOff>952500</xdr:colOff>
      <xdr:row>2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8B52C9B-3A3A-4313-B9BA-92132BB8116A}"/>
            </a:ext>
          </a:extLst>
        </xdr:cNvPr>
        <xdr:cNvGrpSpPr/>
      </xdr:nvGrpSpPr>
      <xdr:grpSpPr>
        <a:xfrm>
          <a:off x="1552575" y="295275"/>
          <a:ext cx="13592175" cy="704850"/>
          <a:chOff x="1533525" y="266700"/>
          <a:chExt cx="13592175" cy="704850"/>
        </a:xfrm>
      </xdr:grpSpPr>
      <xdr:sp macro="" textlink="">
        <xdr:nvSpPr>
          <xdr:cNvPr id="4" name="Shape 201">
            <a:extLst>
              <a:ext uri="{FF2B5EF4-FFF2-40B4-BE49-F238E27FC236}">
                <a16:creationId xmlns:a16="http://schemas.microsoft.com/office/drawing/2014/main" id="{C0CCBCC9-B619-C99C-5F17-33657F82178B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5" name="Shape 202">
            <a:extLst>
              <a:ext uri="{FF2B5EF4-FFF2-40B4-BE49-F238E27FC236}">
                <a16:creationId xmlns:a16="http://schemas.microsoft.com/office/drawing/2014/main" id="{E3791AAA-10BC-55C0-97A3-92599D196A46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6" name="Shape 203">
            <a:extLst>
              <a:ext uri="{FF2B5EF4-FFF2-40B4-BE49-F238E27FC236}">
                <a16:creationId xmlns:a16="http://schemas.microsoft.com/office/drawing/2014/main" id="{9B5E2712-C049-EBED-FC82-DB724A793197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7" name="Shape 204">
            <a:extLst>
              <a:ext uri="{FF2B5EF4-FFF2-40B4-BE49-F238E27FC236}">
                <a16:creationId xmlns:a16="http://schemas.microsoft.com/office/drawing/2014/main" id="{F6B96F52-3C29-8604-7C80-B65293683265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8" name="Shape 205">
            <a:extLst>
              <a:ext uri="{FF2B5EF4-FFF2-40B4-BE49-F238E27FC236}">
                <a16:creationId xmlns:a16="http://schemas.microsoft.com/office/drawing/2014/main" id="{2F8ADD2A-6DBD-55EC-993E-926CA98F323B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9" name="Shape 206">
            <a:extLst>
              <a:ext uri="{FF2B5EF4-FFF2-40B4-BE49-F238E27FC236}">
                <a16:creationId xmlns:a16="http://schemas.microsoft.com/office/drawing/2014/main" id="{3F20E940-0210-3E45-89EC-7B88A6D690C4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0" name="Shape 207">
            <a:extLst>
              <a:ext uri="{FF2B5EF4-FFF2-40B4-BE49-F238E27FC236}">
                <a16:creationId xmlns:a16="http://schemas.microsoft.com/office/drawing/2014/main" id="{4380A4A9-17D0-9856-DA87-21BD4F1C7586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1" name="Shape 208">
            <a:extLst>
              <a:ext uri="{FF2B5EF4-FFF2-40B4-BE49-F238E27FC236}">
                <a16:creationId xmlns:a16="http://schemas.microsoft.com/office/drawing/2014/main" id="{AC2A5E2D-52AB-BCA2-65E3-EAB629E3BA5C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twoCellAnchor>
    <xdr:from>
      <xdr:col>26</xdr:col>
      <xdr:colOff>121971</xdr:colOff>
      <xdr:row>16</xdr:row>
      <xdr:rowOff>71112</xdr:rowOff>
    </xdr:from>
    <xdr:to>
      <xdr:col>45</xdr:col>
      <xdr:colOff>549518</xdr:colOff>
      <xdr:row>63</xdr:row>
      <xdr:rowOff>96972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62DD9F5-2742-4EED-A698-C3118F4727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32A1B683-73AE-4188-B2F9-E12707F6A97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0" y="66675"/>
          <a:ext cx="1076325" cy="1085850"/>
        </a:xfrm>
        <a:prstGeom prst="rect">
          <a:avLst/>
        </a:prstGeom>
        <a:noFill/>
      </xdr:spPr>
    </xdr:pic>
    <xdr:clientData fLocksWithSheet="0"/>
  </xdr:oneCellAnchor>
  <xdr:twoCellAnchor>
    <xdr:from>
      <xdr:col>3</xdr:col>
      <xdr:colOff>38100</xdr:colOff>
      <xdr:row>1</xdr:row>
      <xdr:rowOff>114300</xdr:rowOff>
    </xdr:from>
    <xdr:to>
      <xdr:col>22</xdr:col>
      <xdr:colOff>952500</xdr:colOff>
      <xdr:row>2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659E794-A755-487D-B81C-20493E2AB268}"/>
            </a:ext>
          </a:extLst>
        </xdr:cNvPr>
        <xdr:cNvGrpSpPr/>
      </xdr:nvGrpSpPr>
      <xdr:grpSpPr>
        <a:xfrm>
          <a:off x="1550894" y="293594"/>
          <a:ext cx="13565841" cy="702049"/>
          <a:chOff x="1533525" y="266700"/>
          <a:chExt cx="13592175" cy="704850"/>
        </a:xfrm>
      </xdr:grpSpPr>
      <xdr:sp macro="" textlink="">
        <xdr:nvSpPr>
          <xdr:cNvPr id="4" name="Shape 201">
            <a:extLst>
              <a:ext uri="{FF2B5EF4-FFF2-40B4-BE49-F238E27FC236}">
                <a16:creationId xmlns:a16="http://schemas.microsoft.com/office/drawing/2014/main" id="{803E7317-0133-569D-086C-1255DC3D6254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5" name="Shape 202">
            <a:extLst>
              <a:ext uri="{FF2B5EF4-FFF2-40B4-BE49-F238E27FC236}">
                <a16:creationId xmlns:a16="http://schemas.microsoft.com/office/drawing/2014/main" id="{5FC98B3A-4D47-82FE-BF62-01D277171989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6" name="Shape 203">
            <a:extLst>
              <a:ext uri="{FF2B5EF4-FFF2-40B4-BE49-F238E27FC236}">
                <a16:creationId xmlns:a16="http://schemas.microsoft.com/office/drawing/2014/main" id="{E3FA6897-9892-AAE6-C1A3-3846F795D997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7" name="Shape 204">
            <a:extLst>
              <a:ext uri="{FF2B5EF4-FFF2-40B4-BE49-F238E27FC236}">
                <a16:creationId xmlns:a16="http://schemas.microsoft.com/office/drawing/2014/main" id="{78078414-2473-BC07-7E2C-A6BAF027158F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8" name="Shape 205">
            <a:extLst>
              <a:ext uri="{FF2B5EF4-FFF2-40B4-BE49-F238E27FC236}">
                <a16:creationId xmlns:a16="http://schemas.microsoft.com/office/drawing/2014/main" id="{F6464DF0-0F72-571D-8150-CB1676747D45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9" name="Shape 206">
            <a:extLst>
              <a:ext uri="{FF2B5EF4-FFF2-40B4-BE49-F238E27FC236}">
                <a16:creationId xmlns:a16="http://schemas.microsoft.com/office/drawing/2014/main" id="{F0F9BD9E-4B92-424A-43A9-ADDD4D039FB4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0" name="Shape 207">
            <a:extLst>
              <a:ext uri="{FF2B5EF4-FFF2-40B4-BE49-F238E27FC236}">
                <a16:creationId xmlns:a16="http://schemas.microsoft.com/office/drawing/2014/main" id="{5CA3A35B-FB5E-4F56-EAB2-D7EAD11C3F64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1" name="Shape 208">
            <a:extLst>
              <a:ext uri="{FF2B5EF4-FFF2-40B4-BE49-F238E27FC236}">
                <a16:creationId xmlns:a16="http://schemas.microsoft.com/office/drawing/2014/main" id="{FFB32E8F-68BC-A277-1F8F-E16918169273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twoCellAnchor>
    <xdr:from>
      <xdr:col>27</xdr:col>
      <xdr:colOff>15106</xdr:colOff>
      <xdr:row>18</xdr:row>
      <xdr:rowOff>173447</xdr:rowOff>
    </xdr:from>
    <xdr:to>
      <xdr:col>43</xdr:col>
      <xdr:colOff>603973</xdr:colOff>
      <xdr:row>56</xdr:row>
      <xdr:rowOff>105968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186B5E1-D338-446B-BDE9-544F0CD28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AB6475E6-4DE6-488D-9C23-FF90A634B82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0" y="66675"/>
          <a:ext cx="1076325" cy="1085850"/>
        </a:xfrm>
        <a:prstGeom prst="rect">
          <a:avLst/>
        </a:prstGeom>
        <a:noFill/>
      </xdr:spPr>
    </xdr:pic>
    <xdr:clientData fLocksWithSheet="0"/>
  </xdr:oneCellAnchor>
  <xdr:twoCellAnchor>
    <xdr:from>
      <xdr:col>3</xdr:col>
      <xdr:colOff>38100</xdr:colOff>
      <xdr:row>1</xdr:row>
      <xdr:rowOff>114300</xdr:rowOff>
    </xdr:from>
    <xdr:to>
      <xdr:col>22</xdr:col>
      <xdr:colOff>952500</xdr:colOff>
      <xdr:row>2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9D94104-BBE4-44D1-9C1D-81DE51A372C4}"/>
            </a:ext>
          </a:extLst>
        </xdr:cNvPr>
        <xdr:cNvGrpSpPr/>
      </xdr:nvGrpSpPr>
      <xdr:grpSpPr>
        <a:xfrm>
          <a:off x="1550894" y="293594"/>
          <a:ext cx="13565841" cy="702049"/>
          <a:chOff x="1533525" y="266700"/>
          <a:chExt cx="13592175" cy="704850"/>
        </a:xfrm>
      </xdr:grpSpPr>
      <xdr:sp macro="" textlink="">
        <xdr:nvSpPr>
          <xdr:cNvPr id="4" name="Shape 201">
            <a:extLst>
              <a:ext uri="{FF2B5EF4-FFF2-40B4-BE49-F238E27FC236}">
                <a16:creationId xmlns:a16="http://schemas.microsoft.com/office/drawing/2014/main" id="{5902280C-AC08-92B8-B927-36216B98EB40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5" name="Shape 202">
            <a:extLst>
              <a:ext uri="{FF2B5EF4-FFF2-40B4-BE49-F238E27FC236}">
                <a16:creationId xmlns:a16="http://schemas.microsoft.com/office/drawing/2014/main" id="{6DF8111C-C118-A768-18D5-44E1883C0443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6" name="Shape 203">
            <a:extLst>
              <a:ext uri="{FF2B5EF4-FFF2-40B4-BE49-F238E27FC236}">
                <a16:creationId xmlns:a16="http://schemas.microsoft.com/office/drawing/2014/main" id="{4FCF18BA-9FA0-D9AB-D9DE-2F9567B198E0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7" name="Shape 204">
            <a:extLst>
              <a:ext uri="{FF2B5EF4-FFF2-40B4-BE49-F238E27FC236}">
                <a16:creationId xmlns:a16="http://schemas.microsoft.com/office/drawing/2014/main" id="{FC79C363-835A-CFEA-45B0-3CF01B3404AA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8" name="Shape 205">
            <a:extLst>
              <a:ext uri="{FF2B5EF4-FFF2-40B4-BE49-F238E27FC236}">
                <a16:creationId xmlns:a16="http://schemas.microsoft.com/office/drawing/2014/main" id="{B7962F40-74C4-7B67-EB2A-2E2F04FE7FCC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9" name="Shape 206">
            <a:extLst>
              <a:ext uri="{FF2B5EF4-FFF2-40B4-BE49-F238E27FC236}">
                <a16:creationId xmlns:a16="http://schemas.microsoft.com/office/drawing/2014/main" id="{513DE1B0-BC18-FC2E-08E8-5B1CA5887B6F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0" name="Shape 207">
            <a:extLst>
              <a:ext uri="{FF2B5EF4-FFF2-40B4-BE49-F238E27FC236}">
                <a16:creationId xmlns:a16="http://schemas.microsoft.com/office/drawing/2014/main" id="{9F9A5A93-A240-1DF5-CC1E-6BDAB4E24867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1" name="Shape 208">
            <a:extLst>
              <a:ext uri="{FF2B5EF4-FFF2-40B4-BE49-F238E27FC236}">
                <a16:creationId xmlns:a16="http://schemas.microsoft.com/office/drawing/2014/main" id="{8E167672-1CDE-0EE3-650E-776C7893E5E5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twoCellAnchor>
    <xdr:from>
      <xdr:col>27</xdr:col>
      <xdr:colOff>15106</xdr:colOff>
      <xdr:row>18</xdr:row>
      <xdr:rowOff>173447</xdr:rowOff>
    </xdr:from>
    <xdr:to>
      <xdr:col>43</xdr:col>
      <xdr:colOff>603973</xdr:colOff>
      <xdr:row>56</xdr:row>
      <xdr:rowOff>105968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6288370-BB84-42F5-86C6-D9F5AABC7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0</xdr:row>
      <xdr:rowOff>66675</xdr:rowOff>
    </xdr:from>
    <xdr:ext cx="1066800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8C86A05C-833F-4313-AA11-C26DAE28C42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5725" y="66675"/>
          <a:ext cx="1066800" cy="1085850"/>
        </a:xfrm>
        <a:prstGeom prst="rect">
          <a:avLst/>
        </a:prstGeom>
        <a:noFill/>
      </xdr:spPr>
    </xdr:pic>
    <xdr:clientData fLocksWithSheet="0"/>
  </xdr:oneCellAnchor>
  <xdr:twoCellAnchor>
    <xdr:from>
      <xdr:col>59</xdr:col>
      <xdr:colOff>1502828</xdr:colOff>
      <xdr:row>2</xdr:row>
      <xdr:rowOff>323449</xdr:rowOff>
    </xdr:from>
    <xdr:to>
      <xdr:col>74</xdr:col>
      <xdr:colOff>638735</xdr:colOff>
      <xdr:row>63</xdr:row>
      <xdr:rowOff>93649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8391BC2-5F44-E15C-5793-910AC4DCE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38100</xdr:colOff>
      <xdr:row>1</xdr:row>
      <xdr:rowOff>95250</xdr:rowOff>
    </xdr:from>
    <xdr:to>
      <xdr:col>26</xdr:col>
      <xdr:colOff>66675</xdr:colOff>
      <xdr:row>2</xdr:row>
      <xdr:rowOff>180975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61BBA21-24B3-4A88-9BBF-0CF69A181C0B}"/>
            </a:ext>
          </a:extLst>
        </xdr:cNvPr>
        <xdr:cNvGrpSpPr/>
      </xdr:nvGrpSpPr>
      <xdr:grpSpPr>
        <a:xfrm>
          <a:off x="1426029" y="272143"/>
          <a:ext cx="16030575" cy="711653"/>
          <a:chOff x="1533525" y="266700"/>
          <a:chExt cx="13592175" cy="704850"/>
        </a:xfrm>
      </xdr:grpSpPr>
      <xdr:sp macro="" textlink="">
        <xdr:nvSpPr>
          <xdr:cNvPr id="6" name="Shape 201">
            <a:extLst>
              <a:ext uri="{FF2B5EF4-FFF2-40B4-BE49-F238E27FC236}">
                <a16:creationId xmlns:a16="http://schemas.microsoft.com/office/drawing/2014/main" id="{BA9D977A-C5FE-4847-CDEA-FA74B2E49553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7" name="Shape 202">
            <a:extLst>
              <a:ext uri="{FF2B5EF4-FFF2-40B4-BE49-F238E27FC236}">
                <a16:creationId xmlns:a16="http://schemas.microsoft.com/office/drawing/2014/main" id="{0AF95B00-E92C-42F2-047F-F3216955978A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8" name="Shape 203">
            <a:extLst>
              <a:ext uri="{FF2B5EF4-FFF2-40B4-BE49-F238E27FC236}">
                <a16:creationId xmlns:a16="http://schemas.microsoft.com/office/drawing/2014/main" id="{B2997414-9BCC-5D6A-D7FF-E6C26A9EF7DB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9" name="Shape 204">
            <a:extLst>
              <a:ext uri="{FF2B5EF4-FFF2-40B4-BE49-F238E27FC236}">
                <a16:creationId xmlns:a16="http://schemas.microsoft.com/office/drawing/2014/main" id="{1A186037-F3B1-364C-A476-A833BBBC472E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0" name="Shape 205">
            <a:extLst>
              <a:ext uri="{FF2B5EF4-FFF2-40B4-BE49-F238E27FC236}">
                <a16:creationId xmlns:a16="http://schemas.microsoft.com/office/drawing/2014/main" id="{B75CD19C-A8C0-348E-DA50-4A91433D2045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1" name="Shape 206">
            <a:extLst>
              <a:ext uri="{FF2B5EF4-FFF2-40B4-BE49-F238E27FC236}">
                <a16:creationId xmlns:a16="http://schemas.microsoft.com/office/drawing/2014/main" id="{0E8DA153-C4C1-9A36-E11E-C8F15517C27A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2" name="Shape 207">
            <a:extLst>
              <a:ext uri="{FF2B5EF4-FFF2-40B4-BE49-F238E27FC236}">
                <a16:creationId xmlns:a16="http://schemas.microsoft.com/office/drawing/2014/main" id="{9BBB602E-26B7-2F75-3086-E60333E92BB3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3" name="Shape 208">
            <a:extLst>
              <a:ext uri="{FF2B5EF4-FFF2-40B4-BE49-F238E27FC236}">
                <a16:creationId xmlns:a16="http://schemas.microsoft.com/office/drawing/2014/main" id="{B0808DF7-46F9-E10C-72DB-22816A87E161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0</xdr:row>
      <xdr:rowOff>66675</xdr:rowOff>
    </xdr:from>
    <xdr:ext cx="1066800" cy="1085850"/>
    <xdr:pic>
      <xdr:nvPicPr>
        <xdr:cNvPr id="3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5</xdr:col>
      <xdr:colOff>466724</xdr:colOff>
      <xdr:row>76</xdr:row>
      <xdr:rowOff>133349</xdr:rowOff>
    </xdr:from>
    <xdr:to>
      <xdr:col>15</xdr:col>
      <xdr:colOff>609599</xdr:colOff>
      <xdr:row>103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A36448-7287-4BFF-8199-04E6C52E25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1060174</xdr:colOff>
      <xdr:row>1</xdr:row>
      <xdr:rowOff>74544</xdr:rowOff>
    </xdr:from>
    <xdr:to>
      <xdr:col>22</xdr:col>
      <xdr:colOff>41827</xdr:colOff>
      <xdr:row>2</xdr:row>
      <xdr:rowOff>158198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EEB7DC4-75EF-49D5-9FB9-B42CEBD0448D}"/>
            </a:ext>
          </a:extLst>
        </xdr:cNvPr>
        <xdr:cNvGrpSpPr/>
      </xdr:nvGrpSpPr>
      <xdr:grpSpPr>
        <a:xfrm>
          <a:off x="1673087" y="256761"/>
          <a:ext cx="13592175" cy="704850"/>
          <a:chOff x="1533525" y="266700"/>
          <a:chExt cx="13592175" cy="704850"/>
        </a:xfrm>
      </xdr:grpSpPr>
      <xdr:sp macro="" textlink="">
        <xdr:nvSpPr>
          <xdr:cNvPr id="20" name="Shape 201">
            <a:extLst>
              <a:ext uri="{FF2B5EF4-FFF2-40B4-BE49-F238E27FC236}">
                <a16:creationId xmlns:a16="http://schemas.microsoft.com/office/drawing/2014/main" id="{A2B062E6-1208-9163-E3F8-469A1C742083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21" name="Shape 202">
            <a:extLst>
              <a:ext uri="{FF2B5EF4-FFF2-40B4-BE49-F238E27FC236}">
                <a16:creationId xmlns:a16="http://schemas.microsoft.com/office/drawing/2014/main" id="{EC9FF0D8-6657-278C-F068-C16DA6AED7E5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22" name="Shape 203">
            <a:extLst>
              <a:ext uri="{FF2B5EF4-FFF2-40B4-BE49-F238E27FC236}">
                <a16:creationId xmlns:a16="http://schemas.microsoft.com/office/drawing/2014/main" id="{343DB8DC-5462-6D3F-D526-B26C2A1486B6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23" name="Shape 204">
            <a:extLst>
              <a:ext uri="{FF2B5EF4-FFF2-40B4-BE49-F238E27FC236}">
                <a16:creationId xmlns:a16="http://schemas.microsoft.com/office/drawing/2014/main" id="{96FA7C8B-A959-4F99-AA57-94019842C7DC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4" name="Shape 205">
            <a:extLst>
              <a:ext uri="{FF2B5EF4-FFF2-40B4-BE49-F238E27FC236}">
                <a16:creationId xmlns:a16="http://schemas.microsoft.com/office/drawing/2014/main" id="{D332587F-B47E-8EF5-10E1-A007FEB267A2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5" name="Shape 206">
            <a:extLst>
              <a:ext uri="{FF2B5EF4-FFF2-40B4-BE49-F238E27FC236}">
                <a16:creationId xmlns:a16="http://schemas.microsoft.com/office/drawing/2014/main" id="{51D7D903-7F0E-43B1-14AB-F289C9835C96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6" name="Shape 207">
            <a:extLst>
              <a:ext uri="{FF2B5EF4-FFF2-40B4-BE49-F238E27FC236}">
                <a16:creationId xmlns:a16="http://schemas.microsoft.com/office/drawing/2014/main" id="{A38342F6-4AEC-8371-83E5-1E4F1FFD1B4F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27" name="Shape 208">
            <a:extLst>
              <a:ext uri="{FF2B5EF4-FFF2-40B4-BE49-F238E27FC236}">
                <a16:creationId xmlns:a16="http://schemas.microsoft.com/office/drawing/2014/main" id="{2130B513-0DF9-6687-45BF-AD08A1B1D413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twoCellAnchor editAs="oneCell">
    <xdr:from>
      <xdr:col>11</xdr:col>
      <xdr:colOff>249114</xdr:colOff>
      <xdr:row>5</xdr:row>
      <xdr:rowOff>58615</xdr:rowOff>
    </xdr:from>
    <xdr:to>
      <xdr:col>32</xdr:col>
      <xdr:colOff>271096</xdr:colOff>
      <xdr:row>116</xdr:row>
      <xdr:rowOff>168519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726D07E3-2E01-4A38-8E8B-844E75148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22</xdr:col>
      <xdr:colOff>43872</xdr:colOff>
      <xdr:row>11</xdr:row>
      <xdr:rowOff>48552</xdr:rowOff>
    </xdr:from>
    <xdr:to>
      <xdr:col>22</xdr:col>
      <xdr:colOff>91264</xdr:colOff>
      <xdr:row>40</xdr:row>
      <xdr:rowOff>97490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2F1D2EC-57D7-678A-47C6-3D88D6991215}"/>
            </a:ext>
          </a:extLst>
        </xdr:cNvPr>
        <xdr:cNvCxnSpPr/>
      </xdr:nvCxnSpPr>
      <xdr:spPr>
        <a:xfrm flipH="1" flipV="1">
          <a:off x="15239910" y="2371187"/>
          <a:ext cx="47392" cy="5302341"/>
        </a:xfrm>
        <a:prstGeom prst="line">
          <a:avLst/>
        </a:prstGeom>
        <a:ln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256761</xdr:colOff>
      <xdr:row>2</xdr:row>
      <xdr:rowOff>61520</xdr:rowOff>
    </xdr:from>
    <xdr:to>
      <xdr:col>16</xdr:col>
      <xdr:colOff>472109</xdr:colOff>
      <xdr:row>26</xdr:row>
      <xdr:rowOff>84739</xdr:rowOff>
    </xdr:to>
    <xdr:graphicFrame macro="">
      <xdr:nvGraphicFramePr>
        <xdr:cNvPr id="792552713" name="Chart 3">
          <a:extLst>
            <a:ext uri="{FF2B5EF4-FFF2-40B4-BE49-F238E27FC236}">
              <a16:creationId xmlns:a16="http://schemas.microsoft.com/office/drawing/2014/main" id="{00000000-0008-0000-0700-000009653D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49</xdr:col>
      <xdr:colOff>326569</xdr:colOff>
      <xdr:row>6</xdr:row>
      <xdr:rowOff>105021</xdr:rowOff>
    </xdr:from>
    <xdr:ext cx="14505215" cy="8630764"/>
    <xdr:graphicFrame macro="">
      <xdr:nvGraphicFramePr>
        <xdr:cNvPr id="557979980" name="Chart 4">
          <a:extLst>
            <a:ext uri="{FF2B5EF4-FFF2-40B4-BE49-F238E27FC236}">
              <a16:creationId xmlns:a16="http://schemas.microsoft.com/office/drawing/2014/main" id="{00000000-0008-0000-0800-00004C19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85725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49</xdr:col>
      <xdr:colOff>190501</xdr:colOff>
      <xdr:row>58</xdr:row>
      <xdr:rowOff>57148</xdr:rowOff>
    </xdr:from>
    <xdr:to>
      <xdr:col>71</xdr:col>
      <xdr:colOff>381000</xdr:colOff>
      <xdr:row>114</xdr:row>
      <xdr:rowOff>40822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4ABEB7-E76C-44EC-A0B1-4C4D43E8F9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459441</xdr:colOff>
      <xdr:row>1</xdr:row>
      <xdr:rowOff>123265</xdr:rowOff>
    </xdr:from>
    <xdr:to>
      <xdr:col>18</xdr:col>
      <xdr:colOff>414058</xdr:colOff>
      <xdr:row>2</xdr:row>
      <xdr:rowOff>211791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72509F46-5E16-4D2E-BA6F-6A703F59F1DB}"/>
            </a:ext>
          </a:extLst>
        </xdr:cNvPr>
        <xdr:cNvGrpSpPr/>
      </xdr:nvGrpSpPr>
      <xdr:grpSpPr>
        <a:xfrm>
          <a:off x="1456765" y="302559"/>
          <a:ext cx="13592175" cy="704850"/>
          <a:chOff x="1533525" y="266700"/>
          <a:chExt cx="13592175" cy="704850"/>
        </a:xfrm>
      </xdr:grpSpPr>
      <xdr:sp macro="" textlink="">
        <xdr:nvSpPr>
          <xdr:cNvPr id="14" name="Shape 201">
            <a:extLst>
              <a:ext uri="{FF2B5EF4-FFF2-40B4-BE49-F238E27FC236}">
                <a16:creationId xmlns:a16="http://schemas.microsoft.com/office/drawing/2014/main" id="{56B5FD03-573F-8E54-A835-459F365553A8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15" name="Shape 202">
            <a:extLst>
              <a:ext uri="{FF2B5EF4-FFF2-40B4-BE49-F238E27FC236}">
                <a16:creationId xmlns:a16="http://schemas.microsoft.com/office/drawing/2014/main" id="{06354122-57EA-08D9-D439-E3D6F6EC59F0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16" name="Shape 203">
            <a:extLst>
              <a:ext uri="{FF2B5EF4-FFF2-40B4-BE49-F238E27FC236}">
                <a16:creationId xmlns:a16="http://schemas.microsoft.com/office/drawing/2014/main" id="{48BF478B-14E2-FC04-798D-EE96A0F5AB87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17" name="Shape 204">
            <a:extLst>
              <a:ext uri="{FF2B5EF4-FFF2-40B4-BE49-F238E27FC236}">
                <a16:creationId xmlns:a16="http://schemas.microsoft.com/office/drawing/2014/main" id="{EAAE7177-4E75-442E-27CF-0E0D18C06489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8" name="Shape 205">
            <a:extLst>
              <a:ext uri="{FF2B5EF4-FFF2-40B4-BE49-F238E27FC236}">
                <a16:creationId xmlns:a16="http://schemas.microsoft.com/office/drawing/2014/main" id="{1480E2BD-91E8-CF9B-8F70-7DC0B537309B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9" name="Shape 206">
            <a:extLst>
              <a:ext uri="{FF2B5EF4-FFF2-40B4-BE49-F238E27FC236}">
                <a16:creationId xmlns:a16="http://schemas.microsoft.com/office/drawing/2014/main" id="{50B1B43E-FB78-421B-8996-23073CF80630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0" name="Shape 207">
            <a:extLst>
              <a:ext uri="{FF2B5EF4-FFF2-40B4-BE49-F238E27FC236}">
                <a16:creationId xmlns:a16="http://schemas.microsoft.com/office/drawing/2014/main" id="{887BB886-225A-F4A4-6268-57CED2434643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21" name="Shape 208">
            <a:extLst>
              <a:ext uri="{FF2B5EF4-FFF2-40B4-BE49-F238E27FC236}">
                <a16:creationId xmlns:a16="http://schemas.microsoft.com/office/drawing/2014/main" id="{7A514BF9-11B3-66E0-7F87-7E82211FAE8D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0.8621</cdr:x>
      <cdr:y>0.47441</cdr:y>
    </cdr:from>
    <cdr:to>
      <cdr:x>1</cdr:x>
      <cdr:y>0.51431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52D4A48-27E8-40E1-9DC8-5AC73592E945}"/>
            </a:ext>
          </a:extLst>
        </cdr:cNvPr>
        <cdr:cNvSpPr txBox="1"/>
      </cdr:nvSpPr>
      <cdr:spPr>
        <a:xfrm xmlns:a="http://schemas.openxmlformats.org/drawingml/2006/main">
          <a:off x="12504963" y="4691745"/>
          <a:ext cx="2000250" cy="3946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 b="1"/>
            <a:t>Incremental QALYs</a:t>
          </a:r>
        </a:p>
      </cdr:txBody>
    </cdr:sp>
  </cdr:relSizeAnchor>
  <cdr:relSizeAnchor xmlns:cdr="http://schemas.openxmlformats.org/drawingml/2006/chartDrawing">
    <cdr:from>
      <cdr:x>0.41626</cdr:x>
      <cdr:y>0.00826</cdr:y>
    </cdr:from>
    <cdr:to>
      <cdr:x>0.44346</cdr:x>
      <cdr:y>0.21161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58F579C-80F8-45D9-8281-643D6E15BA0B}"/>
            </a:ext>
          </a:extLst>
        </cdr:cNvPr>
        <cdr:cNvSpPr txBox="1"/>
      </cdr:nvSpPr>
      <cdr:spPr>
        <a:xfrm xmlns:a="http://schemas.openxmlformats.org/drawingml/2006/main" rot="16200000">
          <a:off x="5229678" y="889907"/>
          <a:ext cx="2011138" cy="3946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/>
            <a:t>Incremental</a:t>
          </a:r>
          <a:r>
            <a:rPr lang="en-US" sz="1600" b="1" baseline="0"/>
            <a:t> Cost </a:t>
          </a:r>
          <a:endParaRPr lang="en-US" sz="1600" b="1"/>
        </a:p>
      </cdr:txBody>
    </cdr:sp>
  </cdr:relSizeAnchor>
</c:userShap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69A020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U1000"/>
  <sheetViews>
    <sheetView tabSelected="1" zoomScaleNormal="100" workbookViewId="0">
      <selection activeCell="AH32" sqref="AH32"/>
    </sheetView>
  </sheetViews>
  <sheetFormatPr defaultColWidth="12.625" defaultRowHeight="15" customHeight="1" x14ac:dyDescent="0.2"/>
  <cols>
    <col min="1" max="31" width="8" customWidth="1"/>
    <col min="32" max="32" width="3.5" customWidth="1"/>
    <col min="33" max="33" width="1.875" customWidth="1"/>
    <col min="34" max="34" width="13.5" customWidth="1"/>
    <col min="35" max="35" width="11.5" customWidth="1"/>
    <col min="36" max="36" width="8" customWidth="1"/>
    <col min="37" max="37" width="12" customWidth="1"/>
    <col min="38" max="41" width="8" customWidth="1"/>
    <col min="42" max="42" width="7.625" customWidth="1"/>
  </cols>
  <sheetData>
    <row r="1" spans="1:47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7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7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7" ht="12" customHeight="1" x14ac:dyDescent="0.25">
      <c r="A4" s="618" t="s">
        <v>0</v>
      </c>
      <c r="B4" s="619"/>
      <c r="C4" s="619"/>
      <c r="D4" s="619"/>
      <c r="E4" s="619"/>
      <c r="F4" s="619"/>
      <c r="G4" s="62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</row>
    <row r="5" spans="1:47" ht="30" customHeight="1" x14ac:dyDescent="0.25">
      <c r="A5" s="621"/>
      <c r="B5" s="622"/>
      <c r="C5" s="622"/>
      <c r="D5" s="622"/>
      <c r="E5" s="622"/>
      <c r="F5" s="622"/>
      <c r="G5" s="623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</row>
    <row r="6" spans="1:47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</row>
    <row r="7" spans="1:47" ht="14.25" customHeight="1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4" t="s">
        <v>1</v>
      </c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</row>
    <row r="8" spans="1:47" ht="5.25" customHeight="1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5"/>
      <c r="AI8" s="5"/>
      <c r="AJ8" s="5"/>
      <c r="AK8" s="5"/>
      <c r="AL8" s="5"/>
      <c r="AM8" s="5"/>
      <c r="AN8" s="5"/>
      <c r="AO8" s="5"/>
      <c r="AP8" s="5"/>
      <c r="AQ8" s="3"/>
      <c r="AR8" s="3"/>
      <c r="AS8" s="3"/>
      <c r="AT8" s="3"/>
      <c r="AU8" s="3"/>
    </row>
    <row r="9" spans="1:47" ht="14.25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 t="s">
        <v>2</v>
      </c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</row>
    <row r="10" spans="1:47" ht="4.5" customHeight="1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</row>
    <row r="11" spans="1:47" ht="14.25" customHeight="1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6" t="s">
        <v>3</v>
      </c>
      <c r="AI11" s="7"/>
      <c r="AJ11" s="7" t="s">
        <v>4</v>
      </c>
      <c r="AK11" s="7"/>
      <c r="AL11" s="7"/>
      <c r="AM11" s="7"/>
      <c r="AN11" s="7"/>
      <c r="AO11" s="7"/>
      <c r="AP11" s="7"/>
      <c r="AQ11" s="3"/>
      <c r="AR11" s="3"/>
      <c r="AS11" s="3"/>
      <c r="AT11" s="3"/>
      <c r="AU11" s="3"/>
    </row>
    <row r="12" spans="1:47" ht="14.25" customHeight="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4" t="s">
        <v>5</v>
      </c>
      <c r="AI12" s="3"/>
      <c r="AJ12" s="3" t="s">
        <v>6</v>
      </c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</row>
    <row r="13" spans="1:47" ht="14.25" customHeight="1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6" t="s">
        <v>7</v>
      </c>
      <c r="AI13" s="7"/>
      <c r="AJ13" s="7" t="s">
        <v>8</v>
      </c>
      <c r="AK13" s="7"/>
      <c r="AL13" s="7"/>
      <c r="AM13" s="7"/>
      <c r="AN13" s="7"/>
      <c r="AO13" s="7"/>
      <c r="AP13" s="7"/>
      <c r="AQ13" s="3"/>
      <c r="AR13" s="3"/>
      <c r="AS13" s="3"/>
      <c r="AT13" s="3"/>
      <c r="AU13" s="3"/>
    </row>
    <row r="14" spans="1:47" ht="14.2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4" t="s">
        <v>9</v>
      </c>
      <c r="AI14" s="3"/>
      <c r="AJ14" s="3" t="s">
        <v>10</v>
      </c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</row>
    <row r="15" spans="1:47" ht="14.25" customHeight="1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6" t="s">
        <v>11</v>
      </c>
      <c r="AI15" s="7"/>
      <c r="AJ15" s="7" t="s">
        <v>12</v>
      </c>
      <c r="AK15" s="7"/>
      <c r="AL15" s="7"/>
      <c r="AM15" s="7"/>
      <c r="AN15" s="7"/>
      <c r="AO15" s="7"/>
      <c r="AP15" s="7"/>
      <c r="AQ15" s="3"/>
      <c r="AR15" s="3"/>
      <c r="AS15" s="3"/>
      <c r="AT15" s="3"/>
      <c r="AU15" s="3"/>
    </row>
    <row r="16" spans="1:47" ht="14.2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4" t="s">
        <v>436</v>
      </c>
      <c r="AI16" s="3"/>
      <c r="AJ16" s="3" t="s">
        <v>437</v>
      </c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</row>
    <row r="17" spans="1:47" ht="14.25" customHeight="1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624" t="s">
        <v>13</v>
      </c>
      <c r="Z17" s="619"/>
      <c r="AA17" s="620"/>
      <c r="AB17" s="3"/>
      <c r="AC17" s="3"/>
      <c r="AD17" s="3"/>
      <c r="AE17" s="3"/>
      <c r="AF17" s="3"/>
      <c r="AG17" s="3"/>
      <c r="AH17" s="6" t="s">
        <v>438</v>
      </c>
      <c r="AI17" s="7"/>
      <c r="AJ17" s="7" t="s">
        <v>439</v>
      </c>
      <c r="AK17" s="7"/>
      <c r="AL17" s="7"/>
      <c r="AM17" s="7"/>
      <c r="AN17" s="7"/>
      <c r="AO17" s="7"/>
      <c r="AP17" s="7"/>
      <c r="AQ17" s="3"/>
      <c r="AR17" s="3"/>
      <c r="AS17" s="3"/>
      <c r="AT17" s="3"/>
      <c r="AU17" s="3"/>
    </row>
    <row r="18" spans="1:47" ht="14.25" customHeight="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621"/>
      <c r="Z18" s="622"/>
      <c r="AA18" s="623"/>
      <c r="AB18" s="3"/>
      <c r="AC18" s="3"/>
      <c r="AD18" s="3"/>
      <c r="AE18" s="3"/>
      <c r="AF18" s="3"/>
      <c r="AG18" s="3"/>
      <c r="AH18" s="4" t="s">
        <v>440</v>
      </c>
      <c r="AI18" s="3"/>
      <c r="AJ18" s="3" t="s">
        <v>441</v>
      </c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</row>
    <row r="19" spans="1:47" ht="14.25" customHeight="1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</row>
    <row r="20" spans="1:47" ht="14.25" customHeight="1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</row>
    <row r="21" spans="1:47" ht="14.2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444"/>
      <c r="AI21" s="444"/>
      <c r="AJ21" s="444"/>
      <c r="AK21" s="444"/>
      <c r="AL21" s="3"/>
      <c r="AM21" s="3"/>
      <c r="AN21" s="3"/>
      <c r="AO21" s="3"/>
      <c r="AP21" s="3"/>
      <c r="AQ21" s="3"/>
      <c r="AR21" s="3"/>
      <c r="AS21" s="3"/>
      <c r="AT21" s="3"/>
      <c r="AU21" s="3"/>
    </row>
    <row r="22" spans="1:47" ht="14.25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445" t="s">
        <v>457</v>
      </c>
      <c r="AI22" s="445"/>
      <c r="AJ22" s="445"/>
      <c r="AK22" s="445"/>
      <c r="AL22" s="3"/>
      <c r="AM22" s="3"/>
      <c r="AN22" s="3"/>
      <c r="AO22" s="3"/>
      <c r="AP22" s="3"/>
      <c r="AQ22" s="3"/>
      <c r="AR22" s="3"/>
      <c r="AS22" s="3"/>
      <c r="AT22" s="3"/>
      <c r="AU22" s="3"/>
    </row>
    <row r="23" spans="1:47" s="443" customFormat="1" ht="17.2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446" t="s">
        <v>458</v>
      </c>
      <c r="AI23" s="446"/>
      <c r="AJ23" s="446"/>
      <c r="AK23" s="446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customHeight="1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</row>
    <row r="25" spans="1:47" ht="14.25" customHeight="1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1:47" ht="14.2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</row>
    <row r="27" spans="1:47" ht="14.25" customHeight="1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47" ht="14.25" customHeight="1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L28" s="3"/>
      <c r="AM28" s="3"/>
      <c r="AN28" s="3"/>
      <c r="AO28" s="3"/>
      <c r="AP28" s="3"/>
      <c r="AQ28" s="3"/>
      <c r="AR28" s="3"/>
      <c r="AS28" s="3"/>
      <c r="AT28" s="3"/>
      <c r="AU28" s="3"/>
    </row>
    <row r="29" spans="1:47" ht="14.25" customHeight="1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</row>
    <row r="30" spans="1:47" ht="14.2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  <row r="31" spans="1:47" ht="14.25" customHeight="1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</row>
    <row r="32" spans="1:47" ht="14.25" customHeight="1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  <row r="33" spans="1:47" ht="14.25" customHeight="1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</row>
    <row r="34" spans="1:47" ht="14.2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</row>
    <row r="35" spans="1:47" ht="14.25" customHeight="1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</row>
    <row r="36" spans="1:47" ht="14.25" customHeight="1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</row>
    <row r="37" spans="1:47" ht="14.2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</row>
    <row r="38" spans="1:47" ht="14.2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</row>
    <row r="39" spans="1:47" ht="14.2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</row>
    <row r="40" spans="1:47" ht="14.25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</row>
    <row r="41" spans="1:47" ht="14.2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</row>
    <row r="42" spans="1:47" ht="14.2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</row>
    <row r="43" spans="1:47" ht="14.2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</row>
    <row r="44" spans="1:47" ht="14.2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</row>
    <row r="45" spans="1:47" ht="14.25" customHeight="1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</row>
    <row r="46" spans="1:47" ht="14.25" customHeight="1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</row>
    <row r="47" spans="1:47" ht="14.25" customHeight="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</row>
    <row r="48" spans="1:47" ht="14.25" customHeight="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</row>
    <row r="49" spans="1:47" ht="14.25" customHeight="1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</row>
    <row r="50" spans="1:47" ht="14.25" customHeight="1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</row>
    <row r="51" spans="1:47" ht="14.25" customHeight="1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</row>
    <row r="52" spans="1:47" ht="14.25" customHeight="1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</row>
    <row r="53" spans="1:47" ht="14.25" customHeight="1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</row>
    <row r="54" spans="1:47" ht="14.25" customHeight="1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</row>
    <row r="55" spans="1:47" ht="14.25" customHeight="1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</row>
    <row r="56" spans="1:47" ht="14.25" customHeight="1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</row>
    <row r="57" spans="1:47" ht="14.25" customHeight="1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</row>
    <row r="58" spans="1:47" ht="14.25" customHeight="1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</row>
    <row r="59" spans="1:47" ht="14.25" customHeight="1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</row>
    <row r="60" spans="1:47" ht="14.25" customHeight="1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</row>
    <row r="61" spans="1:47" ht="14.25" customHeight="1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</row>
    <row r="62" spans="1:47" ht="14.25" customHeight="1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</row>
    <row r="63" spans="1:47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</row>
    <row r="64" spans="1:47" ht="14.25" customHeight="1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</row>
    <row r="65" spans="1:47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</row>
    <row r="66" spans="1:47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</row>
    <row r="67" spans="1:47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</row>
    <row r="68" spans="1:47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</row>
    <row r="69" spans="1:47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</row>
    <row r="70" spans="1:47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</row>
    <row r="71" spans="1:47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</row>
    <row r="72" spans="1:47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</row>
    <row r="73" spans="1:47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</row>
    <row r="74" spans="1:47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</row>
    <row r="75" spans="1:47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</row>
    <row r="76" spans="1:47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</row>
    <row r="77" spans="1:47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</row>
    <row r="78" spans="1:47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</row>
    <row r="79" spans="1:47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</row>
    <row r="80" spans="1:47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</row>
    <row r="81" spans="1:47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</row>
    <row r="82" spans="1:47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</row>
    <row r="83" spans="1:47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</row>
    <row r="84" spans="1:47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</row>
    <row r="85" spans="1:47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</row>
    <row r="86" spans="1:47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</row>
    <row r="87" spans="1:47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</row>
    <row r="88" spans="1:47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</row>
    <row r="89" spans="1:47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</row>
    <row r="90" spans="1:47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</row>
    <row r="91" spans="1:47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</row>
    <row r="92" spans="1:47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</row>
    <row r="93" spans="1:47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</row>
    <row r="94" spans="1:47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</row>
    <row r="95" spans="1:47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</row>
    <row r="96" spans="1:47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</row>
    <row r="97" spans="1:47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</row>
    <row r="98" spans="1:47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</row>
    <row r="99" spans="1:47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</row>
    <row r="100" spans="1:47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</row>
    <row r="101" spans="1:47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</row>
    <row r="102" spans="1:47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</row>
    <row r="103" spans="1:47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</row>
    <row r="104" spans="1:47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</row>
    <row r="105" spans="1:47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</row>
    <row r="106" spans="1:47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</row>
    <row r="107" spans="1:47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</row>
    <row r="108" spans="1:47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</row>
    <row r="109" spans="1:47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</row>
    <row r="110" spans="1:47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</row>
    <row r="111" spans="1:47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</row>
    <row r="112" spans="1:47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</row>
    <row r="113" spans="1:47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</row>
    <row r="114" spans="1:47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</row>
    <row r="115" spans="1:47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</row>
    <row r="116" spans="1:47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</row>
    <row r="117" spans="1:47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</row>
    <row r="118" spans="1:47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</row>
    <row r="119" spans="1:47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</row>
    <row r="120" spans="1:47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</row>
    <row r="121" spans="1:47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</row>
    <row r="122" spans="1:47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</row>
    <row r="123" spans="1:47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</row>
    <row r="124" spans="1:47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</row>
    <row r="125" spans="1:47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</row>
    <row r="126" spans="1:47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</row>
    <row r="127" spans="1:47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</row>
    <row r="128" spans="1:47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</row>
    <row r="129" spans="1:47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</row>
    <row r="130" spans="1:47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</row>
    <row r="131" spans="1:47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</row>
    <row r="132" spans="1:47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</row>
    <row r="133" spans="1:47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</row>
    <row r="134" spans="1:47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</row>
    <row r="135" spans="1:47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</row>
    <row r="136" spans="1:47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</row>
    <row r="137" spans="1:47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</row>
    <row r="138" spans="1:47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</row>
    <row r="139" spans="1:47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</row>
    <row r="140" spans="1:47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</row>
    <row r="141" spans="1:47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</row>
    <row r="142" spans="1:47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</row>
    <row r="143" spans="1:47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</row>
    <row r="144" spans="1:47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</row>
    <row r="145" spans="1:47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</row>
    <row r="146" spans="1:47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</row>
    <row r="147" spans="1:47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</row>
    <row r="148" spans="1:47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</row>
    <row r="149" spans="1:47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</row>
    <row r="150" spans="1:47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</row>
    <row r="151" spans="1:47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</row>
    <row r="152" spans="1:47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</row>
    <row r="153" spans="1:47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</row>
    <row r="154" spans="1:47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</row>
    <row r="155" spans="1:47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</row>
    <row r="156" spans="1:47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</row>
    <row r="157" spans="1:47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</row>
    <row r="158" spans="1:47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</row>
    <row r="159" spans="1:47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</row>
    <row r="160" spans="1:47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</row>
    <row r="161" spans="1:47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</row>
    <row r="162" spans="1:47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</row>
    <row r="163" spans="1:47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</row>
    <row r="164" spans="1:47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</row>
    <row r="165" spans="1:47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</row>
    <row r="166" spans="1:47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</row>
    <row r="167" spans="1:47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</row>
    <row r="168" spans="1:47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</row>
    <row r="169" spans="1:47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</row>
    <row r="170" spans="1:47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</row>
    <row r="171" spans="1:47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</row>
    <row r="172" spans="1:47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</row>
    <row r="173" spans="1:47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</row>
    <row r="174" spans="1:47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</row>
    <row r="175" spans="1:47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</row>
    <row r="176" spans="1:47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</row>
    <row r="177" spans="1:47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</row>
    <row r="178" spans="1:47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</row>
    <row r="179" spans="1:47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</row>
    <row r="180" spans="1:47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</row>
    <row r="181" spans="1:47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</row>
    <row r="182" spans="1:47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</row>
    <row r="183" spans="1:47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</row>
    <row r="184" spans="1:47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</row>
    <row r="185" spans="1:47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</row>
    <row r="186" spans="1:47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</row>
    <row r="187" spans="1:47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</row>
    <row r="188" spans="1:47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</row>
    <row r="189" spans="1:47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</row>
    <row r="190" spans="1:47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</row>
    <row r="191" spans="1:47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</row>
    <row r="192" spans="1:47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</row>
    <row r="193" spans="1:42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</row>
    <row r="194" spans="1:42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</row>
    <row r="195" spans="1:42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</row>
    <row r="196" spans="1:42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</row>
    <row r="197" spans="1:42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</row>
    <row r="198" spans="1:42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</row>
    <row r="199" spans="1:42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</row>
    <row r="200" spans="1:42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</row>
    <row r="201" spans="1:42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</row>
    <row r="202" spans="1:42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</row>
    <row r="203" spans="1:42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</row>
    <row r="204" spans="1:42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</row>
    <row r="205" spans="1:42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</row>
    <row r="206" spans="1:42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</row>
    <row r="207" spans="1:42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</row>
    <row r="208" spans="1:42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</row>
    <row r="209" spans="1:42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</row>
    <row r="210" spans="1:42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</row>
    <row r="211" spans="1:42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</row>
    <row r="212" spans="1:42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</row>
    <row r="213" spans="1:42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</row>
    <row r="214" spans="1:42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</row>
    <row r="215" spans="1:42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</row>
    <row r="216" spans="1:42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</row>
    <row r="217" spans="1:42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</row>
    <row r="218" spans="1:42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</row>
    <row r="219" spans="1:42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</row>
    <row r="220" spans="1:42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</row>
    <row r="221" spans="1:42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</row>
    <row r="222" spans="1:42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</row>
    <row r="223" spans="1:42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</row>
    <row r="224" spans="1:42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</row>
    <row r="225" spans="1:42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</row>
    <row r="226" spans="1:42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</row>
    <row r="227" spans="1:42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</row>
    <row r="228" spans="1:42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</row>
    <row r="229" spans="1:42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</row>
    <row r="230" spans="1:42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</row>
    <row r="231" spans="1:42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</row>
    <row r="232" spans="1:42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</row>
    <row r="233" spans="1:42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</row>
    <row r="234" spans="1:42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</row>
    <row r="235" spans="1:42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</row>
    <row r="236" spans="1:42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</row>
    <row r="237" spans="1:42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</row>
    <row r="238" spans="1:42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</row>
    <row r="239" spans="1:42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</row>
    <row r="240" spans="1:42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</row>
    <row r="241" spans="1:42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</row>
    <row r="242" spans="1:42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</row>
    <row r="243" spans="1:42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</row>
    <row r="244" spans="1:42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</row>
    <row r="245" spans="1:42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</row>
    <row r="246" spans="1:42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</row>
    <row r="247" spans="1:42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</row>
    <row r="248" spans="1:42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</row>
    <row r="249" spans="1:42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</row>
    <row r="250" spans="1:42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</row>
    <row r="251" spans="1:42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</row>
    <row r="252" spans="1:42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</row>
    <row r="253" spans="1:42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</row>
    <row r="254" spans="1:42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</row>
    <row r="255" spans="1:42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</row>
    <row r="256" spans="1:42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</row>
    <row r="257" spans="1:42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</row>
    <row r="258" spans="1:42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</row>
    <row r="259" spans="1:42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</row>
    <row r="260" spans="1:42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</row>
    <row r="261" spans="1:42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</row>
    <row r="262" spans="1:42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</row>
    <row r="263" spans="1:42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</row>
    <row r="264" spans="1:42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</row>
    <row r="265" spans="1:42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</row>
    <row r="266" spans="1:42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</row>
    <row r="267" spans="1:42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</row>
    <row r="268" spans="1:42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</row>
    <row r="269" spans="1:42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</row>
    <row r="270" spans="1:42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</row>
    <row r="271" spans="1:42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</row>
    <row r="272" spans="1:42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</row>
    <row r="273" spans="1:42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</row>
    <row r="274" spans="1:42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</row>
    <row r="275" spans="1:42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</row>
    <row r="276" spans="1:42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</row>
    <row r="277" spans="1:42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</row>
    <row r="278" spans="1:42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</row>
    <row r="279" spans="1:42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</row>
    <row r="280" spans="1:42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</row>
    <row r="281" spans="1:42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</row>
    <row r="282" spans="1:42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</row>
    <row r="283" spans="1:42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</row>
    <row r="284" spans="1:42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</row>
    <row r="285" spans="1:42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</row>
    <row r="286" spans="1:42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</row>
    <row r="287" spans="1:42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</row>
    <row r="288" spans="1:42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</row>
    <row r="289" spans="1:42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</row>
    <row r="290" spans="1:42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</row>
    <row r="291" spans="1:42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</row>
    <row r="292" spans="1:42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</row>
    <row r="293" spans="1:42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</row>
    <row r="294" spans="1:42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</row>
    <row r="295" spans="1:42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</row>
    <row r="296" spans="1:42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</row>
    <row r="297" spans="1:42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</row>
    <row r="298" spans="1:42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</row>
    <row r="299" spans="1:42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</row>
    <row r="300" spans="1:42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</row>
    <row r="301" spans="1:42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</row>
    <row r="302" spans="1:42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</row>
    <row r="303" spans="1:42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</row>
    <row r="304" spans="1:42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</row>
    <row r="305" spans="1:42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</row>
    <row r="306" spans="1:42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</row>
    <row r="307" spans="1:42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</row>
    <row r="308" spans="1:42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</row>
    <row r="309" spans="1:42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</row>
    <row r="310" spans="1:42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</row>
    <row r="311" spans="1:42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</row>
    <row r="312" spans="1:42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</row>
    <row r="313" spans="1:42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</row>
    <row r="314" spans="1:42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</row>
    <row r="315" spans="1:42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</row>
    <row r="316" spans="1:42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</row>
    <row r="317" spans="1:42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</row>
    <row r="318" spans="1:42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</row>
    <row r="319" spans="1:42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</row>
    <row r="320" spans="1:42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</row>
    <row r="321" spans="1:42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</row>
    <row r="322" spans="1:42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</row>
    <row r="323" spans="1:42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</row>
    <row r="324" spans="1:42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</row>
    <row r="325" spans="1:42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</row>
    <row r="326" spans="1:42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</row>
    <row r="327" spans="1:42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</row>
    <row r="328" spans="1:42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</row>
    <row r="329" spans="1:42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</row>
    <row r="330" spans="1:42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</row>
    <row r="331" spans="1:42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</row>
    <row r="332" spans="1:42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</row>
    <row r="333" spans="1:42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</row>
    <row r="334" spans="1:42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</row>
    <row r="335" spans="1:42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</row>
    <row r="336" spans="1:42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</row>
    <row r="337" spans="1:42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</row>
    <row r="338" spans="1:42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</row>
    <row r="339" spans="1:42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</row>
    <row r="340" spans="1:42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</row>
    <row r="341" spans="1:42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</row>
    <row r="342" spans="1:42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</row>
    <row r="343" spans="1:42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</row>
    <row r="344" spans="1:42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</row>
    <row r="345" spans="1:42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</row>
    <row r="346" spans="1:42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</row>
    <row r="347" spans="1:42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</row>
    <row r="348" spans="1:42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</row>
    <row r="349" spans="1:42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</row>
    <row r="350" spans="1:42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</row>
    <row r="351" spans="1:42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</row>
    <row r="352" spans="1:42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</row>
    <row r="353" spans="1:42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</row>
    <row r="354" spans="1:42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</row>
    <row r="355" spans="1:42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</row>
    <row r="356" spans="1:42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</row>
    <row r="357" spans="1:42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</row>
    <row r="358" spans="1:42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</row>
    <row r="359" spans="1:42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</row>
    <row r="360" spans="1:42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</row>
    <row r="361" spans="1:42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</row>
    <row r="362" spans="1:42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</row>
    <row r="363" spans="1:42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</row>
    <row r="364" spans="1:42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</row>
    <row r="365" spans="1:42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</row>
    <row r="366" spans="1:42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</row>
    <row r="367" spans="1:42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</row>
    <row r="368" spans="1:42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</row>
    <row r="369" spans="1:42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</row>
    <row r="370" spans="1:42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</row>
    <row r="371" spans="1:42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</row>
    <row r="372" spans="1:42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</row>
    <row r="373" spans="1:42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</row>
    <row r="374" spans="1:42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</row>
    <row r="375" spans="1:42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</row>
    <row r="376" spans="1:42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</row>
    <row r="377" spans="1:42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</row>
    <row r="378" spans="1:42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</row>
    <row r="379" spans="1:42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</row>
    <row r="380" spans="1:42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</row>
    <row r="381" spans="1:42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</row>
    <row r="382" spans="1:42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</row>
    <row r="383" spans="1:42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</row>
    <row r="384" spans="1:42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</row>
    <row r="385" spans="1:42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</row>
    <row r="386" spans="1:42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</row>
    <row r="387" spans="1:42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</row>
    <row r="388" spans="1:42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</row>
    <row r="389" spans="1:42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</row>
    <row r="390" spans="1:42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</row>
    <row r="391" spans="1:42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</row>
    <row r="392" spans="1:42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</row>
    <row r="393" spans="1:42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</row>
    <row r="394" spans="1:42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</row>
    <row r="395" spans="1:42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</row>
    <row r="396" spans="1:42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</row>
    <row r="397" spans="1:42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</row>
    <row r="398" spans="1:42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</row>
    <row r="399" spans="1:42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</row>
    <row r="400" spans="1:42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</row>
    <row r="401" spans="1:42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</row>
    <row r="402" spans="1:42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</row>
    <row r="403" spans="1:42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</row>
    <row r="404" spans="1:42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</row>
    <row r="405" spans="1:42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</row>
    <row r="406" spans="1:42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</row>
    <row r="407" spans="1:42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</row>
    <row r="408" spans="1:42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</row>
    <row r="409" spans="1:42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</row>
    <row r="410" spans="1:42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</row>
    <row r="411" spans="1:42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</row>
    <row r="412" spans="1:42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</row>
    <row r="413" spans="1:42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</row>
    <row r="414" spans="1:42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</row>
    <row r="415" spans="1:42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</row>
    <row r="416" spans="1:42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</row>
    <row r="417" spans="1:42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</row>
    <row r="418" spans="1:42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</row>
    <row r="419" spans="1:42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</row>
    <row r="420" spans="1:42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</row>
    <row r="421" spans="1:42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</row>
    <row r="422" spans="1:42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</row>
    <row r="423" spans="1:42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</row>
    <row r="424" spans="1:42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</row>
    <row r="425" spans="1:42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</row>
    <row r="426" spans="1:42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</row>
    <row r="427" spans="1:42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</row>
    <row r="428" spans="1:42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</row>
    <row r="429" spans="1:42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</row>
    <row r="430" spans="1:42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</row>
    <row r="431" spans="1:42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</row>
    <row r="432" spans="1:42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</row>
    <row r="433" spans="1:42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</row>
    <row r="434" spans="1:42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</row>
    <row r="435" spans="1:42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</row>
    <row r="436" spans="1:42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</row>
    <row r="437" spans="1:42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</row>
    <row r="438" spans="1:42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</row>
    <row r="439" spans="1:42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</row>
    <row r="440" spans="1:42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</row>
    <row r="441" spans="1:42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</row>
    <row r="442" spans="1:42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</row>
    <row r="443" spans="1:42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</row>
    <row r="444" spans="1:42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</row>
    <row r="445" spans="1:42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</row>
    <row r="446" spans="1:42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</row>
    <row r="447" spans="1:42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</row>
    <row r="448" spans="1:42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</row>
    <row r="449" spans="1:42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</row>
    <row r="450" spans="1:42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</row>
    <row r="451" spans="1:42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</row>
    <row r="452" spans="1:42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</row>
    <row r="453" spans="1:42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</row>
    <row r="454" spans="1:42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</row>
    <row r="455" spans="1:42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</row>
    <row r="456" spans="1:42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</row>
    <row r="457" spans="1:42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</row>
    <row r="458" spans="1:42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</row>
    <row r="459" spans="1:42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</row>
    <row r="460" spans="1:42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</row>
    <row r="461" spans="1:42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</row>
    <row r="462" spans="1:42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</row>
    <row r="463" spans="1:42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</row>
    <row r="464" spans="1:42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</row>
    <row r="465" spans="1:42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</row>
    <row r="466" spans="1:42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</row>
    <row r="467" spans="1:42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</row>
    <row r="468" spans="1:42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</row>
    <row r="469" spans="1:42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</row>
    <row r="470" spans="1:42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</row>
    <row r="471" spans="1:42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</row>
    <row r="472" spans="1:42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</row>
    <row r="473" spans="1:42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</row>
    <row r="474" spans="1:42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</row>
    <row r="475" spans="1:42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</row>
    <row r="476" spans="1:42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</row>
    <row r="477" spans="1:42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</row>
    <row r="478" spans="1:42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</row>
    <row r="479" spans="1:42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</row>
    <row r="480" spans="1:42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</row>
    <row r="481" spans="1:42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</row>
    <row r="482" spans="1:42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</row>
    <row r="483" spans="1:42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</row>
    <row r="484" spans="1:42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</row>
    <row r="485" spans="1:42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</row>
    <row r="486" spans="1:42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</row>
    <row r="487" spans="1:42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</row>
    <row r="488" spans="1:42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</row>
    <row r="489" spans="1:42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</row>
    <row r="490" spans="1:42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</row>
    <row r="491" spans="1:42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</row>
    <row r="492" spans="1:42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</row>
    <row r="493" spans="1:42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</row>
    <row r="494" spans="1:42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</row>
    <row r="495" spans="1:42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</row>
    <row r="496" spans="1:42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</row>
    <row r="497" spans="1:42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</row>
    <row r="498" spans="1:42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</row>
    <row r="499" spans="1:42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</row>
    <row r="500" spans="1:42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</row>
    <row r="501" spans="1:42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</row>
    <row r="502" spans="1:42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</row>
    <row r="503" spans="1:42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</row>
    <row r="504" spans="1:42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</row>
    <row r="505" spans="1:42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</row>
    <row r="506" spans="1:42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</row>
    <row r="507" spans="1:42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</row>
    <row r="508" spans="1:42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</row>
    <row r="509" spans="1:42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</row>
    <row r="510" spans="1:42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</row>
    <row r="511" spans="1:42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</row>
    <row r="512" spans="1:42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</row>
    <row r="513" spans="1:42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</row>
    <row r="514" spans="1:42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</row>
    <row r="515" spans="1:42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</row>
    <row r="516" spans="1:42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</row>
    <row r="517" spans="1:42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</row>
    <row r="518" spans="1:42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</row>
    <row r="519" spans="1:42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</row>
    <row r="520" spans="1:42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</row>
    <row r="521" spans="1:42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</row>
    <row r="522" spans="1:42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</row>
    <row r="523" spans="1:42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</row>
    <row r="524" spans="1:42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</row>
    <row r="525" spans="1:42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</row>
    <row r="526" spans="1:42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</row>
    <row r="527" spans="1:42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</row>
    <row r="528" spans="1:42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</row>
    <row r="529" spans="1:42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</row>
    <row r="530" spans="1:42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</row>
    <row r="531" spans="1:42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</row>
    <row r="532" spans="1:42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</row>
    <row r="533" spans="1:42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</row>
    <row r="534" spans="1:42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</row>
    <row r="535" spans="1:42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</row>
    <row r="536" spans="1:42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</row>
    <row r="537" spans="1:42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</row>
    <row r="538" spans="1:42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</row>
    <row r="539" spans="1:42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</row>
    <row r="540" spans="1:42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</row>
    <row r="541" spans="1:42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</row>
    <row r="542" spans="1:42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</row>
    <row r="543" spans="1:42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</row>
    <row r="544" spans="1:42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</row>
    <row r="545" spans="1:42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</row>
    <row r="546" spans="1:42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</row>
    <row r="547" spans="1:42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</row>
    <row r="548" spans="1:42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</row>
    <row r="549" spans="1:42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</row>
    <row r="550" spans="1:42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</row>
    <row r="551" spans="1:42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</row>
    <row r="552" spans="1:42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</row>
    <row r="553" spans="1:42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</row>
    <row r="554" spans="1:42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</row>
    <row r="555" spans="1:42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</row>
    <row r="556" spans="1:42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</row>
    <row r="557" spans="1:42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</row>
    <row r="558" spans="1:42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</row>
    <row r="559" spans="1:42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</row>
    <row r="560" spans="1:42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</row>
    <row r="561" spans="1:42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</row>
    <row r="562" spans="1:42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</row>
    <row r="563" spans="1:42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</row>
    <row r="564" spans="1:42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</row>
    <row r="565" spans="1:42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</row>
    <row r="566" spans="1:42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</row>
    <row r="567" spans="1:42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</row>
    <row r="568" spans="1:42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</row>
    <row r="569" spans="1:42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</row>
    <row r="570" spans="1:42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</row>
    <row r="571" spans="1:42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</row>
    <row r="572" spans="1:42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</row>
    <row r="573" spans="1:42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</row>
    <row r="574" spans="1:42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</row>
    <row r="575" spans="1:42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</row>
    <row r="576" spans="1:42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</row>
    <row r="577" spans="1:42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</row>
    <row r="578" spans="1:42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</row>
    <row r="579" spans="1:42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</row>
    <row r="580" spans="1:42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</row>
    <row r="581" spans="1:42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</row>
    <row r="582" spans="1:42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</row>
    <row r="583" spans="1:42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</row>
    <row r="584" spans="1:42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</row>
    <row r="585" spans="1:42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</row>
    <row r="586" spans="1:42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</row>
    <row r="587" spans="1:42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</row>
    <row r="588" spans="1:42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</row>
    <row r="589" spans="1:42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</row>
    <row r="590" spans="1:42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</row>
    <row r="591" spans="1:42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</row>
    <row r="592" spans="1:42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</row>
    <row r="593" spans="1:42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</row>
    <row r="594" spans="1:42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</row>
    <row r="595" spans="1:42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</row>
    <row r="596" spans="1:42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</row>
    <row r="597" spans="1:42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</row>
    <row r="598" spans="1:42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</row>
    <row r="599" spans="1:42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</row>
    <row r="600" spans="1:42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</row>
    <row r="601" spans="1:42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</row>
    <row r="602" spans="1:42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</row>
    <row r="603" spans="1:42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</row>
    <row r="604" spans="1:42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</row>
    <row r="605" spans="1:42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</row>
    <row r="606" spans="1:42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</row>
    <row r="607" spans="1:42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</row>
    <row r="608" spans="1:42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</row>
    <row r="609" spans="1:42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</row>
    <row r="610" spans="1:42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</row>
    <row r="611" spans="1:42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</row>
    <row r="612" spans="1:42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</row>
    <row r="613" spans="1:42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</row>
    <row r="614" spans="1:42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</row>
    <row r="615" spans="1:42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</row>
    <row r="616" spans="1:42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</row>
    <row r="617" spans="1:42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</row>
    <row r="618" spans="1:42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</row>
    <row r="619" spans="1:42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</row>
    <row r="620" spans="1:42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</row>
    <row r="621" spans="1:42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</row>
    <row r="622" spans="1:42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</row>
    <row r="623" spans="1:42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</row>
    <row r="624" spans="1:42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</row>
    <row r="625" spans="1:42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</row>
    <row r="626" spans="1:42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</row>
    <row r="627" spans="1:42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</row>
    <row r="628" spans="1:42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</row>
    <row r="629" spans="1:42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</row>
    <row r="630" spans="1:42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</row>
    <row r="631" spans="1:42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</row>
    <row r="632" spans="1:42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</row>
    <row r="633" spans="1:42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</row>
    <row r="634" spans="1:42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</row>
    <row r="635" spans="1:42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</row>
    <row r="636" spans="1:42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</row>
    <row r="637" spans="1:42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</row>
    <row r="638" spans="1:42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</row>
    <row r="639" spans="1:42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</row>
    <row r="640" spans="1:42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</row>
    <row r="641" spans="1:42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</row>
    <row r="642" spans="1:42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</row>
    <row r="643" spans="1:42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</row>
    <row r="644" spans="1:42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</row>
    <row r="645" spans="1:42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</row>
    <row r="646" spans="1:42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</row>
    <row r="647" spans="1:42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</row>
    <row r="648" spans="1:42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</row>
    <row r="649" spans="1:42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</row>
    <row r="650" spans="1:42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</row>
    <row r="651" spans="1:42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</row>
    <row r="652" spans="1:42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</row>
    <row r="653" spans="1:42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</row>
    <row r="654" spans="1:42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</row>
    <row r="655" spans="1:42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</row>
    <row r="656" spans="1:42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</row>
    <row r="657" spans="1:42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</row>
    <row r="658" spans="1:42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</row>
    <row r="659" spans="1:42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</row>
    <row r="660" spans="1:42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</row>
    <row r="661" spans="1:42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</row>
    <row r="662" spans="1:42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</row>
    <row r="663" spans="1:42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</row>
    <row r="664" spans="1:42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</row>
    <row r="665" spans="1:42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</row>
    <row r="666" spans="1:42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</row>
    <row r="667" spans="1:42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</row>
    <row r="668" spans="1:42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</row>
    <row r="669" spans="1:42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</row>
    <row r="670" spans="1:42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</row>
    <row r="671" spans="1:42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</row>
    <row r="672" spans="1:42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</row>
    <row r="673" spans="1:42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</row>
    <row r="674" spans="1:42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</row>
    <row r="675" spans="1:42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</row>
    <row r="676" spans="1:42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</row>
    <row r="677" spans="1:42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</row>
    <row r="678" spans="1:42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</row>
    <row r="679" spans="1:42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</row>
    <row r="680" spans="1:42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</row>
    <row r="681" spans="1:42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</row>
    <row r="682" spans="1:42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</row>
    <row r="683" spans="1:42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</row>
    <row r="684" spans="1:42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</row>
    <row r="685" spans="1:42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</row>
    <row r="686" spans="1:42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</row>
    <row r="687" spans="1:42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</row>
    <row r="688" spans="1:42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</row>
    <row r="689" spans="1:42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</row>
    <row r="690" spans="1:42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</row>
    <row r="691" spans="1:42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</row>
    <row r="692" spans="1:42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</row>
    <row r="693" spans="1:42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</row>
    <row r="694" spans="1:42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</row>
    <row r="695" spans="1:42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</row>
    <row r="696" spans="1:42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</row>
    <row r="697" spans="1:42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</row>
    <row r="698" spans="1:42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</row>
    <row r="699" spans="1:42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</row>
    <row r="700" spans="1:42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</row>
    <row r="701" spans="1:42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</row>
    <row r="702" spans="1:42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</row>
    <row r="703" spans="1:42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</row>
    <row r="704" spans="1:42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</row>
    <row r="705" spans="1:42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</row>
    <row r="706" spans="1:42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</row>
    <row r="707" spans="1:42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</row>
    <row r="708" spans="1:42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</row>
    <row r="709" spans="1:42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</row>
    <row r="710" spans="1:42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</row>
    <row r="711" spans="1:42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</row>
    <row r="712" spans="1:42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</row>
    <row r="713" spans="1:42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</row>
    <row r="714" spans="1:42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</row>
    <row r="715" spans="1:42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</row>
    <row r="716" spans="1:42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</row>
    <row r="717" spans="1:42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</row>
    <row r="718" spans="1:42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</row>
    <row r="719" spans="1:42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</row>
    <row r="720" spans="1:42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</row>
    <row r="721" spans="1:42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</row>
    <row r="722" spans="1:42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</row>
    <row r="723" spans="1:42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</row>
    <row r="724" spans="1:42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</row>
    <row r="725" spans="1:42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</row>
    <row r="726" spans="1:42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</row>
    <row r="727" spans="1:42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</row>
    <row r="728" spans="1:42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</row>
    <row r="729" spans="1:42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</row>
    <row r="730" spans="1:42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</row>
    <row r="731" spans="1:42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</row>
    <row r="732" spans="1:42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</row>
    <row r="733" spans="1:42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</row>
    <row r="734" spans="1:42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</row>
    <row r="735" spans="1:42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</row>
    <row r="736" spans="1:42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</row>
    <row r="737" spans="1:42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</row>
    <row r="738" spans="1:42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</row>
    <row r="739" spans="1:42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</row>
    <row r="740" spans="1:42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</row>
    <row r="741" spans="1:42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</row>
    <row r="742" spans="1:42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</row>
    <row r="743" spans="1:42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</row>
    <row r="744" spans="1:42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</row>
    <row r="745" spans="1:42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</row>
    <row r="746" spans="1:42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</row>
    <row r="747" spans="1:42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</row>
    <row r="748" spans="1:42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</row>
    <row r="749" spans="1:42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</row>
    <row r="750" spans="1:42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</row>
    <row r="751" spans="1:42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</row>
    <row r="752" spans="1:42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</row>
    <row r="753" spans="1:42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</row>
    <row r="754" spans="1:42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</row>
    <row r="755" spans="1:42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</row>
    <row r="756" spans="1:42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</row>
    <row r="757" spans="1:42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</row>
    <row r="758" spans="1:42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</row>
    <row r="759" spans="1:42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</row>
    <row r="760" spans="1:42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</row>
    <row r="761" spans="1:42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</row>
    <row r="762" spans="1:42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</row>
    <row r="763" spans="1:42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</row>
    <row r="764" spans="1:42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</row>
    <row r="765" spans="1:42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</row>
    <row r="766" spans="1:42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</row>
    <row r="767" spans="1:42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</row>
    <row r="768" spans="1:42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</row>
    <row r="769" spans="1:42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</row>
    <row r="770" spans="1:42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</row>
    <row r="771" spans="1:42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</row>
    <row r="772" spans="1:42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</row>
    <row r="773" spans="1:42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</row>
    <row r="774" spans="1:42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</row>
    <row r="775" spans="1:42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</row>
    <row r="776" spans="1:42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</row>
    <row r="777" spans="1:42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</row>
    <row r="778" spans="1:42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</row>
    <row r="779" spans="1:42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</row>
    <row r="780" spans="1:42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</row>
    <row r="781" spans="1:42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</row>
    <row r="782" spans="1:42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</row>
    <row r="783" spans="1:42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</row>
    <row r="784" spans="1:42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</row>
    <row r="785" spans="1:42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</row>
    <row r="786" spans="1:42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</row>
    <row r="787" spans="1:42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</row>
    <row r="788" spans="1:42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</row>
    <row r="789" spans="1:42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</row>
    <row r="790" spans="1:42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</row>
    <row r="791" spans="1:42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</row>
    <row r="792" spans="1:42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</row>
    <row r="793" spans="1:42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</row>
    <row r="794" spans="1:42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</row>
    <row r="795" spans="1:42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</row>
    <row r="796" spans="1:42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</row>
    <row r="797" spans="1:42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</row>
    <row r="798" spans="1:42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</row>
    <row r="799" spans="1:42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</row>
    <row r="800" spans="1:42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</row>
    <row r="801" spans="1:42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</row>
    <row r="802" spans="1:42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</row>
    <row r="803" spans="1:42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</row>
    <row r="804" spans="1:42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</row>
    <row r="805" spans="1:42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</row>
    <row r="806" spans="1:42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</row>
    <row r="807" spans="1:42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</row>
    <row r="808" spans="1:42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</row>
    <row r="809" spans="1:42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</row>
    <row r="810" spans="1:42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</row>
    <row r="811" spans="1:42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</row>
    <row r="812" spans="1:42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</row>
    <row r="813" spans="1:42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</row>
    <row r="814" spans="1:42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</row>
    <row r="815" spans="1:42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</row>
    <row r="816" spans="1:42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</row>
    <row r="817" spans="1:42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</row>
    <row r="818" spans="1:42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</row>
    <row r="819" spans="1:42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</row>
    <row r="820" spans="1:42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</row>
    <row r="821" spans="1:42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</row>
    <row r="822" spans="1:42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</row>
    <row r="823" spans="1:42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</row>
    <row r="824" spans="1:42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</row>
    <row r="825" spans="1:42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</row>
    <row r="826" spans="1:42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</row>
    <row r="827" spans="1:42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</row>
    <row r="828" spans="1:42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</row>
    <row r="829" spans="1:42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</row>
    <row r="830" spans="1:42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</row>
    <row r="831" spans="1:42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</row>
    <row r="832" spans="1:42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</row>
    <row r="833" spans="1:42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</row>
    <row r="834" spans="1:42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</row>
    <row r="835" spans="1:42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</row>
    <row r="836" spans="1:42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</row>
    <row r="837" spans="1:42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</row>
    <row r="838" spans="1:42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</row>
    <row r="839" spans="1:42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</row>
    <row r="840" spans="1:42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</row>
    <row r="841" spans="1:42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</row>
    <row r="842" spans="1:42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</row>
    <row r="843" spans="1:42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</row>
    <row r="844" spans="1:42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</row>
    <row r="845" spans="1:42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</row>
    <row r="846" spans="1:42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</row>
    <row r="847" spans="1:42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</row>
    <row r="848" spans="1:42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</row>
    <row r="849" spans="1:42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</row>
    <row r="850" spans="1:42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</row>
    <row r="851" spans="1:42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</row>
    <row r="852" spans="1:42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</row>
    <row r="853" spans="1:42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</row>
    <row r="854" spans="1:42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</row>
    <row r="855" spans="1:42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</row>
    <row r="856" spans="1:42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</row>
    <row r="857" spans="1:42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</row>
    <row r="858" spans="1:42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</row>
    <row r="859" spans="1:42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</row>
    <row r="860" spans="1:42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</row>
    <row r="861" spans="1:42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</row>
    <row r="862" spans="1:42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</row>
    <row r="863" spans="1:42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</row>
    <row r="864" spans="1:42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</row>
    <row r="865" spans="1:42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</row>
    <row r="866" spans="1:42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</row>
    <row r="867" spans="1:42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</row>
    <row r="868" spans="1:42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</row>
    <row r="869" spans="1:42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</row>
    <row r="870" spans="1:42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</row>
    <row r="871" spans="1:42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</row>
    <row r="872" spans="1:42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</row>
    <row r="873" spans="1:42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</row>
    <row r="874" spans="1:42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</row>
    <row r="875" spans="1:42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</row>
    <row r="876" spans="1:42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</row>
    <row r="877" spans="1:42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</row>
    <row r="878" spans="1:42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</row>
    <row r="879" spans="1:42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</row>
    <row r="880" spans="1:42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</row>
    <row r="881" spans="1:42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</row>
    <row r="882" spans="1:42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</row>
    <row r="883" spans="1:42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</row>
    <row r="884" spans="1:42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</row>
    <row r="885" spans="1:42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</row>
    <row r="886" spans="1:42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</row>
    <row r="887" spans="1:42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</row>
    <row r="888" spans="1:42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</row>
    <row r="889" spans="1:42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</row>
    <row r="890" spans="1:42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</row>
    <row r="891" spans="1:42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</row>
    <row r="892" spans="1:42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</row>
    <row r="893" spans="1:42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</row>
    <row r="894" spans="1:42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</row>
    <row r="895" spans="1:42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</row>
    <row r="896" spans="1:42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</row>
    <row r="897" spans="1:42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</row>
    <row r="898" spans="1:42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</row>
    <row r="899" spans="1:42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</row>
    <row r="900" spans="1:42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</row>
    <row r="901" spans="1:42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</row>
    <row r="902" spans="1:42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</row>
    <row r="903" spans="1:42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</row>
    <row r="904" spans="1:42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</row>
    <row r="905" spans="1:42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</row>
    <row r="906" spans="1:42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</row>
    <row r="907" spans="1:42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</row>
    <row r="908" spans="1:42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</row>
    <row r="909" spans="1:42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</row>
    <row r="910" spans="1:42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</row>
    <row r="911" spans="1:42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</row>
    <row r="912" spans="1:42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</row>
    <row r="913" spans="1:42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</row>
    <row r="914" spans="1:42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</row>
    <row r="915" spans="1:42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</row>
    <row r="916" spans="1:42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</row>
    <row r="917" spans="1:42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</row>
    <row r="918" spans="1:42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</row>
    <row r="919" spans="1:42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</row>
    <row r="920" spans="1:42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</row>
    <row r="921" spans="1:42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</row>
    <row r="922" spans="1:42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</row>
    <row r="923" spans="1:42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</row>
    <row r="924" spans="1:42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</row>
    <row r="925" spans="1:42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</row>
    <row r="926" spans="1:42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</row>
    <row r="927" spans="1:42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</row>
    <row r="928" spans="1:42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</row>
    <row r="929" spans="1:42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</row>
    <row r="930" spans="1:42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</row>
    <row r="931" spans="1:42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</row>
    <row r="932" spans="1:42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</row>
    <row r="933" spans="1:42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</row>
    <row r="934" spans="1:42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</row>
    <row r="935" spans="1:42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</row>
    <row r="936" spans="1:42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</row>
    <row r="937" spans="1:42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</row>
    <row r="938" spans="1:42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</row>
    <row r="939" spans="1:42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</row>
    <row r="940" spans="1:42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</row>
    <row r="941" spans="1:42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</row>
    <row r="942" spans="1:42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</row>
    <row r="943" spans="1:42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</row>
    <row r="944" spans="1:42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</row>
    <row r="945" spans="1:42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</row>
    <row r="946" spans="1:42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</row>
    <row r="947" spans="1:42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</row>
    <row r="948" spans="1:42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</row>
    <row r="949" spans="1:42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</row>
    <row r="950" spans="1:42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</row>
    <row r="951" spans="1:42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</row>
    <row r="952" spans="1:42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</row>
    <row r="953" spans="1:42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</row>
    <row r="954" spans="1:42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</row>
    <row r="955" spans="1:42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</row>
    <row r="956" spans="1:42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</row>
    <row r="957" spans="1:42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</row>
    <row r="958" spans="1:42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</row>
    <row r="959" spans="1:42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</row>
    <row r="960" spans="1:42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</row>
    <row r="961" spans="1:42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</row>
    <row r="962" spans="1:42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</row>
    <row r="963" spans="1:42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</row>
    <row r="964" spans="1:42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</row>
    <row r="965" spans="1:42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</row>
    <row r="966" spans="1:42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</row>
    <row r="967" spans="1:42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</row>
    <row r="968" spans="1:42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</row>
    <row r="969" spans="1:42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</row>
    <row r="970" spans="1:42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</row>
    <row r="971" spans="1:42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</row>
    <row r="972" spans="1:42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</row>
    <row r="973" spans="1:42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</row>
    <row r="974" spans="1:42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</row>
    <row r="975" spans="1:42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</row>
    <row r="976" spans="1:42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</row>
    <row r="977" spans="1:42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</row>
    <row r="978" spans="1:42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</row>
    <row r="979" spans="1:42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</row>
    <row r="980" spans="1:42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</row>
    <row r="981" spans="1:42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</row>
    <row r="982" spans="1:42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</row>
    <row r="983" spans="1:42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</row>
    <row r="984" spans="1:42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</row>
    <row r="985" spans="1:42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</row>
    <row r="986" spans="1:42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</row>
    <row r="987" spans="1:42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</row>
    <row r="988" spans="1:42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</row>
    <row r="989" spans="1:42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</row>
    <row r="990" spans="1:42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</row>
    <row r="991" spans="1:42" ht="14.2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</row>
    <row r="992" spans="1:42" ht="14.2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</row>
    <row r="993" spans="1:42" ht="14.2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</row>
    <row r="994" spans="1:42" ht="14.2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</row>
    <row r="995" spans="1:42" ht="14.2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</row>
    <row r="996" spans="1:42" ht="14.2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</row>
    <row r="997" spans="1:42" ht="14.2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</row>
    <row r="998" spans="1:42" ht="14.25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</row>
    <row r="999" spans="1:42" ht="14.25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</row>
    <row r="1000" spans="1:42" ht="14.25" customHeight="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</row>
  </sheetData>
  <mergeCells count="2">
    <mergeCell ref="A4:G5"/>
    <mergeCell ref="Y17:AA18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E1000"/>
  <sheetViews>
    <sheetView topLeftCell="H8" zoomScale="115" zoomScaleNormal="115" workbookViewId="0">
      <selection activeCell="T10" sqref="T10"/>
    </sheetView>
  </sheetViews>
  <sheetFormatPr defaultColWidth="12.625" defaultRowHeight="15" customHeight="1" x14ac:dyDescent="0.2"/>
  <cols>
    <col min="1" max="1" width="1.125" customWidth="1"/>
    <col min="2" max="2" width="5.125" customWidth="1"/>
    <col min="3" max="3" width="2.5" customWidth="1"/>
    <col min="4" max="4" width="17.625" customWidth="1"/>
    <col min="5" max="5" width="0.625" customWidth="1"/>
    <col min="6" max="6" width="11.625" customWidth="1"/>
    <col min="7" max="7" width="11.375" customWidth="1"/>
    <col min="8" max="8" width="11.875" customWidth="1"/>
    <col min="9" max="10" width="8" customWidth="1"/>
    <col min="11" max="11" width="3.875" customWidth="1"/>
    <col min="12" max="12" width="9.125" customWidth="1"/>
    <col min="13" max="13" width="0.625" customWidth="1"/>
    <col min="14" max="14" width="11.625" customWidth="1"/>
    <col min="15" max="15" width="2.125" customWidth="1"/>
    <col min="16" max="16" width="8" customWidth="1"/>
    <col min="17" max="17" width="0.375" customWidth="1"/>
    <col min="18" max="18" width="1.375" customWidth="1"/>
    <col min="19" max="19" width="8" customWidth="1"/>
    <col min="20" max="20" width="14.5" customWidth="1"/>
    <col min="21" max="21" width="1.625" customWidth="1"/>
    <col min="22" max="22" width="12.125" customWidth="1"/>
    <col min="23" max="25" width="8" customWidth="1"/>
    <col min="26" max="26" width="11.5" customWidth="1"/>
    <col min="27" max="27" width="8" customWidth="1"/>
    <col min="28" max="28" width="12.125" customWidth="1"/>
    <col min="29" max="30" width="7.625" customWidth="1"/>
    <col min="31" max="31" width="9.375" customWidth="1"/>
    <col min="32" max="45" width="7.625" customWidth="1"/>
    <col min="46" max="57" width="8" customWidth="1"/>
  </cols>
  <sheetData>
    <row r="1" spans="1:57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</row>
    <row r="3" spans="1:57" ht="33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</row>
    <row r="4" spans="1:57" ht="14.25" customHeight="1" x14ac:dyDescent="0.2">
      <c r="A4" s="8"/>
      <c r="B4" s="618" t="s">
        <v>5</v>
      </c>
      <c r="C4" s="619"/>
      <c r="D4" s="619"/>
      <c r="E4" s="619"/>
      <c r="F4" s="620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</row>
    <row r="5" spans="1:57" ht="14.25" customHeight="1" x14ac:dyDescent="0.2">
      <c r="A5" s="8"/>
      <c r="B5" s="621"/>
      <c r="C5" s="622"/>
      <c r="D5" s="622"/>
      <c r="E5" s="622"/>
      <c r="F5" s="623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</row>
    <row r="6" spans="1:57" ht="14.25" customHeight="1" x14ac:dyDescent="0.2">
      <c r="A6" s="9"/>
      <c r="B6" s="10"/>
      <c r="C6" s="10"/>
      <c r="D6" s="10"/>
      <c r="E6" s="10"/>
      <c r="F6" s="11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12"/>
      <c r="AA6" s="9"/>
      <c r="AB6" s="9" t="s">
        <v>14</v>
      </c>
      <c r="AC6" s="9"/>
      <c r="AD6" s="9"/>
      <c r="AE6" s="9" t="s">
        <v>15</v>
      </c>
      <c r="AF6" s="9"/>
      <c r="AG6" s="9"/>
      <c r="AH6" s="9"/>
      <c r="AI6" s="9"/>
      <c r="AJ6" s="9"/>
      <c r="AK6" s="9" t="s">
        <v>16</v>
      </c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</row>
    <row r="7" spans="1:57" ht="15" customHeight="1" x14ac:dyDescent="0.2">
      <c r="A7" s="3"/>
      <c r="B7" s="13"/>
      <c r="C7" s="13"/>
      <c r="D7" s="1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14" t="s">
        <v>17</v>
      </c>
      <c r="AA7" s="3"/>
      <c r="AB7" s="275">
        <v>6.72</v>
      </c>
      <c r="AC7" s="3" t="s">
        <v>18</v>
      </c>
      <c r="AD7" s="3"/>
      <c r="AE7" s="275">
        <v>1031.21</v>
      </c>
      <c r="AF7" s="3" t="s">
        <v>19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</row>
    <row r="8" spans="1:57" ht="14.25" customHeight="1" x14ac:dyDescent="0.2">
      <c r="A8" s="3"/>
      <c r="B8" s="13"/>
      <c r="C8" s="13"/>
      <c r="D8" s="13"/>
      <c r="E8" s="3"/>
      <c r="F8" s="16" t="s">
        <v>20</v>
      </c>
      <c r="G8" s="16" t="s">
        <v>21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14"/>
      <c r="Y8" s="14"/>
      <c r="Z8" s="14" t="s">
        <v>22</v>
      </c>
      <c r="AA8" s="14"/>
      <c r="AB8" s="15">
        <f>(AB7*2*5)</f>
        <v>67.2</v>
      </c>
      <c r="AC8" s="3" t="s">
        <v>23</v>
      </c>
      <c r="AD8" s="3"/>
      <c r="AE8" s="15">
        <f>AE7/25</f>
        <v>41.248400000000004</v>
      </c>
      <c r="AF8" s="3" t="s">
        <v>24</v>
      </c>
      <c r="AG8" s="3"/>
      <c r="AH8" s="3"/>
      <c r="AI8" s="3"/>
      <c r="AJ8" s="3"/>
      <c r="AK8" s="3" t="s">
        <v>25</v>
      </c>
      <c r="AL8" s="3"/>
      <c r="AM8" s="3"/>
      <c r="AN8" s="3" t="s">
        <v>26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</row>
    <row r="9" spans="1:57" ht="14.25" customHeight="1" thickBot="1" x14ac:dyDescent="0.25">
      <c r="A9" s="3"/>
      <c r="B9" s="3"/>
      <c r="C9" s="3"/>
      <c r="D9" s="17" t="s">
        <v>27</v>
      </c>
      <c r="E9" s="18"/>
      <c r="F9" s="19">
        <v>273</v>
      </c>
      <c r="G9" s="19">
        <v>196</v>
      </c>
      <c r="H9" s="3"/>
      <c r="I9" s="3"/>
      <c r="J9" s="3"/>
      <c r="K9" s="20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14" t="s">
        <v>22</v>
      </c>
      <c r="Y9" s="14"/>
      <c r="Z9" s="21">
        <f>N12+(V19*5)+(V18*5)</f>
        <v>553.96</v>
      </c>
      <c r="AA9" s="14"/>
      <c r="AB9" s="15">
        <f>(AB7*35.5-5)</f>
        <v>233.56</v>
      </c>
      <c r="AC9" s="3" t="s">
        <v>28</v>
      </c>
      <c r="AD9" s="3"/>
      <c r="AE9" s="3"/>
      <c r="AF9" s="3"/>
      <c r="AG9" s="3"/>
      <c r="AH9" s="3"/>
      <c r="AI9" s="3"/>
      <c r="AJ9" s="3"/>
      <c r="AK9" s="3" t="s">
        <v>29</v>
      </c>
      <c r="AL9" s="3"/>
      <c r="AM9" s="3"/>
      <c r="AN9" s="3" t="s">
        <v>30</v>
      </c>
      <c r="AO9" s="3" t="s">
        <v>31</v>
      </c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</row>
    <row r="10" spans="1:57" ht="14.25" customHeight="1" thickBot="1" x14ac:dyDescent="0.25">
      <c r="A10" s="3"/>
      <c r="B10" s="3"/>
      <c r="C10" s="3"/>
      <c r="D10" s="22" t="s">
        <v>32</v>
      </c>
      <c r="E10" s="3"/>
      <c r="F10" s="23">
        <v>12</v>
      </c>
      <c r="G10" s="23">
        <v>82</v>
      </c>
      <c r="H10" s="3"/>
      <c r="I10" s="3"/>
      <c r="J10" s="3"/>
      <c r="K10" s="3"/>
      <c r="L10" s="22" t="s">
        <v>27</v>
      </c>
      <c r="M10" s="3"/>
      <c r="N10" s="24">
        <f>AB11</f>
        <v>8.4721126760563372</v>
      </c>
      <c r="O10" s="3"/>
      <c r="P10" s="3"/>
      <c r="Q10" s="3"/>
      <c r="R10" s="309" t="s">
        <v>33</v>
      </c>
      <c r="S10" s="3"/>
      <c r="T10" s="308" t="s">
        <v>22</v>
      </c>
      <c r="U10" s="3"/>
      <c r="V10" s="3"/>
      <c r="W10" s="3"/>
      <c r="X10" s="14" t="s">
        <v>17</v>
      </c>
      <c r="Y10" s="14"/>
      <c r="Z10" s="21">
        <f>N19+(V18*5)+(V19*5)</f>
        <v>1820.7</v>
      </c>
      <c r="AA10" s="14"/>
      <c r="AB10" s="15">
        <f>AB9+AB8</f>
        <v>300.76</v>
      </c>
      <c r="AC10" s="3" t="s">
        <v>34</v>
      </c>
      <c r="AD10" s="3"/>
      <c r="AE10" s="276">
        <v>500</v>
      </c>
      <c r="AF10" s="3" t="s">
        <v>35</v>
      </c>
      <c r="AG10" s="3"/>
      <c r="AH10" s="3"/>
      <c r="AI10" s="3"/>
      <c r="AJ10" s="3"/>
      <c r="AK10" s="3" t="s">
        <v>36</v>
      </c>
      <c r="AL10" s="3"/>
      <c r="AM10" s="3"/>
      <c r="AN10" s="3" t="s">
        <v>37</v>
      </c>
      <c r="AO10" s="3"/>
      <c r="AP10" s="3"/>
      <c r="AQ10" s="15">
        <v>6.72</v>
      </c>
      <c r="AR10" s="3" t="s">
        <v>38</v>
      </c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</row>
    <row r="11" spans="1:57" ht="14.25" customHeight="1" thickBot="1" x14ac:dyDescent="0.25">
      <c r="A11" s="3"/>
      <c r="B11" s="3"/>
      <c r="C11" s="3"/>
      <c r="D11" s="22" t="s">
        <v>39</v>
      </c>
      <c r="E11" s="3"/>
      <c r="F11" s="26">
        <f>F10*F9+(F14*F10)</f>
        <v>3276</v>
      </c>
      <c r="G11" s="26">
        <f>G10*G9</f>
        <v>16072</v>
      </c>
      <c r="H11" s="3"/>
      <c r="I11" s="3"/>
      <c r="J11" s="3"/>
      <c r="K11" s="3"/>
      <c r="L11" s="22" t="s">
        <v>32</v>
      </c>
      <c r="M11" s="3"/>
      <c r="N11" s="27">
        <v>35.5</v>
      </c>
      <c r="O11" s="3"/>
      <c r="P11" s="28"/>
      <c r="Q11" s="3"/>
      <c r="R11" s="3"/>
      <c r="S11" s="3"/>
      <c r="T11" s="3"/>
      <c r="U11" s="3"/>
      <c r="V11" s="3"/>
      <c r="W11" s="3"/>
      <c r="X11" s="14" t="s">
        <v>40</v>
      </c>
      <c r="Y11" s="14"/>
      <c r="Z11" s="21">
        <f>(N26)+(V18*5)+(V19*5)</f>
        <v>17809.630835</v>
      </c>
      <c r="AA11" s="14"/>
      <c r="AB11" s="15">
        <f>AB10/N11</f>
        <v>8.4721126760563372</v>
      </c>
      <c r="AC11" s="3"/>
      <c r="AD11" s="3"/>
      <c r="AE11" s="29">
        <f>N16/AE10</f>
        <v>37.719000000000001</v>
      </c>
      <c r="AF11" s="3" t="s">
        <v>41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</row>
    <row r="12" spans="1:57" ht="14.25" customHeight="1" x14ac:dyDescent="0.2">
      <c r="A12" s="3"/>
      <c r="B12" s="3"/>
      <c r="C12" s="3"/>
      <c r="D12" s="22" t="s">
        <v>42</v>
      </c>
      <c r="E12" s="3"/>
      <c r="F12" s="30">
        <v>0.30399999999999999</v>
      </c>
      <c r="G12" s="30">
        <f>1-F12</f>
        <v>0.69599999999999995</v>
      </c>
      <c r="H12" s="3"/>
      <c r="I12" s="3"/>
      <c r="J12" s="3"/>
      <c r="K12" s="3"/>
      <c r="L12" s="22" t="s">
        <v>43</v>
      </c>
      <c r="M12" s="3"/>
      <c r="N12" s="31">
        <f>N10*N11</f>
        <v>300.76</v>
      </c>
      <c r="O12" s="3"/>
      <c r="P12" s="3"/>
      <c r="Q12" s="3"/>
      <c r="R12" s="32" t="s">
        <v>44</v>
      </c>
      <c r="S12" s="3"/>
      <c r="T12" s="3"/>
      <c r="U12" s="3"/>
      <c r="V12" s="3"/>
      <c r="W12" s="3"/>
      <c r="X12" s="14" t="s">
        <v>45</v>
      </c>
      <c r="Y12" s="14"/>
      <c r="Z12" s="21">
        <f>T16+((T14*N11*V18)+(2*V19*T14))+((T15*N11*V18)+(2*V19*T15))</f>
        <v>2652.0578835000001</v>
      </c>
      <c r="AA12" s="14"/>
      <c r="AB12" s="3"/>
      <c r="AC12" s="3"/>
      <c r="AD12" s="3"/>
      <c r="AE12" s="4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</row>
    <row r="13" spans="1:57" ht="15" customHeight="1" x14ac:dyDescent="0.2">
      <c r="A13" s="3"/>
      <c r="B13" s="3"/>
      <c r="C13" s="3"/>
      <c r="D13" s="33" t="s">
        <v>46</v>
      </c>
      <c r="E13" s="3"/>
      <c r="F13" s="34">
        <f>(F12*F11)+(G12*G11)</f>
        <v>12182.016</v>
      </c>
      <c r="G13" s="3"/>
      <c r="H13" s="3"/>
      <c r="I13" s="3"/>
      <c r="J13" s="3"/>
      <c r="K13" s="20"/>
      <c r="L13" s="35"/>
      <c r="M13" s="3"/>
      <c r="N13" s="3"/>
      <c r="O13" s="3"/>
      <c r="P13" s="3"/>
      <c r="Q13" s="3"/>
      <c r="R13" s="3"/>
      <c r="S13" s="36" t="s">
        <v>47</v>
      </c>
      <c r="T13" s="37">
        <v>0.51</v>
      </c>
      <c r="U13" s="3"/>
      <c r="V13" s="3"/>
      <c r="W13" s="3"/>
      <c r="X13" s="14"/>
      <c r="Y13" s="14"/>
      <c r="Z13" s="14"/>
      <c r="AA13" s="14"/>
      <c r="AB13" s="3" t="s">
        <v>48</v>
      </c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</row>
    <row r="14" spans="1:57" ht="14.2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22" t="s">
        <v>49</v>
      </c>
      <c r="M14" s="3"/>
      <c r="N14" s="27">
        <v>76.2</v>
      </c>
      <c r="O14" s="38" t="s">
        <v>50</v>
      </c>
      <c r="P14" s="3"/>
      <c r="Q14" s="3"/>
      <c r="R14" s="3"/>
      <c r="S14" s="36" t="s">
        <v>51</v>
      </c>
      <c r="T14" s="37">
        <v>0.39</v>
      </c>
      <c r="U14" s="3"/>
      <c r="V14" s="3"/>
      <c r="W14" s="3"/>
      <c r="X14" s="14"/>
      <c r="Y14" s="14"/>
      <c r="Z14" s="21"/>
      <c r="AA14" s="14"/>
      <c r="AB14" s="276">
        <v>76.599999999999994</v>
      </c>
      <c r="AC14" s="3" t="s">
        <v>52</v>
      </c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</row>
    <row r="15" spans="1:57" ht="14.25" customHeight="1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22" t="s">
        <v>53</v>
      </c>
      <c r="M15" s="3"/>
      <c r="N15" s="27">
        <v>5</v>
      </c>
      <c r="O15" s="38" t="s">
        <v>54</v>
      </c>
      <c r="P15" s="3"/>
      <c r="Q15" s="3"/>
      <c r="R15" s="3"/>
      <c r="S15" s="36" t="s">
        <v>55</v>
      </c>
      <c r="T15" s="37">
        <v>0.1</v>
      </c>
      <c r="U15" s="39">
        <f>SUM(T13:T15)</f>
        <v>1</v>
      </c>
      <c r="V15" s="3"/>
      <c r="W15" s="3"/>
      <c r="X15" s="14"/>
      <c r="Y15" s="14"/>
      <c r="Z15" s="14"/>
      <c r="AA15" s="14"/>
      <c r="AB15" s="276">
        <v>60</v>
      </c>
      <c r="AC15" s="3" t="s">
        <v>56</v>
      </c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</row>
    <row r="16" spans="1:57" ht="14.25" customHeight="1" x14ac:dyDescent="0.2">
      <c r="A16" s="3"/>
      <c r="B16" s="625"/>
      <c r="C16" s="619"/>
      <c r="D16" s="620"/>
      <c r="E16" s="3"/>
      <c r="F16" s="40"/>
      <c r="G16" s="3"/>
      <c r="H16" s="3"/>
      <c r="I16" s="3"/>
      <c r="J16" s="3"/>
      <c r="K16" s="3"/>
      <c r="L16" s="22" t="s">
        <v>57</v>
      </c>
      <c r="M16" s="3"/>
      <c r="N16" s="41">
        <f>(14*(N14*N15*2))+((N11-14)*(N14*N15))</f>
        <v>18859.5</v>
      </c>
      <c r="O16" s="38" t="s">
        <v>58</v>
      </c>
      <c r="P16" s="3"/>
      <c r="Q16" s="3"/>
      <c r="R16" s="3"/>
      <c r="S16" s="42" t="s">
        <v>59</v>
      </c>
      <c r="T16" s="31">
        <f>(T13*N12)+(N19*T14)+(N26*T15)</f>
        <v>2520.3556834999999</v>
      </c>
      <c r="U16" s="43"/>
      <c r="V16" s="3"/>
      <c r="W16" s="3"/>
      <c r="X16" s="14"/>
      <c r="Y16" s="14"/>
      <c r="Z16" s="44"/>
      <c r="AA16" s="14"/>
      <c r="AB16" s="3">
        <f>AB14*AB15*2*7</f>
        <v>64344</v>
      </c>
      <c r="AC16" s="3" t="s">
        <v>60</v>
      </c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</row>
    <row r="17" spans="1:57" ht="14.25" customHeight="1" x14ac:dyDescent="0.25">
      <c r="A17" s="3"/>
      <c r="B17" s="621"/>
      <c r="C17" s="622"/>
      <c r="D17" s="623"/>
      <c r="E17" s="3"/>
      <c r="F17" s="45"/>
      <c r="G17" s="25"/>
      <c r="H17" s="3"/>
      <c r="I17" s="3"/>
      <c r="J17" s="3"/>
      <c r="K17" s="3"/>
      <c r="L17" s="22" t="s">
        <v>61</v>
      </c>
      <c r="M17" s="3"/>
      <c r="N17" s="27">
        <v>38</v>
      </c>
      <c r="O17" s="38" t="s">
        <v>62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46"/>
      <c r="AA17" s="3"/>
      <c r="AB17" s="276">
        <v>90</v>
      </c>
      <c r="AC17" s="3" t="s">
        <v>63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</row>
    <row r="18" spans="1:57" ht="14.25" customHeight="1" x14ac:dyDescent="0.2">
      <c r="A18" s="3"/>
      <c r="B18" s="3"/>
      <c r="C18" s="3"/>
      <c r="D18" s="22"/>
      <c r="E18" s="3"/>
      <c r="F18" s="47"/>
      <c r="G18" s="3"/>
      <c r="H18" s="3"/>
      <c r="I18" s="3"/>
      <c r="J18" s="3"/>
      <c r="K18" s="3"/>
      <c r="L18" s="22" t="s">
        <v>64</v>
      </c>
      <c r="M18" s="3"/>
      <c r="N18" s="24">
        <v>41.25</v>
      </c>
      <c r="O18" s="3"/>
      <c r="P18" s="3"/>
      <c r="Q18" s="3"/>
      <c r="R18" s="3"/>
      <c r="S18" s="48"/>
      <c r="T18" s="17" t="s">
        <v>65</v>
      </c>
      <c r="U18" s="3"/>
      <c r="V18" s="49">
        <v>5</v>
      </c>
      <c r="W18" s="3"/>
      <c r="X18" s="3"/>
      <c r="Y18" s="3"/>
      <c r="Z18" s="15"/>
      <c r="AA18" s="3"/>
      <c r="AB18" s="3">
        <f>AB17*AB14*(35.5-7)</f>
        <v>196478.99999999997</v>
      </c>
      <c r="AC18" s="3" t="s">
        <v>66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</row>
    <row r="19" spans="1:57" ht="14.25" customHeight="1" x14ac:dyDescent="0.25">
      <c r="A19" s="3"/>
      <c r="B19" s="3"/>
      <c r="C19" s="3"/>
      <c r="D19" s="50" t="s">
        <v>67</v>
      </c>
      <c r="E19" s="3"/>
      <c r="F19" s="24">
        <v>98442</v>
      </c>
      <c r="G19" s="3"/>
      <c r="H19" s="3"/>
      <c r="I19" s="3"/>
      <c r="J19" s="3"/>
      <c r="K19" s="3"/>
      <c r="L19" s="22" t="s">
        <v>43</v>
      </c>
      <c r="M19" s="3"/>
      <c r="N19" s="31">
        <f>N18*N17</f>
        <v>1567.5</v>
      </c>
      <c r="O19" s="3"/>
      <c r="P19" s="3"/>
      <c r="Q19" s="3"/>
      <c r="R19" s="3"/>
      <c r="S19" s="3"/>
      <c r="T19" s="17" t="s">
        <v>68</v>
      </c>
      <c r="U19" s="3"/>
      <c r="V19" s="49">
        <v>45.64</v>
      </c>
      <c r="W19" s="3"/>
      <c r="X19" s="3"/>
      <c r="Y19" s="51"/>
      <c r="Z19" s="3"/>
      <c r="AA19" s="3"/>
      <c r="AB19" s="3">
        <f>AB18+AB16</f>
        <v>260822.99999999997</v>
      </c>
      <c r="AC19" s="3" t="s">
        <v>69</v>
      </c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</row>
    <row r="20" spans="1:57" ht="3" customHeight="1" x14ac:dyDescent="0.2">
      <c r="A20" s="3"/>
      <c r="B20" s="3"/>
      <c r="C20" s="3"/>
      <c r="D20" s="22"/>
      <c r="E20" s="3"/>
      <c r="F20" s="52"/>
      <c r="G20" s="22"/>
      <c r="H20" s="5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</row>
    <row r="21" spans="1:57" ht="14.25" customHeight="1" x14ac:dyDescent="0.2">
      <c r="A21" s="3"/>
      <c r="B21" s="3"/>
      <c r="C21" s="3"/>
      <c r="D21" s="50" t="s">
        <v>70</v>
      </c>
      <c r="E21" s="3"/>
      <c r="F21" s="24">
        <v>45002</v>
      </c>
      <c r="G21" s="22"/>
      <c r="H21" s="53"/>
      <c r="I21" s="3"/>
      <c r="J21" s="3"/>
      <c r="K21" s="20"/>
      <c r="L21" s="3"/>
      <c r="M21" s="3"/>
      <c r="N21" s="3"/>
      <c r="O21" s="3"/>
      <c r="P21" s="3"/>
      <c r="Q21" s="3"/>
      <c r="R21" s="3"/>
      <c r="S21" s="3"/>
      <c r="T21" s="54" t="s">
        <v>71</v>
      </c>
      <c r="U21" s="3"/>
      <c r="V21" s="31">
        <f t="array" ref="V21">IF(T10="Valganciclovir",Z9,IF(T10="Ganciclovir",Z10,IF(T10="Foscarnet",Z11,IF(T10="Combo",Z12,NA))))+(V19*2)+(F45*4)</f>
        <v>1237.24</v>
      </c>
      <c r="W21" s="3"/>
      <c r="X21" s="3"/>
      <c r="Y21" s="3"/>
      <c r="Z21" s="3"/>
      <c r="AA21" s="3"/>
      <c r="AB21" s="276">
        <v>6000</v>
      </c>
      <c r="AC21" s="3" t="s">
        <v>72</v>
      </c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</row>
    <row r="22" spans="1:57" ht="14.25" customHeight="1" x14ac:dyDescent="0.2">
      <c r="A22" s="3"/>
      <c r="B22" s="3"/>
      <c r="C22" s="3"/>
      <c r="D22" s="55"/>
      <c r="E22" s="3"/>
      <c r="F22" s="56"/>
      <c r="G22" s="57"/>
      <c r="H22" s="56"/>
      <c r="I22" s="3"/>
      <c r="J22" s="3"/>
      <c r="K22" s="3"/>
      <c r="L22" s="22" t="s">
        <v>49</v>
      </c>
      <c r="M22" s="3"/>
      <c r="N22" s="27">
        <v>76.599999999999994</v>
      </c>
      <c r="O22" s="38" t="s">
        <v>50</v>
      </c>
      <c r="P22" s="3"/>
      <c r="Q22" s="3"/>
      <c r="R22" s="3"/>
      <c r="S22" s="3"/>
      <c r="T22" s="3"/>
      <c r="U22" s="3"/>
      <c r="V22" s="3"/>
      <c r="W22" s="3"/>
      <c r="X22" s="14" t="s">
        <v>73</v>
      </c>
      <c r="Y22" s="3"/>
      <c r="Z22" s="3"/>
      <c r="AA22" s="3"/>
      <c r="AB22" s="3">
        <f>AB19/AB21</f>
        <v>43.470499999999994</v>
      </c>
      <c r="AC22" s="3" t="s">
        <v>74</v>
      </c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</row>
    <row r="23" spans="1:57" ht="14.25" customHeight="1" x14ac:dyDescent="0.2">
      <c r="A23" s="3"/>
      <c r="B23" s="3"/>
      <c r="C23" s="3"/>
      <c r="D23" s="58"/>
      <c r="E23" s="3"/>
      <c r="F23" s="3"/>
      <c r="G23" s="3"/>
      <c r="H23" s="3" t="s">
        <v>75</v>
      </c>
      <c r="I23" s="3"/>
      <c r="J23" s="3"/>
      <c r="K23" s="3"/>
      <c r="L23" s="22" t="s">
        <v>76</v>
      </c>
      <c r="M23" s="3"/>
      <c r="N23" s="27">
        <v>90</v>
      </c>
      <c r="O23" s="38" t="s">
        <v>54</v>
      </c>
      <c r="P23" s="3"/>
      <c r="Q23" s="3"/>
      <c r="R23" s="3"/>
      <c r="S23" s="3"/>
      <c r="T23" s="3"/>
      <c r="U23" s="3"/>
      <c r="V23" s="3"/>
      <c r="W23" s="3"/>
      <c r="X23" s="14" t="s">
        <v>77</v>
      </c>
      <c r="Y23" s="3"/>
      <c r="Z23" s="3"/>
      <c r="AA23" s="3"/>
      <c r="AB23" s="275">
        <v>403.87</v>
      </c>
      <c r="AC23" s="3" t="s">
        <v>78</v>
      </c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</row>
    <row r="24" spans="1:57" ht="14.25" customHeight="1" x14ac:dyDescent="0.2">
      <c r="A24" s="3"/>
      <c r="B24" s="3"/>
      <c r="C24" s="3"/>
      <c r="D24" s="22"/>
      <c r="E24" s="3"/>
      <c r="F24" s="53"/>
      <c r="G24" s="3"/>
      <c r="H24" s="3"/>
      <c r="I24" s="3"/>
      <c r="J24" s="3"/>
      <c r="K24" s="3"/>
      <c r="L24" s="22" t="s">
        <v>57</v>
      </c>
      <c r="M24" s="3"/>
      <c r="N24" s="41">
        <f>AB19</f>
        <v>260822.99999999997</v>
      </c>
      <c r="O24" s="38" t="s">
        <v>58</v>
      </c>
      <c r="P24" s="3"/>
      <c r="Q24" s="3"/>
      <c r="R24" s="3"/>
      <c r="S24" s="3"/>
      <c r="T24" s="17" t="s">
        <v>79</v>
      </c>
      <c r="U24" s="3"/>
      <c r="V24" s="24">
        <v>23632</v>
      </c>
      <c r="W24" s="3"/>
      <c r="X24" s="3"/>
      <c r="Y24" s="3"/>
      <c r="Z24" s="3"/>
      <c r="AA24" s="3"/>
      <c r="AB24" s="15">
        <f>AB23*AB22</f>
        <v>17556.430834999999</v>
      </c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</row>
    <row r="25" spans="1:57" ht="14.25" customHeight="1" x14ac:dyDescent="0.2">
      <c r="A25" s="3"/>
      <c r="B25" s="3"/>
      <c r="C25" s="3"/>
      <c r="D25" s="58"/>
      <c r="E25" s="3"/>
      <c r="F25" s="39"/>
      <c r="G25" s="59" t="s">
        <v>80</v>
      </c>
      <c r="H25" s="25" t="s">
        <v>81</v>
      </c>
      <c r="I25" s="3"/>
      <c r="J25" s="3"/>
      <c r="K25" s="3"/>
      <c r="L25" s="22" t="s">
        <v>82</v>
      </c>
      <c r="M25" s="3"/>
      <c r="N25" s="24">
        <v>403.87</v>
      </c>
      <c r="O25" s="3"/>
      <c r="P25" s="3"/>
      <c r="Q25" s="3"/>
      <c r="R25" s="3"/>
      <c r="S25" s="3"/>
      <c r="T25" s="17"/>
      <c r="U25" s="3"/>
      <c r="V25" s="17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</row>
    <row r="26" spans="1:57" ht="14.25" customHeight="1" x14ac:dyDescent="0.2">
      <c r="A26" s="3"/>
      <c r="B26" s="3"/>
      <c r="C26" s="3"/>
      <c r="D26" s="17" t="s">
        <v>83</v>
      </c>
      <c r="E26" s="3"/>
      <c r="F26" s="37">
        <v>0.51800000000000002</v>
      </c>
      <c r="G26" s="24">
        <v>6951</v>
      </c>
      <c r="H26" s="60">
        <f t="shared" ref="H26:H29" si="0">(G26*F26)</f>
        <v>3600.6179999999999</v>
      </c>
      <c r="I26" s="3"/>
      <c r="J26" s="3"/>
      <c r="K26" s="3"/>
      <c r="L26" s="22" t="s">
        <v>43</v>
      </c>
      <c r="M26" s="3"/>
      <c r="N26" s="31">
        <f>(N24/6000)*N25</f>
        <v>17556.430834999999</v>
      </c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</row>
    <row r="27" spans="1:57" ht="14.25" customHeight="1" x14ac:dyDescent="0.2">
      <c r="A27" s="3"/>
      <c r="B27" s="3"/>
      <c r="C27" s="3"/>
      <c r="D27" s="17" t="s">
        <v>84</v>
      </c>
      <c r="E27" s="3"/>
      <c r="F27" s="37">
        <v>0.10299999999999999</v>
      </c>
      <c r="G27" s="24">
        <v>6890</v>
      </c>
      <c r="H27" s="60">
        <f t="shared" si="0"/>
        <v>709.67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</row>
    <row r="28" spans="1:57" ht="14.25" customHeight="1" x14ac:dyDescent="0.2">
      <c r="A28" s="3"/>
      <c r="B28" s="3"/>
      <c r="C28" s="3"/>
      <c r="D28" s="17" t="s">
        <v>85</v>
      </c>
      <c r="E28" s="3"/>
      <c r="F28" s="37">
        <v>0.20599999999999999</v>
      </c>
      <c r="G28" s="24">
        <v>7608</v>
      </c>
      <c r="H28" s="60">
        <f t="shared" si="0"/>
        <v>1567.2479999999998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</row>
    <row r="29" spans="1:57" ht="14.25" customHeight="1" x14ac:dyDescent="0.2">
      <c r="A29" s="3"/>
      <c r="B29" s="3"/>
      <c r="C29" s="3"/>
      <c r="D29" s="17" t="s">
        <v>86</v>
      </c>
      <c r="E29" s="3"/>
      <c r="F29" s="37">
        <v>0.17299999999999999</v>
      </c>
      <c r="G29" s="24">
        <v>15879</v>
      </c>
      <c r="H29" s="60">
        <f t="shared" si="0"/>
        <v>2747.067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</row>
    <row r="30" spans="1:57" ht="14.25" customHeight="1" x14ac:dyDescent="0.2">
      <c r="A30" s="3"/>
      <c r="B30" s="3"/>
      <c r="C30" s="3"/>
      <c r="D30" s="3"/>
      <c r="E30" s="3"/>
      <c r="F30" s="3"/>
      <c r="G30" s="17" t="s">
        <v>385</v>
      </c>
      <c r="H30" s="34">
        <f>SUM(H26:H29)</f>
        <v>8624.6029999999992</v>
      </c>
      <c r="I30" s="61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ht="14.25" customHeight="1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ht="14.25" customHeight="1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</row>
    <row r="33" spans="1:57" ht="14.25" customHeight="1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17" t="s">
        <v>22</v>
      </c>
      <c r="M33" s="3"/>
      <c r="N33" s="27">
        <v>0.34799999999999998</v>
      </c>
      <c r="O33" s="28"/>
      <c r="P33" s="3"/>
      <c r="Q33" s="3"/>
      <c r="R33" s="3"/>
      <c r="S33" s="28"/>
      <c r="T33" s="17" t="s">
        <v>87</v>
      </c>
      <c r="U33" s="3"/>
      <c r="V33" s="62">
        <f t="array" ref="V33">IF(T10="Valganciclovir",N33+N39,IF(T10="Ganciclovir",N34+N40,IF(T10="Foscarnet",N35+N41,IF(T10="Combo",N36+N42,NA))))</f>
        <v>0.34799999999999998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</row>
    <row r="34" spans="1:57" ht="14.2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17" t="s">
        <v>17</v>
      </c>
      <c r="M34" s="3"/>
      <c r="N34" s="63">
        <v>0.62</v>
      </c>
      <c r="O34" s="3"/>
      <c r="P34" s="3"/>
      <c r="Q34" s="3"/>
      <c r="R34" s="3"/>
      <c r="S34" s="3"/>
      <c r="T34" s="17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</row>
    <row r="35" spans="1:57" ht="14.25" customHeight="1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17" t="s">
        <v>40</v>
      </c>
      <c r="M35" s="3"/>
      <c r="N35" s="27">
        <v>0.48899999999999999</v>
      </c>
      <c r="O35" s="3"/>
      <c r="P35" s="3"/>
      <c r="Q35" s="3"/>
      <c r="R35" s="3"/>
      <c r="S35" s="3"/>
      <c r="T35" s="17" t="s">
        <v>88</v>
      </c>
      <c r="U35" s="3"/>
      <c r="V35" s="64">
        <f>V24</f>
        <v>23632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</row>
    <row r="36" spans="1:57" ht="14.25" customHeight="1" x14ac:dyDescent="0.2">
      <c r="A36" s="3"/>
      <c r="B36" s="3"/>
      <c r="C36" s="3"/>
      <c r="D36" s="17" t="s">
        <v>89</v>
      </c>
      <c r="E36" s="3"/>
      <c r="F36" s="24">
        <v>18604.830000000002</v>
      </c>
      <c r="G36" s="3"/>
      <c r="H36" s="3"/>
      <c r="I36" s="3"/>
      <c r="J36" s="3"/>
      <c r="K36" s="3"/>
      <c r="L36" s="17" t="s">
        <v>45</v>
      </c>
      <c r="M36" s="3"/>
      <c r="N36" s="63">
        <f>(N33*T13)+(N34*T14)+(N35*T15)</f>
        <v>0.46817999999999999</v>
      </c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</row>
    <row r="37" spans="1:57" ht="14.2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</row>
    <row r="38" spans="1:57" ht="14.25" hidden="1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28"/>
      <c r="M38" s="3"/>
      <c r="N38" s="28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</row>
    <row r="39" spans="1:57" ht="14.25" hidden="1" customHeight="1" x14ac:dyDescent="0.2">
      <c r="A39" s="3"/>
      <c r="B39" s="3"/>
      <c r="C39" s="3"/>
      <c r="D39" s="17"/>
      <c r="E39" s="3"/>
      <c r="F39" s="3"/>
      <c r="G39" s="3"/>
      <c r="H39" s="3"/>
      <c r="I39" s="3"/>
      <c r="J39" s="3"/>
      <c r="K39" s="3"/>
      <c r="L39" s="17"/>
      <c r="M39" s="3"/>
      <c r="N39" s="17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</row>
    <row r="40" spans="1:57" ht="14.25" hidden="1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17"/>
      <c r="M40" s="3"/>
      <c r="N40" s="17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</row>
    <row r="41" spans="1:57" ht="14.25" hidden="1" customHeight="1" x14ac:dyDescent="0.2">
      <c r="A41" s="3"/>
      <c r="B41" s="3"/>
      <c r="C41" s="3"/>
      <c r="D41" s="17"/>
      <c r="E41" s="3"/>
      <c r="F41" s="3"/>
      <c r="G41" s="3"/>
      <c r="H41" s="3"/>
      <c r="I41" s="3"/>
      <c r="J41" s="3"/>
      <c r="K41" s="3"/>
      <c r="L41" s="17"/>
      <c r="M41" s="3"/>
      <c r="N41" s="17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</row>
    <row r="42" spans="1:57" ht="14.25" hidden="1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17"/>
      <c r="M42" s="3"/>
      <c r="N42" s="17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</row>
    <row r="43" spans="1:57" ht="14.2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</row>
    <row r="44" spans="1:57" ht="14.2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</row>
    <row r="45" spans="1:57" ht="14.25" customHeight="1" x14ac:dyDescent="0.2">
      <c r="A45" s="3"/>
      <c r="B45" s="3"/>
      <c r="C45" s="3"/>
      <c r="D45" s="17" t="s">
        <v>90</v>
      </c>
      <c r="E45" s="3"/>
      <c r="F45" s="24">
        <v>148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</row>
    <row r="46" spans="1:57" ht="14.25" customHeight="1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</row>
    <row r="47" spans="1:57" ht="14.25" customHeight="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</row>
    <row r="48" spans="1:57" ht="2.25" customHeight="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</row>
    <row r="49" spans="1:57" ht="14.25" customHeight="1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</row>
    <row r="50" spans="1:57" ht="14.25" customHeight="1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</row>
    <row r="51" spans="1:57" ht="5.25" customHeight="1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</row>
    <row r="52" spans="1:57" ht="14.25" customHeight="1" x14ac:dyDescent="0.2">
      <c r="A52" s="3"/>
      <c r="B52" s="3"/>
      <c r="C52" s="3"/>
      <c r="D52" s="65"/>
      <c r="E52" s="3"/>
      <c r="F52" s="66" t="s">
        <v>91</v>
      </c>
      <c r="G52" s="66" t="s">
        <v>92</v>
      </c>
      <c r="H52" s="3"/>
      <c r="I52" s="3"/>
      <c r="J52" s="3"/>
      <c r="K52" s="3"/>
      <c r="L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</row>
    <row r="53" spans="1:57" ht="14.25" customHeight="1" x14ac:dyDescent="0.2">
      <c r="A53" s="3"/>
      <c r="B53" s="3"/>
      <c r="C53" s="3"/>
      <c r="D53" s="50" t="s">
        <v>93</v>
      </c>
      <c r="E53" s="3"/>
      <c r="F53" s="27">
        <v>0.48599999999999999</v>
      </c>
      <c r="G53" s="67">
        <v>0.5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</row>
    <row r="54" spans="1:57" ht="14.25" customHeight="1" x14ac:dyDescent="0.2">
      <c r="A54" s="3"/>
      <c r="B54" s="3"/>
      <c r="C54" s="3"/>
      <c r="D54" s="50" t="s">
        <v>94</v>
      </c>
      <c r="E54" s="3"/>
      <c r="F54" s="27">
        <v>3.1E-2</v>
      </c>
      <c r="G54" s="67">
        <v>0.08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</row>
    <row r="55" spans="1:57" ht="14.25" customHeight="1" x14ac:dyDescent="0.2">
      <c r="A55" s="3"/>
      <c r="B55" s="3"/>
      <c r="C55" s="3"/>
      <c r="D55" s="50" t="s">
        <v>95</v>
      </c>
      <c r="E55" s="3"/>
      <c r="F55" s="27">
        <v>0.34499999999999997</v>
      </c>
      <c r="G55" s="27">
        <v>0.32400000000000001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</row>
    <row r="56" spans="1:57" ht="14.25" customHeight="1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</row>
    <row r="57" spans="1:57" ht="14.25" customHeight="1" x14ac:dyDescent="0.2">
      <c r="A57" s="3"/>
      <c r="B57" s="3"/>
      <c r="C57" s="3"/>
      <c r="D57" s="68" t="s">
        <v>96</v>
      </c>
      <c r="E57" s="3"/>
      <c r="F57" s="62">
        <f>SUM(F53:F55)</f>
        <v>0.86199999999999999</v>
      </c>
      <c r="G57" s="62">
        <f t="shared" ref="G57" si="1">SUM(G53:G55)</f>
        <v>0.90399999999999991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</row>
    <row r="58" spans="1:57" ht="14.25" customHeight="1" x14ac:dyDescent="0.2">
      <c r="A58" s="3"/>
      <c r="B58" s="3"/>
      <c r="C58" s="3"/>
      <c r="D58" s="69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</row>
    <row r="59" spans="1:57" ht="14.25" customHeight="1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</row>
    <row r="60" spans="1:57" ht="14.25" customHeight="1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</row>
    <row r="61" spans="1:57" ht="14.25" customHeight="1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</row>
    <row r="62" spans="1:57" ht="14.25" customHeight="1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</row>
    <row r="63" spans="1:57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</row>
    <row r="64" spans="1:57" ht="14.25" customHeight="1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</row>
    <row r="65" spans="1:57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</row>
    <row r="66" spans="1:57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</row>
    <row r="67" spans="1:57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</row>
    <row r="68" spans="1:57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</row>
    <row r="69" spans="1:57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</row>
    <row r="70" spans="1:57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</row>
    <row r="71" spans="1:57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</row>
    <row r="72" spans="1:57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</row>
    <row r="73" spans="1:57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</row>
    <row r="74" spans="1:57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</row>
    <row r="75" spans="1:57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</row>
    <row r="76" spans="1:57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</row>
    <row r="77" spans="1:57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</row>
    <row r="78" spans="1:57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</row>
    <row r="79" spans="1:57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</row>
    <row r="80" spans="1:57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</row>
    <row r="81" spans="1:57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</row>
    <row r="82" spans="1:57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</row>
    <row r="83" spans="1:57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</row>
    <row r="84" spans="1:57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</row>
    <row r="85" spans="1:57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</row>
    <row r="86" spans="1:57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</row>
    <row r="87" spans="1:57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</row>
    <row r="88" spans="1:57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</row>
    <row r="89" spans="1:57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</row>
    <row r="90" spans="1:57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</row>
    <row r="91" spans="1:57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</row>
    <row r="92" spans="1:57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</row>
    <row r="93" spans="1:57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</row>
    <row r="94" spans="1:57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</row>
    <row r="95" spans="1:57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</row>
    <row r="96" spans="1:57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</row>
    <row r="97" spans="1:57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</row>
    <row r="98" spans="1:57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</row>
    <row r="99" spans="1:57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</row>
    <row r="100" spans="1:57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</row>
    <row r="101" spans="1:57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</row>
    <row r="102" spans="1:57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</row>
    <row r="103" spans="1:57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</row>
    <row r="104" spans="1:57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</row>
    <row r="105" spans="1:57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</row>
    <row r="106" spans="1:57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</row>
    <row r="107" spans="1:57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</row>
    <row r="108" spans="1:57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</row>
    <row r="109" spans="1:57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</row>
    <row r="110" spans="1:57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</row>
    <row r="111" spans="1:57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</row>
    <row r="112" spans="1:57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</row>
    <row r="113" spans="1:57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</row>
    <row r="114" spans="1:57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</row>
    <row r="115" spans="1:57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</row>
    <row r="116" spans="1:57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</row>
    <row r="117" spans="1:57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</row>
    <row r="118" spans="1:57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</row>
    <row r="119" spans="1:57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</row>
    <row r="120" spans="1:57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</row>
    <row r="121" spans="1:57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</row>
    <row r="122" spans="1:57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</row>
    <row r="123" spans="1:57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</row>
    <row r="124" spans="1:57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</row>
    <row r="125" spans="1:57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</row>
    <row r="126" spans="1:57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</row>
    <row r="127" spans="1:57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</row>
    <row r="128" spans="1:57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</row>
    <row r="129" spans="1:57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</row>
    <row r="130" spans="1:57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</row>
    <row r="131" spans="1:57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</row>
    <row r="132" spans="1:57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</row>
    <row r="133" spans="1:57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</row>
    <row r="134" spans="1:57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</row>
    <row r="135" spans="1:57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</row>
    <row r="136" spans="1:57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</row>
    <row r="137" spans="1:57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</row>
    <row r="138" spans="1:57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</row>
    <row r="139" spans="1:57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</row>
    <row r="140" spans="1:57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</row>
    <row r="141" spans="1:57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</row>
    <row r="142" spans="1:57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</row>
    <row r="143" spans="1:57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</row>
    <row r="144" spans="1:57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</row>
    <row r="145" spans="1:57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</row>
    <row r="146" spans="1:57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</row>
    <row r="147" spans="1:57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</row>
    <row r="148" spans="1:57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</row>
    <row r="149" spans="1:57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</row>
    <row r="150" spans="1:57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</row>
    <row r="151" spans="1:57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</row>
    <row r="152" spans="1:57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</row>
    <row r="153" spans="1:57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</row>
    <row r="154" spans="1:57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</row>
    <row r="155" spans="1:57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</row>
    <row r="156" spans="1:57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</row>
    <row r="157" spans="1:57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</row>
    <row r="158" spans="1:57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</row>
    <row r="159" spans="1:57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</row>
    <row r="160" spans="1:57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</row>
    <row r="161" spans="1:57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</row>
    <row r="162" spans="1:57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</row>
    <row r="163" spans="1:57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</row>
    <row r="164" spans="1:57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</row>
    <row r="165" spans="1:57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</row>
    <row r="166" spans="1:57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</row>
    <row r="167" spans="1:57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</row>
    <row r="168" spans="1:57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</row>
    <row r="169" spans="1:57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</row>
    <row r="170" spans="1:57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</row>
    <row r="171" spans="1:57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</row>
    <row r="172" spans="1:57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</row>
    <row r="173" spans="1:57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</row>
    <row r="174" spans="1:57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</row>
    <row r="175" spans="1:57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</row>
    <row r="176" spans="1:57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</row>
    <row r="177" spans="1:57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</row>
    <row r="178" spans="1:57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</row>
    <row r="179" spans="1:57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</row>
    <row r="180" spans="1:57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</row>
    <row r="181" spans="1:57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</row>
    <row r="182" spans="1:57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</row>
    <row r="183" spans="1:57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</row>
    <row r="184" spans="1:57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</row>
    <row r="185" spans="1:57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</row>
    <row r="186" spans="1:57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</row>
    <row r="187" spans="1:57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</row>
    <row r="188" spans="1:57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</row>
    <row r="189" spans="1:57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</row>
    <row r="190" spans="1:57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</row>
    <row r="191" spans="1:57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</row>
    <row r="192" spans="1:57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</row>
    <row r="193" spans="1:57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</row>
    <row r="194" spans="1:57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</row>
    <row r="195" spans="1:57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</row>
    <row r="196" spans="1:57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</row>
    <row r="197" spans="1:57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</row>
    <row r="198" spans="1:57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</row>
    <row r="199" spans="1:57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</row>
    <row r="200" spans="1:57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</row>
    <row r="201" spans="1:57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</row>
    <row r="202" spans="1:57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</row>
    <row r="203" spans="1:57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</row>
    <row r="204" spans="1:57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</row>
    <row r="205" spans="1:57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</row>
    <row r="206" spans="1:57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</row>
    <row r="207" spans="1:57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</row>
    <row r="208" spans="1:57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</row>
    <row r="209" spans="1:57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</row>
    <row r="210" spans="1:57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</row>
    <row r="211" spans="1:57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</row>
    <row r="212" spans="1:57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</row>
    <row r="213" spans="1:57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</row>
    <row r="214" spans="1:57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</row>
    <row r="215" spans="1:57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</row>
    <row r="216" spans="1:57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</row>
    <row r="217" spans="1:57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</row>
    <row r="218" spans="1:57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</row>
    <row r="219" spans="1:57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</row>
    <row r="220" spans="1:57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</row>
    <row r="221" spans="1:57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</row>
    <row r="222" spans="1:57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</row>
    <row r="223" spans="1:57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</row>
    <row r="224" spans="1:57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</row>
    <row r="225" spans="1:57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</row>
    <row r="226" spans="1:57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</row>
    <row r="227" spans="1:57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</row>
    <row r="228" spans="1:57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</row>
    <row r="229" spans="1:57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</row>
    <row r="230" spans="1:57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</row>
    <row r="231" spans="1:57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</row>
    <row r="232" spans="1:57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</row>
    <row r="233" spans="1:57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</row>
    <row r="234" spans="1:57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</row>
    <row r="235" spans="1:57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</row>
    <row r="236" spans="1:57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</row>
    <row r="237" spans="1:57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</row>
    <row r="238" spans="1:57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</row>
    <row r="239" spans="1:57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</row>
    <row r="240" spans="1:57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</row>
    <row r="241" spans="1:57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</row>
    <row r="242" spans="1:57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</row>
    <row r="243" spans="1:57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</row>
    <row r="244" spans="1:57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</row>
    <row r="245" spans="1:57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</row>
    <row r="246" spans="1:57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</row>
    <row r="247" spans="1:57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</row>
    <row r="248" spans="1:57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</row>
    <row r="249" spans="1:57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</row>
    <row r="250" spans="1:57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</row>
    <row r="251" spans="1:57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</row>
    <row r="252" spans="1:57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</row>
    <row r="253" spans="1:57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</row>
    <row r="254" spans="1:57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</row>
    <row r="255" spans="1:57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</row>
    <row r="256" spans="1:57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</row>
    <row r="257" spans="1:57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</row>
    <row r="258" spans="1:57" ht="14.25" customHeight="1" x14ac:dyDescent="0.2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</row>
    <row r="259" spans="1:57" ht="14.25" customHeight="1" x14ac:dyDescent="0.2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</row>
    <row r="260" spans="1:57" ht="14.25" customHeight="1" x14ac:dyDescent="0.2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</row>
    <row r="261" spans="1:57" ht="14.25" customHeight="1" x14ac:dyDescent="0.2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</row>
    <row r="262" spans="1:57" ht="14.25" customHeight="1" x14ac:dyDescent="0.2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</row>
    <row r="263" spans="1:57" ht="14.25" customHeight="1" x14ac:dyDescent="0.2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</row>
    <row r="264" spans="1:57" ht="14.25" customHeight="1" x14ac:dyDescent="0.2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</row>
    <row r="265" spans="1:57" ht="14.25" customHeight="1" x14ac:dyDescent="0.2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</row>
    <row r="266" spans="1:57" ht="14.25" customHeight="1" x14ac:dyDescent="0.2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</row>
    <row r="267" spans="1:57" ht="14.25" customHeight="1" x14ac:dyDescent="0.2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</row>
    <row r="268" spans="1:57" ht="14.25" customHeight="1" x14ac:dyDescent="0.2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</row>
    <row r="269" spans="1:57" ht="14.25" customHeight="1" x14ac:dyDescent="0.2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</row>
    <row r="270" spans="1:57" ht="14.25" customHeight="1" x14ac:dyDescent="0.2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</row>
    <row r="271" spans="1:57" ht="14.25" customHeight="1" x14ac:dyDescent="0.2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</row>
    <row r="272" spans="1:57" ht="14.25" customHeight="1" x14ac:dyDescent="0.2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</row>
    <row r="273" spans="1:57" ht="14.25" customHeight="1" x14ac:dyDescent="0.2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</row>
    <row r="274" spans="1:57" ht="14.25" customHeight="1" x14ac:dyDescent="0.2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</row>
    <row r="275" spans="1:57" ht="14.25" customHeight="1" x14ac:dyDescent="0.2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</row>
    <row r="276" spans="1:57" ht="14.25" customHeight="1" x14ac:dyDescent="0.2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</row>
    <row r="277" spans="1:57" ht="14.25" customHeight="1" x14ac:dyDescent="0.2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</row>
    <row r="278" spans="1:57" ht="14.25" customHeight="1" x14ac:dyDescent="0.2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</row>
    <row r="279" spans="1:57" ht="14.25" customHeight="1" x14ac:dyDescent="0.2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</row>
    <row r="280" spans="1:57" ht="14.25" customHeight="1" x14ac:dyDescent="0.2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</row>
    <row r="281" spans="1:57" ht="14.25" customHeight="1" x14ac:dyDescent="0.2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</row>
    <row r="282" spans="1:57" ht="14.25" customHeight="1" x14ac:dyDescent="0.2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</row>
    <row r="283" spans="1:57" ht="14.25" customHeight="1" x14ac:dyDescent="0.2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</row>
    <row r="284" spans="1:57" ht="14.25" customHeight="1" x14ac:dyDescent="0.2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</row>
    <row r="285" spans="1:57" ht="14.25" customHeight="1" x14ac:dyDescent="0.2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</row>
    <row r="286" spans="1:57" ht="14.25" customHeight="1" x14ac:dyDescent="0.2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</row>
    <row r="287" spans="1:57" ht="14.25" customHeight="1" x14ac:dyDescent="0.2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</row>
    <row r="288" spans="1:57" ht="14.25" customHeight="1" x14ac:dyDescent="0.2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</row>
    <row r="289" spans="1:57" ht="14.25" customHeight="1" x14ac:dyDescent="0.2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</row>
    <row r="290" spans="1:57" ht="14.25" customHeight="1" x14ac:dyDescent="0.2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</row>
    <row r="291" spans="1:57" ht="14.25" customHeight="1" x14ac:dyDescent="0.2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</row>
    <row r="292" spans="1:57" ht="14.25" customHeight="1" x14ac:dyDescent="0.2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</row>
    <row r="293" spans="1:57" ht="14.25" customHeight="1" x14ac:dyDescent="0.2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</row>
    <row r="294" spans="1:57" ht="14.25" customHeight="1" x14ac:dyDescent="0.2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</row>
    <row r="295" spans="1:57" ht="14.25" customHeight="1" x14ac:dyDescent="0.2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</row>
    <row r="296" spans="1:57" ht="14.25" customHeight="1" x14ac:dyDescent="0.2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</row>
    <row r="297" spans="1:57" ht="14.25" customHeight="1" x14ac:dyDescent="0.2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</row>
    <row r="298" spans="1:57" ht="14.25" customHeight="1" x14ac:dyDescent="0.2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</row>
    <row r="299" spans="1:57" ht="14.25" customHeight="1" x14ac:dyDescent="0.2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</row>
    <row r="300" spans="1:57" ht="14.25" customHeight="1" x14ac:dyDescent="0.2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</row>
    <row r="301" spans="1:57" ht="14.25" customHeight="1" x14ac:dyDescent="0.2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</row>
    <row r="302" spans="1:57" ht="14.25" customHeight="1" x14ac:dyDescent="0.2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</row>
    <row r="303" spans="1:57" ht="14.25" customHeight="1" x14ac:dyDescent="0.2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</row>
    <row r="304" spans="1:57" ht="14.25" customHeight="1" x14ac:dyDescent="0.2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</row>
    <row r="305" spans="1:57" ht="14.25" customHeight="1" x14ac:dyDescent="0.2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</row>
    <row r="306" spans="1:57" ht="14.25" customHeight="1" x14ac:dyDescent="0.2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</row>
    <row r="307" spans="1:57" ht="14.25" customHeight="1" x14ac:dyDescent="0.2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</row>
    <row r="308" spans="1:57" ht="14.25" customHeight="1" x14ac:dyDescent="0.2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</row>
    <row r="309" spans="1:57" ht="14.25" customHeight="1" x14ac:dyDescent="0.2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</row>
    <row r="310" spans="1:57" ht="14.25" customHeight="1" x14ac:dyDescent="0.2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</row>
    <row r="311" spans="1:57" ht="14.25" customHeight="1" x14ac:dyDescent="0.2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</row>
    <row r="312" spans="1:57" ht="14.25" customHeight="1" x14ac:dyDescent="0.2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</row>
    <row r="313" spans="1:57" ht="14.25" customHeight="1" x14ac:dyDescent="0.2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</row>
    <row r="314" spans="1:57" ht="14.25" customHeight="1" x14ac:dyDescent="0.2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</row>
    <row r="315" spans="1:57" ht="14.25" customHeight="1" x14ac:dyDescent="0.2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</row>
    <row r="316" spans="1:57" ht="14.25" customHeight="1" x14ac:dyDescent="0.2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</row>
    <row r="317" spans="1:57" ht="14.25" customHeight="1" x14ac:dyDescent="0.2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</row>
    <row r="318" spans="1:57" ht="14.25" customHeight="1" x14ac:dyDescent="0.2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</row>
    <row r="319" spans="1:57" ht="14.25" customHeight="1" x14ac:dyDescent="0.2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</row>
    <row r="320" spans="1:57" ht="14.25" customHeight="1" x14ac:dyDescent="0.2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</row>
    <row r="321" spans="1:57" ht="14.25" customHeight="1" x14ac:dyDescent="0.2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</row>
    <row r="322" spans="1:57" ht="14.25" customHeight="1" x14ac:dyDescent="0.2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</row>
    <row r="323" spans="1:57" ht="14.25" customHeight="1" x14ac:dyDescent="0.2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</row>
    <row r="324" spans="1:57" ht="14.25" customHeight="1" x14ac:dyDescent="0.2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</row>
    <row r="325" spans="1:57" ht="14.25" customHeight="1" x14ac:dyDescent="0.2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</row>
    <row r="326" spans="1:57" ht="14.25" customHeight="1" x14ac:dyDescent="0.2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</row>
    <row r="327" spans="1:57" ht="14.25" customHeight="1" x14ac:dyDescent="0.2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</row>
    <row r="328" spans="1:57" ht="14.25" customHeight="1" x14ac:dyDescent="0.2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</row>
    <row r="329" spans="1:57" ht="14.25" customHeight="1" x14ac:dyDescent="0.2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</row>
    <row r="330" spans="1:57" ht="14.25" customHeight="1" x14ac:dyDescent="0.2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</row>
    <row r="331" spans="1:57" ht="14.25" customHeight="1" x14ac:dyDescent="0.2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</row>
    <row r="332" spans="1:57" ht="14.25" customHeight="1" x14ac:dyDescent="0.2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</row>
    <row r="333" spans="1:57" ht="14.25" customHeight="1" x14ac:dyDescent="0.2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</row>
    <row r="334" spans="1:57" ht="14.25" customHeight="1" x14ac:dyDescent="0.2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</row>
    <row r="335" spans="1:57" ht="14.25" customHeight="1" x14ac:dyDescent="0.2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</row>
    <row r="336" spans="1:57" ht="14.25" customHeight="1" x14ac:dyDescent="0.2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</row>
    <row r="337" spans="1:57" ht="14.25" customHeight="1" x14ac:dyDescent="0.2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</row>
    <row r="338" spans="1:57" ht="14.25" customHeight="1" x14ac:dyDescent="0.2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</row>
    <row r="339" spans="1:57" ht="14.25" customHeight="1" x14ac:dyDescent="0.2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</row>
    <row r="340" spans="1:57" ht="14.25" customHeight="1" x14ac:dyDescent="0.2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</row>
    <row r="341" spans="1:57" ht="14.25" customHeight="1" x14ac:dyDescent="0.2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</row>
    <row r="342" spans="1:57" ht="14.25" customHeight="1" x14ac:dyDescent="0.2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</row>
    <row r="343" spans="1:57" ht="14.25" customHeight="1" x14ac:dyDescent="0.2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</row>
    <row r="344" spans="1:57" ht="14.25" customHeight="1" x14ac:dyDescent="0.2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</row>
    <row r="345" spans="1:57" ht="14.25" customHeight="1" x14ac:dyDescent="0.2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</row>
    <row r="346" spans="1:57" ht="14.25" customHeight="1" x14ac:dyDescent="0.2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</row>
    <row r="347" spans="1:57" ht="14.25" customHeight="1" x14ac:dyDescent="0.2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</row>
    <row r="348" spans="1:57" ht="14.25" customHeight="1" x14ac:dyDescent="0.2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</row>
    <row r="349" spans="1:57" ht="14.25" customHeight="1" x14ac:dyDescent="0.2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</row>
    <row r="350" spans="1:57" ht="14.25" customHeight="1" x14ac:dyDescent="0.2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</row>
    <row r="351" spans="1:57" ht="14.25" customHeight="1" x14ac:dyDescent="0.2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</row>
    <row r="352" spans="1:57" ht="14.25" customHeight="1" x14ac:dyDescent="0.2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</row>
    <row r="353" spans="1:57" ht="14.25" customHeight="1" x14ac:dyDescent="0.2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</row>
    <row r="354" spans="1:57" ht="14.25" customHeight="1" x14ac:dyDescent="0.2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</row>
    <row r="355" spans="1:57" ht="14.25" customHeight="1" x14ac:dyDescent="0.2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</row>
    <row r="356" spans="1:57" ht="14.25" customHeight="1" x14ac:dyDescent="0.2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</row>
    <row r="357" spans="1:57" ht="14.25" customHeight="1" x14ac:dyDescent="0.2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</row>
    <row r="358" spans="1:57" ht="14.25" customHeight="1" x14ac:dyDescent="0.2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</row>
    <row r="359" spans="1:57" ht="14.25" customHeight="1" x14ac:dyDescent="0.2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</row>
    <row r="360" spans="1:57" ht="14.25" customHeight="1" x14ac:dyDescent="0.2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</row>
    <row r="361" spans="1:57" ht="14.25" customHeight="1" x14ac:dyDescent="0.2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</row>
    <row r="362" spans="1:57" ht="14.25" customHeight="1" x14ac:dyDescent="0.2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</row>
    <row r="363" spans="1:57" ht="14.25" customHeight="1" x14ac:dyDescent="0.2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</row>
    <row r="364" spans="1:57" ht="14.25" customHeight="1" x14ac:dyDescent="0.2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</row>
    <row r="365" spans="1:57" ht="14.25" customHeight="1" x14ac:dyDescent="0.2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</row>
    <row r="366" spans="1:57" ht="14.25" customHeight="1" x14ac:dyDescent="0.2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</row>
    <row r="367" spans="1:57" ht="14.25" customHeight="1" x14ac:dyDescent="0.2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</row>
    <row r="368" spans="1:57" ht="14.25" customHeight="1" x14ac:dyDescent="0.2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</row>
    <row r="369" spans="1:57" ht="14.25" customHeight="1" x14ac:dyDescent="0.2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</row>
    <row r="370" spans="1:57" ht="14.25" customHeight="1" x14ac:dyDescent="0.2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</row>
    <row r="371" spans="1:57" ht="14.25" customHeight="1" x14ac:dyDescent="0.2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</row>
    <row r="372" spans="1:57" ht="14.25" customHeight="1" x14ac:dyDescent="0.2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</row>
    <row r="373" spans="1:57" ht="14.25" customHeight="1" x14ac:dyDescent="0.2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</row>
    <row r="374" spans="1:57" ht="14.25" customHeight="1" x14ac:dyDescent="0.2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</row>
    <row r="375" spans="1:57" ht="14.25" customHeight="1" x14ac:dyDescent="0.2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</row>
    <row r="376" spans="1:57" ht="14.25" customHeight="1" x14ac:dyDescent="0.2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</row>
    <row r="377" spans="1:57" ht="14.25" customHeight="1" x14ac:dyDescent="0.2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</row>
    <row r="378" spans="1:57" ht="14.25" customHeight="1" x14ac:dyDescent="0.2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</row>
    <row r="379" spans="1:57" ht="14.25" customHeight="1" x14ac:dyDescent="0.2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</row>
    <row r="380" spans="1:57" ht="14.25" customHeight="1" x14ac:dyDescent="0.2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</row>
    <row r="381" spans="1:57" ht="14.25" customHeight="1" x14ac:dyDescent="0.2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</row>
    <row r="382" spans="1:57" ht="14.25" customHeight="1" x14ac:dyDescent="0.2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</row>
    <row r="383" spans="1:57" ht="14.25" customHeight="1" x14ac:dyDescent="0.2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</row>
    <row r="384" spans="1:57" ht="14.25" customHeight="1" x14ac:dyDescent="0.2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</row>
    <row r="385" spans="1:57" ht="14.25" customHeight="1" x14ac:dyDescent="0.2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</row>
    <row r="386" spans="1:57" ht="14.25" customHeight="1" x14ac:dyDescent="0.2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</row>
    <row r="387" spans="1:57" ht="14.25" customHeight="1" x14ac:dyDescent="0.2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</row>
    <row r="388" spans="1:57" ht="14.25" customHeight="1" x14ac:dyDescent="0.2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  <c r="AV388" s="28"/>
      <c r="AW388" s="28"/>
      <c r="AX388" s="28"/>
      <c r="AY388" s="28"/>
      <c r="AZ388" s="28"/>
      <c r="BA388" s="28"/>
      <c r="BB388" s="28"/>
      <c r="BC388" s="28"/>
      <c r="BD388" s="28"/>
      <c r="BE388" s="28"/>
    </row>
    <row r="389" spans="1:57" ht="14.25" customHeight="1" x14ac:dyDescent="0.2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</row>
    <row r="390" spans="1:57" ht="14.25" customHeight="1" x14ac:dyDescent="0.2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</row>
    <row r="391" spans="1:57" ht="14.25" customHeight="1" x14ac:dyDescent="0.2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</row>
    <row r="392" spans="1:57" ht="14.25" customHeight="1" x14ac:dyDescent="0.2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</row>
    <row r="393" spans="1:57" ht="14.25" customHeight="1" x14ac:dyDescent="0.2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</row>
    <row r="394" spans="1:57" ht="14.25" customHeight="1" x14ac:dyDescent="0.2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  <c r="AV394" s="28"/>
      <c r="AW394" s="28"/>
      <c r="AX394" s="28"/>
      <c r="AY394" s="28"/>
      <c r="AZ394" s="28"/>
      <c r="BA394" s="28"/>
      <c r="BB394" s="28"/>
      <c r="BC394" s="28"/>
      <c r="BD394" s="28"/>
      <c r="BE394" s="28"/>
    </row>
    <row r="395" spans="1:57" ht="14.25" customHeight="1" x14ac:dyDescent="0.2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</row>
    <row r="396" spans="1:57" ht="14.25" customHeight="1" x14ac:dyDescent="0.2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</row>
    <row r="397" spans="1:57" ht="14.25" customHeight="1" x14ac:dyDescent="0.2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</row>
    <row r="398" spans="1:57" ht="14.25" customHeight="1" x14ac:dyDescent="0.2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</row>
    <row r="399" spans="1:57" ht="14.25" customHeight="1" x14ac:dyDescent="0.2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</row>
    <row r="400" spans="1:57" ht="14.25" customHeight="1" x14ac:dyDescent="0.2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</row>
    <row r="401" spans="1:57" ht="14.25" customHeight="1" x14ac:dyDescent="0.2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</row>
    <row r="402" spans="1:57" ht="14.25" customHeight="1" x14ac:dyDescent="0.2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</row>
    <row r="403" spans="1:57" ht="14.25" customHeight="1" x14ac:dyDescent="0.2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</row>
    <row r="404" spans="1:57" ht="14.25" customHeight="1" x14ac:dyDescent="0.2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</row>
    <row r="405" spans="1:57" ht="14.25" customHeight="1" x14ac:dyDescent="0.2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</row>
    <row r="406" spans="1:57" ht="14.25" customHeight="1" x14ac:dyDescent="0.2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</row>
    <row r="407" spans="1:57" ht="14.25" customHeight="1" x14ac:dyDescent="0.2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</row>
    <row r="408" spans="1:57" ht="14.25" customHeight="1" x14ac:dyDescent="0.2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</row>
    <row r="409" spans="1:57" ht="14.25" customHeight="1" x14ac:dyDescent="0.2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</row>
    <row r="410" spans="1:57" ht="14.25" customHeight="1" x14ac:dyDescent="0.2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</row>
    <row r="411" spans="1:57" ht="14.25" customHeight="1" x14ac:dyDescent="0.2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</row>
    <row r="412" spans="1:57" ht="14.25" customHeight="1" x14ac:dyDescent="0.2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</row>
    <row r="413" spans="1:57" ht="14.25" customHeight="1" x14ac:dyDescent="0.2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</row>
    <row r="414" spans="1:57" ht="14.25" customHeight="1" x14ac:dyDescent="0.2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</row>
    <row r="415" spans="1:57" ht="14.25" customHeight="1" x14ac:dyDescent="0.2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</row>
    <row r="416" spans="1:57" ht="14.25" customHeight="1" x14ac:dyDescent="0.2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</row>
    <row r="417" spans="1:57" ht="14.25" customHeight="1" x14ac:dyDescent="0.2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</row>
    <row r="418" spans="1:57" ht="14.25" customHeight="1" x14ac:dyDescent="0.2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</row>
    <row r="419" spans="1:57" ht="14.25" customHeight="1" x14ac:dyDescent="0.2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</row>
    <row r="420" spans="1:57" ht="14.25" customHeight="1" x14ac:dyDescent="0.2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</row>
    <row r="421" spans="1:57" ht="14.25" customHeight="1" x14ac:dyDescent="0.2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</row>
    <row r="422" spans="1:57" ht="14.25" customHeight="1" x14ac:dyDescent="0.2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</row>
    <row r="423" spans="1:57" ht="14.25" customHeight="1" x14ac:dyDescent="0.2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</row>
    <row r="424" spans="1:57" ht="14.25" customHeight="1" x14ac:dyDescent="0.2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</row>
    <row r="425" spans="1:57" ht="14.25" customHeight="1" x14ac:dyDescent="0.2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</row>
    <row r="426" spans="1:57" ht="14.25" customHeight="1" x14ac:dyDescent="0.2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</row>
    <row r="427" spans="1:57" ht="14.25" customHeight="1" x14ac:dyDescent="0.2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</row>
    <row r="428" spans="1:57" ht="14.25" customHeight="1" x14ac:dyDescent="0.2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</row>
    <row r="429" spans="1:57" ht="14.25" customHeight="1" x14ac:dyDescent="0.2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</row>
    <row r="430" spans="1:57" ht="14.25" customHeight="1" x14ac:dyDescent="0.2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  <c r="AV430" s="28"/>
      <c r="AW430" s="28"/>
      <c r="AX430" s="28"/>
      <c r="AY430" s="28"/>
      <c r="AZ430" s="28"/>
      <c r="BA430" s="28"/>
      <c r="BB430" s="28"/>
      <c r="BC430" s="28"/>
      <c r="BD430" s="28"/>
      <c r="BE430" s="28"/>
    </row>
    <row r="431" spans="1:57" ht="14.25" customHeight="1" x14ac:dyDescent="0.2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</row>
    <row r="432" spans="1:57" ht="14.25" customHeight="1" x14ac:dyDescent="0.2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</row>
    <row r="433" spans="1:57" ht="14.25" customHeight="1" x14ac:dyDescent="0.2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</row>
    <row r="434" spans="1:57" ht="14.25" customHeight="1" x14ac:dyDescent="0.2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</row>
    <row r="435" spans="1:57" ht="14.25" customHeight="1" x14ac:dyDescent="0.2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</row>
    <row r="436" spans="1:57" ht="14.25" customHeight="1" x14ac:dyDescent="0.2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</row>
    <row r="437" spans="1:57" ht="14.25" customHeight="1" x14ac:dyDescent="0.2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</row>
    <row r="438" spans="1:57" ht="14.25" customHeight="1" x14ac:dyDescent="0.2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  <c r="AV438" s="28"/>
      <c r="AW438" s="28"/>
      <c r="AX438" s="28"/>
      <c r="AY438" s="28"/>
      <c r="AZ438" s="28"/>
      <c r="BA438" s="28"/>
      <c r="BB438" s="28"/>
      <c r="BC438" s="28"/>
      <c r="BD438" s="28"/>
      <c r="BE438" s="28"/>
    </row>
    <row r="439" spans="1:57" ht="14.25" customHeight="1" x14ac:dyDescent="0.2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  <c r="AV439" s="28"/>
      <c r="AW439" s="28"/>
      <c r="AX439" s="28"/>
      <c r="AY439" s="28"/>
      <c r="AZ439" s="28"/>
      <c r="BA439" s="28"/>
      <c r="BB439" s="28"/>
      <c r="BC439" s="28"/>
      <c r="BD439" s="28"/>
      <c r="BE439" s="28"/>
    </row>
    <row r="440" spans="1:57" ht="14.25" customHeight="1" x14ac:dyDescent="0.2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</row>
    <row r="441" spans="1:57" ht="14.25" customHeight="1" x14ac:dyDescent="0.2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  <c r="AV441" s="28"/>
      <c r="AW441" s="28"/>
      <c r="AX441" s="28"/>
      <c r="AY441" s="28"/>
      <c r="AZ441" s="28"/>
      <c r="BA441" s="28"/>
      <c r="BB441" s="28"/>
      <c r="BC441" s="28"/>
      <c r="BD441" s="28"/>
      <c r="BE441" s="28"/>
    </row>
    <row r="442" spans="1:57" ht="14.25" customHeight="1" x14ac:dyDescent="0.2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  <c r="AV442" s="28"/>
      <c r="AW442" s="28"/>
      <c r="AX442" s="28"/>
      <c r="AY442" s="28"/>
      <c r="AZ442" s="28"/>
      <c r="BA442" s="28"/>
      <c r="BB442" s="28"/>
      <c r="BC442" s="28"/>
      <c r="BD442" s="28"/>
      <c r="BE442" s="28"/>
    </row>
    <row r="443" spans="1:57" ht="14.25" customHeight="1" x14ac:dyDescent="0.2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</row>
    <row r="444" spans="1:57" ht="14.25" customHeight="1" x14ac:dyDescent="0.2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  <c r="AV444" s="28"/>
      <c r="AW444" s="28"/>
      <c r="AX444" s="28"/>
      <c r="AY444" s="28"/>
      <c r="AZ444" s="28"/>
      <c r="BA444" s="28"/>
      <c r="BB444" s="28"/>
      <c r="BC444" s="28"/>
      <c r="BD444" s="28"/>
      <c r="BE444" s="28"/>
    </row>
    <row r="445" spans="1:57" ht="14.25" customHeight="1" x14ac:dyDescent="0.2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</row>
    <row r="446" spans="1:57" ht="14.25" customHeight="1" x14ac:dyDescent="0.2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</row>
    <row r="447" spans="1:57" ht="14.25" customHeight="1" x14ac:dyDescent="0.2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</row>
    <row r="448" spans="1:57" ht="14.25" customHeight="1" x14ac:dyDescent="0.2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  <c r="AV448" s="28"/>
      <c r="AW448" s="28"/>
      <c r="AX448" s="28"/>
      <c r="AY448" s="28"/>
      <c r="AZ448" s="28"/>
      <c r="BA448" s="28"/>
      <c r="BB448" s="28"/>
      <c r="BC448" s="28"/>
      <c r="BD448" s="28"/>
      <c r="BE448" s="28"/>
    </row>
    <row r="449" spans="1:57" ht="14.25" customHeight="1" x14ac:dyDescent="0.2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</row>
    <row r="450" spans="1:57" ht="14.25" customHeight="1" x14ac:dyDescent="0.2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  <c r="AV450" s="28"/>
      <c r="AW450" s="28"/>
      <c r="AX450" s="28"/>
      <c r="AY450" s="28"/>
      <c r="AZ450" s="28"/>
      <c r="BA450" s="28"/>
      <c r="BB450" s="28"/>
      <c r="BC450" s="28"/>
      <c r="BD450" s="28"/>
      <c r="BE450" s="28"/>
    </row>
    <row r="451" spans="1:57" ht="14.25" customHeight="1" x14ac:dyDescent="0.2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</row>
    <row r="452" spans="1:57" ht="14.25" customHeight="1" x14ac:dyDescent="0.2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</row>
    <row r="453" spans="1:57" ht="14.25" customHeight="1" x14ac:dyDescent="0.2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  <c r="AV453" s="28"/>
      <c r="AW453" s="28"/>
      <c r="AX453" s="28"/>
      <c r="AY453" s="28"/>
      <c r="AZ453" s="28"/>
      <c r="BA453" s="28"/>
      <c r="BB453" s="28"/>
      <c r="BC453" s="28"/>
      <c r="BD453" s="28"/>
      <c r="BE453" s="28"/>
    </row>
    <row r="454" spans="1:57" ht="14.25" customHeight="1" x14ac:dyDescent="0.2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  <c r="AV454" s="28"/>
      <c r="AW454" s="28"/>
      <c r="AX454" s="28"/>
      <c r="AY454" s="28"/>
      <c r="AZ454" s="28"/>
      <c r="BA454" s="28"/>
      <c r="BB454" s="28"/>
      <c r="BC454" s="28"/>
      <c r="BD454" s="28"/>
      <c r="BE454" s="28"/>
    </row>
    <row r="455" spans="1:57" ht="14.25" customHeight="1" x14ac:dyDescent="0.2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</row>
    <row r="456" spans="1:57" ht="14.25" customHeight="1" x14ac:dyDescent="0.2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  <c r="AV456" s="28"/>
      <c r="AW456" s="28"/>
      <c r="AX456" s="28"/>
      <c r="AY456" s="28"/>
      <c r="AZ456" s="28"/>
      <c r="BA456" s="28"/>
      <c r="BB456" s="28"/>
      <c r="BC456" s="28"/>
      <c r="BD456" s="28"/>
      <c r="BE456" s="28"/>
    </row>
    <row r="457" spans="1:57" ht="14.25" customHeight="1" x14ac:dyDescent="0.2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  <c r="AV457" s="28"/>
      <c r="AW457" s="28"/>
      <c r="AX457" s="28"/>
      <c r="AY457" s="28"/>
      <c r="AZ457" s="28"/>
      <c r="BA457" s="28"/>
      <c r="BB457" s="28"/>
      <c r="BC457" s="28"/>
      <c r="BD457" s="28"/>
      <c r="BE457" s="28"/>
    </row>
    <row r="458" spans="1:57" ht="14.25" customHeight="1" x14ac:dyDescent="0.2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</row>
    <row r="459" spans="1:57" ht="14.25" customHeight="1" x14ac:dyDescent="0.2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  <c r="AV459" s="28"/>
      <c r="AW459" s="28"/>
      <c r="AX459" s="28"/>
      <c r="AY459" s="28"/>
      <c r="AZ459" s="28"/>
      <c r="BA459" s="28"/>
      <c r="BB459" s="28"/>
      <c r="BC459" s="28"/>
      <c r="BD459" s="28"/>
      <c r="BE459" s="28"/>
    </row>
    <row r="460" spans="1:57" ht="14.25" customHeight="1" x14ac:dyDescent="0.2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  <c r="AV460" s="28"/>
      <c r="AW460" s="28"/>
      <c r="AX460" s="28"/>
      <c r="AY460" s="28"/>
      <c r="AZ460" s="28"/>
      <c r="BA460" s="28"/>
      <c r="BB460" s="28"/>
      <c r="BC460" s="28"/>
      <c r="BD460" s="28"/>
      <c r="BE460" s="28"/>
    </row>
    <row r="461" spans="1:57" ht="14.25" customHeight="1" x14ac:dyDescent="0.2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</row>
    <row r="462" spans="1:57" ht="14.25" customHeight="1" x14ac:dyDescent="0.2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  <c r="AV462" s="28"/>
      <c r="AW462" s="28"/>
      <c r="AX462" s="28"/>
      <c r="AY462" s="28"/>
      <c r="AZ462" s="28"/>
      <c r="BA462" s="28"/>
      <c r="BB462" s="28"/>
      <c r="BC462" s="28"/>
      <c r="BD462" s="28"/>
      <c r="BE462" s="28"/>
    </row>
    <row r="463" spans="1:57" ht="14.25" customHeight="1" x14ac:dyDescent="0.2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</row>
    <row r="464" spans="1:57" ht="14.25" customHeight="1" x14ac:dyDescent="0.2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</row>
    <row r="465" spans="1:57" ht="14.25" customHeight="1" x14ac:dyDescent="0.2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</row>
    <row r="466" spans="1:57" ht="14.25" customHeight="1" x14ac:dyDescent="0.2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</row>
    <row r="467" spans="1:57" ht="14.25" customHeight="1" x14ac:dyDescent="0.2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</row>
    <row r="468" spans="1:57" ht="14.25" customHeight="1" x14ac:dyDescent="0.2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  <c r="AV468" s="28"/>
      <c r="AW468" s="28"/>
      <c r="AX468" s="28"/>
      <c r="AY468" s="28"/>
      <c r="AZ468" s="28"/>
      <c r="BA468" s="28"/>
      <c r="BB468" s="28"/>
      <c r="BC468" s="28"/>
      <c r="BD468" s="28"/>
      <c r="BE468" s="28"/>
    </row>
    <row r="469" spans="1:57" ht="14.25" customHeight="1" x14ac:dyDescent="0.2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  <c r="AV469" s="28"/>
      <c r="AW469" s="28"/>
      <c r="AX469" s="28"/>
      <c r="AY469" s="28"/>
      <c r="AZ469" s="28"/>
      <c r="BA469" s="28"/>
      <c r="BB469" s="28"/>
      <c r="BC469" s="28"/>
      <c r="BD469" s="28"/>
      <c r="BE469" s="28"/>
    </row>
    <row r="470" spans="1:57" ht="14.25" customHeight="1" x14ac:dyDescent="0.2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</row>
    <row r="471" spans="1:57" ht="14.25" customHeight="1" x14ac:dyDescent="0.2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  <c r="AV471" s="28"/>
      <c r="AW471" s="28"/>
      <c r="AX471" s="28"/>
      <c r="AY471" s="28"/>
      <c r="AZ471" s="28"/>
      <c r="BA471" s="28"/>
      <c r="BB471" s="28"/>
      <c r="BC471" s="28"/>
      <c r="BD471" s="28"/>
      <c r="BE471" s="28"/>
    </row>
    <row r="472" spans="1:57" ht="14.25" customHeight="1" x14ac:dyDescent="0.2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  <c r="AV472" s="28"/>
      <c r="AW472" s="28"/>
      <c r="AX472" s="28"/>
      <c r="AY472" s="28"/>
      <c r="AZ472" s="28"/>
      <c r="BA472" s="28"/>
      <c r="BB472" s="28"/>
      <c r="BC472" s="28"/>
      <c r="BD472" s="28"/>
      <c r="BE472" s="28"/>
    </row>
    <row r="473" spans="1:57" ht="14.25" customHeight="1" x14ac:dyDescent="0.2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</row>
    <row r="474" spans="1:57" ht="14.25" customHeight="1" x14ac:dyDescent="0.2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  <c r="AV474" s="28"/>
      <c r="AW474" s="28"/>
      <c r="AX474" s="28"/>
      <c r="AY474" s="28"/>
      <c r="AZ474" s="28"/>
      <c r="BA474" s="28"/>
      <c r="BB474" s="28"/>
      <c r="BC474" s="28"/>
      <c r="BD474" s="28"/>
      <c r="BE474" s="28"/>
    </row>
    <row r="475" spans="1:57" ht="14.25" customHeight="1" x14ac:dyDescent="0.2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  <c r="AV475" s="28"/>
      <c r="AW475" s="28"/>
      <c r="AX475" s="28"/>
      <c r="AY475" s="28"/>
      <c r="AZ475" s="28"/>
      <c r="BA475" s="28"/>
      <c r="BB475" s="28"/>
      <c r="BC475" s="28"/>
      <c r="BD475" s="28"/>
      <c r="BE475" s="28"/>
    </row>
    <row r="476" spans="1:57" ht="14.25" customHeight="1" x14ac:dyDescent="0.2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</row>
    <row r="477" spans="1:57" ht="14.25" customHeight="1" x14ac:dyDescent="0.2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</row>
    <row r="478" spans="1:57" ht="14.25" customHeight="1" x14ac:dyDescent="0.2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</row>
    <row r="479" spans="1:57" ht="14.25" customHeight="1" x14ac:dyDescent="0.2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</row>
    <row r="480" spans="1:57" ht="14.25" customHeight="1" x14ac:dyDescent="0.2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  <c r="AV480" s="28"/>
      <c r="AW480" s="28"/>
      <c r="AX480" s="28"/>
      <c r="AY480" s="28"/>
      <c r="AZ480" s="28"/>
      <c r="BA480" s="28"/>
      <c r="BB480" s="28"/>
      <c r="BC480" s="28"/>
      <c r="BD480" s="28"/>
      <c r="BE480" s="28"/>
    </row>
    <row r="481" spans="1:57" ht="14.25" customHeight="1" x14ac:dyDescent="0.2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  <c r="AV481" s="28"/>
      <c r="AW481" s="28"/>
      <c r="AX481" s="28"/>
      <c r="AY481" s="28"/>
      <c r="AZ481" s="28"/>
      <c r="BA481" s="28"/>
      <c r="BB481" s="28"/>
      <c r="BC481" s="28"/>
      <c r="BD481" s="28"/>
      <c r="BE481" s="28"/>
    </row>
    <row r="482" spans="1:57" ht="14.25" customHeight="1" x14ac:dyDescent="0.2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</row>
    <row r="483" spans="1:57" ht="14.25" customHeight="1" x14ac:dyDescent="0.2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  <c r="AV483" s="28"/>
      <c r="AW483" s="28"/>
      <c r="AX483" s="28"/>
      <c r="AY483" s="28"/>
      <c r="AZ483" s="28"/>
      <c r="BA483" s="28"/>
      <c r="BB483" s="28"/>
      <c r="BC483" s="28"/>
      <c r="BD483" s="28"/>
      <c r="BE483" s="28"/>
    </row>
    <row r="484" spans="1:57" ht="14.25" customHeight="1" x14ac:dyDescent="0.2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  <c r="AV484" s="28"/>
      <c r="AW484" s="28"/>
      <c r="AX484" s="28"/>
      <c r="AY484" s="28"/>
      <c r="AZ484" s="28"/>
      <c r="BA484" s="28"/>
      <c r="BB484" s="28"/>
      <c r="BC484" s="28"/>
      <c r="BD484" s="28"/>
      <c r="BE484" s="28"/>
    </row>
    <row r="485" spans="1:57" ht="14.25" customHeight="1" x14ac:dyDescent="0.2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</row>
    <row r="486" spans="1:57" ht="14.25" customHeight="1" x14ac:dyDescent="0.2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  <c r="AV486" s="28"/>
      <c r="AW486" s="28"/>
      <c r="AX486" s="28"/>
      <c r="AY486" s="28"/>
      <c r="AZ486" s="28"/>
      <c r="BA486" s="28"/>
      <c r="BB486" s="28"/>
      <c r="BC486" s="28"/>
      <c r="BD486" s="28"/>
      <c r="BE486" s="28"/>
    </row>
    <row r="487" spans="1:57" ht="14.25" customHeight="1" x14ac:dyDescent="0.2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  <c r="AV487" s="28"/>
      <c r="AW487" s="28"/>
      <c r="AX487" s="28"/>
      <c r="AY487" s="28"/>
      <c r="AZ487" s="28"/>
      <c r="BA487" s="28"/>
      <c r="BB487" s="28"/>
      <c r="BC487" s="28"/>
      <c r="BD487" s="28"/>
      <c r="BE487" s="28"/>
    </row>
    <row r="488" spans="1:57" ht="14.25" customHeight="1" x14ac:dyDescent="0.2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</row>
    <row r="489" spans="1:57" ht="14.25" customHeight="1" x14ac:dyDescent="0.2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  <c r="AV489" s="28"/>
      <c r="AW489" s="28"/>
      <c r="AX489" s="28"/>
      <c r="AY489" s="28"/>
      <c r="AZ489" s="28"/>
      <c r="BA489" s="28"/>
      <c r="BB489" s="28"/>
      <c r="BC489" s="28"/>
      <c r="BD489" s="28"/>
      <c r="BE489" s="28"/>
    </row>
    <row r="490" spans="1:57" ht="14.25" customHeight="1" x14ac:dyDescent="0.2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  <c r="AV490" s="28"/>
      <c r="AW490" s="28"/>
      <c r="AX490" s="28"/>
      <c r="AY490" s="28"/>
      <c r="AZ490" s="28"/>
      <c r="BA490" s="28"/>
      <c r="BB490" s="28"/>
      <c r="BC490" s="28"/>
      <c r="BD490" s="28"/>
      <c r="BE490" s="28"/>
    </row>
    <row r="491" spans="1:57" ht="14.25" customHeight="1" x14ac:dyDescent="0.2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</row>
    <row r="492" spans="1:57" ht="14.25" customHeight="1" x14ac:dyDescent="0.2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  <c r="AV492" s="28"/>
      <c r="AW492" s="28"/>
      <c r="AX492" s="28"/>
      <c r="AY492" s="28"/>
      <c r="AZ492" s="28"/>
      <c r="BA492" s="28"/>
      <c r="BB492" s="28"/>
      <c r="BC492" s="28"/>
      <c r="BD492" s="28"/>
      <c r="BE492" s="28"/>
    </row>
    <row r="493" spans="1:57" ht="14.25" customHeight="1" x14ac:dyDescent="0.2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  <c r="AV493" s="28"/>
      <c r="AW493" s="28"/>
      <c r="AX493" s="28"/>
      <c r="AY493" s="28"/>
      <c r="AZ493" s="28"/>
      <c r="BA493" s="28"/>
      <c r="BB493" s="28"/>
      <c r="BC493" s="28"/>
      <c r="BD493" s="28"/>
      <c r="BE493" s="28"/>
    </row>
    <row r="494" spans="1:57" ht="14.25" customHeight="1" x14ac:dyDescent="0.2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</row>
    <row r="495" spans="1:57" ht="14.25" customHeight="1" x14ac:dyDescent="0.2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  <c r="AV495" s="28"/>
      <c r="AW495" s="28"/>
      <c r="AX495" s="28"/>
      <c r="AY495" s="28"/>
      <c r="AZ495" s="28"/>
      <c r="BA495" s="28"/>
      <c r="BB495" s="28"/>
      <c r="BC495" s="28"/>
      <c r="BD495" s="28"/>
      <c r="BE495" s="28"/>
    </row>
    <row r="496" spans="1:57" ht="14.25" customHeight="1" x14ac:dyDescent="0.2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  <c r="AV496" s="28"/>
      <c r="AW496" s="28"/>
      <c r="AX496" s="28"/>
      <c r="AY496" s="28"/>
      <c r="AZ496" s="28"/>
      <c r="BA496" s="28"/>
      <c r="BB496" s="28"/>
      <c r="BC496" s="28"/>
      <c r="BD496" s="28"/>
      <c r="BE496" s="28"/>
    </row>
    <row r="497" spans="1:57" ht="14.25" customHeight="1" x14ac:dyDescent="0.2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</row>
    <row r="498" spans="1:57" ht="14.25" customHeight="1" x14ac:dyDescent="0.2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  <c r="AV498" s="28"/>
      <c r="AW498" s="28"/>
      <c r="AX498" s="28"/>
      <c r="AY498" s="28"/>
      <c r="AZ498" s="28"/>
      <c r="BA498" s="28"/>
      <c r="BB498" s="28"/>
      <c r="BC498" s="28"/>
      <c r="BD498" s="28"/>
      <c r="BE498" s="28"/>
    </row>
    <row r="499" spans="1:57" ht="14.25" customHeight="1" x14ac:dyDescent="0.2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  <c r="AV499" s="28"/>
      <c r="AW499" s="28"/>
      <c r="AX499" s="28"/>
      <c r="AY499" s="28"/>
      <c r="AZ499" s="28"/>
      <c r="BA499" s="28"/>
      <c r="BB499" s="28"/>
      <c r="BC499" s="28"/>
      <c r="BD499" s="28"/>
      <c r="BE499" s="28"/>
    </row>
    <row r="500" spans="1:57" ht="14.25" customHeight="1" x14ac:dyDescent="0.2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</row>
    <row r="501" spans="1:57" ht="14.25" customHeight="1" x14ac:dyDescent="0.2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  <c r="AV501" s="28"/>
      <c r="AW501" s="28"/>
      <c r="AX501" s="28"/>
      <c r="AY501" s="28"/>
      <c r="AZ501" s="28"/>
      <c r="BA501" s="28"/>
      <c r="BB501" s="28"/>
      <c r="BC501" s="28"/>
      <c r="BD501" s="28"/>
      <c r="BE501" s="28"/>
    </row>
    <row r="502" spans="1:57" ht="14.25" customHeight="1" x14ac:dyDescent="0.2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  <c r="AV502" s="28"/>
      <c r="AW502" s="28"/>
      <c r="AX502" s="28"/>
      <c r="AY502" s="28"/>
      <c r="AZ502" s="28"/>
      <c r="BA502" s="28"/>
      <c r="BB502" s="28"/>
      <c r="BC502" s="28"/>
      <c r="BD502" s="28"/>
      <c r="BE502" s="28"/>
    </row>
    <row r="503" spans="1:57" ht="14.25" customHeight="1" x14ac:dyDescent="0.2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</row>
    <row r="504" spans="1:57" ht="14.25" customHeight="1" x14ac:dyDescent="0.2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  <c r="AV504" s="28"/>
      <c r="AW504" s="28"/>
      <c r="AX504" s="28"/>
      <c r="AY504" s="28"/>
      <c r="AZ504" s="28"/>
      <c r="BA504" s="28"/>
      <c r="BB504" s="28"/>
      <c r="BC504" s="28"/>
      <c r="BD504" s="28"/>
      <c r="BE504" s="28"/>
    </row>
    <row r="505" spans="1:57" ht="14.25" customHeight="1" x14ac:dyDescent="0.2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</row>
    <row r="506" spans="1:57" ht="14.25" customHeight="1" x14ac:dyDescent="0.2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</row>
    <row r="507" spans="1:57" ht="14.25" customHeight="1" x14ac:dyDescent="0.2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  <c r="AV507" s="28"/>
      <c r="AW507" s="28"/>
      <c r="AX507" s="28"/>
      <c r="AY507" s="28"/>
      <c r="AZ507" s="28"/>
      <c r="BA507" s="28"/>
      <c r="BB507" s="28"/>
      <c r="BC507" s="28"/>
      <c r="BD507" s="28"/>
      <c r="BE507" s="28"/>
    </row>
    <row r="508" spans="1:57" ht="14.25" customHeight="1" x14ac:dyDescent="0.2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  <c r="AV508" s="28"/>
      <c r="AW508" s="28"/>
      <c r="AX508" s="28"/>
      <c r="AY508" s="28"/>
      <c r="AZ508" s="28"/>
      <c r="BA508" s="28"/>
      <c r="BB508" s="28"/>
      <c r="BC508" s="28"/>
      <c r="BD508" s="28"/>
      <c r="BE508" s="28"/>
    </row>
    <row r="509" spans="1:57" ht="14.25" customHeight="1" x14ac:dyDescent="0.2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</row>
    <row r="510" spans="1:57" ht="14.25" customHeight="1" x14ac:dyDescent="0.2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</row>
    <row r="511" spans="1:57" ht="14.25" customHeight="1" x14ac:dyDescent="0.2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</row>
    <row r="512" spans="1:57" ht="14.25" customHeight="1" x14ac:dyDescent="0.2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</row>
    <row r="513" spans="1:57" ht="14.25" customHeight="1" x14ac:dyDescent="0.2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  <c r="AV513" s="28"/>
      <c r="AW513" s="28"/>
      <c r="AX513" s="28"/>
      <c r="AY513" s="28"/>
      <c r="AZ513" s="28"/>
      <c r="BA513" s="28"/>
      <c r="BB513" s="28"/>
      <c r="BC513" s="28"/>
      <c r="BD513" s="28"/>
      <c r="BE513" s="28"/>
    </row>
    <row r="514" spans="1:57" ht="14.25" customHeight="1" x14ac:dyDescent="0.2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  <c r="AV514" s="28"/>
      <c r="AW514" s="28"/>
      <c r="AX514" s="28"/>
      <c r="AY514" s="28"/>
      <c r="AZ514" s="28"/>
      <c r="BA514" s="28"/>
      <c r="BB514" s="28"/>
      <c r="BC514" s="28"/>
      <c r="BD514" s="28"/>
      <c r="BE514" s="28"/>
    </row>
    <row r="515" spans="1:57" ht="14.25" customHeight="1" x14ac:dyDescent="0.2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</row>
    <row r="516" spans="1:57" ht="14.25" customHeight="1" x14ac:dyDescent="0.2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  <c r="AV516" s="28"/>
      <c r="AW516" s="28"/>
      <c r="AX516" s="28"/>
      <c r="AY516" s="28"/>
      <c r="AZ516" s="28"/>
      <c r="BA516" s="28"/>
      <c r="BB516" s="28"/>
      <c r="BC516" s="28"/>
      <c r="BD516" s="28"/>
      <c r="BE516" s="28"/>
    </row>
    <row r="517" spans="1:57" ht="14.25" customHeight="1" x14ac:dyDescent="0.2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  <c r="AV517" s="28"/>
      <c r="AW517" s="28"/>
      <c r="AX517" s="28"/>
      <c r="AY517" s="28"/>
      <c r="AZ517" s="28"/>
      <c r="BA517" s="28"/>
      <c r="BB517" s="28"/>
      <c r="BC517" s="28"/>
      <c r="BD517" s="28"/>
      <c r="BE517" s="28"/>
    </row>
    <row r="518" spans="1:57" ht="14.25" customHeight="1" x14ac:dyDescent="0.2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</row>
    <row r="519" spans="1:57" ht="14.25" customHeight="1" x14ac:dyDescent="0.2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  <c r="AV519" s="28"/>
      <c r="AW519" s="28"/>
      <c r="AX519" s="28"/>
      <c r="AY519" s="28"/>
      <c r="AZ519" s="28"/>
      <c r="BA519" s="28"/>
      <c r="BB519" s="28"/>
      <c r="BC519" s="28"/>
      <c r="BD519" s="28"/>
      <c r="BE519" s="28"/>
    </row>
    <row r="520" spans="1:57" ht="14.25" customHeight="1" x14ac:dyDescent="0.2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  <c r="AV520" s="28"/>
      <c r="AW520" s="28"/>
      <c r="AX520" s="28"/>
      <c r="AY520" s="28"/>
      <c r="AZ520" s="28"/>
      <c r="BA520" s="28"/>
      <c r="BB520" s="28"/>
      <c r="BC520" s="28"/>
      <c r="BD520" s="28"/>
      <c r="BE520" s="28"/>
    </row>
    <row r="521" spans="1:57" ht="14.25" customHeight="1" x14ac:dyDescent="0.2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</row>
    <row r="522" spans="1:57" ht="14.25" customHeight="1" x14ac:dyDescent="0.2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  <c r="AV522" s="28"/>
      <c r="AW522" s="28"/>
      <c r="AX522" s="28"/>
      <c r="AY522" s="28"/>
      <c r="AZ522" s="28"/>
      <c r="BA522" s="28"/>
      <c r="BB522" s="28"/>
      <c r="BC522" s="28"/>
      <c r="BD522" s="28"/>
      <c r="BE522" s="28"/>
    </row>
    <row r="523" spans="1:57" ht="14.25" customHeight="1" x14ac:dyDescent="0.2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  <c r="AV523" s="28"/>
      <c r="AW523" s="28"/>
      <c r="AX523" s="28"/>
      <c r="AY523" s="28"/>
      <c r="AZ523" s="28"/>
      <c r="BA523" s="28"/>
      <c r="BB523" s="28"/>
      <c r="BC523" s="28"/>
      <c r="BD523" s="28"/>
      <c r="BE523" s="28"/>
    </row>
    <row r="524" spans="1:57" ht="14.25" customHeight="1" x14ac:dyDescent="0.2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</row>
    <row r="525" spans="1:57" ht="14.25" customHeight="1" x14ac:dyDescent="0.2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  <c r="AV525" s="28"/>
      <c r="AW525" s="28"/>
      <c r="AX525" s="28"/>
      <c r="AY525" s="28"/>
      <c r="AZ525" s="28"/>
      <c r="BA525" s="28"/>
      <c r="BB525" s="28"/>
      <c r="BC525" s="28"/>
      <c r="BD525" s="28"/>
      <c r="BE525" s="28"/>
    </row>
    <row r="526" spans="1:57" ht="14.25" customHeight="1" x14ac:dyDescent="0.2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  <c r="AV526" s="28"/>
      <c r="AW526" s="28"/>
      <c r="AX526" s="28"/>
      <c r="AY526" s="28"/>
      <c r="AZ526" s="28"/>
      <c r="BA526" s="28"/>
      <c r="BB526" s="28"/>
      <c r="BC526" s="28"/>
      <c r="BD526" s="28"/>
      <c r="BE526" s="28"/>
    </row>
    <row r="527" spans="1:57" ht="14.25" customHeight="1" x14ac:dyDescent="0.2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</row>
    <row r="528" spans="1:57" ht="14.25" customHeight="1" x14ac:dyDescent="0.2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  <c r="AV528" s="28"/>
      <c r="AW528" s="28"/>
      <c r="AX528" s="28"/>
      <c r="AY528" s="28"/>
      <c r="AZ528" s="28"/>
      <c r="BA528" s="28"/>
      <c r="BB528" s="28"/>
      <c r="BC528" s="28"/>
      <c r="BD528" s="28"/>
      <c r="BE528" s="28"/>
    </row>
    <row r="529" spans="1:57" ht="14.25" customHeight="1" x14ac:dyDescent="0.2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  <c r="AV529" s="28"/>
      <c r="AW529" s="28"/>
      <c r="AX529" s="28"/>
      <c r="AY529" s="28"/>
      <c r="AZ529" s="28"/>
      <c r="BA529" s="28"/>
      <c r="BB529" s="28"/>
      <c r="BC529" s="28"/>
      <c r="BD529" s="28"/>
      <c r="BE529" s="28"/>
    </row>
    <row r="530" spans="1:57" ht="14.25" customHeight="1" x14ac:dyDescent="0.2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</row>
    <row r="531" spans="1:57" ht="14.25" customHeight="1" x14ac:dyDescent="0.2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  <c r="AV531" s="28"/>
      <c r="AW531" s="28"/>
      <c r="AX531" s="28"/>
      <c r="AY531" s="28"/>
      <c r="AZ531" s="28"/>
      <c r="BA531" s="28"/>
      <c r="BB531" s="28"/>
      <c r="BC531" s="28"/>
      <c r="BD531" s="28"/>
      <c r="BE531" s="28"/>
    </row>
    <row r="532" spans="1:57" ht="14.25" customHeight="1" x14ac:dyDescent="0.2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  <c r="AV532" s="28"/>
      <c r="AW532" s="28"/>
      <c r="AX532" s="28"/>
      <c r="AY532" s="28"/>
      <c r="AZ532" s="28"/>
      <c r="BA532" s="28"/>
      <c r="BB532" s="28"/>
      <c r="BC532" s="28"/>
      <c r="BD532" s="28"/>
      <c r="BE532" s="28"/>
    </row>
    <row r="533" spans="1:57" ht="14.25" customHeight="1" x14ac:dyDescent="0.2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</row>
    <row r="534" spans="1:57" ht="14.25" customHeight="1" x14ac:dyDescent="0.2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  <c r="AX534" s="28"/>
      <c r="AY534" s="28"/>
      <c r="AZ534" s="28"/>
      <c r="BA534" s="28"/>
      <c r="BB534" s="28"/>
      <c r="BC534" s="28"/>
      <c r="BD534" s="28"/>
      <c r="BE534" s="28"/>
    </row>
    <row r="535" spans="1:57" ht="14.25" customHeight="1" x14ac:dyDescent="0.2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  <c r="AX535" s="28"/>
      <c r="AY535" s="28"/>
      <c r="AZ535" s="28"/>
      <c r="BA535" s="28"/>
      <c r="BB535" s="28"/>
      <c r="BC535" s="28"/>
      <c r="BD535" s="28"/>
      <c r="BE535" s="28"/>
    </row>
    <row r="536" spans="1:57" ht="14.25" customHeight="1" x14ac:dyDescent="0.2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</row>
    <row r="537" spans="1:57" ht="14.25" customHeight="1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  <c r="AX537" s="28"/>
      <c r="AY537" s="28"/>
      <c r="AZ537" s="28"/>
      <c r="BA537" s="28"/>
      <c r="BB537" s="28"/>
      <c r="BC537" s="28"/>
      <c r="BD537" s="28"/>
      <c r="BE537" s="28"/>
    </row>
    <row r="538" spans="1:57" ht="14.25" customHeight="1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  <c r="AX538" s="28"/>
      <c r="AY538" s="28"/>
      <c r="AZ538" s="28"/>
      <c r="BA538" s="28"/>
      <c r="BB538" s="28"/>
      <c r="BC538" s="28"/>
      <c r="BD538" s="28"/>
      <c r="BE538" s="28"/>
    </row>
    <row r="539" spans="1:57" ht="14.25" customHeight="1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</row>
    <row r="540" spans="1:57" ht="14.25" customHeight="1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  <c r="AX540" s="28"/>
      <c r="AY540" s="28"/>
      <c r="AZ540" s="28"/>
      <c r="BA540" s="28"/>
      <c r="BB540" s="28"/>
      <c r="BC540" s="28"/>
      <c r="BD540" s="28"/>
      <c r="BE540" s="28"/>
    </row>
    <row r="541" spans="1:57" ht="14.25" customHeight="1" x14ac:dyDescent="0.2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</row>
    <row r="542" spans="1:57" ht="14.25" customHeight="1" x14ac:dyDescent="0.2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</row>
    <row r="543" spans="1:57" ht="14.25" customHeight="1" x14ac:dyDescent="0.2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</row>
    <row r="544" spans="1:57" ht="14.25" customHeight="1" x14ac:dyDescent="0.2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  <c r="AX544" s="28"/>
      <c r="AY544" s="28"/>
      <c r="AZ544" s="28"/>
      <c r="BA544" s="28"/>
      <c r="BB544" s="28"/>
      <c r="BC544" s="28"/>
      <c r="BD544" s="28"/>
      <c r="BE544" s="28"/>
    </row>
    <row r="545" spans="1:57" ht="14.25" customHeight="1" x14ac:dyDescent="0.2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</row>
    <row r="546" spans="1:57" ht="14.25" customHeight="1" x14ac:dyDescent="0.2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  <c r="AX546" s="28"/>
      <c r="AY546" s="28"/>
      <c r="AZ546" s="28"/>
      <c r="BA546" s="28"/>
      <c r="BB546" s="28"/>
      <c r="BC546" s="28"/>
      <c r="BD546" s="28"/>
      <c r="BE546" s="28"/>
    </row>
    <row r="547" spans="1:57" ht="14.25" customHeight="1" x14ac:dyDescent="0.2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  <c r="AX547" s="28"/>
      <c r="AY547" s="28"/>
      <c r="AZ547" s="28"/>
      <c r="BA547" s="28"/>
      <c r="BB547" s="28"/>
      <c r="BC547" s="28"/>
      <c r="BD547" s="28"/>
      <c r="BE547" s="28"/>
    </row>
    <row r="548" spans="1:57" ht="14.25" customHeight="1" x14ac:dyDescent="0.2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</row>
    <row r="549" spans="1:57" ht="14.25" customHeight="1" x14ac:dyDescent="0.2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  <c r="AX549" s="28"/>
      <c r="AY549" s="28"/>
      <c r="AZ549" s="28"/>
      <c r="BA549" s="28"/>
      <c r="BB549" s="28"/>
      <c r="BC549" s="28"/>
      <c r="BD549" s="28"/>
      <c r="BE549" s="28"/>
    </row>
    <row r="550" spans="1:57" ht="14.25" customHeight="1" x14ac:dyDescent="0.2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  <c r="AX550" s="28"/>
      <c r="AY550" s="28"/>
      <c r="AZ550" s="28"/>
      <c r="BA550" s="28"/>
      <c r="BB550" s="28"/>
      <c r="BC550" s="28"/>
      <c r="BD550" s="28"/>
      <c r="BE550" s="28"/>
    </row>
    <row r="551" spans="1:57" ht="14.25" customHeight="1" x14ac:dyDescent="0.2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</row>
    <row r="552" spans="1:57" ht="14.25" customHeight="1" x14ac:dyDescent="0.2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  <c r="AX552" s="28"/>
      <c r="AY552" s="28"/>
      <c r="AZ552" s="28"/>
      <c r="BA552" s="28"/>
      <c r="BB552" s="28"/>
      <c r="BC552" s="28"/>
      <c r="BD552" s="28"/>
      <c r="BE552" s="28"/>
    </row>
    <row r="553" spans="1:57" ht="14.25" customHeight="1" x14ac:dyDescent="0.2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  <c r="AX553" s="28"/>
      <c r="AY553" s="28"/>
      <c r="AZ553" s="28"/>
      <c r="BA553" s="28"/>
      <c r="BB553" s="28"/>
      <c r="BC553" s="28"/>
      <c r="BD553" s="28"/>
      <c r="BE553" s="28"/>
    </row>
    <row r="554" spans="1:57" ht="14.25" customHeight="1" x14ac:dyDescent="0.2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</row>
    <row r="555" spans="1:57" ht="14.25" customHeight="1" x14ac:dyDescent="0.2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  <c r="AX555" s="28"/>
      <c r="AY555" s="28"/>
      <c r="AZ555" s="28"/>
      <c r="BA555" s="28"/>
      <c r="BB555" s="28"/>
      <c r="BC555" s="28"/>
      <c r="BD555" s="28"/>
      <c r="BE555" s="28"/>
    </row>
    <row r="556" spans="1:57" ht="14.25" customHeight="1" x14ac:dyDescent="0.2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</row>
    <row r="557" spans="1:57" ht="14.25" customHeight="1" x14ac:dyDescent="0.2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</row>
    <row r="558" spans="1:57" ht="14.25" customHeight="1" x14ac:dyDescent="0.2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  <c r="AX558" s="28"/>
      <c r="AY558" s="28"/>
      <c r="AZ558" s="28"/>
      <c r="BA558" s="28"/>
      <c r="BB558" s="28"/>
      <c r="BC558" s="28"/>
      <c r="BD558" s="28"/>
      <c r="BE558" s="28"/>
    </row>
    <row r="559" spans="1:57" ht="14.25" customHeight="1" x14ac:dyDescent="0.2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  <c r="AX559" s="28"/>
      <c r="AY559" s="28"/>
      <c r="AZ559" s="28"/>
      <c r="BA559" s="28"/>
      <c r="BB559" s="28"/>
      <c r="BC559" s="28"/>
      <c r="BD559" s="28"/>
      <c r="BE559" s="28"/>
    </row>
    <row r="560" spans="1:57" ht="14.25" customHeight="1" x14ac:dyDescent="0.2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</row>
    <row r="561" spans="1:57" ht="14.25" customHeight="1" x14ac:dyDescent="0.2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  <c r="AX561" s="28"/>
      <c r="AY561" s="28"/>
      <c r="AZ561" s="28"/>
      <c r="BA561" s="28"/>
      <c r="BB561" s="28"/>
      <c r="BC561" s="28"/>
      <c r="BD561" s="28"/>
      <c r="BE561" s="28"/>
    </row>
    <row r="562" spans="1:57" ht="14.25" customHeight="1" x14ac:dyDescent="0.2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</row>
    <row r="563" spans="1:57" ht="14.25" customHeight="1" x14ac:dyDescent="0.2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</row>
    <row r="564" spans="1:57" ht="14.25" customHeight="1" x14ac:dyDescent="0.2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  <c r="AX564" s="28"/>
      <c r="AY564" s="28"/>
      <c r="AZ564" s="28"/>
      <c r="BA564" s="28"/>
      <c r="BB564" s="28"/>
      <c r="BC564" s="28"/>
      <c r="BD564" s="28"/>
      <c r="BE564" s="28"/>
    </row>
    <row r="565" spans="1:57" ht="14.25" customHeight="1" x14ac:dyDescent="0.2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  <c r="AX565" s="28"/>
      <c r="AY565" s="28"/>
      <c r="AZ565" s="28"/>
      <c r="BA565" s="28"/>
      <c r="BB565" s="28"/>
      <c r="BC565" s="28"/>
      <c r="BD565" s="28"/>
      <c r="BE565" s="28"/>
    </row>
    <row r="566" spans="1:57" ht="14.25" customHeight="1" x14ac:dyDescent="0.2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</row>
    <row r="567" spans="1:57" ht="14.25" customHeight="1" x14ac:dyDescent="0.2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  <c r="AX567" s="28"/>
      <c r="AY567" s="28"/>
      <c r="AZ567" s="28"/>
      <c r="BA567" s="28"/>
      <c r="BB567" s="28"/>
      <c r="BC567" s="28"/>
      <c r="BD567" s="28"/>
      <c r="BE567" s="28"/>
    </row>
    <row r="568" spans="1:57" ht="14.25" customHeight="1" x14ac:dyDescent="0.2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  <c r="AX568" s="28"/>
      <c r="AY568" s="28"/>
      <c r="AZ568" s="28"/>
      <c r="BA568" s="28"/>
      <c r="BB568" s="28"/>
      <c r="BC568" s="28"/>
      <c r="BD568" s="28"/>
      <c r="BE568" s="28"/>
    </row>
    <row r="569" spans="1:57" ht="14.25" customHeight="1" x14ac:dyDescent="0.2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</row>
    <row r="570" spans="1:57" ht="14.25" customHeight="1" x14ac:dyDescent="0.2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  <c r="AX570" s="28"/>
      <c r="AY570" s="28"/>
      <c r="AZ570" s="28"/>
      <c r="BA570" s="28"/>
      <c r="BB570" s="28"/>
      <c r="BC570" s="28"/>
      <c r="BD570" s="28"/>
      <c r="BE570" s="28"/>
    </row>
    <row r="571" spans="1:57" ht="14.25" customHeight="1" x14ac:dyDescent="0.2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  <c r="AX571" s="28"/>
      <c r="AY571" s="28"/>
      <c r="AZ571" s="28"/>
      <c r="BA571" s="28"/>
      <c r="BB571" s="28"/>
      <c r="BC571" s="28"/>
      <c r="BD571" s="28"/>
      <c r="BE571" s="28"/>
    </row>
    <row r="572" spans="1:57" ht="14.25" customHeight="1" x14ac:dyDescent="0.2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</row>
    <row r="573" spans="1:57" ht="14.25" customHeight="1" x14ac:dyDescent="0.2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</row>
    <row r="574" spans="1:57" ht="14.25" customHeight="1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</row>
    <row r="575" spans="1:57" ht="14.25" customHeight="1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</row>
    <row r="576" spans="1:57" ht="14.25" customHeight="1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  <c r="AX576" s="28"/>
      <c r="AY576" s="28"/>
      <c r="AZ576" s="28"/>
      <c r="BA576" s="28"/>
      <c r="BB576" s="28"/>
      <c r="BC576" s="28"/>
      <c r="BD576" s="28"/>
      <c r="BE576" s="28"/>
    </row>
    <row r="577" spans="1:57" ht="14.25" customHeight="1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  <c r="AX577" s="28"/>
      <c r="AY577" s="28"/>
      <c r="AZ577" s="28"/>
      <c r="BA577" s="28"/>
      <c r="BB577" s="28"/>
      <c r="BC577" s="28"/>
      <c r="BD577" s="28"/>
      <c r="BE577" s="28"/>
    </row>
    <row r="578" spans="1:57" ht="14.25" customHeight="1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</row>
    <row r="579" spans="1:57" ht="14.25" customHeight="1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  <c r="AX579" s="28"/>
      <c r="AY579" s="28"/>
      <c r="AZ579" s="28"/>
      <c r="BA579" s="28"/>
      <c r="BB579" s="28"/>
      <c r="BC579" s="28"/>
      <c r="BD579" s="28"/>
      <c r="BE579" s="28"/>
    </row>
    <row r="580" spans="1:57" ht="14.25" customHeight="1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  <c r="AX580" s="28"/>
      <c r="AY580" s="28"/>
      <c r="AZ580" s="28"/>
      <c r="BA580" s="28"/>
      <c r="BB580" s="28"/>
      <c r="BC580" s="28"/>
      <c r="BD580" s="28"/>
      <c r="BE580" s="28"/>
    </row>
    <row r="581" spans="1:57" ht="14.25" customHeight="1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</row>
    <row r="582" spans="1:57" ht="14.25" customHeight="1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  <c r="AX582" s="28"/>
      <c r="AY582" s="28"/>
      <c r="AZ582" s="28"/>
      <c r="BA582" s="28"/>
      <c r="BB582" s="28"/>
      <c r="BC582" s="28"/>
      <c r="BD582" s="28"/>
      <c r="BE582" s="28"/>
    </row>
    <row r="583" spans="1:57" ht="14.25" customHeight="1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  <c r="AX583" s="28"/>
      <c r="AY583" s="28"/>
      <c r="AZ583" s="28"/>
      <c r="BA583" s="28"/>
      <c r="BB583" s="28"/>
      <c r="BC583" s="28"/>
      <c r="BD583" s="28"/>
      <c r="BE583" s="28"/>
    </row>
    <row r="584" spans="1:57" ht="14.25" customHeight="1" x14ac:dyDescent="0.2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</row>
    <row r="585" spans="1:57" ht="14.25" customHeight="1" x14ac:dyDescent="0.2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  <c r="AX585" s="28"/>
      <c r="AY585" s="28"/>
      <c r="AZ585" s="28"/>
      <c r="BA585" s="28"/>
      <c r="BB585" s="28"/>
      <c r="BC585" s="28"/>
      <c r="BD585" s="28"/>
      <c r="BE585" s="28"/>
    </row>
    <row r="586" spans="1:57" ht="14.25" customHeight="1" x14ac:dyDescent="0.2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  <c r="AX586" s="28"/>
      <c r="AY586" s="28"/>
      <c r="AZ586" s="28"/>
      <c r="BA586" s="28"/>
      <c r="BB586" s="28"/>
      <c r="BC586" s="28"/>
      <c r="BD586" s="28"/>
      <c r="BE586" s="28"/>
    </row>
    <row r="587" spans="1:57" ht="14.25" customHeight="1" x14ac:dyDescent="0.2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</row>
    <row r="588" spans="1:57" ht="14.25" customHeight="1" x14ac:dyDescent="0.2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  <c r="AX588" s="28"/>
      <c r="AY588" s="28"/>
      <c r="AZ588" s="28"/>
      <c r="BA588" s="28"/>
      <c r="BB588" s="28"/>
      <c r="BC588" s="28"/>
      <c r="BD588" s="28"/>
      <c r="BE588" s="28"/>
    </row>
    <row r="589" spans="1:57" ht="14.25" customHeight="1" x14ac:dyDescent="0.2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  <c r="AX589" s="28"/>
      <c r="AY589" s="28"/>
      <c r="AZ589" s="28"/>
      <c r="BA589" s="28"/>
      <c r="BB589" s="28"/>
      <c r="BC589" s="28"/>
      <c r="BD589" s="28"/>
      <c r="BE589" s="28"/>
    </row>
    <row r="590" spans="1:57" ht="14.25" customHeight="1" x14ac:dyDescent="0.2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</row>
    <row r="591" spans="1:57" ht="14.25" customHeight="1" x14ac:dyDescent="0.2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  <c r="AX591" s="28"/>
      <c r="AY591" s="28"/>
      <c r="AZ591" s="28"/>
      <c r="BA591" s="28"/>
      <c r="BB591" s="28"/>
      <c r="BC591" s="28"/>
      <c r="BD591" s="28"/>
      <c r="BE591" s="28"/>
    </row>
    <row r="592" spans="1:57" ht="14.25" customHeight="1" x14ac:dyDescent="0.2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  <c r="AX592" s="28"/>
      <c r="AY592" s="28"/>
      <c r="AZ592" s="28"/>
      <c r="BA592" s="28"/>
      <c r="BB592" s="28"/>
      <c r="BC592" s="28"/>
      <c r="BD592" s="28"/>
      <c r="BE592" s="28"/>
    </row>
    <row r="593" spans="1:57" ht="14.25" customHeight="1" x14ac:dyDescent="0.2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</row>
    <row r="594" spans="1:57" ht="14.25" customHeight="1" x14ac:dyDescent="0.2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  <c r="AX594" s="28"/>
      <c r="AY594" s="28"/>
      <c r="AZ594" s="28"/>
      <c r="BA594" s="28"/>
      <c r="BB594" s="28"/>
      <c r="BC594" s="28"/>
      <c r="BD594" s="28"/>
      <c r="BE594" s="28"/>
    </row>
    <row r="595" spans="1:57" ht="14.25" customHeight="1" x14ac:dyDescent="0.2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  <c r="AX595" s="28"/>
      <c r="AY595" s="28"/>
      <c r="AZ595" s="28"/>
      <c r="BA595" s="28"/>
      <c r="BB595" s="28"/>
      <c r="BC595" s="28"/>
      <c r="BD595" s="28"/>
      <c r="BE595" s="28"/>
    </row>
    <row r="596" spans="1:57" ht="14.25" customHeight="1" x14ac:dyDescent="0.2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</row>
    <row r="597" spans="1:57" ht="14.25" customHeight="1" x14ac:dyDescent="0.2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  <c r="AX597" s="28"/>
      <c r="AY597" s="28"/>
      <c r="AZ597" s="28"/>
      <c r="BA597" s="28"/>
      <c r="BB597" s="28"/>
      <c r="BC597" s="28"/>
      <c r="BD597" s="28"/>
      <c r="BE597" s="28"/>
    </row>
    <row r="598" spans="1:57" ht="14.25" customHeight="1" x14ac:dyDescent="0.2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  <c r="AX598" s="28"/>
      <c r="AY598" s="28"/>
      <c r="AZ598" s="28"/>
      <c r="BA598" s="28"/>
      <c r="BB598" s="28"/>
      <c r="BC598" s="28"/>
      <c r="BD598" s="28"/>
      <c r="BE598" s="28"/>
    </row>
    <row r="599" spans="1:57" ht="14.25" customHeight="1" x14ac:dyDescent="0.2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</row>
    <row r="600" spans="1:57" ht="14.25" customHeight="1" x14ac:dyDescent="0.2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  <c r="AX600" s="28"/>
      <c r="AY600" s="28"/>
      <c r="AZ600" s="28"/>
      <c r="BA600" s="28"/>
      <c r="BB600" s="28"/>
      <c r="BC600" s="28"/>
      <c r="BD600" s="28"/>
      <c r="BE600" s="28"/>
    </row>
    <row r="601" spans="1:57" ht="14.25" customHeight="1" x14ac:dyDescent="0.2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  <c r="AX601" s="28"/>
      <c r="AY601" s="28"/>
      <c r="AZ601" s="28"/>
      <c r="BA601" s="28"/>
      <c r="BB601" s="28"/>
      <c r="BC601" s="28"/>
      <c r="BD601" s="28"/>
      <c r="BE601" s="28"/>
    </row>
    <row r="602" spans="1:57" ht="14.25" customHeight="1" x14ac:dyDescent="0.2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</row>
    <row r="603" spans="1:57" ht="14.25" customHeight="1" x14ac:dyDescent="0.2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  <c r="AX603" s="28"/>
      <c r="AY603" s="28"/>
      <c r="AZ603" s="28"/>
      <c r="BA603" s="28"/>
      <c r="BB603" s="28"/>
      <c r="BC603" s="28"/>
      <c r="BD603" s="28"/>
      <c r="BE603" s="28"/>
    </row>
    <row r="604" spans="1:57" ht="14.25" customHeight="1" x14ac:dyDescent="0.2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  <c r="AX604" s="28"/>
      <c r="AY604" s="28"/>
      <c r="AZ604" s="28"/>
      <c r="BA604" s="28"/>
      <c r="BB604" s="28"/>
      <c r="BC604" s="28"/>
      <c r="BD604" s="28"/>
      <c r="BE604" s="28"/>
    </row>
    <row r="605" spans="1:57" ht="14.25" customHeight="1" x14ac:dyDescent="0.2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</row>
    <row r="606" spans="1:57" ht="14.25" customHeight="1" x14ac:dyDescent="0.2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</row>
    <row r="607" spans="1:57" ht="14.25" customHeight="1" x14ac:dyDescent="0.2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</row>
    <row r="608" spans="1:57" ht="14.25" customHeight="1" x14ac:dyDescent="0.2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</row>
    <row r="609" spans="1:57" ht="14.25" customHeight="1" x14ac:dyDescent="0.2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  <c r="AX609" s="28"/>
      <c r="AY609" s="28"/>
      <c r="AZ609" s="28"/>
      <c r="BA609" s="28"/>
      <c r="BB609" s="28"/>
      <c r="BC609" s="28"/>
      <c r="BD609" s="28"/>
      <c r="BE609" s="28"/>
    </row>
    <row r="610" spans="1:57" ht="14.25" customHeight="1" x14ac:dyDescent="0.2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  <c r="AX610" s="28"/>
      <c r="AY610" s="28"/>
      <c r="AZ610" s="28"/>
      <c r="BA610" s="28"/>
      <c r="BB610" s="28"/>
      <c r="BC610" s="28"/>
      <c r="BD610" s="28"/>
      <c r="BE610" s="28"/>
    </row>
    <row r="611" spans="1:57" ht="14.25" customHeight="1" x14ac:dyDescent="0.2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</row>
    <row r="612" spans="1:57" ht="14.25" customHeight="1" x14ac:dyDescent="0.2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  <c r="AX612" s="28"/>
      <c r="AY612" s="28"/>
      <c r="AZ612" s="28"/>
      <c r="BA612" s="28"/>
      <c r="BB612" s="28"/>
      <c r="BC612" s="28"/>
      <c r="BD612" s="28"/>
      <c r="BE612" s="28"/>
    </row>
    <row r="613" spans="1:57" ht="14.25" customHeight="1" x14ac:dyDescent="0.2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  <c r="AX613" s="28"/>
      <c r="AY613" s="28"/>
      <c r="AZ613" s="28"/>
      <c r="BA613" s="28"/>
      <c r="BB613" s="28"/>
      <c r="BC613" s="28"/>
      <c r="BD613" s="28"/>
      <c r="BE613" s="28"/>
    </row>
    <row r="614" spans="1:57" ht="14.25" customHeight="1" x14ac:dyDescent="0.2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</row>
    <row r="615" spans="1:57" ht="14.25" customHeight="1" x14ac:dyDescent="0.2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  <c r="AV615" s="28"/>
      <c r="AW615" s="28"/>
      <c r="AX615" s="28"/>
      <c r="AY615" s="28"/>
      <c r="AZ615" s="28"/>
      <c r="BA615" s="28"/>
      <c r="BB615" s="28"/>
      <c r="BC615" s="28"/>
      <c r="BD615" s="28"/>
      <c r="BE615" s="28"/>
    </row>
    <row r="616" spans="1:57" ht="14.25" customHeight="1" x14ac:dyDescent="0.2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  <c r="AW616" s="28"/>
      <c r="AX616" s="28"/>
      <c r="AY616" s="28"/>
      <c r="AZ616" s="28"/>
      <c r="BA616" s="28"/>
      <c r="BB616" s="28"/>
      <c r="BC616" s="28"/>
      <c r="BD616" s="28"/>
      <c r="BE616" s="28"/>
    </row>
    <row r="617" spans="1:57" ht="14.25" customHeight="1" x14ac:dyDescent="0.2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</row>
    <row r="618" spans="1:57" ht="14.25" customHeight="1" x14ac:dyDescent="0.2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  <c r="AW618" s="28"/>
      <c r="AX618" s="28"/>
      <c r="AY618" s="28"/>
      <c r="AZ618" s="28"/>
      <c r="BA618" s="28"/>
      <c r="BB618" s="28"/>
      <c r="BC618" s="28"/>
      <c r="BD618" s="28"/>
      <c r="BE618" s="28"/>
    </row>
    <row r="619" spans="1:57" ht="14.25" customHeight="1" x14ac:dyDescent="0.2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  <c r="AV619" s="28"/>
      <c r="AW619" s="28"/>
      <c r="AX619" s="28"/>
      <c r="AY619" s="28"/>
      <c r="AZ619" s="28"/>
      <c r="BA619" s="28"/>
      <c r="BB619" s="28"/>
      <c r="BC619" s="28"/>
      <c r="BD619" s="28"/>
      <c r="BE619" s="28"/>
    </row>
    <row r="620" spans="1:57" ht="14.25" customHeight="1" x14ac:dyDescent="0.2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</row>
    <row r="621" spans="1:57" ht="14.25" customHeight="1" x14ac:dyDescent="0.2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  <c r="AV621" s="28"/>
      <c r="AW621" s="28"/>
      <c r="AX621" s="28"/>
      <c r="AY621" s="28"/>
      <c r="AZ621" s="28"/>
      <c r="BA621" s="28"/>
      <c r="BB621" s="28"/>
      <c r="BC621" s="28"/>
      <c r="BD621" s="28"/>
      <c r="BE621" s="28"/>
    </row>
    <row r="622" spans="1:57" ht="14.25" customHeight="1" x14ac:dyDescent="0.2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  <c r="AW622" s="28"/>
      <c r="AX622" s="28"/>
      <c r="AY622" s="28"/>
      <c r="AZ622" s="28"/>
      <c r="BA622" s="28"/>
      <c r="BB622" s="28"/>
      <c r="BC622" s="28"/>
      <c r="BD622" s="28"/>
      <c r="BE622" s="28"/>
    </row>
    <row r="623" spans="1:57" ht="14.25" customHeight="1" x14ac:dyDescent="0.2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</row>
    <row r="624" spans="1:57" ht="14.25" customHeight="1" x14ac:dyDescent="0.2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  <c r="AW624" s="28"/>
      <c r="AX624" s="28"/>
      <c r="AY624" s="28"/>
      <c r="AZ624" s="28"/>
      <c r="BA624" s="28"/>
      <c r="BB624" s="28"/>
      <c r="BC624" s="28"/>
      <c r="BD624" s="28"/>
      <c r="BE624" s="28"/>
    </row>
    <row r="625" spans="1:57" ht="14.25" customHeight="1" x14ac:dyDescent="0.2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  <c r="AV625" s="28"/>
      <c r="AW625" s="28"/>
      <c r="AX625" s="28"/>
      <c r="AY625" s="28"/>
      <c r="AZ625" s="28"/>
      <c r="BA625" s="28"/>
      <c r="BB625" s="28"/>
      <c r="BC625" s="28"/>
      <c r="BD625" s="28"/>
      <c r="BE625" s="28"/>
    </row>
    <row r="626" spans="1:57" ht="14.25" customHeight="1" x14ac:dyDescent="0.2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</row>
    <row r="627" spans="1:57" ht="14.25" customHeight="1" x14ac:dyDescent="0.2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  <c r="AV627" s="28"/>
      <c r="AW627" s="28"/>
      <c r="AX627" s="28"/>
      <c r="AY627" s="28"/>
      <c r="AZ627" s="28"/>
      <c r="BA627" s="28"/>
      <c r="BB627" s="28"/>
      <c r="BC627" s="28"/>
      <c r="BD627" s="28"/>
      <c r="BE627" s="28"/>
    </row>
    <row r="628" spans="1:57" ht="14.25" customHeight="1" x14ac:dyDescent="0.2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  <c r="AV628" s="28"/>
      <c r="AW628" s="28"/>
      <c r="AX628" s="28"/>
      <c r="AY628" s="28"/>
      <c r="AZ628" s="28"/>
      <c r="BA628" s="28"/>
      <c r="BB628" s="28"/>
      <c r="BC628" s="28"/>
      <c r="BD628" s="28"/>
      <c r="BE628" s="28"/>
    </row>
    <row r="629" spans="1:57" ht="14.25" customHeight="1" x14ac:dyDescent="0.2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  <c r="AV629" s="28"/>
      <c r="AW629" s="28"/>
      <c r="AX629" s="28"/>
      <c r="AY629" s="28"/>
      <c r="AZ629" s="28"/>
      <c r="BA629" s="28"/>
      <c r="BB629" s="28"/>
      <c r="BC629" s="28"/>
      <c r="BD629" s="28"/>
      <c r="BE629" s="28"/>
    </row>
    <row r="630" spans="1:57" ht="14.25" customHeight="1" x14ac:dyDescent="0.2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  <c r="AV630" s="28"/>
      <c r="AW630" s="28"/>
      <c r="AX630" s="28"/>
      <c r="AY630" s="28"/>
      <c r="AZ630" s="28"/>
      <c r="BA630" s="28"/>
      <c r="BB630" s="28"/>
      <c r="BC630" s="28"/>
      <c r="BD630" s="28"/>
      <c r="BE630" s="28"/>
    </row>
    <row r="631" spans="1:57" ht="14.25" customHeight="1" x14ac:dyDescent="0.2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  <c r="AV631" s="28"/>
      <c r="AW631" s="28"/>
      <c r="AX631" s="28"/>
      <c r="AY631" s="28"/>
      <c r="AZ631" s="28"/>
      <c r="BA631" s="28"/>
      <c r="BB631" s="28"/>
      <c r="BC631" s="28"/>
      <c r="BD631" s="28"/>
      <c r="BE631" s="28"/>
    </row>
    <row r="632" spans="1:57" ht="14.25" customHeight="1" x14ac:dyDescent="0.2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  <c r="AV632" s="28"/>
      <c r="AW632" s="28"/>
      <c r="AX632" s="28"/>
      <c r="AY632" s="28"/>
      <c r="AZ632" s="28"/>
      <c r="BA632" s="28"/>
      <c r="BB632" s="28"/>
      <c r="BC632" s="28"/>
      <c r="BD632" s="28"/>
      <c r="BE632" s="28"/>
    </row>
    <row r="633" spans="1:57" ht="14.25" customHeight="1" x14ac:dyDescent="0.2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  <c r="AV633" s="28"/>
      <c r="AW633" s="28"/>
      <c r="AX633" s="28"/>
      <c r="AY633" s="28"/>
      <c r="AZ633" s="28"/>
      <c r="BA633" s="28"/>
      <c r="BB633" s="28"/>
      <c r="BC633" s="28"/>
      <c r="BD633" s="28"/>
      <c r="BE633" s="28"/>
    </row>
    <row r="634" spans="1:57" ht="14.25" customHeight="1" x14ac:dyDescent="0.2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  <c r="AV634" s="28"/>
      <c r="AW634" s="28"/>
      <c r="AX634" s="28"/>
      <c r="AY634" s="28"/>
      <c r="AZ634" s="28"/>
      <c r="BA634" s="28"/>
      <c r="BB634" s="28"/>
      <c r="BC634" s="28"/>
      <c r="BD634" s="28"/>
      <c r="BE634" s="28"/>
    </row>
    <row r="635" spans="1:57" ht="14.25" customHeight="1" x14ac:dyDescent="0.2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  <c r="AV635" s="28"/>
      <c r="AW635" s="28"/>
      <c r="AX635" s="28"/>
      <c r="AY635" s="28"/>
      <c r="AZ635" s="28"/>
      <c r="BA635" s="28"/>
      <c r="BB635" s="28"/>
      <c r="BC635" s="28"/>
      <c r="BD635" s="28"/>
      <c r="BE635" s="28"/>
    </row>
    <row r="636" spans="1:57" ht="14.25" customHeight="1" x14ac:dyDescent="0.2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  <c r="AV636" s="28"/>
      <c r="AW636" s="28"/>
      <c r="AX636" s="28"/>
      <c r="AY636" s="28"/>
      <c r="AZ636" s="28"/>
      <c r="BA636" s="28"/>
      <c r="BB636" s="28"/>
      <c r="BC636" s="28"/>
      <c r="BD636" s="28"/>
      <c r="BE636" s="28"/>
    </row>
    <row r="637" spans="1:57" ht="14.25" customHeight="1" x14ac:dyDescent="0.2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</row>
    <row r="638" spans="1:57" ht="14.25" customHeight="1" x14ac:dyDescent="0.2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</row>
    <row r="639" spans="1:57" ht="14.25" customHeight="1" x14ac:dyDescent="0.2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</row>
    <row r="640" spans="1:57" ht="14.25" customHeight="1" x14ac:dyDescent="0.2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  <c r="AV640" s="28"/>
      <c r="AW640" s="28"/>
      <c r="AX640" s="28"/>
      <c r="AY640" s="28"/>
      <c r="AZ640" s="28"/>
      <c r="BA640" s="28"/>
      <c r="BB640" s="28"/>
      <c r="BC640" s="28"/>
      <c r="BD640" s="28"/>
      <c r="BE640" s="28"/>
    </row>
    <row r="641" spans="1:57" ht="14.25" customHeight="1" x14ac:dyDescent="0.2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  <c r="AV641" s="28"/>
      <c r="AW641" s="28"/>
      <c r="AX641" s="28"/>
      <c r="AY641" s="28"/>
      <c r="AZ641" s="28"/>
      <c r="BA641" s="28"/>
      <c r="BB641" s="28"/>
      <c r="BC641" s="28"/>
      <c r="BD641" s="28"/>
      <c r="BE641" s="28"/>
    </row>
    <row r="642" spans="1:57" ht="14.25" customHeight="1" x14ac:dyDescent="0.2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  <c r="AV642" s="28"/>
      <c r="AW642" s="28"/>
      <c r="AX642" s="28"/>
      <c r="AY642" s="28"/>
      <c r="AZ642" s="28"/>
      <c r="BA642" s="28"/>
      <c r="BB642" s="28"/>
      <c r="BC642" s="28"/>
      <c r="BD642" s="28"/>
      <c r="BE642" s="28"/>
    </row>
    <row r="643" spans="1:57" ht="14.25" customHeight="1" x14ac:dyDescent="0.2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  <c r="AV643" s="28"/>
      <c r="AW643" s="28"/>
      <c r="AX643" s="28"/>
      <c r="AY643" s="28"/>
      <c r="AZ643" s="28"/>
      <c r="BA643" s="28"/>
      <c r="BB643" s="28"/>
      <c r="BC643" s="28"/>
      <c r="BD643" s="28"/>
      <c r="BE643" s="28"/>
    </row>
    <row r="644" spans="1:57" ht="14.25" customHeight="1" x14ac:dyDescent="0.2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  <c r="AV644" s="28"/>
      <c r="AW644" s="28"/>
      <c r="AX644" s="28"/>
      <c r="AY644" s="28"/>
      <c r="AZ644" s="28"/>
      <c r="BA644" s="28"/>
      <c r="BB644" s="28"/>
      <c r="BC644" s="28"/>
      <c r="BD644" s="28"/>
      <c r="BE644" s="28"/>
    </row>
    <row r="645" spans="1:57" ht="14.25" customHeight="1" x14ac:dyDescent="0.2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  <c r="AV645" s="28"/>
      <c r="AW645" s="28"/>
      <c r="AX645" s="28"/>
      <c r="AY645" s="28"/>
      <c r="AZ645" s="28"/>
      <c r="BA645" s="28"/>
      <c r="BB645" s="28"/>
      <c r="BC645" s="28"/>
      <c r="BD645" s="28"/>
      <c r="BE645" s="28"/>
    </row>
    <row r="646" spans="1:57" ht="14.25" customHeight="1" x14ac:dyDescent="0.2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  <c r="AV646" s="28"/>
      <c r="AW646" s="28"/>
      <c r="AX646" s="28"/>
      <c r="AY646" s="28"/>
      <c r="AZ646" s="28"/>
      <c r="BA646" s="28"/>
      <c r="BB646" s="28"/>
      <c r="BC646" s="28"/>
      <c r="BD646" s="28"/>
      <c r="BE646" s="28"/>
    </row>
    <row r="647" spans="1:57" ht="14.25" customHeight="1" x14ac:dyDescent="0.2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  <c r="AV647" s="28"/>
      <c r="AW647" s="28"/>
      <c r="AX647" s="28"/>
      <c r="AY647" s="28"/>
      <c r="AZ647" s="28"/>
      <c r="BA647" s="28"/>
      <c r="BB647" s="28"/>
      <c r="BC647" s="28"/>
      <c r="BD647" s="28"/>
      <c r="BE647" s="28"/>
    </row>
    <row r="648" spans="1:57" ht="14.25" customHeight="1" x14ac:dyDescent="0.2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  <c r="AV648" s="28"/>
      <c r="AW648" s="28"/>
      <c r="AX648" s="28"/>
      <c r="AY648" s="28"/>
      <c r="AZ648" s="28"/>
      <c r="BA648" s="28"/>
      <c r="BB648" s="28"/>
      <c r="BC648" s="28"/>
      <c r="BD648" s="28"/>
      <c r="BE648" s="28"/>
    </row>
    <row r="649" spans="1:57" ht="14.25" customHeight="1" x14ac:dyDescent="0.2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  <c r="AV649" s="28"/>
      <c r="AW649" s="28"/>
      <c r="AX649" s="28"/>
      <c r="AY649" s="28"/>
      <c r="AZ649" s="28"/>
      <c r="BA649" s="28"/>
      <c r="BB649" s="28"/>
      <c r="BC649" s="28"/>
      <c r="BD649" s="28"/>
      <c r="BE649" s="28"/>
    </row>
    <row r="650" spans="1:57" ht="14.25" customHeight="1" x14ac:dyDescent="0.2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  <c r="AV650" s="28"/>
      <c r="AW650" s="28"/>
      <c r="AX650" s="28"/>
      <c r="AY650" s="28"/>
      <c r="AZ650" s="28"/>
      <c r="BA650" s="28"/>
      <c r="BB650" s="28"/>
      <c r="BC650" s="28"/>
      <c r="BD650" s="28"/>
      <c r="BE650" s="28"/>
    </row>
    <row r="651" spans="1:57" ht="14.25" customHeight="1" x14ac:dyDescent="0.2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  <c r="AV651" s="28"/>
      <c r="AW651" s="28"/>
      <c r="AX651" s="28"/>
      <c r="AY651" s="28"/>
      <c r="AZ651" s="28"/>
      <c r="BA651" s="28"/>
      <c r="BB651" s="28"/>
      <c r="BC651" s="28"/>
      <c r="BD651" s="28"/>
      <c r="BE651" s="28"/>
    </row>
    <row r="652" spans="1:57" ht="14.25" customHeight="1" x14ac:dyDescent="0.2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  <c r="AV652" s="28"/>
      <c r="AW652" s="28"/>
      <c r="AX652" s="28"/>
      <c r="AY652" s="28"/>
      <c r="AZ652" s="28"/>
      <c r="BA652" s="28"/>
      <c r="BB652" s="28"/>
      <c r="BC652" s="28"/>
      <c r="BD652" s="28"/>
      <c r="BE652" s="28"/>
    </row>
    <row r="653" spans="1:57" ht="14.25" customHeight="1" x14ac:dyDescent="0.2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  <c r="AV653" s="28"/>
      <c r="AW653" s="28"/>
      <c r="AX653" s="28"/>
      <c r="AY653" s="28"/>
      <c r="AZ653" s="28"/>
      <c r="BA653" s="28"/>
      <c r="BB653" s="28"/>
      <c r="BC653" s="28"/>
      <c r="BD653" s="28"/>
      <c r="BE653" s="28"/>
    </row>
    <row r="654" spans="1:57" ht="14.25" customHeight="1" x14ac:dyDescent="0.2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</row>
    <row r="655" spans="1:57" ht="14.25" customHeight="1" x14ac:dyDescent="0.2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  <c r="AV655" s="28"/>
      <c r="AW655" s="28"/>
      <c r="AX655" s="28"/>
      <c r="AY655" s="28"/>
      <c r="AZ655" s="28"/>
      <c r="BA655" s="28"/>
      <c r="BB655" s="28"/>
      <c r="BC655" s="28"/>
      <c r="BD655" s="28"/>
      <c r="BE655" s="28"/>
    </row>
    <row r="656" spans="1:57" ht="14.25" customHeight="1" x14ac:dyDescent="0.2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  <c r="AV656" s="28"/>
      <c r="AW656" s="28"/>
      <c r="AX656" s="28"/>
      <c r="AY656" s="28"/>
      <c r="AZ656" s="28"/>
      <c r="BA656" s="28"/>
      <c r="BB656" s="28"/>
      <c r="BC656" s="28"/>
      <c r="BD656" s="28"/>
      <c r="BE656" s="28"/>
    </row>
    <row r="657" spans="1:57" ht="14.25" customHeight="1" x14ac:dyDescent="0.2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  <c r="AV657" s="28"/>
      <c r="AW657" s="28"/>
      <c r="AX657" s="28"/>
      <c r="AY657" s="28"/>
      <c r="AZ657" s="28"/>
      <c r="BA657" s="28"/>
      <c r="BB657" s="28"/>
      <c r="BC657" s="28"/>
      <c r="BD657" s="28"/>
      <c r="BE657" s="28"/>
    </row>
    <row r="658" spans="1:57" ht="14.25" customHeight="1" x14ac:dyDescent="0.2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  <c r="AV658" s="28"/>
      <c r="AW658" s="28"/>
      <c r="AX658" s="28"/>
      <c r="AY658" s="28"/>
      <c r="AZ658" s="28"/>
      <c r="BA658" s="28"/>
      <c r="BB658" s="28"/>
      <c r="BC658" s="28"/>
      <c r="BD658" s="28"/>
      <c r="BE658" s="28"/>
    </row>
    <row r="659" spans="1:57" ht="14.25" customHeight="1" x14ac:dyDescent="0.2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  <c r="AV659" s="28"/>
      <c r="AW659" s="28"/>
      <c r="AX659" s="28"/>
      <c r="AY659" s="28"/>
      <c r="AZ659" s="28"/>
      <c r="BA659" s="28"/>
      <c r="BB659" s="28"/>
      <c r="BC659" s="28"/>
      <c r="BD659" s="28"/>
      <c r="BE659" s="28"/>
    </row>
    <row r="660" spans="1:57" ht="14.25" customHeight="1" x14ac:dyDescent="0.2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  <c r="AV660" s="28"/>
      <c r="AW660" s="28"/>
      <c r="AX660" s="28"/>
      <c r="AY660" s="28"/>
      <c r="AZ660" s="28"/>
      <c r="BA660" s="28"/>
      <c r="BB660" s="28"/>
      <c r="BC660" s="28"/>
      <c r="BD660" s="28"/>
      <c r="BE660" s="28"/>
    </row>
    <row r="661" spans="1:57" ht="14.25" customHeight="1" x14ac:dyDescent="0.2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  <c r="AV661" s="28"/>
      <c r="AW661" s="28"/>
      <c r="AX661" s="28"/>
      <c r="AY661" s="28"/>
      <c r="AZ661" s="28"/>
      <c r="BA661" s="28"/>
      <c r="BB661" s="28"/>
      <c r="BC661" s="28"/>
      <c r="BD661" s="28"/>
      <c r="BE661" s="28"/>
    </row>
    <row r="662" spans="1:57" ht="14.25" customHeight="1" x14ac:dyDescent="0.2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  <c r="AV662" s="28"/>
      <c r="AW662" s="28"/>
      <c r="AX662" s="28"/>
      <c r="AY662" s="28"/>
      <c r="AZ662" s="28"/>
      <c r="BA662" s="28"/>
      <c r="BB662" s="28"/>
      <c r="BC662" s="28"/>
      <c r="BD662" s="28"/>
      <c r="BE662" s="28"/>
    </row>
    <row r="663" spans="1:57" ht="14.25" customHeight="1" x14ac:dyDescent="0.2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  <c r="AV663" s="28"/>
      <c r="AW663" s="28"/>
      <c r="AX663" s="28"/>
      <c r="AY663" s="28"/>
      <c r="AZ663" s="28"/>
      <c r="BA663" s="28"/>
      <c r="BB663" s="28"/>
      <c r="BC663" s="28"/>
      <c r="BD663" s="28"/>
      <c r="BE663" s="28"/>
    </row>
    <row r="664" spans="1:57" ht="14.25" customHeight="1" x14ac:dyDescent="0.2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  <c r="AV664" s="28"/>
      <c r="AW664" s="28"/>
      <c r="AX664" s="28"/>
      <c r="AY664" s="28"/>
      <c r="AZ664" s="28"/>
      <c r="BA664" s="28"/>
      <c r="BB664" s="28"/>
      <c r="BC664" s="28"/>
      <c r="BD664" s="28"/>
      <c r="BE664" s="28"/>
    </row>
    <row r="665" spans="1:57" ht="14.25" customHeight="1" x14ac:dyDescent="0.2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  <c r="AV665" s="28"/>
      <c r="AW665" s="28"/>
      <c r="AX665" s="28"/>
      <c r="AY665" s="28"/>
      <c r="AZ665" s="28"/>
      <c r="BA665" s="28"/>
      <c r="BB665" s="28"/>
      <c r="BC665" s="28"/>
      <c r="BD665" s="28"/>
      <c r="BE665" s="28"/>
    </row>
    <row r="666" spans="1:57" ht="14.25" customHeight="1" x14ac:dyDescent="0.2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  <c r="AV666" s="28"/>
      <c r="AW666" s="28"/>
      <c r="AX666" s="28"/>
      <c r="AY666" s="28"/>
      <c r="AZ666" s="28"/>
      <c r="BA666" s="28"/>
      <c r="BB666" s="28"/>
      <c r="BC666" s="28"/>
      <c r="BD666" s="28"/>
      <c r="BE666" s="28"/>
    </row>
    <row r="667" spans="1:57" ht="14.25" customHeight="1" x14ac:dyDescent="0.2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  <c r="AV667" s="28"/>
      <c r="AW667" s="28"/>
      <c r="AX667" s="28"/>
      <c r="AY667" s="28"/>
      <c r="AZ667" s="28"/>
      <c r="BA667" s="28"/>
      <c r="BB667" s="28"/>
      <c r="BC667" s="28"/>
      <c r="BD667" s="28"/>
      <c r="BE667" s="28"/>
    </row>
    <row r="668" spans="1:57" ht="14.25" customHeight="1" x14ac:dyDescent="0.2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  <c r="AV668" s="28"/>
      <c r="AW668" s="28"/>
      <c r="AX668" s="28"/>
      <c r="AY668" s="28"/>
      <c r="AZ668" s="28"/>
      <c r="BA668" s="28"/>
      <c r="BB668" s="28"/>
      <c r="BC668" s="28"/>
      <c r="BD668" s="28"/>
      <c r="BE668" s="28"/>
    </row>
    <row r="669" spans="1:57" ht="14.25" customHeight="1" x14ac:dyDescent="0.2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</row>
    <row r="670" spans="1:57" ht="14.25" customHeight="1" x14ac:dyDescent="0.2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</row>
    <row r="671" spans="1:57" ht="14.25" customHeight="1" x14ac:dyDescent="0.2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</row>
    <row r="672" spans="1:57" ht="14.25" customHeight="1" x14ac:dyDescent="0.2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  <c r="AV672" s="28"/>
      <c r="AW672" s="28"/>
      <c r="AX672" s="28"/>
      <c r="AY672" s="28"/>
      <c r="AZ672" s="28"/>
      <c r="BA672" s="28"/>
      <c r="BB672" s="28"/>
      <c r="BC672" s="28"/>
      <c r="BD672" s="28"/>
      <c r="BE672" s="28"/>
    </row>
    <row r="673" spans="1:57" ht="14.25" customHeight="1" x14ac:dyDescent="0.2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  <c r="AV673" s="28"/>
      <c r="AW673" s="28"/>
      <c r="AX673" s="28"/>
      <c r="AY673" s="28"/>
      <c r="AZ673" s="28"/>
      <c r="BA673" s="28"/>
      <c r="BB673" s="28"/>
      <c r="BC673" s="28"/>
      <c r="BD673" s="28"/>
      <c r="BE673" s="28"/>
    </row>
    <row r="674" spans="1:57" ht="14.25" customHeight="1" x14ac:dyDescent="0.2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  <c r="AV674" s="28"/>
      <c r="AW674" s="28"/>
      <c r="AX674" s="28"/>
      <c r="AY674" s="28"/>
      <c r="AZ674" s="28"/>
      <c r="BA674" s="28"/>
      <c r="BB674" s="28"/>
      <c r="BC674" s="28"/>
      <c r="BD674" s="28"/>
      <c r="BE674" s="28"/>
    </row>
    <row r="675" spans="1:57" ht="14.25" customHeight="1" x14ac:dyDescent="0.2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  <c r="AV675" s="28"/>
      <c r="AW675" s="28"/>
      <c r="AX675" s="28"/>
      <c r="AY675" s="28"/>
      <c r="AZ675" s="28"/>
      <c r="BA675" s="28"/>
      <c r="BB675" s="28"/>
      <c r="BC675" s="28"/>
      <c r="BD675" s="28"/>
      <c r="BE675" s="28"/>
    </row>
    <row r="676" spans="1:57" ht="14.25" customHeight="1" x14ac:dyDescent="0.2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  <c r="AV676" s="28"/>
      <c r="AW676" s="28"/>
      <c r="AX676" s="28"/>
      <c r="AY676" s="28"/>
      <c r="AZ676" s="28"/>
      <c r="BA676" s="28"/>
      <c r="BB676" s="28"/>
      <c r="BC676" s="28"/>
      <c r="BD676" s="28"/>
      <c r="BE676" s="28"/>
    </row>
    <row r="677" spans="1:57" ht="14.25" customHeight="1" x14ac:dyDescent="0.2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  <c r="AV677" s="28"/>
      <c r="AW677" s="28"/>
      <c r="AX677" s="28"/>
      <c r="AY677" s="28"/>
      <c r="AZ677" s="28"/>
      <c r="BA677" s="28"/>
      <c r="BB677" s="28"/>
      <c r="BC677" s="28"/>
      <c r="BD677" s="28"/>
      <c r="BE677" s="28"/>
    </row>
    <row r="678" spans="1:57" ht="14.25" customHeight="1" x14ac:dyDescent="0.2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  <c r="AV678" s="28"/>
      <c r="AW678" s="28"/>
      <c r="AX678" s="28"/>
      <c r="AY678" s="28"/>
      <c r="AZ678" s="28"/>
      <c r="BA678" s="28"/>
      <c r="BB678" s="28"/>
      <c r="BC678" s="28"/>
      <c r="BD678" s="28"/>
      <c r="BE678" s="28"/>
    </row>
    <row r="679" spans="1:57" ht="14.25" customHeight="1" x14ac:dyDescent="0.2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  <c r="AV679" s="28"/>
      <c r="AW679" s="28"/>
      <c r="AX679" s="28"/>
      <c r="AY679" s="28"/>
      <c r="AZ679" s="28"/>
      <c r="BA679" s="28"/>
      <c r="BB679" s="28"/>
      <c r="BC679" s="28"/>
      <c r="BD679" s="28"/>
      <c r="BE679" s="28"/>
    </row>
    <row r="680" spans="1:57" ht="14.25" customHeight="1" x14ac:dyDescent="0.2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  <c r="AV680" s="28"/>
      <c r="AW680" s="28"/>
      <c r="AX680" s="28"/>
      <c r="AY680" s="28"/>
      <c r="AZ680" s="28"/>
      <c r="BA680" s="28"/>
      <c r="BB680" s="28"/>
      <c r="BC680" s="28"/>
      <c r="BD680" s="28"/>
      <c r="BE680" s="28"/>
    </row>
    <row r="681" spans="1:57" ht="14.25" customHeight="1" x14ac:dyDescent="0.2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  <c r="AV681" s="28"/>
      <c r="AW681" s="28"/>
      <c r="AX681" s="28"/>
      <c r="AY681" s="28"/>
      <c r="AZ681" s="28"/>
      <c r="BA681" s="28"/>
      <c r="BB681" s="28"/>
      <c r="BC681" s="28"/>
      <c r="BD681" s="28"/>
      <c r="BE681" s="28"/>
    </row>
    <row r="682" spans="1:57" ht="14.25" customHeight="1" x14ac:dyDescent="0.2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  <c r="AV682" s="28"/>
      <c r="AW682" s="28"/>
      <c r="AX682" s="28"/>
      <c r="AY682" s="28"/>
      <c r="AZ682" s="28"/>
      <c r="BA682" s="28"/>
      <c r="BB682" s="28"/>
      <c r="BC682" s="28"/>
      <c r="BD682" s="28"/>
      <c r="BE682" s="28"/>
    </row>
    <row r="683" spans="1:57" ht="14.25" customHeight="1" x14ac:dyDescent="0.2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  <c r="AV683" s="28"/>
      <c r="AW683" s="28"/>
      <c r="AX683" s="28"/>
      <c r="AY683" s="28"/>
      <c r="AZ683" s="28"/>
      <c r="BA683" s="28"/>
      <c r="BB683" s="28"/>
      <c r="BC683" s="28"/>
      <c r="BD683" s="28"/>
      <c r="BE683" s="28"/>
    </row>
    <row r="684" spans="1:57" ht="14.25" customHeight="1" x14ac:dyDescent="0.2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  <c r="AV684" s="28"/>
      <c r="AW684" s="28"/>
      <c r="AX684" s="28"/>
      <c r="AY684" s="28"/>
      <c r="AZ684" s="28"/>
      <c r="BA684" s="28"/>
      <c r="BB684" s="28"/>
      <c r="BC684" s="28"/>
      <c r="BD684" s="28"/>
      <c r="BE684" s="28"/>
    </row>
    <row r="685" spans="1:57" ht="14.25" customHeight="1" x14ac:dyDescent="0.2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  <c r="AV685" s="28"/>
      <c r="AW685" s="28"/>
      <c r="AX685" s="28"/>
      <c r="AY685" s="28"/>
      <c r="AZ685" s="28"/>
      <c r="BA685" s="28"/>
      <c r="BB685" s="28"/>
      <c r="BC685" s="28"/>
      <c r="BD685" s="28"/>
      <c r="BE685" s="28"/>
    </row>
    <row r="686" spans="1:57" ht="14.25" customHeight="1" x14ac:dyDescent="0.2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  <c r="AV686" s="28"/>
      <c r="AW686" s="28"/>
      <c r="AX686" s="28"/>
      <c r="AY686" s="28"/>
      <c r="AZ686" s="28"/>
      <c r="BA686" s="28"/>
      <c r="BB686" s="28"/>
      <c r="BC686" s="28"/>
      <c r="BD686" s="28"/>
      <c r="BE686" s="28"/>
    </row>
    <row r="687" spans="1:57" ht="14.25" customHeight="1" x14ac:dyDescent="0.2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  <c r="AV687" s="28"/>
      <c r="AW687" s="28"/>
      <c r="AX687" s="28"/>
      <c r="AY687" s="28"/>
      <c r="AZ687" s="28"/>
      <c r="BA687" s="28"/>
      <c r="BB687" s="28"/>
      <c r="BC687" s="28"/>
      <c r="BD687" s="28"/>
      <c r="BE687" s="28"/>
    </row>
    <row r="688" spans="1:57" ht="14.25" customHeight="1" x14ac:dyDescent="0.2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  <c r="AV688" s="28"/>
      <c r="AW688" s="28"/>
      <c r="AX688" s="28"/>
      <c r="AY688" s="28"/>
      <c r="AZ688" s="28"/>
      <c r="BA688" s="28"/>
      <c r="BB688" s="28"/>
      <c r="BC688" s="28"/>
      <c r="BD688" s="28"/>
      <c r="BE688" s="28"/>
    </row>
    <row r="689" spans="1:57" ht="14.25" customHeight="1" x14ac:dyDescent="0.2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  <c r="AV689" s="28"/>
      <c r="AW689" s="28"/>
      <c r="AX689" s="28"/>
      <c r="AY689" s="28"/>
      <c r="AZ689" s="28"/>
      <c r="BA689" s="28"/>
      <c r="BB689" s="28"/>
      <c r="BC689" s="28"/>
      <c r="BD689" s="28"/>
      <c r="BE689" s="28"/>
    </row>
    <row r="690" spans="1:57" ht="14.25" customHeight="1" x14ac:dyDescent="0.2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  <c r="AV690" s="28"/>
      <c r="AW690" s="28"/>
      <c r="AX690" s="28"/>
      <c r="AY690" s="28"/>
      <c r="AZ690" s="28"/>
      <c r="BA690" s="28"/>
      <c r="BB690" s="28"/>
      <c r="BC690" s="28"/>
      <c r="BD690" s="28"/>
      <c r="BE690" s="28"/>
    </row>
    <row r="691" spans="1:57" ht="14.25" customHeight="1" x14ac:dyDescent="0.2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  <c r="AV691" s="28"/>
      <c r="AW691" s="28"/>
      <c r="AX691" s="28"/>
      <c r="AY691" s="28"/>
      <c r="AZ691" s="28"/>
      <c r="BA691" s="28"/>
      <c r="BB691" s="28"/>
      <c r="BC691" s="28"/>
      <c r="BD691" s="28"/>
      <c r="BE691" s="28"/>
    </row>
    <row r="692" spans="1:57" ht="14.25" customHeight="1" x14ac:dyDescent="0.2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  <c r="AV692" s="28"/>
      <c r="AW692" s="28"/>
      <c r="AX692" s="28"/>
      <c r="AY692" s="28"/>
      <c r="AZ692" s="28"/>
      <c r="BA692" s="28"/>
      <c r="BB692" s="28"/>
      <c r="BC692" s="28"/>
      <c r="BD692" s="28"/>
      <c r="BE692" s="28"/>
    </row>
    <row r="693" spans="1:57" ht="14.25" customHeight="1" x14ac:dyDescent="0.2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  <c r="AV693" s="28"/>
      <c r="AW693" s="28"/>
      <c r="AX693" s="28"/>
      <c r="AY693" s="28"/>
      <c r="AZ693" s="28"/>
      <c r="BA693" s="28"/>
      <c r="BB693" s="28"/>
      <c r="BC693" s="28"/>
      <c r="BD693" s="28"/>
      <c r="BE693" s="28"/>
    </row>
    <row r="694" spans="1:57" ht="14.25" customHeight="1" x14ac:dyDescent="0.2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  <c r="AV694" s="28"/>
      <c r="AW694" s="28"/>
      <c r="AX694" s="28"/>
      <c r="AY694" s="28"/>
      <c r="AZ694" s="28"/>
      <c r="BA694" s="28"/>
      <c r="BB694" s="28"/>
      <c r="BC694" s="28"/>
      <c r="BD694" s="28"/>
      <c r="BE694" s="28"/>
    </row>
    <row r="695" spans="1:57" ht="14.25" customHeight="1" x14ac:dyDescent="0.2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  <c r="AV695" s="28"/>
      <c r="AW695" s="28"/>
      <c r="AX695" s="28"/>
      <c r="AY695" s="28"/>
      <c r="AZ695" s="28"/>
      <c r="BA695" s="28"/>
      <c r="BB695" s="28"/>
      <c r="BC695" s="28"/>
      <c r="BD695" s="28"/>
      <c r="BE695" s="28"/>
    </row>
    <row r="696" spans="1:57" ht="14.25" customHeight="1" x14ac:dyDescent="0.2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  <c r="AV696" s="28"/>
      <c r="AW696" s="28"/>
      <c r="AX696" s="28"/>
      <c r="AY696" s="28"/>
      <c r="AZ696" s="28"/>
      <c r="BA696" s="28"/>
      <c r="BB696" s="28"/>
      <c r="BC696" s="28"/>
      <c r="BD696" s="28"/>
      <c r="BE696" s="28"/>
    </row>
    <row r="697" spans="1:57" ht="14.25" customHeight="1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  <c r="AV697" s="28"/>
      <c r="AW697" s="28"/>
      <c r="AX697" s="28"/>
      <c r="AY697" s="28"/>
      <c r="AZ697" s="28"/>
      <c r="BA697" s="28"/>
      <c r="BB697" s="28"/>
      <c r="BC697" s="28"/>
      <c r="BD697" s="28"/>
      <c r="BE697" s="28"/>
    </row>
    <row r="698" spans="1:57" ht="14.25" customHeight="1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  <c r="AV698" s="28"/>
      <c r="AW698" s="28"/>
      <c r="AX698" s="28"/>
      <c r="AY698" s="28"/>
      <c r="AZ698" s="28"/>
      <c r="BA698" s="28"/>
      <c r="BB698" s="28"/>
      <c r="BC698" s="28"/>
      <c r="BD698" s="28"/>
      <c r="BE698" s="28"/>
    </row>
    <row r="699" spans="1:57" ht="14.25" customHeight="1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  <c r="AV699" s="28"/>
      <c r="AW699" s="28"/>
      <c r="AX699" s="28"/>
      <c r="AY699" s="28"/>
      <c r="AZ699" s="28"/>
      <c r="BA699" s="28"/>
      <c r="BB699" s="28"/>
      <c r="BC699" s="28"/>
      <c r="BD699" s="28"/>
      <c r="BE699" s="28"/>
    </row>
    <row r="700" spans="1:57" ht="14.25" customHeight="1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  <c r="AV700" s="28"/>
      <c r="AW700" s="28"/>
      <c r="AX700" s="28"/>
      <c r="AY700" s="28"/>
      <c r="AZ700" s="28"/>
      <c r="BA700" s="28"/>
      <c r="BB700" s="28"/>
      <c r="BC700" s="28"/>
      <c r="BD700" s="28"/>
      <c r="BE700" s="28"/>
    </row>
    <row r="701" spans="1:57" ht="14.25" customHeight="1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</row>
    <row r="702" spans="1:57" ht="14.25" customHeight="1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</row>
    <row r="703" spans="1:57" ht="14.25" customHeight="1" x14ac:dyDescent="0.2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</row>
    <row r="704" spans="1:57" ht="14.25" customHeight="1" x14ac:dyDescent="0.2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  <c r="AV704" s="28"/>
      <c r="AW704" s="28"/>
      <c r="AX704" s="28"/>
      <c r="AY704" s="28"/>
      <c r="AZ704" s="28"/>
      <c r="BA704" s="28"/>
      <c r="BB704" s="28"/>
      <c r="BC704" s="28"/>
      <c r="BD704" s="28"/>
      <c r="BE704" s="28"/>
    </row>
    <row r="705" spans="1:57" ht="14.25" customHeight="1" x14ac:dyDescent="0.2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  <c r="AV705" s="28"/>
      <c r="AW705" s="28"/>
      <c r="AX705" s="28"/>
      <c r="AY705" s="28"/>
      <c r="AZ705" s="28"/>
      <c r="BA705" s="28"/>
      <c r="BB705" s="28"/>
      <c r="BC705" s="28"/>
      <c r="BD705" s="28"/>
      <c r="BE705" s="28"/>
    </row>
    <row r="706" spans="1:57" ht="14.25" customHeight="1" x14ac:dyDescent="0.2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  <c r="AV706" s="28"/>
      <c r="AW706" s="28"/>
      <c r="AX706" s="28"/>
      <c r="AY706" s="28"/>
      <c r="AZ706" s="28"/>
      <c r="BA706" s="28"/>
      <c r="BB706" s="28"/>
      <c r="BC706" s="28"/>
      <c r="BD706" s="28"/>
      <c r="BE706" s="28"/>
    </row>
    <row r="707" spans="1:57" ht="14.25" customHeight="1" x14ac:dyDescent="0.2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  <c r="AV707" s="28"/>
      <c r="AW707" s="28"/>
      <c r="AX707" s="28"/>
      <c r="AY707" s="28"/>
      <c r="AZ707" s="28"/>
      <c r="BA707" s="28"/>
      <c r="BB707" s="28"/>
      <c r="BC707" s="28"/>
      <c r="BD707" s="28"/>
      <c r="BE707" s="28"/>
    </row>
    <row r="708" spans="1:57" ht="14.25" customHeight="1" x14ac:dyDescent="0.2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  <c r="AV708" s="28"/>
      <c r="AW708" s="28"/>
      <c r="AX708" s="28"/>
      <c r="AY708" s="28"/>
      <c r="AZ708" s="28"/>
      <c r="BA708" s="28"/>
      <c r="BB708" s="28"/>
      <c r="BC708" s="28"/>
      <c r="BD708" s="28"/>
      <c r="BE708" s="28"/>
    </row>
    <row r="709" spans="1:57" ht="14.25" customHeight="1" x14ac:dyDescent="0.2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  <c r="AV709" s="28"/>
      <c r="AW709" s="28"/>
      <c r="AX709" s="28"/>
      <c r="AY709" s="28"/>
      <c r="AZ709" s="28"/>
      <c r="BA709" s="28"/>
      <c r="BB709" s="28"/>
      <c r="BC709" s="28"/>
      <c r="BD709" s="28"/>
      <c r="BE709" s="28"/>
    </row>
    <row r="710" spans="1:57" ht="14.25" customHeight="1" x14ac:dyDescent="0.2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  <c r="AV710" s="28"/>
      <c r="AW710" s="28"/>
      <c r="AX710" s="28"/>
      <c r="AY710" s="28"/>
      <c r="AZ710" s="28"/>
      <c r="BA710" s="28"/>
      <c r="BB710" s="28"/>
      <c r="BC710" s="28"/>
      <c r="BD710" s="28"/>
      <c r="BE710" s="28"/>
    </row>
    <row r="711" spans="1:57" ht="14.25" customHeight="1" x14ac:dyDescent="0.2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  <c r="AV711" s="28"/>
      <c r="AW711" s="28"/>
      <c r="AX711" s="28"/>
      <c r="AY711" s="28"/>
      <c r="AZ711" s="28"/>
      <c r="BA711" s="28"/>
      <c r="BB711" s="28"/>
      <c r="BC711" s="28"/>
      <c r="BD711" s="28"/>
      <c r="BE711" s="28"/>
    </row>
    <row r="712" spans="1:57" ht="14.25" customHeight="1" x14ac:dyDescent="0.2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  <c r="AV712" s="28"/>
      <c r="AW712" s="28"/>
      <c r="AX712" s="28"/>
      <c r="AY712" s="28"/>
      <c r="AZ712" s="28"/>
      <c r="BA712" s="28"/>
      <c r="BB712" s="28"/>
      <c r="BC712" s="28"/>
      <c r="BD712" s="28"/>
      <c r="BE712" s="28"/>
    </row>
    <row r="713" spans="1:57" ht="14.25" customHeight="1" x14ac:dyDescent="0.2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  <c r="AV713" s="28"/>
      <c r="AW713" s="28"/>
      <c r="AX713" s="28"/>
      <c r="AY713" s="28"/>
      <c r="AZ713" s="28"/>
      <c r="BA713" s="28"/>
      <c r="BB713" s="28"/>
      <c r="BC713" s="28"/>
      <c r="BD713" s="28"/>
      <c r="BE713" s="28"/>
    </row>
    <row r="714" spans="1:57" ht="14.25" customHeight="1" x14ac:dyDescent="0.2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  <c r="AV714" s="28"/>
      <c r="AW714" s="28"/>
      <c r="AX714" s="28"/>
      <c r="AY714" s="28"/>
      <c r="AZ714" s="28"/>
      <c r="BA714" s="28"/>
      <c r="BB714" s="28"/>
      <c r="BC714" s="28"/>
      <c r="BD714" s="28"/>
      <c r="BE714" s="28"/>
    </row>
    <row r="715" spans="1:57" ht="14.25" customHeight="1" x14ac:dyDescent="0.2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  <c r="AV715" s="28"/>
      <c r="AW715" s="28"/>
      <c r="AX715" s="28"/>
      <c r="AY715" s="28"/>
      <c r="AZ715" s="28"/>
      <c r="BA715" s="28"/>
      <c r="BB715" s="28"/>
      <c r="BC715" s="28"/>
      <c r="BD715" s="28"/>
      <c r="BE715" s="28"/>
    </row>
    <row r="716" spans="1:57" ht="14.25" customHeight="1" x14ac:dyDescent="0.2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  <c r="AV716" s="28"/>
      <c r="AW716" s="28"/>
      <c r="AX716" s="28"/>
      <c r="AY716" s="28"/>
      <c r="AZ716" s="28"/>
      <c r="BA716" s="28"/>
      <c r="BB716" s="28"/>
      <c r="BC716" s="28"/>
      <c r="BD716" s="28"/>
      <c r="BE716" s="28"/>
    </row>
    <row r="717" spans="1:57" ht="14.25" customHeight="1" x14ac:dyDescent="0.2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  <c r="AV717" s="28"/>
      <c r="AW717" s="28"/>
      <c r="AX717" s="28"/>
      <c r="AY717" s="28"/>
      <c r="AZ717" s="28"/>
      <c r="BA717" s="28"/>
      <c r="BB717" s="28"/>
      <c r="BC717" s="28"/>
      <c r="BD717" s="28"/>
      <c r="BE717" s="28"/>
    </row>
    <row r="718" spans="1:57" ht="14.25" customHeight="1" x14ac:dyDescent="0.2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  <c r="AV718" s="28"/>
      <c r="AW718" s="28"/>
      <c r="AX718" s="28"/>
      <c r="AY718" s="28"/>
      <c r="AZ718" s="28"/>
      <c r="BA718" s="28"/>
      <c r="BB718" s="28"/>
      <c r="BC718" s="28"/>
      <c r="BD718" s="28"/>
      <c r="BE718" s="28"/>
    </row>
    <row r="719" spans="1:57" ht="14.25" customHeight="1" x14ac:dyDescent="0.2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  <c r="AV719" s="28"/>
      <c r="AW719" s="28"/>
      <c r="AX719" s="28"/>
      <c r="AY719" s="28"/>
      <c r="AZ719" s="28"/>
      <c r="BA719" s="28"/>
      <c r="BB719" s="28"/>
      <c r="BC719" s="28"/>
      <c r="BD719" s="28"/>
      <c r="BE719" s="28"/>
    </row>
    <row r="720" spans="1:57" ht="14.25" customHeight="1" x14ac:dyDescent="0.2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  <c r="AV720" s="28"/>
      <c r="AW720" s="28"/>
      <c r="AX720" s="28"/>
      <c r="AY720" s="28"/>
      <c r="AZ720" s="28"/>
      <c r="BA720" s="28"/>
      <c r="BB720" s="28"/>
      <c r="BC720" s="28"/>
      <c r="BD720" s="28"/>
      <c r="BE720" s="28"/>
    </row>
    <row r="721" spans="1:57" ht="14.25" customHeight="1" x14ac:dyDescent="0.2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  <c r="AV721" s="28"/>
      <c r="AW721" s="28"/>
      <c r="AX721" s="28"/>
      <c r="AY721" s="28"/>
      <c r="AZ721" s="28"/>
      <c r="BA721" s="28"/>
      <c r="BB721" s="28"/>
      <c r="BC721" s="28"/>
      <c r="BD721" s="28"/>
      <c r="BE721" s="28"/>
    </row>
    <row r="722" spans="1:57" ht="14.25" customHeight="1" x14ac:dyDescent="0.2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  <c r="AV722" s="28"/>
      <c r="AW722" s="28"/>
      <c r="AX722" s="28"/>
      <c r="AY722" s="28"/>
      <c r="AZ722" s="28"/>
      <c r="BA722" s="28"/>
      <c r="BB722" s="28"/>
      <c r="BC722" s="28"/>
      <c r="BD722" s="28"/>
      <c r="BE722" s="28"/>
    </row>
    <row r="723" spans="1:57" ht="14.25" customHeight="1" x14ac:dyDescent="0.2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  <c r="AV723" s="28"/>
      <c r="AW723" s="28"/>
      <c r="AX723" s="28"/>
      <c r="AY723" s="28"/>
      <c r="AZ723" s="28"/>
      <c r="BA723" s="28"/>
      <c r="BB723" s="28"/>
      <c r="BC723" s="28"/>
      <c r="BD723" s="28"/>
      <c r="BE723" s="28"/>
    </row>
    <row r="724" spans="1:57" ht="14.25" customHeight="1" x14ac:dyDescent="0.2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  <c r="AV724" s="28"/>
      <c r="AW724" s="28"/>
      <c r="AX724" s="28"/>
      <c r="AY724" s="28"/>
      <c r="AZ724" s="28"/>
      <c r="BA724" s="28"/>
      <c r="BB724" s="28"/>
      <c r="BC724" s="28"/>
      <c r="BD724" s="28"/>
      <c r="BE724" s="28"/>
    </row>
    <row r="725" spans="1:57" ht="14.25" customHeight="1" x14ac:dyDescent="0.2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  <c r="AV725" s="28"/>
      <c r="AW725" s="28"/>
      <c r="AX725" s="28"/>
      <c r="AY725" s="28"/>
      <c r="AZ725" s="28"/>
      <c r="BA725" s="28"/>
      <c r="BB725" s="28"/>
      <c r="BC725" s="28"/>
      <c r="BD725" s="28"/>
      <c r="BE725" s="28"/>
    </row>
    <row r="726" spans="1:57" ht="14.25" customHeight="1" x14ac:dyDescent="0.2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  <c r="AV726" s="28"/>
      <c r="AW726" s="28"/>
      <c r="AX726" s="28"/>
      <c r="AY726" s="28"/>
      <c r="AZ726" s="28"/>
      <c r="BA726" s="28"/>
      <c r="BB726" s="28"/>
      <c r="BC726" s="28"/>
      <c r="BD726" s="28"/>
      <c r="BE726" s="28"/>
    </row>
    <row r="727" spans="1:57" ht="14.25" customHeight="1" x14ac:dyDescent="0.2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</row>
    <row r="728" spans="1:57" ht="14.25" customHeight="1" x14ac:dyDescent="0.2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  <c r="AV728" s="28"/>
      <c r="AW728" s="28"/>
      <c r="AX728" s="28"/>
      <c r="AY728" s="28"/>
      <c r="AZ728" s="28"/>
      <c r="BA728" s="28"/>
      <c r="BB728" s="28"/>
      <c r="BC728" s="28"/>
      <c r="BD728" s="28"/>
      <c r="BE728" s="28"/>
    </row>
    <row r="729" spans="1:57" ht="14.25" customHeight="1" x14ac:dyDescent="0.2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  <c r="AV729" s="28"/>
      <c r="AW729" s="28"/>
      <c r="AX729" s="28"/>
      <c r="AY729" s="28"/>
      <c r="AZ729" s="28"/>
      <c r="BA729" s="28"/>
      <c r="BB729" s="28"/>
      <c r="BC729" s="28"/>
      <c r="BD729" s="28"/>
      <c r="BE729" s="28"/>
    </row>
    <row r="730" spans="1:57" ht="14.25" customHeight="1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  <c r="AV730" s="28"/>
      <c r="AW730" s="28"/>
      <c r="AX730" s="28"/>
      <c r="AY730" s="28"/>
      <c r="AZ730" s="28"/>
      <c r="BA730" s="28"/>
      <c r="BB730" s="28"/>
      <c r="BC730" s="28"/>
      <c r="BD730" s="28"/>
      <c r="BE730" s="28"/>
    </row>
    <row r="731" spans="1:57" ht="14.25" customHeight="1" x14ac:dyDescent="0.2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  <c r="AV731" s="28"/>
      <c r="AW731" s="28"/>
      <c r="AX731" s="28"/>
      <c r="AY731" s="28"/>
      <c r="AZ731" s="28"/>
      <c r="BA731" s="28"/>
      <c r="BB731" s="28"/>
      <c r="BC731" s="28"/>
      <c r="BD731" s="28"/>
      <c r="BE731" s="28"/>
    </row>
    <row r="732" spans="1:57" ht="14.25" customHeight="1" x14ac:dyDescent="0.2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  <c r="AV732" s="28"/>
      <c r="AW732" s="28"/>
      <c r="AX732" s="28"/>
      <c r="AY732" s="28"/>
      <c r="AZ732" s="28"/>
      <c r="BA732" s="28"/>
      <c r="BB732" s="28"/>
      <c r="BC732" s="28"/>
      <c r="BD732" s="28"/>
      <c r="BE732" s="28"/>
    </row>
    <row r="733" spans="1:57" ht="14.25" customHeight="1" x14ac:dyDescent="0.2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</row>
    <row r="734" spans="1:57" ht="14.25" customHeight="1" x14ac:dyDescent="0.2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</row>
    <row r="735" spans="1:57" ht="14.25" customHeight="1" x14ac:dyDescent="0.2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</row>
    <row r="736" spans="1:57" ht="14.25" customHeight="1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  <c r="AV736" s="28"/>
      <c r="AW736" s="28"/>
      <c r="AX736" s="28"/>
      <c r="AY736" s="28"/>
      <c r="AZ736" s="28"/>
      <c r="BA736" s="28"/>
      <c r="BB736" s="28"/>
      <c r="BC736" s="28"/>
      <c r="BD736" s="28"/>
      <c r="BE736" s="28"/>
    </row>
    <row r="737" spans="1:57" ht="14.25" customHeight="1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  <c r="AV737" s="28"/>
      <c r="AW737" s="28"/>
      <c r="AX737" s="28"/>
      <c r="AY737" s="28"/>
      <c r="AZ737" s="28"/>
      <c r="BA737" s="28"/>
      <c r="BB737" s="28"/>
      <c r="BC737" s="28"/>
      <c r="BD737" s="28"/>
      <c r="BE737" s="28"/>
    </row>
    <row r="738" spans="1:57" ht="14.25" customHeight="1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  <c r="AV738" s="28"/>
      <c r="AW738" s="28"/>
      <c r="AX738" s="28"/>
      <c r="AY738" s="28"/>
      <c r="AZ738" s="28"/>
      <c r="BA738" s="28"/>
      <c r="BB738" s="28"/>
      <c r="BC738" s="28"/>
      <c r="BD738" s="28"/>
      <c r="BE738" s="28"/>
    </row>
    <row r="739" spans="1:57" ht="14.25" customHeight="1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  <c r="AV739" s="28"/>
      <c r="AW739" s="28"/>
      <c r="AX739" s="28"/>
      <c r="AY739" s="28"/>
      <c r="AZ739" s="28"/>
      <c r="BA739" s="28"/>
      <c r="BB739" s="28"/>
      <c r="BC739" s="28"/>
      <c r="BD739" s="28"/>
      <c r="BE739" s="28"/>
    </row>
    <row r="740" spans="1:57" ht="14.25" customHeight="1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  <c r="AV740" s="28"/>
      <c r="AW740" s="28"/>
      <c r="AX740" s="28"/>
      <c r="AY740" s="28"/>
      <c r="AZ740" s="28"/>
      <c r="BA740" s="28"/>
      <c r="BB740" s="28"/>
      <c r="BC740" s="28"/>
      <c r="BD740" s="28"/>
      <c r="BE740" s="28"/>
    </row>
    <row r="741" spans="1:57" ht="14.25" customHeight="1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  <c r="AV741" s="28"/>
      <c r="AW741" s="28"/>
      <c r="AX741" s="28"/>
      <c r="AY741" s="28"/>
      <c r="AZ741" s="28"/>
      <c r="BA741" s="28"/>
      <c r="BB741" s="28"/>
      <c r="BC741" s="28"/>
      <c r="BD741" s="28"/>
      <c r="BE741" s="28"/>
    </row>
    <row r="742" spans="1:57" ht="14.25" customHeight="1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  <c r="AV742" s="28"/>
      <c r="AW742" s="28"/>
      <c r="AX742" s="28"/>
      <c r="AY742" s="28"/>
      <c r="AZ742" s="28"/>
      <c r="BA742" s="28"/>
      <c r="BB742" s="28"/>
      <c r="BC742" s="28"/>
      <c r="BD742" s="28"/>
      <c r="BE742" s="28"/>
    </row>
    <row r="743" spans="1:57" ht="14.25" customHeight="1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  <c r="AV743" s="28"/>
      <c r="AW743" s="28"/>
      <c r="AX743" s="28"/>
      <c r="AY743" s="28"/>
      <c r="AZ743" s="28"/>
      <c r="BA743" s="28"/>
      <c r="BB743" s="28"/>
      <c r="BC743" s="28"/>
      <c r="BD743" s="28"/>
      <c r="BE743" s="28"/>
    </row>
    <row r="744" spans="1:57" ht="14.25" customHeight="1" x14ac:dyDescent="0.2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  <c r="AV744" s="28"/>
      <c r="AW744" s="28"/>
      <c r="AX744" s="28"/>
      <c r="AY744" s="28"/>
      <c r="AZ744" s="28"/>
      <c r="BA744" s="28"/>
      <c r="BB744" s="28"/>
      <c r="BC744" s="28"/>
      <c r="BD744" s="28"/>
      <c r="BE744" s="28"/>
    </row>
    <row r="745" spans="1:57" ht="14.25" customHeight="1" x14ac:dyDescent="0.2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  <c r="AV745" s="28"/>
      <c r="AW745" s="28"/>
      <c r="AX745" s="28"/>
      <c r="AY745" s="28"/>
      <c r="AZ745" s="28"/>
      <c r="BA745" s="28"/>
      <c r="BB745" s="28"/>
      <c r="BC745" s="28"/>
      <c r="BD745" s="28"/>
      <c r="BE745" s="28"/>
    </row>
    <row r="746" spans="1:57" ht="14.25" customHeight="1" x14ac:dyDescent="0.2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  <c r="AV746" s="28"/>
      <c r="AW746" s="28"/>
      <c r="AX746" s="28"/>
      <c r="AY746" s="28"/>
      <c r="AZ746" s="28"/>
      <c r="BA746" s="28"/>
      <c r="BB746" s="28"/>
      <c r="BC746" s="28"/>
      <c r="BD746" s="28"/>
      <c r="BE746" s="28"/>
    </row>
    <row r="747" spans="1:57" ht="14.25" customHeight="1" x14ac:dyDescent="0.2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  <c r="AV747" s="28"/>
      <c r="AW747" s="28"/>
      <c r="AX747" s="28"/>
      <c r="AY747" s="28"/>
      <c r="AZ747" s="28"/>
      <c r="BA747" s="28"/>
      <c r="BB747" s="28"/>
      <c r="BC747" s="28"/>
      <c r="BD747" s="28"/>
      <c r="BE747" s="28"/>
    </row>
    <row r="748" spans="1:57" ht="14.25" customHeight="1" x14ac:dyDescent="0.2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  <c r="AV748" s="28"/>
      <c r="AW748" s="28"/>
      <c r="AX748" s="28"/>
      <c r="AY748" s="28"/>
      <c r="AZ748" s="28"/>
      <c r="BA748" s="28"/>
      <c r="BB748" s="28"/>
      <c r="BC748" s="28"/>
      <c r="BD748" s="28"/>
      <c r="BE748" s="28"/>
    </row>
    <row r="749" spans="1:57" ht="14.25" customHeight="1" x14ac:dyDescent="0.2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  <c r="AV749" s="28"/>
      <c r="AW749" s="28"/>
      <c r="AX749" s="28"/>
      <c r="AY749" s="28"/>
      <c r="AZ749" s="28"/>
      <c r="BA749" s="28"/>
      <c r="BB749" s="28"/>
      <c r="BC749" s="28"/>
      <c r="BD749" s="28"/>
      <c r="BE749" s="28"/>
    </row>
    <row r="750" spans="1:57" ht="14.25" customHeight="1" x14ac:dyDescent="0.2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  <c r="AV750" s="28"/>
      <c r="AW750" s="28"/>
      <c r="AX750" s="28"/>
      <c r="AY750" s="28"/>
      <c r="AZ750" s="28"/>
      <c r="BA750" s="28"/>
      <c r="BB750" s="28"/>
      <c r="BC750" s="28"/>
      <c r="BD750" s="28"/>
      <c r="BE750" s="28"/>
    </row>
    <row r="751" spans="1:57" ht="14.25" customHeight="1" x14ac:dyDescent="0.2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  <c r="AV751" s="28"/>
      <c r="AW751" s="28"/>
      <c r="AX751" s="28"/>
      <c r="AY751" s="28"/>
      <c r="AZ751" s="28"/>
      <c r="BA751" s="28"/>
      <c r="BB751" s="28"/>
      <c r="BC751" s="28"/>
      <c r="BD751" s="28"/>
      <c r="BE751" s="28"/>
    </row>
    <row r="752" spans="1:57" ht="14.25" customHeight="1" x14ac:dyDescent="0.2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  <c r="AV752" s="28"/>
      <c r="AW752" s="28"/>
      <c r="AX752" s="28"/>
      <c r="AY752" s="28"/>
      <c r="AZ752" s="28"/>
      <c r="BA752" s="28"/>
      <c r="BB752" s="28"/>
      <c r="BC752" s="28"/>
      <c r="BD752" s="28"/>
      <c r="BE752" s="28"/>
    </row>
    <row r="753" spans="1:57" ht="14.25" customHeight="1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  <c r="AV753" s="28"/>
      <c r="AW753" s="28"/>
      <c r="AX753" s="28"/>
      <c r="AY753" s="28"/>
      <c r="AZ753" s="28"/>
      <c r="BA753" s="28"/>
      <c r="BB753" s="28"/>
      <c r="BC753" s="28"/>
      <c r="BD753" s="28"/>
      <c r="BE753" s="28"/>
    </row>
    <row r="754" spans="1:57" ht="14.25" customHeight="1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  <c r="AV754" s="28"/>
      <c r="AW754" s="28"/>
      <c r="AX754" s="28"/>
      <c r="AY754" s="28"/>
      <c r="AZ754" s="28"/>
      <c r="BA754" s="28"/>
      <c r="BB754" s="28"/>
      <c r="BC754" s="28"/>
      <c r="BD754" s="28"/>
      <c r="BE754" s="28"/>
    </row>
    <row r="755" spans="1:57" ht="14.25" customHeight="1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  <c r="AV755" s="28"/>
      <c r="AW755" s="28"/>
      <c r="AX755" s="28"/>
      <c r="AY755" s="28"/>
      <c r="AZ755" s="28"/>
      <c r="BA755" s="28"/>
      <c r="BB755" s="28"/>
      <c r="BC755" s="28"/>
      <c r="BD755" s="28"/>
      <c r="BE755" s="28"/>
    </row>
    <row r="756" spans="1:57" ht="14.25" customHeight="1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  <c r="AV756" s="28"/>
      <c r="AW756" s="28"/>
      <c r="AX756" s="28"/>
      <c r="AY756" s="28"/>
      <c r="AZ756" s="28"/>
      <c r="BA756" s="28"/>
      <c r="BB756" s="28"/>
      <c r="BC756" s="28"/>
      <c r="BD756" s="28"/>
      <c r="BE756" s="28"/>
    </row>
    <row r="757" spans="1:57" ht="14.25" customHeight="1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  <c r="AV757" s="28"/>
      <c r="AW757" s="28"/>
      <c r="AX757" s="28"/>
      <c r="AY757" s="28"/>
      <c r="AZ757" s="28"/>
      <c r="BA757" s="28"/>
      <c r="BB757" s="28"/>
      <c r="BC757" s="28"/>
      <c r="BD757" s="28"/>
      <c r="BE757" s="28"/>
    </row>
    <row r="758" spans="1:57" ht="14.25" customHeight="1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  <c r="AV758" s="28"/>
      <c r="AW758" s="28"/>
      <c r="AX758" s="28"/>
      <c r="AY758" s="28"/>
      <c r="AZ758" s="28"/>
      <c r="BA758" s="28"/>
      <c r="BB758" s="28"/>
      <c r="BC758" s="28"/>
      <c r="BD758" s="28"/>
      <c r="BE758" s="28"/>
    </row>
    <row r="759" spans="1:57" ht="14.25" customHeight="1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  <c r="AV759" s="28"/>
      <c r="AW759" s="28"/>
      <c r="AX759" s="28"/>
      <c r="AY759" s="28"/>
      <c r="AZ759" s="28"/>
      <c r="BA759" s="28"/>
      <c r="BB759" s="28"/>
      <c r="BC759" s="28"/>
      <c r="BD759" s="28"/>
      <c r="BE759" s="28"/>
    </row>
    <row r="760" spans="1:57" ht="14.25" customHeight="1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  <c r="AV760" s="28"/>
      <c r="AW760" s="28"/>
      <c r="AX760" s="28"/>
      <c r="AY760" s="28"/>
      <c r="AZ760" s="28"/>
      <c r="BA760" s="28"/>
      <c r="BB760" s="28"/>
      <c r="BC760" s="28"/>
      <c r="BD760" s="28"/>
      <c r="BE760" s="28"/>
    </row>
    <row r="761" spans="1:57" ht="14.25" customHeight="1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  <c r="AV761" s="28"/>
      <c r="AW761" s="28"/>
      <c r="AX761" s="28"/>
      <c r="AY761" s="28"/>
      <c r="AZ761" s="28"/>
      <c r="BA761" s="28"/>
      <c r="BB761" s="28"/>
      <c r="BC761" s="28"/>
      <c r="BD761" s="28"/>
      <c r="BE761" s="28"/>
    </row>
    <row r="762" spans="1:57" ht="14.25" customHeight="1" x14ac:dyDescent="0.2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  <c r="AV762" s="28"/>
      <c r="AW762" s="28"/>
      <c r="AX762" s="28"/>
      <c r="AY762" s="28"/>
      <c r="AZ762" s="28"/>
      <c r="BA762" s="28"/>
      <c r="BB762" s="28"/>
      <c r="BC762" s="28"/>
      <c r="BD762" s="28"/>
      <c r="BE762" s="28"/>
    </row>
    <row r="763" spans="1:57" ht="14.25" customHeight="1" x14ac:dyDescent="0.2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  <c r="AV763" s="28"/>
      <c r="AW763" s="28"/>
      <c r="AX763" s="28"/>
      <c r="AY763" s="28"/>
      <c r="AZ763" s="28"/>
      <c r="BA763" s="28"/>
      <c r="BB763" s="28"/>
      <c r="BC763" s="28"/>
      <c r="BD763" s="28"/>
      <c r="BE763" s="28"/>
    </row>
    <row r="764" spans="1:57" ht="14.25" customHeight="1" x14ac:dyDescent="0.2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  <c r="AV764" s="28"/>
      <c r="AW764" s="28"/>
      <c r="AX764" s="28"/>
      <c r="AY764" s="28"/>
      <c r="AZ764" s="28"/>
      <c r="BA764" s="28"/>
      <c r="BB764" s="28"/>
      <c r="BC764" s="28"/>
      <c r="BD764" s="28"/>
      <c r="BE764" s="28"/>
    </row>
    <row r="765" spans="1:57" ht="14.25" customHeight="1" x14ac:dyDescent="0.2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</row>
    <row r="766" spans="1:57" ht="14.25" customHeight="1" x14ac:dyDescent="0.2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</row>
    <row r="767" spans="1:57" ht="14.25" customHeight="1" x14ac:dyDescent="0.2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</row>
    <row r="768" spans="1:57" ht="14.25" customHeight="1" x14ac:dyDescent="0.2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  <c r="AV768" s="28"/>
      <c r="AW768" s="28"/>
      <c r="AX768" s="28"/>
      <c r="AY768" s="28"/>
      <c r="AZ768" s="28"/>
      <c r="BA768" s="28"/>
      <c r="BB768" s="28"/>
      <c r="BC768" s="28"/>
      <c r="BD768" s="28"/>
      <c r="BE768" s="28"/>
    </row>
    <row r="769" spans="1:57" ht="14.25" customHeight="1" x14ac:dyDescent="0.2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  <c r="AV769" s="28"/>
      <c r="AW769" s="28"/>
      <c r="AX769" s="28"/>
      <c r="AY769" s="28"/>
      <c r="AZ769" s="28"/>
      <c r="BA769" s="28"/>
      <c r="BB769" s="28"/>
      <c r="BC769" s="28"/>
      <c r="BD769" s="28"/>
      <c r="BE769" s="28"/>
    </row>
    <row r="770" spans="1:57" ht="14.25" customHeight="1" x14ac:dyDescent="0.2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  <c r="AV770" s="28"/>
      <c r="AW770" s="28"/>
      <c r="AX770" s="28"/>
      <c r="AY770" s="28"/>
      <c r="AZ770" s="28"/>
      <c r="BA770" s="28"/>
      <c r="BB770" s="28"/>
      <c r="BC770" s="28"/>
      <c r="BD770" s="28"/>
      <c r="BE770" s="28"/>
    </row>
    <row r="771" spans="1:57" ht="14.25" customHeight="1" x14ac:dyDescent="0.2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  <c r="AV771" s="28"/>
      <c r="AW771" s="28"/>
      <c r="AX771" s="28"/>
      <c r="AY771" s="28"/>
      <c r="AZ771" s="28"/>
      <c r="BA771" s="28"/>
      <c r="BB771" s="28"/>
      <c r="BC771" s="28"/>
      <c r="BD771" s="28"/>
      <c r="BE771" s="28"/>
    </row>
    <row r="772" spans="1:57" ht="14.25" customHeight="1" x14ac:dyDescent="0.2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  <c r="AV772" s="28"/>
      <c r="AW772" s="28"/>
      <c r="AX772" s="28"/>
      <c r="AY772" s="28"/>
      <c r="AZ772" s="28"/>
      <c r="BA772" s="28"/>
      <c r="BB772" s="28"/>
      <c r="BC772" s="28"/>
      <c r="BD772" s="28"/>
      <c r="BE772" s="28"/>
    </row>
    <row r="773" spans="1:57" ht="14.25" customHeight="1" x14ac:dyDescent="0.2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  <c r="AV773" s="28"/>
      <c r="AW773" s="28"/>
      <c r="AX773" s="28"/>
      <c r="AY773" s="28"/>
      <c r="AZ773" s="28"/>
      <c r="BA773" s="28"/>
      <c r="BB773" s="28"/>
      <c r="BC773" s="28"/>
      <c r="BD773" s="28"/>
      <c r="BE773" s="28"/>
    </row>
    <row r="774" spans="1:57" ht="14.25" customHeight="1" x14ac:dyDescent="0.2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  <c r="AV774" s="28"/>
      <c r="AW774" s="28"/>
      <c r="AX774" s="28"/>
      <c r="AY774" s="28"/>
      <c r="AZ774" s="28"/>
      <c r="BA774" s="28"/>
      <c r="BB774" s="28"/>
      <c r="BC774" s="28"/>
      <c r="BD774" s="28"/>
      <c r="BE774" s="28"/>
    </row>
    <row r="775" spans="1:57" ht="14.25" customHeight="1" x14ac:dyDescent="0.2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  <c r="AV775" s="28"/>
      <c r="AW775" s="28"/>
      <c r="AX775" s="28"/>
      <c r="AY775" s="28"/>
      <c r="AZ775" s="28"/>
      <c r="BA775" s="28"/>
      <c r="BB775" s="28"/>
      <c r="BC775" s="28"/>
      <c r="BD775" s="28"/>
      <c r="BE775" s="28"/>
    </row>
    <row r="776" spans="1:57" ht="14.25" customHeight="1" x14ac:dyDescent="0.2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  <c r="AV776" s="28"/>
      <c r="AW776" s="28"/>
      <c r="AX776" s="28"/>
      <c r="AY776" s="28"/>
      <c r="AZ776" s="28"/>
      <c r="BA776" s="28"/>
      <c r="BB776" s="28"/>
      <c r="BC776" s="28"/>
      <c r="BD776" s="28"/>
      <c r="BE776" s="28"/>
    </row>
    <row r="777" spans="1:57" ht="14.25" customHeight="1" x14ac:dyDescent="0.2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  <c r="AV777" s="28"/>
      <c r="AW777" s="28"/>
      <c r="AX777" s="28"/>
      <c r="AY777" s="28"/>
      <c r="AZ777" s="28"/>
      <c r="BA777" s="28"/>
      <c r="BB777" s="28"/>
      <c r="BC777" s="28"/>
      <c r="BD777" s="28"/>
      <c r="BE777" s="28"/>
    </row>
    <row r="778" spans="1:57" ht="14.25" customHeight="1" x14ac:dyDescent="0.2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  <c r="AV778" s="28"/>
      <c r="AW778" s="28"/>
      <c r="AX778" s="28"/>
      <c r="AY778" s="28"/>
      <c r="AZ778" s="28"/>
      <c r="BA778" s="28"/>
      <c r="BB778" s="28"/>
      <c r="BC778" s="28"/>
      <c r="BD778" s="28"/>
      <c r="BE778" s="28"/>
    </row>
    <row r="779" spans="1:57" ht="14.25" customHeight="1" x14ac:dyDescent="0.2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  <c r="AV779" s="28"/>
      <c r="AW779" s="28"/>
      <c r="AX779" s="28"/>
      <c r="AY779" s="28"/>
      <c r="AZ779" s="28"/>
      <c r="BA779" s="28"/>
      <c r="BB779" s="28"/>
      <c r="BC779" s="28"/>
      <c r="BD779" s="28"/>
      <c r="BE779" s="28"/>
    </row>
    <row r="780" spans="1:57" ht="14.25" customHeight="1" x14ac:dyDescent="0.2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  <c r="AV780" s="28"/>
      <c r="AW780" s="28"/>
      <c r="AX780" s="28"/>
      <c r="AY780" s="28"/>
      <c r="AZ780" s="28"/>
      <c r="BA780" s="28"/>
      <c r="BB780" s="28"/>
      <c r="BC780" s="28"/>
      <c r="BD780" s="28"/>
      <c r="BE780" s="28"/>
    </row>
    <row r="781" spans="1:57" ht="14.25" customHeight="1" x14ac:dyDescent="0.2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  <c r="AV781" s="28"/>
      <c r="AW781" s="28"/>
      <c r="AX781" s="28"/>
      <c r="AY781" s="28"/>
      <c r="AZ781" s="28"/>
      <c r="BA781" s="28"/>
      <c r="BB781" s="28"/>
      <c r="BC781" s="28"/>
      <c r="BD781" s="28"/>
      <c r="BE781" s="28"/>
    </row>
    <row r="782" spans="1:57" ht="14.25" customHeight="1" x14ac:dyDescent="0.2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  <c r="AV782" s="28"/>
      <c r="AW782" s="28"/>
      <c r="AX782" s="28"/>
      <c r="AY782" s="28"/>
      <c r="AZ782" s="28"/>
      <c r="BA782" s="28"/>
      <c r="BB782" s="28"/>
      <c r="BC782" s="28"/>
      <c r="BD782" s="28"/>
      <c r="BE782" s="28"/>
    </row>
    <row r="783" spans="1:57" ht="14.25" customHeight="1" x14ac:dyDescent="0.2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  <c r="AV783" s="28"/>
      <c r="AW783" s="28"/>
      <c r="AX783" s="28"/>
      <c r="AY783" s="28"/>
      <c r="AZ783" s="28"/>
      <c r="BA783" s="28"/>
      <c r="BB783" s="28"/>
      <c r="BC783" s="28"/>
      <c r="BD783" s="28"/>
      <c r="BE783" s="28"/>
    </row>
    <row r="784" spans="1:57" ht="14.25" customHeight="1" x14ac:dyDescent="0.2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  <c r="AV784" s="28"/>
      <c r="AW784" s="28"/>
      <c r="AX784" s="28"/>
      <c r="AY784" s="28"/>
      <c r="AZ784" s="28"/>
      <c r="BA784" s="28"/>
      <c r="BB784" s="28"/>
      <c r="BC784" s="28"/>
      <c r="BD784" s="28"/>
      <c r="BE784" s="28"/>
    </row>
    <row r="785" spans="1:57" ht="14.25" customHeight="1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  <c r="AV785" s="28"/>
      <c r="AW785" s="28"/>
      <c r="AX785" s="28"/>
      <c r="AY785" s="28"/>
      <c r="AZ785" s="28"/>
      <c r="BA785" s="28"/>
      <c r="BB785" s="28"/>
      <c r="BC785" s="28"/>
      <c r="BD785" s="28"/>
      <c r="BE785" s="28"/>
    </row>
    <row r="786" spans="1:57" ht="14.25" customHeight="1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  <c r="AV786" s="28"/>
      <c r="AW786" s="28"/>
      <c r="AX786" s="28"/>
      <c r="AY786" s="28"/>
      <c r="AZ786" s="28"/>
      <c r="BA786" s="28"/>
      <c r="BB786" s="28"/>
      <c r="BC786" s="28"/>
      <c r="BD786" s="28"/>
      <c r="BE786" s="28"/>
    </row>
    <row r="787" spans="1:57" ht="14.25" customHeight="1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  <c r="AV787" s="28"/>
      <c r="AW787" s="28"/>
      <c r="AX787" s="28"/>
      <c r="AY787" s="28"/>
      <c r="AZ787" s="28"/>
      <c r="BA787" s="28"/>
      <c r="BB787" s="28"/>
      <c r="BC787" s="28"/>
      <c r="BD787" s="28"/>
      <c r="BE787" s="28"/>
    </row>
    <row r="788" spans="1:57" ht="14.25" customHeight="1" x14ac:dyDescent="0.2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  <c r="AV788" s="28"/>
      <c r="AW788" s="28"/>
      <c r="AX788" s="28"/>
      <c r="AY788" s="28"/>
      <c r="AZ788" s="28"/>
      <c r="BA788" s="28"/>
      <c r="BB788" s="28"/>
      <c r="BC788" s="28"/>
      <c r="BD788" s="28"/>
      <c r="BE788" s="28"/>
    </row>
    <row r="789" spans="1:57" ht="14.25" customHeight="1" x14ac:dyDescent="0.2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  <c r="AV789" s="28"/>
      <c r="AW789" s="28"/>
      <c r="AX789" s="28"/>
      <c r="AY789" s="28"/>
      <c r="AZ789" s="28"/>
      <c r="BA789" s="28"/>
      <c r="BB789" s="28"/>
      <c r="BC789" s="28"/>
      <c r="BD789" s="28"/>
      <c r="BE789" s="28"/>
    </row>
    <row r="790" spans="1:57" ht="14.25" customHeight="1" x14ac:dyDescent="0.2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  <c r="AV790" s="28"/>
      <c r="AW790" s="28"/>
      <c r="AX790" s="28"/>
      <c r="AY790" s="28"/>
      <c r="AZ790" s="28"/>
      <c r="BA790" s="28"/>
      <c r="BB790" s="28"/>
      <c r="BC790" s="28"/>
      <c r="BD790" s="28"/>
      <c r="BE790" s="28"/>
    </row>
    <row r="791" spans="1:57" ht="14.25" customHeight="1" x14ac:dyDescent="0.2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  <c r="AV791" s="28"/>
      <c r="AW791" s="28"/>
      <c r="AX791" s="28"/>
      <c r="AY791" s="28"/>
      <c r="AZ791" s="28"/>
      <c r="BA791" s="28"/>
      <c r="BB791" s="28"/>
      <c r="BC791" s="28"/>
      <c r="BD791" s="28"/>
      <c r="BE791" s="28"/>
    </row>
    <row r="792" spans="1:57" ht="14.25" customHeight="1" x14ac:dyDescent="0.2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  <c r="AV792" s="28"/>
      <c r="AW792" s="28"/>
      <c r="AX792" s="28"/>
      <c r="AY792" s="28"/>
      <c r="AZ792" s="28"/>
      <c r="BA792" s="28"/>
      <c r="BB792" s="28"/>
      <c r="BC792" s="28"/>
      <c r="BD792" s="28"/>
      <c r="BE792" s="28"/>
    </row>
    <row r="793" spans="1:57" ht="14.25" customHeight="1" x14ac:dyDescent="0.2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  <c r="AV793" s="28"/>
      <c r="AW793" s="28"/>
      <c r="AX793" s="28"/>
      <c r="AY793" s="28"/>
      <c r="AZ793" s="28"/>
      <c r="BA793" s="28"/>
      <c r="BB793" s="28"/>
      <c r="BC793" s="28"/>
      <c r="BD793" s="28"/>
      <c r="BE793" s="28"/>
    </row>
    <row r="794" spans="1:57" ht="14.25" customHeight="1" x14ac:dyDescent="0.2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  <c r="AV794" s="28"/>
      <c r="AW794" s="28"/>
      <c r="AX794" s="28"/>
      <c r="AY794" s="28"/>
      <c r="AZ794" s="28"/>
      <c r="BA794" s="28"/>
      <c r="BB794" s="28"/>
      <c r="BC794" s="28"/>
      <c r="BD794" s="28"/>
      <c r="BE794" s="28"/>
    </row>
    <row r="795" spans="1:57" ht="14.25" customHeight="1" x14ac:dyDescent="0.2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  <c r="AV795" s="28"/>
      <c r="AW795" s="28"/>
      <c r="AX795" s="28"/>
      <c r="AY795" s="28"/>
      <c r="AZ795" s="28"/>
      <c r="BA795" s="28"/>
      <c r="BB795" s="28"/>
      <c r="BC795" s="28"/>
      <c r="BD795" s="28"/>
      <c r="BE795" s="28"/>
    </row>
    <row r="796" spans="1:57" ht="14.25" customHeight="1" x14ac:dyDescent="0.2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  <c r="AV796" s="28"/>
      <c r="AW796" s="28"/>
      <c r="AX796" s="28"/>
      <c r="AY796" s="28"/>
      <c r="AZ796" s="28"/>
      <c r="BA796" s="28"/>
      <c r="BB796" s="28"/>
      <c r="BC796" s="28"/>
      <c r="BD796" s="28"/>
      <c r="BE796" s="28"/>
    </row>
    <row r="797" spans="1:57" ht="14.25" customHeight="1" x14ac:dyDescent="0.2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  <c r="AV797" s="28"/>
      <c r="AW797" s="28"/>
      <c r="AX797" s="28"/>
      <c r="AY797" s="28"/>
      <c r="AZ797" s="28"/>
      <c r="BA797" s="28"/>
      <c r="BB797" s="28"/>
      <c r="BC797" s="28"/>
      <c r="BD797" s="28"/>
      <c r="BE797" s="28"/>
    </row>
    <row r="798" spans="1:57" ht="14.25" customHeight="1" x14ac:dyDescent="0.2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  <c r="AV798" s="28"/>
      <c r="AW798" s="28"/>
      <c r="AX798" s="28"/>
      <c r="AY798" s="28"/>
      <c r="AZ798" s="28"/>
      <c r="BA798" s="28"/>
      <c r="BB798" s="28"/>
      <c r="BC798" s="28"/>
      <c r="BD798" s="28"/>
      <c r="BE798" s="28"/>
    </row>
    <row r="799" spans="1:57" ht="14.25" customHeight="1" x14ac:dyDescent="0.2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  <c r="AV799" s="28"/>
      <c r="AW799" s="28"/>
      <c r="AX799" s="28"/>
      <c r="AY799" s="28"/>
      <c r="AZ799" s="28"/>
      <c r="BA799" s="28"/>
      <c r="BB799" s="28"/>
      <c r="BC799" s="28"/>
      <c r="BD799" s="28"/>
      <c r="BE799" s="28"/>
    </row>
    <row r="800" spans="1:57" ht="14.25" customHeight="1" x14ac:dyDescent="0.2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  <c r="AV800" s="28"/>
      <c r="AW800" s="28"/>
      <c r="AX800" s="28"/>
      <c r="AY800" s="28"/>
      <c r="AZ800" s="28"/>
      <c r="BA800" s="28"/>
      <c r="BB800" s="28"/>
      <c r="BC800" s="28"/>
      <c r="BD800" s="28"/>
      <c r="BE800" s="28"/>
    </row>
    <row r="801" spans="1:57" ht="14.25" customHeight="1" x14ac:dyDescent="0.2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  <c r="AV801" s="28"/>
      <c r="AW801" s="28"/>
      <c r="AX801" s="28"/>
      <c r="AY801" s="28"/>
      <c r="AZ801" s="28"/>
      <c r="BA801" s="28"/>
      <c r="BB801" s="28"/>
      <c r="BC801" s="28"/>
      <c r="BD801" s="28"/>
      <c r="BE801" s="28"/>
    </row>
    <row r="802" spans="1:57" ht="14.25" customHeight="1" x14ac:dyDescent="0.2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  <c r="AV802" s="28"/>
      <c r="AW802" s="28"/>
      <c r="AX802" s="28"/>
      <c r="AY802" s="28"/>
      <c r="AZ802" s="28"/>
      <c r="BA802" s="28"/>
      <c r="BB802" s="28"/>
      <c r="BC802" s="28"/>
      <c r="BD802" s="28"/>
      <c r="BE802" s="28"/>
    </row>
    <row r="803" spans="1:57" ht="14.25" customHeight="1" x14ac:dyDescent="0.2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  <c r="AV803" s="28"/>
      <c r="AW803" s="28"/>
      <c r="AX803" s="28"/>
      <c r="AY803" s="28"/>
      <c r="AZ803" s="28"/>
      <c r="BA803" s="28"/>
      <c r="BB803" s="28"/>
      <c r="BC803" s="28"/>
      <c r="BD803" s="28"/>
      <c r="BE803" s="28"/>
    </row>
    <row r="804" spans="1:57" ht="14.25" customHeight="1" x14ac:dyDescent="0.2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  <c r="AV804" s="28"/>
      <c r="AW804" s="28"/>
      <c r="AX804" s="28"/>
      <c r="AY804" s="28"/>
      <c r="AZ804" s="28"/>
      <c r="BA804" s="28"/>
      <c r="BB804" s="28"/>
      <c r="BC804" s="28"/>
      <c r="BD804" s="28"/>
      <c r="BE804" s="28"/>
    </row>
    <row r="805" spans="1:57" ht="14.25" customHeight="1" x14ac:dyDescent="0.2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  <c r="AV805" s="28"/>
      <c r="AW805" s="28"/>
      <c r="AX805" s="28"/>
      <c r="AY805" s="28"/>
      <c r="AZ805" s="28"/>
      <c r="BA805" s="28"/>
      <c r="BB805" s="28"/>
      <c r="BC805" s="28"/>
      <c r="BD805" s="28"/>
      <c r="BE805" s="28"/>
    </row>
    <row r="806" spans="1:57" ht="14.25" customHeight="1" x14ac:dyDescent="0.2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  <c r="AV806" s="28"/>
      <c r="AW806" s="28"/>
      <c r="AX806" s="28"/>
      <c r="AY806" s="28"/>
      <c r="AZ806" s="28"/>
      <c r="BA806" s="28"/>
      <c r="BB806" s="28"/>
      <c r="BC806" s="28"/>
      <c r="BD806" s="28"/>
      <c r="BE806" s="28"/>
    </row>
    <row r="807" spans="1:57" ht="14.25" customHeight="1" x14ac:dyDescent="0.2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  <c r="AV807" s="28"/>
      <c r="AW807" s="28"/>
      <c r="AX807" s="28"/>
      <c r="AY807" s="28"/>
      <c r="AZ807" s="28"/>
      <c r="BA807" s="28"/>
      <c r="BB807" s="28"/>
      <c r="BC807" s="28"/>
      <c r="BD807" s="28"/>
      <c r="BE807" s="28"/>
    </row>
    <row r="808" spans="1:57" ht="14.25" customHeight="1" x14ac:dyDescent="0.2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  <c r="AV808" s="28"/>
      <c r="AW808" s="28"/>
      <c r="AX808" s="28"/>
      <c r="AY808" s="28"/>
      <c r="AZ808" s="28"/>
      <c r="BA808" s="28"/>
      <c r="BB808" s="28"/>
      <c r="BC808" s="28"/>
      <c r="BD808" s="28"/>
      <c r="BE808" s="28"/>
    </row>
    <row r="809" spans="1:57" ht="14.25" customHeight="1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  <c r="AV809" s="28"/>
      <c r="AW809" s="28"/>
      <c r="AX809" s="28"/>
      <c r="AY809" s="28"/>
      <c r="AZ809" s="28"/>
      <c r="BA809" s="28"/>
      <c r="BB809" s="28"/>
      <c r="BC809" s="28"/>
      <c r="BD809" s="28"/>
      <c r="BE809" s="28"/>
    </row>
    <row r="810" spans="1:57" ht="14.25" customHeight="1" x14ac:dyDescent="0.2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  <c r="AV810" s="28"/>
      <c r="AW810" s="28"/>
      <c r="AX810" s="28"/>
      <c r="AY810" s="28"/>
      <c r="AZ810" s="28"/>
      <c r="BA810" s="28"/>
      <c r="BB810" s="28"/>
      <c r="BC810" s="28"/>
      <c r="BD810" s="28"/>
      <c r="BE810" s="28"/>
    </row>
    <row r="811" spans="1:57" ht="14.25" customHeight="1" x14ac:dyDescent="0.2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  <c r="AV811" s="28"/>
      <c r="AW811" s="28"/>
      <c r="AX811" s="28"/>
      <c r="AY811" s="28"/>
      <c r="AZ811" s="28"/>
      <c r="BA811" s="28"/>
      <c r="BB811" s="28"/>
      <c r="BC811" s="28"/>
      <c r="BD811" s="28"/>
      <c r="BE811" s="28"/>
    </row>
    <row r="812" spans="1:57" ht="14.25" customHeight="1" x14ac:dyDescent="0.2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  <c r="AV812" s="28"/>
      <c r="AW812" s="28"/>
      <c r="AX812" s="28"/>
      <c r="AY812" s="28"/>
      <c r="AZ812" s="28"/>
      <c r="BA812" s="28"/>
      <c r="BB812" s="28"/>
      <c r="BC812" s="28"/>
      <c r="BD812" s="28"/>
      <c r="BE812" s="28"/>
    </row>
    <row r="813" spans="1:57" ht="14.25" customHeight="1" x14ac:dyDescent="0.2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  <c r="AV813" s="28"/>
      <c r="AW813" s="28"/>
      <c r="AX813" s="28"/>
      <c r="AY813" s="28"/>
      <c r="AZ813" s="28"/>
      <c r="BA813" s="28"/>
      <c r="BB813" s="28"/>
      <c r="BC813" s="28"/>
      <c r="BD813" s="28"/>
      <c r="BE813" s="28"/>
    </row>
    <row r="814" spans="1:57" ht="14.25" customHeight="1" x14ac:dyDescent="0.2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  <c r="AV814" s="28"/>
      <c r="AW814" s="28"/>
      <c r="AX814" s="28"/>
      <c r="AY814" s="28"/>
      <c r="AZ814" s="28"/>
      <c r="BA814" s="28"/>
      <c r="BB814" s="28"/>
      <c r="BC814" s="28"/>
      <c r="BD814" s="28"/>
      <c r="BE814" s="28"/>
    </row>
    <row r="815" spans="1:57" ht="14.25" customHeight="1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  <c r="AV815" s="28"/>
      <c r="AW815" s="28"/>
      <c r="AX815" s="28"/>
      <c r="AY815" s="28"/>
      <c r="AZ815" s="28"/>
      <c r="BA815" s="28"/>
      <c r="BB815" s="28"/>
      <c r="BC815" s="28"/>
      <c r="BD815" s="28"/>
      <c r="BE815" s="28"/>
    </row>
    <row r="816" spans="1:57" ht="14.25" customHeight="1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  <c r="AV816" s="28"/>
      <c r="AW816" s="28"/>
      <c r="AX816" s="28"/>
      <c r="AY816" s="28"/>
      <c r="AZ816" s="28"/>
      <c r="BA816" s="28"/>
      <c r="BB816" s="28"/>
      <c r="BC816" s="28"/>
      <c r="BD816" s="28"/>
      <c r="BE816" s="28"/>
    </row>
    <row r="817" spans="1:57" ht="14.25" customHeight="1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  <c r="AV817" s="28"/>
      <c r="AW817" s="28"/>
      <c r="AX817" s="28"/>
      <c r="AY817" s="28"/>
      <c r="AZ817" s="28"/>
      <c r="BA817" s="28"/>
      <c r="BB817" s="28"/>
      <c r="BC817" s="28"/>
      <c r="BD817" s="28"/>
      <c r="BE817" s="28"/>
    </row>
    <row r="818" spans="1:57" ht="14.25" customHeight="1" x14ac:dyDescent="0.2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  <c r="AV818" s="28"/>
      <c r="AW818" s="28"/>
      <c r="AX818" s="28"/>
      <c r="AY818" s="28"/>
      <c r="AZ818" s="28"/>
      <c r="BA818" s="28"/>
      <c r="BB818" s="28"/>
      <c r="BC818" s="28"/>
      <c r="BD818" s="28"/>
      <c r="BE818" s="28"/>
    </row>
    <row r="819" spans="1:57" ht="14.25" customHeight="1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  <c r="AV819" s="28"/>
      <c r="AW819" s="28"/>
      <c r="AX819" s="28"/>
      <c r="AY819" s="28"/>
      <c r="AZ819" s="28"/>
      <c r="BA819" s="28"/>
      <c r="BB819" s="28"/>
      <c r="BC819" s="28"/>
      <c r="BD819" s="28"/>
      <c r="BE819" s="28"/>
    </row>
    <row r="820" spans="1:57" ht="14.25" customHeight="1" x14ac:dyDescent="0.2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  <c r="AV820" s="28"/>
      <c r="AW820" s="28"/>
      <c r="AX820" s="28"/>
      <c r="AY820" s="28"/>
      <c r="AZ820" s="28"/>
      <c r="BA820" s="28"/>
      <c r="BB820" s="28"/>
      <c r="BC820" s="28"/>
      <c r="BD820" s="28"/>
      <c r="BE820" s="28"/>
    </row>
    <row r="821" spans="1:57" ht="14.25" customHeight="1" x14ac:dyDescent="0.2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  <c r="AV821" s="28"/>
      <c r="AW821" s="28"/>
      <c r="AX821" s="28"/>
      <c r="AY821" s="28"/>
      <c r="AZ821" s="28"/>
      <c r="BA821" s="28"/>
      <c r="BB821" s="28"/>
      <c r="BC821" s="28"/>
      <c r="BD821" s="28"/>
      <c r="BE821" s="28"/>
    </row>
    <row r="822" spans="1:57" ht="14.25" customHeight="1" x14ac:dyDescent="0.2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  <c r="AV822" s="28"/>
      <c r="AW822" s="28"/>
      <c r="AX822" s="28"/>
      <c r="AY822" s="28"/>
      <c r="AZ822" s="28"/>
      <c r="BA822" s="28"/>
      <c r="BB822" s="28"/>
      <c r="BC822" s="28"/>
      <c r="BD822" s="28"/>
      <c r="BE822" s="28"/>
    </row>
    <row r="823" spans="1:57" ht="14.25" customHeight="1" x14ac:dyDescent="0.2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  <c r="AV823" s="28"/>
      <c r="AW823" s="28"/>
      <c r="AX823" s="28"/>
      <c r="AY823" s="28"/>
      <c r="AZ823" s="28"/>
      <c r="BA823" s="28"/>
      <c r="BB823" s="28"/>
      <c r="BC823" s="28"/>
      <c r="BD823" s="28"/>
      <c r="BE823" s="28"/>
    </row>
    <row r="824" spans="1:57" ht="14.25" customHeight="1" x14ac:dyDescent="0.2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  <c r="AV824" s="28"/>
      <c r="AW824" s="28"/>
      <c r="AX824" s="28"/>
      <c r="AY824" s="28"/>
      <c r="AZ824" s="28"/>
      <c r="BA824" s="28"/>
      <c r="BB824" s="28"/>
      <c r="BC824" s="28"/>
      <c r="BD824" s="28"/>
      <c r="BE824" s="28"/>
    </row>
    <row r="825" spans="1:57" ht="14.25" customHeight="1" x14ac:dyDescent="0.2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  <c r="AV825" s="28"/>
      <c r="AW825" s="28"/>
      <c r="AX825" s="28"/>
      <c r="AY825" s="28"/>
      <c r="AZ825" s="28"/>
      <c r="BA825" s="28"/>
      <c r="BB825" s="28"/>
      <c r="BC825" s="28"/>
      <c r="BD825" s="28"/>
      <c r="BE825" s="28"/>
    </row>
    <row r="826" spans="1:57" ht="14.25" customHeight="1" x14ac:dyDescent="0.2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  <c r="AV826" s="28"/>
      <c r="AW826" s="28"/>
      <c r="AX826" s="28"/>
      <c r="AY826" s="28"/>
      <c r="AZ826" s="28"/>
      <c r="BA826" s="28"/>
      <c r="BB826" s="28"/>
      <c r="BC826" s="28"/>
      <c r="BD826" s="28"/>
      <c r="BE826" s="28"/>
    </row>
    <row r="827" spans="1:57" ht="14.25" customHeight="1" x14ac:dyDescent="0.2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  <c r="AV827" s="28"/>
      <c r="AW827" s="28"/>
      <c r="AX827" s="28"/>
      <c r="AY827" s="28"/>
      <c r="AZ827" s="28"/>
      <c r="BA827" s="28"/>
      <c r="BB827" s="28"/>
      <c r="BC827" s="28"/>
      <c r="BD827" s="28"/>
      <c r="BE827" s="28"/>
    </row>
    <row r="828" spans="1:57" ht="14.25" customHeight="1" x14ac:dyDescent="0.2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  <c r="AV828" s="28"/>
      <c r="AW828" s="28"/>
      <c r="AX828" s="28"/>
      <c r="AY828" s="28"/>
      <c r="AZ828" s="28"/>
      <c r="BA828" s="28"/>
      <c r="BB828" s="28"/>
      <c r="BC828" s="28"/>
      <c r="BD828" s="28"/>
      <c r="BE828" s="28"/>
    </row>
    <row r="829" spans="1:57" ht="14.25" customHeight="1" x14ac:dyDescent="0.2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  <c r="AV829" s="28"/>
      <c r="AW829" s="28"/>
      <c r="AX829" s="28"/>
      <c r="AY829" s="28"/>
      <c r="AZ829" s="28"/>
      <c r="BA829" s="28"/>
      <c r="BB829" s="28"/>
      <c r="BC829" s="28"/>
      <c r="BD829" s="28"/>
      <c r="BE829" s="28"/>
    </row>
    <row r="830" spans="1:57" ht="14.25" customHeight="1" x14ac:dyDescent="0.2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  <c r="AV830" s="28"/>
      <c r="AW830" s="28"/>
      <c r="AX830" s="28"/>
      <c r="AY830" s="28"/>
      <c r="AZ830" s="28"/>
      <c r="BA830" s="28"/>
      <c r="BB830" s="28"/>
      <c r="BC830" s="28"/>
      <c r="BD830" s="28"/>
      <c r="BE830" s="28"/>
    </row>
    <row r="831" spans="1:57" ht="14.25" customHeight="1" x14ac:dyDescent="0.2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  <c r="AV831" s="28"/>
      <c r="AW831" s="28"/>
      <c r="AX831" s="28"/>
      <c r="AY831" s="28"/>
      <c r="AZ831" s="28"/>
      <c r="BA831" s="28"/>
      <c r="BB831" s="28"/>
      <c r="BC831" s="28"/>
      <c r="BD831" s="28"/>
      <c r="BE831" s="28"/>
    </row>
    <row r="832" spans="1:57" ht="14.25" customHeight="1" x14ac:dyDescent="0.2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  <c r="AV832" s="28"/>
      <c r="AW832" s="28"/>
      <c r="AX832" s="28"/>
      <c r="AY832" s="28"/>
      <c r="AZ832" s="28"/>
      <c r="BA832" s="28"/>
      <c r="BB832" s="28"/>
      <c r="BC832" s="28"/>
      <c r="BD832" s="28"/>
      <c r="BE832" s="28"/>
    </row>
    <row r="833" spans="1:57" ht="14.25" customHeight="1" x14ac:dyDescent="0.2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  <c r="AV833" s="28"/>
      <c r="AW833" s="28"/>
      <c r="AX833" s="28"/>
      <c r="AY833" s="28"/>
      <c r="AZ833" s="28"/>
      <c r="BA833" s="28"/>
      <c r="BB833" s="28"/>
      <c r="BC833" s="28"/>
      <c r="BD833" s="28"/>
      <c r="BE833" s="28"/>
    </row>
    <row r="834" spans="1:57" ht="14.25" customHeight="1" x14ac:dyDescent="0.2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  <c r="AV834" s="28"/>
      <c r="AW834" s="28"/>
      <c r="AX834" s="28"/>
      <c r="AY834" s="28"/>
      <c r="AZ834" s="28"/>
      <c r="BA834" s="28"/>
      <c r="BB834" s="28"/>
      <c r="BC834" s="28"/>
      <c r="BD834" s="28"/>
      <c r="BE834" s="28"/>
    </row>
    <row r="835" spans="1:57" ht="14.25" customHeight="1" x14ac:dyDescent="0.2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  <c r="AV835" s="28"/>
      <c r="AW835" s="28"/>
      <c r="AX835" s="28"/>
      <c r="AY835" s="28"/>
      <c r="AZ835" s="28"/>
      <c r="BA835" s="28"/>
      <c r="BB835" s="28"/>
      <c r="BC835" s="28"/>
      <c r="BD835" s="28"/>
      <c r="BE835" s="28"/>
    </row>
    <row r="836" spans="1:57" ht="14.25" customHeight="1" x14ac:dyDescent="0.2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  <c r="AV836" s="28"/>
      <c r="AW836" s="28"/>
      <c r="AX836" s="28"/>
      <c r="AY836" s="28"/>
      <c r="AZ836" s="28"/>
      <c r="BA836" s="28"/>
      <c r="BB836" s="28"/>
      <c r="BC836" s="28"/>
      <c r="BD836" s="28"/>
      <c r="BE836" s="28"/>
    </row>
    <row r="837" spans="1:57" ht="14.25" customHeight="1" x14ac:dyDescent="0.2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  <c r="AV837" s="28"/>
      <c r="AW837" s="28"/>
      <c r="AX837" s="28"/>
      <c r="AY837" s="28"/>
      <c r="AZ837" s="28"/>
      <c r="BA837" s="28"/>
      <c r="BB837" s="28"/>
      <c r="BC837" s="28"/>
      <c r="BD837" s="28"/>
      <c r="BE837" s="28"/>
    </row>
    <row r="838" spans="1:57" ht="14.25" customHeight="1" x14ac:dyDescent="0.2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  <c r="AV838" s="28"/>
      <c r="AW838" s="28"/>
      <c r="AX838" s="28"/>
      <c r="AY838" s="28"/>
      <c r="AZ838" s="28"/>
      <c r="BA838" s="28"/>
      <c r="BB838" s="28"/>
      <c r="BC838" s="28"/>
      <c r="BD838" s="28"/>
      <c r="BE838" s="28"/>
    </row>
    <row r="839" spans="1:57" ht="14.25" customHeight="1" x14ac:dyDescent="0.2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  <c r="AV839" s="28"/>
      <c r="AW839" s="28"/>
      <c r="AX839" s="28"/>
      <c r="AY839" s="28"/>
      <c r="AZ839" s="28"/>
      <c r="BA839" s="28"/>
      <c r="BB839" s="28"/>
      <c r="BC839" s="28"/>
      <c r="BD839" s="28"/>
      <c r="BE839" s="28"/>
    </row>
    <row r="840" spans="1:57" ht="14.25" customHeight="1" x14ac:dyDescent="0.2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  <c r="AV840" s="28"/>
      <c r="AW840" s="28"/>
      <c r="AX840" s="28"/>
      <c r="AY840" s="28"/>
      <c r="AZ840" s="28"/>
      <c r="BA840" s="28"/>
      <c r="BB840" s="28"/>
      <c r="BC840" s="28"/>
      <c r="BD840" s="28"/>
      <c r="BE840" s="28"/>
    </row>
    <row r="841" spans="1:57" ht="14.25" customHeight="1" x14ac:dyDescent="0.2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  <c r="AV841" s="28"/>
      <c r="AW841" s="28"/>
      <c r="AX841" s="28"/>
      <c r="AY841" s="28"/>
      <c r="AZ841" s="28"/>
      <c r="BA841" s="28"/>
      <c r="BB841" s="28"/>
      <c r="BC841" s="28"/>
      <c r="BD841" s="28"/>
      <c r="BE841" s="28"/>
    </row>
    <row r="842" spans="1:57" ht="14.25" customHeight="1" x14ac:dyDescent="0.2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  <c r="AV842" s="28"/>
      <c r="AW842" s="28"/>
      <c r="AX842" s="28"/>
      <c r="AY842" s="28"/>
      <c r="AZ842" s="28"/>
      <c r="BA842" s="28"/>
      <c r="BB842" s="28"/>
      <c r="BC842" s="28"/>
      <c r="BD842" s="28"/>
      <c r="BE842" s="28"/>
    </row>
    <row r="843" spans="1:57" ht="14.25" customHeight="1" x14ac:dyDescent="0.2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  <c r="AV843" s="28"/>
      <c r="AW843" s="28"/>
      <c r="AX843" s="28"/>
      <c r="AY843" s="28"/>
      <c r="AZ843" s="28"/>
      <c r="BA843" s="28"/>
      <c r="BB843" s="28"/>
      <c r="BC843" s="28"/>
      <c r="BD843" s="28"/>
      <c r="BE843" s="28"/>
    </row>
    <row r="844" spans="1:57" ht="14.25" customHeight="1" x14ac:dyDescent="0.2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  <c r="AV844" s="28"/>
      <c r="AW844" s="28"/>
      <c r="AX844" s="28"/>
      <c r="AY844" s="28"/>
      <c r="AZ844" s="28"/>
      <c r="BA844" s="28"/>
      <c r="BB844" s="28"/>
      <c r="BC844" s="28"/>
      <c r="BD844" s="28"/>
      <c r="BE844" s="28"/>
    </row>
    <row r="845" spans="1:57" ht="14.25" customHeight="1" x14ac:dyDescent="0.2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  <c r="AV845" s="28"/>
      <c r="AW845" s="28"/>
      <c r="AX845" s="28"/>
      <c r="AY845" s="28"/>
      <c r="AZ845" s="28"/>
      <c r="BA845" s="28"/>
      <c r="BB845" s="28"/>
      <c r="BC845" s="28"/>
      <c r="BD845" s="28"/>
      <c r="BE845" s="28"/>
    </row>
    <row r="846" spans="1:57" ht="14.25" customHeight="1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  <c r="AV846" s="28"/>
      <c r="AW846" s="28"/>
      <c r="AX846" s="28"/>
      <c r="AY846" s="28"/>
      <c r="AZ846" s="28"/>
      <c r="BA846" s="28"/>
      <c r="BB846" s="28"/>
      <c r="BC846" s="28"/>
      <c r="BD846" s="28"/>
      <c r="BE846" s="28"/>
    </row>
    <row r="847" spans="1:57" ht="14.25" customHeight="1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  <c r="AV847" s="28"/>
      <c r="AW847" s="28"/>
      <c r="AX847" s="28"/>
      <c r="AY847" s="28"/>
      <c r="AZ847" s="28"/>
      <c r="BA847" s="28"/>
      <c r="BB847" s="28"/>
      <c r="BC847" s="28"/>
      <c r="BD847" s="28"/>
      <c r="BE847" s="28"/>
    </row>
    <row r="848" spans="1:57" ht="14.25" customHeight="1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  <c r="AV848" s="28"/>
      <c r="AW848" s="28"/>
      <c r="AX848" s="28"/>
      <c r="AY848" s="28"/>
      <c r="AZ848" s="28"/>
      <c r="BA848" s="28"/>
      <c r="BB848" s="28"/>
      <c r="BC848" s="28"/>
      <c r="BD848" s="28"/>
      <c r="BE848" s="28"/>
    </row>
    <row r="849" spans="1:57" ht="14.25" customHeight="1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  <c r="AV849" s="28"/>
      <c r="AW849" s="28"/>
      <c r="AX849" s="28"/>
      <c r="AY849" s="28"/>
      <c r="AZ849" s="28"/>
      <c r="BA849" s="28"/>
      <c r="BB849" s="28"/>
      <c r="BC849" s="28"/>
      <c r="BD849" s="28"/>
      <c r="BE849" s="28"/>
    </row>
    <row r="850" spans="1:57" ht="14.25" customHeight="1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  <c r="AV850" s="28"/>
      <c r="AW850" s="28"/>
      <c r="AX850" s="28"/>
      <c r="AY850" s="28"/>
      <c r="AZ850" s="28"/>
      <c r="BA850" s="28"/>
      <c r="BB850" s="28"/>
      <c r="BC850" s="28"/>
      <c r="BD850" s="28"/>
      <c r="BE850" s="28"/>
    </row>
    <row r="851" spans="1:57" ht="14.25" customHeight="1" x14ac:dyDescent="0.2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  <c r="AV851" s="28"/>
      <c r="AW851" s="28"/>
      <c r="AX851" s="28"/>
      <c r="AY851" s="28"/>
      <c r="AZ851" s="28"/>
      <c r="BA851" s="28"/>
      <c r="BB851" s="28"/>
      <c r="BC851" s="28"/>
      <c r="BD851" s="28"/>
      <c r="BE851" s="28"/>
    </row>
    <row r="852" spans="1:57" ht="14.25" customHeight="1" x14ac:dyDescent="0.2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  <c r="AV852" s="28"/>
      <c r="AW852" s="28"/>
      <c r="AX852" s="28"/>
      <c r="AY852" s="28"/>
      <c r="AZ852" s="28"/>
      <c r="BA852" s="28"/>
      <c r="BB852" s="28"/>
      <c r="BC852" s="28"/>
      <c r="BD852" s="28"/>
      <c r="BE852" s="28"/>
    </row>
    <row r="853" spans="1:57" ht="14.25" customHeight="1" x14ac:dyDescent="0.2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  <c r="AV853" s="28"/>
      <c r="AW853" s="28"/>
      <c r="AX853" s="28"/>
      <c r="AY853" s="28"/>
      <c r="AZ853" s="28"/>
      <c r="BA853" s="28"/>
      <c r="BB853" s="28"/>
      <c r="BC853" s="28"/>
      <c r="BD853" s="28"/>
      <c r="BE853" s="28"/>
    </row>
    <row r="854" spans="1:57" ht="14.25" customHeight="1" x14ac:dyDescent="0.2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  <c r="AV854" s="28"/>
      <c r="AW854" s="28"/>
      <c r="AX854" s="28"/>
      <c r="AY854" s="28"/>
      <c r="AZ854" s="28"/>
      <c r="BA854" s="28"/>
      <c r="BB854" s="28"/>
      <c r="BC854" s="28"/>
      <c r="BD854" s="28"/>
      <c r="BE854" s="28"/>
    </row>
    <row r="855" spans="1:57" ht="14.25" customHeight="1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  <c r="AV855" s="28"/>
      <c r="AW855" s="28"/>
      <c r="AX855" s="28"/>
      <c r="AY855" s="28"/>
      <c r="AZ855" s="28"/>
      <c r="BA855" s="28"/>
      <c r="BB855" s="28"/>
      <c r="BC855" s="28"/>
      <c r="BD855" s="28"/>
      <c r="BE855" s="28"/>
    </row>
    <row r="856" spans="1:57" ht="14.25" customHeight="1" x14ac:dyDescent="0.2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  <c r="AV856" s="28"/>
      <c r="AW856" s="28"/>
      <c r="AX856" s="28"/>
      <c r="AY856" s="28"/>
      <c r="AZ856" s="28"/>
      <c r="BA856" s="28"/>
      <c r="BB856" s="28"/>
      <c r="BC856" s="28"/>
      <c r="BD856" s="28"/>
      <c r="BE856" s="28"/>
    </row>
    <row r="857" spans="1:57" ht="14.25" customHeight="1" x14ac:dyDescent="0.2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  <c r="AV857" s="28"/>
      <c r="AW857" s="28"/>
      <c r="AX857" s="28"/>
      <c r="AY857" s="28"/>
      <c r="AZ857" s="28"/>
      <c r="BA857" s="28"/>
      <c r="BB857" s="28"/>
      <c r="BC857" s="28"/>
      <c r="BD857" s="28"/>
      <c r="BE857" s="28"/>
    </row>
    <row r="858" spans="1:57" ht="14.25" customHeight="1" x14ac:dyDescent="0.2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  <c r="AV858" s="28"/>
      <c r="AW858" s="28"/>
      <c r="AX858" s="28"/>
      <c r="AY858" s="28"/>
      <c r="AZ858" s="28"/>
      <c r="BA858" s="28"/>
      <c r="BB858" s="28"/>
      <c r="BC858" s="28"/>
      <c r="BD858" s="28"/>
      <c r="BE858" s="28"/>
    </row>
    <row r="859" spans="1:57" ht="14.25" customHeight="1" x14ac:dyDescent="0.2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  <c r="AV859" s="28"/>
      <c r="AW859" s="28"/>
      <c r="AX859" s="28"/>
      <c r="AY859" s="28"/>
      <c r="AZ859" s="28"/>
      <c r="BA859" s="28"/>
      <c r="BB859" s="28"/>
      <c r="BC859" s="28"/>
      <c r="BD859" s="28"/>
      <c r="BE859" s="28"/>
    </row>
    <row r="860" spans="1:57" ht="14.25" customHeight="1" x14ac:dyDescent="0.2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  <c r="AV860" s="28"/>
      <c r="AW860" s="28"/>
      <c r="AX860" s="28"/>
      <c r="AY860" s="28"/>
      <c r="AZ860" s="28"/>
      <c r="BA860" s="28"/>
      <c r="BB860" s="28"/>
      <c r="BC860" s="28"/>
      <c r="BD860" s="28"/>
      <c r="BE860" s="28"/>
    </row>
    <row r="861" spans="1:57" ht="14.25" customHeight="1" x14ac:dyDescent="0.2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  <c r="AV861" s="28"/>
      <c r="AW861" s="28"/>
      <c r="AX861" s="28"/>
      <c r="AY861" s="28"/>
      <c r="AZ861" s="28"/>
      <c r="BA861" s="28"/>
      <c r="BB861" s="28"/>
      <c r="BC861" s="28"/>
      <c r="BD861" s="28"/>
      <c r="BE861" s="28"/>
    </row>
    <row r="862" spans="1:57" ht="14.25" customHeight="1" x14ac:dyDescent="0.2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  <c r="AV862" s="28"/>
      <c r="AW862" s="28"/>
      <c r="AX862" s="28"/>
      <c r="AY862" s="28"/>
      <c r="AZ862" s="28"/>
      <c r="BA862" s="28"/>
      <c r="BB862" s="28"/>
      <c r="BC862" s="28"/>
      <c r="BD862" s="28"/>
      <c r="BE862" s="28"/>
    </row>
    <row r="863" spans="1:57" ht="14.25" customHeight="1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  <c r="AV863" s="28"/>
      <c r="AW863" s="28"/>
      <c r="AX863" s="28"/>
      <c r="AY863" s="28"/>
      <c r="AZ863" s="28"/>
      <c r="BA863" s="28"/>
      <c r="BB863" s="28"/>
      <c r="BC863" s="28"/>
      <c r="BD863" s="28"/>
      <c r="BE863" s="28"/>
    </row>
    <row r="864" spans="1:57" ht="14.25" customHeight="1" x14ac:dyDescent="0.2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  <c r="AV864" s="28"/>
      <c r="AW864" s="28"/>
      <c r="AX864" s="28"/>
      <c r="AY864" s="28"/>
      <c r="AZ864" s="28"/>
      <c r="BA864" s="28"/>
      <c r="BB864" s="28"/>
      <c r="BC864" s="28"/>
      <c r="BD864" s="28"/>
      <c r="BE864" s="28"/>
    </row>
    <row r="865" spans="1:57" ht="14.25" customHeight="1" x14ac:dyDescent="0.2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  <c r="AV865" s="28"/>
      <c r="AW865" s="28"/>
      <c r="AX865" s="28"/>
      <c r="AY865" s="28"/>
      <c r="AZ865" s="28"/>
      <c r="BA865" s="28"/>
      <c r="BB865" s="28"/>
      <c r="BC865" s="28"/>
      <c r="BD865" s="28"/>
      <c r="BE865" s="28"/>
    </row>
    <row r="866" spans="1:57" ht="14.25" customHeight="1" x14ac:dyDescent="0.2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  <c r="AV866" s="28"/>
      <c r="AW866" s="28"/>
      <c r="AX866" s="28"/>
      <c r="AY866" s="28"/>
      <c r="AZ866" s="28"/>
      <c r="BA866" s="28"/>
      <c r="BB866" s="28"/>
      <c r="BC866" s="28"/>
      <c r="BD866" s="28"/>
      <c r="BE866" s="28"/>
    </row>
    <row r="867" spans="1:57" ht="14.25" customHeight="1" x14ac:dyDescent="0.2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  <c r="AV867" s="28"/>
      <c r="AW867" s="28"/>
      <c r="AX867" s="28"/>
      <c r="AY867" s="28"/>
      <c r="AZ867" s="28"/>
      <c r="BA867" s="28"/>
      <c r="BB867" s="28"/>
      <c r="BC867" s="28"/>
      <c r="BD867" s="28"/>
      <c r="BE867" s="28"/>
    </row>
    <row r="868" spans="1:57" ht="14.25" customHeight="1" x14ac:dyDescent="0.2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  <c r="AV868" s="28"/>
      <c r="AW868" s="28"/>
      <c r="AX868" s="28"/>
      <c r="AY868" s="28"/>
      <c r="AZ868" s="28"/>
      <c r="BA868" s="28"/>
      <c r="BB868" s="28"/>
      <c r="BC868" s="28"/>
      <c r="BD868" s="28"/>
      <c r="BE868" s="28"/>
    </row>
    <row r="869" spans="1:57" ht="14.25" customHeight="1" x14ac:dyDescent="0.2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  <c r="AV869" s="28"/>
      <c r="AW869" s="28"/>
      <c r="AX869" s="28"/>
      <c r="AY869" s="28"/>
      <c r="AZ869" s="28"/>
      <c r="BA869" s="28"/>
      <c r="BB869" s="28"/>
      <c r="BC869" s="28"/>
      <c r="BD869" s="28"/>
      <c r="BE869" s="28"/>
    </row>
    <row r="870" spans="1:57" ht="14.25" customHeight="1" x14ac:dyDescent="0.2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  <c r="AV870" s="28"/>
      <c r="AW870" s="28"/>
      <c r="AX870" s="28"/>
      <c r="AY870" s="28"/>
      <c r="AZ870" s="28"/>
      <c r="BA870" s="28"/>
      <c r="BB870" s="28"/>
      <c r="BC870" s="28"/>
      <c r="BD870" s="28"/>
      <c r="BE870" s="28"/>
    </row>
    <row r="871" spans="1:57" ht="14.25" customHeight="1" x14ac:dyDescent="0.2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  <c r="AV871" s="28"/>
      <c r="AW871" s="28"/>
      <c r="AX871" s="28"/>
      <c r="AY871" s="28"/>
      <c r="AZ871" s="28"/>
      <c r="BA871" s="28"/>
      <c r="BB871" s="28"/>
      <c r="BC871" s="28"/>
      <c r="BD871" s="28"/>
      <c r="BE871" s="28"/>
    </row>
    <row r="872" spans="1:57" ht="14.25" customHeight="1" x14ac:dyDescent="0.2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  <c r="AV872" s="28"/>
      <c r="AW872" s="28"/>
      <c r="AX872" s="28"/>
      <c r="AY872" s="28"/>
      <c r="AZ872" s="28"/>
      <c r="BA872" s="28"/>
      <c r="BB872" s="28"/>
      <c r="BC872" s="28"/>
      <c r="BD872" s="28"/>
      <c r="BE872" s="28"/>
    </row>
    <row r="873" spans="1:57" ht="14.25" customHeight="1" x14ac:dyDescent="0.2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  <c r="AV873" s="28"/>
      <c r="AW873" s="28"/>
      <c r="AX873" s="28"/>
      <c r="AY873" s="28"/>
      <c r="AZ873" s="28"/>
      <c r="BA873" s="28"/>
      <c r="BB873" s="28"/>
      <c r="BC873" s="28"/>
      <c r="BD873" s="28"/>
      <c r="BE873" s="28"/>
    </row>
    <row r="874" spans="1:57" ht="14.25" customHeight="1" x14ac:dyDescent="0.2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  <c r="AV874" s="28"/>
      <c r="AW874" s="28"/>
      <c r="AX874" s="28"/>
      <c r="AY874" s="28"/>
      <c r="AZ874" s="28"/>
      <c r="BA874" s="28"/>
      <c r="BB874" s="28"/>
      <c r="BC874" s="28"/>
      <c r="BD874" s="28"/>
      <c r="BE874" s="28"/>
    </row>
    <row r="875" spans="1:57" ht="14.25" customHeight="1" x14ac:dyDescent="0.2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  <c r="AV875" s="28"/>
      <c r="AW875" s="28"/>
      <c r="AX875" s="28"/>
      <c r="AY875" s="28"/>
      <c r="AZ875" s="28"/>
      <c r="BA875" s="28"/>
      <c r="BB875" s="28"/>
      <c r="BC875" s="28"/>
      <c r="BD875" s="28"/>
      <c r="BE875" s="28"/>
    </row>
    <row r="876" spans="1:57" ht="14.25" customHeight="1" x14ac:dyDescent="0.2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  <c r="AV876" s="28"/>
      <c r="AW876" s="28"/>
      <c r="AX876" s="28"/>
      <c r="AY876" s="28"/>
      <c r="AZ876" s="28"/>
      <c r="BA876" s="28"/>
      <c r="BB876" s="28"/>
      <c r="BC876" s="28"/>
      <c r="BD876" s="28"/>
      <c r="BE876" s="28"/>
    </row>
    <row r="877" spans="1:57" ht="14.25" customHeight="1" x14ac:dyDescent="0.2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  <c r="AV877" s="28"/>
      <c r="AW877" s="28"/>
      <c r="AX877" s="28"/>
      <c r="AY877" s="28"/>
      <c r="AZ877" s="28"/>
      <c r="BA877" s="28"/>
      <c r="BB877" s="28"/>
      <c r="BC877" s="28"/>
      <c r="BD877" s="28"/>
      <c r="BE877" s="28"/>
    </row>
    <row r="878" spans="1:57" ht="14.25" customHeight="1" x14ac:dyDescent="0.2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  <c r="AV878" s="28"/>
      <c r="AW878" s="28"/>
      <c r="AX878" s="28"/>
      <c r="AY878" s="28"/>
      <c r="AZ878" s="28"/>
      <c r="BA878" s="28"/>
      <c r="BB878" s="28"/>
      <c r="BC878" s="28"/>
      <c r="BD878" s="28"/>
      <c r="BE878" s="28"/>
    </row>
    <row r="879" spans="1:57" ht="14.25" customHeight="1" x14ac:dyDescent="0.2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  <c r="AV879" s="28"/>
      <c r="AW879" s="28"/>
      <c r="AX879" s="28"/>
      <c r="AY879" s="28"/>
      <c r="AZ879" s="28"/>
      <c r="BA879" s="28"/>
      <c r="BB879" s="28"/>
      <c r="BC879" s="28"/>
      <c r="BD879" s="28"/>
      <c r="BE879" s="28"/>
    </row>
    <row r="880" spans="1:57" ht="14.25" customHeight="1" x14ac:dyDescent="0.2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  <c r="AV880" s="28"/>
      <c r="AW880" s="28"/>
      <c r="AX880" s="28"/>
      <c r="AY880" s="28"/>
      <c r="AZ880" s="28"/>
      <c r="BA880" s="28"/>
      <c r="BB880" s="28"/>
      <c r="BC880" s="28"/>
      <c r="BD880" s="28"/>
      <c r="BE880" s="28"/>
    </row>
    <row r="881" spans="1:57" ht="14.25" customHeight="1" x14ac:dyDescent="0.2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  <c r="AV881" s="28"/>
      <c r="AW881" s="28"/>
      <c r="AX881" s="28"/>
      <c r="AY881" s="28"/>
      <c r="AZ881" s="28"/>
      <c r="BA881" s="28"/>
      <c r="BB881" s="28"/>
      <c r="BC881" s="28"/>
      <c r="BD881" s="28"/>
      <c r="BE881" s="28"/>
    </row>
    <row r="882" spans="1:57" ht="14.25" customHeight="1" x14ac:dyDescent="0.2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  <c r="AV882" s="28"/>
      <c r="AW882" s="28"/>
      <c r="AX882" s="28"/>
      <c r="AY882" s="28"/>
      <c r="AZ882" s="28"/>
      <c r="BA882" s="28"/>
      <c r="BB882" s="28"/>
      <c r="BC882" s="28"/>
      <c r="BD882" s="28"/>
      <c r="BE882" s="28"/>
    </row>
    <row r="883" spans="1:57" ht="14.25" customHeight="1" x14ac:dyDescent="0.2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  <c r="AV883" s="28"/>
      <c r="AW883" s="28"/>
      <c r="AX883" s="28"/>
      <c r="AY883" s="28"/>
      <c r="AZ883" s="28"/>
      <c r="BA883" s="28"/>
      <c r="BB883" s="28"/>
      <c r="BC883" s="28"/>
      <c r="BD883" s="28"/>
      <c r="BE883" s="28"/>
    </row>
    <row r="884" spans="1:57" ht="14.25" customHeight="1" x14ac:dyDescent="0.2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  <c r="AV884" s="28"/>
      <c r="AW884" s="28"/>
      <c r="AX884" s="28"/>
      <c r="AY884" s="28"/>
      <c r="AZ884" s="28"/>
      <c r="BA884" s="28"/>
      <c r="BB884" s="28"/>
      <c r="BC884" s="28"/>
      <c r="BD884" s="28"/>
      <c r="BE884" s="28"/>
    </row>
    <row r="885" spans="1:57" ht="14.25" customHeight="1" x14ac:dyDescent="0.2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  <c r="AV885" s="28"/>
      <c r="AW885" s="28"/>
      <c r="AX885" s="28"/>
      <c r="AY885" s="28"/>
      <c r="AZ885" s="28"/>
      <c r="BA885" s="28"/>
      <c r="BB885" s="28"/>
      <c r="BC885" s="28"/>
      <c r="BD885" s="28"/>
      <c r="BE885" s="28"/>
    </row>
    <row r="886" spans="1:57" ht="14.25" customHeight="1" x14ac:dyDescent="0.2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  <c r="AV886" s="28"/>
      <c r="AW886" s="28"/>
      <c r="AX886" s="28"/>
      <c r="AY886" s="28"/>
      <c r="AZ886" s="28"/>
      <c r="BA886" s="28"/>
      <c r="BB886" s="28"/>
      <c r="BC886" s="28"/>
      <c r="BD886" s="28"/>
      <c r="BE886" s="28"/>
    </row>
    <row r="887" spans="1:57" ht="14.25" customHeight="1" x14ac:dyDescent="0.2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  <c r="AV887" s="28"/>
      <c r="AW887" s="28"/>
      <c r="AX887" s="28"/>
      <c r="AY887" s="28"/>
      <c r="AZ887" s="28"/>
      <c r="BA887" s="28"/>
      <c r="BB887" s="28"/>
      <c r="BC887" s="28"/>
      <c r="BD887" s="28"/>
      <c r="BE887" s="28"/>
    </row>
    <row r="888" spans="1:57" ht="14.25" customHeight="1" x14ac:dyDescent="0.2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  <c r="AV888" s="28"/>
      <c r="AW888" s="28"/>
      <c r="AX888" s="28"/>
      <c r="AY888" s="28"/>
      <c r="AZ888" s="28"/>
      <c r="BA888" s="28"/>
      <c r="BB888" s="28"/>
      <c r="BC888" s="28"/>
      <c r="BD888" s="28"/>
      <c r="BE888" s="28"/>
    </row>
    <row r="889" spans="1:57" ht="14.25" customHeight="1" x14ac:dyDescent="0.2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  <c r="AV889" s="28"/>
      <c r="AW889" s="28"/>
      <c r="AX889" s="28"/>
      <c r="AY889" s="28"/>
      <c r="AZ889" s="28"/>
      <c r="BA889" s="28"/>
      <c r="BB889" s="28"/>
      <c r="BC889" s="28"/>
      <c r="BD889" s="28"/>
      <c r="BE889" s="28"/>
    </row>
    <row r="890" spans="1:57" ht="14.25" customHeight="1" x14ac:dyDescent="0.2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  <c r="AV890" s="28"/>
      <c r="AW890" s="28"/>
      <c r="AX890" s="28"/>
      <c r="AY890" s="28"/>
      <c r="AZ890" s="28"/>
      <c r="BA890" s="28"/>
      <c r="BB890" s="28"/>
      <c r="BC890" s="28"/>
      <c r="BD890" s="28"/>
      <c r="BE890" s="28"/>
    </row>
    <row r="891" spans="1:57" ht="14.25" customHeight="1" x14ac:dyDescent="0.2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  <c r="AV891" s="28"/>
      <c r="AW891" s="28"/>
      <c r="AX891" s="28"/>
      <c r="AY891" s="28"/>
      <c r="AZ891" s="28"/>
      <c r="BA891" s="28"/>
      <c r="BB891" s="28"/>
      <c r="BC891" s="28"/>
      <c r="BD891" s="28"/>
      <c r="BE891" s="28"/>
    </row>
    <row r="892" spans="1:57" ht="14.25" customHeight="1" x14ac:dyDescent="0.2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  <c r="AV892" s="28"/>
      <c r="AW892" s="28"/>
      <c r="AX892" s="28"/>
      <c r="AY892" s="28"/>
      <c r="AZ892" s="28"/>
      <c r="BA892" s="28"/>
      <c r="BB892" s="28"/>
      <c r="BC892" s="28"/>
      <c r="BD892" s="28"/>
      <c r="BE892" s="28"/>
    </row>
    <row r="893" spans="1:57" ht="14.25" customHeight="1" x14ac:dyDescent="0.2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  <c r="AV893" s="28"/>
      <c r="AW893" s="28"/>
      <c r="AX893" s="28"/>
      <c r="AY893" s="28"/>
      <c r="AZ893" s="28"/>
      <c r="BA893" s="28"/>
      <c r="BB893" s="28"/>
      <c r="BC893" s="28"/>
      <c r="BD893" s="28"/>
      <c r="BE893" s="28"/>
    </row>
    <row r="894" spans="1:57" ht="14.25" customHeight="1" x14ac:dyDescent="0.2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  <c r="AV894" s="28"/>
      <c r="AW894" s="28"/>
      <c r="AX894" s="28"/>
      <c r="AY894" s="28"/>
      <c r="AZ894" s="28"/>
      <c r="BA894" s="28"/>
      <c r="BB894" s="28"/>
      <c r="BC894" s="28"/>
      <c r="BD894" s="28"/>
      <c r="BE894" s="28"/>
    </row>
    <row r="895" spans="1:57" ht="14.25" customHeight="1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  <c r="AV895" s="28"/>
      <c r="AW895" s="28"/>
      <c r="AX895" s="28"/>
      <c r="AY895" s="28"/>
      <c r="AZ895" s="28"/>
      <c r="BA895" s="28"/>
      <c r="BB895" s="28"/>
      <c r="BC895" s="28"/>
      <c r="BD895" s="28"/>
      <c r="BE895" s="28"/>
    </row>
    <row r="896" spans="1:57" ht="14.25" customHeight="1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  <c r="AV896" s="28"/>
      <c r="AW896" s="28"/>
      <c r="AX896" s="28"/>
      <c r="AY896" s="28"/>
      <c r="AZ896" s="28"/>
      <c r="BA896" s="28"/>
      <c r="BB896" s="28"/>
      <c r="BC896" s="28"/>
      <c r="BD896" s="28"/>
      <c r="BE896" s="28"/>
    </row>
    <row r="897" spans="1:57" ht="14.25" customHeight="1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  <c r="AV897" s="28"/>
      <c r="AW897" s="28"/>
      <c r="AX897" s="28"/>
      <c r="AY897" s="28"/>
      <c r="AZ897" s="28"/>
      <c r="BA897" s="28"/>
      <c r="BB897" s="28"/>
      <c r="BC897" s="28"/>
      <c r="BD897" s="28"/>
      <c r="BE897" s="28"/>
    </row>
    <row r="898" spans="1:57" ht="14.25" customHeight="1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  <c r="AV898" s="28"/>
      <c r="AW898" s="28"/>
      <c r="AX898" s="28"/>
      <c r="AY898" s="28"/>
      <c r="AZ898" s="28"/>
      <c r="BA898" s="28"/>
      <c r="BB898" s="28"/>
      <c r="BC898" s="28"/>
      <c r="BD898" s="28"/>
      <c r="BE898" s="28"/>
    </row>
    <row r="899" spans="1:57" ht="14.25" customHeight="1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  <c r="AV899" s="28"/>
      <c r="AW899" s="28"/>
      <c r="AX899" s="28"/>
      <c r="AY899" s="28"/>
      <c r="AZ899" s="28"/>
      <c r="BA899" s="28"/>
      <c r="BB899" s="28"/>
      <c r="BC899" s="28"/>
      <c r="BD899" s="28"/>
      <c r="BE899" s="28"/>
    </row>
    <row r="900" spans="1:57" ht="14.25" customHeight="1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  <c r="AV900" s="28"/>
      <c r="AW900" s="28"/>
      <c r="AX900" s="28"/>
      <c r="AY900" s="28"/>
      <c r="AZ900" s="28"/>
      <c r="BA900" s="28"/>
      <c r="BB900" s="28"/>
      <c r="BC900" s="28"/>
      <c r="BD900" s="28"/>
      <c r="BE900" s="28"/>
    </row>
    <row r="901" spans="1:57" ht="14.25" customHeight="1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  <c r="AV901" s="28"/>
      <c r="AW901" s="28"/>
      <c r="AX901" s="28"/>
      <c r="AY901" s="28"/>
      <c r="AZ901" s="28"/>
      <c r="BA901" s="28"/>
      <c r="BB901" s="28"/>
      <c r="BC901" s="28"/>
      <c r="BD901" s="28"/>
      <c r="BE901" s="28"/>
    </row>
    <row r="902" spans="1:57" ht="14.25" customHeight="1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  <c r="AV902" s="28"/>
      <c r="AW902" s="28"/>
      <c r="AX902" s="28"/>
      <c r="AY902" s="28"/>
      <c r="AZ902" s="28"/>
      <c r="BA902" s="28"/>
      <c r="BB902" s="28"/>
      <c r="BC902" s="28"/>
      <c r="BD902" s="28"/>
      <c r="BE902" s="28"/>
    </row>
    <row r="903" spans="1:57" ht="14.25" customHeight="1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  <c r="AV903" s="28"/>
      <c r="AW903" s="28"/>
      <c r="AX903" s="28"/>
      <c r="AY903" s="28"/>
      <c r="AZ903" s="28"/>
      <c r="BA903" s="28"/>
      <c r="BB903" s="28"/>
      <c r="BC903" s="28"/>
      <c r="BD903" s="28"/>
      <c r="BE903" s="28"/>
    </row>
    <row r="904" spans="1:57" ht="14.25" customHeight="1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  <c r="AV904" s="28"/>
      <c r="AW904" s="28"/>
      <c r="AX904" s="28"/>
      <c r="AY904" s="28"/>
      <c r="AZ904" s="28"/>
      <c r="BA904" s="28"/>
      <c r="BB904" s="28"/>
      <c r="BC904" s="28"/>
      <c r="BD904" s="28"/>
      <c r="BE904" s="28"/>
    </row>
    <row r="905" spans="1:57" ht="14.25" customHeight="1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  <c r="AV905" s="28"/>
      <c r="AW905" s="28"/>
      <c r="AX905" s="28"/>
      <c r="AY905" s="28"/>
      <c r="AZ905" s="28"/>
      <c r="BA905" s="28"/>
      <c r="BB905" s="28"/>
      <c r="BC905" s="28"/>
      <c r="BD905" s="28"/>
      <c r="BE905" s="28"/>
    </row>
    <row r="906" spans="1:57" ht="14.25" customHeight="1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  <c r="AV906" s="28"/>
      <c r="AW906" s="28"/>
      <c r="AX906" s="28"/>
      <c r="AY906" s="28"/>
      <c r="AZ906" s="28"/>
      <c r="BA906" s="28"/>
      <c r="BB906" s="28"/>
      <c r="BC906" s="28"/>
      <c r="BD906" s="28"/>
      <c r="BE906" s="28"/>
    </row>
    <row r="907" spans="1:57" ht="14.25" customHeight="1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  <c r="AV907" s="28"/>
      <c r="AW907" s="28"/>
      <c r="AX907" s="28"/>
      <c r="AY907" s="28"/>
      <c r="AZ907" s="28"/>
      <c r="BA907" s="28"/>
      <c r="BB907" s="28"/>
      <c r="BC907" s="28"/>
      <c r="BD907" s="28"/>
      <c r="BE907" s="28"/>
    </row>
    <row r="908" spans="1:57" ht="14.25" customHeight="1" x14ac:dyDescent="0.2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  <c r="AV908" s="28"/>
      <c r="AW908" s="28"/>
      <c r="AX908" s="28"/>
      <c r="AY908" s="28"/>
      <c r="AZ908" s="28"/>
      <c r="BA908" s="28"/>
      <c r="BB908" s="28"/>
      <c r="BC908" s="28"/>
      <c r="BD908" s="28"/>
      <c r="BE908" s="28"/>
    </row>
    <row r="909" spans="1:57" ht="14.25" customHeight="1" x14ac:dyDescent="0.2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  <c r="AV909" s="28"/>
      <c r="AW909" s="28"/>
      <c r="AX909" s="28"/>
      <c r="AY909" s="28"/>
      <c r="AZ909" s="28"/>
      <c r="BA909" s="28"/>
      <c r="BB909" s="28"/>
      <c r="BC909" s="28"/>
      <c r="BD909" s="28"/>
      <c r="BE909" s="28"/>
    </row>
    <row r="910" spans="1:57" ht="14.25" customHeight="1" x14ac:dyDescent="0.2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  <c r="AV910" s="28"/>
      <c r="AW910" s="28"/>
      <c r="AX910" s="28"/>
      <c r="AY910" s="28"/>
      <c r="AZ910" s="28"/>
      <c r="BA910" s="28"/>
      <c r="BB910" s="28"/>
      <c r="BC910" s="28"/>
      <c r="BD910" s="28"/>
      <c r="BE910" s="28"/>
    </row>
    <row r="911" spans="1:57" ht="14.25" customHeight="1" x14ac:dyDescent="0.2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  <c r="AV911" s="28"/>
      <c r="AW911" s="28"/>
      <c r="AX911" s="28"/>
      <c r="AY911" s="28"/>
      <c r="AZ911" s="28"/>
      <c r="BA911" s="28"/>
      <c r="BB911" s="28"/>
      <c r="BC911" s="28"/>
      <c r="BD911" s="28"/>
      <c r="BE911" s="28"/>
    </row>
    <row r="912" spans="1:57" ht="14.25" customHeight="1" x14ac:dyDescent="0.2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  <c r="AV912" s="28"/>
      <c r="AW912" s="28"/>
      <c r="AX912" s="28"/>
      <c r="AY912" s="28"/>
      <c r="AZ912" s="28"/>
      <c r="BA912" s="28"/>
      <c r="BB912" s="28"/>
      <c r="BC912" s="28"/>
      <c r="BD912" s="28"/>
      <c r="BE912" s="28"/>
    </row>
    <row r="913" spans="1:57" ht="14.25" customHeight="1" x14ac:dyDescent="0.2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  <c r="AV913" s="28"/>
      <c r="AW913" s="28"/>
      <c r="AX913" s="28"/>
      <c r="AY913" s="28"/>
      <c r="AZ913" s="28"/>
      <c r="BA913" s="28"/>
      <c r="BB913" s="28"/>
      <c r="BC913" s="28"/>
      <c r="BD913" s="28"/>
      <c r="BE913" s="28"/>
    </row>
    <row r="914" spans="1:57" ht="14.25" customHeight="1" x14ac:dyDescent="0.2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  <c r="AV914" s="28"/>
      <c r="AW914" s="28"/>
      <c r="AX914" s="28"/>
      <c r="AY914" s="28"/>
      <c r="AZ914" s="28"/>
      <c r="BA914" s="28"/>
      <c r="BB914" s="28"/>
      <c r="BC914" s="28"/>
      <c r="BD914" s="28"/>
      <c r="BE914" s="28"/>
    </row>
    <row r="915" spans="1:57" ht="14.25" customHeight="1" x14ac:dyDescent="0.2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  <c r="AV915" s="28"/>
      <c r="AW915" s="28"/>
      <c r="AX915" s="28"/>
      <c r="AY915" s="28"/>
      <c r="AZ915" s="28"/>
      <c r="BA915" s="28"/>
      <c r="BB915" s="28"/>
      <c r="BC915" s="28"/>
      <c r="BD915" s="28"/>
      <c r="BE915" s="28"/>
    </row>
    <row r="916" spans="1:57" ht="14.25" customHeight="1" x14ac:dyDescent="0.2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  <c r="AV916" s="28"/>
      <c r="AW916" s="28"/>
      <c r="AX916" s="28"/>
      <c r="AY916" s="28"/>
      <c r="AZ916" s="28"/>
      <c r="BA916" s="28"/>
      <c r="BB916" s="28"/>
      <c r="BC916" s="28"/>
      <c r="BD916" s="28"/>
      <c r="BE916" s="28"/>
    </row>
    <row r="917" spans="1:57" ht="14.25" customHeight="1" x14ac:dyDescent="0.2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  <c r="AV917" s="28"/>
      <c r="AW917" s="28"/>
      <c r="AX917" s="28"/>
      <c r="AY917" s="28"/>
      <c r="AZ917" s="28"/>
      <c r="BA917" s="28"/>
      <c r="BB917" s="28"/>
      <c r="BC917" s="28"/>
      <c r="BD917" s="28"/>
      <c r="BE917" s="28"/>
    </row>
    <row r="918" spans="1:57" ht="14.25" customHeight="1" x14ac:dyDescent="0.2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  <c r="AV918" s="28"/>
      <c r="AW918" s="28"/>
      <c r="AX918" s="28"/>
      <c r="AY918" s="28"/>
      <c r="AZ918" s="28"/>
      <c r="BA918" s="28"/>
      <c r="BB918" s="28"/>
      <c r="BC918" s="28"/>
      <c r="BD918" s="28"/>
      <c r="BE918" s="28"/>
    </row>
    <row r="919" spans="1:57" ht="14.25" customHeight="1" x14ac:dyDescent="0.2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  <c r="AV919" s="28"/>
      <c r="AW919" s="28"/>
      <c r="AX919" s="28"/>
      <c r="AY919" s="28"/>
      <c r="AZ919" s="28"/>
      <c r="BA919" s="28"/>
      <c r="BB919" s="28"/>
      <c r="BC919" s="28"/>
      <c r="BD919" s="28"/>
      <c r="BE919" s="28"/>
    </row>
    <row r="920" spans="1:57" ht="14.25" customHeight="1" x14ac:dyDescent="0.2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  <c r="AV920" s="28"/>
      <c r="AW920" s="28"/>
      <c r="AX920" s="28"/>
      <c r="AY920" s="28"/>
      <c r="AZ920" s="28"/>
      <c r="BA920" s="28"/>
      <c r="BB920" s="28"/>
      <c r="BC920" s="28"/>
      <c r="BD920" s="28"/>
      <c r="BE920" s="28"/>
    </row>
    <row r="921" spans="1:57" ht="14.25" customHeight="1" x14ac:dyDescent="0.2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  <c r="AV921" s="28"/>
      <c r="AW921" s="28"/>
      <c r="AX921" s="28"/>
      <c r="AY921" s="28"/>
      <c r="AZ921" s="28"/>
      <c r="BA921" s="28"/>
      <c r="BB921" s="28"/>
      <c r="BC921" s="28"/>
      <c r="BD921" s="28"/>
      <c r="BE921" s="28"/>
    </row>
    <row r="922" spans="1:57" ht="14.25" customHeight="1" x14ac:dyDescent="0.2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  <c r="AV922" s="28"/>
      <c r="AW922" s="28"/>
      <c r="AX922" s="28"/>
      <c r="AY922" s="28"/>
      <c r="AZ922" s="28"/>
      <c r="BA922" s="28"/>
      <c r="BB922" s="28"/>
      <c r="BC922" s="28"/>
      <c r="BD922" s="28"/>
      <c r="BE922" s="28"/>
    </row>
    <row r="923" spans="1:57" ht="14.25" customHeight="1" x14ac:dyDescent="0.2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  <c r="AV923" s="28"/>
      <c r="AW923" s="28"/>
      <c r="AX923" s="28"/>
      <c r="AY923" s="28"/>
      <c r="AZ923" s="28"/>
      <c r="BA923" s="28"/>
      <c r="BB923" s="28"/>
      <c r="BC923" s="28"/>
      <c r="BD923" s="28"/>
      <c r="BE923" s="28"/>
    </row>
    <row r="924" spans="1:57" ht="14.25" customHeight="1" x14ac:dyDescent="0.2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  <c r="AV924" s="28"/>
      <c r="AW924" s="28"/>
      <c r="AX924" s="28"/>
      <c r="AY924" s="28"/>
      <c r="AZ924" s="28"/>
      <c r="BA924" s="28"/>
      <c r="BB924" s="28"/>
      <c r="BC924" s="28"/>
      <c r="BD924" s="28"/>
      <c r="BE924" s="28"/>
    </row>
    <row r="925" spans="1:57" ht="14.25" customHeight="1" x14ac:dyDescent="0.2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  <c r="AV925" s="28"/>
      <c r="AW925" s="28"/>
      <c r="AX925" s="28"/>
      <c r="AY925" s="28"/>
      <c r="AZ925" s="28"/>
      <c r="BA925" s="28"/>
      <c r="BB925" s="28"/>
      <c r="BC925" s="28"/>
      <c r="BD925" s="28"/>
      <c r="BE925" s="28"/>
    </row>
    <row r="926" spans="1:57" ht="14.25" customHeight="1" x14ac:dyDescent="0.2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  <c r="AV926" s="28"/>
      <c r="AW926" s="28"/>
      <c r="AX926" s="28"/>
      <c r="AY926" s="28"/>
      <c r="AZ926" s="28"/>
      <c r="BA926" s="28"/>
      <c r="BB926" s="28"/>
      <c r="BC926" s="28"/>
      <c r="BD926" s="28"/>
      <c r="BE926" s="28"/>
    </row>
    <row r="927" spans="1:57" ht="14.25" customHeight="1" x14ac:dyDescent="0.2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  <c r="AV927" s="28"/>
      <c r="AW927" s="28"/>
      <c r="AX927" s="28"/>
      <c r="AY927" s="28"/>
      <c r="AZ927" s="28"/>
      <c r="BA927" s="28"/>
      <c r="BB927" s="28"/>
      <c r="BC927" s="28"/>
      <c r="BD927" s="28"/>
      <c r="BE927" s="28"/>
    </row>
    <row r="928" spans="1:57" ht="14.25" customHeight="1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  <c r="AV928" s="28"/>
      <c r="AW928" s="28"/>
      <c r="AX928" s="28"/>
      <c r="AY928" s="28"/>
      <c r="AZ928" s="28"/>
      <c r="BA928" s="28"/>
      <c r="BB928" s="28"/>
      <c r="BC928" s="28"/>
      <c r="BD928" s="28"/>
      <c r="BE928" s="28"/>
    </row>
    <row r="929" spans="1:57" ht="14.25" customHeight="1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  <c r="AV929" s="28"/>
      <c r="AW929" s="28"/>
      <c r="AX929" s="28"/>
      <c r="AY929" s="28"/>
      <c r="AZ929" s="28"/>
      <c r="BA929" s="28"/>
      <c r="BB929" s="28"/>
      <c r="BC929" s="28"/>
      <c r="BD929" s="28"/>
      <c r="BE929" s="28"/>
    </row>
    <row r="930" spans="1:57" ht="14.25" customHeight="1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  <c r="AV930" s="28"/>
      <c r="AW930" s="28"/>
      <c r="AX930" s="28"/>
      <c r="AY930" s="28"/>
      <c r="AZ930" s="28"/>
      <c r="BA930" s="28"/>
      <c r="BB930" s="28"/>
      <c r="BC930" s="28"/>
      <c r="BD930" s="28"/>
      <c r="BE930" s="28"/>
    </row>
    <row r="931" spans="1:57" ht="14.25" customHeight="1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  <c r="AV931" s="28"/>
      <c r="AW931" s="28"/>
      <c r="AX931" s="28"/>
      <c r="AY931" s="28"/>
      <c r="AZ931" s="28"/>
      <c r="BA931" s="28"/>
      <c r="BB931" s="28"/>
      <c r="BC931" s="28"/>
      <c r="BD931" s="28"/>
      <c r="BE931" s="28"/>
    </row>
    <row r="932" spans="1:57" ht="14.25" customHeight="1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  <c r="AV932" s="28"/>
      <c r="AW932" s="28"/>
      <c r="AX932" s="28"/>
      <c r="AY932" s="28"/>
      <c r="AZ932" s="28"/>
      <c r="BA932" s="28"/>
      <c r="BB932" s="28"/>
      <c r="BC932" s="28"/>
      <c r="BD932" s="28"/>
      <c r="BE932" s="28"/>
    </row>
    <row r="933" spans="1:57" ht="14.25" customHeight="1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  <c r="AV933" s="28"/>
      <c r="AW933" s="28"/>
      <c r="AX933" s="28"/>
      <c r="AY933" s="28"/>
      <c r="AZ933" s="28"/>
      <c r="BA933" s="28"/>
      <c r="BB933" s="28"/>
      <c r="BC933" s="28"/>
      <c r="BD933" s="28"/>
      <c r="BE933" s="28"/>
    </row>
    <row r="934" spans="1:57" ht="14.25" customHeight="1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  <c r="AV934" s="28"/>
      <c r="AW934" s="28"/>
      <c r="AX934" s="28"/>
      <c r="AY934" s="28"/>
      <c r="AZ934" s="28"/>
      <c r="BA934" s="28"/>
      <c r="BB934" s="28"/>
      <c r="BC934" s="28"/>
      <c r="BD934" s="28"/>
      <c r="BE934" s="28"/>
    </row>
    <row r="935" spans="1:57" ht="14.25" customHeight="1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  <c r="AV935" s="28"/>
      <c r="AW935" s="28"/>
      <c r="AX935" s="28"/>
      <c r="AY935" s="28"/>
      <c r="AZ935" s="28"/>
      <c r="BA935" s="28"/>
      <c r="BB935" s="28"/>
      <c r="BC935" s="28"/>
      <c r="BD935" s="28"/>
      <c r="BE935" s="28"/>
    </row>
    <row r="936" spans="1:57" ht="14.25" customHeight="1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  <c r="AV936" s="28"/>
      <c r="AW936" s="28"/>
      <c r="AX936" s="28"/>
      <c r="AY936" s="28"/>
      <c r="AZ936" s="28"/>
      <c r="BA936" s="28"/>
      <c r="BB936" s="28"/>
      <c r="BC936" s="28"/>
      <c r="BD936" s="28"/>
      <c r="BE936" s="28"/>
    </row>
    <row r="937" spans="1:57" ht="14.25" customHeight="1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  <c r="AV937" s="28"/>
      <c r="AW937" s="28"/>
      <c r="AX937" s="28"/>
      <c r="AY937" s="28"/>
      <c r="AZ937" s="28"/>
      <c r="BA937" s="28"/>
      <c r="BB937" s="28"/>
      <c r="BC937" s="28"/>
      <c r="BD937" s="28"/>
      <c r="BE937" s="28"/>
    </row>
    <row r="938" spans="1:57" ht="14.25" customHeight="1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  <c r="AV938" s="28"/>
      <c r="AW938" s="28"/>
      <c r="AX938" s="28"/>
      <c r="AY938" s="28"/>
      <c r="AZ938" s="28"/>
      <c r="BA938" s="28"/>
      <c r="BB938" s="28"/>
      <c r="BC938" s="28"/>
      <c r="BD938" s="28"/>
      <c r="BE938" s="28"/>
    </row>
    <row r="939" spans="1:57" ht="14.25" customHeight="1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  <c r="AV939" s="28"/>
      <c r="AW939" s="28"/>
      <c r="AX939" s="28"/>
      <c r="AY939" s="28"/>
      <c r="AZ939" s="28"/>
      <c r="BA939" s="28"/>
      <c r="BB939" s="28"/>
      <c r="BC939" s="28"/>
      <c r="BD939" s="28"/>
      <c r="BE939" s="28"/>
    </row>
    <row r="940" spans="1:57" ht="14.25" customHeight="1" x14ac:dyDescent="0.2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  <c r="AV940" s="28"/>
      <c r="AW940" s="28"/>
      <c r="AX940" s="28"/>
      <c r="AY940" s="28"/>
      <c r="AZ940" s="28"/>
      <c r="BA940" s="28"/>
      <c r="BB940" s="28"/>
      <c r="BC940" s="28"/>
      <c r="BD940" s="28"/>
      <c r="BE940" s="28"/>
    </row>
    <row r="941" spans="1:57" ht="14.25" customHeight="1" x14ac:dyDescent="0.2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  <c r="AV941" s="28"/>
      <c r="AW941" s="28"/>
      <c r="AX941" s="28"/>
      <c r="AY941" s="28"/>
      <c r="AZ941" s="28"/>
      <c r="BA941" s="28"/>
      <c r="BB941" s="28"/>
      <c r="BC941" s="28"/>
      <c r="BD941" s="28"/>
      <c r="BE941" s="28"/>
    </row>
    <row r="942" spans="1:57" ht="14.25" customHeight="1" x14ac:dyDescent="0.2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  <c r="AV942" s="28"/>
      <c r="AW942" s="28"/>
      <c r="AX942" s="28"/>
      <c r="AY942" s="28"/>
      <c r="AZ942" s="28"/>
      <c r="BA942" s="28"/>
      <c r="BB942" s="28"/>
      <c r="BC942" s="28"/>
      <c r="BD942" s="28"/>
      <c r="BE942" s="28"/>
    </row>
    <row r="943" spans="1:57" ht="14.25" customHeight="1" x14ac:dyDescent="0.2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  <c r="AV943" s="28"/>
      <c r="AW943" s="28"/>
      <c r="AX943" s="28"/>
      <c r="AY943" s="28"/>
      <c r="AZ943" s="28"/>
      <c r="BA943" s="28"/>
      <c r="BB943" s="28"/>
      <c r="BC943" s="28"/>
      <c r="BD943" s="28"/>
      <c r="BE943" s="28"/>
    </row>
    <row r="944" spans="1:57" ht="14.25" customHeight="1" x14ac:dyDescent="0.2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  <c r="AV944" s="28"/>
      <c r="AW944" s="28"/>
      <c r="AX944" s="28"/>
      <c r="AY944" s="28"/>
      <c r="AZ944" s="28"/>
      <c r="BA944" s="28"/>
      <c r="BB944" s="28"/>
      <c r="BC944" s="28"/>
      <c r="BD944" s="28"/>
      <c r="BE944" s="28"/>
    </row>
    <row r="945" spans="1:57" ht="14.25" customHeight="1" x14ac:dyDescent="0.2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  <c r="AV945" s="28"/>
      <c r="AW945" s="28"/>
      <c r="AX945" s="28"/>
      <c r="AY945" s="28"/>
      <c r="AZ945" s="28"/>
      <c r="BA945" s="28"/>
      <c r="BB945" s="28"/>
      <c r="BC945" s="28"/>
      <c r="BD945" s="28"/>
      <c r="BE945" s="28"/>
    </row>
    <row r="946" spans="1:57" ht="14.25" customHeight="1" x14ac:dyDescent="0.2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  <c r="AV946" s="28"/>
      <c r="AW946" s="28"/>
      <c r="AX946" s="28"/>
      <c r="AY946" s="28"/>
      <c r="AZ946" s="28"/>
      <c r="BA946" s="28"/>
      <c r="BB946" s="28"/>
      <c r="BC946" s="28"/>
      <c r="BD946" s="28"/>
      <c r="BE946" s="28"/>
    </row>
    <row r="947" spans="1:57" ht="14.25" customHeight="1" x14ac:dyDescent="0.2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  <c r="AV947" s="28"/>
      <c r="AW947" s="28"/>
      <c r="AX947" s="28"/>
      <c r="AY947" s="28"/>
      <c r="AZ947" s="28"/>
      <c r="BA947" s="28"/>
      <c r="BB947" s="28"/>
      <c r="BC947" s="28"/>
      <c r="BD947" s="28"/>
      <c r="BE947" s="28"/>
    </row>
    <row r="948" spans="1:57" ht="14.25" customHeight="1" x14ac:dyDescent="0.2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  <c r="AV948" s="28"/>
      <c r="AW948" s="28"/>
      <c r="AX948" s="28"/>
      <c r="AY948" s="28"/>
      <c r="AZ948" s="28"/>
      <c r="BA948" s="28"/>
      <c r="BB948" s="28"/>
      <c r="BC948" s="28"/>
      <c r="BD948" s="28"/>
      <c r="BE948" s="28"/>
    </row>
    <row r="949" spans="1:57" ht="14.25" customHeight="1" x14ac:dyDescent="0.2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  <c r="AV949" s="28"/>
      <c r="AW949" s="28"/>
      <c r="AX949" s="28"/>
      <c r="AY949" s="28"/>
      <c r="AZ949" s="28"/>
      <c r="BA949" s="28"/>
      <c r="BB949" s="28"/>
      <c r="BC949" s="28"/>
      <c r="BD949" s="28"/>
      <c r="BE949" s="28"/>
    </row>
    <row r="950" spans="1:57" ht="14.25" customHeight="1" x14ac:dyDescent="0.2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  <c r="AV950" s="28"/>
      <c r="AW950" s="28"/>
      <c r="AX950" s="28"/>
      <c r="AY950" s="28"/>
      <c r="AZ950" s="28"/>
      <c r="BA950" s="28"/>
      <c r="BB950" s="28"/>
      <c r="BC950" s="28"/>
      <c r="BD950" s="28"/>
      <c r="BE950" s="28"/>
    </row>
    <row r="951" spans="1:57" ht="14.25" customHeight="1" x14ac:dyDescent="0.2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  <c r="AV951" s="28"/>
      <c r="AW951" s="28"/>
      <c r="AX951" s="28"/>
      <c r="AY951" s="28"/>
      <c r="AZ951" s="28"/>
      <c r="BA951" s="28"/>
      <c r="BB951" s="28"/>
      <c r="BC951" s="28"/>
      <c r="BD951" s="28"/>
      <c r="BE951" s="28"/>
    </row>
    <row r="952" spans="1:57" ht="14.25" customHeight="1" x14ac:dyDescent="0.2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  <c r="AV952" s="28"/>
      <c r="AW952" s="28"/>
      <c r="AX952" s="28"/>
      <c r="AY952" s="28"/>
      <c r="AZ952" s="28"/>
      <c r="BA952" s="28"/>
      <c r="BB952" s="28"/>
      <c r="BC952" s="28"/>
      <c r="BD952" s="28"/>
      <c r="BE952" s="28"/>
    </row>
    <row r="953" spans="1:57" ht="14.25" customHeight="1" x14ac:dyDescent="0.2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  <c r="AV953" s="28"/>
      <c r="AW953" s="28"/>
      <c r="AX953" s="28"/>
      <c r="AY953" s="28"/>
      <c r="AZ953" s="28"/>
      <c r="BA953" s="28"/>
      <c r="BB953" s="28"/>
      <c r="BC953" s="28"/>
      <c r="BD953" s="28"/>
      <c r="BE953" s="28"/>
    </row>
    <row r="954" spans="1:57" ht="14.25" customHeight="1" x14ac:dyDescent="0.2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  <c r="AV954" s="28"/>
      <c r="AW954" s="28"/>
      <c r="AX954" s="28"/>
      <c r="AY954" s="28"/>
      <c r="AZ954" s="28"/>
      <c r="BA954" s="28"/>
      <c r="BB954" s="28"/>
      <c r="BC954" s="28"/>
      <c r="BD954" s="28"/>
      <c r="BE954" s="28"/>
    </row>
    <row r="955" spans="1:57" ht="14.25" customHeight="1" x14ac:dyDescent="0.2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  <c r="AV955" s="28"/>
      <c r="AW955" s="28"/>
      <c r="AX955" s="28"/>
      <c r="AY955" s="28"/>
      <c r="AZ955" s="28"/>
      <c r="BA955" s="28"/>
      <c r="BB955" s="28"/>
      <c r="BC955" s="28"/>
      <c r="BD955" s="28"/>
      <c r="BE955" s="28"/>
    </row>
    <row r="956" spans="1:57" ht="14.25" customHeight="1" x14ac:dyDescent="0.2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  <c r="AV956" s="28"/>
      <c r="AW956" s="28"/>
      <c r="AX956" s="28"/>
      <c r="AY956" s="28"/>
      <c r="AZ956" s="28"/>
      <c r="BA956" s="28"/>
      <c r="BB956" s="28"/>
      <c r="BC956" s="28"/>
      <c r="BD956" s="28"/>
      <c r="BE956" s="28"/>
    </row>
    <row r="957" spans="1:57" ht="14.25" customHeight="1" x14ac:dyDescent="0.2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  <c r="AV957" s="28"/>
      <c r="AW957" s="28"/>
      <c r="AX957" s="28"/>
      <c r="AY957" s="28"/>
      <c r="AZ957" s="28"/>
      <c r="BA957" s="28"/>
      <c r="BB957" s="28"/>
      <c r="BC957" s="28"/>
      <c r="BD957" s="28"/>
      <c r="BE957" s="28"/>
    </row>
    <row r="958" spans="1:57" ht="14.25" customHeight="1" x14ac:dyDescent="0.2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  <c r="AV958" s="28"/>
      <c r="AW958" s="28"/>
      <c r="AX958" s="28"/>
      <c r="AY958" s="28"/>
      <c r="AZ958" s="28"/>
      <c r="BA958" s="28"/>
      <c r="BB958" s="28"/>
      <c r="BC958" s="28"/>
      <c r="BD958" s="28"/>
      <c r="BE958" s="28"/>
    </row>
    <row r="959" spans="1:57" ht="14.25" customHeight="1" x14ac:dyDescent="0.2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  <c r="AV959" s="28"/>
      <c r="AW959" s="28"/>
      <c r="AX959" s="28"/>
      <c r="AY959" s="28"/>
      <c r="AZ959" s="28"/>
      <c r="BA959" s="28"/>
      <c r="BB959" s="28"/>
      <c r="BC959" s="28"/>
      <c r="BD959" s="28"/>
      <c r="BE959" s="28"/>
    </row>
    <row r="960" spans="1:57" ht="14.25" customHeight="1" x14ac:dyDescent="0.2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  <c r="AV960" s="28"/>
      <c r="AW960" s="28"/>
      <c r="AX960" s="28"/>
      <c r="AY960" s="28"/>
      <c r="AZ960" s="28"/>
      <c r="BA960" s="28"/>
      <c r="BB960" s="28"/>
      <c r="BC960" s="28"/>
      <c r="BD960" s="28"/>
      <c r="BE960" s="28"/>
    </row>
    <row r="961" spans="1:57" ht="14.25" customHeight="1" x14ac:dyDescent="0.2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  <c r="AV961" s="28"/>
      <c r="AW961" s="28"/>
      <c r="AX961" s="28"/>
      <c r="AY961" s="28"/>
      <c r="AZ961" s="28"/>
      <c r="BA961" s="28"/>
      <c r="BB961" s="28"/>
      <c r="BC961" s="28"/>
      <c r="BD961" s="28"/>
      <c r="BE961" s="28"/>
    </row>
    <row r="962" spans="1:57" ht="14.25" customHeight="1" x14ac:dyDescent="0.2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  <c r="AV962" s="28"/>
      <c r="AW962" s="28"/>
      <c r="AX962" s="28"/>
      <c r="AY962" s="28"/>
      <c r="AZ962" s="28"/>
      <c r="BA962" s="28"/>
      <c r="BB962" s="28"/>
      <c r="BC962" s="28"/>
      <c r="BD962" s="28"/>
      <c r="BE962" s="28"/>
    </row>
    <row r="963" spans="1:57" ht="14.25" customHeight="1" x14ac:dyDescent="0.2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  <c r="AV963" s="28"/>
      <c r="AW963" s="28"/>
      <c r="AX963" s="28"/>
      <c r="AY963" s="28"/>
      <c r="AZ963" s="28"/>
      <c r="BA963" s="28"/>
      <c r="BB963" s="28"/>
      <c r="BC963" s="28"/>
      <c r="BD963" s="28"/>
      <c r="BE963" s="28"/>
    </row>
    <row r="964" spans="1:57" ht="14.25" customHeight="1" x14ac:dyDescent="0.2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  <c r="AV964" s="28"/>
      <c r="AW964" s="28"/>
      <c r="AX964" s="28"/>
      <c r="AY964" s="28"/>
      <c r="AZ964" s="28"/>
      <c r="BA964" s="28"/>
      <c r="BB964" s="28"/>
      <c r="BC964" s="28"/>
      <c r="BD964" s="28"/>
      <c r="BE964" s="28"/>
    </row>
    <row r="965" spans="1:57" ht="14.25" customHeight="1" x14ac:dyDescent="0.2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  <c r="AV965" s="28"/>
      <c r="AW965" s="28"/>
      <c r="AX965" s="28"/>
      <c r="AY965" s="28"/>
      <c r="AZ965" s="28"/>
      <c r="BA965" s="28"/>
      <c r="BB965" s="28"/>
      <c r="BC965" s="28"/>
      <c r="BD965" s="28"/>
      <c r="BE965" s="28"/>
    </row>
    <row r="966" spans="1:57" ht="14.25" customHeight="1" x14ac:dyDescent="0.2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  <c r="AV966" s="28"/>
      <c r="AW966" s="28"/>
      <c r="AX966" s="28"/>
      <c r="AY966" s="28"/>
      <c r="AZ966" s="28"/>
      <c r="BA966" s="28"/>
      <c r="BB966" s="28"/>
      <c r="BC966" s="28"/>
      <c r="BD966" s="28"/>
      <c r="BE966" s="28"/>
    </row>
    <row r="967" spans="1:57" ht="14.25" customHeight="1" x14ac:dyDescent="0.2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  <c r="AV967" s="28"/>
      <c r="AW967" s="28"/>
      <c r="AX967" s="28"/>
      <c r="AY967" s="28"/>
      <c r="AZ967" s="28"/>
      <c r="BA967" s="28"/>
      <c r="BB967" s="28"/>
      <c r="BC967" s="28"/>
      <c r="BD967" s="28"/>
      <c r="BE967" s="28"/>
    </row>
    <row r="968" spans="1:57" ht="14.25" customHeight="1" x14ac:dyDescent="0.2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  <c r="AV968" s="28"/>
      <c r="AW968" s="28"/>
      <c r="AX968" s="28"/>
      <c r="AY968" s="28"/>
      <c r="AZ968" s="28"/>
      <c r="BA968" s="28"/>
      <c r="BB968" s="28"/>
      <c r="BC968" s="28"/>
      <c r="BD968" s="28"/>
      <c r="BE968" s="28"/>
    </row>
    <row r="969" spans="1:57" ht="14.25" customHeight="1" x14ac:dyDescent="0.2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  <c r="AV969" s="28"/>
      <c r="AW969" s="28"/>
      <c r="AX969" s="28"/>
      <c r="AY969" s="28"/>
      <c r="AZ969" s="28"/>
      <c r="BA969" s="28"/>
      <c r="BB969" s="28"/>
      <c r="BC969" s="28"/>
      <c r="BD969" s="28"/>
      <c r="BE969" s="28"/>
    </row>
    <row r="970" spans="1:57" ht="14.25" customHeight="1" x14ac:dyDescent="0.2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  <c r="AV970" s="28"/>
      <c r="AW970" s="28"/>
      <c r="AX970" s="28"/>
      <c r="AY970" s="28"/>
      <c r="AZ970" s="28"/>
      <c r="BA970" s="28"/>
      <c r="BB970" s="28"/>
      <c r="BC970" s="28"/>
      <c r="BD970" s="28"/>
      <c r="BE970" s="28"/>
    </row>
    <row r="971" spans="1:57" ht="14.25" customHeight="1" x14ac:dyDescent="0.2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  <c r="AV971" s="28"/>
      <c r="AW971" s="28"/>
      <c r="AX971" s="28"/>
      <c r="AY971" s="28"/>
      <c r="AZ971" s="28"/>
      <c r="BA971" s="28"/>
      <c r="BB971" s="28"/>
      <c r="BC971" s="28"/>
      <c r="BD971" s="28"/>
      <c r="BE971" s="28"/>
    </row>
    <row r="972" spans="1:57" ht="14.25" customHeight="1" x14ac:dyDescent="0.2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  <c r="AV972" s="28"/>
      <c r="AW972" s="28"/>
      <c r="AX972" s="28"/>
      <c r="AY972" s="28"/>
      <c r="AZ972" s="28"/>
      <c r="BA972" s="28"/>
      <c r="BB972" s="28"/>
      <c r="BC972" s="28"/>
      <c r="BD972" s="28"/>
      <c r="BE972" s="28"/>
    </row>
    <row r="973" spans="1:57" ht="14.25" customHeight="1" x14ac:dyDescent="0.2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  <c r="AV973" s="28"/>
      <c r="AW973" s="28"/>
      <c r="AX973" s="28"/>
      <c r="AY973" s="28"/>
      <c r="AZ973" s="28"/>
      <c r="BA973" s="28"/>
      <c r="BB973" s="28"/>
      <c r="BC973" s="28"/>
      <c r="BD973" s="28"/>
      <c r="BE973" s="28"/>
    </row>
    <row r="974" spans="1:57" ht="14.25" customHeight="1" x14ac:dyDescent="0.2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  <c r="AV974" s="28"/>
      <c r="AW974" s="28"/>
      <c r="AX974" s="28"/>
      <c r="AY974" s="28"/>
      <c r="AZ974" s="28"/>
      <c r="BA974" s="28"/>
      <c r="BB974" s="28"/>
      <c r="BC974" s="28"/>
      <c r="BD974" s="28"/>
      <c r="BE974" s="28"/>
    </row>
    <row r="975" spans="1:57" ht="14.25" customHeight="1" x14ac:dyDescent="0.2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  <c r="AV975" s="28"/>
      <c r="AW975" s="28"/>
      <c r="AX975" s="28"/>
      <c r="AY975" s="28"/>
      <c r="AZ975" s="28"/>
      <c r="BA975" s="28"/>
      <c r="BB975" s="28"/>
      <c r="BC975" s="28"/>
      <c r="BD975" s="28"/>
      <c r="BE975" s="28"/>
    </row>
    <row r="976" spans="1:57" ht="14.25" customHeight="1" x14ac:dyDescent="0.2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  <c r="AV976" s="28"/>
      <c r="AW976" s="28"/>
      <c r="AX976" s="28"/>
      <c r="AY976" s="28"/>
      <c r="AZ976" s="28"/>
      <c r="BA976" s="28"/>
      <c r="BB976" s="28"/>
      <c r="BC976" s="28"/>
      <c r="BD976" s="28"/>
      <c r="BE976" s="28"/>
    </row>
    <row r="977" spans="1:57" ht="14.25" customHeight="1" x14ac:dyDescent="0.2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  <c r="AV977" s="28"/>
      <c r="AW977" s="28"/>
      <c r="AX977" s="28"/>
      <c r="AY977" s="28"/>
      <c r="AZ977" s="28"/>
      <c r="BA977" s="28"/>
      <c r="BB977" s="28"/>
      <c r="BC977" s="28"/>
      <c r="BD977" s="28"/>
      <c r="BE977" s="28"/>
    </row>
    <row r="978" spans="1:57" ht="14.25" customHeight="1" x14ac:dyDescent="0.2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  <c r="AV978" s="28"/>
      <c r="AW978" s="28"/>
      <c r="AX978" s="28"/>
      <c r="AY978" s="28"/>
      <c r="AZ978" s="28"/>
      <c r="BA978" s="28"/>
      <c r="BB978" s="28"/>
      <c r="BC978" s="28"/>
      <c r="BD978" s="28"/>
      <c r="BE978" s="28"/>
    </row>
    <row r="979" spans="1:57" ht="14.25" customHeight="1" x14ac:dyDescent="0.2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  <c r="AV979" s="28"/>
      <c r="AW979" s="28"/>
      <c r="AX979" s="28"/>
      <c r="AY979" s="28"/>
      <c r="AZ979" s="28"/>
      <c r="BA979" s="28"/>
      <c r="BB979" s="28"/>
      <c r="BC979" s="28"/>
      <c r="BD979" s="28"/>
      <c r="BE979" s="28"/>
    </row>
    <row r="980" spans="1:57" ht="14.25" customHeight="1" x14ac:dyDescent="0.2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  <c r="AV980" s="28"/>
      <c r="AW980" s="28"/>
      <c r="AX980" s="28"/>
      <c r="AY980" s="28"/>
      <c r="AZ980" s="28"/>
      <c r="BA980" s="28"/>
      <c r="BB980" s="28"/>
      <c r="BC980" s="28"/>
      <c r="BD980" s="28"/>
      <c r="BE980" s="28"/>
    </row>
    <row r="981" spans="1:57" ht="14.25" customHeight="1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  <c r="AV981" s="28"/>
      <c r="AW981" s="28"/>
      <c r="AX981" s="28"/>
      <c r="AY981" s="28"/>
      <c r="AZ981" s="28"/>
      <c r="BA981" s="28"/>
      <c r="BB981" s="28"/>
      <c r="BC981" s="28"/>
      <c r="BD981" s="28"/>
      <c r="BE981" s="28"/>
    </row>
    <row r="982" spans="1:57" ht="14.25" customHeight="1" x14ac:dyDescent="0.2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  <c r="AV982" s="28"/>
      <c r="AW982" s="28"/>
      <c r="AX982" s="28"/>
      <c r="AY982" s="28"/>
      <c r="AZ982" s="28"/>
      <c r="BA982" s="28"/>
      <c r="BB982" s="28"/>
      <c r="BC982" s="28"/>
      <c r="BD982" s="28"/>
      <c r="BE982" s="28"/>
    </row>
    <row r="983" spans="1:57" ht="14.25" customHeight="1" x14ac:dyDescent="0.2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  <c r="AV983" s="28"/>
      <c r="AW983" s="28"/>
      <c r="AX983" s="28"/>
      <c r="AY983" s="28"/>
      <c r="AZ983" s="28"/>
      <c r="BA983" s="28"/>
      <c r="BB983" s="28"/>
      <c r="BC983" s="28"/>
      <c r="BD983" s="28"/>
      <c r="BE983" s="28"/>
    </row>
    <row r="984" spans="1:57" ht="14.25" customHeight="1" x14ac:dyDescent="0.2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  <c r="AV984" s="28"/>
      <c r="AW984" s="28"/>
      <c r="AX984" s="28"/>
      <c r="AY984" s="28"/>
      <c r="AZ984" s="28"/>
      <c r="BA984" s="28"/>
      <c r="BB984" s="28"/>
      <c r="BC984" s="28"/>
      <c r="BD984" s="28"/>
      <c r="BE984" s="28"/>
    </row>
    <row r="985" spans="1:57" ht="14.25" customHeight="1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  <c r="AV985" s="28"/>
      <c r="AW985" s="28"/>
      <c r="AX985" s="28"/>
      <c r="AY985" s="28"/>
      <c r="AZ985" s="28"/>
      <c r="BA985" s="28"/>
      <c r="BB985" s="28"/>
      <c r="BC985" s="28"/>
      <c r="BD985" s="28"/>
      <c r="BE985" s="28"/>
    </row>
    <row r="986" spans="1:57" ht="14.25" customHeight="1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  <c r="AV986" s="28"/>
      <c r="AW986" s="28"/>
      <c r="AX986" s="28"/>
      <c r="AY986" s="28"/>
      <c r="AZ986" s="28"/>
      <c r="BA986" s="28"/>
      <c r="BB986" s="28"/>
      <c r="BC986" s="28"/>
      <c r="BD986" s="28"/>
      <c r="BE986" s="28"/>
    </row>
    <row r="987" spans="1:57" ht="14.25" customHeight="1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  <c r="AV987" s="28"/>
      <c r="AW987" s="28"/>
      <c r="AX987" s="28"/>
      <c r="AY987" s="28"/>
      <c r="AZ987" s="28"/>
      <c r="BA987" s="28"/>
      <c r="BB987" s="28"/>
      <c r="BC987" s="28"/>
      <c r="BD987" s="28"/>
      <c r="BE987" s="28"/>
    </row>
    <row r="988" spans="1:57" ht="14.25" customHeight="1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  <c r="AV988" s="28"/>
      <c r="AW988" s="28"/>
      <c r="AX988" s="28"/>
      <c r="AY988" s="28"/>
      <c r="AZ988" s="28"/>
      <c r="BA988" s="28"/>
      <c r="BB988" s="28"/>
      <c r="BC988" s="28"/>
      <c r="BD988" s="28"/>
      <c r="BE988" s="28"/>
    </row>
    <row r="989" spans="1:57" ht="14.25" customHeight="1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  <c r="AV989" s="28"/>
      <c r="AW989" s="28"/>
      <c r="AX989" s="28"/>
      <c r="AY989" s="28"/>
      <c r="AZ989" s="28"/>
      <c r="BA989" s="28"/>
      <c r="BB989" s="28"/>
      <c r="BC989" s="28"/>
      <c r="BD989" s="28"/>
      <c r="BE989" s="28"/>
    </row>
    <row r="990" spans="1:57" ht="14.25" customHeight="1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  <c r="AV990" s="28"/>
      <c r="AW990" s="28"/>
      <c r="AX990" s="28"/>
      <c r="AY990" s="28"/>
      <c r="AZ990" s="28"/>
      <c r="BA990" s="28"/>
      <c r="BB990" s="28"/>
      <c r="BC990" s="28"/>
      <c r="BD990" s="28"/>
      <c r="BE990" s="28"/>
    </row>
    <row r="991" spans="1:57" ht="14.25" customHeight="1" x14ac:dyDescent="0.2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  <c r="AV991" s="28"/>
      <c r="AW991" s="28"/>
      <c r="AX991" s="28"/>
      <c r="AY991" s="28"/>
      <c r="AZ991" s="28"/>
      <c r="BA991" s="28"/>
      <c r="BB991" s="28"/>
      <c r="BC991" s="28"/>
      <c r="BD991" s="28"/>
      <c r="BE991" s="28"/>
    </row>
    <row r="992" spans="1:57" ht="14.25" customHeight="1" x14ac:dyDescent="0.2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  <c r="AV992" s="28"/>
      <c r="AW992" s="28"/>
      <c r="AX992" s="28"/>
      <c r="AY992" s="28"/>
      <c r="AZ992" s="28"/>
      <c r="BA992" s="28"/>
      <c r="BB992" s="28"/>
      <c r="BC992" s="28"/>
      <c r="BD992" s="28"/>
      <c r="BE992" s="28"/>
    </row>
    <row r="993" spans="1:57" ht="14.25" customHeight="1" x14ac:dyDescent="0.2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  <c r="AV993" s="28"/>
      <c r="AW993" s="28"/>
      <c r="AX993" s="28"/>
      <c r="AY993" s="28"/>
      <c r="AZ993" s="28"/>
      <c r="BA993" s="28"/>
      <c r="BB993" s="28"/>
      <c r="BC993" s="28"/>
      <c r="BD993" s="28"/>
      <c r="BE993" s="28"/>
    </row>
    <row r="994" spans="1:57" ht="14.25" customHeight="1" x14ac:dyDescent="0.2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  <c r="AV994" s="28"/>
      <c r="AW994" s="28"/>
      <c r="AX994" s="28"/>
      <c r="AY994" s="28"/>
      <c r="AZ994" s="28"/>
      <c r="BA994" s="28"/>
      <c r="BB994" s="28"/>
      <c r="BC994" s="28"/>
      <c r="BD994" s="28"/>
      <c r="BE994" s="28"/>
    </row>
    <row r="995" spans="1:57" ht="14.25" customHeight="1" x14ac:dyDescent="0.2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  <c r="AV995" s="28"/>
      <c r="AW995" s="28"/>
      <c r="AX995" s="28"/>
      <c r="AY995" s="28"/>
      <c r="AZ995" s="28"/>
      <c r="BA995" s="28"/>
      <c r="BB995" s="28"/>
      <c r="BC995" s="28"/>
      <c r="BD995" s="28"/>
      <c r="BE995" s="28"/>
    </row>
    <row r="996" spans="1:57" ht="14.25" customHeight="1" x14ac:dyDescent="0.2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  <c r="AV996" s="28"/>
      <c r="AW996" s="28"/>
      <c r="AX996" s="28"/>
      <c r="AY996" s="28"/>
      <c r="AZ996" s="28"/>
      <c r="BA996" s="28"/>
      <c r="BB996" s="28"/>
      <c r="BC996" s="28"/>
      <c r="BD996" s="28"/>
      <c r="BE996" s="28"/>
    </row>
    <row r="997" spans="1:57" ht="14.25" customHeight="1" x14ac:dyDescent="0.2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  <c r="AV997" s="28"/>
      <c r="AW997" s="28"/>
      <c r="AX997" s="28"/>
      <c r="AY997" s="28"/>
      <c r="AZ997" s="28"/>
      <c r="BA997" s="28"/>
      <c r="BB997" s="28"/>
      <c r="BC997" s="28"/>
      <c r="BD997" s="28"/>
      <c r="BE997" s="28"/>
    </row>
    <row r="998" spans="1:57" ht="14.25" customHeight="1" x14ac:dyDescent="0.2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  <c r="AV998" s="28"/>
      <c r="AW998" s="28"/>
      <c r="AX998" s="28"/>
      <c r="AY998" s="28"/>
      <c r="AZ998" s="28"/>
      <c r="BA998" s="28"/>
      <c r="BB998" s="28"/>
      <c r="BC998" s="28"/>
      <c r="BD998" s="28"/>
      <c r="BE998" s="28"/>
    </row>
    <row r="999" spans="1:57" ht="14.25" customHeight="1" x14ac:dyDescent="0.2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  <c r="AV999" s="28"/>
      <c r="AW999" s="28"/>
      <c r="AX999" s="28"/>
      <c r="AY999" s="28"/>
      <c r="AZ999" s="28"/>
      <c r="BA999" s="28"/>
      <c r="BB999" s="28"/>
      <c r="BC999" s="28"/>
      <c r="BD999" s="28"/>
      <c r="BE999" s="28"/>
    </row>
    <row r="1000" spans="1:57" ht="14.25" customHeight="1" x14ac:dyDescent="0.2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  <c r="AV1000" s="28"/>
      <c r="AW1000" s="28"/>
      <c r="AX1000" s="28"/>
      <c r="AY1000" s="28"/>
      <c r="AZ1000" s="28"/>
      <c r="BA1000" s="28"/>
      <c r="BB1000" s="28"/>
      <c r="BC1000" s="28"/>
      <c r="BD1000" s="28"/>
      <c r="BE1000" s="28"/>
    </row>
  </sheetData>
  <mergeCells count="2">
    <mergeCell ref="B4:F5"/>
    <mergeCell ref="B16:D17"/>
  </mergeCells>
  <dataValidations count="2">
    <dataValidation type="list" allowBlank="1" showErrorMessage="1" sqref="F17" xr:uid="{00000000-0002-0000-0100-000000000000}">
      <formula1>$Z$7:$Z$9</formula1>
    </dataValidation>
    <dataValidation type="list" allowBlank="1" showErrorMessage="1" sqref="T10" xr:uid="{00000000-0002-0000-0100-000001000000}">
      <formula1>$X$9:$X$12</formula1>
    </dataValidation>
  </dataValidations>
  <pageMargins left="0.7" right="0.7" top="0.75" bottom="0.75" header="0" footer="0"/>
  <pageSetup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C1002"/>
  <sheetViews>
    <sheetView topLeftCell="A28" zoomScale="130" zoomScaleNormal="130" workbookViewId="0">
      <selection activeCell="C61" sqref="C61"/>
    </sheetView>
  </sheetViews>
  <sheetFormatPr defaultColWidth="12.625" defaultRowHeight="15" customHeight="1" x14ac:dyDescent="0.2"/>
  <cols>
    <col min="1" max="1" width="15.625" customWidth="1"/>
    <col min="2" max="2" width="13" customWidth="1"/>
    <col min="3" max="3" width="12" customWidth="1"/>
    <col min="4" max="4" width="14.125" customWidth="1"/>
    <col min="5" max="5" width="13.625" customWidth="1"/>
    <col min="6" max="6" width="12.625" customWidth="1"/>
    <col min="7" max="7" width="12.125" customWidth="1"/>
    <col min="8" max="8" width="10" customWidth="1"/>
    <col min="9" max="9" width="15.625" customWidth="1"/>
    <col min="10" max="13" width="8" customWidth="1"/>
    <col min="14" max="26" width="7.625" customWidth="1"/>
    <col min="27" max="55" width="12.625" style="283"/>
  </cols>
  <sheetData>
    <row r="1" spans="1:27" ht="14.25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7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7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7" x14ac:dyDescent="0.2">
      <c r="A4" s="618" t="s">
        <v>97</v>
      </c>
      <c r="B4" s="619"/>
      <c r="C4" s="62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</row>
    <row r="5" spans="1:27" x14ac:dyDescent="0.2">
      <c r="A5" s="621"/>
      <c r="B5" s="622"/>
      <c r="C5" s="623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</row>
    <row r="6" spans="1:27" x14ac:dyDescent="0.25">
      <c r="A6" s="494"/>
      <c r="B6" s="494"/>
      <c r="C6" s="494"/>
      <c r="D6" s="661" t="b">
        <v>1</v>
      </c>
      <c r="E6" s="661"/>
      <c r="F6" s="661"/>
      <c r="G6" s="662"/>
      <c r="H6" s="661"/>
      <c r="I6" s="661">
        <v>0</v>
      </c>
      <c r="J6" s="661"/>
      <c r="K6" s="661" t="b">
        <v>1</v>
      </c>
      <c r="L6" s="661"/>
      <c r="M6" s="661"/>
      <c r="N6" s="661"/>
      <c r="O6" s="661"/>
      <c r="P6" s="661"/>
      <c r="Q6" s="494"/>
      <c r="R6" s="494"/>
      <c r="S6" s="494"/>
      <c r="T6" s="494"/>
      <c r="U6" s="494"/>
      <c r="V6" s="494"/>
      <c r="W6" s="494"/>
      <c r="X6" s="494"/>
      <c r="Y6" s="494"/>
      <c r="Z6" s="494"/>
      <c r="AA6" s="495"/>
    </row>
    <row r="7" spans="1:27" x14ac:dyDescent="0.25">
      <c r="A7" s="494"/>
      <c r="B7" s="494"/>
      <c r="C7" s="494"/>
      <c r="D7" s="661"/>
      <c r="E7" s="661"/>
      <c r="F7" s="661"/>
      <c r="G7" s="663"/>
      <c r="H7" s="661"/>
      <c r="I7" s="661"/>
      <c r="J7" s="661"/>
      <c r="K7" s="661">
        <v>0</v>
      </c>
      <c r="L7" s="661"/>
      <c r="M7" s="661"/>
      <c r="N7" s="661"/>
      <c r="O7" s="663">
        <f>'Calculated Inputs'!G57</f>
        <v>0.90399999999999991</v>
      </c>
      <c r="P7" s="661"/>
      <c r="Q7" s="494"/>
      <c r="R7" s="494"/>
      <c r="S7" s="494"/>
      <c r="T7" s="494"/>
      <c r="U7" s="494"/>
      <c r="V7" s="494"/>
      <c r="W7" s="494"/>
      <c r="X7" s="494"/>
      <c r="Y7" s="494"/>
      <c r="Z7" s="494"/>
      <c r="AA7" s="495"/>
    </row>
    <row r="8" spans="1:27" x14ac:dyDescent="0.25">
      <c r="A8" s="494"/>
      <c r="B8" s="494"/>
      <c r="C8" s="494"/>
      <c r="D8" s="664"/>
      <c r="E8" s="665">
        <f>'Markov Model_b (2)'!$AE$15</f>
        <v>61128.665828091434</v>
      </c>
      <c r="F8" s="663"/>
      <c r="G8" s="663"/>
      <c r="H8" s="661"/>
      <c r="I8" s="661"/>
      <c r="J8" s="661"/>
      <c r="K8" s="661"/>
      <c r="L8" s="661"/>
      <c r="M8" s="661"/>
      <c r="N8" s="661"/>
      <c r="O8" s="661"/>
      <c r="P8" s="661"/>
      <c r="Q8" s="494"/>
      <c r="R8" s="494"/>
      <c r="S8" s="494"/>
      <c r="T8" s="494"/>
      <c r="U8" s="494"/>
      <c r="V8" s="494"/>
      <c r="W8" s="494"/>
      <c r="X8" s="494"/>
      <c r="Y8" s="494"/>
      <c r="Z8" s="494"/>
      <c r="AA8" s="495"/>
    </row>
    <row r="9" spans="1:27" x14ac:dyDescent="0.25">
      <c r="A9" s="494"/>
      <c r="B9" s="494"/>
      <c r="C9" s="494"/>
      <c r="D9" s="666"/>
      <c r="E9" s="661"/>
      <c r="F9" s="663"/>
      <c r="G9" s="661"/>
      <c r="H9" s="667"/>
      <c r="I9" s="661"/>
      <c r="J9" s="661"/>
      <c r="K9" s="661"/>
      <c r="L9" s="661"/>
      <c r="M9" s="661"/>
      <c r="N9" s="661"/>
      <c r="O9" s="661"/>
      <c r="P9" s="661"/>
      <c r="Q9" s="494"/>
      <c r="R9" s="494"/>
      <c r="S9" s="494"/>
      <c r="T9" s="494"/>
      <c r="U9" s="494"/>
      <c r="V9" s="494"/>
      <c r="W9" s="494"/>
      <c r="X9" s="494"/>
      <c r="Y9" s="494"/>
      <c r="Z9" s="494"/>
      <c r="AA9" s="495"/>
    </row>
    <row r="10" spans="1:27" x14ac:dyDescent="0.25">
      <c r="A10" s="494"/>
      <c r="B10" s="494"/>
      <c r="C10" s="494"/>
      <c r="D10" s="497"/>
      <c r="E10" s="494"/>
      <c r="F10" s="494"/>
      <c r="G10" s="497"/>
      <c r="H10" s="494"/>
      <c r="I10" s="494"/>
      <c r="J10" s="494"/>
      <c r="K10" s="494"/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5"/>
    </row>
    <row r="11" spans="1:27" x14ac:dyDescent="0.25">
      <c r="A11" s="494"/>
      <c r="B11" s="494"/>
      <c r="C11" s="494"/>
      <c r="D11" s="494"/>
      <c r="E11" s="494"/>
      <c r="F11" s="494"/>
      <c r="G11" s="494"/>
      <c r="H11" s="494"/>
      <c r="I11" s="496"/>
      <c r="J11" s="494"/>
      <c r="K11" s="494"/>
      <c r="L11" s="494"/>
      <c r="M11" s="494"/>
      <c r="N11" s="494"/>
      <c r="O11" s="494"/>
      <c r="P11" s="494"/>
      <c r="Q11" s="494"/>
      <c r="R11" s="494"/>
      <c r="S11" s="494"/>
      <c r="T11" s="494"/>
      <c r="U11" s="494"/>
      <c r="V11" s="494"/>
      <c r="W11" s="494"/>
      <c r="X11" s="494"/>
      <c r="Y11" s="494"/>
      <c r="Z11" s="494"/>
      <c r="AA11" s="495"/>
    </row>
    <row r="12" spans="1:27" x14ac:dyDescent="0.25">
      <c r="A12" s="71"/>
      <c r="B12" s="71"/>
      <c r="C12" s="71"/>
      <c r="D12" s="626" t="s">
        <v>98</v>
      </c>
      <c r="E12" s="627"/>
      <c r="F12" s="627"/>
      <c r="G12" s="627"/>
      <c r="H12" s="628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7" ht="15.75" x14ac:dyDescent="0.25">
      <c r="A13" s="74" t="s">
        <v>99</v>
      </c>
      <c r="B13" s="75" t="s">
        <v>100</v>
      </c>
      <c r="C13" s="75" t="s">
        <v>101</v>
      </c>
      <c r="D13" s="76" t="s">
        <v>102</v>
      </c>
      <c r="E13" s="76" t="s">
        <v>103</v>
      </c>
      <c r="F13" s="76" t="s">
        <v>104</v>
      </c>
      <c r="G13" s="76" t="s">
        <v>105</v>
      </c>
      <c r="H13" s="77" t="s">
        <v>106</v>
      </c>
      <c r="I13" s="78" t="s">
        <v>107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7" ht="15.75" customHeight="1" x14ac:dyDescent="0.2">
      <c r="A14" s="79" t="s">
        <v>108</v>
      </c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</row>
    <row r="15" spans="1:27" ht="12.75" customHeight="1" x14ac:dyDescent="0.2">
      <c r="A15" s="81" t="s">
        <v>109</v>
      </c>
      <c r="B15" s="82">
        <v>100</v>
      </c>
      <c r="C15" s="3"/>
      <c r="D15" s="83"/>
      <c r="E15" s="83"/>
      <c r="F15" s="83"/>
      <c r="G15" s="83"/>
      <c r="H15" s="83"/>
      <c r="I15" s="8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7" ht="6" customHeight="1" x14ac:dyDescent="0.2">
      <c r="A16" s="81"/>
      <c r="B16" s="84"/>
      <c r="C16" s="3"/>
      <c r="D16" s="83"/>
      <c r="E16" s="83"/>
      <c r="F16" s="83"/>
      <c r="G16" s="83"/>
      <c r="H16" s="83"/>
      <c r="I16" s="8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x14ac:dyDescent="0.2">
      <c r="A17" s="81" t="s">
        <v>110</v>
      </c>
      <c r="B17" s="85">
        <v>2.47E-3</v>
      </c>
      <c r="C17" s="3"/>
      <c r="D17" s="85"/>
      <c r="E17" s="83"/>
      <c r="F17" s="83"/>
      <c r="G17" s="83"/>
      <c r="H17" s="83"/>
      <c r="I17" s="83" t="s">
        <v>356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x14ac:dyDescent="0.2">
      <c r="A18" s="81" t="s">
        <v>111</v>
      </c>
      <c r="B18" s="85">
        <v>2.5000000000000001E-3</v>
      </c>
      <c r="C18" s="3"/>
      <c r="D18" s="85"/>
      <c r="E18" s="83"/>
      <c r="F18" s="83"/>
      <c r="G18" s="83"/>
      <c r="H18" s="83"/>
      <c r="I18" s="83" t="s">
        <v>383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 x14ac:dyDescent="0.2">
      <c r="A19" s="79" t="s">
        <v>112</v>
      </c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</row>
    <row r="20" spans="1:26" ht="14.25" x14ac:dyDescent="0.2">
      <c r="A20" s="86" t="s">
        <v>113</v>
      </c>
      <c r="B20" s="52"/>
      <c r="C20" s="82"/>
      <c r="D20" s="83"/>
      <c r="E20" s="87"/>
      <c r="F20" s="83"/>
      <c r="G20" s="83"/>
      <c r="H20" s="84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 x14ac:dyDescent="0.2">
      <c r="A21" s="81" t="s">
        <v>114</v>
      </c>
      <c r="B21" s="88">
        <f>IF($K$7=0,D21,C21)</f>
        <v>0.16</v>
      </c>
      <c r="C21" s="89">
        <f ca="1">BETAINV(RAND(),$G$21,$H$21)</f>
        <v>0.15987012588482774</v>
      </c>
      <c r="D21" s="93">
        <v>0.16</v>
      </c>
      <c r="E21" s="91">
        <f>SQRT(G21*H21/((G21+H21)^2*(G21+H21+1)))</f>
        <v>2.0273361199167901E-2</v>
      </c>
      <c r="F21" s="92" t="s">
        <v>115</v>
      </c>
      <c r="G21" s="429">
        <f>326*0.16</f>
        <v>52.160000000000004</v>
      </c>
      <c r="H21" s="430">
        <f>326-G21</f>
        <v>273.83999999999997</v>
      </c>
      <c r="I21" s="3" t="s">
        <v>116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 x14ac:dyDescent="0.2">
      <c r="A22" s="81" t="s">
        <v>117</v>
      </c>
      <c r="B22" s="88">
        <f>IF($K$7=0,D22,C22)</f>
        <v>0.34799999999999998</v>
      </c>
      <c r="C22" s="89">
        <f ca="1">BETAINV(RAND(),$G22,$H$22)</f>
        <v>3.4199900484180645E-2</v>
      </c>
      <c r="D22" s="89">
        <f>'Calculated Inputs'!V33</f>
        <v>0.34799999999999998</v>
      </c>
      <c r="E22" s="91">
        <v>9.6000000000000002E-2</v>
      </c>
      <c r="F22" s="92" t="s">
        <v>115</v>
      </c>
      <c r="G22" s="92">
        <v>0.78749999999999998</v>
      </c>
      <c r="H22" s="82">
        <v>1.4624999999999999</v>
      </c>
      <c r="I22" s="3" t="s">
        <v>118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 x14ac:dyDescent="0.2">
      <c r="A23" s="81" t="s">
        <v>119</v>
      </c>
      <c r="B23" s="88">
        <f t="shared" ref="B23:B25" si="0">IF($K$7=0,D23,C23)</f>
        <v>1.4999999999999999E-2</v>
      </c>
      <c r="C23" s="89">
        <f t="shared" ref="C23:C24" ca="1" si="1">BETAINV(RAND(),$G$23,$H$23)</f>
        <v>1.7660979051672299E-2</v>
      </c>
      <c r="D23" s="93">
        <v>1.4999999999999999E-2</v>
      </c>
      <c r="E23" s="91">
        <f>SQRT(G23*H23/((G23+H23)^2*(G23+H23+1)))</f>
        <v>6.8166003153441396E-3</v>
      </c>
      <c r="F23" s="92" t="s">
        <v>115</v>
      </c>
      <c r="G23" s="92">
        <v>5</v>
      </c>
      <c r="H23" s="82">
        <f>325-5</f>
        <v>320</v>
      </c>
      <c r="I23" s="3" t="s">
        <v>120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 x14ac:dyDescent="0.2">
      <c r="A24" s="81" t="s">
        <v>121</v>
      </c>
      <c r="B24" s="88">
        <f t="shared" si="0"/>
        <v>0.86199999999999999</v>
      </c>
      <c r="C24" s="89">
        <f t="shared" ca="1" si="1"/>
        <v>8.4977146714909149E-3</v>
      </c>
      <c r="D24" s="89">
        <f>'Calculated Inputs'!F57</f>
        <v>0.86199999999999999</v>
      </c>
      <c r="E24" s="91">
        <v>0.1</v>
      </c>
      <c r="F24" s="92" t="s">
        <v>115</v>
      </c>
      <c r="G24" s="92">
        <v>0.17499999999999999</v>
      </c>
      <c r="H24" s="82">
        <v>2.9000000000000001E-2</v>
      </c>
      <c r="I24" s="3" t="s">
        <v>122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 x14ac:dyDescent="0.2">
      <c r="A25" s="81" t="s">
        <v>123</v>
      </c>
      <c r="B25" s="88">
        <f t="shared" si="0"/>
        <v>0.81200000000000006</v>
      </c>
      <c r="C25" s="89">
        <f ca="1">BETAINV(RAND(),$G$25,$H$25)</f>
        <v>0.80360632331708604</v>
      </c>
      <c r="D25" s="90">
        <v>0.81200000000000006</v>
      </c>
      <c r="E25" s="91">
        <f>SQRT(G25*H25/((G25+H25)^2*(G25+H25+1)))</f>
        <v>2.2353121476875782E-2</v>
      </c>
      <c r="F25" s="92" t="s">
        <v>115</v>
      </c>
      <c r="G25" s="92">
        <v>263</v>
      </c>
      <c r="H25" s="82">
        <f>325-254</f>
        <v>71</v>
      </c>
      <c r="I25" s="3" t="s">
        <v>124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 x14ac:dyDescent="0.2">
      <c r="A26" s="94"/>
      <c r="B26" s="52"/>
      <c r="C26" s="82"/>
      <c r="D26" s="95"/>
      <c r="E26" s="96"/>
      <c r="F26" s="83"/>
      <c r="G26" s="83"/>
      <c r="H26" s="84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 x14ac:dyDescent="0.2">
      <c r="A27" s="86" t="s">
        <v>125</v>
      </c>
      <c r="B27" s="52"/>
      <c r="C27" s="82"/>
      <c r="D27" s="89"/>
      <c r="E27" s="92"/>
      <c r="F27" s="92"/>
      <c r="G27" s="83"/>
      <c r="H27" s="8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 x14ac:dyDescent="0.2">
      <c r="A28" s="81" t="s">
        <v>114</v>
      </c>
      <c r="B28" s="88">
        <f>IF($K$7=0,D28,C28)</f>
        <v>0.4</v>
      </c>
      <c r="C28" s="89">
        <f ca="1">BETAINV(RAND(),$G$28,$H$28)</f>
        <v>0.35957207804077235</v>
      </c>
      <c r="D28" s="93">
        <v>0.4</v>
      </c>
      <c r="E28" s="91">
        <f>SQRT(G28*H28/((G28+H28)^2*(G28+H28+1)))</f>
        <v>3.7463432463267755E-2</v>
      </c>
      <c r="F28" s="92" t="s">
        <v>115</v>
      </c>
      <c r="G28" s="92">
        <f>170*0.4</f>
        <v>68</v>
      </c>
      <c r="H28" s="82">
        <f>170-G28</f>
        <v>102</v>
      </c>
      <c r="I28" s="3" t="s">
        <v>126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 x14ac:dyDescent="0.2">
      <c r="A29" s="81" t="s">
        <v>117</v>
      </c>
      <c r="B29" s="88">
        <f t="shared" ref="B29:B32" si="2">IF($K$7=0,D29,C29)</f>
        <v>0.34799999999999998</v>
      </c>
      <c r="C29" s="89">
        <f ca="1">BETAINV(RAND(),$G$29,$H$29)</f>
        <v>0.99005968787191012</v>
      </c>
      <c r="D29" s="89">
        <f>'Calculated Inputs'!V33</f>
        <v>0.34799999999999998</v>
      </c>
      <c r="E29" s="91">
        <v>9.6000000000000002E-2</v>
      </c>
      <c r="F29" s="92" t="s">
        <v>115</v>
      </c>
      <c r="G29" s="92">
        <v>0.78600000000000003</v>
      </c>
      <c r="H29" s="82">
        <v>0.83199999999999996</v>
      </c>
      <c r="I29" s="3" t="s">
        <v>127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 x14ac:dyDescent="0.2">
      <c r="A30" s="81" t="s">
        <v>119</v>
      </c>
      <c r="B30" s="88">
        <f t="shared" si="2"/>
        <v>1.7999999999999999E-2</v>
      </c>
      <c r="C30" s="89">
        <f ca="1">BETAINV(RAND(),$G$30,$H$30)</f>
        <v>2.6779927455697597E-3</v>
      </c>
      <c r="D30" s="93">
        <v>1.7999999999999999E-2</v>
      </c>
      <c r="E30" s="91">
        <f>SQRT(G30*H30/((G30+H30)^2*(G30+H30+1)))</f>
        <v>1.0127529247771562E-2</v>
      </c>
      <c r="F30" s="92" t="s">
        <v>115</v>
      </c>
      <c r="G30" s="92">
        <v>3</v>
      </c>
      <c r="H30" s="82">
        <f>170-4</f>
        <v>166</v>
      </c>
      <c r="I30" s="3" t="s">
        <v>120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 x14ac:dyDescent="0.2">
      <c r="A31" s="81" t="s">
        <v>121</v>
      </c>
      <c r="B31" s="88">
        <f t="shared" si="2"/>
        <v>0.90399999999999991</v>
      </c>
      <c r="C31" s="89">
        <f ca="1">BETAINV(RAND(),$G$31,$H$31)</f>
        <v>2.3339631153773829E-4</v>
      </c>
      <c r="D31" s="89">
        <f>'Calculated Inputs'!G57</f>
        <v>0.90399999999999991</v>
      </c>
      <c r="E31" s="91">
        <v>0.09</v>
      </c>
      <c r="F31" s="92" t="s">
        <v>115</v>
      </c>
      <c r="G31" s="92">
        <v>0.28999999999999998</v>
      </c>
      <c r="H31" s="82">
        <v>0.05</v>
      </c>
      <c r="I31" s="3" t="s">
        <v>128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 x14ac:dyDescent="0.2">
      <c r="A32" s="81" t="s">
        <v>123</v>
      </c>
      <c r="B32" s="88">
        <f t="shared" si="2"/>
        <v>0.76500000000000001</v>
      </c>
      <c r="C32" s="89">
        <f ca="1">BETAINV(RAND(),$G$32,$H$32)</f>
        <v>0.76141757433987767</v>
      </c>
      <c r="D32" s="63">
        <f>1-0.235</f>
        <v>0.76500000000000001</v>
      </c>
      <c r="E32" s="97">
        <f>SQRT(G32*H32/((G32+H32)^2*(G32+H32+1)))</f>
        <v>3.2504206301395083E-2</v>
      </c>
      <c r="F32" s="92" t="s">
        <v>115</v>
      </c>
      <c r="G32" s="92">
        <v>131</v>
      </c>
      <c r="H32" s="82">
        <f>170-128</f>
        <v>42</v>
      </c>
      <c r="I32" s="3" t="s">
        <v>124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 x14ac:dyDescent="0.2">
      <c r="A33" s="79" t="s">
        <v>129</v>
      </c>
      <c r="B33" s="80"/>
      <c r="C33" s="80"/>
      <c r="D33" s="98"/>
      <c r="E33" s="98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</row>
    <row r="34" spans="1:26" ht="15.75" customHeight="1" x14ac:dyDescent="0.2">
      <c r="A34" s="35" t="s">
        <v>130</v>
      </c>
      <c r="B34" s="99">
        <f t="shared" ref="B34:B41" si="3">IF($K$7=0,D34,C34)</f>
        <v>12182.016</v>
      </c>
      <c r="C34" s="100">
        <f ca="1">GAMMAINV(RAND(),$G$34,$H$34)</f>
        <v>16095.871124061578</v>
      </c>
      <c r="D34" s="100">
        <f>'Calculated Inputs'!F13</f>
        <v>12182.016</v>
      </c>
      <c r="E34" s="100">
        <f>0.2*D34</f>
        <v>2436.4032000000002</v>
      </c>
      <c r="F34" s="92" t="s">
        <v>131</v>
      </c>
      <c r="G34" s="100">
        <v>25</v>
      </c>
      <c r="H34" s="100">
        <v>498.04</v>
      </c>
      <c r="I34" s="83" t="s">
        <v>132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 x14ac:dyDescent="0.2">
      <c r="A35" s="35" t="s">
        <v>133</v>
      </c>
      <c r="B35" s="99">
        <f t="shared" si="3"/>
        <v>0</v>
      </c>
      <c r="C35" s="100">
        <v>0</v>
      </c>
      <c r="D35" s="100">
        <v>0</v>
      </c>
      <c r="E35" s="100">
        <v>0</v>
      </c>
      <c r="F35" s="92" t="s">
        <v>131</v>
      </c>
      <c r="G35" s="101">
        <v>0</v>
      </c>
      <c r="H35" s="101">
        <v>0</v>
      </c>
      <c r="I35" s="83" t="s">
        <v>134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 x14ac:dyDescent="0.2">
      <c r="A36" s="35" t="s">
        <v>135</v>
      </c>
      <c r="B36" s="99">
        <f t="shared" si="3"/>
        <v>18604.830000000002</v>
      </c>
      <c r="C36" s="100">
        <f ca="1">GAMMAINV(RAND(),$G$36,$H$36)</f>
        <v>16841.720142716822</v>
      </c>
      <c r="D36" s="100">
        <f>'Calculated Inputs'!F36</f>
        <v>18604.830000000002</v>
      </c>
      <c r="E36" s="100">
        <f t="shared" ref="E36:E41" si="4">D36*0.2</f>
        <v>3720.9660000000003</v>
      </c>
      <c r="F36" s="92" t="s">
        <v>131</v>
      </c>
      <c r="G36" s="101">
        <v>25</v>
      </c>
      <c r="H36" s="101">
        <v>744.2</v>
      </c>
      <c r="I36" s="83" t="s">
        <v>136</v>
      </c>
      <c r="J36" s="3"/>
      <c r="K36" s="3"/>
      <c r="L36" s="61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 x14ac:dyDescent="0.2">
      <c r="A37" s="35" t="s">
        <v>137</v>
      </c>
      <c r="B37" s="99">
        <f t="shared" si="3"/>
        <v>1237.24</v>
      </c>
      <c r="C37" s="100">
        <f ca="1">GAMMAINV(RAND(),$G$37,$H$37)</f>
        <v>1234.7295042180099</v>
      </c>
      <c r="D37" s="100">
        <f>'Calculated Inputs'!V21</f>
        <v>1237.24</v>
      </c>
      <c r="E37" s="100">
        <f t="shared" si="4"/>
        <v>247.44800000000001</v>
      </c>
      <c r="F37" s="92" t="s">
        <v>131</v>
      </c>
      <c r="G37" s="101">
        <v>25</v>
      </c>
      <c r="H37" s="101">
        <v>49.48</v>
      </c>
      <c r="I37" s="83" t="s">
        <v>138</v>
      </c>
      <c r="J37" s="3"/>
      <c r="K37" s="3"/>
      <c r="L37" s="61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 x14ac:dyDescent="0.2">
      <c r="A38" s="35" t="s">
        <v>139</v>
      </c>
      <c r="B38" s="99">
        <f t="shared" si="3"/>
        <v>45002</v>
      </c>
      <c r="C38" s="100">
        <f ca="1">GAMMAINV(RAND(),$G$38,$H$38)</f>
        <v>37012.099116881138</v>
      </c>
      <c r="D38" s="100">
        <f>'Calculated Inputs'!F21</f>
        <v>45002</v>
      </c>
      <c r="E38" s="100">
        <f t="shared" si="4"/>
        <v>9000.4</v>
      </c>
      <c r="F38" s="92" t="s">
        <v>131</v>
      </c>
      <c r="G38" s="101">
        <v>25</v>
      </c>
      <c r="H38" s="101">
        <v>1800.08</v>
      </c>
      <c r="I38" s="83" t="s">
        <v>140</v>
      </c>
      <c r="J38" s="3"/>
      <c r="K38" s="3"/>
      <c r="L38" s="61">
        <f>'Calculated Inputs'!F21</f>
        <v>45002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 x14ac:dyDescent="0.2">
      <c r="A39" s="35" t="s">
        <v>141</v>
      </c>
      <c r="B39" s="99">
        <f t="shared" si="3"/>
        <v>98442</v>
      </c>
      <c r="C39" s="100">
        <f ca="1">GAMMAINV(RAND(),$G$39,$H$39)</f>
        <v>96145.211676807259</v>
      </c>
      <c r="D39" s="100">
        <f>'Calculated Inputs'!F19</f>
        <v>98442</v>
      </c>
      <c r="E39" s="100">
        <f t="shared" si="4"/>
        <v>19688.400000000001</v>
      </c>
      <c r="F39" s="92" t="s">
        <v>131</v>
      </c>
      <c r="G39" s="101">
        <v>25</v>
      </c>
      <c r="H39" s="101">
        <v>3937.38</v>
      </c>
      <c r="I39" s="83" t="s">
        <v>142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 x14ac:dyDescent="0.2">
      <c r="A40" s="35" t="s">
        <v>143</v>
      </c>
      <c r="B40" s="99">
        <f t="shared" si="3"/>
        <v>23632</v>
      </c>
      <c r="C40" s="100">
        <f ca="1">GAMMAINV(RAND(),$G$40,$H$40)</f>
        <v>30963.2270556121</v>
      </c>
      <c r="D40" s="100">
        <f>'Calculated Inputs'!V24+'Calculated Inputs'!V25</f>
        <v>23632</v>
      </c>
      <c r="E40" s="100">
        <f t="shared" si="4"/>
        <v>4726.4000000000005</v>
      </c>
      <c r="F40" s="92" t="s">
        <v>131</v>
      </c>
      <c r="G40" s="101">
        <v>25</v>
      </c>
      <c r="H40" s="101">
        <v>948.28</v>
      </c>
      <c r="I40" s="83" t="s">
        <v>144</v>
      </c>
      <c r="J40" s="3"/>
      <c r="K40" s="3"/>
      <c r="L40" s="3"/>
      <c r="M40" s="61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 x14ac:dyDescent="0.2">
      <c r="A41" s="35" t="s">
        <v>145</v>
      </c>
      <c r="B41" s="99">
        <f t="shared" si="3"/>
        <v>8624.6029999999992</v>
      </c>
      <c r="C41" s="100">
        <f ca="1">GAMMAINV(RAND(),$G$41,$H$41)</f>
        <v>9845.1009052941008</v>
      </c>
      <c r="D41" s="100">
        <f>'Calculated Inputs'!H30</f>
        <v>8624.6029999999992</v>
      </c>
      <c r="E41" s="100">
        <f t="shared" si="4"/>
        <v>1724.9205999999999</v>
      </c>
      <c r="F41" s="92" t="s">
        <v>131</v>
      </c>
      <c r="G41" s="101">
        <v>25</v>
      </c>
      <c r="H41" s="101">
        <v>357.68</v>
      </c>
      <c r="I41" s="83" t="s">
        <v>146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 x14ac:dyDescent="0.2">
      <c r="A42" s="79" t="s">
        <v>147</v>
      </c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</row>
    <row r="43" spans="1:26" ht="15.75" customHeight="1" x14ac:dyDescent="0.2">
      <c r="A43" s="81" t="s">
        <v>148</v>
      </c>
      <c r="B43" s="88">
        <v>0.63900000000000001</v>
      </c>
      <c r="C43" s="102">
        <f t="shared" ref="C43:C48" ca="1" si="5">BETAINV(RAND(),G43,H43)</f>
        <v>0.55234545656335599</v>
      </c>
      <c r="D43" s="103">
        <v>0.63900000000000001</v>
      </c>
      <c r="E43" s="82">
        <v>0.11799999999999999</v>
      </c>
      <c r="F43" s="82" t="s">
        <v>115</v>
      </c>
      <c r="G43" s="89">
        <v>0.61</v>
      </c>
      <c r="H43" s="89">
        <v>0.34399999999999997</v>
      </c>
      <c r="I43" s="3" t="s">
        <v>149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 x14ac:dyDescent="0.2">
      <c r="A44" s="81" t="s">
        <v>150</v>
      </c>
      <c r="B44" s="88">
        <v>0.66900000000000004</v>
      </c>
      <c r="C44" s="102">
        <f t="shared" ca="1" si="5"/>
        <v>0.74762878176300029</v>
      </c>
      <c r="D44" s="103">
        <v>0.66900000000000004</v>
      </c>
      <c r="E44" s="82">
        <v>8.1000000000000003E-2</v>
      </c>
      <c r="F44" s="82" t="s">
        <v>115</v>
      </c>
      <c r="G44" s="89">
        <v>1.1599999999999999</v>
      </c>
      <c r="H44" s="89">
        <v>0.56999999999999995</v>
      </c>
      <c r="I44" s="3" t="s">
        <v>151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 x14ac:dyDescent="0.2">
      <c r="A45" s="81" t="s">
        <v>152</v>
      </c>
      <c r="B45" s="88">
        <v>0.753</v>
      </c>
      <c r="C45" s="102">
        <f t="shared" ca="1" si="5"/>
        <v>0.91643427987176329</v>
      </c>
      <c r="D45" s="103">
        <v>0.753</v>
      </c>
      <c r="E45" s="82">
        <v>8.2000000000000003E-2</v>
      </c>
      <c r="F45" s="82" t="s">
        <v>115</v>
      </c>
      <c r="G45" s="89">
        <v>0.94699999999999995</v>
      </c>
      <c r="H45" s="89">
        <v>0.311</v>
      </c>
      <c r="I45" s="3" t="s">
        <v>153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 x14ac:dyDescent="0.2">
      <c r="A46" s="81" t="s">
        <v>154</v>
      </c>
      <c r="B46" s="88">
        <v>0.72</v>
      </c>
      <c r="C46" s="102">
        <f t="shared" ca="1" si="5"/>
        <v>0.90275510463600217</v>
      </c>
      <c r="D46" s="103">
        <v>0.72</v>
      </c>
      <c r="E46" s="82">
        <v>8.1199999999999994E-2</v>
      </c>
      <c r="F46" s="82" t="s">
        <v>115</v>
      </c>
      <c r="G46" s="89">
        <v>1.07</v>
      </c>
      <c r="H46" s="89">
        <v>0.42</v>
      </c>
      <c r="I46" s="3" t="s">
        <v>155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 x14ac:dyDescent="0.2">
      <c r="A47" s="81" t="s">
        <v>156</v>
      </c>
      <c r="B47" s="88">
        <v>0.751</v>
      </c>
      <c r="C47" s="102">
        <f t="shared" ca="1" si="5"/>
        <v>0.86897446426358416</v>
      </c>
      <c r="D47" s="103">
        <v>0.751</v>
      </c>
      <c r="E47" s="82">
        <v>8.2000000000000003E-2</v>
      </c>
      <c r="F47" s="82" t="s">
        <v>115</v>
      </c>
      <c r="G47" s="89">
        <v>0.97</v>
      </c>
      <c r="H47" s="89">
        <v>0.32</v>
      </c>
      <c r="I47" s="3" t="s">
        <v>157</v>
      </c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 x14ac:dyDescent="0.2">
      <c r="A48" s="81" t="s">
        <v>158</v>
      </c>
      <c r="B48" s="88">
        <v>0.75800000000000001</v>
      </c>
      <c r="C48" s="102">
        <f t="shared" ca="1" si="5"/>
        <v>0.35503961298817655</v>
      </c>
      <c r="D48" s="103">
        <v>0.75800000000000001</v>
      </c>
      <c r="E48" s="82">
        <v>7.2900000000000006E-2</v>
      </c>
      <c r="F48" s="82" t="s">
        <v>115</v>
      </c>
      <c r="G48" s="89">
        <v>1.1499999999999999</v>
      </c>
      <c r="H48" s="89">
        <v>0.37</v>
      </c>
      <c r="I48" s="3" t="s">
        <v>159</v>
      </c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55" ht="15.75" customHeight="1" x14ac:dyDescent="0.2">
      <c r="A49" s="81" t="s">
        <v>160</v>
      </c>
      <c r="B49" s="88">
        <v>0.78600000000000003</v>
      </c>
      <c r="C49" s="102">
        <f t="shared" ref="C49:C51" ca="1" si="6">BETAINV(RAND(),G49,H49)</f>
        <v>0.42290127725385274</v>
      </c>
      <c r="D49" s="103">
        <v>0.78600000000000003</v>
      </c>
      <c r="E49" s="82">
        <v>6.3E-2</v>
      </c>
      <c r="F49" s="82" t="s">
        <v>115</v>
      </c>
      <c r="G49" s="89">
        <v>1.33</v>
      </c>
      <c r="H49" s="89">
        <v>0.36</v>
      </c>
      <c r="I49" s="3" t="s">
        <v>161</v>
      </c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55" ht="15.75" customHeight="1" x14ac:dyDescent="0.2">
      <c r="A50" s="35" t="s">
        <v>162</v>
      </c>
      <c r="B50" s="89">
        <v>0.76800000000000002</v>
      </c>
      <c r="C50" s="102">
        <f t="shared" ca="1" si="6"/>
        <v>0.36483864911841407</v>
      </c>
      <c r="D50" s="103">
        <v>0.76800000000000002</v>
      </c>
      <c r="E50" s="82">
        <v>8.2000000000000003E-2</v>
      </c>
      <c r="F50" s="82" t="s">
        <v>115</v>
      </c>
      <c r="G50" s="89">
        <v>0.9</v>
      </c>
      <c r="H50" s="89">
        <v>0.27</v>
      </c>
      <c r="I50" s="3" t="s">
        <v>163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55" ht="15.75" customHeight="1" x14ac:dyDescent="0.2">
      <c r="A51" s="35" t="s">
        <v>164</v>
      </c>
      <c r="B51" s="89">
        <v>0.76</v>
      </c>
      <c r="C51" s="102">
        <f t="shared" ca="1" si="6"/>
        <v>0.76928327184423306</v>
      </c>
      <c r="D51" s="93">
        <v>0.60799999999999998</v>
      </c>
      <c r="E51" s="82">
        <v>8.2000000000000003E-2</v>
      </c>
      <c r="F51" s="82" t="s">
        <v>115</v>
      </c>
      <c r="G51" s="89">
        <v>0.93</v>
      </c>
      <c r="H51" s="89">
        <v>0.3</v>
      </c>
      <c r="I51" s="3" t="s">
        <v>165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55" ht="15.75" hidden="1" customHeight="1" x14ac:dyDescent="0.2">
      <c r="A52" s="79" t="s">
        <v>166</v>
      </c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</row>
    <row r="53" spans="1:55" ht="15.75" hidden="1" customHeight="1" x14ac:dyDescent="0.2">
      <c r="A53" s="35" t="s">
        <v>167</v>
      </c>
      <c r="B53" s="91">
        <f t="shared" ref="B53:B54" si="7">IF($K$7=0,D53,C53)</f>
        <v>0</v>
      </c>
      <c r="C53" s="104"/>
      <c r="D53" s="104"/>
      <c r="E53" s="82"/>
      <c r="F53" s="82" t="s">
        <v>168</v>
      </c>
      <c r="G53" s="89"/>
      <c r="H53" s="89"/>
      <c r="I53" s="3" t="s">
        <v>169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55" ht="15.75" hidden="1" customHeight="1" x14ac:dyDescent="0.2">
      <c r="A54" s="35" t="s">
        <v>131</v>
      </c>
      <c r="B54" s="91">
        <f t="shared" si="7"/>
        <v>0</v>
      </c>
      <c r="C54" s="105"/>
      <c r="D54" s="104"/>
      <c r="E54" s="82"/>
      <c r="F54" s="82" t="s">
        <v>168</v>
      </c>
      <c r="G54" s="89"/>
      <c r="H54" s="89"/>
      <c r="I54" s="3" t="s">
        <v>170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55" s="484" customFormat="1" ht="15.75" customHeight="1" x14ac:dyDescent="0.2">
      <c r="A55" s="483" t="s">
        <v>522</v>
      </c>
      <c r="B55" s="492">
        <f>D55</f>
        <v>0.723923076923077</v>
      </c>
      <c r="C55" s="102"/>
      <c r="D55" s="93">
        <f>C67</f>
        <v>0.723923076923077</v>
      </c>
      <c r="E55" s="82" t="s">
        <v>221</v>
      </c>
      <c r="F55" s="82" t="s">
        <v>115</v>
      </c>
      <c r="G55" s="89"/>
      <c r="H55" s="89"/>
      <c r="I55" s="252" t="s">
        <v>523</v>
      </c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</row>
    <row r="56" spans="1:55" s="484" customFormat="1" ht="15.75" customHeight="1" x14ac:dyDescent="0.2">
      <c r="A56" s="483" t="s">
        <v>524</v>
      </c>
      <c r="B56" s="493">
        <f>D56</f>
        <v>0.72750000000000004</v>
      </c>
      <c r="C56" s="102"/>
      <c r="D56" s="93">
        <f>H67</f>
        <v>0.72750000000000004</v>
      </c>
      <c r="E56" s="82" t="s">
        <v>221</v>
      </c>
      <c r="F56" s="82" t="s">
        <v>115</v>
      </c>
      <c r="G56" s="89"/>
      <c r="H56" s="89"/>
      <c r="I56" s="252" t="s">
        <v>525</v>
      </c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</row>
    <row r="57" spans="1:55" ht="15.75" customHeight="1" x14ac:dyDescent="0.25">
      <c r="A57" s="106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</row>
    <row r="58" spans="1:55" ht="15.75" customHeight="1" x14ac:dyDescent="0.25">
      <c r="A58" s="73">
        <f>1/52</f>
        <v>1.9230769230769232E-2</v>
      </c>
      <c r="B58" s="71" t="s">
        <v>514</v>
      </c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55" ht="15.75" customHeight="1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55" ht="15.75" customHeight="1" x14ac:dyDescent="0.25">
      <c r="A60" s="71"/>
      <c r="B60" s="71"/>
      <c r="C60" s="71"/>
      <c r="D60" s="71"/>
      <c r="E60" s="71"/>
      <c r="F60" s="71"/>
      <c r="G60" s="71"/>
      <c r="H60" s="71"/>
      <c r="I60" s="71" t="s">
        <v>579</v>
      </c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55" ht="15.75" customHeight="1" x14ac:dyDescent="0.25">
      <c r="A61" s="668" t="s">
        <v>587</v>
      </c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55" ht="15.75" customHeight="1" x14ac:dyDescent="0.25">
      <c r="A62" s="488" t="s">
        <v>517</v>
      </c>
      <c r="B62" s="71" t="s">
        <v>503</v>
      </c>
      <c r="C62" s="71"/>
      <c r="D62" s="72"/>
      <c r="E62" s="71"/>
      <c r="F62" s="488" t="s">
        <v>518</v>
      </c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55" ht="15.75" customHeight="1" x14ac:dyDescent="0.25">
      <c r="A63" s="71" t="s">
        <v>515</v>
      </c>
      <c r="B63" s="487">
        <f>A58*B43</f>
        <v>1.228846153846154E-2</v>
      </c>
      <c r="C63" s="73">
        <f>B63*14</f>
        <v>0.17203846153846156</v>
      </c>
      <c r="D63" s="71">
        <v>14</v>
      </c>
      <c r="E63" s="71"/>
      <c r="F63" s="71" t="s">
        <v>515</v>
      </c>
      <c r="G63" s="487">
        <f>A58*B44</f>
        <v>1.2865384615384617E-2</v>
      </c>
      <c r="H63" s="73">
        <f>G63*14</f>
        <v>0.18011538461538465</v>
      </c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55" ht="15.75" customHeight="1" x14ac:dyDescent="0.25">
      <c r="A64" s="71" t="s">
        <v>516</v>
      </c>
      <c r="B64" s="487">
        <f>A58*B45</f>
        <v>1.4480769230769231E-2</v>
      </c>
      <c r="C64" s="73">
        <f>B64*10</f>
        <v>0.1448076923076923</v>
      </c>
      <c r="D64" s="71">
        <v>10</v>
      </c>
      <c r="E64" s="71"/>
      <c r="F64" s="71" t="s">
        <v>516</v>
      </c>
      <c r="G64" s="487">
        <f>A58*B46</f>
        <v>1.3846153846153847E-2</v>
      </c>
      <c r="H64" s="73">
        <f>G64*10</f>
        <v>0.13846153846153847</v>
      </c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ht="15.75" customHeight="1" x14ac:dyDescent="0.25">
      <c r="A65" s="71" t="s">
        <v>519</v>
      </c>
      <c r="B65" s="487">
        <f>A58*B47</f>
        <v>1.4442307692307694E-2</v>
      </c>
      <c r="C65" s="73">
        <f>B65*24</f>
        <v>0.34661538461538466</v>
      </c>
      <c r="D65" s="71">
        <v>24</v>
      </c>
      <c r="E65" s="71"/>
      <c r="F65" s="71" t="s">
        <v>519</v>
      </c>
      <c r="G65" s="487">
        <f>A58*B48</f>
        <v>1.4576923076923078E-2</v>
      </c>
      <c r="H65" s="73">
        <f>G65*24</f>
        <v>0.34984615384615386</v>
      </c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ht="15.75" customHeight="1" x14ac:dyDescent="0.25">
      <c r="A66" s="71" t="s">
        <v>520</v>
      </c>
      <c r="B66" s="487">
        <f>A58*B49</f>
        <v>1.5115384615384617E-2</v>
      </c>
      <c r="C66" s="489">
        <f>B66*4</f>
        <v>6.0461538461538469E-2</v>
      </c>
      <c r="D66" s="490">
        <v>4</v>
      </c>
      <c r="E66" s="71"/>
      <c r="F66" s="71" t="s">
        <v>520</v>
      </c>
      <c r="G66" s="487">
        <f>A58*B50</f>
        <v>1.4769230769230771E-2</v>
      </c>
      <c r="H66" s="73">
        <f>G66*4</f>
        <v>5.9076923076923082E-2</v>
      </c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ht="15.75" customHeight="1" x14ac:dyDescent="0.25">
      <c r="A67" s="71"/>
      <c r="B67" s="71"/>
      <c r="C67" s="599">
        <f>SUM(C63:C66)</f>
        <v>0.723923076923077</v>
      </c>
      <c r="E67" s="71"/>
      <c r="F67" s="71"/>
      <c r="G67" s="71"/>
      <c r="H67" s="599">
        <f>SUM(H63:H66)</f>
        <v>0.72750000000000004</v>
      </c>
      <c r="I67" s="71" t="s">
        <v>521</v>
      </c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ht="15.75" customHeight="1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ht="15.75" customHeight="1" x14ac:dyDescent="0.25">
      <c r="A69" s="71"/>
      <c r="B69" s="71"/>
      <c r="C69" s="71"/>
      <c r="D69" s="71"/>
      <c r="E69" s="71"/>
      <c r="F69" s="71"/>
      <c r="G69" s="71"/>
      <c r="H69" s="73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ht="15.75" customHeight="1" x14ac:dyDescent="0.25">
      <c r="A70" s="71"/>
      <c r="B70" s="71"/>
      <c r="C70" s="73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ht="15.75" customHeight="1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ht="15.75" customHeight="1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ht="15.75" customHeight="1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ht="15.75" customHeight="1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ht="15.75" customHeight="1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ht="15.75" customHeight="1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ht="15.75" customHeight="1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ht="15.75" customHeight="1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ht="15.75" customHeight="1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ht="15.75" customHeight="1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ht="15.75" customHeight="1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ht="15.75" customHeight="1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ht="15.75" customHeight="1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ht="15.75" customHeight="1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ht="15.75" customHeight="1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ht="15.75" customHeight="1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ht="15.75" customHeight="1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ht="15.75" customHeight="1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ht="15.75" customHeight="1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ht="15.75" customHeight="1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ht="15.75" customHeight="1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ht="15.75" customHeight="1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ht="15.75" customHeight="1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ht="15.75" customHeight="1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ht="15.75" customHeight="1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ht="15.75" customHeight="1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ht="15.75" customHeight="1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ht="15.75" customHeight="1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ht="15.75" customHeight="1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ht="15.75" customHeight="1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ht="15.75" customHeight="1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ht="15.75" customHeight="1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ht="15.75" customHeight="1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ht="15.75" customHeight="1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ht="15.75" customHeight="1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ht="15.75" customHeight="1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ht="15.75" customHeight="1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ht="15.75" customHeight="1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ht="15.75" customHeight="1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ht="15.75" customHeight="1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ht="15.75" customHeight="1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ht="15.75" customHeight="1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ht="15.75" customHeight="1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ht="15.75" customHeight="1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ht="15.75" customHeight="1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ht="15.75" customHeight="1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ht="15.75" customHeight="1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ht="15.75" customHeigh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ht="15.75" customHeight="1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ht="15.75" customHeight="1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ht="15.75" customHeight="1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ht="15.75" customHeight="1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ht="15.75" customHeight="1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ht="15.75" customHeight="1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ht="15.75" customHeight="1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ht="15.75" customHeight="1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ht="15.75" customHeight="1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ht="15.75" customHeigh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ht="15.75" customHeight="1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ht="15.75" customHeight="1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ht="15.75" customHeight="1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ht="15.75" customHeight="1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ht="15.75" customHeight="1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ht="15.75" customHeight="1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ht="15.75" customHeight="1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ht="15.75" customHeight="1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ht="15.75" customHeight="1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ht="15.75" customHeight="1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ht="15.75" customHeight="1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ht="15.75" customHeight="1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ht="15.75" customHeight="1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ht="15.75" customHeight="1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ht="15.75" customHeight="1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ht="15.75" customHeight="1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ht="15.75" customHeight="1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ht="15.75" customHeight="1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ht="15.75" customHeight="1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ht="15.75" customHeight="1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ht="15.75" customHeight="1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ht="15.75" customHeight="1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ht="15.75" customHeight="1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ht="15.75" customHeight="1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ht="15.75" customHeight="1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ht="15.75" customHeight="1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ht="15.75" customHeight="1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ht="15.75" customHeight="1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ht="15.75" customHeight="1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ht="15.75" customHeight="1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ht="15.75" customHeight="1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ht="15.75" customHeight="1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ht="15.75" customHeight="1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ht="15.75" customHeight="1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ht="15.75" customHeight="1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ht="15.75" customHeight="1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ht="15.75" customHeight="1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ht="15.75" customHeight="1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ht="15.75" customHeight="1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ht="15.75" customHeight="1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ht="15.75" customHeight="1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ht="15.75" customHeight="1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ht="15.75" customHeight="1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ht="15.75" customHeight="1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ht="15.75" customHeight="1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ht="15.75" customHeight="1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ht="15.75" customHeight="1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ht="15.75" customHeight="1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ht="15.75" customHeight="1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ht="15.75" customHeight="1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ht="15.75" customHeight="1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ht="15.75" customHeight="1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ht="15.75" customHeight="1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ht="15.75" customHeight="1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ht="15.75" customHeight="1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ht="15.75" customHeight="1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ht="15.75" customHeight="1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ht="15.75" customHeight="1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ht="15.75" customHeight="1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ht="15.75" customHeight="1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ht="15.75" customHeight="1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ht="15.75" customHeight="1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ht="15.75" customHeight="1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ht="15.75" customHeight="1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ht="15.75" customHeight="1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ht="15.75" customHeight="1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ht="15.75" customHeight="1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ht="15.75" customHeight="1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ht="15.75" customHeight="1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ht="15.75" customHeight="1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ht="15.75" customHeight="1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ht="15.75" customHeight="1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ht="15.75" customHeight="1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ht="15.75" customHeight="1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ht="15.75" customHeight="1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ht="15.75" customHeight="1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ht="15.75" customHeight="1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ht="15.75" customHeight="1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ht="15.75" customHeight="1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ht="15.75" customHeight="1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ht="15.75" customHeight="1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ht="15.75" customHeight="1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ht="15.75" customHeight="1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ht="15.75" customHeight="1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ht="15.75" customHeight="1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ht="15.75" customHeight="1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ht="15.75" customHeight="1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ht="15.75" customHeight="1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ht="15.75" customHeight="1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ht="15.75" customHeight="1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ht="15.75" customHeight="1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ht="15.75" customHeight="1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ht="15.75" customHeight="1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ht="15.75" customHeight="1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ht="15.75" customHeight="1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ht="15.75" customHeight="1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ht="15.75" customHeight="1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ht="15.75" customHeight="1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ht="15.75" customHeight="1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ht="15.75" customHeight="1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ht="15.75" customHeight="1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ht="15.75" customHeight="1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ht="15.75" customHeight="1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ht="15.75" customHeight="1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ht="15.75" customHeight="1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ht="15.75" customHeight="1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ht="15.75" customHeight="1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ht="15.75" customHeight="1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ht="15.75" customHeight="1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ht="15.75" customHeight="1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ht="15.75" customHeight="1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ht="15.75" customHeight="1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ht="15.75" customHeight="1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ht="15.75" customHeight="1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ht="15.75" customHeight="1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ht="15.75" customHeight="1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ht="15.75" customHeight="1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ht="15.75" customHeight="1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ht="15.75" customHeight="1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ht="15.75" customHeight="1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ht="15.75" customHeight="1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ht="15.75" customHeight="1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ht="15.75" customHeight="1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ht="15.75" customHeight="1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ht="15.75" customHeight="1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ht="15.75" customHeight="1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ht="15.75" customHeight="1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ht="15.75" customHeight="1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ht="15.75" customHeight="1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ht="15.75" customHeight="1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ht="15.75" customHeight="1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ht="15.75" customHeight="1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ht="15.75" customHeight="1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ht="15.75" customHeight="1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ht="15.75" customHeight="1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ht="15.75" customHeight="1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ht="15.75" customHeight="1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ht="15.75" customHeight="1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ht="15.75" customHeight="1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ht="15.75" customHeight="1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ht="15.75" customHeight="1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ht="15.75" customHeight="1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ht="15.75" customHeight="1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ht="15.75" customHeight="1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ht="15.75" customHeight="1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ht="15.75" customHeight="1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ht="15.75" customHeight="1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ht="15.75" customHeight="1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ht="15.75" customHeight="1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ht="15.75" customHeight="1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ht="15.75" customHeight="1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ht="15.75" customHeight="1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ht="15.75" customHeight="1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ht="15.75" customHeight="1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ht="15.75" customHeight="1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ht="15.75" customHeight="1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ht="15.75" customHeight="1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ht="15.75" customHeight="1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ht="15.75" customHeight="1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ht="15.75" customHeight="1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ht="15.75" customHeight="1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ht="15.75" customHeight="1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ht="15.75" customHeight="1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ht="15.75" customHeight="1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ht="15.75" customHeight="1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ht="15.75" customHeight="1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ht="15.75" customHeight="1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ht="15.75" customHeight="1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ht="15.75" customHeight="1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ht="15.75" customHeight="1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ht="15.75" customHeight="1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ht="15.75" customHeight="1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ht="15.75" customHeight="1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ht="15.75" customHeight="1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ht="15.75" customHeight="1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ht="15.75" customHeight="1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ht="15.75" customHeight="1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ht="15.75" customHeight="1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ht="15.75" customHeight="1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ht="15.75" customHeight="1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ht="15.75" customHeight="1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ht="15.75" customHeight="1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ht="15.75" customHeight="1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ht="15.75" customHeight="1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ht="15.75" customHeight="1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ht="15.75" customHeight="1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ht="15.75" customHeight="1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ht="15.75" customHeight="1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ht="15.75" customHeight="1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ht="15.75" customHeight="1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ht="15.75" customHeight="1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ht="15.75" customHeight="1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ht="15.75" customHeight="1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ht="15.75" customHeight="1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ht="15.75" customHeight="1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ht="15.75" customHeight="1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ht="15.75" customHeight="1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ht="15.75" customHeight="1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ht="15.75" customHeight="1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ht="15.75" customHeight="1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ht="15.75" customHeight="1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ht="15.75" customHeight="1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ht="15.75" customHeight="1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ht="15.75" customHeight="1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ht="15.75" customHeight="1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ht="15.75" customHeight="1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ht="15.75" customHeight="1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ht="15.75" customHeight="1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ht="15.75" customHeight="1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ht="15.75" customHeight="1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ht="15.75" customHeight="1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ht="15.75" customHeight="1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ht="15.75" customHeight="1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ht="15.75" customHeight="1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ht="15.75" customHeight="1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ht="15.75" customHeight="1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ht="15.75" customHeight="1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ht="15.75" customHeight="1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ht="15.75" customHeight="1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ht="15.75" customHeight="1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ht="15.75" customHeight="1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ht="15.75" customHeight="1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ht="15.75" customHeight="1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ht="15.75" customHeight="1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ht="15.75" customHeight="1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ht="15.75" customHeight="1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ht="15.75" customHeight="1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ht="15.75" customHeight="1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ht="15.75" customHeight="1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ht="15.75" customHeight="1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ht="15.75" customHeight="1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ht="15.75" customHeight="1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ht="15.75" customHeight="1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ht="15.75" customHeight="1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ht="15.75" customHeight="1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ht="15.75" customHeight="1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ht="15.75" customHeight="1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ht="15.75" customHeight="1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ht="15.75" customHeight="1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ht="15.75" customHeight="1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ht="15.75" customHeight="1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ht="15.75" customHeight="1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ht="15.75" customHeight="1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ht="15.75" customHeight="1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ht="15.75" customHeight="1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ht="15.75" customHeight="1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ht="15.75" customHeight="1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ht="15.75" customHeight="1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ht="15.75" customHeight="1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ht="15.75" customHeight="1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ht="15.75" customHeight="1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ht="15.75" customHeight="1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ht="15.75" customHeight="1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ht="15.75" customHeight="1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ht="15.75" customHeight="1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ht="15.75" customHeight="1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ht="15.75" customHeight="1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ht="15.75" customHeight="1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ht="15.75" customHeight="1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ht="15.75" customHeight="1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ht="15.75" customHeight="1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ht="15.75" customHeight="1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ht="15.75" customHeight="1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ht="15.75" customHeight="1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ht="15.75" customHeight="1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ht="15.75" customHeight="1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ht="15.75" customHeight="1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ht="15.75" customHeight="1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ht="15.75" customHeight="1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ht="15.75" customHeight="1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ht="15.75" customHeight="1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ht="15.75" customHeight="1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ht="15.75" customHeight="1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ht="15.75" customHeight="1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ht="15.75" customHeight="1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ht="15.75" customHeight="1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ht="15.75" customHeight="1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ht="15.75" customHeight="1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ht="15.75" customHeight="1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ht="15.75" customHeight="1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ht="15.75" customHeight="1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ht="15.75" customHeight="1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ht="15.75" customHeight="1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ht="15.75" customHeight="1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ht="15.75" customHeight="1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ht="15.75" customHeight="1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ht="15.75" customHeight="1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ht="15.75" customHeight="1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ht="15.75" customHeight="1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ht="15.75" customHeight="1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ht="15.75" customHeight="1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ht="15.75" customHeight="1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ht="15.75" customHeight="1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ht="15.75" customHeight="1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ht="15.75" customHeight="1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ht="15.75" customHeight="1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ht="15.75" customHeight="1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ht="15.75" customHeight="1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ht="15.75" customHeight="1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ht="15.75" customHeight="1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ht="15.75" customHeight="1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ht="15.75" customHeight="1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ht="15.75" customHeight="1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ht="15.75" customHeight="1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ht="15.75" customHeight="1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ht="15.75" customHeight="1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ht="15.75" customHeight="1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ht="15.75" customHeight="1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ht="15.75" customHeight="1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ht="15.75" customHeight="1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ht="15.75" customHeight="1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ht="15.75" customHeight="1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ht="15.75" customHeight="1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ht="15.75" customHeight="1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ht="15.75" customHeight="1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ht="15.75" customHeight="1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ht="15.75" customHeight="1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ht="15.75" customHeight="1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ht="15.75" customHeight="1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ht="15.75" customHeight="1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ht="15.75" customHeight="1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ht="15.75" customHeight="1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ht="15.75" customHeight="1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ht="15.75" customHeight="1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ht="15.75" customHeight="1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ht="15.75" customHeight="1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ht="15.75" customHeight="1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ht="15.75" customHeight="1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ht="15.75" customHeight="1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ht="15.75" customHeight="1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ht="15.75" customHeight="1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ht="15.75" customHeight="1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ht="15.75" customHeight="1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ht="15.75" customHeight="1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ht="15.75" customHeight="1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ht="15.75" customHeight="1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ht="15.75" customHeight="1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ht="15.75" customHeight="1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ht="15.75" customHeight="1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ht="15.75" customHeight="1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ht="15.75" customHeight="1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ht="15.75" customHeight="1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ht="15.75" customHeight="1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ht="15.75" customHeight="1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ht="15.75" customHeight="1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ht="15.75" customHeight="1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ht="15.75" customHeight="1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ht="15.75" customHeight="1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ht="15.75" customHeight="1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ht="15.75" customHeight="1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ht="15.75" customHeight="1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ht="15.75" customHeight="1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ht="15.75" customHeight="1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ht="15.75" customHeight="1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ht="15.75" customHeight="1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ht="15.75" customHeight="1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ht="15.75" customHeight="1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ht="15.75" customHeight="1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ht="15.75" customHeight="1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ht="15.75" customHeight="1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ht="15.75" customHeight="1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ht="15.75" customHeight="1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ht="15.75" customHeight="1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ht="15.75" customHeight="1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ht="15.75" customHeight="1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ht="15.75" customHeight="1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ht="15.75" customHeight="1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ht="15.75" customHeight="1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ht="15.75" customHeight="1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ht="15.75" customHeight="1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ht="15.75" customHeight="1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ht="15.75" customHeight="1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ht="15.75" customHeight="1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ht="15.75" customHeight="1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ht="15.75" customHeight="1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ht="15.75" customHeight="1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ht="15.75" customHeight="1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ht="15.75" customHeight="1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ht="15.75" customHeight="1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ht="15.75" customHeight="1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ht="15.75" customHeight="1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ht="15.75" customHeight="1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ht="15.75" customHeight="1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ht="15.75" customHeight="1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ht="15.75" customHeight="1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ht="15.75" customHeight="1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ht="15.75" customHeight="1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ht="15.75" customHeight="1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ht="15.75" customHeight="1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ht="15.75" customHeight="1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ht="15.75" customHeight="1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ht="15.75" customHeight="1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ht="15.75" customHeight="1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ht="15.75" customHeight="1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ht="15.75" customHeight="1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ht="15.75" customHeight="1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ht="15.75" customHeight="1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ht="15.75" customHeight="1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ht="15.75" customHeight="1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ht="15.75" customHeight="1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ht="15.75" customHeight="1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ht="15.75" customHeight="1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ht="15.75" customHeight="1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ht="15.75" customHeight="1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ht="15.75" customHeight="1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ht="15.75" customHeight="1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ht="15.75" customHeight="1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ht="15.75" customHeight="1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ht="15.75" customHeight="1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ht="15.75" customHeight="1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ht="15.75" customHeight="1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ht="15.75" customHeight="1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ht="15.75" customHeight="1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ht="15.75" customHeight="1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ht="15.75" customHeight="1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ht="15.75" customHeight="1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ht="15.75" customHeight="1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ht="15.75" customHeight="1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ht="15.75" customHeight="1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ht="15.75" customHeight="1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ht="15.75" customHeight="1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ht="15.75" customHeight="1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ht="15.75" customHeight="1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ht="15.75" customHeight="1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ht="15.75" customHeight="1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ht="15.75" customHeight="1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ht="15.75" customHeight="1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ht="15.75" customHeight="1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ht="15.75" customHeight="1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ht="15.75" customHeight="1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ht="15.75" customHeight="1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ht="15.75" customHeight="1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ht="15.75" customHeight="1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ht="15.75" customHeight="1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ht="15.75" customHeight="1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ht="15.75" customHeight="1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ht="15.75" customHeight="1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ht="15.75" customHeight="1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ht="15.75" customHeight="1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ht="15.75" customHeight="1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ht="15.75" customHeight="1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ht="15.75" customHeight="1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ht="15.75" customHeight="1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ht="15.75" customHeight="1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ht="15.75" customHeight="1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ht="15.75" customHeight="1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ht="15.75" customHeight="1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ht="15.75" customHeight="1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ht="15.75" customHeight="1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ht="15.75" customHeight="1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ht="15.75" customHeight="1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ht="15.75" customHeight="1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ht="15.75" customHeight="1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ht="15.75" customHeight="1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ht="15.75" customHeight="1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ht="15.75" customHeight="1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ht="15.75" customHeight="1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ht="15.75" customHeight="1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ht="15.75" customHeight="1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ht="15.75" customHeight="1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ht="15.75" customHeight="1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ht="15.75" customHeight="1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ht="15.75" customHeight="1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ht="15.75" customHeight="1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ht="15.75" customHeight="1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ht="15.75" customHeight="1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ht="15.75" customHeight="1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ht="15.75" customHeight="1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ht="15.75" customHeight="1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ht="15.75" customHeight="1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ht="15.75" customHeight="1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ht="15.75" customHeight="1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ht="15.75" customHeight="1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  <row r="602" spans="1:26" ht="15.75" customHeight="1" x14ac:dyDescent="0.25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</row>
    <row r="603" spans="1:26" ht="15.75" customHeight="1" x14ac:dyDescent="0.25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</row>
    <row r="604" spans="1:26" ht="15.75" customHeight="1" x14ac:dyDescent="0.25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</row>
    <row r="605" spans="1:26" ht="15.75" customHeight="1" x14ac:dyDescent="0.25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</row>
    <row r="606" spans="1:26" ht="15.75" customHeight="1" x14ac:dyDescent="0.25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</row>
    <row r="607" spans="1:26" ht="15.75" customHeight="1" x14ac:dyDescent="0.25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</row>
    <row r="608" spans="1:26" ht="15.75" customHeight="1" x14ac:dyDescent="0.25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</row>
    <row r="609" spans="1:26" ht="15.75" customHeight="1" x14ac:dyDescent="0.25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</row>
    <row r="610" spans="1:26" ht="15.75" customHeight="1" x14ac:dyDescent="0.25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</row>
    <row r="611" spans="1:26" ht="15.75" customHeight="1" x14ac:dyDescent="0.25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</row>
    <row r="612" spans="1:26" ht="15.75" customHeight="1" x14ac:dyDescent="0.25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</row>
    <row r="613" spans="1:26" ht="15.75" customHeight="1" x14ac:dyDescent="0.25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</row>
    <row r="614" spans="1:26" ht="15.75" customHeight="1" x14ac:dyDescent="0.25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</row>
    <row r="615" spans="1:26" ht="15.75" customHeight="1" x14ac:dyDescent="0.25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</row>
    <row r="616" spans="1:26" ht="15.75" customHeight="1" x14ac:dyDescent="0.25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</row>
    <row r="617" spans="1:26" ht="15.75" customHeight="1" x14ac:dyDescent="0.25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</row>
    <row r="618" spans="1:26" ht="15.75" customHeight="1" x14ac:dyDescent="0.25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</row>
    <row r="619" spans="1:26" ht="15.75" customHeight="1" x14ac:dyDescent="0.25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</row>
    <row r="620" spans="1:26" ht="15.75" customHeight="1" x14ac:dyDescent="0.25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</row>
    <row r="621" spans="1:26" ht="15.75" customHeight="1" x14ac:dyDescent="0.25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</row>
    <row r="622" spans="1:26" ht="15.75" customHeight="1" x14ac:dyDescent="0.25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</row>
    <row r="623" spans="1:26" ht="15.75" customHeight="1" x14ac:dyDescent="0.25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</row>
    <row r="624" spans="1:26" ht="15.75" customHeight="1" x14ac:dyDescent="0.25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</row>
    <row r="625" spans="1:26" ht="15.75" customHeight="1" x14ac:dyDescent="0.25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</row>
    <row r="626" spans="1:26" ht="15.75" customHeight="1" x14ac:dyDescent="0.25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</row>
    <row r="627" spans="1:26" ht="15.75" customHeight="1" x14ac:dyDescent="0.25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</row>
    <row r="628" spans="1:26" ht="15.75" customHeight="1" x14ac:dyDescent="0.25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</row>
    <row r="629" spans="1:26" ht="15.75" customHeight="1" x14ac:dyDescent="0.25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</row>
    <row r="630" spans="1:26" ht="15.75" customHeight="1" x14ac:dyDescent="0.25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</row>
    <row r="631" spans="1:26" ht="15.75" customHeight="1" x14ac:dyDescent="0.25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</row>
    <row r="632" spans="1:26" ht="15.75" customHeight="1" x14ac:dyDescent="0.25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</row>
    <row r="633" spans="1:26" ht="15.75" customHeight="1" x14ac:dyDescent="0.25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</row>
    <row r="634" spans="1:26" ht="15.75" customHeight="1" x14ac:dyDescent="0.25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</row>
    <row r="635" spans="1:26" ht="15.75" customHeight="1" x14ac:dyDescent="0.25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</row>
    <row r="636" spans="1:26" ht="15.75" customHeight="1" x14ac:dyDescent="0.25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</row>
    <row r="637" spans="1:26" ht="15.75" customHeight="1" x14ac:dyDescent="0.25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</row>
    <row r="638" spans="1:26" ht="15.75" customHeight="1" x14ac:dyDescent="0.25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</row>
    <row r="639" spans="1:26" ht="15.75" customHeight="1" x14ac:dyDescent="0.25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</row>
    <row r="640" spans="1:26" ht="15.75" customHeight="1" x14ac:dyDescent="0.25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</row>
    <row r="641" spans="1:26" ht="15.75" customHeight="1" x14ac:dyDescent="0.25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</row>
    <row r="642" spans="1:26" ht="15.75" customHeight="1" x14ac:dyDescent="0.25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</row>
    <row r="643" spans="1:26" ht="15.75" customHeight="1" x14ac:dyDescent="0.25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</row>
    <row r="644" spans="1:26" ht="15.75" customHeight="1" x14ac:dyDescent="0.25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</row>
    <row r="645" spans="1:26" ht="15.75" customHeight="1" x14ac:dyDescent="0.25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</row>
    <row r="646" spans="1:26" ht="15.75" customHeight="1" x14ac:dyDescent="0.25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</row>
    <row r="647" spans="1:26" ht="15.75" customHeight="1" x14ac:dyDescent="0.25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</row>
    <row r="648" spans="1:26" ht="15.75" customHeight="1" x14ac:dyDescent="0.25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</row>
    <row r="649" spans="1:26" ht="15.75" customHeight="1" x14ac:dyDescent="0.25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</row>
    <row r="650" spans="1:26" ht="15.75" customHeight="1" x14ac:dyDescent="0.25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</row>
    <row r="651" spans="1:26" ht="15.75" customHeight="1" x14ac:dyDescent="0.25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</row>
    <row r="652" spans="1:26" ht="15.75" customHeight="1" x14ac:dyDescent="0.25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</row>
    <row r="653" spans="1:26" ht="15.75" customHeight="1" x14ac:dyDescent="0.25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</row>
    <row r="654" spans="1:26" ht="15.75" customHeight="1" x14ac:dyDescent="0.25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</row>
    <row r="655" spans="1:26" ht="15.75" customHeight="1" x14ac:dyDescent="0.25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</row>
    <row r="656" spans="1:26" ht="15.75" customHeight="1" x14ac:dyDescent="0.25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</row>
    <row r="657" spans="1:26" ht="15.75" customHeight="1" x14ac:dyDescent="0.25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</row>
    <row r="658" spans="1:26" ht="15.75" customHeight="1" x14ac:dyDescent="0.25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</row>
    <row r="659" spans="1:26" ht="15.75" customHeight="1" x14ac:dyDescent="0.25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</row>
    <row r="660" spans="1:26" ht="15.75" customHeight="1" x14ac:dyDescent="0.25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</row>
    <row r="661" spans="1:26" ht="15.75" customHeight="1" x14ac:dyDescent="0.25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</row>
    <row r="662" spans="1:26" ht="15.75" customHeight="1" x14ac:dyDescent="0.25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</row>
    <row r="663" spans="1:26" ht="15.75" customHeight="1" x14ac:dyDescent="0.25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</row>
    <row r="664" spans="1:26" ht="15.75" customHeight="1" x14ac:dyDescent="0.25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</row>
    <row r="665" spans="1:26" ht="15.75" customHeight="1" x14ac:dyDescent="0.25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</row>
    <row r="666" spans="1:26" ht="15.75" customHeight="1" x14ac:dyDescent="0.25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</row>
    <row r="667" spans="1:26" ht="15.75" customHeight="1" x14ac:dyDescent="0.25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</row>
    <row r="668" spans="1:26" ht="15.75" customHeight="1" x14ac:dyDescent="0.25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</row>
    <row r="669" spans="1:26" ht="15.75" customHeight="1" x14ac:dyDescent="0.25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</row>
    <row r="670" spans="1:26" ht="15.75" customHeight="1" x14ac:dyDescent="0.25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</row>
    <row r="671" spans="1:26" ht="15.75" customHeight="1" x14ac:dyDescent="0.25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</row>
    <row r="672" spans="1:26" ht="15.75" customHeight="1" x14ac:dyDescent="0.25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</row>
    <row r="673" spans="1:26" ht="15.75" customHeight="1" x14ac:dyDescent="0.25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</row>
    <row r="674" spans="1:26" ht="15.75" customHeight="1" x14ac:dyDescent="0.25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</row>
    <row r="675" spans="1:26" ht="15.75" customHeight="1" x14ac:dyDescent="0.25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</row>
    <row r="676" spans="1:26" ht="15.75" customHeight="1" x14ac:dyDescent="0.25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</row>
    <row r="677" spans="1:26" ht="15.75" customHeight="1" x14ac:dyDescent="0.25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</row>
    <row r="678" spans="1:26" ht="15.75" customHeight="1" x14ac:dyDescent="0.25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</row>
    <row r="679" spans="1:26" ht="15.75" customHeight="1" x14ac:dyDescent="0.25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</row>
    <row r="680" spans="1:26" ht="15.75" customHeight="1" x14ac:dyDescent="0.25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</row>
    <row r="681" spans="1:26" ht="15.75" customHeight="1" x14ac:dyDescent="0.25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</row>
    <row r="682" spans="1:26" ht="15.75" customHeight="1" x14ac:dyDescent="0.25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</row>
    <row r="683" spans="1:26" ht="15.75" customHeight="1" x14ac:dyDescent="0.25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</row>
    <row r="684" spans="1:26" ht="15.75" customHeight="1" x14ac:dyDescent="0.25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1"/>
      <c r="R684" s="71"/>
      <c r="S684" s="71"/>
      <c r="T684" s="71"/>
      <c r="U684" s="71"/>
      <c r="V684" s="71"/>
      <c r="W684" s="71"/>
      <c r="X684" s="71"/>
      <c r="Y684" s="71"/>
      <c r="Z684" s="71"/>
    </row>
    <row r="685" spans="1:26" ht="15.75" customHeight="1" x14ac:dyDescent="0.25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</row>
    <row r="686" spans="1:26" ht="15.75" customHeight="1" x14ac:dyDescent="0.25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</row>
    <row r="687" spans="1:26" ht="15.75" customHeight="1" x14ac:dyDescent="0.25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</row>
    <row r="688" spans="1:26" ht="15.75" customHeight="1" x14ac:dyDescent="0.25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</row>
    <row r="689" spans="1:26" ht="15.75" customHeight="1" x14ac:dyDescent="0.25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</row>
    <row r="690" spans="1:26" ht="15.75" customHeight="1" x14ac:dyDescent="0.25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</row>
    <row r="691" spans="1:26" ht="15.75" customHeight="1" x14ac:dyDescent="0.25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</row>
    <row r="692" spans="1:26" ht="15.75" customHeight="1" x14ac:dyDescent="0.25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</row>
    <row r="693" spans="1:26" ht="15.75" customHeight="1" x14ac:dyDescent="0.25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</row>
    <row r="694" spans="1:26" ht="15.75" customHeight="1" x14ac:dyDescent="0.25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</row>
    <row r="695" spans="1:26" ht="15.75" customHeight="1" x14ac:dyDescent="0.25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</row>
    <row r="696" spans="1:26" ht="15.75" customHeight="1" x14ac:dyDescent="0.25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</row>
    <row r="697" spans="1:26" ht="15.75" customHeight="1" x14ac:dyDescent="0.25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</row>
    <row r="698" spans="1:26" ht="15.75" customHeight="1" x14ac:dyDescent="0.25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</row>
    <row r="699" spans="1:26" ht="15.75" customHeight="1" x14ac:dyDescent="0.25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</row>
    <row r="700" spans="1:26" ht="15.75" customHeight="1" x14ac:dyDescent="0.25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1"/>
      <c r="R700" s="71"/>
      <c r="S700" s="71"/>
      <c r="T700" s="71"/>
      <c r="U700" s="71"/>
      <c r="V700" s="71"/>
      <c r="W700" s="71"/>
      <c r="X700" s="71"/>
      <c r="Y700" s="71"/>
      <c r="Z700" s="71"/>
    </row>
    <row r="701" spans="1:26" ht="15.75" customHeight="1" x14ac:dyDescent="0.25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1"/>
      <c r="R701" s="71"/>
      <c r="S701" s="71"/>
      <c r="T701" s="71"/>
      <c r="U701" s="71"/>
      <c r="V701" s="71"/>
      <c r="W701" s="71"/>
      <c r="X701" s="71"/>
      <c r="Y701" s="71"/>
      <c r="Z701" s="71"/>
    </row>
    <row r="702" spans="1:26" ht="15.75" customHeight="1" x14ac:dyDescent="0.25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</row>
    <row r="703" spans="1:26" ht="15.75" customHeight="1" x14ac:dyDescent="0.25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</row>
    <row r="704" spans="1:26" ht="15.75" customHeight="1" x14ac:dyDescent="0.25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</row>
    <row r="705" spans="1:26" ht="15.75" customHeight="1" x14ac:dyDescent="0.25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</row>
    <row r="706" spans="1:26" ht="15.75" customHeight="1" x14ac:dyDescent="0.25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</row>
    <row r="707" spans="1:26" ht="15.75" customHeight="1" x14ac:dyDescent="0.25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</row>
    <row r="708" spans="1:26" ht="15.75" customHeight="1" x14ac:dyDescent="0.25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</row>
    <row r="709" spans="1:26" ht="15.75" customHeight="1" x14ac:dyDescent="0.25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</row>
    <row r="710" spans="1:26" ht="15.75" customHeight="1" x14ac:dyDescent="0.25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</row>
    <row r="711" spans="1:26" ht="15.75" customHeight="1" x14ac:dyDescent="0.25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</row>
    <row r="712" spans="1:26" ht="15.75" customHeight="1" x14ac:dyDescent="0.25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</row>
    <row r="713" spans="1:26" ht="15.75" customHeight="1" x14ac:dyDescent="0.25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</row>
    <row r="714" spans="1:26" ht="15.75" customHeight="1" x14ac:dyDescent="0.25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</row>
    <row r="715" spans="1:26" ht="15.75" customHeight="1" x14ac:dyDescent="0.25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</row>
    <row r="716" spans="1:26" ht="15.75" customHeight="1" x14ac:dyDescent="0.25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</row>
    <row r="717" spans="1:26" ht="15.75" customHeight="1" x14ac:dyDescent="0.25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</row>
    <row r="718" spans="1:26" ht="15.75" customHeight="1" x14ac:dyDescent="0.25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1"/>
      <c r="R718" s="71"/>
      <c r="S718" s="71"/>
      <c r="T718" s="71"/>
      <c r="U718" s="71"/>
      <c r="V718" s="71"/>
      <c r="W718" s="71"/>
      <c r="X718" s="71"/>
      <c r="Y718" s="71"/>
      <c r="Z718" s="71"/>
    </row>
    <row r="719" spans="1:26" ht="15.75" customHeight="1" x14ac:dyDescent="0.25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</row>
    <row r="720" spans="1:26" ht="15.75" customHeight="1" x14ac:dyDescent="0.25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</row>
    <row r="721" spans="1:26" ht="15.75" customHeight="1" x14ac:dyDescent="0.25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</row>
    <row r="722" spans="1:26" ht="15.75" customHeight="1" x14ac:dyDescent="0.25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</row>
    <row r="723" spans="1:26" ht="15.75" customHeight="1" x14ac:dyDescent="0.25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</row>
    <row r="724" spans="1:26" ht="15.75" customHeight="1" x14ac:dyDescent="0.25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</row>
    <row r="725" spans="1:26" ht="15.75" customHeight="1" x14ac:dyDescent="0.25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</row>
    <row r="726" spans="1:26" ht="15.75" customHeight="1" x14ac:dyDescent="0.25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</row>
    <row r="727" spans="1:26" ht="15.75" customHeight="1" x14ac:dyDescent="0.25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</row>
    <row r="728" spans="1:26" ht="15.75" customHeight="1" x14ac:dyDescent="0.25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</row>
    <row r="729" spans="1:26" ht="15.75" customHeight="1" x14ac:dyDescent="0.25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</row>
    <row r="730" spans="1:26" ht="15.75" customHeight="1" x14ac:dyDescent="0.25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</row>
    <row r="731" spans="1:26" ht="15.75" customHeight="1" x14ac:dyDescent="0.25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</row>
    <row r="732" spans="1:26" ht="15.75" customHeight="1" x14ac:dyDescent="0.25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</row>
    <row r="733" spans="1:26" ht="15.75" customHeight="1" x14ac:dyDescent="0.25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</row>
    <row r="734" spans="1:26" ht="15.75" customHeight="1" x14ac:dyDescent="0.25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</row>
    <row r="735" spans="1:26" ht="15.75" customHeight="1" x14ac:dyDescent="0.25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1"/>
      <c r="R735" s="71"/>
      <c r="S735" s="71"/>
      <c r="T735" s="71"/>
      <c r="U735" s="71"/>
      <c r="V735" s="71"/>
      <c r="W735" s="71"/>
      <c r="X735" s="71"/>
      <c r="Y735" s="71"/>
      <c r="Z735" s="71"/>
    </row>
    <row r="736" spans="1:26" ht="15.75" customHeight="1" x14ac:dyDescent="0.25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</row>
    <row r="737" spans="1:26" ht="15.75" customHeight="1" x14ac:dyDescent="0.25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</row>
    <row r="738" spans="1:26" ht="15.75" customHeight="1" x14ac:dyDescent="0.25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</row>
    <row r="739" spans="1:26" ht="15.75" customHeight="1" x14ac:dyDescent="0.25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</row>
    <row r="740" spans="1:26" ht="15.75" customHeight="1" x14ac:dyDescent="0.25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</row>
    <row r="741" spans="1:26" ht="15.75" customHeight="1" x14ac:dyDescent="0.25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</row>
    <row r="742" spans="1:26" ht="15.75" customHeight="1" x14ac:dyDescent="0.25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</row>
    <row r="743" spans="1:26" ht="15.75" customHeight="1" x14ac:dyDescent="0.25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</row>
    <row r="744" spans="1:26" ht="15.75" customHeight="1" x14ac:dyDescent="0.25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</row>
    <row r="745" spans="1:26" ht="15.75" customHeight="1" x14ac:dyDescent="0.25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</row>
    <row r="746" spans="1:26" ht="15.75" customHeight="1" x14ac:dyDescent="0.25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</row>
    <row r="747" spans="1:26" ht="15.75" customHeight="1" x14ac:dyDescent="0.25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</row>
    <row r="748" spans="1:26" ht="15.75" customHeight="1" x14ac:dyDescent="0.25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</row>
    <row r="749" spans="1:26" ht="15.75" customHeight="1" x14ac:dyDescent="0.25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</row>
    <row r="750" spans="1:26" ht="15.75" customHeight="1" x14ac:dyDescent="0.25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</row>
    <row r="751" spans="1:26" ht="15.75" customHeight="1" x14ac:dyDescent="0.25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1"/>
      <c r="R751" s="71"/>
      <c r="S751" s="71"/>
      <c r="T751" s="71"/>
      <c r="U751" s="71"/>
      <c r="V751" s="71"/>
      <c r="W751" s="71"/>
      <c r="X751" s="71"/>
      <c r="Y751" s="71"/>
      <c r="Z751" s="71"/>
    </row>
    <row r="752" spans="1:26" ht="15.75" customHeight="1" x14ac:dyDescent="0.25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1"/>
      <c r="R752" s="71"/>
      <c r="S752" s="71"/>
      <c r="T752" s="71"/>
      <c r="U752" s="71"/>
      <c r="V752" s="71"/>
      <c r="W752" s="71"/>
      <c r="X752" s="71"/>
      <c r="Y752" s="71"/>
      <c r="Z752" s="71"/>
    </row>
    <row r="753" spans="1:26" ht="15.75" customHeight="1" x14ac:dyDescent="0.25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</row>
    <row r="754" spans="1:26" ht="15.75" customHeight="1" x14ac:dyDescent="0.25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</row>
    <row r="755" spans="1:26" ht="15.75" customHeight="1" x14ac:dyDescent="0.25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</row>
    <row r="756" spans="1:26" ht="15.75" customHeight="1" x14ac:dyDescent="0.25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</row>
    <row r="757" spans="1:26" ht="15.75" customHeight="1" x14ac:dyDescent="0.25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</row>
    <row r="758" spans="1:26" ht="15.75" customHeight="1" x14ac:dyDescent="0.25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</row>
    <row r="759" spans="1:26" ht="15.75" customHeight="1" x14ac:dyDescent="0.25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</row>
    <row r="760" spans="1:26" ht="15.75" customHeight="1" x14ac:dyDescent="0.25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</row>
    <row r="761" spans="1:26" ht="15.75" customHeight="1" x14ac:dyDescent="0.25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</row>
    <row r="762" spans="1:26" ht="15.75" customHeight="1" x14ac:dyDescent="0.25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</row>
    <row r="763" spans="1:26" ht="15.75" customHeight="1" x14ac:dyDescent="0.25">
      <c r="A763" s="71"/>
      <c r="B763" s="71"/>
      <c r="C763" s="71"/>
      <c r="D763" s="71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</row>
    <row r="764" spans="1:26" ht="15.75" customHeight="1" x14ac:dyDescent="0.25">
      <c r="A764" s="71"/>
      <c r="B764" s="71"/>
      <c r="C764" s="71"/>
      <c r="D764" s="71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</row>
    <row r="765" spans="1:26" ht="15.75" customHeight="1" x14ac:dyDescent="0.25">
      <c r="A765" s="71"/>
      <c r="B765" s="71"/>
      <c r="C765" s="71"/>
      <c r="D765" s="71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</row>
    <row r="766" spans="1:26" ht="15.75" customHeight="1" x14ac:dyDescent="0.25">
      <c r="A766" s="71"/>
      <c r="B766" s="71"/>
      <c r="C766" s="71"/>
      <c r="D766" s="71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</row>
    <row r="767" spans="1:26" ht="15.75" customHeight="1" x14ac:dyDescent="0.25">
      <c r="A767" s="71"/>
      <c r="B767" s="71"/>
      <c r="C767" s="71"/>
      <c r="D767" s="71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</row>
    <row r="768" spans="1:26" ht="15.75" customHeight="1" x14ac:dyDescent="0.25">
      <c r="A768" s="71"/>
      <c r="B768" s="71"/>
      <c r="C768" s="71"/>
      <c r="D768" s="71"/>
      <c r="E768" s="71"/>
      <c r="F768" s="71"/>
      <c r="G768" s="71"/>
      <c r="H768" s="71"/>
      <c r="I768" s="71"/>
      <c r="J768" s="71"/>
      <c r="K768" s="71"/>
      <c r="L768" s="71"/>
      <c r="M768" s="71"/>
      <c r="N768" s="71"/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</row>
    <row r="769" spans="1:26" ht="15.75" customHeight="1" x14ac:dyDescent="0.25">
      <c r="A769" s="71"/>
      <c r="B769" s="71"/>
      <c r="C769" s="71"/>
      <c r="D769" s="71"/>
      <c r="E769" s="71"/>
      <c r="F769" s="71"/>
      <c r="G769" s="71"/>
      <c r="H769" s="71"/>
      <c r="I769" s="71"/>
      <c r="J769" s="71"/>
      <c r="K769" s="71"/>
      <c r="L769" s="71"/>
      <c r="M769" s="71"/>
      <c r="N769" s="71"/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</row>
    <row r="770" spans="1:26" ht="15.75" customHeight="1" x14ac:dyDescent="0.25">
      <c r="A770" s="71"/>
      <c r="B770" s="71"/>
      <c r="C770" s="71"/>
      <c r="D770" s="71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</row>
    <row r="771" spans="1:26" ht="15.75" customHeight="1" x14ac:dyDescent="0.25">
      <c r="A771" s="71"/>
      <c r="B771" s="71"/>
      <c r="C771" s="71"/>
      <c r="D771" s="71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</row>
    <row r="772" spans="1:26" ht="15.75" customHeight="1" x14ac:dyDescent="0.25">
      <c r="A772" s="71"/>
      <c r="B772" s="71"/>
      <c r="C772" s="71"/>
      <c r="D772" s="71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</row>
    <row r="773" spans="1:26" ht="15.75" customHeight="1" x14ac:dyDescent="0.25">
      <c r="A773" s="71"/>
      <c r="B773" s="71"/>
      <c r="C773" s="71"/>
      <c r="D773" s="71"/>
      <c r="E773" s="71"/>
      <c r="F773" s="71"/>
      <c r="G773" s="71"/>
      <c r="H773" s="71"/>
      <c r="I773" s="71"/>
      <c r="J773" s="71"/>
      <c r="K773" s="71"/>
      <c r="L773" s="71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</row>
    <row r="774" spans="1:26" ht="15.75" customHeight="1" x14ac:dyDescent="0.25">
      <c r="A774" s="71"/>
      <c r="B774" s="71"/>
      <c r="C774" s="71"/>
      <c r="D774" s="71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</row>
    <row r="775" spans="1:26" ht="15.75" customHeight="1" x14ac:dyDescent="0.25">
      <c r="A775" s="71"/>
      <c r="B775" s="71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1"/>
      <c r="N775" s="71"/>
      <c r="O775" s="71"/>
      <c r="P775" s="71"/>
      <c r="Q775" s="71"/>
      <c r="R775" s="71"/>
      <c r="S775" s="71"/>
      <c r="T775" s="71"/>
      <c r="U775" s="71"/>
      <c r="V775" s="71"/>
      <c r="W775" s="71"/>
      <c r="X775" s="71"/>
      <c r="Y775" s="71"/>
      <c r="Z775" s="71"/>
    </row>
    <row r="776" spans="1:26" ht="15.75" customHeight="1" x14ac:dyDescent="0.25">
      <c r="A776" s="71"/>
      <c r="B776" s="71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1"/>
      <c r="N776" s="71"/>
      <c r="O776" s="71"/>
      <c r="P776" s="71"/>
      <c r="Q776" s="71"/>
      <c r="R776" s="71"/>
      <c r="S776" s="71"/>
      <c r="T776" s="71"/>
      <c r="U776" s="71"/>
      <c r="V776" s="71"/>
      <c r="W776" s="71"/>
      <c r="X776" s="71"/>
      <c r="Y776" s="71"/>
      <c r="Z776" s="71"/>
    </row>
    <row r="777" spans="1:26" ht="15.75" customHeight="1" x14ac:dyDescent="0.25">
      <c r="A777" s="71"/>
      <c r="B777" s="71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</row>
    <row r="778" spans="1:26" ht="15.75" customHeight="1" x14ac:dyDescent="0.25">
      <c r="A778" s="71"/>
      <c r="B778" s="71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</row>
    <row r="779" spans="1:26" ht="15.75" customHeight="1" x14ac:dyDescent="0.25">
      <c r="A779" s="71"/>
      <c r="B779" s="71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1"/>
      <c r="N779" s="71"/>
      <c r="O779" s="71"/>
      <c r="P779" s="71"/>
      <c r="Q779" s="71"/>
      <c r="R779" s="71"/>
      <c r="S779" s="71"/>
      <c r="T779" s="71"/>
      <c r="U779" s="71"/>
      <c r="V779" s="71"/>
      <c r="W779" s="71"/>
      <c r="X779" s="71"/>
      <c r="Y779" s="71"/>
      <c r="Z779" s="71"/>
    </row>
    <row r="780" spans="1:26" ht="15.75" customHeight="1" x14ac:dyDescent="0.25">
      <c r="A780" s="71"/>
      <c r="B780" s="71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1"/>
      <c r="N780" s="71"/>
      <c r="O780" s="71"/>
      <c r="P780" s="71"/>
      <c r="Q780" s="71"/>
      <c r="R780" s="71"/>
      <c r="S780" s="71"/>
      <c r="T780" s="71"/>
      <c r="U780" s="71"/>
      <c r="V780" s="71"/>
      <c r="W780" s="71"/>
      <c r="X780" s="71"/>
      <c r="Y780" s="71"/>
      <c r="Z780" s="71"/>
    </row>
    <row r="781" spans="1:26" ht="15.75" customHeight="1" x14ac:dyDescent="0.25">
      <c r="A781" s="71"/>
      <c r="B781" s="71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1"/>
      <c r="N781" s="71"/>
      <c r="O781" s="71"/>
      <c r="P781" s="71"/>
      <c r="Q781" s="71"/>
      <c r="R781" s="71"/>
      <c r="S781" s="71"/>
      <c r="T781" s="71"/>
      <c r="U781" s="71"/>
      <c r="V781" s="71"/>
      <c r="W781" s="71"/>
      <c r="X781" s="71"/>
      <c r="Y781" s="71"/>
      <c r="Z781" s="71"/>
    </row>
    <row r="782" spans="1:26" ht="15.75" customHeight="1" x14ac:dyDescent="0.25">
      <c r="A782" s="71"/>
      <c r="B782" s="71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1"/>
      <c r="N782" s="71"/>
      <c r="O782" s="71"/>
      <c r="P782" s="71"/>
      <c r="Q782" s="71"/>
      <c r="R782" s="71"/>
      <c r="S782" s="71"/>
      <c r="T782" s="71"/>
      <c r="U782" s="71"/>
      <c r="V782" s="71"/>
      <c r="W782" s="71"/>
      <c r="X782" s="71"/>
      <c r="Y782" s="71"/>
      <c r="Z782" s="71"/>
    </row>
    <row r="783" spans="1:26" ht="15.75" customHeight="1" x14ac:dyDescent="0.25">
      <c r="A783" s="71"/>
      <c r="B783" s="71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1"/>
      <c r="N783" s="71"/>
      <c r="O783" s="71"/>
      <c r="P783" s="71"/>
      <c r="Q783" s="71"/>
      <c r="R783" s="71"/>
      <c r="S783" s="71"/>
      <c r="T783" s="71"/>
      <c r="U783" s="71"/>
      <c r="V783" s="71"/>
      <c r="W783" s="71"/>
      <c r="X783" s="71"/>
      <c r="Y783" s="71"/>
      <c r="Z783" s="71"/>
    </row>
    <row r="784" spans="1:26" ht="15.75" customHeight="1" x14ac:dyDescent="0.25">
      <c r="A784" s="71"/>
      <c r="B784" s="71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</row>
    <row r="785" spans="1:26" ht="15.75" customHeight="1" x14ac:dyDescent="0.25">
      <c r="A785" s="71"/>
      <c r="B785" s="71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1"/>
      <c r="N785" s="71"/>
      <c r="O785" s="71"/>
      <c r="P785" s="71"/>
      <c r="Q785" s="71"/>
      <c r="R785" s="71"/>
      <c r="S785" s="71"/>
      <c r="T785" s="71"/>
      <c r="U785" s="71"/>
      <c r="V785" s="71"/>
      <c r="W785" s="71"/>
      <c r="X785" s="71"/>
      <c r="Y785" s="71"/>
      <c r="Z785" s="71"/>
    </row>
    <row r="786" spans="1:26" ht="15.75" customHeight="1" x14ac:dyDescent="0.25">
      <c r="A786" s="71"/>
      <c r="B786" s="71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</row>
    <row r="787" spans="1:26" ht="15.75" customHeight="1" x14ac:dyDescent="0.25">
      <c r="A787" s="71"/>
      <c r="B787" s="71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1"/>
      <c r="N787" s="71"/>
      <c r="O787" s="71"/>
      <c r="P787" s="71"/>
      <c r="Q787" s="71"/>
      <c r="R787" s="71"/>
      <c r="S787" s="71"/>
      <c r="T787" s="71"/>
      <c r="U787" s="71"/>
      <c r="V787" s="71"/>
      <c r="W787" s="71"/>
      <c r="X787" s="71"/>
      <c r="Y787" s="71"/>
      <c r="Z787" s="71"/>
    </row>
    <row r="788" spans="1:26" ht="15.75" customHeight="1" x14ac:dyDescent="0.25">
      <c r="A788" s="71"/>
      <c r="B788" s="71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1"/>
      <c r="N788" s="71"/>
      <c r="O788" s="71"/>
      <c r="P788" s="71"/>
      <c r="Q788" s="71"/>
      <c r="R788" s="71"/>
      <c r="S788" s="71"/>
      <c r="T788" s="71"/>
      <c r="U788" s="71"/>
      <c r="V788" s="71"/>
      <c r="W788" s="71"/>
      <c r="X788" s="71"/>
      <c r="Y788" s="71"/>
      <c r="Z788" s="71"/>
    </row>
    <row r="789" spans="1:26" ht="15.75" customHeight="1" x14ac:dyDescent="0.25">
      <c r="A789" s="71"/>
      <c r="B789" s="71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1"/>
      <c r="N789" s="71"/>
      <c r="O789" s="71"/>
      <c r="P789" s="71"/>
      <c r="Q789" s="71"/>
      <c r="R789" s="71"/>
      <c r="S789" s="71"/>
      <c r="T789" s="71"/>
      <c r="U789" s="71"/>
      <c r="V789" s="71"/>
      <c r="W789" s="71"/>
      <c r="X789" s="71"/>
      <c r="Y789" s="71"/>
      <c r="Z789" s="71"/>
    </row>
    <row r="790" spans="1:26" ht="15.75" customHeight="1" x14ac:dyDescent="0.25">
      <c r="A790" s="71"/>
      <c r="B790" s="71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1"/>
      <c r="N790" s="71"/>
      <c r="O790" s="71"/>
      <c r="P790" s="71"/>
      <c r="Q790" s="71"/>
      <c r="R790" s="71"/>
      <c r="S790" s="71"/>
      <c r="T790" s="71"/>
      <c r="U790" s="71"/>
      <c r="V790" s="71"/>
      <c r="W790" s="71"/>
      <c r="X790" s="71"/>
      <c r="Y790" s="71"/>
      <c r="Z790" s="71"/>
    </row>
    <row r="791" spans="1:26" ht="15.75" customHeight="1" x14ac:dyDescent="0.25">
      <c r="A791" s="71"/>
      <c r="B791" s="71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1"/>
      <c r="N791" s="71"/>
      <c r="O791" s="71"/>
      <c r="P791" s="71"/>
      <c r="Q791" s="71"/>
      <c r="R791" s="71"/>
      <c r="S791" s="71"/>
      <c r="T791" s="71"/>
      <c r="U791" s="71"/>
      <c r="V791" s="71"/>
      <c r="W791" s="71"/>
      <c r="X791" s="71"/>
      <c r="Y791" s="71"/>
      <c r="Z791" s="71"/>
    </row>
    <row r="792" spans="1:26" ht="15.75" customHeight="1" x14ac:dyDescent="0.25">
      <c r="A792" s="71"/>
      <c r="B792" s="71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1"/>
      <c r="N792" s="71"/>
      <c r="O792" s="71"/>
      <c r="P792" s="71"/>
      <c r="Q792" s="71"/>
      <c r="R792" s="71"/>
      <c r="S792" s="71"/>
      <c r="T792" s="71"/>
      <c r="U792" s="71"/>
      <c r="V792" s="71"/>
      <c r="W792" s="71"/>
      <c r="X792" s="71"/>
      <c r="Y792" s="71"/>
      <c r="Z792" s="71"/>
    </row>
    <row r="793" spans="1:26" ht="15.75" customHeight="1" x14ac:dyDescent="0.25">
      <c r="A793" s="71"/>
      <c r="B793" s="71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1"/>
      <c r="N793" s="71"/>
      <c r="O793" s="71"/>
      <c r="P793" s="71"/>
      <c r="Q793" s="71"/>
      <c r="R793" s="71"/>
      <c r="S793" s="71"/>
      <c r="T793" s="71"/>
      <c r="U793" s="71"/>
      <c r="V793" s="71"/>
      <c r="W793" s="71"/>
      <c r="X793" s="71"/>
      <c r="Y793" s="71"/>
      <c r="Z793" s="71"/>
    </row>
    <row r="794" spans="1:26" ht="15.75" customHeight="1" x14ac:dyDescent="0.25">
      <c r="A794" s="71"/>
      <c r="B794" s="71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1"/>
      <c r="N794" s="71"/>
      <c r="O794" s="71"/>
      <c r="P794" s="71"/>
      <c r="Q794" s="71"/>
      <c r="R794" s="71"/>
      <c r="S794" s="71"/>
      <c r="T794" s="71"/>
      <c r="U794" s="71"/>
      <c r="V794" s="71"/>
      <c r="W794" s="71"/>
      <c r="X794" s="71"/>
      <c r="Y794" s="71"/>
      <c r="Z794" s="71"/>
    </row>
    <row r="795" spans="1:26" ht="15.75" customHeight="1" x14ac:dyDescent="0.25">
      <c r="A795" s="71"/>
      <c r="B795" s="71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</row>
    <row r="796" spans="1:26" ht="15.75" customHeight="1" x14ac:dyDescent="0.25">
      <c r="A796" s="71"/>
      <c r="B796" s="71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</row>
    <row r="797" spans="1:26" ht="15.75" customHeight="1" x14ac:dyDescent="0.25">
      <c r="A797" s="71"/>
      <c r="B797" s="71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1"/>
      <c r="N797" s="71"/>
      <c r="O797" s="71"/>
      <c r="P797" s="71"/>
      <c r="Q797" s="71"/>
      <c r="R797" s="71"/>
      <c r="S797" s="71"/>
      <c r="T797" s="71"/>
      <c r="U797" s="71"/>
      <c r="V797" s="71"/>
      <c r="W797" s="71"/>
      <c r="X797" s="71"/>
      <c r="Y797" s="71"/>
      <c r="Z797" s="71"/>
    </row>
    <row r="798" spans="1:26" ht="15.75" customHeight="1" x14ac:dyDescent="0.25">
      <c r="A798" s="71"/>
      <c r="B798" s="71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</row>
    <row r="799" spans="1:26" ht="15.75" customHeight="1" x14ac:dyDescent="0.25">
      <c r="A799" s="71"/>
      <c r="B799" s="71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1"/>
      <c r="N799" s="71"/>
      <c r="O799" s="71"/>
      <c r="P799" s="71"/>
      <c r="Q799" s="71"/>
      <c r="R799" s="71"/>
      <c r="S799" s="71"/>
      <c r="T799" s="71"/>
      <c r="U799" s="71"/>
      <c r="V799" s="71"/>
      <c r="W799" s="71"/>
      <c r="X799" s="71"/>
      <c r="Y799" s="71"/>
      <c r="Z799" s="71"/>
    </row>
    <row r="800" spans="1:26" ht="15.75" customHeight="1" x14ac:dyDescent="0.25">
      <c r="A800" s="71"/>
      <c r="B800" s="71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1"/>
      <c r="N800" s="71"/>
      <c r="O800" s="71"/>
      <c r="P800" s="71"/>
      <c r="Q800" s="71"/>
      <c r="R800" s="71"/>
      <c r="S800" s="71"/>
      <c r="T800" s="71"/>
      <c r="U800" s="71"/>
      <c r="V800" s="71"/>
      <c r="W800" s="71"/>
      <c r="X800" s="71"/>
      <c r="Y800" s="71"/>
      <c r="Z800" s="71"/>
    </row>
    <row r="801" spans="1:26" ht="15.75" customHeight="1" x14ac:dyDescent="0.25">
      <c r="A801" s="71"/>
      <c r="B801" s="71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</row>
    <row r="802" spans="1:26" ht="15.75" customHeight="1" x14ac:dyDescent="0.25">
      <c r="A802" s="71"/>
      <c r="B802" s="71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1"/>
      <c r="N802" s="71"/>
      <c r="O802" s="71"/>
      <c r="P802" s="71"/>
      <c r="Q802" s="71"/>
      <c r="R802" s="71"/>
      <c r="S802" s="71"/>
      <c r="T802" s="71"/>
      <c r="U802" s="71"/>
      <c r="V802" s="71"/>
      <c r="W802" s="71"/>
      <c r="X802" s="71"/>
      <c r="Y802" s="71"/>
      <c r="Z802" s="71"/>
    </row>
    <row r="803" spans="1:26" ht="15.75" customHeight="1" x14ac:dyDescent="0.25">
      <c r="A803" s="71"/>
      <c r="B803" s="71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1"/>
      <c r="N803" s="71"/>
      <c r="O803" s="71"/>
      <c r="P803" s="71"/>
      <c r="Q803" s="71"/>
      <c r="R803" s="71"/>
      <c r="S803" s="71"/>
      <c r="T803" s="71"/>
      <c r="U803" s="71"/>
      <c r="V803" s="71"/>
      <c r="W803" s="71"/>
      <c r="X803" s="71"/>
      <c r="Y803" s="71"/>
      <c r="Z803" s="71"/>
    </row>
    <row r="804" spans="1:26" ht="15.75" customHeight="1" x14ac:dyDescent="0.25">
      <c r="A804" s="71"/>
      <c r="B804" s="71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1"/>
      <c r="N804" s="71"/>
      <c r="O804" s="71"/>
      <c r="P804" s="71"/>
      <c r="Q804" s="71"/>
      <c r="R804" s="71"/>
      <c r="S804" s="71"/>
      <c r="T804" s="71"/>
      <c r="U804" s="71"/>
      <c r="V804" s="71"/>
      <c r="W804" s="71"/>
      <c r="X804" s="71"/>
      <c r="Y804" s="71"/>
      <c r="Z804" s="71"/>
    </row>
    <row r="805" spans="1:26" ht="15.75" customHeight="1" x14ac:dyDescent="0.25">
      <c r="A805" s="71"/>
      <c r="B805" s="71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</row>
    <row r="806" spans="1:26" ht="15.75" customHeight="1" x14ac:dyDescent="0.25">
      <c r="A806" s="71"/>
      <c r="B806" s="71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1"/>
      <c r="N806" s="71"/>
      <c r="O806" s="71"/>
      <c r="P806" s="71"/>
      <c r="Q806" s="71"/>
      <c r="R806" s="71"/>
      <c r="S806" s="71"/>
      <c r="T806" s="71"/>
      <c r="U806" s="71"/>
      <c r="V806" s="71"/>
      <c r="W806" s="71"/>
      <c r="X806" s="71"/>
      <c r="Y806" s="71"/>
      <c r="Z806" s="71"/>
    </row>
    <row r="807" spans="1:26" ht="15.75" customHeight="1" x14ac:dyDescent="0.25">
      <c r="A807" s="71"/>
      <c r="B807" s="71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1"/>
      <c r="N807" s="71"/>
      <c r="O807" s="71"/>
      <c r="P807" s="71"/>
      <c r="Q807" s="71"/>
      <c r="R807" s="71"/>
      <c r="S807" s="71"/>
      <c r="T807" s="71"/>
      <c r="U807" s="71"/>
      <c r="V807" s="71"/>
      <c r="W807" s="71"/>
      <c r="X807" s="71"/>
      <c r="Y807" s="71"/>
      <c r="Z807" s="71"/>
    </row>
    <row r="808" spans="1:26" ht="15.75" customHeight="1" x14ac:dyDescent="0.25">
      <c r="A808" s="71"/>
      <c r="B808" s="71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</row>
    <row r="809" spans="1:26" ht="15.75" customHeight="1" x14ac:dyDescent="0.25">
      <c r="A809" s="71"/>
      <c r="B809" s="71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1"/>
      <c r="N809" s="71"/>
      <c r="O809" s="71"/>
      <c r="P809" s="71"/>
      <c r="Q809" s="71"/>
      <c r="R809" s="71"/>
      <c r="S809" s="71"/>
      <c r="T809" s="71"/>
      <c r="U809" s="71"/>
      <c r="V809" s="71"/>
      <c r="W809" s="71"/>
      <c r="X809" s="71"/>
      <c r="Y809" s="71"/>
      <c r="Z809" s="71"/>
    </row>
    <row r="810" spans="1:26" ht="15.75" customHeight="1" x14ac:dyDescent="0.25">
      <c r="A810" s="71"/>
      <c r="B810" s="71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</row>
    <row r="811" spans="1:26" ht="15.75" customHeight="1" x14ac:dyDescent="0.25">
      <c r="A811" s="71"/>
      <c r="B811" s="71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</row>
    <row r="812" spans="1:26" ht="15.75" customHeight="1" x14ac:dyDescent="0.25">
      <c r="A812" s="71"/>
      <c r="B812" s="71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1"/>
      <c r="N812" s="71"/>
      <c r="O812" s="71"/>
      <c r="P812" s="71"/>
      <c r="Q812" s="71"/>
      <c r="R812" s="71"/>
      <c r="S812" s="71"/>
      <c r="T812" s="71"/>
      <c r="U812" s="71"/>
      <c r="V812" s="71"/>
      <c r="W812" s="71"/>
      <c r="X812" s="71"/>
      <c r="Y812" s="71"/>
      <c r="Z812" s="71"/>
    </row>
    <row r="813" spans="1:26" ht="15.75" customHeight="1" x14ac:dyDescent="0.25">
      <c r="A813" s="71"/>
      <c r="B813" s="71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</row>
    <row r="814" spans="1:26" ht="15.75" customHeight="1" x14ac:dyDescent="0.25">
      <c r="A814" s="71"/>
      <c r="B814" s="71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1"/>
      <c r="N814" s="71"/>
      <c r="O814" s="71"/>
      <c r="P814" s="71"/>
      <c r="Q814" s="71"/>
      <c r="R814" s="71"/>
      <c r="S814" s="71"/>
      <c r="T814" s="71"/>
      <c r="U814" s="71"/>
      <c r="V814" s="71"/>
      <c r="W814" s="71"/>
      <c r="X814" s="71"/>
      <c r="Y814" s="71"/>
      <c r="Z814" s="71"/>
    </row>
    <row r="815" spans="1:26" ht="15.75" customHeight="1" x14ac:dyDescent="0.25">
      <c r="A815" s="71"/>
      <c r="B815" s="71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1"/>
      <c r="N815" s="71"/>
      <c r="O815" s="71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</row>
    <row r="816" spans="1:26" ht="15.75" customHeight="1" x14ac:dyDescent="0.25">
      <c r="A816" s="71"/>
      <c r="B816" s="71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</row>
    <row r="817" spans="1:26" ht="15.75" customHeight="1" x14ac:dyDescent="0.25">
      <c r="A817" s="71"/>
      <c r="B817" s="71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</row>
    <row r="818" spans="1:26" ht="15.75" customHeight="1" x14ac:dyDescent="0.25">
      <c r="A818" s="71"/>
      <c r="B818" s="71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1"/>
      <c r="N818" s="71"/>
      <c r="O818" s="71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</row>
    <row r="819" spans="1:26" ht="15.75" customHeight="1" x14ac:dyDescent="0.25">
      <c r="A819" s="71"/>
      <c r="B819" s="71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1"/>
      <c r="N819" s="71"/>
      <c r="O819" s="71"/>
      <c r="P819" s="71"/>
      <c r="Q819" s="71"/>
      <c r="R819" s="71"/>
      <c r="S819" s="71"/>
      <c r="T819" s="71"/>
      <c r="U819" s="71"/>
      <c r="V819" s="71"/>
      <c r="W819" s="71"/>
      <c r="X819" s="71"/>
      <c r="Y819" s="71"/>
      <c r="Z819" s="71"/>
    </row>
    <row r="820" spans="1:26" ht="15.75" customHeight="1" x14ac:dyDescent="0.25">
      <c r="A820" s="71"/>
      <c r="B820" s="71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</row>
    <row r="821" spans="1:26" ht="15.75" customHeight="1" x14ac:dyDescent="0.25">
      <c r="A821" s="71"/>
      <c r="B821" s="71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</row>
    <row r="822" spans="1:26" ht="15.75" customHeight="1" x14ac:dyDescent="0.25">
      <c r="A822" s="71"/>
      <c r="B822" s="71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</row>
    <row r="823" spans="1:26" ht="15.75" customHeight="1" x14ac:dyDescent="0.25">
      <c r="A823" s="71"/>
      <c r="B823" s="71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1"/>
      <c r="N823" s="71"/>
      <c r="O823" s="71"/>
      <c r="P823" s="71"/>
      <c r="Q823" s="71"/>
      <c r="R823" s="71"/>
      <c r="S823" s="71"/>
      <c r="T823" s="71"/>
      <c r="U823" s="71"/>
      <c r="V823" s="71"/>
      <c r="W823" s="71"/>
      <c r="X823" s="71"/>
      <c r="Y823" s="71"/>
      <c r="Z823" s="71"/>
    </row>
    <row r="824" spans="1:26" ht="15.75" customHeight="1" x14ac:dyDescent="0.25">
      <c r="A824" s="71"/>
      <c r="B824" s="71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1"/>
      <c r="N824" s="71"/>
      <c r="O824" s="71"/>
      <c r="P824" s="71"/>
      <c r="Q824" s="71"/>
      <c r="R824" s="71"/>
      <c r="S824" s="71"/>
      <c r="T824" s="71"/>
      <c r="U824" s="71"/>
      <c r="V824" s="71"/>
      <c r="W824" s="71"/>
      <c r="X824" s="71"/>
      <c r="Y824" s="71"/>
      <c r="Z824" s="71"/>
    </row>
    <row r="825" spans="1:26" ht="15.75" customHeight="1" x14ac:dyDescent="0.25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</row>
    <row r="826" spans="1:26" ht="15.75" customHeight="1" x14ac:dyDescent="0.25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</row>
    <row r="827" spans="1:26" ht="15.75" customHeight="1" x14ac:dyDescent="0.25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</row>
    <row r="828" spans="1:26" ht="15.75" customHeight="1" x14ac:dyDescent="0.25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</row>
    <row r="829" spans="1:26" ht="15.75" customHeight="1" x14ac:dyDescent="0.25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</row>
    <row r="830" spans="1:26" ht="15.75" customHeight="1" x14ac:dyDescent="0.25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</row>
    <row r="831" spans="1:26" ht="15.75" customHeight="1" x14ac:dyDescent="0.25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</row>
    <row r="832" spans="1:26" ht="15.75" customHeight="1" x14ac:dyDescent="0.25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</row>
    <row r="833" spans="1:26" ht="15.75" customHeight="1" x14ac:dyDescent="0.25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</row>
    <row r="834" spans="1:26" ht="15.75" customHeight="1" x14ac:dyDescent="0.25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</row>
    <row r="835" spans="1:26" ht="15.75" customHeight="1" x14ac:dyDescent="0.25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</row>
    <row r="836" spans="1:26" ht="15.75" customHeight="1" x14ac:dyDescent="0.25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71"/>
      <c r="O836" s="71"/>
      <c r="P836" s="71"/>
      <c r="Q836" s="71"/>
      <c r="R836" s="71"/>
      <c r="S836" s="71"/>
      <c r="T836" s="71"/>
      <c r="U836" s="71"/>
      <c r="V836" s="71"/>
      <c r="W836" s="71"/>
      <c r="X836" s="71"/>
      <c r="Y836" s="71"/>
      <c r="Z836" s="71"/>
    </row>
    <row r="837" spans="1:26" ht="15.75" customHeight="1" x14ac:dyDescent="0.25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71"/>
      <c r="O837" s="71"/>
      <c r="P837" s="71"/>
      <c r="Q837" s="71"/>
      <c r="R837" s="71"/>
      <c r="S837" s="71"/>
      <c r="T837" s="71"/>
      <c r="U837" s="71"/>
      <c r="V837" s="71"/>
      <c r="W837" s="71"/>
      <c r="X837" s="71"/>
      <c r="Y837" s="71"/>
      <c r="Z837" s="71"/>
    </row>
    <row r="838" spans="1:26" ht="15.75" customHeight="1" x14ac:dyDescent="0.25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</row>
    <row r="839" spans="1:26" ht="15.75" customHeight="1" x14ac:dyDescent="0.25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</row>
    <row r="840" spans="1:26" ht="15.75" customHeight="1" x14ac:dyDescent="0.25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</row>
    <row r="841" spans="1:26" ht="15.75" customHeight="1" x14ac:dyDescent="0.25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</row>
    <row r="842" spans="1:26" ht="15.75" customHeight="1" x14ac:dyDescent="0.25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</row>
    <row r="843" spans="1:26" ht="15.75" customHeight="1" x14ac:dyDescent="0.25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</row>
    <row r="844" spans="1:26" ht="15.75" customHeight="1" x14ac:dyDescent="0.25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</row>
    <row r="845" spans="1:26" ht="15.75" customHeight="1" x14ac:dyDescent="0.25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</row>
    <row r="846" spans="1:26" ht="15.75" customHeight="1" x14ac:dyDescent="0.25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</row>
    <row r="847" spans="1:26" ht="15.75" customHeight="1" x14ac:dyDescent="0.25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</row>
    <row r="848" spans="1:26" ht="15.75" customHeight="1" x14ac:dyDescent="0.25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</row>
    <row r="849" spans="1:26" ht="15.75" customHeight="1" x14ac:dyDescent="0.25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</row>
    <row r="850" spans="1:26" ht="15.75" customHeight="1" x14ac:dyDescent="0.25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</row>
    <row r="851" spans="1:26" ht="15.75" customHeight="1" x14ac:dyDescent="0.25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</row>
    <row r="852" spans="1:26" ht="15.75" customHeight="1" x14ac:dyDescent="0.25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</row>
    <row r="853" spans="1:26" ht="15.75" customHeight="1" x14ac:dyDescent="0.25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71"/>
      <c r="O853" s="71"/>
      <c r="P853" s="71"/>
      <c r="Q853" s="71"/>
      <c r="R853" s="71"/>
      <c r="S853" s="71"/>
      <c r="T853" s="71"/>
      <c r="U853" s="71"/>
      <c r="V853" s="71"/>
      <c r="W853" s="71"/>
      <c r="X853" s="71"/>
      <c r="Y853" s="71"/>
      <c r="Z853" s="71"/>
    </row>
    <row r="854" spans="1:26" ht="15.75" customHeight="1" x14ac:dyDescent="0.25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71"/>
      <c r="O854" s="71"/>
      <c r="P854" s="71"/>
      <c r="Q854" s="71"/>
      <c r="R854" s="71"/>
      <c r="S854" s="71"/>
      <c r="T854" s="71"/>
      <c r="U854" s="71"/>
      <c r="V854" s="71"/>
      <c r="W854" s="71"/>
      <c r="X854" s="71"/>
      <c r="Y854" s="71"/>
      <c r="Z854" s="71"/>
    </row>
    <row r="855" spans="1:26" ht="15.75" customHeight="1" x14ac:dyDescent="0.25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</row>
    <row r="856" spans="1:26" ht="15.75" customHeight="1" x14ac:dyDescent="0.25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</row>
    <row r="857" spans="1:26" ht="15.75" customHeight="1" x14ac:dyDescent="0.25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</row>
    <row r="858" spans="1:26" ht="15.75" customHeight="1" x14ac:dyDescent="0.25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</row>
    <row r="859" spans="1:26" ht="15.75" customHeight="1" x14ac:dyDescent="0.25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</row>
    <row r="860" spans="1:26" ht="15.75" customHeight="1" x14ac:dyDescent="0.25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</row>
    <row r="861" spans="1:26" ht="15.75" customHeight="1" x14ac:dyDescent="0.25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</row>
    <row r="862" spans="1:26" ht="15.75" customHeight="1" x14ac:dyDescent="0.25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1"/>
      <c r="Q862" s="71"/>
      <c r="R862" s="71"/>
      <c r="S862" s="71"/>
      <c r="T862" s="71"/>
      <c r="U862" s="71"/>
      <c r="V862" s="71"/>
      <c r="W862" s="71"/>
      <c r="X862" s="71"/>
      <c r="Y862" s="71"/>
      <c r="Z862" s="71"/>
    </row>
    <row r="863" spans="1:26" ht="15.75" customHeight="1" x14ac:dyDescent="0.25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</row>
    <row r="864" spans="1:26" ht="15.75" customHeight="1" x14ac:dyDescent="0.25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</row>
    <row r="865" spans="1:26" ht="15.75" customHeight="1" x14ac:dyDescent="0.25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</row>
    <row r="866" spans="1:26" ht="15.75" customHeight="1" x14ac:dyDescent="0.25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</row>
    <row r="867" spans="1:26" ht="15.75" customHeight="1" x14ac:dyDescent="0.25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</row>
    <row r="868" spans="1:26" ht="15.75" customHeight="1" x14ac:dyDescent="0.25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</row>
    <row r="869" spans="1:26" ht="15.75" customHeight="1" x14ac:dyDescent="0.25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</row>
    <row r="870" spans="1:26" ht="15.75" customHeight="1" x14ac:dyDescent="0.25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71"/>
      <c r="O870" s="71"/>
      <c r="P870" s="71"/>
      <c r="Q870" s="71"/>
      <c r="R870" s="71"/>
      <c r="S870" s="71"/>
      <c r="T870" s="71"/>
      <c r="U870" s="71"/>
      <c r="V870" s="71"/>
      <c r="W870" s="71"/>
      <c r="X870" s="71"/>
      <c r="Y870" s="71"/>
      <c r="Z870" s="71"/>
    </row>
    <row r="871" spans="1:26" ht="15.75" customHeight="1" x14ac:dyDescent="0.25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71"/>
      <c r="O871" s="71"/>
      <c r="P871" s="71"/>
      <c r="Q871" s="71"/>
      <c r="R871" s="71"/>
      <c r="S871" s="71"/>
      <c r="T871" s="71"/>
      <c r="U871" s="71"/>
      <c r="V871" s="71"/>
      <c r="W871" s="71"/>
      <c r="X871" s="71"/>
      <c r="Y871" s="71"/>
      <c r="Z871" s="71"/>
    </row>
    <row r="872" spans="1:26" ht="15.75" customHeight="1" x14ac:dyDescent="0.25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</row>
    <row r="873" spans="1:26" ht="15.75" customHeight="1" x14ac:dyDescent="0.25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</row>
    <row r="874" spans="1:26" ht="15.75" customHeight="1" x14ac:dyDescent="0.25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</row>
    <row r="875" spans="1:26" ht="15.75" customHeight="1" x14ac:dyDescent="0.25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</row>
    <row r="876" spans="1:26" ht="15.75" customHeight="1" x14ac:dyDescent="0.25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1"/>
      <c r="Q876" s="71"/>
      <c r="R876" s="71"/>
      <c r="S876" s="71"/>
      <c r="T876" s="71"/>
      <c r="U876" s="71"/>
      <c r="V876" s="71"/>
      <c r="W876" s="71"/>
      <c r="X876" s="71"/>
      <c r="Y876" s="71"/>
      <c r="Z876" s="71"/>
    </row>
    <row r="877" spans="1:26" ht="15.75" customHeight="1" x14ac:dyDescent="0.25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1"/>
      <c r="Q877" s="71"/>
      <c r="R877" s="71"/>
      <c r="S877" s="71"/>
      <c r="T877" s="71"/>
      <c r="U877" s="71"/>
      <c r="V877" s="71"/>
      <c r="W877" s="71"/>
      <c r="X877" s="71"/>
      <c r="Y877" s="71"/>
      <c r="Z877" s="71"/>
    </row>
    <row r="878" spans="1:26" ht="15.75" customHeight="1" x14ac:dyDescent="0.25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</row>
    <row r="879" spans="1:26" ht="15.75" customHeight="1" x14ac:dyDescent="0.25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1"/>
      <c r="Q879" s="71"/>
      <c r="R879" s="71"/>
      <c r="S879" s="71"/>
      <c r="T879" s="71"/>
      <c r="U879" s="71"/>
      <c r="V879" s="71"/>
      <c r="W879" s="71"/>
      <c r="X879" s="71"/>
      <c r="Y879" s="71"/>
      <c r="Z879" s="71"/>
    </row>
    <row r="880" spans="1:26" ht="15.75" customHeight="1" x14ac:dyDescent="0.25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1"/>
      <c r="Q880" s="71"/>
      <c r="R880" s="71"/>
      <c r="S880" s="71"/>
      <c r="T880" s="71"/>
      <c r="U880" s="71"/>
      <c r="V880" s="71"/>
      <c r="W880" s="71"/>
      <c r="X880" s="71"/>
      <c r="Y880" s="71"/>
      <c r="Z880" s="71"/>
    </row>
    <row r="881" spans="1:26" ht="15.75" customHeight="1" x14ac:dyDescent="0.25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1"/>
      <c r="Q881" s="71"/>
      <c r="R881" s="71"/>
      <c r="S881" s="71"/>
      <c r="T881" s="71"/>
      <c r="U881" s="71"/>
      <c r="V881" s="71"/>
      <c r="W881" s="71"/>
      <c r="X881" s="71"/>
      <c r="Y881" s="71"/>
      <c r="Z881" s="71"/>
    </row>
    <row r="882" spans="1:26" ht="15.75" customHeight="1" x14ac:dyDescent="0.25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</row>
    <row r="883" spans="1:26" ht="15.75" customHeight="1" x14ac:dyDescent="0.25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</row>
    <row r="884" spans="1:26" ht="15.75" customHeight="1" x14ac:dyDescent="0.25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</row>
    <row r="885" spans="1:26" ht="15.75" customHeight="1" x14ac:dyDescent="0.25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</row>
    <row r="886" spans="1:26" ht="15.75" customHeight="1" x14ac:dyDescent="0.25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</row>
    <row r="887" spans="1:26" ht="15.75" customHeight="1" x14ac:dyDescent="0.25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71"/>
      <c r="O887" s="71"/>
      <c r="P887" s="71"/>
      <c r="Q887" s="71"/>
      <c r="R887" s="71"/>
      <c r="S887" s="71"/>
      <c r="T887" s="71"/>
      <c r="U887" s="71"/>
      <c r="V887" s="71"/>
      <c r="W887" s="71"/>
      <c r="X887" s="71"/>
      <c r="Y887" s="71"/>
      <c r="Z887" s="71"/>
    </row>
    <row r="888" spans="1:26" ht="15.75" customHeight="1" x14ac:dyDescent="0.25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71"/>
      <c r="O888" s="71"/>
      <c r="P888" s="71"/>
      <c r="Q888" s="71"/>
      <c r="R888" s="71"/>
      <c r="S888" s="71"/>
      <c r="T888" s="71"/>
      <c r="U888" s="71"/>
      <c r="V888" s="71"/>
      <c r="W888" s="71"/>
      <c r="X888" s="71"/>
      <c r="Y888" s="71"/>
      <c r="Z888" s="71"/>
    </row>
    <row r="889" spans="1:26" ht="15.75" customHeight="1" x14ac:dyDescent="0.25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</row>
    <row r="890" spans="1:26" ht="15.75" customHeight="1" x14ac:dyDescent="0.25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</row>
    <row r="891" spans="1:26" ht="15.75" customHeight="1" x14ac:dyDescent="0.25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</row>
    <row r="892" spans="1:26" ht="15.75" customHeight="1" x14ac:dyDescent="0.25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</row>
    <row r="893" spans="1:26" ht="15.75" customHeight="1" x14ac:dyDescent="0.25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</row>
    <row r="894" spans="1:26" ht="15.75" customHeight="1" x14ac:dyDescent="0.25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</row>
    <row r="895" spans="1:26" ht="15.75" customHeight="1" x14ac:dyDescent="0.25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</row>
    <row r="896" spans="1:26" ht="15.75" customHeight="1" x14ac:dyDescent="0.25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</row>
    <row r="897" spans="1:26" ht="15.75" customHeight="1" x14ac:dyDescent="0.25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</row>
    <row r="898" spans="1:26" ht="15.75" customHeight="1" x14ac:dyDescent="0.25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</row>
    <row r="899" spans="1:26" ht="15.75" customHeight="1" x14ac:dyDescent="0.25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</row>
    <row r="900" spans="1:26" ht="15.75" customHeight="1" x14ac:dyDescent="0.25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</row>
    <row r="901" spans="1:26" ht="15.75" customHeight="1" x14ac:dyDescent="0.25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</row>
    <row r="902" spans="1:26" ht="15.75" customHeight="1" x14ac:dyDescent="0.25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</row>
    <row r="903" spans="1:26" ht="15.75" customHeight="1" x14ac:dyDescent="0.25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</row>
    <row r="904" spans="1:26" ht="15.75" customHeight="1" x14ac:dyDescent="0.25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71"/>
      <c r="O904" s="71"/>
      <c r="P904" s="71"/>
      <c r="Q904" s="71"/>
      <c r="R904" s="71"/>
      <c r="S904" s="71"/>
      <c r="T904" s="71"/>
      <c r="U904" s="71"/>
      <c r="V904" s="71"/>
      <c r="W904" s="71"/>
      <c r="X904" s="71"/>
      <c r="Y904" s="71"/>
      <c r="Z904" s="71"/>
    </row>
    <row r="905" spans="1:26" ht="15.75" customHeight="1" x14ac:dyDescent="0.25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71"/>
      <c r="O905" s="71"/>
      <c r="P905" s="71"/>
      <c r="Q905" s="71"/>
      <c r="R905" s="71"/>
      <c r="S905" s="71"/>
      <c r="T905" s="71"/>
      <c r="U905" s="71"/>
      <c r="V905" s="71"/>
      <c r="W905" s="71"/>
      <c r="X905" s="71"/>
      <c r="Y905" s="71"/>
      <c r="Z905" s="71"/>
    </row>
    <row r="906" spans="1:26" ht="15.75" customHeight="1" x14ac:dyDescent="0.25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</row>
    <row r="907" spans="1:26" ht="15.75" customHeight="1" x14ac:dyDescent="0.25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</row>
    <row r="908" spans="1:26" ht="15.75" customHeight="1" x14ac:dyDescent="0.25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</row>
    <row r="909" spans="1:26" ht="15.75" customHeight="1" x14ac:dyDescent="0.25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</row>
    <row r="910" spans="1:26" ht="15.75" customHeight="1" x14ac:dyDescent="0.25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</row>
    <row r="911" spans="1:26" ht="15.75" customHeight="1" x14ac:dyDescent="0.25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1"/>
      <c r="Q911" s="71"/>
      <c r="R911" s="71"/>
      <c r="S911" s="71"/>
      <c r="T911" s="71"/>
      <c r="U911" s="71"/>
      <c r="V911" s="71"/>
      <c r="W911" s="71"/>
      <c r="X911" s="71"/>
      <c r="Y911" s="71"/>
      <c r="Z911" s="71"/>
    </row>
    <row r="912" spans="1:26" ht="15.75" customHeight="1" x14ac:dyDescent="0.25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</row>
    <row r="913" spans="1:26" ht="15.75" customHeight="1" x14ac:dyDescent="0.25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</row>
    <row r="914" spans="1:26" ht="15.75" customHeight="1" x14ac:dyDescent="0.25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</row>
    <row r="915" spans="1:26" ht="15.75" customHeight="1" x14ac:dyDescent="0.25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</row>
    <row r="916" spans="1:26" ht="15.75" customHeight="1" x14ac:dyDescent="0.25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</row>
    <row r="917" spans="1:26" ht="15.75" customHeight="1" x14ac:dyDescent="0.25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1"/>
      <c r="Q917" s="71"/>
      <c r="R917" s="71"/>
      <c r="S917" s="71"/>
      <c r="T917" s="71"/>
      <c r="U917" s="71"/>
      <c r="V917" s="71"/>
      <c r="W917" s="71"/>
      <c r="X917" s="71"/>
      <c r="Y917" s="71"/>
      <c r="Z917" s="71"/>
    </row>
    <row r="918" spans="1:26" ht="15.75" customHeight="1" x14ac:dyDescent="0.25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</row>
    <row r="919" spans="1:26" ht="15.75" customHeight="1" x14ac:dyDescent="0.25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</row>
    <row r="920" spans="1:26" ht="15.75" customHeight="1" x14ac:dyDescent="0.25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71"/>
      <c r="Y920" s="71"/>
      <c r="Z920" s="71"/>
    </row>
    <row r="921" spans="1:26" ht="15.75" customHeight="1" x14ac:dyDescent="0.25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71"/>
      <c r="O921" s="71"/>
      <c r="P921" s="71"/>
      <c r="Q921" s="71"/>
      <c r="R921" s="71"/>
      <c r="S921" s="71"/>
      <c r="T921" s="71"/>
      <c r="U921" s="71"/>
      <c r="V921" s="71"/>
      <c r="W921" s="71"/>
      <c r="X921" s="71"/>
      <c r="Y921" s="71"/>
      <c r="Z921" s="71"/>
    </row>
    <row r="922" spans="1:26" ht="15.75" customHeight="1" x14ac:dyDescent="0.25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71"/>
      <c r="O922" s="71"/>
      <c r="P922" s="71"/>
      <c r="Q922" s="71"/>
      <c r="R922" s="71"/>
      <c r="S922" s="71"/>
      <c r="T922" s="71"/>
      <c r="U922" s="71"/>
      <c r="V922" s="71"/>
      <c r="W922" s="71"/>
      <c r="X922" s="71"/>
      <c r="Y922" s="71"/>
      <c r="Z922" s="71"/>
    </row>
    <row r="923" spans="1:26" ht="15.75" customHeight="1" x14ac:dyDescent="0.25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1"/>
      <c r="Q923" s="71"/>
      <c r="R923" s="71"/>
      <c r="S923" s="71"/>
      <c r="T923" s="71"/>
      <c r="U923" s="71"/>
      <c r="V923" s="71"/>
      <c r="W923" s="71"/>
      <c r="X923" s="71"/>
      <c r="Y923" s="71"/>
      <c r="Z923" s="71"/>
    </row>
    <row r="924" spans="1:26" ht="15.75" customHeight="1" x14ac:dyDescent="0.25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1"/>
      <c r="Q924" s="71"/>
      <c r="R924" s="71"/>
      <c r="S924" s="71"/>
      <c r="T924" s="71"/>
      <c r="U924" s="71"/>
      <c r="V924" s="71"/>
      <c r="W924" s="71"/>
      <c r="X924" s="71"/>
      <c r="Y924" s="71"/>
      <c r="Z924" s="71"/>
    </row>
    <row r="925" spans="1:26" ht="15.75" customHeight="1" x14ac:dyDescent="0.25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1"/>
      <c r="Q925" s="71"/>
      <c r="R925" s="71"/>
      <c r="S925" s="71"/>
      <c r="T925" s="71"/>
      <c r="U925" s="71"/>
      <c r="V925" s="71"/>
      <c r="W925" s="71"/>
      <c r="X925" s="71"/>
      <c r="Y925" s="71"/>
      <c r="Z925" s="71"/>
    </row>
    <row r="926" spans="1:26" ht="15.75" customHeight="1" x14ac:dyDescent="0.25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1"/>
      <c r="Q926" s="71"/>
      <c r="R926" s="71"/>
      <c r="S926" s="71"/>
      <c r="T926" s="71"/>
      <c r="U926" s="71"/>
      <c r="V926" s="71"/>
      <c r="W926" s="71"/>
      <c r="X926" s="71"/>
      <c r="Y926" s="71"/>
      <c r="Z926" s="71"/>
    </row>
    <row r="927" spans="1:26" ht="15.75" customHeight="1" x14ac:dyDescent="0.25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1"/>
      <c r="Q927" s="71"/>
      <c r="R927" s="71"/>
      <c r="S927" s="71"/>
      <c r="T927" s="71"/>
      <c r="U927" s="71"/>
      <c r="V927" s="71"/>
      <c r="W927" s="71"/>
      <c r="X927" s="71"/>
      <c r="Y927" s="71"/>
      <c r="Z927" s="71"/>
    </row>
    <row r="928" spans="1:26" ht="15.75" customHeight="1" x14ac:dyDescent="0.25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1"/>
      <c r="Q928" s="71"/>
      <c r="R928" s="71"/>
      <c r="S928" s="71"/>
      <c r="T928" s="71"/>
      <c r="U928" s="71"/>
      <c r="V928" s="71"/>
      <c r="W928" s="71"/>
      <c r="X928" s="71"/>
      <c r="Y928" s="71"/>
      <c r="Z928" s="71"/>
    </row>
    <row r="929" spans="1:26" ht="15.75" customHeight="1" x14ac:dyDescent="0.25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1"/>
      <c r="Q929" s="71"/>
      <c r="R929" s="71"/>
      <c r="S929" s="71"/>
      <c r="T929" s="71"/>
      <c r="U929" s="71"/>
      <c r="V929" s="71"/>
      <c r="W929" s="71"/>
      <c r="X929" s="71"/>
      <c r="Y929" s="71"/>
      <c r="Z929" s="71"/>
    </row>
    <row r="930" spans="1:26" ht="15.75" customHeight="1" x14ac:dyDescent="0.25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1"/>
      <c r="Q930" s="71"/>
      <c r="R930" s="71"/>
      <c r="S930" s="71"/>
      <c r="T930" s="71"/>
      <c r="U930" s="71"/>
      <c r="V930" s="71"/>
      <c r="W930" s="71"/>
      <c r="X930" s="71"/>
      <c r="Y930" s="71"/>
      <c r="Z930" s="71"/>
    </row>
    <row r="931" spans="1:26" ht="15.75" customHeight="1" x14ac:dyDescent="0.25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1"/>
      <c r="Q931" s="71"/>
      <c r="R931" s="71"/>
      <c r="S931" s="71"/>
      <c r="T931" s="71"/>
      <c r="U931" s="71"/>
      <c r="V931" s="71"/>
      <c r="W931" s="71"/>
      <c r="X931" s="71"/>
      <c r="Y931" s="71"/>
      <c r="Z931" s="71"/>
    </row>
    <row r="932" spans="1:26" ht="15.75" customHeight="1" x14ac:dyDescent="0.25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1"/>
      <c r="Q932" s="71"/>
      <c r="R932" s="71"/>
      <c r="S932" s="71"/>
      <c r="T932" s="71"/>
      <c r="U932" s="71"/>
      <c r="V932" s="71"/>
      <c r="W932" s="71"/>
      <c r="X932" s="71"/>
      <c r="Y932" s="71"/>
      <c r="Z932" s="71"/>
    </row>
    <row r="933" spans="1:26" ht="15.75" customHeight="1" x14ac:dyDescent="0.25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1"/>
      <c r="Q933" s="71"/>
      <c r="R933" s="71"/>
      <c r="S933" s="71"/>
      <c r="T933" s="71"/>
      <c r="U933" s="71"/>
      <c r="V933" s="71"/>
      <c r="W933" s="71"/>
      <c r="X933" s="71"/>
      <c r="Y933" s="71"/>
      <c r="Z933" s="71"/>
    </row>
    <row r="934" spans="1:26" ht="15.75" customHeight="1" x14ac:dyDescent="0.25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1"/>
      <c r="Q934" s="71"/>
      <c r="R934" s="71"/>
      <c r="S934" s="71"/>
      <c r="T934" s="71"/>
      <c r="U934" s="71"/>
      <c r="V934" s="71"/>
      <c r="W934" s="71"/>
      <c r="X934" s="71"/>
      <c r="Y934" s="71"/>
      <c r="Z934" s="71"/>
    </row>
    <row r="935" spans="1:26" ht="15.75" customHeight="1" x14ac:dyDescent="0.25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1"/>
      <c r="Q935" s="71"/>
      <c r="R935" s="71"/>
      <c r="S935" s="71"/>
      <c r="T935" s="71"/>
      <c r="U935" s="71"/>
      <c r="V935" s="71"/>
      <c r="W935" s="71"/>
      <c r="X935" s="71"/>
      <c r="Y935" s="71"/>
      <c r="Z935" s="71"/>
    </row>
    <row r="936" spans="1:26" ht="15.75" customHeight="1" x14ac:dyDescent="0.25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</row>
    <row r="937" spans="1:26" ht="15.75" customHeight="1" x14ac:dyDescent="0.25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</row>
    <row r="938" spans="1:26" ht="15.75" customHeight="1" x14ac:dyDescent="0.25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71"/>
      <c r="O938" s="71"/>
      <c r="P938" s="71"/>
      <c r="Q938" s="71"/>
      <c r="R938" s="71"/>
      <c r="S938" s="71"/>
      <c r="T938" s="71"/>
      <c r="U938" s="71"/>
      <c r="V938" s="71"/>
      <c r="W938" s="71"/>
      <c r="X938" s="71"/>
      <c r="Y938" s="71"/>
      <c r="Z938" s="71"/>
    </row>
    <row r="939" spans="1:26" ht="15.75" customHeight="1" x14ac:dyDescent="0.25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71"/>
      <c r="O939" s="71"/>
      <c r="P939" s="71"/>
      <c r="Q939" s="71"/>
      <c r="R939" s="71"/>
      <c r="S939" s="71"/>
      <c r="T939" s="71"/>
      <c r="U939" s="71"/>
      <c r="V939" s="71"/>
      <c r="W939" s="71"/>
      <c r="X939" s="71"/>
      <c r="Y939" s="71"/>
      <c r="Z939" s="71"/>
    </row>
    <row r="940" spans="1:26" ht="15.75" customHeight="1" x14ac:dyDescent="0.25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</row>
    <row r="941" spans="1:26" ht="15.75" customHeight="1" x14ac:dyDescent="0.25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</row>
    <row r="942" spans="1:26" ht="15.75" customHeight="1" x14ac:dyDescent="0.25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</row>
    <row r="943" spans="1:26" ht="15.75" customHeight="1" x14ac:dyDescent="0.25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</row>
    <row r="944" spans="1:26" ht="15.75" customHeight="1" x14ac:dyDescent="0.25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</row>
    <row r="945" spans="1:26" ht="15.75" customHeight="1" x14ac:dyDescent="0.25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1"/>
      <c r="Q945" s="71"/>
      <c r="R945" s="71"/>
      <c r="S945" s="71"/>
      <c r="T945" s="71"/>
      <c r="U945" s="71"/>
      <c r="V945" s="71"/>
      <c r="W945" s="71"/>
      <c r="X945" s="71"/>
      <c r="Y945" s="71"/>
      <c r="Z945" s="71"/>
    </row>
    <row r="946" spans="1:26" ht="15.75" customHeight="1" x14ac:dyDescent="0.25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1"/>
      <c r="Q946" s="71"/>
      <c r="R946" s="71"/>
      <c r="S946" s="71"/>
      <c r="T946" s="71"/>
      <c r="U946" s="71"/>
      <c r="V946" s="71"/>
      <c r="W946" s="71"/>
      <c r="X946" s="71"/>
      <c r="Y946" s="71"/>
      <c r="Z946" s="71"/>
    </row>
    <row r="947" spans="1:26" ht="15.75" customHeight="1" x14ac:dyDescent="0.25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1"/>
      <c r="Q947" s="71"/>
      <c r="R947" s="71"/>
      <c r="S947" s="71"/>
      <c r="T947" s="71"/>
      <c r="U947" s="71"/>
      <c r="V947" s="71"/>
      <c r="W947" s="71"/>
      <c r="X947" s="71"/>
      <c r="Y947" s="71"/>
      <c r="Z947" s="71"/>
    </row>
    <row r="948" spans="1:26" ht="15.75" customHeight="1" x14ac:dyDescent="0.25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1"/>
      <c r="Q948" s="71"/>
      <c r="R948" s="71"/>
      <c r="S948" s="71"/>
      <c r="T948" s="71"/>
      <c r="U948" s="71"/>
      <c r="V948" s="71"/>
      <c r="W948" s="71"/>
      <c r="X948" s="71"/>
      <c r="Y948" s="71"/>
      <c r="Z948" s="71"/>
    </row>
    <row r="949" spans="1:26" ht="15.75" customHeight="1" x14ac:dyDescent="0.25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71"/>
      <c r="Y949" s="71"/>
      <c r="Z949" s="71"/>
    </row>
    <row r="950" spans="1:26" ht="15.75" customHeight="1" x14ac:dyDescent="0.25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1"/>
      <c r="Q950" s="71"/>
      <c r="R950" s="71"/>
      <c r="S950" s="71"/>
      <c r="T950" s="71"/>
      <c r="U950" s="71"/>
      <c r="V950" s="71"/>
      <c r="W950" s="71"/>
      <c r="X950" s="71"/>
      <c r="Y950" s="71"/>
      <c r="Z950" s="71"/>
    </row>
    <row r="951" spans="1:26" ht="15.75" customHeight="1" x14ac:dyDescent="0.25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</row>
    <row r="952" spans="1:26" ht="15.75" customHeight="1" x14ac:dyDescent="0.25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1"/>
      <c r="Q952" s="71"/>
      <c r="R952" s="71"/>
      <c r="S952" s="71"/>
      <c r="T952" s="71"/>
      <c r="U952" s="71"/>
      <c r="V952" s="71"/>
      <c r="W952" s="71"/>
      <c r="X952" s="71"/>
      <c r="Y952" s="71"/>
      <c r="Z952" s="71"/>
    </row>
    <row r="953" spans="1:26" ht="15.75" customHeight="1" x14ac:dyDescent="0.25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</row>
    <row r="954" spans="1:26" ht="15.75" customHeight="1" x14ac:dyDescent="0.25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</row>
    <row r="955" spans="1:26" ht="15.75" customHeight="1" x14ac:dyDescent="0.25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71"/>
      <c r="O955" s="71"/>
      <c r="P955" s="71"/>
      <c r="Q955" s="71"/>
      <c r="R955" s="71"/>
      <c r="S955" s="71"/>
      <c r="T955" s="71"/>
      <c r="U955" s="71"/>
      <c r="V955" s="71"/>
      <c r="W955" s="71"/>
      <c r="X955" s="71"/>
      <c r="Y955" s="71"/>
      <c r="Z955" s="71"/>
    </row>
    <row r="956" spans="1:26" ht="15.75" customHeight="1" x14ac:dyDescent="0.25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71"/>
      <c r="O956" s="71"/>
      <c r="P956" s="71"/>
      <c r="Q956" s="71"/>
      <c r="R956" s="71"/>
      <c r="S956" s="71"/>
      <c r="T956" s="71"/>
      <c r="U956" s="71"/>
      <c r="V956" s="71"/>
      <c r="W956" s="71"/>
      <c r="X956" s="71"/>
      <c r="Y956" s="71"/>
      <c r="Z956" s="71"/>
    </row>
    <row r="957" spans="1:26" ht="15.75" customHeight="1" x14ac:dyDescent="0.25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</row>
    <row r="958" spans="1:26" ht="15.75" customHeight="1" x14ac:dyDescent="0.25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1"/>
      <c r="Q958" s="71"/>
      <c r="R958" s="71"/>
      <c r="S958" s="71"/>
      <c r="T958" s="71"/>
      <c r="U958" s="71"/>
      <c r="V958" s="71"/>
      <c r="W958" s="71"/>
      <c r="X958" s="71"/>
      <c r="Y958" s="71"/>
      <c r="Z958" s="71"/>
    </row>
    <row r="959" spans="1:26" ht="15.75" customHeight="1" x14ac:dyDescent="0.25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</row>
    <row r="960" spans="1:26" ht="15.75" customHeight="1" x14ac:dyDescent="0.25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1"/>
      <c r="Q960" s="71"/>
      <c r="R960" s="71"/>
      <c r="S960" s="71"/>
      <c r="T960" s="71"/>
      <c r="U960" s="71"/>
      <c r="V960" s="71"/>
      <c r="W960" s="71"/>
      <c r="X960" s="71"/>
      <c r="Y960" s="71"/>
      <c r="Z960" s="71"/>
    </row>
    <row r="961" spans="1:26" ht="15.75" customHeight="1" x14ac:dyDescent="0.25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1"/>
      <c r="Q961" s="71"/>
      <c r="R961" s="71"/>
      <c r="S961" s="71"/>
      <c r="T961" s="71"/>
      <c r="U961" s="71"/>
      <c r="V961" s="71"/>
      <c r="W961" s="71"/>
      <c r="X961" s="71"/>
      <c r="Y961" s="71"/>
      <c r="Z961" s="71"/>
    </row>
    <row r="962" spans="1:26" ht="15.75" customHeight="1" x14ac:dyDescent="0.25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</row>
    <row r="963" spans="1:26" ht="15.75" customHeight="1" x14ac:dyDescent="0.25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</row>
    <row r="964" spans="1:26" ht="15.75" customHeight="1" x14ac:dyDescent="0.25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</row>
    <row r="965" spans="1:26" ht="15.75" customHeight="1" x14ac:dyDescent="0.25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</row>
    <row r="966" spans="1:26" ht="15.75" customHeight="1" x14ac:dyDescent="0.25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</row>
    <row r="967" spans="1:26" ht="15.75" customHeight="1" x14ac:dyDescent="0.25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</row>
    <row r="968" spans="1:26" ht="15.75" customHeight="1" x14ac:dyDescent="0.25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</row>
    <row r="969" spans="1:26" ht="15.75" customHeight="1" x14ac:dyDescent="0.25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1"/>
      <c r="Q969" s="71"/>
      <c r="R969" s="71"/>
      <c r="S969" s="71"/>
      <c r="T969" s="71"/>
      <c r="U969" s="71"/>
      <c r="V969" s="71"/>
      <c r="W969" s="71"/>
      <c r="X969" s="71"/>
      <c r="Y969" s="71"/>
      <c r="Z969" s="71"/>
    </row>
    <row r="970" spans="1:26" ht="15.75" customHeight="1" x14ac:dyDescent="0.25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1"/>
      <c r="Q970" s="71"/>
      <c r="R970" s="71"/>
      <c r="S970" s="71"/>
      <c r="T970" s="71"/>
      <c r="U970" s="71"/>
      <c r="V970" s="71"/>
      <c r="W970" s="71"/>
      <c r="X970" s="71"/>
      <c r="Y970" s="71"/>
      <c r="Z970" s="71"/>
    </row>
    <row r="971" spans="1:26" ht="15.75" customHeight="1" x14ac:dyDescent="0.25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1"/>
      <c r="Q971" s="71"/>
      <c r="R971" s="71"/>
      <c r="S971" s="71"/>
      <c r="T971" s="71"/>
      <c r="U971" s="71"/>
      <c r="V971" s="71"/>
      <c r="W971" s="71"/>
      <c r="X971" s="71"/>
      <c r="Y971" s="71"/>
      <c r="Z971" s="71"/>
    </row>
    <row r="972" spans="1:26" ht="15.75" customHeight="1" x14ac:dyDescent="0.25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71"/>
      <c r="O972" s="71"/>
      <c r="P972" s="71"/>
      <c r="Q972" s="71"/>
      <c r="R972" s="71"/>
      <c r="S972" s="71"/>
      <c r="T972" s="71"/>
      <c r="U972" s="71"/>
      <c r="V972" s="71"/>
      <c r="W972" s="71"/>
      <c r="X972" s="71"/>
      <c r="Y972" s="71"/>
      <c r="Z972" s="71"/>
    </row>
    <row r="973" spans="1:26" ht="15.75" customHeight="1" x14ac:dyDescent="0.25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71"/>
      <c r="O973" s="71"/>
      <c r="P973" s="71"/>
      <c r="Q973" s="71"/>
      <c r="R973" s="71"/>
      <c r="S973" s="71"/>
      <c r="T973" s="71"/>
      <c r="U973" s="71"/>
      <c r="V973" s="71"/>
      <c r="W973" s="71"/>
      <c r="X973" s="71"/>
      <c r="Y973" s="71"/>
      <c r="Z973" s="71"/>
    </row>
    <row r="974" spans="1:26" ht="15.75" customHeight="1" x14ac:dyDescent="0.25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1"/>
      <c r="Q974" s="71"/>
      <c r="R974" s="71"/>
      <c r="S974" s="71"/>
      <c r="T974" s="71"/>
      <c r="U974" s="71"/>
      <c r="V974" s="71"/>
      <c r="W974" s="71"/>
      <c r="X974" s="71"/>
      <c r="Y974" s="71"/>
      <c r="Z974" s="71"/>
    </row>
    <row r="975" spans="1:26" ht="15.75" customHeight="1" x14ac:dyDescent="0.25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1"/>
      <c r="Q975" s="71"/>
      <c r="R975" s="71"/>
      <c r="S975" s="71"/>
      <c r="T975" s="71"/>
      <c r="U975" s="71"/>
      <c r="V975" s="71"/>
      <c r="W975" s="71"/>
      <c r="X975" s="71"/>
      <c r="Y975" s="71"/>
      <c r="Z975" s="71"/>
    </row>
    <row r="976" spans="1:26" ht="15.75" customHeight="1" x14ac:dyDescent="0.25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71"/>
      <c r="Y976" s="71"/>
      <c r="Z976" s="71"/>
    </row>
    <row r="977" spans="1:26" ht="15.75" customHeight="1" x14ac:dyDescent="0.25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1"/>
      <c r="Q977" s="71"/>
      <c r="R977" s="71"/>
      <c r="S977" s="71"/>
      <c r="T977" s="71"/>
      <c r="U977" s="71"/>
      <c r="V977" s="71"/>
      <c r="W977" s="71"/>
      <c r="X977" s="71"/>
      <c r="Y977" s="71"/>
      <c r="Z977" s="71"/>
    </row>
    <row r="978" spans="1:26" ht="15.75" customHeight="1" x14ac:dyDescent="0.25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1"/>
      <c r="Q978" s="71"/>
      <c r="R978" s="71"/>
      <c r="S978" s="71"/>
      <c r="T978" s="71"/>
      <c r="U978" s="71"/>
      <c r="V978" s="71"/>
      <c r="W978" s="71"/>
      <c r="X978" s="71"/>
      <c r="Y978" s="71"/>
      <c r="Z978" s="71"/>
    </row>
    <row r="979" spans="1:26" ht="15.75" customHeight="1" x14ac:dyDescent="0.25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1"/>
      <c r="Q979" s="71"/>
      <c r="R979" s="71"/>
      <c r="S979" s="71"/>
      <c r="T979" s="71"/>
      <c r="U979" s="71"/>
      <c r="V979" s="71"/>
      <c r="W979" s="71"/>
      <c r="X979" s="71"/>
      <c r="Y979" s="71"/>
      <c r="Z979" s="71"/>
    </row>
    <row r="980" spans="1:26" ht="15.75" customHeight="1" x14ac:dyDescent="0.25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1"/>
      <c r="Q980" s="71"/>
      <c r="R980" s="71"/>
      <c r="S980" s="71"/>
      <c r="T980" s="71"/>
      <c r="U980" s="71"/>
      <c r="V980" s="71"/>
      <c r="W980" s="71"/>
      <c r="X980" s="71"/>
      <c r="Y980" s="71"/>
      <c r="Z980" s="71"/>
    </row>
    <row r="981" spans="1:26" ht="15.75" customHeight="1" x14ac:dyDescent="0.25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1"/>
      <c r="Q981" s="71"/>
      <c r="R981" s="71"/>
      <c r="S981" s="71"/>
      <c r="T981" s="71"/>
      <c r="U981" s="71"/>
      <c r="V981" s="71"/>
      <c r="W981" s="71"/>
      <c r="X981" s="71"/>
      <c r="Y981" s="71"/>
      <c r="Z981" s="71"/>
    </row>
    <row r="982" spans="1:26" ht="15.75" customHeight="1" x14ac:dyDescent="0.25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1"/>
      <c r="Q982" s="71"/>
      <c r="R982" s="71"/>
      <c r="S982" s="71"/>
      <c r="T982" s="71"/>
      <c r="U982" s="71"/>
      <c r="V982" s="71"/>
      <c r="W982" s="71"/>
      <c r="X982" s="71"/>
      <c r="Y982" s="71"/>
      <c r="Z982" s="71"/>
    </row>
    <row r="983" spans="1:26" ht="15.75" customHeight="1" x14ac:dyDescent="0.25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1"/>
      <c r="Q983" s="71"/>
      <c r="R983" s="71"/>
      <c r="S983" s="71"/>
      <c r="T983" s="71"/>
      <c r="U983" s="71"/>
      <c r="V983" s="71"/>
      <c r="W983" s="71"/>
      <c r="X983" s="71"/>
      <c r="Y983" s="71"/>
      <c r="Z983" s="71"/>
    </row>
    <row r="984" spans="1:26" ht="15.75" customHeight="1" x14ac:dyDescent="0.25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1"/>
      <c r="Q984" s="71"/>
      <c r="R984" s="71"/>
      <c r="S984" s="71"/>
      <c r="T984" s="71"/>
      <c r="U984" s="71"/>
      <c r="V984" s="71"/>
      <c r="W984" s="71"/>
      <c r="X984" s="71"/>
      <c r="Y984" s="71"/>
      <c r="Z984" s="71"/>
    </row>
    <row r="985" spans="1:26" ht="15.75" customHeight="1" x14ac:dyDescent="0.25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1"/>
      <c r="Q985" s="71"/>
      <c r="R985" s="71"/>
      <c r="S985" s="71"/>
      <c r="T985" s="71"/>
      <c r="U985" s="71"/>
      <c r="V985" s="71"/>
      <c r="W985" s="71"/>
      <c r="X985" s="71"/>
      <c r="Y985" s="71"/>
      <c r="Z985" s="71"/>
    </row>
    <row r="986" spans="1:26" ht="15.75" customHeight="1" x14ac:dyDescent="0.25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1"/>
      <c r="Q986" s="71"/>
      <c r="R986" s="71"/>
      <c r="S986" s="71"/>
      <c r="T986" s="71"/>
      <c r="U986" s="71"/>
      <c r="V986" s="71"/>
      <c r="W986" s="71"/>
      <c r="X986" s="71"/>
      <c r="Y986" s="71"/>
      <c r="Z986" s="71"/>
    </row>
    <row r="987" spans="1:26" ht="15.75" customHeight="1" x14ac:dyDescent="0.25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1"/>
      <c r="Q987" s="71"/>
      <c r="R987" s="71"/>
      <c r="S987" s="71"/>
      <c r="T987" s="71"/>
      <c r="U987" s="71"/>
      <c r="V987" s="71"/>
      <c r="W987" s="71"/>
      <c r="X987" s="71"/>
      <c r="Y987" s="71"/>
      <c r="Z987" s="71"/>
    </row>
    <row r="988" spans="1:26" ht="15.75" customHeight="1" x14ac:dyDescent="0.25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1"/>
      <c r="Q988" s="71"/>
      <c r="R988" s="71"/>
      <c r="S988" s="71"/>
      <c r="T988" s="71"/>
      <c r="U988" s="71"/>
      <c r="V988" s="71"/>
      <c r="W988" s="71"/>
      <c r="X988" s="71"/>
      <c r="Y988" s="71"/>
      <c r="Z988" s="71"/>
    </row>
    <row r="989" spans="1:26" ht="15.75" customHeight="1" x14ac:dyDescent="0.25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71"/>
      <c r="O989" s="71"/>
      <c r="P989" s="71"/>
      <c r="Q989" s="71"/>
      <c r="R989" s="71"/>
      <c r="S989" s="71"/>
      <c r="T989" s="71"/>
      <c r="U989" s="71"/>
      <c r="V989" s="71"/>
      <c r="W989" s="71"/>
      <c r="X989" s="71"/>
      <c r="Y989" s="71"/>
      <c r="Z989" s="71"/>
    </row>
    <row r="990" spans="1:26" ht="15.75" customHeight="1" x14ac:dyDescent="0.25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71"/>
      <c r="O990" s="71"/>
      <c r="P990" s="71"/>
      <c r="Q990" s="71"/>
      <c r="R990" s="71"/>
      <c r="S990" s="71"/>
      <c r="T990" s="71"/>
      <c r="U990" s="71"/>
      <c r="V990" s="71"/>
      <c r="W990" s="71"/>
      <c r="X990" s="71"/>
      <c r="Y990" s="71"/>
      <c r="Z990" s="71"/>
    </row>
    <row r="991" spans="1:26" ht="15.75" customHeight="1" x14ac:dyDescent="0.25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1"/>
      <c r="Q991" s="71"/>
      <c r="R991" s="71"/>
      <c r="S991" s="71"/>
      <c r="T991" s="71"/>
      <c r="U991" s="71"/>
      <c r="V991" s="71"/>
      <c r="W991" s="71"/>
      <c r="X991" s="71"/>
      <c r="Y991" s="71"/>
      <c r="Z991" s="71"/>
    </row>
    <row r="992" spans="1:26" ht="15.75" customHeight="1" x14ac:dyDescent="0.25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1"/>
      <c r="Q992" s="71"/>
      <c r="R992" s="71"/>
      <c r="S992" s="71"/>
      <c r="T992" s="71"/>
      <c r="U992" s="71"/>
      <c r="V992" s="71"/>
      <c r="W992" s="71"/>
      <c r="X992" s="71"/>
      <c r="Y992" s="71"/>
      <c r="Z992" s="71"/>
    </row>
    <row r="993" spans="1:26" ht="15.75" customHeight="1" x14ac:dyDescent="0.25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1"/>
      <c r="Q993" s="71"/>
      <c r="R993" s="71"/>
      <c r="S993" s="71"/>
      <c r="T993" s="71"/>
      <c r="U993" s="71"/>
      <c r="V993" s="71"/>
      <c r="W993" s="71"/>
      <c r="X993" s="71"/>
      <c r="Y993" s="71"/>
      <c r="Z993" s="71"/>
    </row>
    <row r="994" spans="1:26" ht="15.75" customHeight="1" x14ac:dyDescent="0.25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1"/>
      <c r="Q994" s="71"/>
      <c r="R994" s="71"/>
      <c r="S994" s="71"/>
      <c r="T994" s="71"/>
      <c r="U994" s="71"/>
      <c r="V994" s="71"/>
      <c r="W994" s="71"/>
      <c r="X994" s="71"/>
      <c r="Y994" s="71"/>
      <c r="Z994" s="71"/>
    </row>
    <row r="995" spans="1:26" ht="15.75" customHeight="1" x14ac:dyDescent="0.25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1"/>
      <c r="Q995" s="71"/>
      <c r="R995" s="71"/>
      <c r="S995" s="71"/>
      <c r="T995" s="71"/>
      <c r="U995" s="71"/>
      <c r="V995" s="71"/>
      <c r="W995" s="71"/>
      <c r="X995" s="71"/>
      <c r="Y995" s="71"/>
      <c r="Z995" s="71"/>
    </row>
    <row r="996" spans="1:26" ht="15.75" customHeight="1" x14ac:dyDescent="0.25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1"/>
      <c r="Q996" s="71"/>
      <c r="R996" s="71"/>
      <c r="S996" s="71"/>
      <c r="T996" s="71"/>
      <c r="U996" s="71"/>
      <c r="V996" s="71"/>
      <c r="W996" s="71"/>
      <c r="X996" s="71"/>
      <c r="Y996" s="71"/>
      <c r="Z996" s="71"/>
    </row>
    <row r="997" spans="1:26" ht="15.75" customHeight="1" x14ac:dyDescent="0.25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1"/>
      <c r="Q997" s="71"/>
      <c r="R997" s="71"/>
      <c r="S997" s="71"/>
      <c r="T997" s="71"/>
      <c r="U997" s="71"/>
      <c r="V997" s="71"/>
      <c r="W997" s="71"/>
      <c r="X997" s="71"/>
      <c r="Y997" s="71"/>
      <c r="Z997" s="71"/>
    </row>
    <row r="998" spans="1:26" ht="15.75" customHeight="1" x14ac:dyDescent="0.25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1"/>
      <c r="Q998" s="71"/>
      <c r="R998" s="71"/>
      <c r="S998" s="71"/>
      <c r="T998" s="71"/>
      <c r="U998" s="71"/>
      <c r="V998" s="71"/>
      <c r="W998" s="71"/>
      <c r="X998" s="71"/>
      <c r="Y998" s="71"/>
      <c r="Z998" s="71"/>
    </row>
    <row r="999" spans="1:26" ht="15.75" customHeight="1" x14ac:dyDescent="0.25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1"/>
      <c r="Q999" s="71"/>
      <c r="R999" s="71"/>
      <c r="S999" s="71"/>
      <c r="T999" s="71"/>
      <c r="U999" s="71"/>
      <c r="V999" s="71"/>
      <c r="W999" s="71"/>
      <c r="X999" s="71"/>
      <c r="Y999" s="71"/>
      <c r="Z999" s="71"/>
    </row>
    <row r="1000" spans="1:26" ht="15.75" customHeight="1" x14ac:dyDescent="0.25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1"/>
      <c r="Q1000" s="71"/>
      <c r="R1000" s="71"/>
      <c r="S1000" s="71"/>
      <c r="T1000" s="71"/>
      <c r="U1000" s="71"/>
      <c r="V1000" s="71"/>
      <c r="W1000" s="71"/>
      <c r="X1000" s="71"/>
      <c r="Y1000" s="71"/>
      <c r="Z1000" s="71"/>
    </row>
    <row r="1001" spans="1:26" ht="15.75" customHeight="1" x14ac:dyDescent="0.25">
      <c r="A1001" s="71"/>
      <c r="B1001" s="71"/>
      <c r="C1001" s="71"/>
      <c r="D1001" s="71"/>
      <c r="E1001" s="71"/>
      <c r="F1001" s="71"/>
      <c r="G1001" s="71"/>
      <c r="H1001" s="71"/>
      <c r="I1001" s="71"/>
      <c r="J1001" s="71"/>
      <c r="K1001" s="71"/>
      <c r="L1001" s="71"/>
      <c r="M1001" s="71"/>
      <c r="N1001" s="71"/>
      <c r="O1001" s="71"/>
      <c r="P1001" s="71"/>
      <c r="Q1001" s="71"/>
      <c r="R1001" s="71"/>
      <c r="S1001" s="71"/>
      <c r="T1001" s="71"/>
      <c r="U1001" s="71"/>
      <c r="V1001" s="71"/>
      <c r="W1001" s="71"/>
      <c r="X1001" s="71"/>
      <c r="Y1001" s="71"/>
      <c r="Z1001" s="71"/>
    </row>
    <row r="1002" spans="1:26" ht="15.75" customHeight="1" x14ac:dyDescent="0.25">
      <c r="A1002" s="71"/>
      <c r="B1002" s="71"/>
      <c r="C1002" s="71"/>
      <c r="D1002" s="71"/>
      <c r="E1002" s="71"/>
      <c r="F1002" s="71"/>
      <c r="G1002" s="71"/>
      <c r="H1002" s="71"/>
      <c r="I1002" s="71"/>
      <c r="J1002" s="71"/>
      <c r="K1002" s="71"/>
      <c r="L1002" s="71"/>
      <c r="M1002" s="71"/>
      <c r="N1002" s="71"/>
      <c r="O1002" s="71"/>
      <c r="P1002" s="71"/>
      <c r="Q1002" s="71"/>
      <c r="R1002" s="71"/>
      <c r="S1002" s="71"/>
      <c r="T1002" s="71"/>
      <c r="U1002" s="71"/>
      <c r="V1002" s="71"/>
      <c r="W1002" s="71"/>
      <c r="X1002" s="71"/>
      <c r="Y1002" s="71"/>
      <c r="Z1002" s="71"/>
    </row>
  </sheetData>
  <mergeCells count="2">
    <mergeCell ref="A4:C5"/>
    <mergeCell ref="D12:H12"/>
  </mergeCells>
  <pageMargins left="0.7" right="0.7" top="0.75" bottom="0.75" header="0" footer="0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O1000"/>
  <sheetViews>
    <sheetView zoomScale="70" zoomScaleNormal="70" workbookViewId="0">
      <selection activeCell="F47" sqref="F47"/>
    </sheetView>
  </sheetViews>
  <sheetFormatPr defaultColWidth="12.625" defaultRowHeight="15" customHeight="1" x14ac:dyDescent="0.2"/>
  <cols>
    <col min="1" max="1" width="8" customWidth="1"/>
    <col min="2" max="2" width="1.625" customWidth="1"/>
    <col min="3" max="3" width="2.625" customWidth="1"/>
    <col min="4" max="4" width="17.375" customWidth="1"/>
    <col min="5" max="5" width="1.625" customWidth="1"/>
    <col min="6" max="6" width="18.5" customWidth="1"/>
    <col min="7" max="7" width="19.875" customWidth="1"/>
    <col min="8" max="8" width="1.125" customWidth="1"/>
    <col min="9" max="9" width="8" customWidth="1"/>
    <col min="10" max="10" width="4.625" customWidth="1"/>
    <col min="11" max="11" width="2.5" customWidth="1"/>
    <col min="12" max="12" width="12.125" customWidth="1"/>
    <col min="13" max="13" width="7.5" customWidth="1"/>
    <col min="14" max="14" width="18.625" customWidth="1"/>
    <col min="15" max="15" width="22" customWidth="1"/>
    <col min="16" max="16" width="19.75" customWidth="1"/>
    <col min="17" max="17" width="17.875" customWidth="1"/>
    <col min="18" max="18" width="21.125" customWidth="1"/>
    <col min="19" max="19" width="1.5" customWidth="1"/>
    <col min="20" max="20" width="14" customWidth="1"/>
    <col min="21" max="21" width="1.125" customWidth="1"/>
    <col min="22" max="31" width="7.625" customWidth="1"/>
    <col min="32" max="41" width="12.625" style="283"/>
  </cols>
  <sheetData>
    <row r="1" spans="1:31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5" customHeight="1" x14ac:dyDescent="0.25">
      <c r="A4" s="632" t="s">
        <v>9</v>
      </c>
      <c r="B4" s="619"/>
      <c r="C4" s="619"/>
      <c r="D4" s="620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1:31" ht="15" customHeight="1" x14ac:dyDescent="0.25">
      <c r="A5" s="621"/>
      <c r="B5" s="622"/>
      <c r="C5" s="622"/>
      <c r="D5" s="623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  <row r="6" spans="1:31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ht="14.25" customHeight="1" x14ac:dyDescent="0.2">
      <c r="A7" s="3"/>
      <c r="B7" s="80"/>
      <c r="C7" s="80"/>
      <c r="D7" s="80"/>
      <c r="E7" s="80"/>
      <c r="F7" s="80"/>
      <c r="G7" s="80"/>
      <c r="H7" s="80"/>
      <c r="I7" s="3"/>
      <c r="J7" s="80"/>
      <c r="K7" s="80"/>
      <c r="L7" s="80"/>
      <c r="M7" s="80"/>
      <c r="N7" s="80"/>
      <c r="O7" s="80"/>
      <c r="P7" s="80"/>
      <c r="Q7" s="80"/>
      <c r="R7" s="80"/>
      <c r="S7" s="80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ht="27" customHeight="1" x14ac:dyDescent="0.3">
      <c r="A8" s="3"/>
      <c r="B8" s="80"/>
      <c r="C8" s="107" t="s">
        <v>171</v>
      </c>
      <c r="D8" s="80"/>
      <c r="E8" s="80"/>
      <c r="F8" s="80"/>
      <c r="G8" s="80"/>
      <c r="H8" s="80"/>
      <c r="I8" s="3"/>
      <c r="J8" s="80"/>
      <c r="K8" s="107" t="s">
        <v>172</v>
      </c>
      <c r="L8" s="80"/>
      <c r="M8" s="80"/>
      <c r="N8" s="80"/>
      <c r="O8" s="80"/>
      <c r="P8" s="80"/>
      <c r="Q8" s="80"/>
      <c r="R8" s="80"/>
      <c r="S8" s="80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ht="18.95" customHeight="1" x14ac:dyDescent="0.3">
      <c r="A9" s="3"/>
      <c r="B9" s="80"/>
      <c r="C9" s="108" t="s">
        <v>173</v>
      </c>
      <c r="D9" s="109"/>
      <c r="E9" s="109"/>
      <c r="F9" s="110" t="s">
        <v>113</v>
      </c>
      <c r="G9" s="110" t="s">
        <v>358</v>
      </c>
      <c r="H9" s="80"/>
      <c r="I9" s="3"/>
      <c r="J9" s="80"/>
      <c r="K9" s="108" t="s">
        <v>174</v>
      </c>
      <c r="L9" s="109"/>
      <c r="M9" s="109"/>
      <c r="N9" s="110" t="s">
        <v>175</v>
      </c>
      <c r="O9" s="110" t="s">
        <v>176</v>
      </c>
      <c r="P9" s="110" t="s">
        <v>177</v>
      </c>
      <c r="Q9" s="269" t="s">
        <v>361</v>
      </c>
      <c r="R9" s="269" t="s">
        <v>362</v>
      </c>
      <c r="S9" s="80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ht="14.25" customHeight="1" x14ac:dyDescent="0.2">
      <c r="A10" s="3"/>
      <c r="B10" s="80"/>
      <c r="C10" s="111"/>
      <c r="D10" s="112" t="s">
        <v>180</v>
      </c>
      <c r="E10" s="111"/>
      <c r="F10" s="113">
        <f>Parameters!B21</f>
        <v>0.16</v>
      </c>
      <c r="G10" s="114">
        <f>Parameters!B28</f>
        <v>0.4</v>
      </c>
      <c r="H10" s="80"/>
      <c r="I10" s="3"/>
      <c r="J10" s="80"/>
      <c r="K10" s="111"/>
      <c r="L10" s="115" t="s">
        <v>113</v>
      </c>
      <c r="M10" s="111"/>
      <c r="N10" s="111"/>
      <c r="O10" s="111"/>
      <c r="P10" s="111"/>
      <c r="Q10" s="109"/>
      <c r="R10" s="111"/>
      <c r="S10" s="80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ht="14.25" customHeight="1" x14ac:dyDescent="0.2">
      <c r="A11" s="3"/>
      <c r="B11" s="80"/>
      <c r="C11" s="80"/>
      <c r="D11" s="116" t="s">
        <v>181</v>
      </c>
      <c r="E11" s="80"/>
      <c r="F11" s="117">
        <f>Parameters!B22</f>
        <v>0.34799999999999998</v>
      </c>
      <c r="G11" s="118">
        <f>Parameters!B29</f>
        <v>0.34799999999999998</v>
      </c>
      <c r="H11" s="80"/>
      <c r="I11" s="3"/>
      <c r="J11" s="80"/>
      <c r="K11" s="80"/>
      <c r="L11" s="119" t="s">
        <v>182</v>
      </c>
      <c r="M11" s="80"/>
      <c r="N11" s="120">
        <f>F16+F30+F20+(F17+F19)</f>
        <v>183692.022</v>
      </c>
      <c r="O11" s="121">
        <f>F10*F12*F13*F14</f>
        <v>1.6798656E-3</v>
      </c>
      <c r="P11" s="122">
        <f>O11*N11</f>
        <v>308.57790875224322</v>
      </c>
      <c r="Q11" s="123">
        <f>F26</f>
        <v>0.723923076923077</v>
      </c>
      <c r="R11" s="121">
        <f>Q11*O11</f>
        <v>1.216093473969231E-3</v>
      </c>
      <c r="S11" s="80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ht="14.25" customHeight="1" x14ac:dyDescent="0.2">
      <c r="A12" s="3"/>
      <c r="B12" s="80"/>
      <c r="C12" s="80"/>
      <c r="D12" s="116" t="s">
        <v>183</v>
      </c>
      <c r="E12" s="80"/>
      <c r="F12" s="117">
        <f>Parameters!B23</f>
        <v>1.4999999999999999E-2</v>
      </c>
      <c r="G12" s="118">
        <f>Parameters!B30</f>
        <v>1.7999999999999999E-2</v>
      </c>
      <c r="H12" s="80"/>
      <c r="I12" s="3"/>
      <c r="J12" s="80"/>
      <c r="K12" s="80"/>
      <c r="L12" s="119" t="s">
        <v>184</v>
      </c>
      <c r="M12" s="80"/>
      <c r="N12" s="120">
        <f>F16+F30+F20+(F17+F19)</f>
        <v>183692.022</v>
      </c>
      <c r="O12" s="121">
        <f>F10*F12*F13*(1-F14)</f>
        <v>3.8893439999999988E-4</v>
      </c>
      <c r="P12" s="122">
        <f>N12*O12</f>
        <v>71.444146361356772</v>
      </c>
      <c r="Q12" s="123">
        <v>0</v>
      </c>
      <c r="R12" s="121">
        <f t="shared" ref="R12:R18" si="0">Q12*O12</f>
        <v>0</v>
      </c>
      <c r="S12" s="80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ht="14.25" customHeight="1" x14ac:dyDescent="0.2">
      <c r="A13" s="3"/>
      <c r="B13" s="80"/>
      <c r="C13" s="80"/>
      <c r="D13" s="116" t="s">
        <v>185</v>
      </c>
      <c r="E13" s="80"/>
      <c r="F13" s="117">
        <f>Parameters!B24</f>
        <v>0.86199999999999999</v>
      </c>
      <c r="G13" s="118">
        <f>Parameters!B31</f>
        <v>0.90399999999999991</v>
      </c>
      <c r="H13" s="80"/>
      <c r="I13" s="3"/>
      <c r="J13" s="80"/>
      <c r="K13" s="80"/>
      <c r="L13" s="119" t="s">
        <v>186</v>
      </c>
      <c r="M13" s="80"/>
      <c r="N13" s="124">
        <f>F16+F30+F20</f>
        <v>120085.192</v>
      </c>
      <c r="O13" s="121">
        <f>F10*F12*(1-F13)*F14</f>
        <v>2.689344E-4</v>
      </c>
      <c r="P13" s="122">
        <f t="shared" ref="P13:P18" si="1">O13*N13</f>
        <v>32.2950390594048</v>
      </c>
      <c r="Q13" s="123">
        <f>F26</f>
        <v>0.723923076923077</v>
      </c>
      <c r="R13" s="121">
        <f t="shared" si="0"/>
        <v>1.9468781833846156E-4</v>
      </c>
      <c r="S13" s="80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ht="14.25" customHeight="1" x14ac:dyDescent="0.2">
      <c r="A14" s="3"/>
      <c r="B14" s="80"/>
      <c r="C14" s="80"/>
      <c r="D14" s="116" t="s">
        <v>187</v>
      </c>
      <c r="E14" s="80"/>
      <c r="F14" s="259">
        <f>Parameters!B25</f>
        <v>0.81200000000000006</v>
      </c>
      <c r="G14" s="260">
        <f>Parameters!B32</f>
        <v>0.76500000000000001</v>
      </c>
      <c r="H14" s="80"/>
      <c r="I14" s="3"/>
      <c r="J14" s="80"/>
      <c r="K14" s="80"/>
      <c r="L14" s="119" t="s">
        <v>188</v>
      </c>
      <c r="M14" s="80"/>
      <c r="N14" s="124">
        <f>F16+F30+F20</f>
        <v>120085.192</v>
      </c>
      <c r="O14" s="121">
        <f>F10*F12*(1-F13)*(1-F14)</f>
        <v>6.2265599999999975E-5</v>
      </c>
      <c r="P14" s="122">
        <f t="shared" si="1"/>
        <v>7.4771765309951963</v>
      </c>
      <c r="Q14" s="123">
        <v>0</v>
      </c>
      <c r="R14" s="121">
        <f t="shared" si="0"/>
        <v>0</v>
      </c>
      <c r="S14" s="80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ht="18.95" customHeight="1" x14ac:dyDescent="0.3">
      <c r="A15" s="3"/>
      <c r="B15" s="80"/>
      <c r="C15" s="126" t="s">
        <v>189</v>
      </c>
      <c r="D15" s="127"/>
      <c r="E15" s="127"/>
      <c r="F15" s="128" t="s">
        <v>113</v>
      </c>
      <c r="G15" s="128" t="s">
        <v>358</v>
      </c>
      <c r="H15" s="80"/>
      <c r="I15" s="3"/>
      <c r="J15" s="80"/>
      <c r="K15" s="80"/>
      <c r="L15" s="119" t="s">
        <v>190</v>
      </c>
      <c r="M15" s="80"/>
      <c r="N15" s="124">
        <f>F16+F30</f>
        <v>21643.191999999999</v>
      </c>
      <c r="O15" s="121">
        <f>F10*(1-F12)*F14</f>
        <v>0.12797120000000001</v>
      </c>
      <c r="P15" s="122">
        <f t="shared" si="1"/>
        <v>2769.7052520704001</v>
      </c>
      <c r="Q15" s="123">
        <f>F26</f>
        <v>0.723923076923077</v>
      </c>
      <c r="R15" s="121">
        <f t="shared" si="0"/>
        <v>9.2641304861538473E-2</v>
      </c>
      <c r="S15" s="80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ht="14.25" customHeight="1" x14ac:dyDescent="0.2">
      <c r="A16" s="3"/>
      <c r="B16" s="80"/>
      <c r="C16" s="80"/>
      <c r="D16" s="116" t="s">
        <v>191</v>
      </c>
      <c r="E16" s="80"/>
      <c r="F16" s="261">
        <f>Parameters!B34</f>
        <v>12182.016</v>
      </c>
      <c r="G16" s="129">
        <f>Parameters!B35</f>
        <v>0</v>
      </c>
      <c r="H16" s="80"/>
      <c r="I16" s="3"/>
      <c r="J16" s="80"/>
      <c r="K16" s="80"/>
      <c r="L16" s="119" t="s">
        <v>192</v>
      </c>
      <c r="M16" s="80"/>
      <c r="N16" s="124">
        <f>F16+F30</f>
        <v>21643.191999999999</v>
      </c>
      <c r="O16" s="121">
        <f>F10*(1-F12)*(1-F14)</f>
        <v>2.962879999999999E-2</v>
      </c>
      <c r="P16" s="122">
        <f t="shared" si="1"/>
        <v>641.26180712959979</v>
      </c>
      <c r="Q16" s="123">
        <v>0</v>
      </c>
      <c r="R16" s="121">
        <f t="shared" si="0"/>
        <v>0</v>
      </c>
      <c r="S16" s="80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ht="14.25" customHeight="1" x14ac:dyDescent="0.2">
      <c r="A17" s="3"/>
      <c r="B17" s="80"/>
      <c r="C17" s="80"/>
      <c r="D17" s="116" t="s">
        <v>193</v>
      </c>
      <c r="E17" s="80"/>
      <c r="F17" s="262">
        <f>Parameters!B36</f>
        <v>18604.830000000002</v>
      </c>
      <c r="G17" s="265">
        <f>Parameters!B36</f>
        <v>18604.830000000002</v>
      </c>
      <c r="H17" s="80"/>
      <c r="I17" s="3"/>
      <c r="J17" s="80"/>
      <c r="K17" s="80"/>
      <c r="L17" s="119" t="s">
        <v>194</v>
      </c>
      <c r="M17" s="80"/>
      <c r="N17" s="124">
        <f>F16</f>
        <v>12182.016</v>
      </c>
      <c r="O17" s="121">
        <f>(1-F10)*(F14)</f>
        <v>0.68208000000000002</v>
      </c>
      <c r="P17" s="122">
        <f t="shared" si="1"/>
        <v>8309.1094732799993</v>
      </c>
      <c r="Q17" s="123">
        <f>F26</f>
        <v>0.723923076923077</v>
      </c>
      <c r="R17" s="121">
        <f t="shared" si="0"/>
        <v>0.49377345230769237</v>
      </c>
      <c r="S17" s="80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ht="14.25" customHeight="1" x14ac:dyDescent="0.2">
      <c r="A18" s="3"/>
      <c r="B18" s="80"/>
      <c r="C18" s="80"/>
      <c r="D18" s="116" t="s">
        <v>195</v>
      </c>
      <c r="E18" s="80"/>
      <c r="F18" s="262">
        <f>Parameters!B37</f>
        <v>1237.24</v>
      </c>
      <c r="G18" s="265">
        <f>Parameters!B37</f>
        <v>1237.24</v>
      </c>
      <c r="H18" s="80"/>
      <c r="I18" s="3"/>
      <c r="J18" s="80"/>
      <c r="K18" s="80"/>
      <c r="L18" s="119" t="s">
        <v>196</v>
      </c>
      <c r="M18" s="80"/>
      <c r="N18" s="130">
        <f>F16</f>
        <v>12182.016</v>
      </c>
      <c r="O18" s="131">
        <f>(1-F10)*(1-F14)</f>
        <v>0.15791999999999995</v>
      </c>
      <c r="P18" s="132">
        <f t="shared" si="1"/>
        <v>1923.7839667199994</v>
      </c>
      <c r="Q18" s="125">
        <f>0</f>
        <v>0</v>
      </c>
      <c r="R18" s="131">
        <f t="shared" si="0"/>
        <v>0</v>
      </c>
      <c r="S18" s="80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ht="14.25" customHeight="1" x14ac:dyDescent="0.2">
      <c r="A19" s="3"/>
      <c r="B19" s="80"/>
      <c r="C19" s="80"/>
      <c r="D19" s="116" t="s">
        <v>197</v>
      </c>
      <c r="E19" s="80"/>
      <c r="F19" s="262">
        <f>Parameters!B38</f>
        <v>45002</v>
      </c>
      <c r="G19" s="265">
        <f>Parameters!B38</f>
        <v>45002</v>
      </c>
      <c r="H19" s="80"/>
      <c r="I19" s="3"/>
      <c r="J19" s="80"/>
      <c r="K19" s="80"/>
      <c r="L19" s="119"/>
      <c r="M19" s="80"/>
      <c r="N19" s="80"/>
      <c r="O19" s="80"/>
      <c r="P19" s="80"/>
      <c r="Q19" s="80"/>
      <c r="R19" s="80"/>
      <c r="S19" s="80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ht="14.25" customHeight="1" x14ac:dyDescent="0.2">
      <c r="A20" s="3"/>
      <c r="B20" s="80"/>
      <c r="C20" s="80"/>
      <c r="D20" s="116" t="s">
        <v>198</v>
      </c>
      <c r="E20" s="80"/>
      <c r="F20" s="262">
        <f>Parameters!B39</f>
        <v>98442</v>
      </c>
      <c r="G20" s="265">
        <f>Parameters!B39</f>
        <v>98442</v>
      </c>
      <c r="H20" s="80"/>
      <c r="I20" s="3"/>
      <c r="J20" s="80"/>
      <c r="K20" s="80"/>
      <c r="L20" s="258" t="s">
        <v>358</v>
      </c>
      <c r="M20" s="80"/>
      <c r="N20" s="80"/>
      <c r="O20" s="80"/>
      <c r="P20" s="80"/>
      <c r="Q20" s="80"/>
      <c r="R20" s="80"/>
      <c r="S20" s="80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ht="14.25" customHeight="1" x14ac:dyDescent="0.2">
      <c r="A21" s="3"/>
      <c r="B21" s="80"/>
      <c r="C21" s="80"/>
      <c r="D21" s="116" t="s">
        <v>199</v>
      </c>
      <c r="E21" s="80"/>
      <c r="F21" s="263">
        <f>Parameters!B40</f>
        <v>23632</v>
      </c>
      <c r="G21" s="264">
        <f>Parameters!B40</f>
        <v>23632</v>
      </c>
      <c r="H21" s="80"/>
      <c r="I21" s="3"/>
      <c r="J21" s="80"/>
      <c r="K21" s="80"/>
      <c r="L21" s="119" t="s">
        <v>200</v>
      </c>
      <c r="M21" s="80"/>
      <c r="N21" s="120">
        <f>F30+F20+(F17+F19)</f>
        <v>171510.00599999999</v>
      </c>
      <c r="O21" s="121">
        <f>G10*G12*G13*G14</f>
        <v>4.9792320000000001E-3</v>
      </c>
      <c r="P21" s="133">
        <f t="shared" ref="P21:P28" si="2">O21*N21</f>
        <v>853.98811019539198</v>
      </c>
      <c r="Q21" s="123">
        <f>G26</f>
        <v>0.72750000000000004</v>
      </c>
      <c r="R21" s="134">
        <f t="shared" ref="R21:R28" si="3">Q21*O21</f>
        <v>3.6223912800000002E-3</v>
      </c>
      <c r="S21" s="80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ht="18" customHeight="1" x14ac:dyDescent="0.3">
      <c r="A22" s="3"/>
      <c r="B22" s="80"/>
      <c r="C22" s="126" t="s">
        <v>178</v>
      </c>
      <c r="D22" s="127"/>
      <c r="E22" s="127"/>
      <c r="F22" s="128" t="s">
        <v>113</v>
      </c>
      <c r="G22" s="128" t="s">
        <v>358</v>
      </c>
      <c r="H22" s="80"/>
      <c r="I22" s="3"/>
      <c r="J22" s="80"/>
      <c r="K22" s="80"/>
      <c r="L22" s="119" t="s">
        <v>201</v>
      </c>
      <c r="M22" s="80"/>
      <c r="N22" s="124">
        <f>F30+F20+(F17+F19)</f>
        <v>171510.00599999999</v>
      </c>
      <c r="O22" s="121">
        <f>G10*G12*G13*(1-G14)</f>
        <v>1.5295679999999998E-3</v>
      </c>
      <c r="P22" s="133">
        <f t="shared" si="2"/>
        <v>262.33621685740798</v>
      </c>
      <c r="Q22" s="123">
        <v>0</v>
      </c>
      <c r="R22" s="134">
        <f t="shared" si="3"/>
        <v>0</v>
      </c>
      <c r="S22" s="80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 ht="14.25" customHeight="1" x14ac:dyDescent="0.2">
      <c r="A23" s="3"/>
      <c r="B23" s="80"/>
      <c r="C23" s="80"/>
      <c r="D23" s="116" t="s">
        <v>202</v>
      </c>
      <c r="E23" s="80"/>
      <c r="F23" s="266">
        <v>0</v>
      </c>
      <c r="G23" s="267">
        <v>0</v>
      </c>
      <c r="H23" s="80"/>
      <c r="I23" s="3"/>
      <c r="J23" s="80"/>
      <c r="K23" s="80"/>
      <c r="L23" s="119" t="s">
        <v>203</v>
      </c>
      <c r="M23" s="80"/>
      <c r="N23" s="124">
        <f>F30+F20</f>
        <v>107903.17600000001</v>
      </c>
      <c r="O23" s="121">
        <f>G10*G12*(1-G13)*G14</f>
        <v>5.2876800000000053E-4</v>
      </c>
      <c r="P23" s="133">
        <f t="shared" si="2"/>
        <v>57.055746567168057</v>
      </c>
      <c r="Q23" s="123">
        <f>G26</f>
        <v>0.72750000000000004</v>
      </c>
      <c r="R23" s="134">
        <f t="shared" si="3"/>
        <v>3.8467872000000038E-4</v>
      </c>
      <c r="S23" s="80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 ht="14.25" customHeight="1" x14ac:dyDescent="0.2">
      <c r="A24" s="3"/>
      <c r="B24" s="80"/>
      <c r="C24" s="80"/>
      <c r="D24" s="116" t="s">
        <v>204</v>
      </c>
      <c r="E24" s="80"/>
      <c r="F24" s="117">
        <v>0</v>
      </c>
      <c r="G24" s="118">
        <v>0</v>
      </c>
      <c r="H24" s="80"/>
      <c r="I24" s="3"/>
      <c r="J24" s="80"/>
      <c r="K24" s="80"/>
      <c r="L24" s="119" t="s">
        <v>205</v>
      </c>
      <c r="M24" s="80"/>
      <c r="N24" s="124">
        <f>F30+F20</f>
        <v>107903.17600000001</v>
      </c>
      <c r="O24" s="121">
        <f>G10*G12*(1-G13)*(1-G14)</f>
        <v>1.6243200000000014E-4</v>
      </c>
      <c r="P24" s="133">
        <f t="shared" si="2"/>
        <v>17.526928684032015</v>
      </c>
      <c r="Q24" s="123">
        <f>G26*G27*G28*G29</f>
        <v>0</v>
      </c>
      <c r="R24" s="134">
        <f t="shared" si="3"/>
        <v>0</v>
      </c>
      <c r="S24" s="80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ht="14.25" customHeight="1" x14ac:dyDescent="0.2">
      <c r="A25" s="3"/>
      <c r="B25" s="80"/>
      <c r="C25" s="80"/>
      <c r="D25" s="116" t="s">
        <v>206</v>
      </c>
      <c r="E25" s="80"/>
      <c r="F25" s="117">
        <v>0</v>
      </c>
      <c r="G25" s="118">
        <v>0</v>
      </c>
      <c r="H25" s="80"/>
      <c r="I25" s="3"/>
      <c r="J25" s="80"/>
      <c r="K25" s="80"/>
      <c r="L25" s="119" t="s">
        <v>207</v>
      </c>
      <c r="M25" s="80"/>
      <c r="N25" s="124">
        <f>G30</f>
        <v>9461.1759999999995</v>
      </c>
      <c r="O25" s="121">
        <f>G10*(1-G12)*G14</f>
        <v>0.30049200000000004</v>
      </c>
      <c r="P25" s="133">
        <f t="shared" si="2"/>
        <v>2843.007698592</v>
      </c>
      <c r="Q25" s="123">
        <f>G26</f>
        <v>0.72750000000000004</v>
      </c>
      <c r="R25" s="134">
        <f t="shared" si="3"/>
        <v>0.21860793000000003</v>
      </c>
      <c r="S25" s="80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ht="14.25" customHeight="1" x14ac:dyDescent="0.2">
      <c r="A26" s="3"/>
      <c r="B26" s="80"/>
      <c r="C26" s="80"/>
      <c r="D26" s="116" t="s">
        <v>208</v>
      </c>
      <c r="E26" s="80"/>
      <c r="F26" s="117">
        <f>Parameters!C67</f>
        <v>0.723923076923077</v>
      </c>
      <c r="G26" s="491">
        <f>Parameters!H67</f>
        <v>0.72750000000000004</v>
      </c>
      <c r="H26" s="80"/>
      <c r="I26" s="3"/>
      <c r="J26" s="80"/>
      <c r="K26" s="80"/>
      <c r="L26" s="119" t="s">
        <v>209</v>
      </c>
      <c r="M26" s="80"/>
      <c r="N26" s="124">
        <f>G30</f>
        <v>9461.1759999999995</v>
      </c>
      <c r="O26" s="121">
        <f>G10*(1-G12)*(1-G14)</f>
        <v>9.2308000000000001E-2</v>
      </c>
      <c r="P26" s="133">
        <f t="shared" si="2"/>
        <v>873.34223420799992</v>
      </c>
      <c r="Q26" s="123">
        <v>0</v>
      </c>
      <c r="R26" s="134">
        <f t="shared" si="3"/>
        <v>0</v>
      </c>
      <c r="S26" s="80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ht="15" customHeight="1" x14ac:dyDescent="0.2">
      <c r="A27" s="3"/>
      <c r="B27" s="80"/>
      <c r="C27" s="80"/>
      <c r="D27" s="80"/>
      <c r="E27" s="80"/>
      <c r="F27" s="80"/>
      <c r="G27" s="80"/>
      <c r="H27" s="80"/>
      <c r="I27" s="3"/>
      <c r="J27" s="80"/>
      <c r="K27" s="80"/>
      <c r="L27" s="119" t="s">
        <v>210</v>
      </c>
      <c r="M27" s="80"/>
      <c r="N27" s="124">
        <v>0</v>
      </c>
      <c r="O27" s="121">
        <f>(1-G10)*G14</f>
        <v>0.45899999999999996</v>
      </c>
      <c r="P27" s="133">
        <f>O27*N27</f>
        <v>0</v>
      </c>
      <c r="Q27" s="123">
        <f>G26</f>
        <v>0.72750000000000004</v>
      </c>
      <c r="R27" s="134">
        <f t="shared" si="3"/>
        <v>0.33392250000000001</v>
      </c>
      <c r="S27" s="80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ht="15" customHeight="1" x14ac:dyDescent="0.2">
      <c r="A28" s="3"/>
      <c r="B28" s="3"/>
      <c r="C28" s="14"/>
      <c r="D28" s="135"/>
      <c r="E28" s="135"/>
      <c r="F28" s="135"/>
      <c r="G28" s="135"/>
      <c r="H28" s="14"/>
      <c r="I28" s="14"/>
      <c r="J28" s="80"/>
      <c r="K28" s="80"/>
      <c r="L28" s="119" t="s">
        <v>211</v>
      </c>
      <c r="M28" s="80"/>
      <c r="N28" s="124">
        <v>0</v>
      </c>
      <c r="O28" s="131">
        <f>(1-G10)*(1-G14)</f>
        <v>0.14099999999999999</v>
      </c>
      <c r="P28" s="133">
        <f t="shared" si="2"/>
        <v>0</v>
      </c>
      <c r="Q28" s="123">
        <v>0</v>
      </c>
      <c r="R28" s="134">
        <f t="shared" si="3"/>
        <v>0</v>
      </c>
      <c r="S28" s="80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ht="7.5" customHeight="1" x14ac:dyDescent="0.2">
      <c r="A29" s="3"/>
      <c r="B29" s="3"/>
      <c r="C29" s="268"/>
      <c r="D29" s="135"/>
      <c r="E29" s="135"/>
      <c r="F29" s="135"/>
      <c r="G29" s="135"/>
      <c r="H29" s="14"/>
      <c r="I29" s="14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ht="14.25" customHeight="1" x14ac:dyDescent="0.2">
      <c r="A30" s="3"/>
      <c r="B30" s="135"/>
      <c r="C30" s="135"/>
      <c r="D30" s="135"/>
      <c r="E30" s="135"/>
      <c r="F30" s="304">
        <f>F18+(F21*F11)</f>
        <v>9461.1759999999995</v>
      </c>
      <c r="G30" s="304">
        <f>G18+(G21*G11)</f>
        <v>9461.1759999999995</v>
      </c>
      <c r="H30" s="14"/>
      <c r="I30" s="14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ht="14.25" customHeight="1" x14ac:dyDescent="0.2">
      <c r="A31" s="3"/>
      <c r="B31" s="135"/>
      <c r="C31" s="135"/>
      <c r="D31" s="135"/>
      <c r="E31" s="135"/>
      <c r="F31" s="304"/>
      <c r="G31" s="304"/>
      <c r="H31" s="14"/>
      <c r="I31" s="14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ht="14.25" customHeight="1" x14ac:dyDescent="0.2">
      <c r="A32" s="3"/>
      <c r="B32" s="3"/>
      <c r="C32" s="268"/>
      <c r="D32" s="135"/>
      <c r="E32" s="135"/>
      <c r="F32" s="527"/>
      <c r="G32" s="527"/>
      <c r="H32" s="14"/>
      <c r="I32" s="14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</row>
    <row r="33" spans="1:31" ht="21" customHeight="1" x14ac:dyDescent="0.3">
      <c r="A33" s="3"/>
      <c r="B33" s="3"/>
      <c r="C33" s="268"/>
      <c r="D33" s="135"/>
      <c r="E33" s="135"/>
      <c r="F33" s="527">
        <v>0.63900000000000001</v>
      </c>
      <c r="G33" s="14">
        <v>0.66900000000000004</v>
      </c>
      <c r="H33" s="14"/>
      <c r="I33" s="14"/>
      <c r="J33" s="80"/>
      <c r="K33" s="107" t="s">
        <v>212</v>
      </c>
      <c r="L33" s="80"/>
      <c r="M33" s="80"/>
      <c r="N33" s="80"/>
      <c r="O33" s="80"/>
      <c r="P33" s="80"/>
      <c r="Q33" s="80"/>
      <c r="R33" s="80"/>
      <c r="S33" s="80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</row>
    <row r="34" spans="1:31" ht="18" customHeight="1" x14ac:dyDescent="0.3">
      <c r="A34" s="3"/>
      <c r="B34" s="3"/>
      <c r="C34" s="268"/>
      <c r="D34" s="135"/>
      <c r="E34" s="135"/>
      <c r="F34" s="527">
        <v>0.753</v>
      </c>
      <c r="G34" s="14">
        <v>0.72</v>
      </c>
      <c r="H34" s="14"/>
      <c r="I34" s="3"/>
      <c r="J34" s="80"/>
      <c r="K34" s="108" t="s">
        <v>213</v>
      </c>
      <c r="L34" s="109"/>
      <c r="M34" s="109"/>
      <c r="N34" s="110" t="s">
        <v>214</v>
      </c>
      <c r="O34" s="269" t="s">
        <v>364</v>
      </c>
      <c r="P34" s="110" t="s">
        <v>215</v>
      </c>
      <c r="Q34" s="269" t="s">
        <v>363</v>
      </c>
      <c r="R34" s="269" t="s">
        <v>360</v>
      </c>
      <c r="S34" s="80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ht="14.25" customHeight="1" x14ac:dyDescent="0.2">
      <c r="A35" s="3"/>
      <c r="B35" s="3"/>
      <c r="C35" s="268"/>
      <c r="D35" s="135"/>
      <c r="E35" s="135"/>
      <c r="F35" s="527">
        <v>0.751</v>
      </c>
      <c r="G35" s="14">
        <v>0.75800000000000001</v>
      </c>
      <c r="H35" s="14"/>
      <c r="I35" s="3"/>
      <c r="J35" s="80"/>
      <c r="K35" s="136" t="s">
        <v>91</v>
      </c>
      <c r="L35" s="136"/>
      <c r="M35" s="111"/>
      <c r="N35" s="137">
        <f>SUM(P11:P18)</f>
        <v>14063.654769903998</v>
      </c>
      <c r="O35" s="138">
        <f>SUM(R11:R18)</f>
        <v>0.58782553846153851</v>
      </c>
      <c r="P35" s="139"/>
      <c r="Q35" s="139"/>
      <c r="R35" s="140"/>
      <c r="S35" s="80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ht="14.25" customHeight="1" x14ac:dyDescent="0.25">
      <c r="A36" s="3"/>
      <c r="B36" s="3"/>
      <c r="C36" s="268"/>
      <c r="D36" s="135"/>
      <c r="E36" s="135"/>
      <c r="F36" s="527">
        <v>0.78600000000000003</v>
      </c>
      <c r="G36" s="14">
        <v>0.76800000000000002</v>
      </c>
      <c r="H36" s="14"/>
      <c r="I36" s="3"/>
      <c r="J36" s="80"/>
      <c r="K36" s="270" t="s">
        <v>358</v>
      </c>
      <c r="L36" s="141"/>
      <c r="M36" s="80"/>
      <c r="N36" s="142">
        <f>SUM(P21:P28)</f>
        <v>4907.2569351040001</v>
      </c>
      <c r="O36" s="143">
        <f>SUM(R21:R28)</f>
        <v>0.55653750000000002</v>
      </c>
      <c r="P36" s="144">
        <f>N35-N36</f>
        <v>9156.3978347999982</v>
      </c>
      <c r="Q36" s="143">
        <f>O35-O36</f>
        <v>3.1288038461538492E-2</v>
      </c>
      <c r="R36" s="145">
        <f>P36/Q36</f>
        <v>292648.5099427278</v>
      </c>
      <c r="S36" s="80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ht="14.25" customHeight="1" x14ac:dyDescent="0.2">
      <c r="A37" s="3"/>
      <c r="B37" s="3"/>
      <c r="C37" s="268"/>
      <c r="D37" s="135"/>
      <c r="E37" s="135"/>
      <c r="F37" s="527"/>
      <c r="G37" s="14"/>
      <c r="H37" s="14"/>
      <c r="I37" s="3"/>
      <c r="J37" s="80"/>
      <c r="K37" s="80"/>
      <c r="L37" s="119"/>
      <c r="M37" s="80"/>
      <c r="N37" s="80"/>
      <c r="O37" s="80"/>
      <c r="P37" s="80"/>
      <c r="Q37" s="80"/>
      <c r="R37" s="80"/>
      <c r="S37" s="80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ht="18" customHeight="1" x14ac:dyDescent="0.2">
      <c r="A38" s="3"/>
      <c r="B38" s="3"/>
      <c r="C38" s="268"/>
      <c r="D38" s="135"/>
      <c r="E38" s="135"/>
      <c r="F38" s="527"/>
      <c r="G38" s="14"/>
      <c r="H38" s="14"/>
      <c r="I38" s="3"/>
      <c r="J38" s="3"/>
      <c r="K38" s="3"/>
      <c r="L38" s="297"/>
      <c r="M38" s="297"/>
      <c r="N38" s="297"/>
      <c r="O38" s="297"/>
      <c r="P38" s="297"/>
      <c r="Q38" s="297"/>
      <c r="R38" s="297"/>
      <c r="S38" s="297"/>
      <c r="T38" s="297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ht="16.5" customHeight="1" x14ac:dyDescent="0.2">
      <c r="A39" s="3"/>
      <c r="B39" s="3"/>
      <c r="C39" s="268"/>
      <c r="D39" s="135"/>
      <c r="E39" s="135"/>
      <c r="F39" s="135"/>
      <c r="G39" s="135"/>
      <c r="H39" s="3"/>
      <c r="I39" s="3"/>
      <c r="J39" s="3"/>
      <c r="K39" s="3"/>
      <c r="L39" s="297"/>
      <c r="M39" s="297"/>
      <c r="N39" s="297"/>
      <c r="O39" s="297"/>
      <c r="P39" s="297"/>
      <c r="Q39" s="297"/>
      <c r="R39" s="297"/>
      <c r="S39" s="297"/>
      <c r="T39" s="297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ht="20.25" customHeight="1" x14ac:dyDescent="0.2">
      <c r="A40" s="3"/>
      <c r="B40" s="3"/>
      <c r="C40" s="268"/>
      <c r="D40" s="135"/>
      <c r="E40" s="135"/>
      <c r="F40" s="135"/>
      <c r="G40" s="135"/>
      <c r="H40" s="3"/>
      <c r="I40" s="3"/>
      <c r="J40" s="3"/>
      <c r="K40" s="3"/>
      <c r="L40" s="297"/>
      <c r="M40" s="297"/>
      <c r="N40" s="14"/>
      <c r="O40" s="297"/>
      <c r="P40" s="297"/>
      <c r="Q40" s="297"/>
      <c r="R40" s="297"/>
      <c r="S40" s="297"/>
      <c r="T40" s="297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ht="15.75" customHeight="1" x14ac:dyDescent="0.2">
      <c r="A41" s="3"/>
      <c r="B41" s="3"/>
      <c r="C41" s="268"/>
      <c r="D41" s="135"/>
      <c r="E41" s="135"/>
      <c r="F41" s="448"/>
      <c r="G41" s="135"/>
      <c r="H41" s="3"/>
      <c r="I41" s="3"/>
      <c r="J41" s="3"/>
      <c r="K41" s="3"/>
      <c r="L41" s="297"/>
      <c r="M41" s="297"/>
      <c r="N41" s="305">
        <f>O11+O13+O15+O17</f>
        <v>0.81200000000000006</v>
      </c>
      <c r="O41" s="297"/>
      <c r="P41" s="297"/>
      <c r="Q41" s="297"/>
      <c r="R41" s="297"/>
      <c r="S41" s="297"/>
      <c r="T41" s="297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ht="19.5" customHeight="1" x14ac:dyDescent="0.2">
      <c r="A42" s="3"/>
      <c r="B42" s="3"/>
      <c r="C42" s="268"/>
      <c r="D42" s="135"/>
      <c r="E42" s="135"/>
      <c r="F42" s="448"/>
      <c r="G42" s="135"/>
      <c r="H42" s="3"/>
      <c r="I42" s="3"/>
      <c r="J42" s="3"/>
      <c r="K42" s="3"/>
      <c r="L42" s="297"/>
      <c r="M42" s="297"/>
      <c r="N42" s="305">
        <f>O21+O23+O25+O27</f>
        <v>0.76500000000000001</v>
      </c>
      <c r="O42" s="297"/>
      <c r="P42" s="297"/>
      <c r="Q42" s="297"/>
      <c r="R42" s="297"/>
      <c r="S42" s="297"/>
      <c r="T42" s="297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ht="14.25" customHeight="1" x14ac:dyDescent="0.2">
      <c r="A43" s="3"/>
      <c r="B43" s="3"/>
      <c r="C43" s="268"/>
      <c r="D43" s="268"/>
      <c r="E43" s="268"/>
      <c r="F43" s="399"/>
      <c r="G43" s="135"/>
      <c r="H43" s="3"/>
      <c r="I43" s="3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ht="21.75" customHeight="1" x14ac:dyDescent="0.3">
      <c r="A44" s="3"/>
      <c r="B44" s="3"/>
      <c r="C44" s="268"/>
      <c r="D44" s="268"/>
      <c r="E44" s="268"/>
      <c r="F44" s="268"/>
      <c r="G44" s="135"/>
      <c r="H44" s="3"/>
      <c r="I44" s="3"/>
      <c r="J44" s="80"/>
      <c r="K44" s="107" t="s">
        <v>216</v>
      </c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ht="17.25" customHeight="1" x14ac:dyDescent="0.3">
      <c r="A45" s="3"/>
      <c r="B45" s="3"/>
      <c r="C45" s="268"/>
      <c r="D45" s="268"/>
      <c r="E45" s="268"/>
      <c r="F45" s="268"/>
      <c r="G45" s="268"/>
      <c r="H45" s="3"/>
      <c r="I45" s="3"/>
      <c r="J45" s="80"/>
      <c r="K45" s="108" t="s">
        <v>217</v>
      </c>
      <c r="L45" s="109"/>
      <c r="M45" s="109"/>
      <c r="N45" s="110" t="s">
        <v>113</v>
      </c>
      <c r="O45" s="269" t="s">
        <v>358</v>
      </c>
      <c r="P45" s="110" t="s">
        <v>218</v>
      </c>
      <c r="Q45" s="110" t="s">
        <v>219</v>
      </c>
      <c r="R45" s="269" t="s">
        <v>359</v>
      </c>
      <c r="S45" s="633" t="s">
        <v>218</v>
      </c>
      <c r="T45" s="634"/>
      <c r="U45" s="80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ht="15" customHeight="1" x14ac:dyDescent="0.2">
      <c r="A46" s="3"/>
      <c r="B46" s="3"/>
      <c r="C46" s="268"/>
      <c r="D46" s="268"/>
      <c r="E46" s="268"/>
      <c r="F46" s="268"/>
      <c r="G46" s="268"/>
      <c r="H46" s="3"/>
      <c r="I46" s="3"/>
      <c r="J46" s="80"/>
      <c r="K46" s="136" t="s">
        <v>220</v>
      </c>
      <c r="L46" s="136"/>
      <c r="M46" s="111"/>
      <c r="N46" s="147" t="s">
        <v>221</v>
      </c>
      <c r="O46" s="148" t="s">
        <v>221</v>
      </c>
      <c r="P46" s="148" t="s">
        <v>221</v>
      </c>
      <c r="Q46" s="149">
        <f>cohortsize*F16</f>
        <v>1218201.5999999999</v>
      </c>
      <c r="R46" s="150">
        <v>0</v>
      </c>
      <c r="S46" s="629">
        <f t="shared" ref="S46:S54" si="4">Q46-R46</f>
        <v>1218201.5999999999</v>
      </c>
      <c r="T46" s="630"/>
      <c r="U46" s="80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ht="14.25" customHeight="1" x14ac:dyDescent="0.2">
      <c r="A47" s="3"/>
      <c r="B47" s="3"/>
      <c r="C47" s="268"/>
      <c r="D47" s="268"/>
      <c r="E47" s="268"/>
      <c r="F47" s="268"/>
      <c r="G47" s="268"/>
      <c r="H47" s="3"/>
      <c r="I47" s="3"/>
      <c r="J47" s="80"/>
      <c r="K47" s="141" t="s">
        <v>222</v>
      </c>
      <c r="L47" s="141"/>
      <c r="M47" s="80"/>
      <c r="N47" s="151">
        <f>cohortsize*F10</f>
        <v>16</v>
      </c>
      <c r="O47" s="152">
        <f>cohortsize*G10</f>
        <v>40</v>
      </c>
      <c r="P47" s="152">
        <f>N47-O47</f>
        <v>-24</v>
      </c>
      <c r="Q47" s="153">
        <v>0</v>
      </c>
      <c r="R47" s="153">
        <v>0</v>
      </c>
      <c r="S47" s="629">
        <f t="shared" si="4"/>
        <v>0</v>
      </c>
      <c r="T47" s="630"/>
      <c r="U47" s="80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ht="14.25" customHeight="1" x14ac:dyDescent="0.25">
      <c r="A48" s="3"/>
      <c r="B48" s="3"/>
      <c r="C48" s="268"/>
      <c r="D48" s="268"/>
      <c r="E48" s="268"/>
      <c r="F48" s="268"/>
      <c r="G48" s="268"/>
      <c r="H48" s="3"/>
      <c r="I48" s="3"/>
      <c r="J48" s="80"/>
      <c r="K48" s="141" t="s">
        <v>223</v>
      </c>
      <c r="L48" s="141"/>
      <c r="M48" s="80"/>
      <c r="N48" s="154" t="s">
        <v>221</v>
      </c>
      <c r="O48" s="155" t="s">
        <v>221</v>
      </c>
      <c r="P48" s="155" t="s">
        <v>221</v>
      </c>
      <c r="Q48" s="144">
        <f t="shared" ref="Q48:R48" si="5">N47*F18</f>
        <v>19795.84</v>
      </c>
      <c r="R48" s="156">
        <f t="shared" si="5"/>
        <v>49489.599999999999</v>
      </c>
      <c r="S48" s="629">
        <f t="shared" si="4"/>
        <v>-29693.759999999998</v>
      </c>
      <c r="T48" s="630"/>
      <c r="U48" s="80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ht="14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80"/>
      <c r="K49" s="141" t="s">
        <v>67</v>
      </c>
      <c r="L49" s="141"/>
      <c r="M49" s="80"/>
      <c r="N49" s="151">
        <f>J56*F12</f>
        <v>1.5</v>
      </c>
      <c r="O49" s="152">
        <f>J56*G12</f>
        <v>1.7999999999999998</v>
      </c>
      <c r="P49" s="152">
        <f t="shared" ref="P49:P53" si="6">N49-O49</f>
        <v>-0.29999999999999982</v>
      </c>
      <c r="Q49" s="144">
        <f t="shared" ref="Q49:R49" si="7">N49*F20</f>
        <v>147663</v>
      </c>
      <c r="R49" s="156">
        <f t="shared" si="7"/>
        <v>177195.59999999998</v>
      </c>
      <c r="S49" s="629">
        <f t="shared" si="4"/>
        <v>-29532.599999999977</v>
      </c>
      <c r="T49" s="630"/>
      <c r="U49" s="80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ht="14.25" customHeight="1" x14ac:dyDescent="0.25">
      <c r="A50" s="3"/>
      <c r="B50" s="3"/>
      <c r="C50" s="3"/>
      <c r="D50" s="3"/>
      <c r="E50" s="3"/>
      <c r="F50" s="3"/>
      <c r="G50" s="3"/>
      <c r="H50" s="3"/>
      <c r="I50" s="3"/>
      <c r="J50" s="80"/>
      <c r="K50" s="141" t="s">
        <v>224</v>
      </c>
      <c r="L50" s="141"/>
      <c r="M50" s="80"/>
      <c r="N50" s="151">
        <f>J56*'Calculated Inputs'!F54</f>
        <v>3.1</v>
      </c>
      <c r="O50" s="152">
        <f>'Calculated Inputs'!G54*J56</f>
        <v>8</v>
      </c>
      <c r="P50" s="152">
        <f t="shared" si="6"/>
        <v>-4.9000000000000004</v>
      </c>
      <c r="Q50" s="144">
        <f t="shared" ref="Q50:R50" si="8">N50*F19</f>
        <v>139506.20000000001</v>
      </c>
      <c r="R50" s="156">
        <f t="shared" si="8"/>
        <v>360016</v>
      </c>
      <c r="S50" s="629">
        <f t="shared" si="4"/>
        <v>-220509.8</v>
      </c>
      <c r="T50" s="630"/>
      <c r="U50" s="80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ht="14.25" customHeight="1" x14ac:dyDescent="0.2">
      <c r="A51" s="3"/>
      <c r="B51" s="3"/>
      <c r="C51" s="3"/>
      <c r="D51" s="3"/>
      <c r="E51" s="3"/>
      <c r="F51" s="3"/>
      <c r="G51" s="3"/>
      <c r="H51" s="3"/>
      <c r="I51" s="3"/>
      <c r="J51" s="80"/>
      <c r="K51" s="141" t="s">
        <v>225</v>
      </c>
      <c r="L51" s="141"/>
      <c r="M51" s="80"/>
      <c r="N51" s="151">
        <f>J56*'Calculated Inputs'!F55</f>
        <v>34.5</v>
      </c>
      <c r="O51" s="152">
        <f>J56*'Calculated Inputs'!G55</f>
        <v>32.4</v>
      </c>
      <c r="P51" s="152">
        <f t="shared" si="6"/>
        <v>2.1000000000000014</v>
      </c>
      <c r="Q51" s="153">
        <v>0</v>
      </c>
      <c r="R51" s="153">
        <v>0</v>
      </c>
      <c r="S51" s="629">
        <f t="shared" si="4"/>
        <v>0</v>
      </c>
      <c r="T51" s="630"/>
      <c r="U51" s="80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ht="14.25" customHeight="1" x14ac:dyDescent="0.25">
      <c r="A52" s="3"/>
      <c r="B52" s="3"/>
      <c r="C52" s="3"/>
      <c r="D52" s="3"/>
      <c r="E52" s="3"/>
      <c r="F52" s="3"/>
      <c r="G52" s="3"/>
      <c r="H52" s="3"/>
      <c r="I52" s="3"/>
      <c r="J52" s="80"/>
      <c r="K52" s="141" t="s">
        <v>226</v>
      </c>
      <c r="L52" s="141"/>
      <c r="M52" s="80"/>
      <c r="N52" s="151">
        <f>J56*'Calculated Inputs'!F53</f>
        <v>48.6</v>
      </c>
      <c r="O52" s="152">
        <f>J56*'Calculated Inputs'!G53</f>
        <v>50</v>
      </c>
      <c r="P52" s="152">
        <f t="shared" si="6"/>
        <v>-1.3999999999999986</v>
      </c>
      <c r="Q52" s="144">
        <f>N52*F17</f>
        <v>904194.73800000013</v>
      </c>
      <c r="R52" s="156">
        <f t="shared" ref="R52" si="9">O52*G17</f>
        <v>930241.50000000012</v>
      </c>
      <c r="S52" s="629">
        <f t="shared" si="4"/>
        <v>-26046.761999999988</v>
      </c>
      <c r="T52" s="630"/>
      <c r="U52" s="80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ht="14.25" customHeight="1" x14ac:dyDescent="0.25">
      <c r="A53" s="3"/>
      <c r="B53" s="3"/>
      <c r="C53" s="3"/>
      <c r="D53" s="3"/>
      <c r="E53" s="3"/>
      <c r="F53" s="3"/>
      <c r="G53" s="3"/>
      <c r="H53" s="3"/>
      <c r="I53" s="3"/>
      <c r="J53" s="80"/>
      <c r="K53" s="141" t="s">
        <v>227</v>
      </c>
      <c r="L53" s="141"/>
      <c r="M53" s="80"/>
      <c r="N53" s="151">
        <f t="shared" ref="N53:O53" si="10">N47*F11</f>
        <v>5.5679999999999996</v>
      </c>
      <c r="O53" s="152">
        <f t="shared" si="10"/>
        <v>13.919999999999998</v>
      </c>
      <c r="P53" s="152">
        <f t="shared" si="6"/>
        <v>-8.3519999999999985</v>
      </c>
      <c r="Q53" s="144">
        <f t="shared" ref="Q53:R53" si="11">N53*F30</f>
        <v>52679.827967999991</v>
      </c>
      <c r="R53" s="156">
        <f t="shared" si="11"/>
        <v>131699.56991999998</v>
      </c>
      <c r="S53" s="629">
        <f t="shared" si="4"/>
        <v>-79019.741951999982</v>
      </c>
      <c r="T53" s="630"/>
      <c r="U53" s="80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ht="14.25" customHeight="1" x14ac:dyDescent="0.2">
      <c r="A54" s="3"/>
      <c r="B54" s="3"/>
      <c r="C54" s="3"/>
      <c r="D54" s="3"/>
      <c r="E54" s="3"/>
      <c r="F54" s="3"/>
      <c r="G54" s="3"/>
      <c r="H54" s="3"/>
      <c r="I54" s="3"/>
      <c r="J54" s="80"/>
      <c r="K54" s="141" t="s">
        <v>228</v>
      </c>
      <c r="L54" s="141"/>
      <c r="M54" s="80"/>
      <c r="N54" s="154" t="s">
        <v>221</v>
      </c>
      <c r="O54" s="155" t="s">
        <v>221</v>
      </c>
      <c r="P54" s="155" t="s">
        <v>221</v>
      </c>
      <c r="Q54" s="157">
        <f t="shared" ref="Q54:R54" si="12">SUM(Q46:Q53)</f>
        <v>2482041.205968</v>
      </c>
      <c r="R54" s="157">
        <f t="shared" si="12"/>
        <v>1648642.2699200001</v>
      </c>
      <c r="S54" s="631">
        <f t="shared" si="4"/>
        <v>833398.93604799989</v>
      </c>
      <c r="T54" s="630"/>
      <c r="U54" s="80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ht="14.25" customHeight="1" x14ac:dyDescent="0.2">
      <c r="A55" s="3"/>
      <c r="B55" s="3"/>
      <c r="C55" s="3"/>
      <c r="D55" s="3"/>
      <c r="E55" s="3"/>
      <c r="F55" s="3"/>
      <c r="G55" s="3"/>
      <c r="H55" s="3"/>
      <c r="I55" s="3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ht="14.25" hidden="1" customHeight="1" x14ac:dyDescent="0.2">
      <c r="A56" s="3"/>
      <c r="B56" s="3"/>
      <c r="C56" s="3"/>
      <c r="D56" s="3"/>
      <c r="E56" s="3"/>
      <c r="F56" s="3"/>
      <c r="G56" s="3"/>
      <c r="H56" s="3"/>
      <c r="I56" s="3"/>
      <c r="J56" s="3">
        <f>cohortsize</f>
        <v>100</v>
      </c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ht="14.25" customHeight="1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ht="14.25" customHeight="1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ht="14.25" customHeight="1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ht="14.25" customHeight="1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ht="14.25" customHeight="1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ht="14.25" customHeight="1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ht="14.25" customHeight="1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ht="14.2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ht="14.2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ht="14.2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ht="14.2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ht="14.2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ht="14.2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ht="14.2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ht="14.25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ht="14.25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ht="14.25" customHeight="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mergeCells count="11">
    <mergeCell ref="S51:T51"/>
    <mergeCell ref="S52:T52"/>
    <mergeCell ref="S53:T53"/>
    <mergeCell ref="S54:T54"/>
    <mergeCell ref="A4:D5"/>
    <mergeCell ref="S45:T45"/>
    <mergeCell ref="S46:T46"/>
    <mergeCell ref="S47:T47"/>
    <mergeCell ref="S48:T48"/>
    <mergeCell ref="S49:T49"/>
    <mergeCell ref="S50:T50"/>
  </mergeCells>
  <pageMargins left="0.7" right="0.7" top="0.75" bottom="0.75" header="0" footer="0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H1000"/>
  <sheetViews>
    <sheetView workbookViewId="0"/>
  </sheetViews>
  <sheetFormatPr defaultColWidth="12.625" defaultRowHeight="15" customHeight="1" x14ac:dyDescent="0.2"/>
  <cols>
    <col min="1" max="1" width="8" customWidth="1"/>
    <col min="2" max="2" width="1.625" customWidth="1"/>
    <col min="3" max="3" width="10.125" customWidth="1"/>
    <col min="4" max="4" width="1.125" customWidth="1"/>
    <col min="5" max="5" width="12.125" customWidth="1"/>
    <col min="6" max="6" width="2.125" customWidth="1"/>
    <col min="7" max="7" width="13.125" customWidth="1"/>
    <col min="8" max="8" width="16.625" customWidth="1"/>
    <col min="9" max="9" width="9.875" customWidth="1"/>
    <col min="10" max="10" width="17.375" customWidth="1"/>
    <col min="11" max="11" width="16.375" customWidth="1"/>
    <col min="12" max="12" width="12.625" customWidth="1"/>
    <col min="13" max="13" width="1.5" customWidth="1"/>
    <col min="14" max="14" width="8" customWidth="1"/>
    <col min="15" max="15" width="1.375" customWidth="1"/>
    <col min="16" max="16" width="8" customWidth="1"/>
    <col min="17" max="17" width="1.5" customWidth="1"/>
    <col min="18" max="18" width="10.875" customWidth="1"/>
    <col min="19" max="19" width="1.5" customWidth="1"/>
    <col min="20" max="20" width="11.5" customWidth="1"/>
    <col min="21" max="21" width="11.125" customWidth="1"/>
    <col min="22" max="22" width="10.875" customWidth="1"/>
    <col min="23" max="23" width="16.625" customWidth="1"/>
    <col min="24" max="24" width="11" customWidth="1"/>
    <col min="25" max="25" width="10.625" customWidth="1"/>
    <col min="26" max="26" width="1.375" customWidth="1"/>
    <col min="27" max="32" width="8" customWidth="1"/>
    <col min="33" max="33" width="13.875" customWidth="1"/>
    <col min="34" max="34" width="13.625" customWidth="1"/>
  </cols>
  <sheetData>
    <row r="1" spans="1:34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48.75" customHeight="1" x14ac:dyDescent="0.2">
      <c r="A2" s="1"/>
      <c r="B2" s="1"/>
      <c r="C2" s="1"/>
      <c r="D2" s="1"/>
      <c r="E2" s="1"/>
      <c r="F2" s="1"/>
      <c r="G2" s="1" t="s">
        <v>229</v>
      </c>
      <c r="H2" s="158" t="e">
        <f>K66</f>
        <v>#REF!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ht="15" customHeight="1" x14ac:dyDescent="0.25">
      <c r="A4" s="2"/>
      <c r="B4" s="632" t="s">
        <v>230</v>
      </c>
      <c r="C4" s="619"/>
      <c r="D4" s="619"/>
      <c r="E4" s="619"/>
      <c r="F4" s="620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" customHeight="1" x14ac:dyDescent="0.25">
      <c r="A5" s="2"/>
      <c r="B5" s="621"/>
      <c r="C5" s="622"/>
      <c r="D5" s="622"/>
      <c r="E5" s="622"/>
      <c r="F5" s="62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4" ht="27.75" customHeight="1" x14ac:dyDescent="0.25">
      <c r="A7" s="3"/>
      <c r="B7" s="80"/>
      <c r="C7" s="159" t="s">
        <v>231</v>
      </c>
      <c r="D7" s="160"/>
      <c r="E7" s="160"/>
      <c r="F7" s="160"/>
      <c r="G7" s="160"/>
      <c r="H7" s="160"/>
      <c r="I7" s="160"/>
      <c r="J7" s="160"/>
      <c r="K7" s="160"/>
      <c r="L7" s="160"/>
      <c r="M7" s="80"/>
      <c r="N7" s="3"/>
      <c r="O7" s="80"/>
      <c r="P7" s="159" t="s">
        <v>125</v>
      </c>
      <c r="Q7" s="160"/>
      <c r="R7" s="160"/>
      <c r="S7" s="160"/>
      <c r="T7" s="160"/>
      <c r="U7" s="160"/>
      <c r="V7" s="160"/>
      <c r="W7" s="160"/>
      <c r="X7" s="160"/>
      <c r="Y7" s="160"/>
      <c r="Z7" s="80"/>
      <c r="AA7" s="3"/>
      <c r="AB7" s="3"/>
      <c r="AC7" s="3"/>
      <c r="AD7" s="3"/>
      <c r="AE7" s="3"/>
      <c r="AF7" s="3"/>
      <c r="AG7" s="3" t="s">
        <v>232</v>
      </c>
      <c r="AH7" s="3" t="s">
        <v>233</v>
      </c>
    </row>
    <row r="8" spans="1:34" ht="16.5" customHeight="1" x14ac:dyDescent="0.2">
      <c r="A8" s="3"/>
      <c r="B8" s="161"/>
      <c r="C8" s="162" t="s">
        <v>234</v>
      </c>
      <c r="D8" s="162"/>
      <c r="E8" s="163" t="s">
        <v>235</v>
      </c>
      <c r="F8" s="79"/>
      <c r="G8" s="163" t="s">
        <v>236</v>
      </c>
      <c r="H8" s="163" t="s">
        <v>237</v>
      </c>
      <c r="I8" s="163" t="s">
        <v>238</v>
      </c>
      <c r="J8" s="163" t="s">
        <v>239</v>
      </c>
      <c r="K8" s="163" t="s">
        <v>240</v>
      </c>
      <c r="L8" s="163" t="s">
        <v>178</v>
      </c>
      <c r="M8" s="80"/>
      <c r="N8" s="3"/>
      <c r="O8" s="161"/>
      <c r="P8" s="162" t="s">
        <v>234</v>
      </c>
      <c r="Q8" s="162"/>
      <c r="R8" s="163" t="s">
        <v>235</v>
      </c>
      <c r="S8" s="79"/>
      <c r="T8" s="163" t="s">
        <v>236</v>
      </c>
      <c r="U8" s="163" t="s">
        <v>237</v>
      </c>
      <c r="V8" s="163" t="s">
        <v>238</v>
      </c>
      <c r="W8" s="163" t="s">
        <v>239</v>
      </c>
      <c r="X8" s="163" t="s">
        <v>240</v>
      </c>
      <c r="Y8" s="163" t="s">
        <v>178</v>
      </c>
      <c r="Z8" s="80"/>
      <c r="AA8" s="3"/>
      <c r="AB8" s="3"/>
      <c r="AC8" s="3" t="s">
        <v>241</v>
      </c>
      <c r="AD8" s="3"/>
      <c r="AE8" s="3"/>
      <c r="AF8" s="3"/>
      <c r="AG8" s="164">
        <f>'Decision Tree'!N35</f>
        <v>14063.654769903998</v>
      </c>
      <c r="AH8" s="164">
        <f>'Decision Tree'!N36</f>
        <v>4907.2569351040001</v>
      </c>
    </row>
    <row r="9" spans="1:34" ht="5.25" customHeight="1" x14ac:dyDescent="0.2">
      <c r="A9" s="3"/>
      <c r="B9" s="80"/>
      <c r="C9" s="80"/>
      <c r="D9" s="80"/>
      <c r="E9" s="80"/>
      <c r="F9" s="80"/>
      <c r="G9" s="111"/>
      <c r="H9" s="111"/>
      <c r="I9" s="111"/>
      <c r="J9" s="111"/>
      <c r="K9" s="111"/>
      <c r="L9" s="111"/>
      <c r="M9" s="80"/>
      <c r="N9" s="3"/>
      <c r="O9" s="80"/>
      <c r="P9" s="80"/>
      <c r="Q9" s="80"/>
      <c r="R9" s="80"/>
      <c r="S9" s="80"/>
      <c r="T9" s="111"/>
      <c r="U9" s="111"/>
      <c r="V9" s="111"/>
      <c r="W9" s="111"/>
      <c r="X9" s="111"/>
      <c r="Y9" s="111"/>
      <c r="Z9" s="80"/>
      <c r="AA9" s="3"/>
      <c r="AB9" s="3"/>
      <c r="AC9" s="3"/>
      <c r="AD9" s="3"/>
      <c r="AE9" s="3"/>
      <c r="AF9" s="3"/>
      <c r="AG9" s="3"/>
      <c r="AH9" s="3"/>
    </row>
    <row r="10" spans="1:34" ht="15.75" customHeight="1" x14ac:dyDescent="0.2">
      <c r="A10" s="3"/>
      <c r="B10" s="80"/>
      <c r="C10" s="80"/>
      <c r="D10" s="80"/>
      <c r="E10" s="80"/>
      <c r="F10" s="80"/>
      <c r="G10" s="165">
        <v>100</v>
      </c>
      <c r="H10" s="80"/>
      <c r="I10" s="80"/>
      <c r="J10" s="80"/>
      <c r="K10" s="80"/>
      <c r="L10" s="80"/>
      <c r="M10" s="80"/>
      <c r="N10" s="3"/>
      <c r="O10" s="80"/>
      <c r="P10" s="80"/>
      <c r="Q10" s="80"/>
      <c r="R10" s="80"/>
      <c r="S10" s="80"/>
      <c r="T10" s="165">
        <v>100</v>
      </c>
      <c r="U10" s="80"/>
      <c r="V10" s="80"/>
      <c r="W10" s="80"/>
      <c r="X10" s="80"/>
      <c r="Y10" s="80"/>
      <c r="Z10" s="80"/>
      <c r="AA10" s="3"/>
      <c r="AB10" s="3"/>
      <c r="AC10" s="3"/>
      <c r="AD10" s="3"/>
      <c r="AE10" s="3"/>
      <c r="AF10" s="3"/>
      <c r="AG10" s="3"/>
      <c r="AH10" s="3"/>
    </row>
    <row r="11" spans="1:34" ht="14.25" customHeight="1" x14ac:dyDescent="0.2">
      <c r="A11" s="3"/>
      <c r="B11" s="80"/>
      <c r="C11" s="166">
        <v>0</v>
      </c>
      <c r="D11" s="165"/>
      <c r="E11" s="166"/>
      <c r="F11" s="80"/>
      <c r="G11" s="167">
        <f>G10*AG13</f>
        <v>81.2</v>
      </c>
      <c r="H11" s="168">
        <f>G10-G11</f>
        <v>18.799999999999997</v>
      </c>
      <c r="I11" s="169">
        <f t="shared" ref="I11:I61" si="0">SUM(G11:H11)</f>
        <v>100</v>
      </c>
      <c r="J11" s="170">
        <f>AG8*G11</f>
        <v>1141968.7673162047</v>
      </c>
      <c r="K11" s="169">
        <f t="shared" ref="K11:K61" si="1">G11</f>
        <v>81.2</v>
      </c>
      <c r="L11" s="171">
        <f>G10*AG11</f>
        <v>58.782553846153853</v>
      </c>
      <c r="M11" s="80"/>
      <c r="N11" s="3"/>
      <c r="O11" s="80"/>
      <c r="P11" s="166">
        <v>0</v>
      </c>
      <c r="Q11" s="165"/>
      <c r="R11" s="166"/>
      <c r="S11" s="80"/>
      <c r="T11" s="167">
        <f>T10*AH13</f>
        <v>76.5</v>
      </c>
      <c r="U11" s="168">
        <f>T10-T11</f>
        <v>23.5</v>
      </c>
      <c r="V11" s="168">
        <f t="shared" ref="V11:V61" si="2">SUM(T11:U11)</f>
        <v>100</v>
      </c>
      <c r="W11" s="172">
        <f>AH8*T10</f>
        <v>490725.69351040001</v>
      </c>
      <c r="X11" s="168">
        <f t="shared" ref="X11:X61" si="3">T11</f>
        <v>76.5</v>
      </c>
      <c r="Y11" s="171">
        <f>T10*AH11</f>
        <v>55.653750000000002</v>
      </c>
      <c r="Z11" s="80"/>
      <c r="AA11" s="3"/>
      <c r="AB11" s="3"/>
      <c r="AC11" s="3" t="s">
        <v>242</v>
      </c>
      <c r="AD11" s="3"/>
      <c r="AE11" s="3"/>
      <c r="AF11" s="3"/>
      <c r="AG11" s="146">
        <f>'Decision Tree'!O35</f>
        <v>0.58782553846153851</v>
      </c>
      <c r="AH11" s="146">
        <f>'Decision Tree'!O36</f>
        <v>0.55653750000000002</v>
      </c>
    </row>
    <row r="12" spans="1:34" ht="14.25" customHeight="1" x14ac:dyDescent="0.2">
      <c r="A12" s="3"/>
      <c r="B12" s="80"/>
      <c r="C12" s="173">
        <v>1</v>
      </c>
      <c r="D12" s="165"/>
      <c r="E12" s="174" t="e">
        <f t="shared" ref="E12:E43" si="4">IF(male=0,VLOOKUP(cycle+age,lifetable,3,1),IF(male=1,VLOOKUP(cycle+age,lifetable,2,1),"error"))</f>
        <v>#REF!</v>
      </c>
      <c r="F12" s="80"/>
      <c r="G12" s="175" t="e">
        <f>G10-H12</f>
        <v>#REF!</v>
      </c>
      <c r="H12" s="176" t="e">
        <f>H11+(G11*(E12*rrDeath1_2))</f>
        <v>#REF!</v>
      </c>
      <c r="I12" s="177" t="e">
        <f t="shared" si="0"/>
        <v>#REF!</v>
      </c>
      <c r="J12" s="153">
        <f t="shared" ref="J12:J43" si="5">J11/(1+cDR)^cycle</f>
        <v>1139155.0543320046</v>
      </c>
      <c r="K12" s="178" t="e">
        <f t="shared" si="1"/>
        <v>#REF!</v>
      </c>
      <c r="L12" s="179" t="e">
        <f t="shared" ref="L12:L43" si="6">(G12*uPostT)/(1+oDR)^cycle</f>
        <v>#REF!</v>
      </c>
      <c r="M12" s="80"/>
      <c r="N12" s="3"/>
      <c r="O12" s="80"/>
      <c r="P12" s="173">
        <v>1</v>
      </c>
      <c r="Q12" s="165"/>
      <c r="R12" s="174" t="e">
        <f t="shared" ref="R12:R43" si="7">IF(male=0,VLOOKUP(cycle2+age,lifetable,3,1),IF(male=1,VLOOKUP(cycle2+age,lifetable,2,1),"error"))</f>
        <v>#REF!</v>
      </c>
      <c r="S12" s="80"/>
      <c r="T12" s="175" t="e">
        <f t="shared" ref="T12:T61" si="8">$T$10-U12</f>
        <v>#REF!</v>
      </c>
      <c r="U12" s="176" t="e">
        <f>(T11*mr_2*rrDeath1_2)+U11</f>
        <v>#REF!</v>
      </c>
      <c r="V12" s="155" t="e">
        <f t="shared" si="2"/>
        <v>#REF!</v>
      </c>
      <c r="W12" s="180">
        <f t="shared" ref="W12:W43" si="9">W11/(1+cDR)^cycle2</f>
        <v>489516.58753917826</v>
      </c>
      <c r="X12" s="176" t="e">
        <f t="shared" si="3"/>
        <v>#REF!</v>
      </c>
      <c r="Y12" s="179" t="e">
        <f t="shared" ref="Y12:Y43" si="10">(T12*uPostT)/(1+oDR)^cycle2</f>
        <v>#REF!</v>
      </c>
      <c r="Z12" s="80"/>
      <c r="AA12" s="3"/>
      <c r="AB12" s="3"/>
      <c r="AC12" s="3"/>
      <c r="AD12" s="3"/>
      <c r="AE12" s="3"/>
      <c r="AF12" s="3"/>
      <c r="AG12" s="3"/>
      <c r="AH12" s="3"/>
    </row>
    <row r="13" spans="1:34" ht="14.25" customHeight="1" x14ac:dyDescent="0.2">
      <c r="A13" s="3"/>
      <c r="B13" s="80"/>
      <c r="C13" s="173">
        <v>2</v>
      </c>
      <c r="D13" s="165"/>
      <c r="E13" s="174" t="e">
        <f t="shared" si="4"/>
        <v>#REF!</v>
      </c>
      <c r="F13" s="80"/>
      <c r="G13" s="175" t="e">
        <f>$G$10-H13</f>
        <v>#REF!</v>
      </c>
      <c r="H13" s="176" t="e">
        <f>(G12*mr*rrDeath1_2)+H12</f>
        <v>#REF!</v>
      </c>
      <c r="I13" s="177" t="e">
        <f t="shared" si="0"/>
        <v>#REF!</v>
      </c>
      <c r="J13" s="153">
        <f t="shared" si="5"/>
        <v>1133548.4095234671</v>
      </c>
      <c r="K13" s="178" t="e">
        <f t="shared" si="1"/>
        <v>#REF!</v>
      </c>
      <c r="L13" s="179" t="e">
        <f t="shared" si="6"/>
        <v>#REF!</v>
      </c>
      <c r="M13" s="80"/>
      <c r="N13" s="3"/>
      <c r="O13" s="80"/>
      <c r="P13" s="173">
        <v>2</v>
      </c>
      <c r="Q13" s="165"/>
      <c r="R13" s="174" t="e">
        <f t="shared" si="7"/>
        <v>#REF!</v>
      </c>
      <c r="S13" s="80"/>
      <c r="T13" s="175" t="e">
        <f t="shared" si="8"/>
        <v>#REF!</v>
      </c>
      <c r="U13" s="176" t="e">
        <f>(T12*mr_2*rrDeath1_2)+U12</f>
        <v>#REF!</v>
      </c>
      <c r="V13" s="155" t="e">
        <f t="shared" si="2"/>
        <v>#REF!</v>
      </c>
      <c r="W13" s="180">
        <f t="shared" si="9"/>
        <v>487107.30565627519</v>
      </c>
      <c r="X13" s="176" t="e">
        <f t="shared" si="3"/>
        <v>#REF!</v>
      </c>
      <c r="Y13" s="179" t="e">
        <f t="shared" si="10"/>
        <v>#REF!</v>
      </c>
      <c r="Z13" s="80"/>
      <c r="AA13" s="3"/>
      <c r="AB13" s="3"/>
      <c r="AC13" s="3" t="s">
        <v>243</v>
      </c>
      <c r="AD13" s="3"/>
      <c r="AE13" s="3"/>
      <c r="AF13" s="3"/>
      <c r="AG13" s="146">
        <f>'Decision Tree'!N41</f>
        <v>0.81200000000000006</v>
      </c>
      <c r="AH13" s="146">
        <f>'Decision Tree'!N42</f>
        <v>0.76500000000000001</v>
      </c>
    </row>
    <row r="14" spans="1:34" ht="14.25" customHeight="1" x14ac:dyDescent="0.2">
      <c r="A14" s="3"/>
      <c r="B14" s="80"/>
      <c r="C14" s="173">
        <v>3</v>
      </c>
      <c r="D14" s="165"/>
      <c r="E14" s="174" t="e">
        <f t="shared" si="4"/>
        <v>#REF!</v>
      </c>
      <c r="F14" s="80"/>
      <c r="G14" s="175" t="e">
        <f>G10-H14</f>
        <v>#REF!</v>
      </c>
      <c r="H14" s="176" t="e">
        <f>(G13*mr*rrDeath3)+H13</f>
        <v>#REF!</v>
      </c>
      <c r="I14" s="177" t="e">
        <f t="shared" si="0"/>
        <v>#REF!</v>
      </c>
      <c r="J14" s="153">
        <f t="shared" si="5"/>
        <v>1125190.1396156061</v>
      </c>
      <c r="K14" s="178" t="e">
        <f t="shared" si="1"/>
        <v>#REF!</v>
      </c>
      <c r="L14" s="179" t="e">
        <f t="shared" si="6"/>
        <v>#REF!</v>
      </c>
      <c r="M14" s="80"/>
      <c r="N14" s="3"/>
      <c r="O14" s="80"/>
      <c r="P14" s="173">
        <v>3</v>
      </c>
      <c r="Q14" s="165"/>
      <c r="R14" s="174" t="e">
        <f t="shared" si="7"/>
        <v>#REF!</v>
      </c>
      <c r="S14" s="80"/>
      <c r="T14" s="175" t="e">
        <f t="shared" si="8"/>
        <v>#REF!</v>
      </c>
      <c r="U14" s="176" t="e">
        <f>(T13*mr_2*rrDeath3)+U13</f>
        <v>#REF!</v>
      </c>
      <c r="V14" s="155" t="e">
        <f t="shared" si="2"/>
        <v>#REF!</v>
      </c>
      <c r="W14" s="180">
        <f t="shared" si="9"/>
        <v>483515.59814686439</v>
      </c>
      <c r="X14" s="176" t="e">
        <f t="shared" si="3"/>
        <v>#REF!</v>
      </c>
      <c r="Y14" s="179" t="e">
        <f t="shared" si="10"/>
        <v>#REF!</v>
      </c>
      <c r="Z14" s="80"/>
      <c r="AA14" s="3"/>
      <c r="AB14" s="3"/>
      <c r="AC14" s="3"/>
      <c r="AD14" s="3"/>
      <c r="AE14" s="3"/>
      <c r="AF14" s="3"/>
      <c r="AG14" s="3"/>
      <c r="AH14" s="3"/>
    </row>
    <row r="15" spans="1:34" ht="14.25" customHeight="1" x14ac:dyDescent="0.2">
      <c r="A15" s="3"/>
      <c r="B15" s="80"/>
      <c r="C15" s="173">
        <v>4</v>
      </c>
      <c r="D15" s="165"/>
      <c r="E15" s="174" t="e">
        <f t="shared" si="4"/>
        <v>#REF!</v>
      </c>
      <c r="F15" s="80"/>
      <c r="G15" s="175" t="e">
        <f t="shared" ref="G15:G61" si="11">$G$10-H15</f>
        <v>#REF!</v>
      </c>
      <c r="H15" s="176" t="e">
        <f>(G14*mr*rrDeath4)+H14</f>
        <v>#REF!</v>
      </c>
      <c r="I15" s="177" t="e">
        <f t="shared" si="0"/>
        <v>#REF!</v>
      </c>
      <c r="J15" s="153">
        <f t="shared" si="5"/>
        <v>1114141.5701066614</v>
      </c>
      <c r="K15" s="178" t="e">
        <f t="shared" si="1"/>
        <v>#REF!</v>
      </c>
      <c r="L15" s="179" t="e">
        <f t="shared" si="6"/>
        <v>#REF!</v>
      </c>
      <c r="M15" s="80"/>
      <c r="N15" s="3"/>
      <c r="O15" s="80"/>
      <c r="P15" s="173">
        <v>4</v>
      </c>
      <c r="Q15" s="165"/>
      <c r="R15" s="174" t="e">
        <f t="shared" si="7"/>
        <v>#REF!</v>
      </c>
      <c r="S15" s="80"/>
      <c r="T15" s="175" t="e">
        <f t="shared" si="8"/>
        <v>#REF!</v>
      </c>
      <c r="U15" s="176" t="e">
        <f>(T14*mr_2*rrDeath4)+U14</f>
        <v>#REF!</v>
      </c>
      <c r="V15" s="155" t="e">
        <f t="shared" si="2"/>
        <v>#REF!</v>
      </c>
      <c r="W15" s="180">
        <f t="shared" si="9"/>
        <v>478767.81774362549</v>
      </c>
      <c r="X15" s="176" t="e">
        <f t="shared" si="3"/>
        <v>#REF!</v>
      </c>
      <c r="Y15" s="179" t="e">
        <f t="shared" si="10"/>
        <v>#REF!</v>
      </c>
      <c r="Z15" s="80"/>
      <c r="AA15" s="3"/>
      <c r="AB15" s="3"/>
      <c r="AC15" s="3"/>
      <c r="AD15" s="3"/>
      <c r="AE15" s="3"/>
      <c r="AF15" s="3"/>
      <c r="AG15" s="3"/>
      <c r="AH15" s="3"/>
    </row>
    <row r="16" spans="1:34" ht="14.25" customHeight="1" x14ac:dyDescent="0.2">
      <c r="A16" s="3"/>
      <c r="B16" s="80"/>
      <c r="C16" s="173">
        <v>5</v>
      </c>
      <c r="D16" s="165"/>
      <c r="E16" s="174" t="e">
        <f t="shared" si="4"/>
        <v>#REF!</v>
      </c>
      <c r="F16" s="80"/>
      <c r="G16" s="175" t="e">
        <f t="shared" si="11"/>
        <v>#REF!</v>
      </c>
      <c r="H16" s="176" t="e">
        <f>(G15*mr*rrDeath5)+H15</f>
        <v>#REF!</v>
      </c>
      <c r="I16" s="177" t="e">
        <f t="shared" si="0"/>
        <v>#REF!</v>
      </c>
      <c r="J16" s="153">
        <f t="shared" si="5"/>
        <v>1100483.2959767557</v>
      </c>
      <c r="K16" s="178" t="e">
        <f t="shared" si="1"/>
        <v>#REF!</v>
      </c>
      <c r="L16" s="179" t="e">
        <f t="shared" si="6"/>
        <v>#REF!</v>
      </c>
      <c r="M16" s="80"/>
      <c r="N16" s="3"/>
      <c r="O16" s="80"/>
      <c r="P16" s="173">
        <v>5</v>
      </c>
      <c r="Q16" s="165"/>
      <c r="R16" s="174" t="e">
        <f t="shared" si="7"/>
        <v>#REF!</v>
      </c>
      <c r="S16" s="80"/>
      <c r="T16" s="175" t="e">
        <f t="shared" si="8"/>
        <v>#REF!</v>
      </c>
      <c r="U16" s="176" t="e">
        <f>(T15*mr_2*rrDeath5)+U15</f>
        <v>#REF!</v>
      </c>
      <c r="V16" s="155" t="e">
        <f t="shared" si="2"/>
        <v>#REF!</v>
      </c>
      <c r="W16" s="180">
        <f t="shared" si="9"/>
        <v>472898.5976420067</v>
      </c>
      <c r="X16" s="176" t="e">
        <f t="shared" si="3"/>
        <v>#REF!</v>
      </c>
      <c r="Y16" s="179" t="e">
        <f t="shared" si="10"/>
        <v>#REF!</v>
      </c>
      <c r="Z16" s="80"/>
      <c r="AA16" s="3"/>
      <c r="AB16" s="3"/>
      <c r="AC16" s="3"/>
      <c r="AD16" s="3"/>
      <c r="AE16" s="3"/>
      <c r="AF16" s="3"/>
      <c r="AG16" s="3"/>
      <c r="AH16" s="3"/>
    </row>
    <row r="17" spans="1:34" ht="14.25" customHeight="1" x14ac:dyDescent="0.2">
      <c r="A17" s="3"/>
      <c r="B17" s="80"/>
      <c r="C17" s="173">
        <v>6</v>
      </c>
      <c r="D17" s="165"/>
      <c r="E17" s="174" t="e">
        <f t="shared" si="4"/>
        <v>#REF!</v>
      </c>
      <c r="F17" s="80"/>
      <c r="G17" s="175" t="e">
        <f t="shared" si="11"/>
        <v>#REF!</v>
      </c>
      <c r="H17" s="176" t="e">
        <f>(G16*mr*rrDeath6)+H16</f>
        <v>#REF!</v>
      </c>
      <c r="I17" s="177" t="e">
        <f t="shared" si="0"/>
        <v>#REF!</v>
      </c>
      <c r="J17" s="153">
        <f t="shared" si="5"/>
        <v>1084314.2027034638</v>
      </c>
      <c r="K17" s="178" t="e">
        <f t="shared" si="1"/>
        <v>#REF!</v>
      </c>
      <c r="L17" s="179" t="e">
        <f t="shared" si="6"/>
        <v>#REF!</v>
      </c>
      <c r="M17" s="80"/>
      <c r="N17" s="3"/>
      <c r="O17" s="80"/>
      <c r="P17" s="173">
        <v>6</v>
      </c>
      <c r="Q17" s="165"/>
      <c r="R17" s="174" t="e">
        <f t="shared" si="7"/>
        <v>#REF!</v>
      </c>
      <c r="S17" s="80"/>
      <c r="T17" s="175" t="e">
        <f t="shared" si="8"/>
        <v>#REF!</v>
      </c>
      <c r="U17" s="176" t="e">
        <f>(T16*mr_2*rrDeath6)+U16</f>
        <v>#REF!</v>
      </c>
      <c r="V17" s="155" t="e">
        <f t="shared" si="2"/>
        <v>#REF!</v>
      </c>
      <c r="W17" s="180">
        <f t="shared" si="9"/>
        <v>465950.43081199966</v>
      </c>
      <c r="X17" s="176" t="e">
        <f t="shared" si="3"/>
        <v>#REF!</v>
      </c>
      <c r="Y17" s="179" t="e">
        <f t="shared" si="10"/>
        <v>#REF!</v>
      </c>
      <c r="Z17" s="80"/>
      <c r="AA17" s="3"/>
      <c r="AB17" s="3"/>
      <c r="AC17" s="3"/>
      <c r="AD17" s="3"/>
      <c r="AE17" s="3"/>
      <c r="AF17" s="3"/>
      <c r="AG17" s="3"/>
      <c r="AH17" s="3"/>
    </row>
    <row r="18" spans="1:34" ht="14.25" customHeight="1" x14ac:dyDescent="0.2">
      <c r="A18" s="3"/>
      <c r="B18" s="80"/>
      <c r="C18" s="173">
        <v>7</v>
      </c>
      <c r="D18" s="165"/>
      <c r="E18" s="174" t="e">
        <f t="shared" si="4"/>
        <v>#REF!</v>
      </c>
      <c r="F18" s="80"/>
      <c r="G18" s="175" t="e">
        <f t="shared" si="11"/>
        <v>#REF!</v>
      </c>
      <c r="H18" s="176" t="e">
        <f>(G17*mr*rrDeath7)+H17</f>
        <v>#REF!</v>
      </c>
      <c r="I18" s="177" t="e">
        <f t="shared" si="0"/>
        <v>#REF!</v>
      </c>
      <c r="J18" s="153">
        <f t="shared" si="5"/>
        <v>1065750.2742179797</v>
      </c>
      <c r="K18" s="178" t="e">
        <f t="shared" si="1"/>
        <v>#REF!</v>
      </c>
      <c r="L18" s="179" t="e">
        <f t="shared" si="6"/>
        <v>#REF!</v>
      </c>
      <c r="M18" s="80"/>
      <c r="N18" s="3"/>
      <c r="O18" s="80"/>
      <c r="P18" s="173">
        <v>7</v>
      </c>
      <c r="Q18" s="165"/>
      <c r="R18" s="174" t="e">
        <f t="shared" si="7"/>
        <v>#REF!</v>
      </c>
      <c r="S18" s="80"/>
      <c r="T18" s="175" t="e">
        <f t="shared" si="8"/>
        <v>#REF!</v>
      </c>
      <c r="U18" s="176" t="e">
        <f>(T17*mr_2*rrDeath7)+U17</f>
        <v>#REF!</v>
      </c>
      <c r="V18" s="155" t="e">
        <f t="shared" si="2"/>
        <v>#REF!</v>
      </c>
      <c r="W18" s="180">
        <f t="shared" si="9"/>
        <v>457973.15775423811</v>
      </c>
      <c r="X18" s="176" t="e">
        <f t="shared" si="3"/>
        <v>#REF!</v>
      </c>
      <c r="Y18" s="179" t="e">
        <f t="shared" si="10"/>
        <v>#REF!</v>
      </c>
      <c r="Z18" s="80"/>
      <c r="AA18" s="3"/>
      <c r="AB18" s="3"/>
      <c r="AC18" s="3"/>
      <c r="AD18" s="3"/>
      <c r="AE18" s="3"/>
      <c r="AF18" s="3"/>
      <c r="AG18" s="3"/>
      <c r="AH18" s="3"/>
    </row>
    <row r="19" spans="1:34" ht="14.25" customHeight="1" x14ac:dyDescent="0.2">
      <c r="A19" s="3"/>
      <c r="B19" s="80"/>
      <c r="C19" s="173">
        <v>8</v>
      </c>
      <c r="D19" s="165"/>
      <c r="E19" s="174" t="e">
        <f t="shared" si="4"/>
        <v>#REF!</v>
      </c>
      <c r="F19" s="80"/>
      <c r="G19" s="175" t="e">
        <f t="shared" si="11"/>
        <v>#REF!</v>
      </c>
      <c r="H19" s="176" t="e">
        <f>(G18*mr*rrDeath8)+H18</f>
        <v>#REF!</v>
      </c>
      <c r="I19" s="177" t="e">
        <f t="shared" si="0"/>
        <v>#REF!</v>
      </c>
      <c r="J19" s="153">
        <f t="shared" si="5"/>
        <v>1044923.2078998762</v>
      </c>
      <c r="K19" s="178" t="e">
        <f t="shared" si="1"/>
        <v>#REF!</v>
      </c>
      <c r="L19" s="179" t="e">
        <f t="shared" si="6"/>
        <v>#REF!</v>
      </c>
      <c r="M19" s="80"/>
      <c r="N19" s="3"/>
      <c r="O19" s="80"/>
      <c r="P19" s="173">
        <v>8</v>
      </c>
      <c r="Q19" s="165"/>
      <c r="R19" s="174" t="e">
        <f t="shared" si="7"/>
        <v>#REF!</v>
      </c>
      <c r="S19" s="80"/>
      <c r="T19" s="175" t="e">
        <f t="shared" si="8"/>
        <v>#REF!</v>
      </c>
      <c r="U19" s="176" t="e">
        <f>(T18*mr_2*rrDeath8)+U18</f>
        <v>#REF!</v>
      </c>
      <c r="V19" s="155" t="e">
        <f t="shared" si="2"/>
        <v>#REF!</v>
      </c>
      <c r="W19" s="180">
        <f t="shared" si="9"/>
        <v>449023.37133691087</v>
      </c>
      <c r="X19" s="176" t="e">
        <f t="shared" si="3"/>
        <v>#REF!</v>
      </c>
      <c r="Y19" s="179" t="e">
        <f t="shared" si="10"/>
        <v>#REF!</v>
      </c>
      <c r="Z19" s="80"/>
      <c r="AA19" s="3"/>
      <c r="AB19" s="3"/>
      <c r="AC19" s="3"/>
      <c r="AD19" s="3"/>
      <c r="AE19" s="3"/>
      <c r="AF19" s="3"/>
      <c r="AG19" s="3"/>
      <c r="AH19" s="3"/>
    </row>
    <row r="20" spans="1:34" ht="14.25" customHeight="1" x14ac:dyDescent="0.2">
      <c r="A20" s="3"/>
      <c r="B20" s="80"/>
      <c r="C20" s="173">
        <v>9</v>
      </c>
      <c r="D20" s="165"/>
      <c r="E20" s="174" t="e">
        <f t="shared" si="4"/>
        <v>#REF!</v>
      </c>
      <c r="F20" s="80"/>
      <c r="G20" s="175" t="e">
        <f t="shared" si="11"/>
        <v>#REF!</v>
      </c>
      <c r="H20" s="176" t="e">
        <f>(G19*mr*rrDeath9)+H19</f>
        <v>#REF!</v>
      </c>
      <c r="I20" s="177" t="e">
        <f t="shared" si="0"/>
        <v>#REF!</v>
      </c>
      <c r="J20" s="153">
        <f t="shared" si="5"/>
        <v>1021978.8597375222</v>
      </c>
      <c r="K20" s="178" t="e">
        <f t="shared" si="1"/>
        <v>#REF!</v>
      </c>
      <c r="L20" s="179" t="e">
        <f t="shared" si="6"/>
        <v>#REF!</v>
      </c>
      <c r="M20" s="80"/>
      <c r="N20" s="3"/>
      <c r="O20" s="80"/>
      <c r="P20" s="173">
        <v>9</v>
      </c>
      <c r="Q20" s="165"/>
      <c r="R20" s="174" t="e">
        <f t="shared" si="7"/>
        <v>#REF!</v>
      </c>
      <c r="S20" s="80"/>
      <c r="T20" s="175" t="e">
        <f t="shared" si="8"/>
        <v>#REF!</v>
      </c>
      <c r="U20" s="176" t="e">
        <f>(T19*mr_2*rrDeath9)+U19</f>
        <v>#REF!</v>
      </c>
      <c r="V20" s="155" t="e">
        <f t="shared" si="2"/>
        <v>#REF!</v>
      </c>
      <c r="W20" s="180">
        <f t="shared" si="9"/>
        <v>439163.74865162815</v>
      </c>
      <c r="X20" s="176" t="e">
        <f t="shared" si="3"/>
        <v>#REF!</v>
      </c>
      <c r="Y20" s="179" t="e">
        <f t="shared" si="10"/>
        <v>#REF!</v>
      </c>
      <c r="Z20" s="80"/>
      <c r="AA20" s="3"/>
      <c r="AB20" s="3"/>
      <c r="AC20" s="3"/>
      <c r="AD20" s="3"/>
      <c r="AE20" s="3"/>
      <c r="AF20" s="3"/>
      <c r="AG20" s="3"/>
      <c r="AH20" s="3"/>
    </row>
    <row r="21" spans="1:34" ht="14.25" customHeight="1" x14ac:dyDescent="0.2">
      <c r="A21" s="3"/>
      <c r="B21" s="80"/>
      <c r="C21" s="173">
        <v>10</v>
      </c>
      <c r="D21" s="165"/>
      <c r="E21" s="174" t="e">
        <f t="shared" si="4"/>
        <v>#REF!</v>
      </c>
      <c r="F21" s="80"/>
      <c r="G21" s="175" t="e">
        <f t="shared" si="11"/>
        <v>#REF!</v>
      </c>
      <c r="H21" s="176" t="e">
        <f>(G20*mr*rrDeath10)+H20</f>
        <v>#REF!</v>
      </c>
      <c r="I21" s="177" t="e">
        <f t="shared" si="0"/>
        <v>#REF!</v>
      </c>
      <c r="J21" s="153">
        <f t="shared" si="5"/>
        <v>997075.54531436518</v>
      </c>
      <c r="K21" s="178" t="e">
        <f t="shared" si="1"/>
        <v>#REF!</v>
      </c>
      <c r="L21" s="179" t="e">
        <f t="shared" si="6"/>
        <v>#REF!</v>
      </c>
      <c r="M21" s="80"/>
      <c r="N21" s="3"/>
      <c r="O21" s="80"/>
      <c r="P21" s="173">
        <v>10</v>
      </c>
      <c r="Q21" s="165"/>
      <c r="R21" s="174" t="e">
        <f t="shared" si="7"/>
        <v>#REF!</v>
      </c>
      <c r="S21" s="80"/>
      <c r="T21" s="175" t="e">
        <f t="shared" si="8"/>
        <v>#REF!</v>
      </c>
      <c r="U21" s="176" t="e">
        <f>(T20*mr_2*rrDeath10)+U20</f>
        <v>#REF!</v>
      </c>
      <c r="V21" s="155" t="e">
        <f t="shared" si="2"/>
        <v>#REF!</v>
      </c>
      <c r="W21" s="180">
        <f t="shared" si="9"/>
        <v>428462.32091492065</v>
      </c>
      <c r="X21" s="176" t="e">
        <f t="shared" si="3"/>
        <v>#REF!</v>
      </c>
      <c r="Y21" s="179" t="e">
        <f t="shared" si="10"/>
        <v>#REF!</v>
      </c>
      <c r="Z21" s="80"/>
      <c r="AA21" s="3"/>
      <c r="AB21" s="3"/>
      <c r="AC21" s="3"/>
      <c r="AD21" s="3"/>
      <c r="AE21" s="3"/>
      <c r="AF21" s="3"/>
      <c r="AG21" s="3"/>
      <c r="AH21" s="3"/>
    </row>
    <row r="22" spans="1:34" ht="14.25" customHeight="1" x14ac:dyDescent="0.2">
      <c r="A22" s="3"/>
      <c r="B22" s="80"/>
      <c r="C22" s="173">
        <v>11</v>
      </c>
      <c r="D22" s="165"/>
      <c r="E22" s="174" t="e">
        <f t="shared" si="4"/>
        <v>#REF!</v>
      </c>
      <c r="F22" s="80"/>
      <c r="G22" s="175" t="e">
        <f t="shared" si="11"/>
        <v>#REF!</v>
      </c>
      <c r="H22" s="176" t="e">
        <f>(G21*mr*rrDeath11)+H21</f>
        <v>#REF!</v>
      </c>
      <c r="I22" s="177" t="e">
        <f t="shared" si="0"/>
        <v>#REF!</v>
      </c>
      <c r="J22" s="153">
        <f t="shared" si="5"/>
        <v>970382.2242708035</v>
      </c>
      <c r="K22" s="178" t="e">
        <f t="shared" si="1"/>
        <v>#REF!</v>
      </c>
      <c r="L22" s="179" t="e">
        <f t="shared" si="6"/>
        <v>#REF!</v>
      </c>
      <c r="M22" s="80"/>
      <c r="N22" s="3"/>
      <c r="O22" s="80"/>
      <c r="P22" s="173">
        <v>11</v>
      </c>
      <c r="Q22" s="165"/>
      <c r="R22" s="174" t="e">
        <f t="shared" si="7"/>
        <v>#REF!</v>
      </c>
      <c r="S22" s="80"/>
      <c r="T22" s="175" t="e">
        <f t="shared" si="8"/>
        <v>#REF!</v>
      </c>
      <c r="U22" s="176" t="e">
        <f>(T21*mr_2*rrDeath11)+U21</f>
        <v>#REF!</v>
      </c>
      <c r="V22" s="155" t="e">
        <f t="shared" si="2"/>
        <v>#REF!</v>
      </c>
      <c r="W22" s="180">
        <f t="shared" si="9"/>
        <v>416991.69329698471</v>
      </c>
      <c r="X22" s="176" t="e">
        <f t="shared" si="3"/>
        <v>#REF!</v>
      </c>
      <c r="Y22" s="179" t="e">
        <f t="shared" si="10"/>
        <v>#REF!</v>
      </c>
      <c r="Z22" s="80"/>
      <c r="AA22" s="3"/>
      <c r="AB22" s="3"/>
      <c r="AC22" s="3"/>
      <c r="AD22" s="3"/>
      <c r="AE22" s="3"/>
      <c r="AF22" s="3"/>
      <c r="AG22" s="3"/>
      <c r="AH22" s="3"/>
    </row>
    <row r="23" spans="1:34" ht="14.25" customHeight="1" x14ac:dyDescent="0.2">
      <c r="A23" s="3"/>
      <c r="B23" s="80"/>
      <c r="C23" s="173">
        <v>12</v>
      </c>
      <c r="D23" s="165"/>
      <c r="E23" s="174" t="e">
        <f t="shared" si="4"/>
        <v>#REF!</v>
      </c>
      <c r="F23" s="80"/>
      <c r="G23" s="175" t="e">
        <f t="shared" si="11"/>
        <v>#REF!</v>
      </c>
      <c r="H23" s="176" t="e">
        <f>(G22*mr*rrDeath12)+H22</f>
        <v>#REF!</v>
      </c>
      <c r="I23" s="177" t="e">
        <f t="shared" si="0"/>
        <v>#REF!</v>
      </c>
      <c r="J23" s="153">
        <f t="shared" si="5"/>
        <v>942076.59730361192</v>
      </c>
      <c r="K23" s="178" t="e">
        <f t="shared" si="1"/>
        <v>#REF!</v>
      </c>
      <c r="L23" s="179" t="e">
        <f t="shared" si="6"/>
        <v>#REF!</v>
      </c>
      <c r="M23" s="80"/>
      <c r="N23" s="3"/>
      <c r="O23" s="80"/>
      <c r="P23" s="173">
        <v>12</v>
      </c>
      <c r="Q23" s="165"/>
      <c r="R23" s="174" t="e">
        <f t="shared" si="7"/>
        <v>#REF!</v>
      </c>
      <c r="S23" s="80"/>
      <c r="T23" s="175" t="e">
        <f t="shared" si="8"/>
        <v>#REF!</v>
      </c>
      <c r="U23" s="176" t="e">
        <f>(T22*mr_2*rrDeath12)+U22</f>
        <v>#REF!</v>
      </c>
      <c r="V23" s="155" t="e">
        <f t="shared" si="2"/>
        <v>#REF!</v>
      </c>
      <c r="W23" s="180">
        <f t="shared" si="9"/>
        <v>404828.22716614994</v>
      </c>
      <c r="X23" s="176" t="e">
        <f t="shared" si="3"/>
        <v>#REF!</v>
      </c>
      <c r="Y23" s="179" t="e">
        <f t="shared" si="10"/>
        <v>#REF!</v>
      </c>
      <c r="Z23" s="80"/>
      <c r="AA23" s="3"/>
      <c r="AB23" s="3"/>
      <c r="AC23" s="3"/>
      <c r="AD23" s="3"/>
      <c r="AE23" s="3"/>
      <c r="AF23" s="3"/>
      <c r="AG23" s="3"/>
      <c r="AH23" s="3"/>
    </row>
    <row r="24" spans="1:34" ht="14.25" customHeight="1" x14ac:dyDescent="0.2">
      <c r="A24" s="3"/>
      <c r="B24" s="80"/>
      <c r="C24" s="173">
        <v>13</v>
      </c>
      <c r="D24" s="165"/>
      <c r="E24" s="174" t="e">
        <f t="shared" si="4"/>
        <v>#REF!</v>
      </c>
      <c r="F24" s="80"/>
      <c r="G24" s="175" t="e">
        <f t="shared" si="11"/>
        <v>#REF!</v>
      </c>
      <c r="H24" s="176" t="e">
        <f>(G23*mr*rrDeath13)+H23</f>
        <v>#REF!</v>
      </c>
      <c r="I24" s="177" t="e">
        <f t="shared" si="0"/>
        <v>#REF!</v>
      </c>
      <c r="J24" s="153">
        <f t="shared" si="5"/>
        <v>912343.14558089606</v>
      </c>
      <c r="K24" s="178" t="e">
        <f t="shared" si="1"/>
        <v>#REF!</v>
      </c>
      <c r="L24" s="179" t="e">
        <f t="shared" si="6"/>
        <v>#REF!</v>
      </c>
      <c r="M24" s="80"/>
      <c r="N24" s="3"/>
      <c r="O24" s="80"/>
      <c r="P24" s="173">
        <v>13</v>
      </c>
      <c r="Q24" s="165"/>
      <c r="R24" s="174" t="e">
        <f t="shared" si="7"/>
        <v>#REF!</v>
      </c>
      <c r="S24" s="80"/>
      <c r="T24" s="175" t="e">
        <f t="shared" si="8"/>
        <v>#REF!</v>
      </c>
      <c r="U24" s="176" t="e">
        <f>(T23*mr_2*rrDeath13)+U23</f>
        <v>#REF!</v>
      </c>
      <c r="V24" s="155" t="e">
        <f t="shared" si="2"/>
        <v>#REF!</v>
      </c>
      <c r="W24" s="180">
        <f t="shared" si="9"/>
        <v>392051.19758820563</v>
      </c>
      <c r="X24" s="176" t="e">
        <f t="shared" si="3"/>
        <v>#REF!</v>
      </c>
      <c r="Y24" s="179" t="e">
        <f t="shared" si="10"/>
        <v>#REF!</v>
      </c>
      <c r="Z24" s="80"/>
      <c r="AA24" s="3"/>
      <c r="AB24" s="3"/>
      <c r="AC24" s="3"/>
      <c r="AD24" s="3"/>
      <c r="AE24" s="3"/>
      <c r="AF24" s="3"/>
      <c r="AG24" s="3"/>
      <c r="AH24" s="3"/>
    </row>
    <row r="25" spans="1:34" ht="14.25" customHeight="1" x14ac:dyDescent="0.2">
      <c r="A25" s="3"/>
      <c r="B25" s="80"/>
      <c r="C25" s="173">
        <v>14</v>
      </c>
      <c r="D25" s="165"/>
      <c r="E25" s="174" t="e">
        <f t="shared" si="4"/>
        <v>#REF!</v>
      </c>
      <c r="F25" s="80"/>
      <c r="G25" s="175" t="e">
        <f t="shared" si="11"/>
        <v>#REF!</v>
      </c>
      <c r="H25" s="176" t="e">
        <f>(G24*mr*rrDeath14)+H24</f>
        <v>#REF!</v>
      </c>
      <c r="I25" s="177" t="e">
        <f t="shared" si="0"/>
        <v>#REF!</v>
      </c>
      <c r="J25" s="153">
        <f t="shared" si="5"/>
        <v>881371.14266627852</v>
      </c>
      <c r="K25" s="178" t="e">
        <f t="shared" si="1"/>
        <v>#REF!</v>
      </c>
      <c r="L25" s="179" t="e">
        <f t="shared" si="6"/>
        <v>#REF!</v>
      </c>
      <c r="M25" s="80"/>
      <c r="N25" s="3"/>
      <c r="O25" s="80"/>
      <c r="P25" s="173">
        <v>14</v>
      </c>
      <c r="Q25" s="165"/>
      <c r="R25" s="174" t="e">
        <f t="shared" si="7"/>
        <v>#REF!</v>
      </c>
      <c r="S25" s="80"/>
      <c r="T25" s="175" t="e">
        <f t="shared" si="8"/>
        <v>#REF!</v>
      </c>
      <c r="U25" s="176" t="e">
        <f>(T24*mr_2*rrDeath14)+U24</f>
        <v>#REF!</v>
      </c>
      <c r="V25" s="155" t="e">
        <f t="shared" si="2"/>
        <v>#REF!</v>
      </c>
      <c r="W25" s="180">
        <f t="shared" si="9"/>
        <v>378741.9390124206</v>
      </c>
      <c r="X25" s="176" t="e">
        <f t="shared" si="3"/>
        <v>#REF!</v>
      </c>
      <c r="Y25" s="179" t="e">
        <f t="shared" si="10"/>
        <v>#REF!</v>
      </c>
      <c r="Z25" s="80"/>
      <c r="AA25" s="3"/>
      <c r="AB25" s="3"/>
      <c r="AC25" s="3"/>
      <c r="AD25" s="3"/>
      <c r="AE25" s="3"/>
      <c r="AF25" s="3"/>
      <c r="AG25" s="3"/>
      <c r="AH25" s="3"/>
    </row>
    <row r="26" spans="1:34" ht="14.25" customHeight="1" x14ac:dyDescent="0.2">
      <c r="A26" s="3"/>
      <c r="B26" s="80"/>
      <c r="C26" s="173">
        <v>15</v>
      </c>
      <c r="D26" s="165"/>
      <c r="E26" s="174" t="e">
        <f t="shared" si="4"/>
        <v>#REF!</v>
      </c>
      <c r="F26" s="80"/>
      <c r="G26" s="175" t="e">
        <f t="shared" si="11"/>
        <v>#REF!</v>
      </c>
      <c r="H26" s="176" t="e">
        <f>(G25*mr*rrDeath15)+H25</f>
        <v>#REF!</v>
      </c>
      <c r="I26" s="177" t="e">
        <f t="shared" si="0"/>
        <v>#REF!</v>
      </c>
      <c r="J26" s="153">
        <f t="shared" si="5"/>
        <v>849352.66867208132</v>
      </c>
      <c r="K26" s="178" t="e">
        <f t="shared" si="1"/>
        <v>#REF!</v>
      </c>
      <c r="L26" s="179" t="e">
        <f t="shared" si="6"/>
        <v>#REF!</v>
      </c>
      <c r="M26" s="80"/>
      <c r="N26" s="3"/>
      <c r="O26" s="80"/>
      <c r="P26" s="173">
        <v>15</v>
      </c>
      <c r="Q26" s="165"/>
      <c r="R26" s="174" t="e">
        <f t="shared" si="7"/>
        <v>#REF!</v>
      </c>
      <c r="S26" s="80"/>
      <c r="T26" s="175" t="e">
        <f t="shared" si="8"/>
        <v>#REF!</v>
      </c>
      <c r="U26" s="176" t="e">
        <f>(T25*mr_2*rrDeath15)+U25</f>
        <v>#REF!</v>
      </c>
      <c r="V26" s="155" t="e">
        <f t="shared" si="2"/>
        <v>#REF!</v>
      </c>
      <c r="W26" s="180">
        <f t="shared" si="9"/>
        <v>364982.99191540555</v>
      </c>
      <c r="X26" s="176" t="e">
        <f t="shared" si="3"/>
        <v>#REF!</v>
      </c>
      <c r="Y26" s="179" t="e">
        <f t="shared" si="10"/>
        <v>#REF!</v>
      </c>
      <c r="Z26" s="80"/>
      <c r="AA26" s="3"/>
      <c r="AB26" s="3"/>
      <c r="AC26" s="3"/>
      <c r="AD26" s="3"/>
      <c r="AE26" s="3"/>
      <c r="AF26" s="3"/>
      <c r="AG26" s="3"/>
      <c r="AH26" s="3"/>
    </row>
    <row r="27" spans="1:34" ht="14.25" customHeight="1" x14ac:dyDescent="0.2">
      <c r="A27" s="3"/>
      <c r="B27" s="80"/>
      <c r="C27" s="173">
        <v>16</v>
      </c>
      <c r="D27" s="165"/>
      <c r="E27" s="174" t="e">
        <f t="shared" si="4"/>
        <v>#REF!</v>
      </c>
      <c r="F27" s="80"/>
      <c r="G27" s="175" t="e">
        <f t="shared" ca="1" si="11"/>
        <v>#VALUE!</v>
      </c>
      <c r="H27" s="176" t="str">
        <f ca="1">IFERROR(__xludf.DUMMYFUNCTION("(G26*SINGLE(mr)*SINGLE(rrDeath16))+H26"),"#REF!")</f>
        <v>#REF!</v>
      </c>
      <c r="I27" s="177" t="e">
        <f t="shared" ca="1" si="0"/>
        <v>#VALUE!</v>
      </c>
      <c r="J27" s="153">
        <f t="shared" si="5"/>
        <v>816480.65542228031</v>
      </c>
      <c r="K27" s="178" t="e">
        <f t="shared" ca="1" si="1"/>
        <v>#VALUE!</v>
      </c>
      <c r="L27" s="179" t="e">
        <f t="shared" ca="1" si="6"/>
        <v>#VALUE!</v>
      </c>
      <c r="M27" s="80"/>
      <c r="N27" s="3"/>
      <c r="O27" s="80"/>
      <c r="P27" s="173">
        <v>16</v>
      </c>
      <c r="Q27" s="165"/>
      <c r="R27" s="174" t="e">
        <f t="shared" si="7"/>
        <v>#REF!</v>
      </c>
      <c r="S27" s="80"/>
      <c r="T27" s="175" t="e">
        <f t="shared" si="8"/>
        <v>#REF!</v>
      </c>
      <c r="U27" s="176" t="e">
        <f t="shared" ref="U27:U61" si="12">(T26*mr_2*rrDeath16)+U26</f>
        <v>#REF!</v>
      </c>
      <c r="V27" s="155" t="e">
        <f t="shared" si="2"/>
        <v>#REF!</v>
      </c>
      <c r="W27" s="180">
        <f t="shared" si="9"/>
        <v>350857.26277046389</v>
      </c>
      <c r="X27" s="176" t="e">
        <f t="shared" si="3"/>
        <v>#REF!</v>
      </c>
      <c r="Y27" s="179" t="e">
        <f t="shared" si="10"/>
        <v>#REF!</v>
      </c>
      <c r="Z27" s="80"/>
      <c r="AA27" s="3"/>
      <c r="AB27" s="3"/>
      <c r="AC27" s="3"/>
      <c r="AD27" s="3"/>
      <c r="AE27" s="3"/>
      <c r="AF27" s="3"/>
      <c r="AG27" s="3"/>
      <c r="AH27" s="3"/>
    </row>
    <row r="28" spans="1:34" ht="14.25" customHeight="1" x14ac:dyDescent="0.2">
      <c r="A28" s="3"/>
      <c r="B28" s="80"/>
      <c r="C28" s="173">
        <v>17</v>
      </c>
      <c r="D28" s="165"/>
      <c r="E28" s="174" t="e">
        <f t="shared" si="4"/>
        <v>#REF!</v>
      </c>
      <c r="F28" s="80"/>
      <c r="G28" s="175" t="e">
        <f t="shared" ca="1" si="11"/>
        <v>#VALUE!</v>
      </c>
      <c r="H28" s="176" t="str">
        <f ca="1">IFERROR(__xludf.DUMMYFUNCTION("(G27*SINGLE(mr)*SINGLE(rrDeath16))+H27"),"#REF!")</f>
        <v>#REF!</v>
      </c>
      <c r="I28" s="177" t="e">
        <f t="shared" ca="1" si="0"/>
        <v>#VALUE!</v>
      </c>
      <c r="J28" s="153">
        <f t="shared" si="5"/>
        <v>782946.98993954016</v>
      </c>
      <c r="K28" s="178" t="e">
        <f t="shared" ca="1" si="1"/>
        <v>#VALUE!</v>
      </c>
      <c r="L28" s="179" t="e">
        <f t="shared" ca="1" si="6"/>
        <v>#VALUE!</v>
      </c>
      <c r="M28" s="80"/>
      <c r="N28" s="3"/>
      <c r="O28" s="80"/>
      <c r="P28" s="173">
        <v>17</v>
      </c>
      <c r="Q28" s="165"/>
      <c r="R28" s="174" t="e">
        <f t="shared" si="7"/>
        <v>#REF!</v>
      </c>
      <c r="S28" s="80"/>
      <c r="T28" s="175" t="e">
        <f t="shared" si="8"/>
        <v>#REF!</v>
      </c>
      <c r="U28" s="176" t="e">
        <f t="shared" si="12"/>
        <v>#REF!</v>
      </c>
      <c r="V28" s="155" t="e">
        <f t="shared" si="2"/>
        <v>#REF!</v>
      </c>
      <c r="W28" s="180">
        <f t="shared" si="9"/>
        <v>336447.20907990891</v>
      </c>
      <c r="X28" s="176" t="e">
        <f t="shared" si="3"/>
        <v>#REF!</v>
      </c>
      <c r="Y28" s="179" t="e">
        <f t="shared" si="10"/>
        <v>#REF!</v>
      </c>
      <c r="Z28" s="80"/>
      <c r="AA28" s="3"/>
      <c r="AB28" s="3"/>
      <c r="AC28" s="3"/>
      <c r="AD28" s="3"/>
      <c r="AE28" s="3"/>
      <c r="AF28" s="3"/>
      <c r="AG28" s="3"/>
      <c r="AH28" s="3"/>
    </row>
    <row r="29" spans="1:34" ht="14.25" customHeight="1" x14ac:dyDescent="0.2">
      <c r="A29" s="3"/>
      <c r="B29" s="80"/>
      <c r="C29" s="173">
        <v>18</v>
      </c>
      <c r="D29" s="165"/>
      <c r="E29" s="174" t="e">
        <f t="shared" si="4"/>
        <v>#REF!</v>
      </c>
      <c r="F29" s="80"/>
      <c r="G29" s="175" t="e">
        <f t="shared" ca="1" si="11"/>
        <v>#VALUE!</v>
      </c>
      <c r="H29" s="176" t="str">
        <f ca="1">IFERROR(__xludf.DUMMYFUNCTION("(G28*SINGLE(mr)*SINGLE(rrDeath16))+H28"),"#REF!")</f>
        <v>#REF!</v>
      </c>
      <c r="I29" s="177" t="e">
        <f t="shared" ca="1" si="0"/>
        <v>#VALUE!</v>
      </c>
      <c r="J29" s="153">
        <f t="shared" si="5"/>
        <v>748940.70162584784</v>
      </c>
      <c r="K29" s="178" t="e">
        <f t="shared" ca="1" si="1"/>
        <v>#VALUE!</v>
      </c>
      <c r="L29" s="179" t="e">
        <f t="shared" ca="1" si="6"/>
        <v>#VALUE!</v>
      </c>
      <c r="M29" s="80"/>
      <c r="N29" s="3"/>
      <c r="O29" s="80"/>
      <c r="P29" s="173">
        <v>18</v>
      </c>
      <c r="Q29" s="165"/>
      <c r="R29" s="174" t="e">
        <f t="shared" si="7"/>
        <v>#REF!</v>
      </c>
      <c r="S29" s="80"/>
      <c r="T29" s="175" t="e">
        <f t="shared" si="8"/>
        <v>#REF!</v>
      </c>
      <c r="U29" s="176" t="e">
        <f t="shared" si="12"/>
        <v>#REF!</v>
      </c>
      <c r="V29" s="155" t="e">
        <f t="shared" si="2"/>
        <v>#REF!</v>
      </c>
      <c r="W29" s="180">
        <f t="shared" si="9"/>
        <v>321834.06037211197</v>
      </c>
      <c r="X29" s="176" t="e">
        <f t="shared" si="3"/>
        <v>#REF!</v>
      </c>
      <c r="Y29" s="179" t="e">
        <f t="shared" si="10"/>
        <v>#REF!</v>
      </c>
      <c r="Z29" s="80"/>
      <c r="AA29" s="3"/>
      <c r="AB29" s="3"/>
      <c r="AC29" s="3"/>
      <c r="AD29" s="3"/>
      <c r="AE29" s="3"/>
      <c r="AF29" s="3"/>
      <c r="AG29" s="3"/>
      <c r="AH29" s="3"/>
    </row>
    <row r="30" spans="1:34" ht="14.25" customHeight="1" x14ac:dyDescent="0.2">
      <c r="A30" s="3"/>
      <c r="B30" s="80"/>
      <c r="C30" s="173">
        <v>19</v>
      </c>
      <c r="D30" s="165"/>
      <c r="E30" s="174" t="e">
        <f t="shared" si="4"/>
        <v>#REF!</v>
      </c>
      <c r="F30" s="80"/>
      <c r="G30" s="175" t="e">
        <f t="shared" ca="1" si="11"/>
        <v>#VALUE!</v>
      </c>
      <c r="H30" s="176" t="str">
        <f ca="1">IFERROR(__xludf.DUMMYFUNCTION("(G29*SINGLE(mr)*SINGLE(rrDeath16))+H29"),"#REF!")</f>
        <v>#REF!</v>
      </c>
      <c r="I30" s="177" t="e">
        <f t="shared" ca="1" si="0"/>
        <v>#VALUE!</v>
      </c>
      <c r="J30" s="153">
        <f t="shared" si="5"/>
        <v>714646.25614217261</v>
      </c>
      <c r="K30" s="178" t="e">
        <f t="shared" ca="1" si="1"/>
        <v>#VALUE!</v>
      </c>
      <c r="L30" s="179" t="e">
        <f t="shared" ca="1" si="6"/>
        <v>#VALUE!</v>
      </c>
      <c r="M30" s="80"/>
      <c r="N30" s="3"/>
      <c r="O30" s="80"/>
      <c r="P30" s="173">
        <v>19</v>
      </c>
      <c r="Q30" s="165"/>
      <c r="R30" s="174" t="e">
        <f t="shared" si="7"/>
        <v>#REF!</v>
      </c>
      <c r="S30" s="80"/>
      <c r="T30" s="175" t="e">
        <f t="shared" si="8"/>
        <v>#REF!</v>
      </c>
      <c r="U30" s="176" t="e">
        <f t="shared" si="12"/>
        <v>#REF!</v>
      </c>
      <c r="V30" s="155" t="e">
        <f t="shared" si="2"/>
        <v>#REF!</v>
      </c>
      <c r="W30" s="180">
        <f t="shared" si="9"/>
        <v>307097.08504915092</v>
      </c>
      <c r="X30" s="176" t="e">
        <f t="shared" si="3"/>
        <v>#REF!</v>
      </c>
      <c r="Y30" s="179" t="e">
        <f t="shared" si="10"/>
        <v>#REF!</v>
      </c>
      <c r="Z30" s="80"/>
      <c r="AA30" s="3"/>
      <c r="AB30" s="3"/>
      <c r="AC30" s="3"/>
      <c r="AD30" s="3"/>
      <c r="AE30" s="3"/>
      <c r="AF30" s="3"/>
      <c r="AG30" s="3"/>
      <c r="AH30" s="3"/>
    </row>
    <row r="31" spans="1:34" ht="14.25" customHeight="1" x14ac:dyDescent="0.2">
      <c r="A31" s="3"/>
      <c r="B31" s="80"/>
      <c r="C31" s="173">
        <v>20</v>
      </c>
      <c r="D31" s="165"/>
      <c r="E31" s="174" t="e">
        <f t="shared" si="4"/>
        <v>#REF!</v>
      </c>
      <c r="F31" s="80"/>
      <c r="G31" s="175" t="e">
        <f t="shared" ca="1" si="11"/>
        <v>#VALUE!</v>
      </c>
      <c r="H31" s="176" t="str">
        <f ca="1">IFERROR(__xludf.DUMMYFUNCTION("(G30*SINGLE(mr)*SINGLE(rrDeath16))+H30"),"#REF!")</f>
        <v>#REF!</v>
      </c>
      <c r="I31" s="177" t="e">
        <f t="shared" ca="1" si="0"/>
        <v>#VALUE!</v>
      </c>
      <c r="J31" s="153">
        <f t="shared" si="5"/>
        <v>680241.97627619165</v>
      </c>
      <c r="K31" s="178" t="e">
        <f t="shared" ca="1" si="1"/>
        <v>#VALUE!</v>
      </c>
      <c r="L31" s="179" t="e">
        <f t="shared" ca="1" si="6"/>
        <v>#VALUE!</v>
      </c>
      <c r="M31" s="80"/>
      <c r="N31" s="3"/>
      <c r="O31" s="80"/>
      <c r="P31" s="173">
        <v>20</v>
      </c>
      <c r="Q31" s="165"/>
      <c r="R31" s="174" t="e">
        <f t="shared" si="7"/>
        <v>#REF!</v>
      </c>
      <c r="S31" s="80"/>
      <c r="T31" s="175" t="e">
        <f t="shared" si="8"/>
        <v>#REF!</v>
      </c>
      <c r="U31" s="176" t="e">
        <f t="shared" si="12"/>
        <v>#REF!</v>
      </c>
      <c r="V31" s="155" t="e">
        <f t="shared" si="2"/>
        <v>#REF!</v>
      </c>
      <c r="W31" s="180">
        <f t="shared" si="9"/>
        <v>292312.9118036452</v>
      </c>
      <c r="X31" s="176" t="e">
        <f t="shared" si="3"/>
        <v>#REF!</v>
      </c>
      <c r="Y31" s="179" t="e">
        <f t="shared" si="10"/>
        <v>#REF!</v>
      </c>
      <c r="Z31" s="80"/>
      <c r="AA31" s="3"/>
      <c r="AB31" s="3"/>
      <c r="AC31" s="3"/>
      <c r="AD31" s="3"/>
      <c r="AE31" s="3"/>
      <c r="AF31" s="3"/>
      <c r="AG31" s="3"/>
      <c r="AH31" s="3"/>
    </row>
    <row r="32" spans="1:34" ht="14.25" customHeight="1" x14ac:dyDescent="0.2">
      <c r="A32" s="3"/>
      <c r="B32" s="80"/>
      <c r="C32" s="173">
        <v>21</v>
      </c>
      <c r="D32" s="165"/>
      <c r="E32" s="174" t="e">
        <f t="shared" si="4"/>
        <v>#REF!</v>
      </c>
      <c r="F32" s="80"/>
      <c r="G32" s="175" t="e">
        <f t="shared" ca="1" si="11"/>
        <v>#VALUE!</v>
      </c>
      <c r="H32" s="176" t="str">
        <f ca="1">IFERROR(__xludf.DUMMYFUNCTION("(G31*SINGLE(mr)*SINGLE(rrDeath16))+H31"),"#REF!")</f>
        <v>#REF!</v>
      </c>
      <c r="I32" s="177" t="e">
        <f t="shared" ca="1" si="0"/>
        <v>#VALUE!</v>
      </c>
      <c r="J32" s="153">
        <f t="shared" si="5"/>
        <v>645898.60709133651</v>
      </c>
      <c r="K32" s="178" t="e">
        <f t="shared" ca="1" si="1"/>
        <v>#VALUE!</v>
      </c>
      <c r="L32" s="179" t="e">
        <f t="shared" ca="1" si="6"/>
        <v>#VALUE!</v>
      </c>
      <c r="M32" s="80"/>
      <c r="N32" s="3"/>
      <c r="O32" s="80"/>
      <c r="P32" s="173">
        <v>21</v>
      </c>
      <c r="Q32" s="165"/>
      <c r="R32" s="174" t="e">
        <f t="shared" si="7"/>
        <v>#REF!</v>
      </c>
      <c r="S32" s="80"/>
      <c r="T32" s="175" t="e">
        <f t="shared" si="8"/>
        <v>#REF!</v>
      </c>
      <c r="U32" s="176" t="e">
        <f t="shared" si="12"/>
        <v>#REF!</v>
      </c>
      <c r="V32" s="155" t="e">
        <f t="shared" si="2"/>
        <v>#REF!</v>
      </c>
      <c r="W32" s="180">
        <f t="shared" si="9"/>
        <v>277554.91303601762</v>
      </c>
      <c r="X32" s="176" t="e">
        <f t="shared" si="3"/>
        <v>#REF!</v>
      </c>
      <c r="Y32" s="179" t="e">
        <f t="shared" si="10"/>
        <v>#REF!</v>
      </c>
      <c r="Z32" s="80"/>
      <c r="AA32" s="3"/>
      <c r="AB32" s="3"/>
      <c r="AC32" s="3"/>
      <c r="AD32" s="3"/>
      <c r="AE32" s="3"/>
      <c r="AF32" s="3"/>
      <c r="AG32" s="3"/>
      <c r="AH32" s="3"/>
    </row>
    <row r="33" spans="1:34" ht="14.25" customHeight="1" x14ac:dyDescent="0.2">
      <c r="A33" s="3"/>
      <c r="B33" s="80"/>
      <c r="C33" s="173">
        <v>22</v>
      </c>
      <c r="D33" s="165"/>
      <c r="E33" s="174" t="e">
        <f t="shared" si="4"/>
        <v>#REF!</v>
      </c>
      <c r="F33" s="80"/>
      <c r="G33" s="175" t="e">
        <f t="shared" ca="1" si="11"/>
        <v>#VALUE!</v>
      </c>
      <c r="H33" s="176" t="str">
        <f ca="1">IFERROR(__xludf.DUMMYFUNCTION("(G32*SINGLE(mr)*SINGLE(rrDeath16))+H32"),"#REF!")</f>
        <v>#REF!</v>
      </c>
      <c r="I33" s="177" t="e">
        <f t="shared" ca="1" si="0"/>
        <v>#VALUE!</v>
      </c>
      <c r="J33" s="153">
        <f t="shared" si="5"/>
        <v>611778.03945186269</v>
      </c>
      <c r="K33" s="178" t="e">
        <f t="shared" ca="1" si="1"/>
        <v>#VALUE!</v>
      </c>
      <c r="L33" s="179" t="e">
        <f t="shared" ca="1" si="6"/>
        <v>#VALUE!</v>
      </c>
      <c r="M33" s="80"/>
      <c r="N33" s="3"/>
      <c r="O33" s="80"/>
      <c r="P33" s="173">
        <v>22</v>
      </c>
      <c r="Q33" s="165"/>
      <c r="R33" s="174" t="e">
        <f t="shared" si="7"/>
        <v>#REF!</v>
      </c>
      <c r="S33" s="80"/>
      <c r="T33" s="175" t="e">
        <f t="shared" si="8"/>
        <v>#REF!</v>
      </c>
      <c r="U33" s="176" t="e">
        <f t="shared" si="12"/>
        <v>#REF!</v>
      </c>
      <c r="V33" s="155" t="e">
        <f t="shared" si="2"/>
        <v>#REF!</v>
      </c>
      <c r="W33" s="180">
        <f t="shared" si="9"/>
        <v>262892.65632894513</v>
      </c>
      <c r="X33" s="176" t="e">
        <f t="shared" si="3"/>
        <v>#REF!</v>
      </c>
      <c r="Y33" s="179" t="e">
        <f t="shared" si="10"/>
        <v>#REF!</v>
      </c>
      <c r="Z33" s="80"/>
      <c r="AA33" s="3"/>
      <c r="AB33" s="3"/>
      <c r="AC33" s="3"/>
      <c r="AD33" s="3"/>
      <c r="AE33" s="3"/>
      <c r="AF33" s="3"/>
      <c r="AG33" s="3"/>
      <c r="AH33" s="3"/>
    </row>
    <row r="34" spans="1:34" ht="14.25" customHeight="1" x14ac:dyDescent="0.2">
      <c r="A34" s="3"/>
      <c r="B34" s="80"/>
      <c r="C34" s="173">
        <v>23</v>
      </c>
      <c r="D34" s="165"/>
      <c r="E34" s="174" t="e">
        <f t="shared" si="4"/>
        <v>#REF!</v>
      </c>
      <c r="F34" s="80"/>
      <c r="G34" s="175" t="e">
        <f t="shared" ca="1" si="11"/>
        <v>#VALUE!</v>
      </c>
      <c r="H34" s="176" t="str">
        <f ca="1">IFERROR(__xludf.DUMMYFUNCTION("(G33*SINGLE(mr)*SINGLE(rrDeath16))+H33"),"#REF!")</f>
        <v>#REF!</v>
      </c>
      <c r="I34" s="177" t="e">
        <f t="shared" ca="1" si="0"/>
        <v>#VALUE!</v>
      </c>
      <c r="J34" s="153">
        <f t="shared" si="5"/>
        <v>578032.20269550639</v>
      </c>
      <c r="K34" s="178" t="e">
        <f t="shared" ca="1" si="1"/>
        <v>#VALUE!</v>
      </c>
      <c r="L34" s="179" t="e">
        <f t="shared" ca="1" si="6"/>
        <v>#VALUE!</v>
      </c>
      <c r="M34" s="80"/>
      <c r="N34" s="3"/>
      <c r="O34" s="80"/>
      <c r="P34" s="173">
        <v>23</v>
      </c>
      <c r="Q34" s="165"/>
      <c r="R34" s="174" t="e">
        <f t="shared" si="7"/>
        <v>#REF!</v>
      </c>
      <c r="S34" s="80"/>
      <c r="T34" s="175" t="e">
        <f t="shared" si="8"/>
        <v>#REF!</v>
      </c>
      <c r="U34" s="176" t="e">
        <f t="shared" si="12"/>
        <v>#REF!</v>
      </c>
      <c r="V34" s="155" t="e">
        <f t="shared" si="2"/>
        <v>#REF!</v>
      </c>
      <c r="W34" s="180">
        <f t="shared" si="9"/>
        <v>248391.42860774393</v>
      </c>
      <c r="X34" s="176" t="e">
        <f t="shared" si="3"/>
        <v>#REF!</v>
      </c>
      <c r="Y34" s="179" t="e">
        <f t="shared" si="10"/>
        <v>#REF!</v>
      </c>
      <c r="Z34" s="80"/>
      <c r="AA34" s="3"/>
      <c r="AB34" s="3"/>
      <c r="AC34" s="3"/>
      <c r="AD34" s="3"/>
      <c r="AE34" s="3"/>
      <c r="AF34" s="3"/>
      <c r="AG34" s="3"/>
      <c r="AH34" s="3"/>
    </row>
    <row r="35" spans="1:34" ht="14.25" customHeight="1" x14ac:dyDescent="0.2">
      <c r="A35" s="3"/>
      <c r="B35" s="80"/>
      <c r="C35" s="173">
        <v>24</v>
      </c>
      <c r="D35" s="165"/>
      <c r="E35" s="174" t="e">
        <f t="shared" si="4"/>
        <v>#REF!</v>
      </c>
      <c r="F35" s="80"/>
      <c r="G35" s="175" t="e">
        <f t="shared" ca="1" si="11"/>
        <v>#VALUE!</v>
      </c>
      <c r="H35" s="176" t="str">
        <f ca="1">IFERROR(__xludf.DUMMYFUNCTION("(G34*SINGLE(mr)*SINGLE(rrDeath16))+H34"),"#REF!")</f>
        <v>#REF!</v>
      </c>
      <c r="I35" s="177" t="e">
        <f t="shared" ca="1" si="0"/>
        <v>#VALUE!</v>
      </c>
      <c r="J35" s="153">
        <f t="shared" si="5"/>
        <v>544802.13385517686</v>
      </c>
      <c r="K35" s="178" t="e">
        <f t="shared" ca="1" si="1"/>
        <v>#VALUE!</v>
      </c>
      <c r="L35" s="179" t="e">
        <f t="shared" ca="1" si="6"/>
        <v>#VALUE!</v>
      </c>
      <c r="M35" s="80"/>
      <c r="N35" s="3"/>
      <c r="O35" s="80"/>
      <c r="P35" s="173">
        <v>24</v>
      </c>
      <c r="Q35" s="165"/>
      <c r="R35" s="174" t="e">
        <f t="shared" si="7"/>
        <v>#REF!</v>
      </c>
      <c r="S35" s="80"/>
      <c r="T35" s="175" t="e">
        <f t="shared" si="8"/>
        <v>#REF!</v>
      </c>
      <c r="U35" s="176" t="e">
        <f t="shared" si="12"/>
        <v>#REF!</v>
      </c>
      <c r="V35" s="155" t="e">
        <f t="shared" si="2"/>
        <v>#REF!</v>
      </c>
      <c r="W35" s="180">
        <f t="shared" si="9"/>
        <v>234111.83616723213</v>
      </c>
      <c r="X35" s="176" t="e">
        <f t="shared" si="3"/>
        <v>#REF!</v>
      </c>
      <c r="Y35" s="179" t="e">
        <f t="shared" si="10"/>
        <v>#REF!</v>
      </c>
      <c r="Z35" s="80"/>
      <c r="AA35" s="3"/>
      <c r="AB35" s="3"/>
      <c r="AC35" s="3"/>
      <c r="AD35" s="3"/>
      <c r="AE35" s="3"/>
      <c r="AF35" s="3"/>
      <c r="AG35" s="3"/>
      <c r="AH35" s="3"/>
    </row>
    <row r="36" spans="1:34" ht="14.25" customHeight="1" x14ac:dyDescent="0.2">
      <c r="A36" s="3"/>
      <c r="B36" s="80"/>
      <c r="C36" s="173">
        <v>25</v>
      </c>
      <c r="D36" s="165"/>
      <c r="E36" s="174" t="e">
        <f t="shared" si="4"/>
        <v>#REF!</v>
      </c>
      <c r="F36" s="80"/>
      <c r="G36" s="175" t="e">
        <f t="shared" ca="1" si="11"/>
        <v>#VALUE!</v>
      </c>
      <c r="H36" s="176" t="str">
        <f ca="1">IFERROR(__xludf.DUMMYFUNCTION("(G35*SINGLE(mr)*SINGLE(rrDeath16))+H35"),"#REF!")</f>
        <v>#REF!</v>
      </c>
      <c r="I36" s="177" t="e">
        <f t="shared" ca="1" si="0"/>
        <v>#VALUE!</v>
      </c>
      <c r="J36" s="153">
        <f t="shared" si="5"/>
        <v>512217.22748901707</v>
      </c>
      <c r="K36" s="178" t="e">
        <f t="shared" ca="1" si="1"/>
        <v>#VALUE!</v>
      </c>
      <c r="L36" s="179" t="e">
        <f t="shared" ca="1" si="6"/>
        <v>#VALUE!</v>
      </c>
      <c r="M36" s="80"/>
      <c r="N36" s="3"/>
      <c r="O36" s="80"/>
      <c r="P36" s="173">
        <v>25</v>
      </c>
      <c r="Q36" s="165"/>
      <c r="R36" s="174" t="e">
        <f t="shared" si="7"/>
        <v>#REF!</v>
      </c>
      <c r="S36" s="80"/>
      <c r="T36" s="175" t="e">
        <f t="shared" si="8"/>
        <v>#REF!</v>
      </c>
      <c r="U36" s="176" t="e">
        <f t="shared" si="12"/>
        <v>#REF!</v>
      </c>
      <c r="V36" s="155" t="e">
        <f t="shared" si="2"/>
        <v>#REF!</v>
      </c>
      <c r="W36" s="180">
        <f t="shared" si="9"/>
        <v>220109.48230944262</v>
      </c>
      <c r="X36" s="176" t="e">
        <f t="shared" si="3"/>
        <v>#REF!</v>
      </c>
      <c r="Y36" s="179" t="e">
        <f t="shared" si="10"/>
        <v>#REF!</v>
      </c>
      <c r="Z36" s="80"/>
      <c r="AA36" s="3"/>
      <c r="AB36" s="3"/>
      <c r="AC36" s="3"/>
      <c r="AD36" s="3"/>
      <c r="AE36" s="3"/>
      <c r="AF36" s="3"/>
      <c r="AG36" s="3"/>
      <c r="AH36" s="3"/>
    </row>
    <row r="37" spans="1:34" ht="14.25" customHeight="1" x14ac:dyDescent="0.2">
      <c r="A37" s="3"/>
      <c r="B37" s="80"/>
      <c r="C37" s="173">
        <v>26</v>
      </c>
      <c r="D37" s="165"/>
      <c r="E37" s="174" t="e">
        <f t="shared" si="4"/>
        <v>#REF!</v>
      </c>
      <c r="F37" s="80"/>
      <c r="G37" s="175" t="e">
        <f t="shared" ca="1" si="11"/>
        <v>#VALUE!</v>
      </c>
      <c r="H37" s="176" t="str">
        <f ca="1">IFERROR(__xludf.DUMMYFUNCTION("(G36*SINGLE(mr)*SINGLE(rrDeath16))+H36"),"#REF!")</f>
        <v>#REF!</v>
      </c>
      <c r="I37" s="177" t="e">
        <f t="shared" ca="1" si="0"/>
        <v>#VALUE!</v>
      </c>
      <c r="J37" s="153">
        <f t="shared" si="5"/>
        <v>480394.66693462007</v>
      </c>
      <c r="K37" s="178" t="e">
        <f t="shared" ca="1" si="1"/>
        <v>#VALUE!</v>
      </c>
      <c r="L37" s="179" t="e">
        <f t="shared" ca="1" si="6"/>
        <v>#VALUE!</v>
      </c>
      <c r="M37" s="80"/>
      <c r="N37" s="3"/>
      <c r="O37" s="80"/>
      <c r="P37" s="173">
        <v>26</v>
      </c>
      <c r="Q37" s="165"/>
      <c r="R37" s="174" t="e">
        <f t="shared" si="7"/>
        <v>#REF!</v>
      </c>
      <c r="S37" s="80"/>
      <c r="T37" s="175" t="e">
        <f t="shared" si="8"/>
        <v>#REF!</v>
      </c>
      <c r="U37" s="176" t="e">
        <f t="shared" si="12"/>
        <v>#REF!</v>
      </c>
      <c r="V37" s="155" t="e">
        <f t="shared" si="2"/>
        <v>#REF!</v>
      </c>
      <c r="W37" s="180">
        <f t="shared" si="9"/>
        <v>206434.72294274523</v>
      </c>
      <c r="X37" s="176" t="e">
        <f t="shared" si="3"/>
        <v>#REF!</v>
      </c>
      <c r="Y37" s="179" t="e">
        <f t="shared" si="10"/>
        <v>#REF!</v>
      </c>
      <c r="Z37" s="80"/>
      <c r="AA37" s="3"/>
      <c r="AB37" s="3"/>
      <c r="AC37" s="3"/>
      <c r="AD37" s="3"/>
      <c r="AE37" s="3"/>
      <c r="AF37" s="3"/>
      <c r="AG37" s="3"/>
      <c r="AH37" s="3"/>
    </row>
    <row r="38" spans="1:34" ht="14.25" customHeight="1" x14ac:dyDescent="0.2">
      <c r="A38" s="3"/>
      <c r="B38" s="80"/>
      <c r="C38" s="173">
        <v>27</v>
      </c>
      <c r="D38" s="165"/>
      <c r="E38" s="174" t="e">
        <f t="shared" si="4"/>
        <v>#REF!</v>
      </c>
      <c r="F38" s="80"/>
      <c r="G38" s="175" t="e">
        <f t="shared" ca="1" si="11"/>
        <v>#VALUE!</v>
      </c>
      <c r="H38" s="176" t="str">
        <f ca="1">IFERROR(__xludf.DUMMYFUNCTION("(G37*SINGLE(mr)*SINGLE(rrDeath16))+H37"),"#REF!")</f>
        <v>#REF!</v>
      </c>
      <c r="I38" s="177" t="e">
        <f t="shared" ca="1" si="0"/>
        <v>#VALUE!</v>
      </c>
      <c r="J38" s="153">
        <f t="shared" si="5"/>
        <v>449439.03472266957</v>
      </c>
      <c r="K38" s="178" t="e">
        <f t="shared" ca="1" si="1"/>
        <v>#VALUE!</v>
      </c>
      <c r="L38" s="179" t="e">
        <f t="shared" ca="1" si="6"/>
        <v>#VALUE!</v>
      </c>
      <c r="M38" s="80"/>
      <c r="N38" s="3"/>
      <c r="O38" s="80"/>
      <c r="P38" s="173">
        <v>27</v>
      </c>
      <c r="Q38" s="165"/>
      <c r="R38" s="174" t="e">
        <f t="shared" si="7"/>
        <v>#REF!</v>
      </c>
      <c r="S38" s="80"/>
      <c r="T38" s="175" t="e">
        <f t="shared" si="8"/>
        <v>#REF!</v>
      </c>
      <c r="U38" s="176" t="e">
        <f t="shared" si="12"/>
        <v>#REF!</v>
      </c>
      <c r="V38" s="155" t="e">
        <f t="shared" si="2"/>
        <v>#REF!</v>
      </c>
      <c r="W38" s="180">
        <f t="shared" si="9"/>
        <v>193132.49916918029</v>
      </c>
      <c r="X38" s="176" t="e">
        <f t="shared" si="3"/>
        <v>#REF!</v>
      </c>
      <c r="Y38" s="179" t="e">
        <f t="shared" si="10"/>
        <v>#REF!</v>
      </c>
      <c r="Z38" s="80"/>
      <c r="AA38" s="3"/>
      <c r="AB38" s="3"/>
      <c r="AC38" s="3"/>
      <c r="AD38" s="3"/>
      <c r="AE38" s="3"/>
      <c r="AF38" s="3"/>
      <c r="AG38" s="3"/>
      <c r="AH38" s="3"/>
    </row>
    <row r="39" spans="1:34" ht="14.25" customHeight="1" x14ac:dyDescent="0.2">
      <c r="A39" s="3"/>
      <c r="B39" s="80"/>
      <c r="C39" s="173">
        <v>28</v>
      </c>
      <c r="D39" s="165"/>
      <c r="E39" s="174" t="e">
        <f t="shared" si="4"/>
        <v>#REF!</v>
      </c>
      <c r="F39" s="80"/>
      <c r="G39" s="175" t="e">
        <f t="shared" ca="1" si="11"/>
        <v>#VALUE!</v>
      </c>
      <c r="H39" s="176" t="str">
        <f ca="1">IFERROR(__xludf.DUMMYFUNCTION("(G38*SINGLE(mr)*SINGLE(rrDeath16))+H38"),"#REF!")</f>
        <v>#REF!</v>
      </c>
      <c r="I39" s="177" t="e">
        <f t="shared" ca="1" si="0"/>
        <v>#VALUE!</v>
      </c>
      <c r="J39" s="153">
        <f t="shared" si="5"/>
        <v>419442.09702481254</v>
      </c>
      <c r="K39" s="178" t="e">
        <f t="shared" ca="1" si="1"/>
        <v>#VALUE!</v>
      </c>
      <c r="L39" s="179" t="e">
        <f t="shared" ca="1" si="6"/>
        <v>#VALUE!</v>
      </c>
      <c r="M39" s="80"/>
      <c r="N39" s="3"/>
      <c r="O39" s="80"/>
      <c r="P39" s="173">
        <v>28</v>
      </c>
      <c r="Q39" s="165"/>
      <c r="R39" s="174" t="e">
        <f t="shared" si="7"/>
        <v>#REF!</v>
      </c>
      <c r="S39" s="80"/>
      <c r="T39" s="175" t="e">
        <f t="shared" si="8"/>
        <v>#REF!</v>
      </c>
      <c r="U39" s="176" t="e">
        <f t="shared" si="12"/>
        <v>#REF!</v>
      </c>
      <c r="V39" s="155" t="e">
        <f t="shared" si="2"/>
        <v>#REF!</v>
      </c>
      <c r="W39" s="180">
        <f t="shared" si="9"/>
        <v>180242.24465761081</v>
      </c>
      <c r="X39" s="176" t="e">
        <f t="shared" si="3"/>
        <v>#REF!</v>
      </c>
      <c r="Y39" s="179" t="e">
        <f t="shared" si="10"/>
        <v>#REF!</v>
      </c>
      <c r="Z39" s="80"/>
      <c r="AA39" s="3"/>
      <c r="AB39" s="3"/>
      <c r="AC39" s="3"/>
      <c r="AD39" s="3"/>
      <c r="AE39" s="3"/>
      <c r="AF39" s="3"/>
      <c r="AG39" s="3"/>
      <c r="AH39" s="3"/>
    </row>
    <row r="40" spans="1:34" ht="14.25" customHeight="1" x14ac:dyDescent="0.2">
      <c r="A40" s="3"/>
      <c r="B40" s="80"/>
      <c r="C40" s="173">
        <v>29</v>
      </c>
      <c r="D40" s="165"/>
      <c r="E40" s="174" t="e">
        <f t="shared" si="4"/>
        <v>#REF!</v>
      </c>
      <c r="F40" s="80"/>
      <c r="G40" s="175" t="e">
        <f t="shared" ca="1" si="11"/>
        <v>#VALUE!</v>
      </c>
      <c r="H40" s="176" t="str">
        <f ca="1">IFERROR(__xludf.DUMMYFUNCTION("(G39*SINGLE(mr)*SINGLE(rrDeath16))+H39"),"#REF!")</f>
        <v>#REF!</v>
      </c>
      <c r="I40" s="177" t="e">
        <f t="shared" ca="1" si="0"/>
        <v>#VALUE!</v>
      </c>
      <c r="J40" s="153">
        <f t="shared" si="5"/>
        <v>390482.75441868819</v>
      </c>
      <c r="K40" s="178" t="e">
        <f t="shared" ca="1" si="1"/>
        <v>#VALUE!</v>
      </c>
      <c r="L40" s="179" t="e">
        <f t="shared" ca="1" si="6"/>
        <v>#VALUE!</v>
      </c>
      <c r="M40" s="80"/>
      <c r="N40" s="3"/>
      <c r="O40" s="80"/>
      <c r="P40" s="173">
        <v>29</v>
      </c>
      <c r="Q40" s="165"/>
      <c r="R40" s="174" t="e">
        <f t="shared" si="7"/>
        <v>#REF!</v>
      </c>
      <c r="S40" s="80"/>
      <c r="T40" s="175" t="e">
        <f t="shared" si="8"/>
        <v>#REF!</v>
      </c>
      <c r="U40" s="176" t="e">
        <f t="shared" si="12"/>
        <v>#REF!</v>
      </c>
      <c r="V40" s="155" t="e">
        <f t="shared" si="2"/>
        <v>#REF!</v>
      </c>
      <c r="W40" s="180">
        <f t="shared" si="9"/>
        <v>167797.86448651925</v>
      </c>
      <c r="X40" s="176" t="e">
        <f t="shared" si="3"/>
        <v>#REF!</v>
      </c>
      <c r="Y40" s="179" t="e">
        <f t="shared" si="10"/>
        <v>#REF!</v>
      </c>
      <c r="Z40" s="80"/>
      <c r="AA40" s="3"/>
      <c r="AB40" s="3"/>
      <c r="AC40" s="3"/>
      <c r="AD40" s="3"/>
      <c r="AE40" s="3"/>
      <c r="AF40" s="3"/>
      <c r="AG40" s="3"/>
      <c r="AH40" s="3"/>
    </row>
    <row r="41" spans="1:34" ht="14.25" customHeight="1" x14ac:dyDescent="0.2">
      <c r="A41" s="3"/>
      <c r="B41" s="80"/>
      <c r="C41" s="173">
        <v>30</v>
      </c>
      <c r="D41" s="165"/>
      <c r="E41" s="174" t="e">
        <f t="shared" si="4"/>
        <v>#REF!</v>
      </c>
      <c r="F41" s="80"/>
      <c r="G41" s="175" t="e">
        <f t="shared" ca="1" si="11"/>
        <v>#VALUE!</v>
      </c>
      <c r="H41" s="176" t="str">
        <f ca="1">IFERROR(__xludf.DUMMYFUNCTION("(G40*SINGLE(mr)*SINGLE(rrDeath16))+H40"),"#REF!")</f>
        <v>#REF!</v>
      </c>
      <c r="I41" s="177" t="e">
        <f t="shared" ca="1" si="0"/>
        <v>#VALUE!</v>
      </c>
      <c r="J41" s="153">
        <f t="shared" si="5"/>
        <v>362627.14896892617</v>
      </c>
      <c r="K41" s="178" t="e">
        <f t="shared" ca="1" si="1"/>
        <v>#VALUE!</v>
      </c>
      <c r="L41" s="179" t="e">
        <f t="shared" ca="1" si="6"/>
        <v>#VALUE!</v>
      </c>
      <c r="M41" s="80"/>
      <c r="N41" s="3"/>
      <c r="O41" s="80"/>
      <c r="P41" s="173">
        <v>30</v>
      </c>
      <c r="Q41" s="165"/>
      <c r="R41" s="174" t="e">
        <f t="shared" si="7"/>
        <v>#REF!</v>
      </c>
      <c r="S41" s="80"/>
      <c r="T41" s="175" t="e">
        <f t="shared" si="8"/>
        <v>#REF!</v>
      </c>
      <c r="U41" s="176" t="e">
        <f t="shared" si="12"/>
        <v>#REF!</v>
      </c>
      <c r="V41" s="155" t="e">
        <f t="shared" si="2"/>
        <v>#REF!</v>
      </c>
      <c r="W41" s="180">
        <f t="shared" si="9"/>
        <v>155827.78115874855</v>
      </c>
      <c r="X41" s="176" t="e">
        <f t="shared" si="3"/>
        <v>#REF!</v>
      </c>
      <c r="Y41" s="179" t="e">
        <f t="shared" si="10"/>
        <v>#REF!</v>
      </c>
      <c r="Z41" s="80"/>
      <c r="AA41" s="3"/>
      <c r="AB41" s="3"/>
      <c r="AC41" s="3"/>
      <c r="AD41" s="3"/>
      <c r="AE41" s="3"/>
      <c r="AF41" s="3"/>
      <c r="AG41" s="3"/>
      <c r="AH41" s="3"/>
    </row>
    <row r="42" spans="1:34" ht="14.25" customHeight="1" x14ac:dyDescent="0.2">
      <c r="A42" s="3"/>
      <c r="B42" s="80"/>
      <c r="C42" s="173">
        <v>31</v>
      </c>
      <c r="D42" s="165"/>
      <c r="E42" s="174" t="e">
        <f t="shared" si="4"/>
        <v>#REF!</v>
      </c>
      <c r="F42" s="80"/>
      <c r="G42" s="175" t="e">
        <f t="shared" ca="1" si="11"/>
        <v>#VALUE!</v>
      </c>
      <c r="H42" s="176" t="str">
        <f ca="1">IFERROR(__xludf.DUMMYFUNCTION("(G41*SINGLE(mr)*SINGLE(rrDeath16))+H41"),"#REF!")</f>
        <v>#REF!</v>
      </c>
      <c r="I42" s="177" t="e">
        <f t="shared" ca="1" si="0"/>
        <v>#VALUE!</v>
      </c>
      <c r="J42" s="153">
        <f t="shared" si="5"/>
        <v>335928.91567606997</v>
      </c>
      <c r="K42" s="178" t="e">
        <f t="shared" ca="1" si="1"/>
        <v>#VALUE!</v>
      </c>
      <c r="L42" s="179" t="e">
        <f t="shared" ca="1" si="6"/>
        <v>#VALUE!</v>
      </c>
      <c r="M42" s="80"/>
      <c r="N42" s="3"/>
      <c r="O42" s="80"/>
      <c r="P42" s="173">
        <v>31</v>
      </c>
      <c r="Q42" s="165"/>
      <c r="R42" s="174" t="e">
        <f t="shared" si="7"/>
        <v>#REF!</v>
      </c>
      <c r="S42" s="80"/>
      <c r="T42" s="175" t="e">
        <f t="shared" si="8"/>
        <v>#REF!</v>
      </c>
      <c r="U42" s="176" t="e">
        <f t="shared" si="12"/>
        <v>#REF!</v>
      </c>
      <c r="V42" s="155" t="e">
        <f t="shared" si="2"/>
        <v>#REF!</v>
      </c>
      <c r="W42" s="180">
        <f t="shared" si="9"/>
        <v>144355.04265388576</v>
      </c>
      <c r="X42" s="176" t="e">
        <f t="shared" si="3"/>
        <v>#REF!</v>
      </c>
      <c r="Y42" s="179" t="e">
        <f t="shared" si="10"/>
        <v>#REF!</v>
      </c>
      <c r="Z42" s="80"/>
      <c r="AA42" s="3"/>
      <c r="AB42" s="3"/>
      <c r="AC42" s="3"/>
      <c r="AD42" s="3"/>
      <c r="AE42" s="3"/>
      <c r="AF42" s="3"/>
      <c r="AG42" s="3"/>
      <c r="AH42" s="3"/>
    </row>
    <row r="43" spans="1:34" ht="14.25" customHeight="1" x14ac:dyDescent="0.2">
      <c r="A43" s="3"/>
      <c r="B43" s="80"/>
      <c r="C43" s="173">
        <v>32</v>
      </c>
      <c r="D43" s="165"/>
      <c r="E43" s="174" t="e">
        <f t="shared" si="4"/>
        <v>#REF!</v>
      </c>
      <c r="F43" s="80"/>
      <c r="G43" s="175" t="e">
        <f t="shared" ca="1" si="11"/>
        <v>#VALUE!</v>
      </c>
      <c r="H43" s="176" t="str">
        <f ca="1">IFERROR(__xludf.DUMMYFUNCTION("(G42*SINGLE(mr)*SINGLE(rrDeath16))+H42"),"#REF!")</f>
        <v>#REF!</v>
      </c>
      <c r="I43" s="177" t="e">
        <f t="shared" ca="1" si="0"/>
        <v>#VALUE!</v>
      </c>
      <c r="J43" s="153">
        <f t="shared" si="5"/>
        <v>310429.56475531246</v>
      </c>
      <c r="K43" s="178" t="e">
        <f t="shared" ca="1" si="1"/>
        <v>#VALUE!</v>
      </c>
      <c r="L43" s="179" t="e">
        <f t="shared" ca="1" si="6"/>
        <v>#VALUE!</v>
      </c>
      <c r="M43" s="80"/>
      <c r="N43" s="3"/>
      <c r="O43" s="80"/>
      <c r="P43" s="173">
        <v>32</v>
      </c>
      <c r="Q43" s="165"/>
      <c r="R43" s="174" t="e">
        <f t="shared" si="7"/>
        <v>#REF!</v>
      </c>
      <c r="S43" s="80"/>
      <c r="T43" s="175" t="e">
        <f t="shared" si="8"/>
        <v>#REF!</v>
      </c>
      <c r="U43" s="176" t="e">
        <f t="shared" si="12"/>
        <v>#REF!</v>
      </c>
      <c r="V43" s="155" t="e">
        <f t="shared" si="2"/>
        <v>#REF!</v>
      </c>
      <c r="W43" s="180">
        <f t="shared" si="9"/>
        <v>133397.48670070359</v>
      </c>
      <c r="X43" s="176" t="e">
        <f t="shared" si="3"/>
        <v>#REF!</v>
      </c>
      <c r="Y43" s="179" t="e">
        <f t="shared" si="10"/>
        <v>#REF!</v>
      </c>
      <c r="Z43" s="80"/>
      <c r="AA43" s="3"/>
      <c r="AB43" s="3"/>
      <c r="AC43" s="3"/>
      <c r="AD43" s="3"/>
      <c r="AE43" s="3"/>
      <c r="AF43" s="3"/>
      <c r="AG43" s="3"/>
      <c r="AH43" s="3"/>
    </row>
    <row r="44" spans="1:34" ht="14.25" customHeight="1" x14ac:dyDescent="0.2">
      <c r="A44" s="3"/>
      <c r="B44" s="80"/>
      <c r="C44" s="173">
        <v>33</v>
      </c>
      <c r="D44" s="165"/>
      <c r="E44" s="174" t="e">
        <f t="shared" ref="E44:E61" si="13">IF(male=0,VLOOKUP(cycle+age,lifetable,3,1),IF(male=1,VLOOKUP(cycle+age,lifetable,2,1),"error"))</f>
        <v>#REF!</v>
      </c>
      <c r="F44" s="80"/>
      <c r="G44" s="175" t="e">
        <f t="shared" ca="1" si="11"/>
        <v>#VALUE!</v>
      </c>
      <c r="H44" s="176" t="str">
        <f ca="1">IFERROR(__xludf.DUMMYFUNCTION("(G43*SINGLE(mr)*SINGLE(rrDeath16))+H43"),"#REF!")</f>
        <v>#REF!</v>
      </c>
      <c r="I44" s="177" t="e">
        <f t="shared" ca="1" si="0"/>
        <v>#VALUE!</v>
      </c>
      <c r="J44" s="153">
        <f t="shared" ref="J44:J61" si="14">J43/(1+cDR)^cycle</f>
        <v>286158.97998343763</v>
      </c>
      <c r="K44" s="178" t="e">
        <f t="shared" ca="1" si="1"/>
        <v>#VALUE!</v>
      </c>
      <c r="L44" s="179" t="e">
        <f t="shared" ref="L44:L61" ca="1" si="15">(G44*uPostT)/(1+oDR)^cycle</f>
        <v>#VALUE!</v>
      </c>
      <c r="M44" s="80"/>
      <c r="N44" s="3"/>
      <c r="O44" s="80"/>
      <c r="P44" s="173">
        <v>33</v>
      </c>
      <c r="Q44" s="165"/>
      <c r="R44" s="174" t="e">
        <f t="shared" ref="R44:R61" si="16">IF(male=0,VLOOKUP(cycle2+age,lifetable,3,1),IF(male=1,VLOOKUP(cycle2+age,lifetable,2,1),"error"))</f>
        <v>#REF!</v>
      </c>
      <c r="S44" s="80"/>
      <c r="T44" s="175" t="e">
        <f t="shared" si="8"/>
        <v>#REF!</v>
      </c>
      <c r="U44" s="176" t="e">
        <f t="shared" si="12"/>
        <v>#REF!</v>
      </c>
      <c r="V44" s="155" t="e">
        <f t="shared" si="2"/>
        <v>#REF!</v>
      </c>
      <c r="W44" s="180">
        <f t="shared" ref="W44:W61" si="17">W43/(1+cDR)^cycle2</f>
        <v>122967.95492631719</v>
      </c>
      <c r="X44" s="176" t="e">
        <f t="shared" si="3"/>
        <v>#REF!</v>
      </c>
      <c r="Y44" s="179" t="e">
        <f t="shared" ref="Y44:Y61" si="18">(T44*uPostT)/(1+oDR)^cycle2</f>
        <v>#REF!</v>
      </c>
      <c r="Z44" s="80"/>
      <c r="AA44" s="3"/>
      <c r="AB44" s="3"/>
      <c r="AC44" s="3"/>
      <c r="AD44" s="3"/>
      <c r="AE44" s="3"/>
      <c r="AF44" s="3"/>
      <c r="AG44" s="3"/>
      <c r="AH44" s="3"/>
    </row>
    <row r="45" spans="1:34" ht="14.25" customHeight="1" x14ac:dyDescent="0.2">
      <c r="A45" s="3"/>
      <c r="B45" s="80"/>
      <c r="C45" s="173">
        <v>34</v>
      </c>
      <c r="D45" s="165"/>
      <c r="E45" s="174" t="e">
        <f t="shared" si="13"/>
        <v>#REF!</v>
      </c>
      <c r="F45" s="80"/>
      <c r="G45" s="175" t="e">
        <f t="shared" ca="1" si="11"/>
        <v>#VALUE!</v>
      </c>
      <c r="H45" s="176" t="str">
        <f ca="1">IFERROR(__xludf.DUMMYFUNCTION("(G44*SINGLE(mr)*SINGLE(rrDeath16))+H44"),"#REF!")</f>
        <v>#REF!</v>
      </c>
      <c r="I45" s="177" t="e">
        <f t="shared" ca="1" si="0"/>
        <v>#VALUE!</v>
      </c>
      <c r="J45" s="153">
        <f t="shared" si="14"/>
        <v>263136.0174958604</v>
      </c>
      <c r="K45" s="178" t="e">
        <f t="shared" ca="1" si="1"/>
        <v>#VALUE!</v>
      </c>
      <c r="L45" s="179" t="e">
        <f t="shared" ca="1" si="15"/>
        <v>#VALUE!</v>
      </c>
      <c r="M45" s="80"/>
      <c r="N45" s="3"/>
      <c r="O45" s="80"/>
      <c r="P45" s="173">
        <v>34</v>
      </c>
      <c r="Q45" s="165"/>
      <c r="R45" s="174" t="e">
        <f t="shared" si="16"/>
        <v>#REF!</v>
      </c>
      <c r="S45" s="80"/>
      <c r="T45" s="175" t="e">
        <f t="shared" si="8"/>
        <v>#REF!</v>
      </c>
      <c r="U45" s="176" t="e">
        <f t="shared" si="12"/>
        <v>#REF!</v>
      </c>
      <c r="V45" s="155" t="e">
        <f t="shared" si="2"/>
        <v>#REF!</v>
      </c>
      <c r="W45" s="180">
        <f t="shared" si="17"/>
        <v>113074.55017065813</v>
      </c>
      <c r="X45" s="176" t="e">
        <f t="shared" si="3"/>
        <v>#REF!</v>
      </c>
      <c r="Y45" s="179" t="e">
        <f t="shared" si="18"/>
        <v>#REF!</v>
      </c>
      <c r="Z45" s="80"/>
      <c r="AA45" s="3"/>
      <c r="AB45" s="3"/>
      <c r="AC45" s="3"/>
      <c r="AD45" s="3"/>
      <c r="AE45" s="3"/>
      <c r="AF45" s="3"/>
      <c r="AG45" s="3"/>
      <c r="AH45" s="3"/>
    </row>
    <row r="46" spans="1:34" ht="14.25" customHeight="1" x14ac:dyDescent="0.2">
      <c r="A46" s="3"/>
      <c r="B46" s="80"/>
      <c r="C46" s="173">
        <v>35</v>
      </c>
      <c r="D46" s="165"/>
      <c r="E46" s="174" t="e">
        <f t="shared" si="13"/>
        <v>#REF!</v>
      </c>
      <c r="F46" s="80"/>
      <c r="G46" s="175" t="e">
        <f t="shared" ca="1" si="11"/>
        <v>#VALUE!</v>
      </c>
      <c r="H46" s="176" t="str">
        <f ca="1">IFERROR(__xludf.DUMMYFUNCTION("(G45*SINGLE(mr)*SINGLE(rrDeath16))+H45"),"#REF!")</f>
        <v>#REF!</v>
      </c>
      <c r="I46" s="177" t="e">
        <f t="shared" ca="1" si="0"/>
        <v>#VALUE!</v>
      </c>
      <c r="J46" s="153">
        <f t="shared" si="14"/>
        <v>241369.18891783862</v>
      </c>
      <c r="K46" s="178" t="e">
        <f t="shared" ca="1" si="1"/>
        <v>#VALUE!</v>
      </c>
      <c r="L46" s="179" t="e">
        <f t="shared" ca="1" si="15"/>
        <v>#VALUE!</v>
      </c>
      <c r="M46" s="80"/>
      <c r="N46" s="3"/>
      <c r="O46" s="80"/>
      <c r="P46" s="173">
        <v>35</v>
      </c>
      <c r="Q46" s="165"/>
      <c r="R46" s="174" t="e">
        <f t="shared" si="16"/>
        <v>#REF!</v>
      </c>
      <c r="S46" s="80"/>
      <c r="T46" s="175" t="e">
        <f t="shared" si="8"/>
        <v>#REF!</v>
      </c>
      <c r="U46" s="176" t="e">
        <f t="shared" si="12"/>
        <v>#REF!</v>
      </c>
      <c r="V46" s="155" t="e">
        <f t="shared" si="2"/>
        <v>#REF!</v>
      </c>
      <c r="W46" s="180">
        <f t="shared" si="17"/>
        <v>103720.93004094571</v>
      </c>
      <c r="X46" s="176" t="e">
        <f t="shared" si="3"/>
        <v>#REF!</v>
      </c>
      <c r="Y46" s="179" t="e">
        <f t="shared" si="18"/>
        <v>#REF!</v>
      </c>
      <c r="Z46" s="80"/>
      <c r="AA46" s="3"/>
      <c r="AB46" s="3"/>
      <c r="AC46" s="3"/>
      <c r="AD46" s="3"/>
      <c r="AE46" s="3"/>
      <c r="AF46" s="3"/>
      <c r="AG46" s="3"/>
      <c r="AH46" s="3"/>
    </row>
    <row r="47" spans="1:34" ht="14.25" customHeight="1" x14ac:dyDescent="0.2">
      <c r="A47" s="3"/>
      <c r="B47" s="80"/>
      <c r="C47" s="173">
        <v>36</v>
      </c>
      <c r="D47" s="165"/>
      <c r="E47" s="174" t="e">
        <f t="shared" si="13"/>
        <v>#REF!</v>
      </c>
      <c r="F47" s="80"/>
      <c r="G47" s="175" t="e">
        <f t="shared" ca="1" si="11"/>
        <v>#VALUE!</v>
      </c>
      <c r="H47" s="176" t="str">
        <f ca="1">IFERROR(__xludf.DUMMYFUNCTION("(G46*SINGLE(mr)*SINGLE(rrDeath16))+H46"),"#REF!")</f>
        <v>#REF!</v>
      </c>
      <c r="I47" s="177" t="e">
        <f t="shared" ca="1" si="0"/>
        <v>#VALUE!</v>
      </c>
      <c r="J47" s="153">
        <f t="shared" si="14"/>
        <v>220857.41255862472</v>
      </c>
      <c r="K47" s="178" t="e">
        <f t="shared" ca="1" si="1"/>
        <v>#VALUE!</v>
      </c>
      <c r="L47" s="179" t="e">
        <f t="shared" ca="1" si="15"/>
        <v>#VALUE!</v>
      </c>
      <c r="M47" s="80"/>
      <c r="N47" s="3"/>
      <c r="O47" s="80"/>
      <c r="P47" s="173">
        <v>36</v>
      </c>
      <c r="Q47" s="165"/>
      <c r="R47" s="174" t="e">
        <f t="shared" si="16"/>
        <v>#REF!</v>
      </c>
      <c r="S47" s="80"/>
      <c r="T47" s="175" t="e">
        <f t="shared" si="8"/>
        <v>#REF!</v>
      </c>
      <c r="U47" s="176" t="e">
        <f t="shared" si="12"/>
        <v>#REF!</v>
      </c>
      <c r="V47" s="155" t="e">
        <f t="shared" si="2"/>
        <v>#REF!</v>
      </c>
      <c r="W47" s="180">
        <f t="shared" si="17"/>
        <v>94906.629714097682</v>
      </c>
      <c r="X47" s="176" t="e">
        <f t="shared" si="3"/>
        <v>#REF!</v>
      </c>
      <c r="Y47" s="179" t="e">
        <f t="shared" si="18"/>
        <v>#REF!</v>
      </c>
      <c r="Z47" s="80"/>
      <c r="AA47" s="3"/>
      <c r="AB47" s="3"/>
      <c r="AC47" s="3"/>
      <c r="AD47" s="3"/>
      <c r="AE47" s="3"/>
      <c r="AF47" s="3"/>
      <c r="AG47" s="3"/>
      <c r="AH47" s="3"/>
    </row>
    <row r="48" spans="1:34" ht="14.25" customHeight="1" x14ac:dyDescent="0.2">
      <c r="A48" s="3"/>
      <c r="B48" s="80"/>
      <c r="C48" s="173">
        <v>37</v>
      </c>
      <c r="D48" s="165"/>
      <c r="E48" s="174" t="e">
        <f t="shared" si="13"/>
        <v>#REF!</v>
      </c>
      <c r="F48" s="80"/>
      <c r="G48" s="175" t="e">
        <f t="shared" ca="1" si="11"/>
        <v>#VALUE!</v>
      </c>
      <c r="H48" s="176" t="str">
        <f ca="1">IFERROR(__xludf.DUMMYFUNCTION("(G47*SINGLE(mr)*SINGLE(rrDeath16))+H47"),"#REF!")</f>
        <v>#REF!</v>
      </c>
      <c r="I48" s="177" t="e">
        <f t="shared" ca="1" si="0"/>
        <v>#VALUE!</v>
      </c>
      <c r="J48" s="153">
        <f t="shared" si="14"/>
        <v>201590.81656148465</v>
      </c>
      <c r="K48" s="178" t="e">
        <f t="shared" ca="1" si="1"/>
        <v>#VALUE!</v>
      </c>
      <c r="L48" s="179" t="e">
        <f t="shared" ca="1" si="15"/>
        <v>#VALUE!</v>
      </c>
      <c r="M48" s="80"/>
      <c r="N48" s="3"/>
      <c r="O48" s="80"/>
      <c r="P48" s="173">
        <v>37</v>
      </c>
      <c r="Q48" s="165"/>
      <c r="R48" s="174" t="e">
        <f t="shared" si="16"/>
        <v>#REF!</v>
      </c>
      <c r="S48" s="80"/>
      <c r="T48" s="175" t="e">
        <f t="shared" si="8"/>
        <v>#REF!</v>
      </c>
      <c r="U48" s="176" t="e">
        <f t="shared" si="12"/>
        <v>#REF!</v>
      </c>
      <c r="V48" s="155" t="e">
        <f t="shared" si="2"/>
        <v>#REF!</v>
      </c>
      <c r="W48" s="180">
        <f t="shared" si="17"/>
        <v>86627.407065565014</v>
      </c>
      <c r="X48" s="176" t="e">
        <f t="shared" si="3"/>
        <v>#REF!</v>
      </c>
      <c r="Y48" s="179" t="e">
        <f t="shared" si="18"/>
        <v>#REF!</v>
      </c>
      <c r="Z48" s="80"/>
      <c r="AA48" s="3"/>
      <c r="AB48" s="3"/>
      <c r="AC48" s="3"/>
      <c r="AD48" s="3"/>
      <c r="AE48" s="3"/>
      <c r="AF48" s="3"/>
      <c r="AG48" s="3"/>
      <c r="AH48" s="3"/>
    </row>
    <row r="49" spans="1:34" ht="14.25" customHeight="1" x14ac:dyDescent="0.2">
      <c r="A49" s="3"/>
      <c r="B49" s="80"/>
      <c r="C49" s="173">
        <v>38</v>
      </c>
      <c r="D49" s="165"/>
      <c r="E49" s="174" t="e">
        <f t="shared" si="13"/>
        <v>#REF!</v>
      </c>
      <c r="F49" s="80"/>
      <c r="G49" s="175" t="e">
        <f t="shared" ca="1" si="11"/>
        <v>#VALUE!</v>
      </c>
      <c r="H49" s="176" t="str">
        <f ca="1">IFERROR(__xludf.DUMMYFUNCTION("(G48*SINGLE(mr)*SINGLE(rrDeath16))+H48"),"#REF!")</f>
        <v>#REF!</v>
      </c>
      <c r="I49" s="177" t="e">
        <f t="shared" ca="1" si="0"/>
        <v>#VALUE!</v>
      </c>
      <c r="J49" s="153">
        <f t="shared" si="14"/>
        <v>183551.57835736149</v>
      </c>
      <c r="K49" s="178" t="e">
        <f t="shared" ca="1" si="1"/>
        <v>#VALUE!</v>
      </c>
      <c r="L49" s="179" t="e">
        <f t="shared" ca="1" si="15"/>
        <v>#VALUE!</v>
      </c>
      <c r="M49" s="80"/>
      <c r="N49" s="3"/>
      <c r="O49" s="80"/>
      <c r="P49" s="173">
        <v>38</v>
      </c>
      <c r="Q49" s="165"/>
      <c r="R49" s="174" t="e">
        <f t="shared" si="16"/>
        <v>#REF!</v>
      </c>
      <c r="S49" s="80"/>
      <c r="T49" s="175" t="e">
        <f t="shared" si="8"/>
        <v>#REF!</v>
      </c>
      <c r="U49" s="176" t="e">
        <f t="shared" si="12"/>
        <v>#REF!</v>
      </c>
      <c r="V49" s="155" t="e">
        <f t="shared" si="2"/>
        <v>#REF!</v>
      </c>
      <c r="W49" s="180">
        <f t="shared" si="17"/>
        <v>78875.603398533131</v>
      </c>
      <c r="X49" s="176" t="e">
        <f t="shared" si="3"/>
        <v>#REF!</v>
      </c>
      <c r="Y49" s="179" t="e">
        <f t="shared" si="18"/>
        <v>#REF!</v>
      </c>
      <c r="Z49" s="80"/>
      <c r="AA49" s="3"/>
      <c r="AB49" s="3"/>
      <c r="AC49" s="3"/>
      <c r="AD49" s="3"/>
      <c r="AE49" s="3"/>
      <c r="AF49" s="3"/>
      <c r="AG49" s="3"/>
      <c r="AH49" s="3"/>
    </row>
    <row r="50" spans="1:34" ht="14.25" customHeight="1" x14ac:dyDescent="0.2">
      <c r="A50" s="3"/>
      <c r="B50" s="80"/>
      <c r="C50" s="173">
        <v>39</v>
      </c>
      <c r="D50" s="165"/>
      <c r="E50" s="174" t="e">
        <f t="shared" si="13"/>
        <v>#REF!</v>
      </c>
      <c r="F50" s="80"/>
      <c r="G50" s="175" t="e">
        <f t="shared" ca="1" si="11"/>
        <v>#VALUE!</v>
      </c>
      <c r="H50" s="176" t="str">
        <f ca="1">IFERROR(__xludf.DUMMYFUNCTION("(G49*SINGLE(mr)*SINGLE(rrDeath16))+H49"),"#REF!")</f>
        <v>#REF!</v>
      </c>
      <c r="I50" s="177" t="e">
        <f t="shared" ca="1" si="0"/>
        <v>#VALUE!</v>
      </c>
      <c r="J50" s="153">
        <f t="shared" si="14"/>
        <v>166714.78548217894</v>
      </c>
      <c r="K50" s="178" t="e">
        <f t="shared" ca="1" si="1"/>
        <v>#VALUE!</v>
      </c>
      <c r="L50" s="179" t="e">
        <f t="shared" ca="1" si="15"/>
        <v>#VALUE!</v>
      </c>
      <c r="M50" s="80"/>
      <c r="N50" s="3"/>
      <c r="O50" s="80"/>
      <c r="P50" s="173">
        <v>39</v>
      </c>
      <c r="Q50" s="165"/>
      <c r="R50" s="174" t="e">
        <f t="shared" si="16"/>
        <v>#REF!</v>
      </c>
      <c r="S50" s="80"/>
      <c r="T50" s="175" t="e">
        <f t="shared" si="8"/>
        <v>#REF!</v>
      </c>
      <c r="U50" s="176" t="e">
        <f t="shared" si="12"/>
        <v>#REF!</v>
      </c>
      <c r="V50" s="155" t="e">
        <f t="shared" si="2"/>
        <v>#REF!</v>
      </c>
      <c r="W50" s="180">
        <f t="shared" si="17"/>
        <v>71640.513353485381</v>
      </c>
      <c r="X50" s="176" t="e">
        <f t="shared" si="3"/>
        <v>#REF!</v>
      </c>
      <c r="Y50" s="179" t="e">
        <f t="shared" si="18"/>
        <v>#REF!</v>
      </c>
      <c r="Z50" s="80"/>
      <c r="AA50" s="3"/>
      <c r="AB50" s="3"/>
      <c r="AC50" s="3"/>
      <c r="AD50" s="3"/>
      <c r="AE50" s="3"/>
      <c r="AF50" s="3"/>
      <c r="AG50" s="3"/>
      <c r="AH50" s="3"/>
    </row>
    <row r="51" spans="1:34" ht="14.25" customHeight="1" x14ac:dyDescent="0.2">
      <c r="A51" s="3"/>
      <c r="B51" s="80"/>
      <c r="C51" s="173">
        <v>40</v>
      </c>
      <c r="D51" s="165"/>
      <c r="E51" s="174" t="e">
        <f t="shared" si="13"/>
        <v>#REF!</v>
      </c>
      <c r="F51" s="80"/>
      <c r="G51" s="175" t="e">
        <f t="shared" ca="1" si="11"/>
        <v>#VALUE!</v>
      </c>
      <c r="H51" s="176" t="str">
        <f ca="1">IFERROR(__xludf.DUMMYFUNCTION("(G50*SINGLE(mr)*SINGLE(rrDeath16))+H50"),"#REF!")</f>
        <v>#REF!</v>
      </c>
      <c r="I51" s="177" t="e">
        <f t="shared" ca="1" si="0"/>
        <v>#VALUE!</v>
      </c>
      <c r="J51" s="153">
        <f t="shared" si="14"/>
        <v>151049.30375074226</v>
      </c>
      <c r="K51" s="178" t="e">
        <f t="shared" ca="1" si="1"/>
        <v>#VALUE!</v>
      </c>
      <c r="L51" s="179" t="e">
        <f t="shared" ca="1" si="15"/>
        <v>#VALUE!</v>
      </c>
      <c r="M51" s="80"/>
      <c r="N51" s="3"/>
      <c r="O51" s="80"/>
      <c r="P51" s="173">
        <v>40</v>
      </c>
      <c r="Q51" s="165"/>
      <c r="R51" s="174" t="e">
        <f t="shared" si="16"/>
        <v>#REF!</v>
      </c>
      <c r="S51" s="80"/>
      <c r="T51" s="175" t="e">
        <f t="shared" si="8"/>
        <v>#REF!</v>
      </c>
      <c r="U51" s="176" t="e">
        <f t="shared" si="12"/>
        <v>#REF!</v>
      </c>
      <c r="V51" s="155" t="e">
        <f t="shared" si="2"/>
        <v>#REF!</v>
      </c>
      <c r="W51" s="180">
        <f t="shared" si="17"/>
        <v>64908.757979036374</v>
      </c>
      <c r="X51" s="176" t="e">
        <f t="shared" si="3"/>
        <v>#REF!</v>
      </c>
      <c r="Y51" s="179" t="e">
        <f t="shared" si="18"/>
        <v>#REF!</v>
      </c>
      <c r="Z51" s="80"/>
      <c r="AA51" s="3"/>
      <c r="AB51" s="3"/>
      <c r="AC51" s="3"/>
      <c r="AD51" s="3"/>
      <c r="AE51" s="3"/>
      <c r="AF51" s="3"/>
      <c r="AG51" s="3"/>
      <c r="AH51" s="3"/>
    </row>
    <row r="52" spans="1:34" ht="14.25" customHeight="1" x14ac:dyDescent="0.2">
      <c r="A52" s="3"/>
      <c r="B52" s="80"/>
      <c r="C52" s="173">
        <v>41</v>
      </c>
      <c r="D52" s="165"/>
      <c r="E52" s="174" t="e">
        <f t="shared" si="13"/>
        <v>#REF!</v>
      </c>
      <c r="F52" s="80"/>
      <c r="G52" s="175" t="e">
        <f t="shared" ca="1" si="11"/>
        <v>#VALUE!</v>
      </c>
      <c r="H52" s="176" t="str">
        <f ca="1">IFERROR(__xludf.DUMMYFUNCTION("(G51*SINGLE(mr)*SINGLE(rrDeath16))+H51"),"#REF!")</f>
        <v>#REF!</v>
      </c>
      <c r="I52" s="177" t="e">
        <f t="shared" ca="1" si="0"/>
        <v>#VALUE!</v>
      </c>
      <c r="J52" s="153">
        <f t="shared" si="14"/>
        <v>136518.63989519229</v>
      </c>
      <c r="K52" s="178" t="e">
        <f t="shared" ca="1" si="1"/>
        <v>#VALUE!</v>
      </c>
      <c r="L52" s="179" t="e">
        <f t="shared" ca="1" si="15"/>
        <v>#VALUE!</v>
      </c>
      <c r="M52" s="80"/>
      <c r="N52" s="3"/>
      <c r="O52" s="80"/>
      <c r="P52" s="173">
        <v>41</v>
      </c>
      <c r="Q52" s="165"/>
      <c r="R52" s="174" t="e">
        <f t="shared" si="16"/>
        <v>#REF!</v>
      </c>
      <c r="S52" s="80"/>
      <c r="T52" s="175" t="e">
        <f t="shared" si="8"/>
        <v>#REF!</v>
      </c>
      <c r="U52" s="176" t="e">
        <f t="shared" si="12"/>
        <v>#REF!</v>
      </c>
      <c r="V52" s="155" t="e">
        <f t="shared" si="2"/>
        <v>#REF!</v>
      </c>
      <c r="W52" s="180">
        <f t="shared" si="17"/>
        <v>58664.655424078461</v>
      </c>
      <c r="X52" s="176" t="e">
        <f t="shared" si="3"/>
        <v>#REF!</v>
      </c>
      <c r="Y52" s="179" t="e">
        <f t="shared" si="18"/>
        <v>#REF!</v>
      </c>
      <c r="Z52" s="80"/>
      <c r="AA52" s="3"/>
      <c r="AB52" s="3"/>
      <c r="AC52" s="3"/>
      <c r="AD52" s="3"/>
      <c r="AE52" s="3"/>
      <c r="AF52" s="3"/>
      <c r="AG52" s="3"/>
      <c r="AH52" s="3"/>
    </row>
    <row r="53" spans="1:34" ht="14.25" customHeight="1" x14ac:dyDescent="0.2">
      <c r="A53" s="3"/>
      <c r="B53" s="80"/>
      <c r="C53" s="173">
        <v>42</v>
      </c>
      <c r="D53" s="165"/>
      <c r="E53" s="174" t="e">
        <f t="shared" si="13"/>
        <v>#REF!</v>
      </c>
      <c r="F53" s="80"/>
      <c r="G53" s="175" t="e">
        <f t="shared" ca="1" si="11"/>
        <v>#VALUE!</v>
      </c>
      <c r="H53" s="176" t="str">
        <f ca="1">IFERROR(__xludf.DUMMYFUNCTION("(G52*SINGLE(mr)*SINGLE(rrDeath16))+H52"),"#REF!")</f>
        <v>#REF!</v>
      </c>
      <c r="I53" s="177" t="e">
        <f t="shared" ca="1" si="0"/>
        <v>#VALUE!</v>
      </c>
      <c r="J53" s="153">
        <f t="shared" si="14"/>
        <v>123081.78703339057</v>
      </c>
      <c r="K53" s="178" t="e">
        <f t="shared" ca="1" si="1"/>
        <v>#VALUE!</v>
      </c>
      <c r="L53" s="179" t="e">
        <f t="shared" ca="1" si="15"/>
        <v>#VALUE!</v>
      </c>
      <c r="M53" s="80"/>
      <c r="N53" s="3"/>
      <c r="O53" s="80"/>
      <c r="P53" s="173">
        <v>42</v>
      </c>
      <c r="Q53" s="165"/>
      <c r="R53" s="174" t="e">
        <f t="shared" si="16"/>
        <v>#REF!</v>
      </c>
      <c r="S53" s="80"/>
      <c r="T53" s="175" t="e">
        <f t="shared" si="8"/>
        <v>#REF!</v>
      </c>
      <c r="U53" s="176" t="e">
        <f t="shared" si="12"/>
        <v>#REF!</v>
      </c>
      <c r="V53" s="155" t="e">
        <f t="shared" si="2"/>
        <v>#REF!</v>
      </c>
      <c r="W53" s="180">
        <f t="shared" si="17"/>
        <v>52890.584251623128</v>
      </c>
      <c r="X53" s="176" t="e">
        <f t="shared" si="3"/>
        <v>#REF!</v>
      </c>
      <c r="Y53" s="179" t="e">
        <f t="shared" si="18"/>
        <v>#REF!</v>
      </c>
      <c r="Z53" s="80"/>
      <c r="AA53" s="3"/>
      <c r="AB53" s="3"/>
      <c r="AC53" s="3"/>
      <c r="AD53" s="3"/>
      <c r="AE53" s="3"/>
      <c r="AF53" s="3"/>
      <c r="AG53" s="3"/>
      <c r="AH53" s="3"/>
    </row>
    <row r="54" spans="1:34" ht="14.25" customHeight="1" x14ac:dyDescent="0.2">
      <c r="A54" s="3"/>
      <c r="B54" s="80"/>
      <c r="C54" s="173">
        <v>43</v>
      </c>
      <c r="D54" s="165"/>
      <c r="E54" s="174" t="e">
        <f t="shared" si="13"/>
        <v>#REF!</v>
      </c>
      <c r="F54" s="80"/>
      <c r="G54" s="175" t="e">
        <f t="shared" ca="1" si="11"/>
        <v>#VALUE!</v>
      </c>
      <c r="H54" s="176" t="str">
        <f ca="1">IFERROR(__xludf.DUMMYFUNCTION("(G53*SINGLE(mr)*SINGLE(rrDeath16))+H53"),"#REF!")</f>
        <v>#REF!</v>
      </c>
      <c r="I54" s="177" t="e">
        <f t="shared" ca="1" si="0"/>
        <v>#VALUE!</v>
      </c>
      <c r="J54" s="153">
        <f t="shared" si="14"/>
        <v>110694.04269304693</v>
      </c>
      <c r="K54" s="178" t="e">
        <f t="shared" ca="1" si="1"/>
        <v>#VALUE!</v>
      </c>
      <c r="L54" s="179" t="e">
        <f t="shared" ca="1" si="15"/>
        <v>#VALUE!</v>
      </c>
      <c r="M54" s="80"/>
      <c r="N54" s="3"/>
      <c r="O54" s="80"/>
      <c r="P54" s="173">
        <v>43</v>
      </c>
      <c r="Q54" s="165"/>
      <c r="R54" s="174" t="e">
        <f t="shared" si="16"/>
        <v>#REF!</v>
      </c>
      <c r="S54" s="80"/>
      <c r="T54" s="175" t="e">
        <f t="shared" si="8"/>
        <v>#REF!</v>
      </c>
      <c r="U54" s="176" t="e">
        <f t="shared" si="12"/>
        <v>#REF!</v>
      </c>
      <c r="V54" s="155" t="e">
        <f t="shared" si="2"/>
        <v>#REF!</v>
      </c>
      <c r="W54" s="180">
        <f t="shared" si="17"/>
        <v>47567.334959323147</v>
      </c>
      <c r="X54" s="176" t="e">
        <f t="shared" si="3"/>
        <v>#REF!</v>
      </c>
      <c r="Y54" s="179" t="e">
        <f t="shared" si="18"/>
        <v>#REF!</v>
      </c>
      <c r="Z54" s="80"/>
      <c r="AA54" s="3"/>
      <c r="AB54" s="3"/>
      <c r="AC54" s="3"/>
      <c r="AD54" s="3"/>
      <c r="AE54" s="3"/>
      <c r="AF54" s="3"/>
      <c r="AG54" s="3"/>
      <c r="AH54" s="3"/>
    </row>
    <row r="55" spans="1:34" ht="14.25" customHeight="1" x14ac:dyDescent="0.2">
      <c r="A55" s="3"/>
      <c r="B55" s="80"/>
      <c r="C55" s="173">
        <v>44</v>
      </c>
      <c r="D55" s="165"/>
      <c r="E55" s="174" t="e">
        <f t="shared" si="13"/>
        <v>#REF!</v>
      </c>
      <c r="F55" s="80"/>
      <c r="G55" s="175" t="e">
        <f t="shared" ca="1" si="11"/>
        <v>#VALUE!</v>
      </c>
      <c r="H55" s="176" t="str">
        <f ca="1">IFERROR(__xludf.DUMMYFUNCTION("(G54*SINGLE(mr)*SINGLE(rrDeath16))+H54"),"#REF!")</f>
        <v>#REF!</v>
      </c>
      <c r="I55" s="177" t="e">
        <f t="shared" ca="1" si="0"/>
        <v>#VALUE!</v>
      </c>
      <c r="J55" s="153">
        <f t="shared" si="14"/>
        <v>99307.790542626186</v>
      </c>
      <c r="K55" s="178" t="e">
        <f t="shared" ca="1" si="1"/>
        <v>#VALUE!</v>
      </c>
      <c r="L55" s="179" t="e">
        <f t="shared" ca="1" si="15"/>
        <v>#VALUE!</v>
      </c>
      <c r="M55" s="80"/>
      <c r="N55" s="3"/>
      <c r="O55" s="80"/>
      <c r="P55" s="173">
        <v>44</v>
      </c>
      <c r="Q55" s="165"/>
      <c r="R55" s="174" t="e">
        <f t="shared" si="16"/>
        <v>#REF!</v>
      </c>
      <c r="S55" s="80"/>
      <c r="T55" s="175" t="e">
        <f t="shared" si="8"/>
        <v>#REF!</v>
      </c>
      <c r="U55" s="176" t="e">
        <f t="shared" si="12"/>
        <v>#REF!</v>
      </c>
      <c r="V55" s="155" t="e">
        <f t="shared" si="2"/>
        <v>#REF!</v>
      </c>
      <c r="W55" s="180">
        <f t="shared" si="17"/>
        <v>42674.445904107553</v>
      </c>
      <c r="X55" s="176" t="e">
        <f t="shared" si="3"/>
        <v>#REF!</v>
      </c>
      <c r="Y55" s="179" t="e">
        <f t="shared" si="18"/>
        <v>#REF!</v>
      </c>
      <c r="Z55" s="80"/>
      <c r="AA55" s="3"/>
      <c r="AB55" s="3"/>
      <c r="AC55" s="3"/>
      <c r="AD55" s="3"/>
      <c r="AE55" s="3"/>
      <c r="AF55" s="3"/>
      <c r="AG55" s="3"/>
      <c r="AH55" s="3"/>
    </row>
    <row r="56" spans="1:34" ht="14.25" customHeight="1" x14ac:dyDescent="0.2">
      <c r="A56" s="3"/>
      <c r="B56" s="80"/>
      <c r="C56" s="173">
        <v>45</v>
      </c>
      <c r="D56" s="165"/>
      <c r="E56" s="174" t="e">
        <f t="shared" si="13"/>
        <v>#REF!</v>
      </c>
      <c r="F56" s="80"/>
      <c r="G56" s="175" t="e">
        <f t="shared" ca="1" si="11"/>
        <v>#VALUE!</v>
      </c>
      <c r="H56" s="176" t="str">
        <f ca="1">IFERROR(__xludf.DUMMYFUNCTION("(G55*SINGLE(mr)*SINGLE(rrDeath16))+H55"),"#REF!")</f>
        <v>#REF!</v>
      </c>
      <c r="I56" s="177" t="e">
        <f t="shared" ca="1" si="0"/>
        <v>#VALUE!</v>
      </c>
      <c r="J56" s="153">
        <f t="shared" si="14"/>
        <v>88873.238433940147</v>
      </c>
      <c r="K56" s="178" t="e">
        <f t="shared" ca="1" si="1"/>
        <v>#VALUE!</v>
      </c>
      <c r="L56" s="179" t="e">
        <f t="shared" ca="1" si="15"/>
        <v>#VALUE!</v>
      </c>
      <c r="M56" s="80"/>
      <c r="N56" s="3"/>
      <c r="O56" s="80"/>
      <c r="P56" s="173">
        <v>45</v>
      </c>
      <c r="Q56" s="165"/>
      <c r="R56" s="174" t="e">
        <f t="shared" si="16"/>
        <v>#REF!</v>
      </c>
      <c r="S56" s="80"/>
      <c r="T56" s="175" t="e">
        <f t="shared" si="8"/>
        <v>#REF!</v>
      </c>
      <c r="U56" s="176" t="e">
        <f t="shared" si="12"/>
        <v>#REF!</v>
      </c>
      <c r="V56" s="155" t="e">
        <f t="shared" si="2"/>
        <v>#REF!</v>
      </c>
      <c r="W56" s="180">
        <f t="shared" si="17"/>
        <v>38190.520453117068</v>
      </c>
      <c r="X56" s="176" t="e">
        <f t="shared" si="3"/>
        <v>#REF!</v>
      </c>
      <c r="Y56" s="179" t="e">
        <f t="shared" si="18"/>
        <v>#REF!</v>
      </c>
      <c r="Z56" s="80"/>
      <c r="AA56" s="3"/>
      <c r="AB56" s="3"/>
      <c r="AC56" s="3"/>
      <c r="AD56" s="3"/>
      <c r="AE56" s="3"/>
      <c r="AF56" s="3"/>
      <c r="AG56" s="3"/>
      <c r="AH56" s="3"/>
    </row>
    <row r="57" spans="1:34" ht="14.25" customHeight="1" x14ac:dyDescent="0.2">
      <c r="A57" s="3"/>
      <c r="B57" s="80"/>
      <c r="C57" s="173">
        <v>46</v>
      </c>
      <c r="D57" s="165"/>
      <c r="E57" s="174" t="e">
        <f t="shared" si="13"/>
        <v>#REF!</v>
      </c>
      <c r="F57" s="80"/>
      <c r="G57" s="175" t="e">
        <f t="shared" ca="1" si="11"/>
        <v>#VALUE!</v>
      </c>
      <c r="H57" s="176" t="str">
        <f ca="1">IFERROR(__xludf.DUMMYFUNCTION("(G56*SINGLE(mr)*SINGLE(rrDeath16))+H56"),"#REF!")</f>
        <v>#REF!</v>
      </c>
      <c r="I57" s="177" t="e">
        <f t="shared" ca="1" si="0"/>
        <v>#VALUE!</v>
      </c>
      <c r="J57" s="153">
        <f t="shared" si="14"/>
        <v>79339.106810493831</v>
      </c>
      <c r="K57" s="178" t="e">
        <f t="shared" ca="1" si="1"/>
        <v>#VALUE!</v>
      </c>
      <c r="L57" s="179" t="e">
        <f t="shared" ca="1" si="15"/>
        <v>#VALUE!</v>
      </c>
      <c r="M57" s="80"/>
      <c r="N57" s="3"/>
      <c r="O57" s="80"/>
      <c r="P57" s="173">
        <v>46</v>
      </c>
      <c r="Q57" s="165"/>
      <c r="R57" s="174" t="e">
        <f t="shared" si="16"/>
        <v>#REF!</v>
      </c>
      <c r="S57" s="80"/>
      <c r="T57" s="175" t="e">
        <f t="shared" si="8"/>
        <v>#REF!</v>
      </c>
      <c r="U57" s="176" t="e">
        <f t="shared" si="12"/>
        <v>#REF!</v>
      </c>
      <c r="V57" s="155" t="e">
        <f t="shared" si="2"/>
        <v>#REF!</v>
      </c>
      <c r="W57" s="180">
        <f t="shared" si="17"/>
        <v>34093.522805860361</v>
      </c>
      <c r="X57" s="176" t="e">
        <f t="shared" si="3"/>
        <v>#REF!</v>
      </c>
      <c r="Y57" s="179" t="e">
        <f t="shared" si="18"/>
        <v>#REF!</v>
      </c>
      <c r="Z57" s="80"/>
      <c r="AA57" s="3"/>
      <c r="AB57" s="3"/>
      <c r="AC57" s="3"/>
      <c r="AD57" s="3"/>
      <c r="AE57" s="3"/>
      <c r="AF57" s="3"/>
      <c r="AG57" s="3"/>
      <c r="AH57" s="3"/>
    </row>
    <row r="58" spans="1:34" ht="14.25" customHeight="1" x14ac:dyDescent="0.2">
      <c r="A58" s="3"/>
      <c r="B58" s="80"/>
      <c r="C58" s="173">
        <v>47</v>
      </c>
      <c r="D58" s="165"/>
      <c r="E58" s="174" t="e">
        <f t="shared" si="13"/>
        <v>#REF!</v>
      </c>
      <c r="F58" s="80"/>
      <c r="G58" s="175" t="e">
        <f t="shared" ca="1" si="11"/>
        <v>#VALUE!</v>
      </c>
      <c r="H58" s="176" t="str">
        <f ca="1">IFERROR(__xludf.DUMMYFUNCTION("(G57*SINGLE(mr)*SINGLE(rrDeath16))+H57"),"#REF!")</f>
        <v>#REF!</v>
      </c>
      <c r="I58" s="177" t="e">
        <f t="shared" ca="1" si="0"/>
        <v>#VALUE!</v>
      </c>
      <c r="J58" s="153">
        <f t="shared" si="14"/>
        <v>70653.262950151853</v>
      </c>
      <c r="K58" s="178" t="e">
        <f t="shared" ca="1" si="1"/>
        <v>#VALUE!</v>
      </c>
      <c r="L58" s="179" t="e">
        <f t="shared" ca="1" si="15"/>
        <v>#VALUE!</v>
      </c>
      <c r="M58" s="80"/>
      <c r="N58" s="3"/>
      <c r="O58" s="80"/>
      <c r="P58" s="173">
        <v>47</v>
      </c>
      <c r="Q58" s="165"/>
      <c r="R58" s="174" t="e">
        <f t="shared" si="16"/>
        <v>#REF!</v>
      </c>
      <c r="S58" s="80"/>
      <c r="T58" s="175" t="e">
        <f t="shared" si="8"/>
        <v>#REF!</v>
      </c>
      <c r="U58" s="176" t="e">
        <f t="shared" si="12"/>
        <v>#REF!</v>
      </c>
      <c r="V58" s="155" t="e">
        <f t="shared" si="2"/>
        <v>#REF!</v>
      </c>
      <c r="W58" s="180">
        <f t="shared" si="17"/>
        <v>30361.050540347744</v>
      </c>
      <c r="X58" s="176" t="e">
        <f t="shared" si="3"/>
        <v>#REF!</v>
      </c>
      <c r="Y58" s="179" t="e">
        <f t="shared" si="18"/>
        <v>#REF!</v>
      </c>
      <c r="Z58" s="80"/>
      <c r="AA58" s="3"/>
      <c r="AB58" s="3"/>
      <c r="AC58" s="3"/>
      <c r="AD58" s="3"/>
      <c r="AE58" s="3"/>
      <c r="AF58" s="3"/>
      <c r="AG58" s="3"/>
      <c r="AH58" s="3"/>
    </row>
    <row r="59" spans="1:34" ht="14.25" customHeight="1" x14ac:dyDescent="0.2">
      <c r="A59" s="3"/>
      <c r="B59" s="80"/>
      <c r="C59" s="173">
        <v>48</v>
      </c>
      <c r="D59" s="165"/>
      <c r="E59" s="174" t="e">
        <f t="shared" si="13"/>
        <v>#REF!</v>
      </c>
      <c r="F59" s="80"/>
      <c r="G59" s="175" t="e">
        <f t="shared" ca="1" si="11"/>
        <v>#VALUE!</v>
      </c>
      <c r="H59" s="176" t="str">
        <f ca="1">IFERROR(__xludf.DUMMYFUNCTION("(G58*SINGLE(mr)*SINGLE(rrDeath16))+H58"),"#REF!")</f>
        <v>#REF!</v>
      </c>
      <c r="I59" s="177" t="e">
        <f t="shared" ca="1" si="0"/>
        <v>#VALUE!</v>
      </c>
      <c r="J59" s="153">
        <f t="shared" si="14"/>
        <v>62763.297864375032</v>
      </c>
      <c r="K59" s="178" t="e">
        <f t="shared" ca="1" si="1"/>
        <v>#VALUE!</v>
      </c>
      <c r="L59" s="179" t="e">
        <f t="shared" ca="1" si="15"/>
        <v>#VALUE!</v>
      </c>
      <c r="M59" s="80"/>
      <c r="N59" s="3"/>
      <c r="O59" s="80"/>
      <c r="P59" s="173">
        <v>48</v>
      </c>
      <c r="Q59" s="165"/>
      <c r="R59" s="174" t="e">
        <f t="shared" si="16"/>
        <v>#REF!</v>
      </c>
      <c r="S59" s="80"/>
      <c r="T59" s="175" t="e">
        <f t="shared" si="8"/>
        <v>#REF!</v>
      </c>
      <c r="U59" s="176" t="e">
        <f t="shared" si="12"/>
        <v>#REF!</v>
      </c>
      <c r="V59" s="155" t="e">
        <f t="shared" si="2"/>
        <v>#REF!</v>
      </c>
      <c r="W59" s="180">
        <f t="shared" si="17"/>
        <v>26970.582517662679</v>
      </c>
      <c r="X59" s="176" t="e">
        <f t="shared" si="3"/>
        <v>#REF!</v>
      </c>
      <c r="Y59" s="179" t="e">
        <f t="shared" si="18"/>
        <v>#REF!</v>
      </c>
      <c r="Z59" s="80"/>
      <c r="AA59" s="3"/>
      <c r="AB59" s="3"/>
      <c r="AC59" s="3"/>
      <c r="AD59" s="3"/>
      <c r="AE59" s="3"/>
      <c r="AF59" s="3"/>
      <c r="AG59" s="3"/>
      <c r="AH59" s="3"/>
    </row>
    <row r="60" spans="1:34" ht="14.25" customHeight="1" x14ac:dyDescent="0.2">
      <c r="A60" s="3"/>
      <c r="B60" s="80"/>
      <c r="C60" s="173">
        <v>49</v>
      </c>
      <c r="D60" s="165"/>
      <c r="E60" s="174" t="e">
        <f t="shared" si="13"/>
        <v>#REF!</v>
      </c>
      <c r="F60" s="80"/>
      <c r="G60" s="175" t="e">
        <f t="shared" ca="1" si="11"/>
        <v>#VALUE!</v>
      </c>
      <c r="H60" s="176" t="str">
        <f ca="1">IFERROR(__xludf.DUMMYFUNCTION("(G59*SINGLE(mr)*SINGLE(rrDeath16))+H59"),"#REF!")</f>
        <v>#REF!</v>
      </c>
      <c r="I60" s="177" t="e">
        <f t="shared" ca="1" si="0"/>
        <v>#VALUE!</v>
      </c>
      <c r="J60" s="153">
        <f t="shared" si="14"/>
        <v>55617.043947104372</v>
      </c>
      <c r="K60" s="178" t="e">
        <f t="shared" ca="1" si="1"/>
        <v>#VALUE!</v>
      </c>
      <c r="L60" s="179" t="e">
        <f t="shared" ca="1" si="15"/>
        <v>#VALUE!</v>
      </c>
      <c r="M60" s="80"/>
      <c r="N60" s="3"/>
      <c r="O60" s="80"/>
      <c r="P60" s="173">
        <v>49</v>
      </c>
      <c r="Q60" s="165"/>
      <c r="R60" s="174" t="e">
        <f t="shared" si="16"/>
        <v>#REF!</v>
      </c>
      <c r="S60" s="80"/>
      <c r="T60" s="175" t="e">
        <f t="shared" si="8"/>
        <v>#REF!</v>
      </c>
      <c r="U60" s="176" t="e">
        <f t="shared" si="12"/>
        <v>#REF!</v>
      </c>
      <c r="V60" s="155" t="e">
        <f t="shared" si="2"/>
        <v>#REF!</v>
      </c>
      <c r="W60" s="180">
        <f t="shared" si="17"/>
        <v>23899.70132553019</v>
      </c>
      <c r="X60" s="176" t="e">
        <f t="shared" si="3"/>
        <v>#REF!</v>
      </c>
      <c r="Y60" s="179" t="e">
        <f t="shared" si="18"/>
        <v>#REF!</v>
      </c>
      <c r="Z60" s="80"/>
      <c r="AA60" s="3"/>
      <c r="AB60" s="3"/>
      <c r="AC60" s="3"/>
      <c r="AD60" s="3"/>
      <c r="AE60" s="3"/>
      <c r="AF60" s="3"/>
      <c r="AG60" s="3"/>
      <c r="AH60" s="3"/>
    </row>
    <row r="61" spans="1:34" ht="14.25" customHeight="1" x14ac:dyDescent="0.2">
      <c r="A61" s="3"/>
      <c r="B61" s="80"/>
      <c r="C61" s="173">
        <v>50</v>
      </c>
      <c r="D61" s="165"/>
      <c r="E61" s="174" t="e">
        <f t="shared" si="13"/>
        <v>#REF!</v>
      </c>
      <c r="F61" s="80"/>
      <c r="G61" s="175" t="e">
        <f t="shared" ca="1" si="11"/>
        <v>#VALUE!</v>
      </c>
      <c r="H61" s="176" t="str">
        <f ca="1">IFERROR(__xludf.DUMMYFUNCTION("(G60*SINGLE(mr)*SINGLE(rrDeath16))+H60"),"#REF!")</f>
        <v>#REF!</v>
      </c>
      <c r="I61" s="155" t="e">
        <f t="shared" ca="1" si="0"/>
        <v>#VALUE!</v>
      </c>
      <c r="J61" s="153">
        <f t="shared" si="14"/>
        <v>49163.032636533935</v>
      </c>
      <c r="K61" s="178" t="e">
        <f t="shared" ca="1" si="1"/>
        <v>#VALUE!</v>
      </c>
      <c r="L61" s="179" t="e">
        <f t="shared" ca="1" si="15"/>
        <v>#VALUE!</v>
      </c>
      <c r="M61" s="80"/>
      <c r="N61" s="3"/>
      <c r="O61" s="80"/>
      <c r="P61" s="173">
        <v>50</v>
      </c>
      <c r="Q61" s="165"/>
      <c r="R61" s="174" t="e">
        <f t="shared" si="16"/>
        <v>#REF!</v>
      </c>
      <c r="S61" s="80"/>
      <c r="T61" s="175" t="e">
        <f t="shared" si="8"/>
        <v>#REF!</v>
      </c>
      <c r="U61" s="176" t="e">
        <f t="shared" si="12"/>
        <v>#REF!</v>
      </c>
      <c r="V61" s="155" t="e">
        <f t="shared" si="2"/>
        <v>#REF!</v>
      </c>
      <c r="W61" s="180">
        <f t="shared" si="17"/>
        <v>21126.289944282951</v>
      </c>
      <c r="X61" s="176" t="e">
        <f t="shared" si="3"/>
        <v>#REF!</v>
      </c>
      <c r="Y61" s="179" t="e">
        <f t="shared" si="18"/>
        <v>#REF!</v>
      </c>
      <c r="Z61" s="80"/>
      <c r="AA61" s="3"/>
      <c r="AB61" s="3"/>
      <c r="AC61" s="3"/>
      <c r="AD61" s="3"/>
      <c r="AE61" s="3"/>
      <c r="AF61" s="3"/>
      <c r="AG61" s="3"/>
      <c r="AH61" s="3"/>
    </row>
    <row r="62" spans="1:34" ht="14.25" customHeight="1" x14ac:dyDescent="0.2">
      <c r="A62" s="3"/>
      <c r="B62" s="181"/>
      <c r="C62" s="181"/>
      <c r="D62" s="181"/>
      <c r="E62" s="181"/>
      <c r="F62" s="181"/>
      <c r="G62" s="181"/>
      <c r="H62" s="181"/>
      <c r="I62" s="181"/>
      <c r="J62" s="182" t="s">
        <v>244</v>
      </c>
      <c r="K62" s="182" t="s">
        <v>245</v>
      </c>
      <c r="L62" s="182" t="s">
        <v>246</v>
      </c>
      <c r="M62" s="181"/>
      <c r="N62" s="3"/>
      <c r="O62" s="181"/>
      <c r="P62" s="181"/>
      <c r="Q62" s="181"/>
      <c r="R62" s="181"/>
      <c r="S62" s="181"/>
      <c r="T62" s="181"/>
      <c r="U62" s="181"/>
      <c r="V62" s="181"/>
      <c r="W62" s="182" t="s">
        <v>244</v>
      </c>
      <c r="X62" s="182" t="s">
        <v>245</v>
      </c>
      <c r="Y62" s="182" t="s">
        <v>246</v>
      </c>
      <c r="Z62" s="181"/>
      <c r="AA62" s="3"/>
      <c r="AB62" s="3"/>
      <c r="AC62" s="3"/>
      <c r="AD62" s="3"/>
      <c r="AE62" s="3"/>
      <c r="AF62" s="3"/>
      <c r="AG62" s="3"/>
      <c r="AH62" s="3"/>
    </row>
    <row r="63" spans="1:34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183">
        <f>SUM(J11:J61)/G10</f>
        <v>284992.23403642001</v>
      </c>
      <c r="K63" s="184" t="e">
        <f t="shared" ref="K63:L63" si="19">SUM(K11:K61)/$G$10</f>
        <v>#REF!</v>
      </c>
      <c r="L63" s="184" t="e">
        <f t="shared" si="19"/>
        <v>#REF!</v>
      </c>
      <c r="M63" s="3"/>
      <c r="N63" s="3"/>
      <c r="O63" s="3"/>
      <c r="P63" s="3"/>
      <c r="Q63" s="3"/>
      <c r="R63" s="3"/>
      <c r="S63" s="3"/>
      <c r="T63" s="3"/>
      <c r="U63" s="3"/>
      <c r="V63" s="3" t="s">
        <v>247</v>
      </c>
      <c r="W63" s="183">
        <f t="shared" ref="W63:Y63" si="20">SUM(W11:W61)/$T$10</f>
        <v>122466.58200755849</v>
      </c>
      <c r="X63" s="184" t="e">
        <f t="shared" si="20"/>
        <v>#REF!</v>
      </c>
      <c r="Y63" s="184" t="e">
        <f t="shared" si="20"/>
        <v>#REF!</v>
      </c>
      <c r="Z63" s="3"/>
      <c r="AA63" s="3"/>
      <c r="AB63" s="3"/>
      <c r="AC63" s="3"/>
      <c r="AD63" s="3"/>
      <c r="AE63" s="3"/>
      <c r="AF63" s="3"/>
      <c r="AG63" s="3"/>
      <c r="AH63" s="3"/>
    </row>
    <row r="64" spans="1:34" ht="14.25" customHeight="1" x14ac:dyDescent="0.2">
      <c r="A64" s="3"/>
      <c r="B64" s="3"/>
      <c r="C64" s="3"/>
      <c r="D64" s="3"/>
      <c r="E64" s="3"/>
      <c r="F64" s="3"/>
      <c r="G64" s="3"/>
      <c r="H64" s="3"/>
      <c r="I64" s="3" t="s">
        <v>248</v>
      </c>
      <c r="J64" s="164">
        <f t="shared" ref="J64:K64" si="21">SUM(J11:J61)</f>
        <v>28499223.403641999</v>
      </c>
      <c r="K64" s="29" t="e">
        <f t="shared" si="21"/>
        <v>#REF!</v>
      </c>
      <c r="L64" s="185" t="e">
        <f>SUM(L12:L62)</f>
        <v>#REF!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spans="1:34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spans="1:34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186" t="s">
        <v>229</v>
      </c>
      <c r="K66" s="187" t="e">
        <f>(J63-W63)/(L63-Y63)</f>
        <v>#REF!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spans="1:34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spans="1:34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spans="1:34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spans="1:34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spans="1:34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spans="1:34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spans="1:34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spans="1:34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spans="1:34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spans="1:34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1:34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1:34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spans="1:34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spans="1:34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spans="1:34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spans="1:34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spans="1:34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spans="1:34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spans="1:34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1:34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1:34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1:34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spans="1:34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1:34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spans="1:34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1:34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spans="1:34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1:34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1:34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1:34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1:34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spans="1:34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spans="1:34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spans="1:34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1:34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spans="1:34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1:34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spans="1:34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1:34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spans="1:34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1:34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spans="1:34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spans="1:34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spans="1:34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spans="1:34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spans="1:34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spans="1:34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spans="1:34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spans="1:34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spans="1:34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spans="1:34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spans="1:34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spans="1:34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spans="1:34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spans="1:34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spans="1:34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spans="1:34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spans="1:34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spans="1:34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spans="1:34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spans="1:34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spans="1:34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spans="1:34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spans="1:34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1:34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spans="1:34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1:34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spans="1:34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1:34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spans="1:34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1:34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spans="1:34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spans="1:34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spans="1:34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spans="1:34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spans="1:34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spans="1:34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spans="1:34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spans="1:34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spans="1:34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spans="1:34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spans="1:34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spans="1:34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spans="1:34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spans="1:34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spans="1:34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spans="1:34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spans="1:34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spans="1:34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spans="1:34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spans="1:34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spans="1:34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spans="1:34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spans="1:34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1:34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spans="1:34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1:34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spans="1:34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1:34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spans="1:34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1:34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spans="1:34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1:34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spans="1:34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spans="1:34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spans="1:34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spans="1:34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spans="1:34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spans="1:34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spans="1:34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spans="1:34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spans="1:34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spans="1:34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spans="1:34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spans="1:34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spans="1:34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spans="1:34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spans="1:34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spans="1:34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spans="1:34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spans="1:34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spans="1:34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spans="1:34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spans="1:34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spans="1:34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spans="1:34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spans="1:34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spans="1:34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spans="1:34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spans="1:34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spans="1:34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spans="1:34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spans="1:34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spans="1:34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spans="1:34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spans="1:34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spans="1:34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spans="1:34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spans="1:34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spans="1:34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spans="1:34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spans="1:34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spans="1:34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spans="1:34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spans="1:34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spans="1:34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spans="1:34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spans="1:34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spans="1:34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spans="1:34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spans="1:34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spans="1:34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spans="1:34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spans="1:34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spans="1:34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spans="1:34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spans="1:34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spans="1:34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spans="1:34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spans="1:34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spans="1:34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  <row r="228" spans="1:34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</row>
    <row r="229" spans="1:34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</row>
    <row r="230" spans="1:34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</row>
    <row r="231" spans="1:34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</row>
    <row r="232" spans="1:34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</row>
    <row r="233" spans="1:34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</row>
    <row r="234" spans="1:34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</row>
    <row r="235" spans="1:34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</row>
    <row r="236" spans="1:34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</row>
    <row r="237" spans="1:34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</row>
    <row r="238" spans="1:34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</row>
    <row r="239" spans="1:34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</row>
    <row r="240" spans="1:34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</row>
    <row r="241" spans="1:34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</row>
    <row r="242" spans="1:34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</row>
    <row r="243" spans="1:34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</row>
    <row r="244" spans="1:34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</row>
    <row r="245" spans="1:34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</row>
    <row r="246" spans="1:34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</row>
    <row r="247" spans="1:34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</row>
    <row r="248" spans="1:34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</row>
    <row r="249" spans="1:34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</row>
    <row r="250" spans="1:34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</row>
    <row r="251" spans="1:34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</row>
    <row r="252" spans="1:34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</row>
    <row r="253" spans="1:34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</row>
    <row r="254" spans="1:34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</row>
    <row r="255" spans="1:34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</row>
    <row r="256" spans="1:34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</row>
    <row r="257" spans="1:34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</row>
    <row r="258" spans="1:34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</row>
    <row r="259" spans="1:34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</row>
    <row r="260" spans="1:34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</row>
    <row r="261" spans="1:34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</row>
    <row r="262" spans="1:34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</row>
    <row r="263" spans="1:34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</row>
    <row r="264" spans="1:34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</row>
    <row r="265" spans="1:34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</row>
    <row r="266" spans="1:34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</row>
    <row r="267" spans="1:34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</row>
    <row r="268" spans="1:34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</row>
    <row r="269" spans="1:34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</row>
    <row r="270" spans="1:34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</row>
    <row r="271" spans="1:34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</row>
    <row r="272" spans="1:34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</row>
    <row r="273" spans="1:34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</row>
    <row r="274" spans="1:34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</row>
    <row r="275" spans="1:34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</row>
    <row r="276" spans="1:34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</row>
    <row r="277" spans="1:34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</row>
    <row r="278" spans="1:34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</row>
    <row r="279" spans="1:34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</row>
    <row r="280" spans="1:34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</row>
    <row r="281" spans="1:34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</row>
    <row r="282" spans="1:34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</row>
    <row r="283" spans="1:34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</row>
    <row r="284" spans="1:34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</row>
    <row r="285" spans="1:34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</row>
    <row r="286" spans="1:34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</row>
    <row r="287" spans="1:34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</row>
    <row r="288" spans="1:34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</row>
    <row r="289" spans="1:34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</row>
    <row r="290" spans="1:34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</row>
    <row r="291" spans="1:34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</row>
    <row r="292" spans="1:34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</row>
    <row r="293" spans="1:34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</row>
    <row r="294" spans="1:34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</row>
    <row r="295" spans="1:34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</row>
    <row r="296" spans="1:34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</row>
    <row r="297" spans="1:34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</row>
    <row r="298" spans="1:34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</row>
    <row r="299" spans="1:34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</row>
    <row r="300" spans="1:34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</row>
    <row r="301" spans="1:34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</row>
    <row r="302" spans="1:34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</row>
    <row r="303" spans="1:34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</row>
    <row r="304" spans="1:34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</row>
    <row r="305" spans="1:34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</row>
    <row r="306" spans="1:34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</row>
    <row r="307" spans="1:34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</row>
    <row r="308" spans="1:34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</row>
    <row r="309" spans="1:34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</row>
    <row r="310" spans="1:34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</row>
    <row r="311" spans="1:34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</row>
    <row r="312" spans="1:34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</row>
    <row r="313" spans="1:34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</row>
    <row r="314" spans="1:34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</row>
    <row r="315" spans="1:34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</row>
    <row r="316" spans="1:34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</row>
    <row r="317" spans="1:34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</row>
    <row r="318" spans="1:34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</row>
    <row r="319" spans="1:34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</row>
    <row r="320" spans="1:34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</row>
    <row r="321" spans="1:34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</row>
    <row r="322" spans="1:34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</row>
    <row r="323" spans="1:34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</row>
    <row r="324" spans="1:34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</row>
    <row r="325" spans="1:34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</row>
    <row r="326" spans="1:34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</row>
    <row r="327" spans="1:34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</row>
    <row r="328" spans="1:34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</row>
    <row r="329" spans="1:34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</row>
    <row r="330" spans="1:34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</row>
    <row r="331" spans="1:34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</row>
    <row r="332" spans="1:34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</row>
    <row r="333" spans="1:34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</row>
    <row r="334" spans="1:34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</row>
    <row r="335" spans="1:34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</row>
    <row r="336" spans="1:34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</row>
    <row r="337" spans="1:34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</row>
    <row r="338" spans="1:34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</row>
    <row r="339" spans="1:34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</row>
    <row r="340" spans="1:34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</row>
    <row r="341" spans="1:34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</row>
    <row r="342" spans="1:34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</row>
    <row r="343" spans="1:34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</row>
    <row r="344" spans="1:34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</row>
    <row r="345" spans="1:34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</row>
    <row r="346" spans="1:34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</row>
    <row r="347" spans="1:34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</row>
    <row r="348" spans="1:34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</row>
    <row r="349" spans="1:34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</row>
    <row r="350" spans="1:34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</row>
    <row r="351" spans="1:34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</row>
    <row r="352" spans="1:34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</row>
    <row r="353" spans="1:34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</row>
    <row r="354" spans="1:34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</row>
    <row r="355" spans="1:34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</row>
    <row r="356" spans="1:34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</row>
    <row r="357" spans="1:34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</row>
    <row r="358" spans="1:34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</row>
    <row r="359" spans="1:34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</row>
    <row r="360" spans="1:34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</row>
    <row r="361" spans="1:34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</row>
    <row r="362" spans="1:34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</row>
    <row r="363" spans="1:34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</row>
    <row r="364" spans="1:34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</row>
    <row r="365" spans="1:34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</row>
    <row r="366" spans="1:34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</row>
    <row r="367" spans="1:34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</row>
    <row r="368" spans="1:34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</row>
    <row r="369" spans="1:34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</row>
    <row r="370" spans="1:34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</row>
    <row r="371" spans="1:34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</row>
    <row r="372" spans="1:34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</row>
    <row r="373" spans="1:34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</row>
    <row r="374" spans="1:34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</row>
    <row r="375" spans="1:34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</row>
    <row r="376" spans="1:34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</row>
    <row r="377" spans="1:34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</row>
    <row r="378" spans="1:34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</row>
    <row r="379" spans="1:34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</row>
    <row r="380" spans="1:34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</row>
    <row r="381" spans="1:34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</row>
    <row r="382" spans="1:34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</row>
    <row r="383" spans="1:34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</row>
    <row r="384" spans="1:34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</row>
    <row r="385" spans="1:34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</row>
    <row r="386" spans="1:34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</row>
    <row r="387" spans="1:34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</row>
    <row r="388" spans="1:34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</row>
    <row r="389" spans="1:34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</row>
    <row r="390" spans="1:34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</row>
    <row r="391" spans="1:34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</row>
    <row r="392" spans="1:34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</row>
    <row r="393" spans="1:34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</row>
    <row r="394" spans="1:34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</row>
    <row r="395" spans="1:34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</row>
    <row r="396" spans="1:34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</row>
    <row r="397" spans="1:34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</row>
    <row r="398" spans="1:34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</row>
    <row r="399" spans="1:34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</row>
    <row r="400" spans="1:34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</row>
    <row r="401" spans="1:34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</row>
    <row r="402" spans="1:34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</row>
    <row r="403" spans="1:34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</row>
    <row r="404" spans="1:34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</row>
    <row r="405" spans="1:34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</row>
    <row r="406" spans="1:34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</row>
    <row r="407" spans="1:34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</row>
    <row r="408" spans="1:34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</row>
    <row r="409" spans="1:34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</row>
    <row r="410" spans="1:34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</row>
    <row r="411" spans="1:34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</row>
    <row r="412" spans="1:34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</row>
    <row r="413" spans="1:34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</row>
    <row r="414" spans="1:34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</row>
    <row r="415" spans="1:34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</row>
    <row r="416" spans="1:34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</row>
    <row r="417" spans="1:34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</row>
    <row r="418" spans="1:34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</row>
    <row r="419" spans="1:34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</row>
    <row r="420" spans="1:34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</row>
    <row r="421" spans="1:34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</row>
    <row r="422" spans="1:34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</row>
    <row r="423" spans="1:34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</row>
    <row r="424" spans="1:34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</row>
    <row r="425" spans="1:34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</row>
    <row r="426" spans="1:34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</row>
    <row r="427" spans="1:34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</row>
    <row r="428" spans="1:34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</row>
    <row r="429" spans="1:34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</row>
    <row r="430" spans="1:34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</row>
    <row r="431" spans="1:34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</row>
    <row r="432" spans="1:34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</row>
    <row r="433" spans="1:34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</row>
    <row r="434" spans="1:34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</row>
    <row r="435" spans="1:34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</row>
    <row r="436" spans="1:34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</row>
    <row r="437" spans="1:34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</row>
    <row r="438" spans="1:34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</row>
    <row r="439" spans="1:34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</row>
    <row r="440" spans="1:34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</row>
    <row r="441" spans="1:34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</row>
    <row r="442" spans="1:34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</row>
    <row r="443" spans="1:34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</row>
    <row r="444" spans="1:34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</row>
    <row r="445" spans="1:34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</row>
    <row r="446" spans="1:34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</row>
    <row r="447" spans="1:34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</row>
    <row r="448" spans="1:34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</row>
    <row r="449" spans="1:34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</row>
    <row r="450" spans="1:34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</row>
    <row r="451" spans="1:34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</row>
    <row r="452" spans="1:34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</row>
    <row r="453" spans="1:34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</row>
    <row r="454" spans="1:34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</row>
    <row r="455" spans="1:34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</row>
    <row r="456" spans="1:34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</row>
    <row r="457" spans="1:34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</row>
    <row r="458" spans="1:34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</row>
    <row r="459" spans="1:34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</row>
    <row r="460" spans="1:34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</row>
    <row r="461" spans="1:34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</row>
    <row r="462" spans="1:34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</row>
    <row r="463" spans="1:34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</row>
    <row r="464" spans="1:34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</row>
    <row r="465" spans="1:34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</row>
    <row r="466" spans="1:34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</row>
    <row r="467" spans="1:34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</row>
    <row r="468" spans="1:34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</row>
    <row r="469" spans="1:34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</row>
    <row r="470" spans="1:34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</row>
    <row r="471" spans="1:34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</row>
    <row r="472" spans="1:34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</row>
    <row r="473" spans="1:34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</row>
    <row r="474" spans="1:34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</row>
    <row r="475" spans="1:34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</row>
    <row r="476" spans="1:34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</row>
    <row r="477" spans="1:34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</row>
    <row r="478" spans="1:34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</row>
    <row r="479" spans="1:34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</row>
    <row r="480" spans="1:34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</row>
    <row r="481" spans="1:34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</row>
    <row r="482" spans="1:34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</row>
    <row r="483" spans="1:34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</row>
    <row r="484" spans="1:34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</row>
    <row r="485" spans="1:34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</row>
    <row r="486" spans="1:34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</row>
    <row r="487" spans="1:34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</row>
    <row r="488" spans="1:34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</row>
    <row r="489" spans="1:34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</row>
    <row r="490" spans="1:34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</row>
    <row r="491" spans="1:34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</row>
    <row r="492" spans="1:34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</row>
    <row r="493" spans="1:34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</row>
    <row r="494" spans="1:34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</row>
    <row r="495" spans="1:34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</row>
    <row r="496" spans="1:34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</row>
    <row r="497" spans="1:34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</row>
    <row r="498" spans="1:34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</row>
    <row r="499" spans="1:34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</row>
    <row r="500" spans="1:34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</row>
    <row r="501" spans="1:34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</row>
    <row r="502" spans="1:34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</row>
    <row r="503" spans="1:34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</row>
    <row r="504" spans="1:34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</row>
    <row r="505" spans="1:34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</row>
    <row r="506" spans="1:34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</row>
    <row r="507" spans="1:34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</row>
    <row r="508" spans="1:34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</row>
    <row r="509" spans="1:34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</row>
    <row r="510" spans="1:34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</row>
    <row r="511" spans="1:34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</row>
    <row r="512" spans="1:34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</row>
    <row r="513" spans="1:34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</row>
    <row r="514" spans="1:34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</row>
    <row r="515" spans="1:34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</row>
    <row r="516" spans="1:34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</row>
    <row r="517" spans="1:34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</row>
    <row r="518" spans="1:34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</row>
    <row r="519" spans="1:34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</row>
    <row r="520" spans="1:34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</row>
    <row r="521" spans="1:34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</row>
    <row r="522" spans="1:34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</row>
    <row r="523" spans="1:34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</row>
    <row r="524" spans="1:34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</row>
    <row r="525" spans="1:34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</row>
    <row r="526" spans="1:34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</row>
    <row r="527" spans="1:34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</row>
    <row r="528" spans="1:34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</row>
    <row r="529" spans="1:34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</row>
    <row r="530" spans="1:34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</row>
    <row r="531" spans="1:34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</row>
    <row r="532" spans="1:34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</row>
    <row r="533" spans="1:34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</row>
    <row r="534" spans="1:34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</row>
    <row r="535" spans="1:34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</row>
    <row r="536" spans="1:34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</row>
    <row r="537" spans="1:34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</row>
    <row r="538" spans="1:34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</row>
    <row r="539" spans="1:34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</row>
    <row r="540" spans="1:34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</row>
    <row r="541" spans="1:34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</row>
    <row r="542" spans="1:34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</row>
    <row r="543" spans="1:34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</row>
    <row r="544" spans="1:34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</row>
    <row r="545" spans="1:34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</row>
    <row r="546" spans="1:34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</row>
    <row r="547" spans="1:34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</row>
    <row r="548" spans="1:34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</row>
    <row r="549" spans="1:34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</row>
    <row r="550" spans="1:34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</row>
    <row r="551" spans="1:34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</row>
    <row r="552" spans="1:34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</row>
    <row r="553" spans="1:34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</row>
    <row r="554" spans="1:34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</row>
    <row r="555" spans="1:34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</row>
    <row r="556" spans="1:34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</row>
    <row r="557" spans="1:34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</row>
    <row r="558" spans="1:34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</row>
    <row r="559" spans="1:34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</row>
    <row r="560" spans="1:34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</row>
    <row r="561" spans="1:34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</row>
    <row r="562" spans="1:34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</row>
    <row r="563" spans="1:34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</row>
    <row r="564" spans="1:34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</row>
    <row r="565" spans="1:34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</row>
    <row r="566" spans="1:34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</row>
    <row r="567" spans="1:34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</row>
    <row r="568" spans="1:34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</row>
    <row r="569" spans="1:34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</row>
    <row r="570" spans="1:34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</row>
    <row r="571" spans="1:34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</row>
    <row r="572" spans="1:34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</row>
    <row r="573" spans="1:34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</row>
    <row r="574" spans="1:34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</row>
    <row r="575" spans="1:34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</row>
    <row r="576" spans="1:34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</row>
    <row r="577" spans="1:34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</row>
    <row r="578" spans="1:34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</row>
    <row r="579" spans="1:34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</row>
    <row r="580" spans="1:34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</row>
    <row r="581" spans="1:34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</row>
    <row r="582" spans="1:34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</row>
    <row r="583" spans="1:34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</row>
    <row r="584" spans="1:34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</row>
    <row r="585" spans="1:34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</row>
    <row r="586" spans="1:34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</row>
    <row r="587" spans="1:34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</row>
    <row r="588" spans="1:34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</row>
    <row r="589" spans="1:34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</row>
    <row r="590" spans="1:34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</row>
    <row r="591" spans="1:34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</row>
    <row r="592" spans="1:34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</row>
    <row r="593" spans="1:34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</row>
    <row r="594" spans="1:34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</row>
    <row r="595" spans="1:34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</row>
    <row r="596" spans="1:34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</row>
    <row r="597" spans="1:34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</row>
    <row r="598" spans="1:34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</row>
    <row r="599" spans="1:34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</row>
    <row r="600" spans="1:34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</row>
    <row r="601" spans="1:34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</row>
    <row r="602" spans="1:34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</row>
    <row r="603" spans="1:34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</row>
    <row r="604" spans="1:34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</row>
    <row r="605" spans="1:34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</row>
    <row r="606" spans="1:34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</row>
    <row r="607" spans="1:34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</row>
    <row r="608" spans="1:34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</row>
    <row r="609" spans="1:34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</row>
    <row r="610" spans="1:34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</row>
    <row r="611" spans="1:34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</row>
    <row r="612" spans="1:34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</row>
    <row r="613" spans="1:34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</row>
    <row r="614" spans="1:34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</row>
    <row r="615" spans="1:34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</row>
    <row r="616" spans="1:34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</row>
    <row r="617" spans="1:34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</row>
    <row r="618" spans="1:34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</row>
    <row r="619" spans="1:34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</row>
    <row r="620" spans="1:34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</row>
    <row r="621" spans="1:34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</row>
    <row r="622" spans="1:34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</row>
    <row r="623" spans="1:34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</row>
    <row r="624" spans="1:34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</row>
    <row r="625" spans="1:34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</row>
    <row r="626" spans="1:34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</row>
    <row r="627" spans="1:34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</row>
    <row r="628" spans="1:34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</row>
    <row r="629" spans="1:34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</row>
    <row r="630" spans="1:34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</row>
    <row r="631" spans="1:34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</row>
    <row r="632" spans="1:34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</row>
    <row r="633" spans="1:34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</row>
    <row r="634" spans="1:34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</row>
    <row r="635" spans="1:34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</row>
    <row r="636" spans="1:34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</row>
    <row r="637" spans="1:34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</row>
    <row r="638" spans="1:34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</row>
    <row r="639" spans="1:34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</row>
    <row r="640" spans="1:34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</row>
    <row r="641" spans="1:34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</row>
    <row r="642" spans="1:34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</row>
    <row r="643" spans="1:34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</row>
    <row r="644" spans="1:34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</row>
    <row r="645" spans="1:34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</row>
    <row r="646" spans="1:34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</row>
    <row r="647" spans="1:34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</row>
    <row r="648" spans="1:34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</row>
    <row r="649" spans="1:34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</row>
    <row r="650" spans="1:34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</row>
    <row r="651" spans="1:34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</row>
    <row r="652" spans="1:34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</row>
    <row r="653" spans="1:34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</row>
    <row r="654" spans="1:34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</row>
    <row r="655" spans="1:34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</row>
    <row r="656" spans="1:34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</row>
    <row r="657" spans="1:34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</row>
    <row r="658" spans="1:34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</row>
    <row r="659" spans="1:34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</row>
    <row r="660" spans="1:34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</row>
    <row r="661" spans="1:34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</row>
    <row r="662" spans="1:34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</row>
    <row r="663" spans="1:34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</row>
    <row r="664" spans="1:34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</row>
    <row r="665" spans="1:34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</row>
    <row r="666" spans="1:34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</row>
    <row r="667" spans="1:34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</row>
    <row r="668" spans="1:34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</row>
    <row r="669" spans="1:34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</row>
    <row r="670" spans="1:34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</row>
    <row r="671" spans="1:34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</row>
    <row r="672" spans="1:34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</row>
    <row r="673" spans="1:34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</row>
    <row r="674" spans="1:34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</row>
    <row r="675" spans="1:34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</row>
    <row r="676" spans="1:34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</row>
    <row r="677" spans="1:34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</row>
    <row r="678" spans="1:34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</row>
    <row r="679" spans="1:34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</row>
    <row r="680" spans="1:34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</row>
    <row r="681" spans="1:34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</row>
    <row r="682" spans="1:34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</row>
    <row r="683" spans="1:34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</row>
    <row r="684" spans="1:34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</row>
    <row r="685" spans="1:34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</row>
    <row r="686" spans="1:34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</row>
    <row r="687" spans="1:34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</row>
    <row r="688" spans="1:34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</row>
    <row r="689" spans="1:34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</row>
    <row r="690" spans="1:34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</row>
    <row r="691" spans="1:34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</row>
    <row r="692" spans="1:34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</row>
    <row r="693" spans="1:34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</row>
    <row r="694" spans="1:34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</row>
    <row r="695" spans="1:34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</row>
    <row r="696" spans="1:34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</row>
    <row r="697" spans="1:34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</row>
    <row r="698" spans="1:34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</row>
    <row r="699" spans="1:34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</row>
    <row r="700" spans="1:34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</row>
    <row r="701" spans="1:34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</row>
    <row r="702" spans="1:34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</row>
    <row r="703" spans="1:34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</row>
    <row r="704" spans="1:34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</row>
    <row r="705" spans="1:34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</row>
    <row r="706" spans="1:34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</row>
    <row r="707" spans="1:34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</row>
    <row r="708" spans="1:34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</row>
    <row r="709" spans="1:34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</row>
    <row r="710" spans="1:34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</row>
    <row r="711" spans="1:34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</row>
    <row r="712" spans="1:34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</row>
    <row r="713" spans="1:34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</row>
    <row r="714" spans="1:34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</row>
    <row r="715" spans="1:34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</row>
    <row r="716" spans="1:34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</row>
    <row r="717" spans="1:34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</row>
    <row r="718" spans="1:34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</row>
    <row r="719" spans="1:34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</row>
    <row r="720" spans="1:34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</row>
    <row r="721" spans="1:34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</row>
    <row r="722" spans="1:34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</row>
    <row r="723" spans="1:34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</row>
    <row r="724" spans="1:34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</row>
    <row r="725" spans="1:34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</row>
    <row r="726" spans="1:34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</row>
    <row r="727" spans="1:34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</row>
    <row r="728" spans="1:34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</row>
    <row r="729" spans="1:34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</row>
    <row r="730" spans="1:34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</row>
    <row r="731" spans="1:34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</row>
    <row r="732" spans="1:34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</row>
    <row r="733" spans="1:34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</row>
    <row r="734" spans="1:34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</row>
    <row r="735" spans="1:34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</row>
    <row r="736" spans="1:34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</row>
    <row r="737" spans="1:34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</row>
    <row r="738" spans="1:34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</row>
    <row r="739" spans="1:34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</row>
    <row r="740" spans="1:34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</row>
    <row r="741" spans="1:34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</row>
    <row r="742" spans="1:34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</row>
    <row r="743" spans="1:34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</row>
    <row r="744" spans="1:34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</row>
    <row r="745" spans="1:34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</row>
    <row r="746" spans="1:34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</row>
    <row r="747" spans="1:34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</row>
    <row r="748" spans="1:34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</row>
    <row r="749" spans="1:34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</row>
    <row r="750" spans="1:34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</row>
    <row r="751" spans="1:34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</row>
    <row r="752" spans="1:34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</row>
    <row r="753" spans="1:34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</row>
    <row r="754" spans="1:34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</row>
    <row r="755" spans="1:34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</row>
    <row r="756" spans="1:34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</row>
    <row r="757" spans="1:34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</row>
    <row r="758" spans="1:34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</row>
    <row r="759" spans="1:34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</row>
    <row r="760" spans="1:34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</row>
    <row r="761" spans="1:34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</row>
    <row r="762" spans="1:34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</row>
    <row r="763" spans="1:34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</row>
    <row r="764" spans="1:34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</row>
    <row r="765" spans="1:34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</row>
    <row r="766" spans="1:34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</row>
    <row r="767" spans="1:34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</row>
    <row r="768" spans="1:34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</row>
    <row r="769" spans="1:34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</row>
    <row r="770" spans="1:34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</row>
    <row r="771" spans="1:34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</row>
    <row r="772" spans="1:34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</row>
    <row r="773" spans="1:34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</row>
    <row r="774" spans="1:34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</row>
    <row r="775" spans="1:34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</row>
    <row r="776" spans="1:34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</row>
    <row r="777" spans="1:34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</row>
    <row r="778" spans="1:34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</row>
    <row r="779" spans="1:34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</row>
    <row r="780" spans="1:34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</row>
    <row r="781" spans="1:34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</row>
    <row r="782" spans="1:34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</row>
    <row r="783" spans="1:34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</row>
    <row r="784" spans="1:34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</row>
    <row r="785" spans="1:34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</row>
    <row r="786" spans="1:34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</row>
    <row r="787" spans="1:34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</row>
    <row r="788" spans="1:34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</row>
    <row r="789" spans="1:34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</row>
    <row r="790" spans="1:34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</row>
    <row r="791" spans="1:34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</row>
    <row r="792" spans="1:34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</row>
    <row r="793" spans="1:34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</row>
    <row r="794" spans="1:34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</row>
    <row r="795" spans="1:34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</row>
    <row r="796" spans="1:34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</row>
    <row r="797" spans="1:34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</row>
    <row r="798" spans="1:34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</row>
    <row r="799" spans="1:34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</row>
    <row r="800" spans="1:34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</row>
    <row r="801" spans="1:34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</row>
    <row r="802" spans="1:34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</row>
    <row r="803" spans="1:34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</row>
    <row r="804" spans="1:34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</row>
    <row r="805" spans="1:34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</row>
    <row r="806" spans="1:34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</row>
    <row r="807" spans="1:34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</row>
    <row r="808" spans="1:34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</row>
    <row r="809" spans="1:34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</row>
    <row r="810" spans="1:34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</row>
    <row r="811" spans="1:34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</row>
    <row r="812" spans="1:34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</row>
    <row r="813" spans="1:34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</row>
    <row r="814" spans="1:34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</row>
    <row r="815" spans="1:34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</row>
    <row r="816" spans="1:34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</row>
    <row r="817" spans="1:34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</row>
    <row r="818" spans="1:34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</row>
    <row r="819" spans="1:34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</row>
    <row r="820" spans="1:34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</row>
    <row r="821" spans="1:34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</row>
    <row r="822" spans="1:34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</row>
    <row r="823" spans="1:34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</row>
    <row r="824" spans="1:34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</row>
    <row r="825" spans="1:34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</row>
    <row r="826" spans="1:34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</row>
    <row r="827" spans="1:34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</row>
    <row r="828" spans="1:34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</row>
    <row r="829" spans="1:34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</row>
    <row r="830" spans="1:34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</row>
    <row r="831" spans="1:34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</row>
    <row r="832" spans="1:34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</row>
    <row r="833" spans="1:34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</row>
    <row r="834" spans="1:34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</row>
    <row r="835" spans="1:34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</row>
    <row r="836" spans="1:34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</row>
    <row r="837" spans="1:34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</row>
    <row r="838" spans="1:34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</row>
    <row r="839" spans="1:34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</row>
    <row r="840" spans="1:34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</row>
    <row r="841" spans="1:34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</row>
    <row r="842" spans="1:34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</row>
    <row r="843" spans="1:34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</row>
    <row r="844" spans="1:34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</row>
    <row r="845" spans="1:34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</row>
    <row r="846" spans="1:34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</row>
    <row r="847" spans="1:34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</row>
    <row r="848" spans="1:34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</row>
    <row r="849" spans="1:34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</row>
    <row r="850" spans="1:34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</row>
    <row r="851" spans="1:34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</row>
    <row r="852" spans="1:34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</row>
    <row r="853" spans="1:34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</row>
    <row r="854" spans="1:34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</row>
    <row r="855" spans="1:34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</row>
    <row r="856" spans="1:34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</row>
    <row r="857" spans="1:34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</row>
    <row r="858" spans="1:34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</row>
    <row r="859" spans="1:34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</row>
    <row r="860" spans="1:34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</row>
    <row r="861" spans="1:34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</row>
    <row r="862" spans="1:34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</row>
    <row r="863" spans="1:34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</row>
    <row r="864" spans="1:34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</row>
    <row r="865" spans="1:34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</row>
    <row r="866" spans="1:34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</row>
    <row r="867" spans="1:34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</row>
    <row r="868" spans="1:34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</row>
    <row r="869" spans="1:34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</row>
    <row r="870" spans="1:34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</row>
    <row r="871" spans="1:34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</row>
    <row r="872" spans="1:34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</row>
    <row r="873" spans="1:34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</row>
    <row r="874" spans="1:34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</row>
    <row r="875" spans="1:34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</row>
    <row r="876" spans="1:34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</row>
    <row r="877" spans="1:34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</row>
    <row r="878" spans="1:34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</row>
    <row r="879" spans="1:34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</row>
    <row r="880" spans="1:34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</row>
    <row r="881" spans="1:34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</row>
    <row r="882" spans="1:34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</row>
    <row r="883" spans="1:34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</row>
    <row r="884" spans="1:34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</row>
    <row r="885" spans="1:34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</row>
    <row r="886" spans="1:34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</row>
    <row r="887" spans="1:34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</row>
    <row r="888" spans="1:34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</row>
    <row r="889" spans="1:34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</row>
    <row r="890" spans="1:34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</row>
    <row r="891" spans="1:34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</row>
    <row r="892" spans="1:34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</row>
    <row r="893" spans="1:34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</row>
    <row r="894" spans="1:34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</row>
    <row r="895" spans="1:34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</row>
    <row r="896" spans="1:34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</row>
    <row r="897" spans="1:34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</row>
    <row r="898" spans="1:34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</row>
    <row r="899" spans="1:34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</row>
    <row r="900" spans="1:34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</row>
    <row r="901" spans="1:34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</row>
    <row r="902" spans="1:34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</row>
    <row r="903" spans="1:34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</row>
    <row r="904" spans="1:34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</row>
    <row r="905" spans="1:34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</row>
    <row r="906" spans="1:34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</row>
    <row r="907" spans="1:34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</row>
    <row r="908" spans="1:34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</row>
    <row r="909" spans="1:34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</row>
    <row r="910" spans="1:34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</row>
    <row r="911" spans="1:34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</row>
    <row r="912" spans="1:34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</row>
    <row r="913" spans="1:34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</row>
    <row r="914" spans="1:34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</row>
    <row r="915" spans="1:34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</row>
    <row r="916" spans="1:34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</row>
    <row r="917" spans="1:34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</row>
    <row r="918" spans="1:34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</row>
    <row r="919" spans="1:34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</row>
    <row r="920" spans="1:34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</row>
    <row r="921" spans="1:34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</row>
    <row r="922" spans="1:34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</row>
    <row r="923" spans="1:34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</row>
    <row r="924" spans="1:34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</row>
    <row r="925" spans="1:34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</row>
    <row r="926" spans="1:34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</row>
    <row r="927" spans="1:34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</row>
    <row r="928" spans="1:34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</row>
    <row r="929" spans="1:34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</row>
    <row r="930" spans="1:34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</row>
    <row r="931" spans="1:34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</row>
    <row r="932" spans="1:34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</row>
    <row r="933" spans="1:34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</row>
    <row r="934" spans="1:34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</row>
    <row r="935" spans="1:34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</row>
    <row r="936" spans="1:34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</row>
    <row r="937" spans="1:34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</row>
    <row r="938" spans="1:34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</row>
    <row r="939" spans="1:34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</row>
    <row r="940" spans="1:34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</row>
    <row r="941" spans="1:34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</row>
    <row r="942" spans="1:34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</row>
    <row r="943" spans="1:34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</row>
    <row r="944" spans="1:34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</row>
    <row r="945" spans="1:34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</row>
    <row r="946" spans="1:34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</row>
    <row r="947" spans="1:34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</row>
    <row r="948" spans="1:34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</row>
    <row r="949" spans="1:34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</row>
    <row r="950" spans="1:34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</row>
    <row r="951" spans="1:34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</row>
    <row r="952" spans="1:34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</row>
    <row r="953" spans="1:34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</row>
    <row r="954" spans="1:34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</row>
    <row r="955" spans="1:34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</row>
    <row r="956" spans="1:34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</row>
    <row r="957" spans="1:34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</row>
    <row r="958" spans="1:34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</row>
    <row r="959" spans="1:34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</row>
    <row r="960" spans="1:34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</row>
    <row r="961" spans="1:34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</row>
    <row r="962" spans="1:34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</row>
    <row r="963" spans="1:34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</row>
    <row r="964" spans="1:34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</row>
    <row r="965" spans="1:34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</row>
    <row r="966" spans="1:34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</row>
    <row r="967" spans="1:34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</row>
    <row r="968" spans="1:34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</row>
    <row r="969" spans="1:34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</row>
    <row r="970" spans="1:34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</row>
    <row r="971" spans="1:34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</row>
    <row r="972" spans="1:34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</row>
    <row r="973" spans="1:34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</row>
    <row r="974" spans="1:34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</row>
    <row r="975" spans="1:34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</row>
    <row r="976" spans="1:34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</row>
    <row r="977" spans="1:34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</row>
    <row r="978" spans="1:34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</row>
    <row r="979" spans="1:34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</row>
    <row r="980" spans="1:34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</row>
    <row r="981" spans="1:34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</row>
    <row r="982" spans="1:34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</row>
    <row r="983" spans="1:34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</row>
    <row r="984" spans="1:34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</row>
    <row r="985" spans="1:34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</row>
    <row r="986" spans="1:34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</row>
    <row r="987" spans="1:34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</row>
    <row r="988" spans="1:34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</row>
    <row r="989" spans="1:34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</row>
    <row r="990" spans="1:34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</row>
    <row r="991" spans="1:34" ht="14.2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</row>
    <row r="992" spans="1:34" ht="14.2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</row>
    <row r="993" spans="1:34" ht="14.2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</row>
    <row r="994" spans="1:34" ht="14.2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</row>
    <row r="995" spans="1:34" ht="14.2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</row>
    <row r="996" spans="1:34" ht="14.2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</row>
    <row r="997" spans="1:34" ht="14.2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</row>
    <row r="998" spans="1:34" ht="14.25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</row>
    <row r="999" spans="1:34" ht="14.25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</row>
    <row r="1000" spans="1:34" ht="14.25" customHeight="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</row>
  </sheetData>
  <mergeCells count="1">
    <mergeCell ref="B4:F5"/>
  </mergeCells>
  <pageMargins left="0.7" right="0.7" top="0.75" bottom="0.75" header="0" footer="0"/>
  <pageSetup orientation="portrait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J990"/>
  <sheetViews>
    <sheetView topLeftCell="A49" zoomScale="85" zoomScaleNormal="85" workbookViewId="0">
      <selection activeCell="E12" sqref="E12:E214"/>
    </sheetView>
  </sheetViews>
  <sheetFormatPr defaultColWidth="12.625" defaultRowHeight="15" customHeight="1" x14ac:dyDescent="0.2"/>
  <cols>
    <col min="1" max="1" width="15.5" customWidth="1"/>
    <col min="2" max="2" width="1.625" customWidth="1"/>
    <col min="3" max="3" width="10.125" customWidth="1"/>
    <col min="4" max="4" width="1.125" customWidth="1"/>
    <col min="5" max="5" width="12.125" customWidth="1"/>
    <col min="6" max="6" width="2.125" customWidth="1"/>
    <col min="7" max="8" width="13.125" customWidth="1"/>
    <col min="9" max="9" width="9.875" customWidth="1"/>
    <col min="10" max="10" width="13.625" customWidth="1"/>
    <col min="11" max="11" width="18.625" customWidth="1"/>
    <col min="12" max="12" width="16.375" customWidth="1"/>
    <col min="13" max="13" width="1.5" customWidth="1"/>
    <col min="14" max="14" width="8" customWidth="1"/>
    <col min="15" max="15" width="1.375" customWidth="1"/>
    <col min="16" max="16" width="8" customWidth="1"/>
    <col min="17" max="17" width="1.5" customWidth="1"/>
    <col min="18" max="18" width="10.875" customWidth="1"/>
    <col min="19" max="19" width="1.5" customWidth="1"/>
    <col min="20" max="20" width="11.5" customWidth="1"/>
    <col min="21" max="21" width="11.125" customWidth="1"/>
    <col min="22" max="22" width="10.875" customWidth="1"/>
    <col min="23" max="23" width="14.875" customWidth="1"/>
    <col min="24" max="24" width="15.375" customWidth="1"/>
    <col min="25" max="25" width="15.5" customWidth="1"/>
    <col min="26" max="26" width="1.375" customWidth="1"/>
    <col min="27" max="28" width="1.625" customWidth="1"/>
    <col min="29" max="29" width="21.375" customWidth="1"/>
    <col min="30" max="30" width="1.125" customWidth="1"/>
    <col min="31" max="32" width="14.125" customWidth="1"/>
    <col min="33" max="33" width="14" customWidth="1"/>
    <col min="34" max="34" width="2.625" customWidth="1"/>
    <col min="35" max="35" width="14.5" customWidth="1"/>
    <col min="36" max="36" width="25" customWidth="1"/>
    <col min="37" max="47" width="8" customWidth="1"/>
  </cols>
  <sheetData>
    <row r="1" spans="1:62" ht="14.25" customHeight="1" x14ac:dyDescent="0.2">
      <c r="A1" s="1"/>
      <c r="B1" s="1"/>
      <c r="C1" s="1"/>
      <c r="D1" s="1"/>
      <c r="E1" s="1"/>
      <c r="F1" s="1"/>
      <c r="G1" s="18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89"/>
      <c r="AJ1" s="189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</row>
    <row r="2" spans="1:62" ht="48.75" customHeight="1" x14ac:dyDescent="0.2">
      <c r="A2" s="1"/>
      <c r="B2" s="1"/>
      <c r="C2" s="1"/>
      <c r="D2" s="1"/>
      <c r="E2" s="1"/>
      <c r="F2" s="1"/>
      <c r="G2" s="188"/>
      <c r="H2" s="190"/>
      <c r="I2" s="1"/>
      <c r="J2" s="158"/>
      <c r="K2" s="158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89"/>
      <c r="AJ2" s="189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</row>
    <row r="3" spans="1:62" ht="35.25" customHeight="1" x14ac:dyDescent="0.2">
      <c r="A3" s="1"/>
      <c r="B3" s="1"/>
      <c r="C3" s="1"/>
      <c r="D3" s="1"/>
      <c r="E3" s="1"/>
      <c r="F3" s="1"/>
      <c r="G3" s="188"/>
      <c r="H3" s="190"/>
      <c r="I3" s="1"/>
      <c r="J3" s="1"/>
      <c r="K3" s="158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89"/>
      <c r="AJ3" s="189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</row>
    <row r="4" spans="1:62" ht="15" customHeight="1" x14ac:dyDescent="0.25">
      <c r="A4" s="2"/>
      <c r="B4" s="632" t="s">
        <v>387</v>
      </c>
      <c r="C4" s="632"/>
      <c r="D4" s="632"/>
      <c r="E4" s="632"/>
      <c r="F4" s="632"/>
      <c r="G4" s="632"/>
      <c r="H4" s="632"/>
      <c r="I4" s="632"/>
      <c r="J4" s="632"/>
      <c r="K4" s="632"/>
      <c r="L4" s="63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191"/>
      <c r="AJ4" s="191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</row>
    <row r="5" spans="1:62" ht="15" customHeight="1" x14ac:dyDescent="0.25">
      <c r="A5" s="2"/>
      <c r="B5" s="632"/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71"/>
      <c r="AJ5" s="271"/>
      <c r="AK5" s="271"/>
      <c r="AL5" s="271"/>
      <c r="AM5" s="271"/>
      <c r="AN5" s="271"/>
      <c r="AO5" s="271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</row>
    <row r="6" spans="1:62" ht="14.25" customHeight="1" x14ac:dyDescent="0.2">
      <c r="A6" s="3"/>
      <c r="B6" s="3"/>
      <c r="C6" s="3" t="s">
        <v>386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268"/>
      <c r="AJ6" s="268"/>
      <c r="AK6" s="268"/>
      <c r="AL6" s="268"/>
      <c r="AM6" s="268"/>
      <c r="AN6" s="268"/>
      <c r="AO6" s="268"/>
      <c r="AP6" s="3"/>
      <c r="AQ6" s="3"/>
      <c r="AR6" s="3"/>
      <c r="AS6" s="3"/>
      <c r="AT6" s="3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</row>
    <row r="7" spans="1:62" ht="37.5" customHeight="1" x14ac:dyDescent="0.25">
      <c r="A7" s="3"/>
      <c r="B7" s="80"/>
      <c r="C7" s="159" t="s">
        <v>231</v>
      </c>
      <c r="D7" s="160"/>
      <c r="E7" s="160"/>
      <c r="F7" s="160"/>
      <c r="G7" s="160"/>
      <c r="H7" s="160"/>
      <c r="I7" s="160"/>
      <c r="J7" s="160"/>
      <c r="K7" s="160"/>
      <c r="L7" s="160"/>
      <c r="M7" s="80"/>
      <c r="N7" s="3"/>
      <c r="O7" s="80"/>
      <c r="P7" s="159" t="s">
        <v>358</v>
      </c>
      <c r="Q7" s="160"/>
      <c r="R7" s="160"/>
      <c r="S7" s="160"/>
      <c r="T7" s="160"/>
      <c r="U7" s="160"/>
      <c r="V7" s="160"/>
      <c r="W7" s="160"/>
      <c r="X7" s="160"/>
      <c r="Y7" s="160"/>
      <c r="Z7" s="80"/>
      <c r="AA7" s="3"/>
      <c r="AB7" s="192"/>
      <c r="AC7" s="635" t="s">
        <v>249</v>
      </c>
      <c r="AD7" s="636"/>
      <c r="AE7" s="636"/>
      <c r="AF7" s="636"/>
      <c r="AG7" s="634"/>
      <c r="AH7" s="193"/>
      <c r="AI7" s="14" t="s">
        <v>232</v>
      </c>
      <c r="AJ7" s="14" t="s">
        <v>233</v>
      </c>
      <c r="AK7" s="14"/>
      <c r="AL7" s="14"/>
      <c r="AM7" s="14"/>
      <c r="AN7" s="14"/>
      <c r="AO7" s="14"/>
      <c r="AP7" s="14"/>
      <c r="AQ7" s="14"/>
      <c r="AR7" s="14"/>
      <c r="AS7" s="14"/>
      <c r="AT7" s="3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</row>
    <row r="8" spans="1:62" ht="16.5" customHeight="1" x14ac:dyDescent="0.2">
      <c r="A8" s="3"/>
      <c r="B8" s="161"/>
      <c r="C8" s="162" t="s">
        <v>234</v>
      </c>
      <c r="D8" s="162"/>
      <c r="E8" s="163" t="s">
        <v>235</v>
      </c>
      <c r="F8" s="79"/>
      <c r="G8" s="163" t="s">
        <v>236</v>
      </c>
      <c r="H8" s="163" t="s">
        <v>237</v>
      </c>
      <c r="I8" s="163" t="s">
        <v>238</v>
      </c>
      <c r="J8" s="163" t="s">
        <v>239</v>
      </c>
      <c r="K8" s="251" t="s">
        <v>357</v>
      </c>
      <c r="L8" s="163" t="s">
        <v>178</v>
      </c>
      <c r="M8" s="80"/>
      <c r="N8" s="3"/>
      <c r="O8" s="161"/>
      <c r="P8" s="162" t="s">
        <v>234</v>
      </c>
      <c r="Q8" s="162"/>
      <c r="R8" s="163" t="s">
        <v>235</v>
      </c>
      <c r="S8" s="79"/>
      <c r="T8" s="163" t="s">
        <v>236</v>
      </c>
      <c r="U8" s="163" t="s">
        <v>237</v>
      </c>
      <c r="V8" s="163" t="s">
        <v>238</v>
      </c>
      <c r="W8" s="163" t="s">
        <v>239</v>
      </c>
      <c r="X8" s="163" t="s">
        <v>357</v>
      </c>
      <c r="Y8" s="163" t="s">
        <v>178</v>
      </c>
      <c r="Z8" s="80"/>
      <c r="AA8" s="3"/>
      <c r="AB8" s="192"/>
      <c r="AC8" s="194" t="s">
        <v>250</v>
      </c>
      <c r="AD8" s="195"/>
      <c r="AE8" s="194" t="s">
        <v>239</v>
      </c>
      <c r="AF8" s="194" t="s">
        <v>178</v>
      </c>
      <c r="AG8" s="194" t="s">
        <v>240</v>
      </c>
      <c r="AH8" s="192"/>
      <c r="AI8" s="304">
        <f>'Decision Tree'!N35</f>
        <v>14063.654769903998</v>
      </c>
      <c r="AJ8" s="304">
        <f>'Decision Tree'!N36</f>
        <v>4907.2569351040001</v>
      </c>
      <c r="AK8" s="14" t="s">
        <v>365</v>
      </c>
      <c r="AL8" s="14"/>
      <c r="AM8" s="14"/>
      <c r="AN8" s="14"/>
      <c r="AO8" s="14"/>
      <c r="AP8" s="14"/>
      <c r="AQ8" s="14"/>
      <c r="AR8" s="14"/>
      <c r="AS8" s="14"/>
      <c r="AT8" s="3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</row>
    <row r="9" spans="1:62" ht="5.25" customHeight="1" x14ac:dyDescent="0.2">
      <c r="A9" s="3"/>
      <c r="B9" s="80"/>
      <c r="C9" s="80"/>
      <c r="D9" s="80"/>
      <c r="E9" s="80"/>
      <c r="F9" s="80"/>
      <c r="G9" s="111"/>
      <c r="H9" s="111"/>
      <c r="I9" s="111"/>
      <c r="J9" s="111"/>
      <c r="K9" s="111"/>
      <c r="L9" s="111"/>
      <c r="M9" s="80"/>
      <c r="N9" s="3"/>
      <c r="O9" s="80"/>
      <c r="P9" s="80"/>
      <c r="Q9" s="80"/>
      <c r="R9" s="80"/>
      <c r="S9" s="80"/>
      <c r="T9" s="111"/>
      <c r="U9" s="111"/>
      <c r="V9" s="111"/>
      <c r="W9" s="111"/>
      <c r="X9" s="111"/>
      <c r="Y9" s="111"/>
      <c r="Z9" s="80"/>
      <c r="AA9" s="3"/>
      <c r="AB9" s="192"/>
      <c r="AC9" s="192"/>
      <c r="AD9" s="192"/>
      <c r="AE9" s="192"/>
      <c r="AF9" s="192"/>
      <c r="AG9" s="192"/>
      <c r="AH9" s="192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3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</row>
    <row r="10" spans="1:62" ht="15.75" customHeight="1" x14ac:dyDescent="0.2">
      <c r="A10" s="3"/>
      <c r="B10" s="80"/>
      <c r="C10" s="119" t="s">
        <v>435</v>
      </c>
      <c r="D10" s="80"/>
      <c r="E10" s="80"/>
      <c r="F10" s="80"/>
      <c r="G10" s="119">
        <f>cohortsize</f>
        <v>100</v>
      </c>
      <c r="H10" s="119">
        <v>0</v>
      </c>
      <c r="I10" s="80"/>
      <c r="J10" s="80"/>
      <c r="K10" s="80"/>
      <c r="L10" s="80"/>
      <c r="M10" s="80"/>
      <c r="N10" s="3"/>
      <c r="O10" s="80"/>
      <c r="P10" s="119" t="s">
        <v>435</v>
      </c>
      <c r="Q10" s="80"/>
      <c r="R10" s="80"/>
      <c r="S10" s="80"/>
      <c r="T10" s="119">
        <f>cohortsize</f>
        <v>100</v>
      </c>
      <c r="U10" s="80"/>
      <c r="V10" s="80"/>
      <c r="W10" s="80"/>
      <c r="X10" s="80"/>
      <c r="Y10" s="80"/>
      <c r="Z10" s="80"/>
      <c r="AA10" s="3"/>
      <c r="AB10" s="192"/>
      <c r="AC10" s="196" t="s">
        <v>251</v>
      </c>
      <c r="AD10" s="192"/>
      <c r="AE10" s="197">
        <f>J121</f>
        <v>89216.373629588692</v>
      </c>
      <c r="AF10" s="214">
        <f t="shared" ref="AF10" si="0">L121</f>
        <v>4.2054438818915285</v>
      </c>
      <c r="AG10" s="214">
        <f t="shared" ref="AG10" si="1">K121</f>
        <v>6.3863427306887042</v>
      </c>
      <c r="AH10" s="192"/>
      <c r="AI10" s="441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3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</row>
    <row r="11" spans="1:62" ht="14.25" customHeight="1" x14ac:dyDescent="0.2">
      <c r="A11" s="3" t="s">
        <v>495</v>
      </c>
      <c r="B11" s="80"/>
      <c r="C11" s="166">
        <v>0</v>
      </c>
      <c r="D11" s="165"/>
      <c r="E11" s="198">
        <v>0</v>
      </c>
      <c r="F11" s="199"/>
      <c r="G11" s="403">
        <f>G10*AI13</f>
        <v>81.2</v>
      </c>
      <c r="H11" s="256">
        <f>G10-G11</f>
        <v>18.799999999999997</v>
      </c>
      <c r="I11" s="169">
        <f t="shared" ref="I11:I119" si="2">SUM(G11:H11)</f>
        <v>100</v>
      </c>
      <c r="J11" s="170">
        <f>(AI8*G10)</f>
        <v>1406365.4769903999</v>
      </c>
      <c r="K11" s="255">
        <f t="shared" ref="K11:K16" si="3">G11</f>
        <v>81.2</v>
      </c>
      <c r="L11" s="200">
        <f>(G11*AI11)</f>
        <v>47.731433723076925</v>
      </c>
      <c r="M11" s="80"/>
      <c r="N11" s="3"/>
      <c r="O11" s="80"/>
      <c r="P11" s="166">
        <v>0</v>
      </c>
      <c r="Q11" s="165"/>
      <c r="R11" s="198">
        <v>0</v>
      </c>
      <c r="S11" s="80"/>
      <c r="T11" s="398">
        <f>T10*AJ13</f>
        <v>76.5</v>
      </c>
      <c r="U11" s="256">
        <f>T10-T11</f>
        <v>23.5</v>
      </c>
      <c r="V11" s="168">
        <f t="shared" ref="V11:V119" si="4">SUM(T11:U11)</f>
        <v>100</v>
      </c>
      <c r="W11" s="172">
        <f>(AJ8*T10)</f>
        <v>490725.69351040001</v>
      </c>
      <c r="X11" s="256">
        <f>T11</f>
        <v>76.5</v>
      </c>
      <c r="Y11" s="200">
        <f>T11*AJ11</f>
        <v>42.575118750000001</v>
      </c>
      <c r="Z11" s="80"/>
      <c r="AA11" s="3"/>
      <c r="AB11" s="192"/>
      <c r="AC11" s="196" t="s">
        <v>252</v>
      </c>
      <c r="AD11" s="192"/>
      <c r="AE11" s="201">
        <f>J123</f>
        <v>8921637.362958869</v>
      </c>
      <c r="AF11" s="219">
        <f>L123</f>
        <v>420.54438818915287</v>
      </c>
      <c r="AG11" s="219">
        <f>K123</f>
        <v>638.63427306887047</v>
      </c>
      <c r="AH11" s="192"/>
      <c r="AI11" s="306">
        <f>'Decision Tree'!O35</f>
        <v>0.58782553846153851</v>
      </c>
      <c r="AJ11" s="306">
        <f>'Decision Tree'!O36</f>
        <v>0.55653750000000002</v>
      </c>
      <c r="AK11" s="14" t="s">
        <v>366</v>
      </c>
      <c r="AL11" s="14"/>
      <c r="AM11" s="14"/>
      <c r="AN11" s="14"/>
      <c r="AO11" s="14"/>
      <c r="AP11" s="14"/>
      <c r="AQ11" s="14"/>
      <c r="AR11" s="14"/>
      <c r="AS11" s="14"/>
      <c r="AT11" s="3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</row>
    <row r="12" spans="1:62" ht="14.25" customHeight="1" x14ac:dyDescent="0.2">
      <c r="A12" s="272"/>
      <c r="B12" s="80"/>
      <c r="C12" s="173">
        <v>1</v>
      </c>
      <c r="D12" s="165"/>
      <c r="E12" s="198">
        <v>1.8675591784773737E-2</v>
      </c>
      <c r="F12" s="199"/>
      <c r="G12" s="404">
        <f>G10-H12</f>
        <v>79.683541947076378</v>
      </c>
      <c r="H12" s="176">
        <f>H11+(G11*E12)</f>
        <v>20.316458052923625</v>
      </c>
      <c r="I12" s="178">
        <f>SUM(G12:H12)</f>
        <v>100</v>
      </c>
      <c r="J12" s="153">
        <f>(G12*Parameters!B41)/(1+cDR)^'Markov Model_b'!cycle</f>
        <v>685545.61725276639</v>
      </c>
      <c r="K12" s="178">
        <f t="shared" si="3"/>
        <v>79.683541947076378</v>
      </c>
      <c r="L12" s="202">
        <f>(G12*(uPostT))/(1+oDR)^'Markov Model_b'!cycle</f>
        <v>60.408470703020505</v>
      </c>
      <c r="M12" s="80"/>
      <c r="N12" s="3"/>
      <c r="O12" s="80"/>
      <c r="P12" s="173">
        <v>1</v>
      </c>
      <c r="Q12" s="165"/>
      <c r="R12" s="198">
        <v>1.8675591784773737E-2</v>
      </c>
      <c r="S12" s="80"/>
      <c r="T12" s="151">
        <f t="shared" ref="T12:T119" si="5">$T$10-U12</f>
        <v>75.071317228464807</v>
      </c>
      <c r="U12" s="176">
        <f>(T11*'Markov Model_b'!mr_2)+U11</f>
        <v>24.92868277153519</v>
      </c>
      <c r="V12" s="176">
        <f t="shared" si="4"/>
        <v>100</v>
      </c>
      <c r="W12" s="180">
        <f>(T12*Parameters!$B$41)/(1+cDR)^'Markov Model_b'!cycle2</f>
        <v>645865.02118025394</v>
      </c>
      <c r="X12" s="176">
        <f>T12</f>
        <v>75.071317228464807</v>
      </c>
      <c r="Y12" s="202">
        <f>(T12*(uPostT))/(1+oDR)^'Markov Model_b'!cycle</f>
        <v>56.911921290407236</v>
      </c>
      <c r="Z12" s="80"/>
      <c r="AA12" s="3"/>
      <c r="AB12" s="192"/>
      <c r="AC12" s="273" t="s">
        <v>369</v>
      </c>
      <c r="AD12" s="192"/>
      <c r="AE12" s="201">
        <f t="shared" ref="AE12" si="6">W121</f>
        <v>75710.003151432553</v>
      </c>
      <c r="AF12" s="219">
        <f t="shared" ref="AF12" si="7">Y121</f>
        <v>3.9380899826545335</v>
      </c>
      <c r="AG12" s="219">
        <f t="shared" ref="AG12" si="8">X121</f>
        <v>6.0166898879025412</v>
      </c>
      <c r="AH12" s="192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3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</row>
    <row r="13" spans="1:62" ht="14.25" customHeight="1" x14ac:dyDescent="0.2">
      <c r="A13" s="272"/>
      <c r="B13" s="80"/>
      <c r="C13" s="173">
        <v>2</v>
      </c>
      <c r="D13" s="165"/>
      <c r="E13" s="198">
        <v>1.7400064437679608E-2</v>
      </c>
      <c r="F13" s="199"/>
      <c r="G13" s="404">
        <f>$G$10-H13</f>
        <v>78.297043182574697</v>
      </c>
      <c r="H13" s="176">
        <f t="shared" ref="H13:H119" si="9">H12+(G12*E13)</f>
        <v>21.702956817425299</v>
      </c>
      <c r="I13" s="178">
        <f t="shared" si="2"/>
        <v>100</v>
      </c>
      <c r="J13" s="153">
        <f>(G13*Parameters!B41)/(1+cDR)^'Markov Model_b'!cycle</f>
        <v>671957.34469619964</v>
      </c>
      <c r="K13" s="178">
        <f t="shared" si="3"/>
        <v>78.297043182574697</v>
      </c>
      <c r="L13" s="202">
        <f>(G13*(uPostT))/(1+oDR)^'Markov Model_b'!cycle</f>
        <v>59.209336080006246</v>
      </c>
      <c r="M13" s="80"/>
      <c r="N13" s="3"/>
      <c r="O13" s="80"/>
      <c r="P13" s="173">
        <v>2</v>
      </c>
      <c r="Q13" s="165"/>
      <c r="R13" s="198">
        <v>1.7400064437679608E-2</v>
      </c>
      <c r="S13" s="80"/>
      <c r="T13" s="151">
        <f t="shared" si="5"/>
        <v>73.765071471268044</v>
      </c>
      <c r="U13" s="176">
        <f>(T12*'Markov Model_b'!mr_2)+U12</f>
        <v>26.234928528731963</v>
      </c>
      <c r="V13" s="176">
        <f t="shared" si="4"/>
        <v>100</v>
      </c>
      <c r="W13" s="180">
        <f>(T13*Parameters!$B$41)/(1+cDR)^'Markov Model_b'!cycle2</f>
        <v>633063.26193669066</v>
      </c>
      <c r="X13" s="176">
        <f t="shared" ref="X13:X119" si="10">T13</f>
        <v>73.765071471268044</v>
      </c>
      <c r="Y13" s="202">
        <f>(T13*(uPostT))/(1+oDR)^'Markov Model_b'!cycle</f>
        <v>55.78219470591722</v>
      </c>
      <c r="Z13" s="80"/>
      <c r="AA13" s="3"/>
      <c r="AB13" s="192"/>
      <c r="AC13" s="273" t="s">
        <v>370</v>
      </c>
      <c r="AD13" s="192"/>
      <c r="AE13" s="201">
        <f>W123</f>
        <v>7571000.3151432555</v>
      </c>
      <c r="AF13" s="219">
        <f>Y123</f>
        <v>393.80899826545334</v>
      </c>
      <c r="AG13" s="219">
        <f>X123</f>
        <v>601.66898879025416</v>
      </c>
      <c r="AH13" s="192"/>
      <c r="AI13" s="305">
        <f>'Decision Tree'!N41</f>
        <v>0.81200000000000006</v>
      </c>
      <c r="AJ13" s="305">
        <f>'Decision Tree'!N42</f>
        <v>0.76500000000000001</v>
      </c>
      <c r="AK13" s="14" t="s">
        <v>367</v>
      </c>
      <c r="AL13" s="14"/>
      <c r="AM13" s="14"/>
      <c r="AN13" s="14"/>
      <c r="AO13" s="14"/>
      <c r="AP13" s="14"/>
      <c r="AQ13" s="14"/>
      <c r="AR13" s="14"/>
      <c r="AS13" s="14"/>
      <c r="AT13" s="3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</row>
    <row r="14" spans="1:62" ht="14.25" customHeight="1" x14ac:dyDescent="0.2">
      <c r="A14" s="272"/>
      <c r="B14" s="80"/>
      <c r="C14" s="173">
        <v>3</v>
      </c>
      <c r="D14" s="165"/>
      <c r="E14" s="198">
        <v>1.623112695108464E-2</v>
      </c>
      <c r="F14" s="199"/>
      <c r="G14" s="404">
        <f>G10-H14</f>
        <v>77.026193934783777</v>
      </c>
      <c r="H14" s="176">
        <f t="shared" si="9"/>
        <v>22.973806065216227</v>
      </c>
      <c r="I14" s="178">
        <f t="shared" si="2"/>
        <v>100</v>
      </c>
      <c r="J14" s="153">
        <f>(G14*Parameters!$B$41)/(1+cDR)^'Markov Model_b'!cycle</f>
        <v>659421.94751835172</v>
      </c>
      <c r="K14" s="178">
        <f t="shared" si="3"/>
        <v>77.026193934783777</v>
      </c>
      <c r="L14" s="202">
        <f>(G14*(uPostT))/(1+oDR)^'Markov Model_b'!cycle</f>
        <v>58.103044218855104</v>
      </c>
      <c r="M14" s="80"/>
      <c r="N14" s="3"/>
      <c r="O14" s="80"/>
      <c r="P14" s="173">
        <v>3</v>
      </c>
      <c r="Q14" s="165"/>
      <c r="R14" s="198">
        <v>1.623112695108464E-2</v>
      </c>
      <c r="S14" s="80"/>
      <c r="T14" s="151">
        <f t="shared" si="5"/>
        <v>72.567781231662053</v>
      </c>
      <c r="U14" s="176">
        <f>(T13*'Markov Model_b'!mr_2)+U13</f>
        <v>27.432218768337947</v>
      </c>
      <c r="V14" s="176">
        <f t="shared" si="4"/>
        <v>100</v>
      </c>
      <c r="W14" s="180">
        <f>(T14*Parameters!$B$41)/(1+cDR)^'Markov Model_b'!cycle2</f>
        <v>621253.43577775743</v>
      </c>
      <c r="X14" s="176">
        <f t="shared" si="10"/>
        <v>72.567781231662053</v>
      </c>
      <c r="Y14" s="202">
        <f>(T14*(uPostT))/(1+oDR)^'Markov Model_b'!cycle</f>
        <v>54.739936979586389</v>
      </c>
      <c r="Z14" s="80"/>
      <c r="AA14" s="3"/>
      <c r="AB14" s="192"/>
      <c r="AC14" s="192"/>
      <c r="AD14" s="192"/>
      <c r="AE14" s="192"/>
      <c r="AF14" s="192"/>
      <c r="AG14" s="192"/>
      <c r="AH14" s="192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3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</row>
    <row r="15" spans="1:62" ht="14.25" customHeight="1" x14ac:dyDescent="0.2">
      <c r="A15" s="272"/>
      <c r="B15" s="80"/>
      <c r="C15" s="173">
        <v>4</v>
      </c>
      <c r="D15" s="165"/>
      <c r="E15" s="198">
        <v>1.5158182302701162E-2</v>
      </c>
      <c r="F15" s="199"/>
      <c r="G15" s="404">
        <f>$G$10-H15</f>
        <v>75.858616845037105</v>
      </c>
      <c r="H15" s="176">
        <f t="shared" si="9"/>
        <v>24.141383154962895</v>
      </c>
      <c r="I15" s="178">
        <f t="shared" si="2"/>
        <v>100</v>
      </c>
      <c r="J15" s="153">
        <f>(G15*Parameters!$B$41)/(1+cDR)^'Markov Model_b'!cycle</f>
        <v>647826.17876192427</v>
      </c>
      <c r="K15" s="178">
        <f t="shared" si="3"/>
        <v>75.858616845037105</v>
      </c>
      <c r="L15" s="202">
        <f>(G15*(uPostT))/(1+oDR)^'Markov Model_b'!cycle</f>
        <v>57.079608660592307</v>
      </c>
      <c r="M15" s="80"/>
      <c r="N15" s="3"/>
      <c r="O15" s="80"/>
      <c r="P15" s="173">
        <v>4</v>
      </c>
      <c r="Q15" s="165"/>
      <c r="R15" s="198">
        <v>1.5158182302701162E-2</v>
      </c>
      <c r="S15" s="80"/>
      <c r="T15" s="151">
        <f t="shared" si="5"/>
        <v>71.467785574449977</v>
      </c>
      <c r="U15" s="176">
        <f>(T14*'Markov Model_b'!mr_2)+U14</f>
        <v>28.532214425550016</v>
      </c>
      <c r="V15" s="176">
        <f t="shared" si="4"/>
        <v>100</v>
      </c>
      <c r="W15" s="180">
        <f>(T15*Parameters!$B$41)/(1+cDR)^'Markov Model_b'!cycle2</f>
        <v>610328.85068087687</v>
      </c>
      <c r="X15" s="176">
        <f t="shared" si="10"/>
        <v>71.467785574449977</v>
      </c>
      <c r="Y15" s="202">
        <f>(T15*(uPostT))/(1+oDR)^'Markov Model_b'!cycle</f>
        <v>53.775739686395454</v>
      </c>
      <c r="Z15" s="80"/>
      <c r="AA15" s="3"/>
      <c r="AB15" s="192"/>
      <c r="AC15" s="427" t="s">
        <v>253</v>
      </c>
      <c r="AD15" s="192"/>
      <c r="AE15" s="426">
        <f>K126</f>
        <v>50518.696442064822</v>
      </c>
      <c r="AF15" s="428" t="s">
        <v>254</v>
      </c>
      <c r="AG15" s="192"/>
      <c r="AH15" s="192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3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</row>
    <row r="16" spans="1:62" ht="14.25" customHeight="1" x14ac:dyDescent="0.2">
      <c r="A16" s="272"/>
      <c r="B16" s="80"/>
      <c r="C16" s="173">
        <v>5</v>
      </c>
      <c r="D16" s="165"/>
      <c r="E16" s="198">
        <v>1.4171842990189809E-2</v>
      </c>
      <c r="F16" s="199"/>
      <c r="G16" s="404">
        <f t="shared" ref="G16:G119" si="11">$G$10-H16</f>
        <v>74.783560437656263</v>
      </c>
      <c r="H16" s="176">
        <f t="shared" si="9"/>
        <v>25.21643956234373</v>
      </c>
      <c r="I16" s="178">
        <f t="shared" si="2"/>
        <v>100</v>
      </c>
      <c r="J16" s="153">
        <f>(G16*Parameters!$B$41)/(1+cDR)^'Markov Model_b'!cycle</f>
        <v>637071.72072139371</v>
      </c>
      <c r="K16" s="178">
        <f t="shared" si="3"/>
        <v>74.783560437656263</v>
      </c>
      <c r="L16" s="202">
        <f>(G16*(uPostT))/(1+oDR)^'Markov Model_b'!cycle</f>
        <v>56.130359509938053</v>
      </c>
      <c r="M16" s="80"/>
      <c r="N16" s="3"/>
      <c r="O16" s="80"/>
      <c r="P16" s="173">
        <v>5</v>
      </c>
      <c r="Q16" s="165"/>
      <c r="R16" s="198">
        <v>1.4171842990189809E-2</v>
      </c>
      <c r="S16" s="80"/>
      <c r="T16" s="151">
        <f t="shared" si="5"/>
        <v>70.454955338432327</v>
      </c>
      <c r="U16" s="176">
        <f>(T15*'Markov Model_b'!mr_2)+U15</f>
        <v>29.545044661567673</v>
      </c>
      <c r="V16" s="176">
        <f t="shared" si="4"/>
        <v>100</v>
      </c>
      <c r="W16" s="180">
        <f>(T16*Parameters!$B$41)/(1+cDR)^'Markov Model_b'!cycle2</f>
        <v>600196.87974367768</v>
      </c>
      <c r="X16" s="176">
        <f t="shared" si="10"/>
        <v>70.454955338432327</v>
      </c>
      <c r="Y16" s="202">
        <f>(T16*(uPostT))/(1+oDR)^'Markov Model_b'!cycle</f>
        <v>52.881434759978596</v>
      </c>
      <c r="Z16" s="80"/>
      <c r="AA16" s="3"/>
      <c r="AB16" s="192"/>
      <c r="AC16" s="196"/>
      <c r="AD16" s="192"/>
      <c r="AE16" s="192"/>
      <c r="AF16" s="203"/>
      <c r="AG16" s="192"/>
      <c r="AH16" s="192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3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</row>
    <row r="17" spans="1:60" ht="14.25" customHeight="1" x14ac:dyDescent="0.2">
      <c r="A17" s="272"/>
      <c r="B17" s="80"/>
      <c r="C17" s="173">
        <v>6</v>
      </c>
      <c r="D17" s="165"/>
      <c r="E17" s="198">
        <v>1.3263776780149672E-2</v>
      </c>
      <c r="F17" s="199"/>
      <c r="G17" s="404">
        <f t="shared" si="11"/>
        <v>73.791647985186358</v>
      </c>
      <c r="H17" s="176">
        <f t="shared" si="9"/>
        <v>26.208352014813634</v>
      </c>
      <c r="I17" s="178">
        <f t="shared" si="2"/>
        <v>100</v>
      </c>
      <c r="J17" s="153">
        <f>(G17*Parameters!$B$41)/(1+cDR)^'Markov Model_b'!cycle</f>
        <v>627072.87362694077</v>
      </c>
      <c r="K17" s="178">
        <f t="shared" ref="K17:K119" si="12">G17</f>
        <v>73.791647985186358</v>
      </c>
      <c r="L17" s="202">
        <f>(G17*(uPostT))/(1+oDR)^'Markov Model_b'!cycle</f>
        <v>55.247739601804184</v>
      </c>
      <c r="M17" s="80"/>
      <c r="N17" s="3"/>
      <c r="O17" s="80"/>
      <c r="P17" s="173">
        <v>6</v>
      </c>
      <c r="Q17" s="165"/>
      <c r="R17" s="198">
        <v>1.3263776780149672E-2</v>
      </c>
      <c r="S17" s="80"/>
      <c r="T17" s="151">
        <f t="shared" si="5"/>
        <v>69.520456537767942</v>
      </c>
      <c r="U17" s="176">
        <f>(T16*'Markov Model_b'!mr_2)+U16</f>
        <v>30.479543462232055</v>
      </c>
      <c r="V17" s="176">
        <f t="shared" si="4"/>
        <v>100</v>
      </c>
      <c r="W17" s="180">
        <f>(T17*Parameters!$B$41)/(1+cDR)^'Markov Model_b'!cycle2</f>
        <v>590776.78365099721</v>
      </c>
      <c r="X17" s="176">
        <f>T17</f>
        <v>69.520456537767942</v>
      </c>
      <c r="Y17" s="202">
        <f>(T17*(uPostT))/(1+oDR)^'Markov Model_b'!cycle</f>
        <v>52.049902457364794</v>
      </c>
      <c r="Z17" s="80"/>
      <c r="AA17" s="3"/>
      <c r="AB17" s="3"/>
      <c r="AC17" s="3"/>
      <c r="AD17" s="29"/>
      <c r="AE17" s="442"/>
      <c r="AF17" s="3"/>
      <c r="AG17" s="3"/>
      <c r="AH17" s="3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3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</row>
    <row r="18" spans="1:60" ht="14.25" customHeight="1" x14ac:dyDescent="0.2">
      <c r="A18" s="272"/>
      <c r="B18" s="80"/>
      <c r="C18" s="173">
        <v>7</v>
      </c>
      <c r="D18" s="165"/>
      <c r="E18" s="198">
        <v>1.2426574040802496E-2</v>
      </c>
      <c r="F18" s="199"/>
      <c r="G18" s="404">
        <f t="shared" si="11"/>
        <v>72.874670607905614</v>
      </c>
      <c r="H18" s="176">
        <f t="shared" si="9"/>
        <v>27.125329392094386</v>
      </c>
      <c r="I18" s="178">
        <f t="shared" si="2"/>
        <v>100</v>
      </c>
      <c r="J18" s="153">
        <f>(G18*Parameters!$B$41)/(1+cDR)^'Markov Model_b'!cycle</f>
        <v>617754.65214304358</v>
      </c>
      <c r="K18" s="178">
        <f t="shared" si="12"/>
        <v>72.874670607905614</v>
      </c>
      <c r="L18" s="202">
        <f>(G18*(uPostT))/(1+oDR)^'Markov Model_b'!cycle</f>
        <v>54.425136633471723</v>
      </c>
      <c r="M18" s="80"/>
      <c r="N18" s="3"/>
      <c r="O18" s="80"/>
      <c r="P18" s="173">
        <v>7</v>
      </c>
      <c r="Q18" s="165"/>
      <c r="R18" s="198">
        <v>1.2426574040802496E-2</v>
      </c>
      <c r="S18" s="80"/>
      <c r="T18" s="151">
        <f t="shared" si="5"/>
        <v>68.656555437250972</v>
      </c>
      <c r="U18" s="176">
        <f>(T17*'Markov Model_b'!mr_2)+U17</f>
        <v>31.343444562749021</v>
      </c>
      <c r="V18" s="176">
        <f t="shared" si="4"/>
        <v>100</v>
      </c>
      <c r="W18" s="180">
        <f>(T18*Parameters!$B$41)/(1+cDR)^'Markov Model_b'!cycle2</f>
        <v>581997.91735151259</v>
      </c>
      <c r="X18" s="176">
        <f t="shared" si="10"/>
        <v>68.656555437250972</v>
      </c>
      <c r="Y18" s="202">
        <f>(T18*(uPostT))/(1+oDR)^'Markov Model_b'!cycle</f>
        <v>51.274913207642683</v>
      </c>
      <c r="Z18" s="80"/>
      <c r="AA18" s="3"/>
      <c r="AB18" s="3"/>
      <c r="AC18" s="272"/>
      <c r="AD18" s="29"/>
      <c r="AE18" s="442"/>
      <c r="AF18" s="3"/>
      <c r="AG18" s="3"/>
      <c r="AH18" s="3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3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</row>
    <row r="19" spans="1:60" ht="14.25" customHeight="1" x14ac:dyDescent="0.25">
      <c r="A19" s="272"/>
      <c r="B19" s="80"/>
      <c r="C19" s="173">
        <v>8</v>
      </c>
      <c r="D19" s="165"/>
      <c r="E19" s="198">
        <v>1.1653633386990381E-2</v>
      </c>
      <c r="F19" s="199"/>
      <c r="G19" s="404">
        <f>$G$10-H19</f>
        <v>72.025415913443396</v>
      </c>
      <c r="H19" s="176">
        <f t="shared" si="9"/>
        <v>27.9745840865566</v>
      </c>
      <c r="I19" s="178">
        <f t="shared" si="2"/>
        <v>100</v>
      </c>
      <c r="J19" s="153">
        <f>(G19*Parameters!$B$41)/(1+cDR)^'Markov Model_b'!cycle</f>
        <v>609051.20941660181</v>
      </c>
      <c r="K19" s="178">
        <f t="shared" si="12"/>
        <v>72.025415913443396</v>
      </c>
      <c r="L19" s="202">
        <f>(G19*(uPostT))/(1+oDR)^'Markov Model_b'!cycle</f>
        <v>53.656744183649259</v>
      </c>
      <c r="M19" s="80"/>
      <c r="N19" s="3"/>
      <c r="O19" s="80"/>
      <c r="P19" s="173">
        <v>8</v>
      </c>
      <c r="Q19" s="165"/>
      <c r="R19" s="198">
        <v>1.1653633386990381E-2</v>
      </c>
      <c r="S19" s="80"/>
      <c r="T19" s="151">
        <f t="shared" si="5"/>
        <v>67.856457110571682</v>
      </c>
      <c r="U19" s="176">
        <f>(T18*'Markov Model_b'!mr_2)+U18</f>
        <v>32.143542889428325</v>
      </c>
      <c r="V19" s="176">
        <f t="shared" si="4"/>
        <v>100</v>
      </c>
      <c r="W19" s="180">
        <f>(T19*Parameters!$B$41)/(1+cDR)^'Markov Model_b'!cycle2</f>
        <v>573798.24532475416</v>
      </c>
      <c r="X19" s="176">
        <f t="shared" si="10"/>
        <v>67.856457110571682</v>
      </c>
      <c r="Y19" s="202">
        <f>(T19*(uPostT))/(1+oDR)^'Markov Model_b'!cycle</f>
        <v>50.550996675482374</v>
      </c>
      <c r="Z19" s="80"/>
      <c r="AA19" s="3"/>
      <c r="AB19" s="3"/>
      <c r="AC19" s="3"/>
      <c r="AD19" s="29"/>
      <c r="AE19" s="3"/>
      <c r="AF19" s="3"/>
      <c r="AG19" s="3"/>
      <c r="AH19" s="3"/>
      <c r="AI19" s="14"/>
      <c r="AJ19" s="307"/>
      <c r="AK19" s="14"/>
      <c r="AL19" s="14"/>
      <c r="AM19" s="14"/>
      <c r="AN19" s="14"/>
      <c r="AO19" s="14"/>
      <c r="AP19" s="14"/>
      <c r="AQ19" s="14"/>
      <c r="AR19" s="14"/>
      <c r="AS19" s="14"/>
      <c r="AT19" s="3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</row>
    <row r="20" spans="1:60" ht="14.25" customHeight="1" x14ac:dyDescent="0.2">
      <c r="A20" s="272"/>
      <c r="B20" s="80"/>
      <c r="C20" s="173">
        <v>9</v>
      </c>
      <c r="D20" s="165"/>
      <c r="E20" s="198">
        <v>1.0939062897976581E-2</v>
      </c>
      <c r="F20" s="199"/>
      <c r="G20" s="404">
        <f t="shared" si="11"/>
        <v>71.237525358513324</v>
      </c>
      <c r="H20" s="176">
        <f t="shared" si="9"/>
        <v>28.76247464148668</v>
      </c>
      <c r="I20" s="178">
        <f t="shared" si="2"/>
        <v>100</v>
      </c>
      <c r="J20" s="153">
        <f>(G20*Parameters!$B$41)/(1+cDR)^'Markov Model_b'!cycle</f>
        <v>600904.52575010213</v>
      </c>
      <c r="K20" s="178">
        <f t="shared" si="12"/>
        <v>71.237525358513324</v>
      </c>
      <c r="L20" s="202">
        <f>(G20*(uPostT))/(1+oDR)^'Markov Model_b'!cycle</f>
        <v>52.93744606895131</v>
      </c>
      <c r="M20" s="80"/>
      <c r="N20" s="3"/>
      <c r="O20" s="80"/>
      <c r="P20" s="173">
        <v>9</v>
      </c>
      <c r="Q20" s="165"/>
      <c r="R20" s="198">
        <v>1.0939062897976581E-2</v>
      </c>
      <c r="S20" s="80"/>
      <c r="T20" s="151">
        <f t="shared" si="5"/>
        <v>67.114171058205272</v>
      </c>
      <c r="U20" s="176">
        <f>(T19*'Markov Model_b'!mr_2)+U19</f>
        <v>32.88582894179472</v>
      </c>
      <c r="V20" s="176">
        <f t="shared" si="4"/>
        <v>100</v>
      </c>
      <c r="W20" s="180">
        <f>(T20*Parameters!$B$41)/(1+cDR)^'Markov Model_b'!cycle2</f>
        <v>566123.10615619214</v>
      </c>
      <c r="X20" s="176">
        <f t="shared" si="10"/>
        <v>67.114171058205272</v>
      </c>
      <c r="Y20" s="202">
        <f>(T20*(uPostT))/(1+oDR)^'Markov Model_b'!cycle</f>
        <v>49.873332811265691</v>
      </c>
      <c r="Z20" s="80"/>
      <c r="AA20" s="3"/>
      <c r="AB20" s="3"/>
      <c r="AC20" s="3"/>
      <c r="AD20" s="29"/>
      <c r="AE20" s="3"/>
      <c r="AF20" s="3"/>
      <c r="AG20" s="3"/>
      <c r="AH20" s="3"/>
      <c r="AI20" s="268"/>
      <c r="AJ20" s="268"/>
      <c r="AK20" s="268"/>
      <c r="AL20" s="268"/>
      <c r="AM20" s="268"/>
      <c r="AN20" s="268"/>
      <c r="AO20" s="268"/>
      <c r="AP20" s="3"/>
      <c r="AQ20" s="3"/>
      <c r="AR20" s="3"/>
      <c r="AS20" s="3"/>
      <c r="AT20" s="3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</row>
    <row r="21" spans="1:60" ht="14.25" customHeight="1" x14ac:dyDescent="0.2">
      <c r="A21" s="272"/>
      <c r="B21" s="80"/>
      <c r="C21" s="173">
        <v>10</v>
      </c>
      <c r="D21" s="165"/>
      <c r="E21" s="198">
        <v>1.0277594608350926E-2</v>
      </c>
      <c r="F21" s="199"/>
      <c r="G21" s="404">
        <f t="shared" si="11"/>
        <v>70.505374951976393</v>
      </c>
      <c r="H21" s="176">
        <f t="shared" si="9"/>
        <v>29.4946250480236</v>
      </c>
      <c r="I21" s="178">
        <f t="shared" si="2"/>
        <v>100</v>
      </c>
      <c r="J21" s="153">
        <f>(G21*Parameters!$B$41)/(1+cDR)^'Markov Model_b'!cycle</f>
        <v>593263.31225484959</v>
      </c>
      <c r="K21" s="178">
        <f t="shared" si="12"/>
        <v>70.505374951976393</v>
      </c>
      <c r="L21" s="202">
        <f>(G21*(uPostT))/(1+oDR)^'Markov Model_b'!cycle</f>
        <v>52.26271965950442</v>
      </c>
      <c r="M21" s="80"/>
      <c r="N21" s="3"/>
      <c r="O21" s="80"/>
      <c r="P21" s="173">
        <v>10</v>
      </c>
      <c r="Q21" s="165"/>
      <c r="R21" s="198">
        <v>1.0277594608350926E-2</v>
      </c>
      <c r="S21" s="80"/>
      <c r="T21" s="151">
        <f t="shared" si="5"/>
        <v>66.42439881559352</v>
      </c>
      <c r="U21" s="176">
        <f>(T20*'Markov Model_b'!mr_2)+U20</f>
        <v>33.575601184406473</v>
      </c>
      <c r="V21" s="176">
        <f t="shared" si="4"/>
        <v>100</v>
      </c>
      <c r="W21" s="180">
        <f>(T21*Parameters!$B$41)/(1+cDR)^'Markov Model_b'!cycle2</f>
        <v>558924.17964896536</v>
      </c>
      <c r="X21" s="176">
        <f t="shared" si="10"/>
        <v>66.42439881559352</v>
      </c>
      <c r="Y21" s="202">
        <f>(T21*(uPostT))/(1+oDR)^'Markov Model_b'!cycle</f>
        <v>49.23766076295675</v>
      </c>
      <c r="Z21" s="80"/>
      <c r="AA21" s="3"/>
      <c r="AB21" s="3"/>
      <c r="AC21" s="3"/>
      <c r="AD21" s="29"/>
      <c r="AE21" s="3"/>
      <c r="AF21" s="3"/>
      <c r="AG21" s="3"/>
      <c r="AH21" s="3"/>
      <c r="AI21" s="268"/>
      <c r="AJ21" s="268"/>
      <c r="AK21" s="268"/>
      <c r="AL21" s="268"/>
      <c r="AM21" s="268"/>
      <c r="AN21" s="268"/>
      <c r="AO21" s="268"/>
      <c r="AP21" s="3"/>
      <c r="AQ21" s="3"/>
      <c r="AR21" s="3"/>
      <c r="AS21" s="3"/>
      <c r="AT21" s="3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</row>
    <row r="22" spans="1:60" ht="14.25" customHeight="1" x14ac:dyDescent="0.2">
      <c r="A22" s="272"/>
      <c r="B22" s="80"/>
      <c r="C22" s="173">
        <v>11</v>
      </c>
      <c r="D22" s="165"/>
      <c r="E22" s="198">
        <v>9.6645103369903951E-3</v>
      </c>
      <c r="F22" s="199"/>
      <c r="G22" s="404">
        <f t="shared" si="11"/>
        <v>69.823975026939635</v>
      </c>
      <c r="H22" s="176">
        <f t="shared" si="9"/>
        <v>30.176024973060361</v>
      </c>
      <c r="I22" s="178">
        <f t="shared" si="2"/>
        <v>100</v>
      </c>
      <c r="J22" s="153">
        <f>(G22*Parameters!$B$41)/(1+cDR)^'Markov Model_b'!cycle</f>
        <v>586082.09007851162</v>
      </c>
      <c r="K22" s="178">
        <f t="shared" si="12"/>
        <v>69.823975026939635</v>
      </c>
      <c r="L22" s="202">
        <f>(G22*(uPostT))/(1+oDR)^'Markov Model_b'!cycle</f>
        <v>51.628554678419867</v>
      </c>
      <c r="M22" s="80"/>
      <c r="N22" s="3"/>
      <c r="O22" s="80"/>
      <c r="P22" s="173">
        <v>11</v>
      </c>
      <c r="Q22" s="165"/>
      <c r="R22" s="198">
        <v>9.6645103369903951E-3</v>
      </c>
      <c r="S22" s="80"/>
      <c r="T22" s="151">
        <f t="shared" si="5"/>
        <v>65.782439526611853</v>
      </c>
      <c r="U22" s="176">
        <f>(T21*'Markov Model_b'!mr_2)+U21</f>
        <v>34.217560473388147</v>
      </c>
      <c r="V22" s="176">
        <f t="shared" si="4"/>
        <v>100</v>
      </c>
      <c r="W22" s="180">
        <f>(T22*Parameters!$B$41)/(1+cDR)^'Markov Model_b'!cycle2</f>
        <v>552158.61934736627</v>
      </c>
      <c r="X22" s="176">
        <f t="shared" si="10"/>
        <v>65.782439526611853</v>
      </c>
      <c r="Y22" s="202">
        <f>(T22*(uPostT))/(1+oDR)^'Markov Model_b'!cycle</f>
        <v>48.640202375604929</v>
      </c>
      <c r="Z22" s="80"/>
      <c r="AA22" s="3"/>
      <c r="AB22" s="3"/>
      <c r="AC22" s="3"/>
      <c r="AD22" s="29"/>
      <c r="AE22" s="3"/>
      <c r="AF22" s="3"/>
      <c r="AG22" s="3"/>
      <c r="AH22" s="3"/>
      <c r="AI22" s="268"/>
      <c r="AJ22" s="268"/>
      <c r="AK22" s="268"/>
      <c r="AL22" s="268"/>
      <c r="AM22" s="268"/>
      <c r="AN22" s="268"/>
      <c r="AO22" s="268"/>
      <c r="AP22" s="3"/>
      <c r="AQ22" s="3"/>
      <c r="AR22" s="3"/>
      <c r="AS22" s="3"/>
      <c r="AT22" s="3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</row>
    <row r="23" spans="1:60" ht="14.25" customHeight="1" x14ac:dyDescent="0.2">
      <c r="A23" s="272"/>
      <c r="B23" s="80"/>
      <c r="C23" s="173">
        <v>12</v>
      </c>
      <c r="D23" s="165"/>
      <c r="E23" s="198">
        <v>9.0955772220522868E-3</v>
      </c>
      <c r="F23" s="199"/>
      <c r="G23" s="404">
        <f t="shared" si="11"/>
        <v>69.188885670131455</v>
      </c>
      <c r="H23" s="176">
        <f t="shared" si="9"/>
        <v>30.811114329868541</v>
      </c>
      <c r="I23" s="178">
        <f t="shared" si="2"/>
        <v>100</v>
      </c>
      <c r="J23" s="153">
        <f>(G23*Parameters!$B$41)/(1+cDR)^'Markov Model_b'!cycle</f>
        <v>579320.41374778363</v>
      </c>
      <c r="K23" s="178">
        <f t="shared" si="12"/>
        <v>69.188885670131455</v>
      </c>
      <c r="L23" s="202">
        <f>(G23*(uPostT))/(1+oDR)^'Markov Model_b'!cycle</f>
        <v>51.031384710702589</v>
      </c>
      <c r="M23" s="80"/>
      <c r="N23" s="3"/>
      <c r="O23" s="80"/>
      <c r="P23" s="173">
        <v>12</v>
      </c>
      <c r="Q23" s="165"/>
      <c r="R23" s="198">
        <v>9.0955772220522868E-3</v>
      </c>
      <c r="S23" s="80"/>
      <c r="T23" s="151">
        <f t="shared" si="5"/>
        <v>65.184110268042573</v>
      </c>
      <c r="U23" s="176">
        <f>(T22*'Markov Model_b'!mr_2)+U22</f>
        <v>34.815889731957427</v>
      </c>
      <c r="V23" s="176">
        <f t="shared" si="4"/>
        <v>100</v>
      </c>
      <c r="W23" s="180">
        <f>(T23*Parameters!$B$41)/(1+cDR)^'Markov Model_b'!cycle2</f>
        <v>545788.32083381107</v>
      </c>
      <c r="X23" s="176">
        <f t="shared" si="10"/>
        <v>65.184110268042573</v>
      </c>
      <c r="Y23" s="202">
        <f>(T23*(uPostT))/(1+oDR)^'Markov Model_b'!cycle</f>
        <v>48.077597664639761</v>
      </c>
      <c r="Z23" s="80"/>
      <c r="AA23" s="3"/>
      <c r="AB23" s="3"/>
      <c r="AC23" s="3"/>
      <c r="AD23" s="29"/>
      <c r="AE23" s="205"/>
      <c r="AF23" s="3"/>
      <c r="AG23" s="3"/>
      <c r="AH23" s="3"/>
      <c r="AI23" s="268"/>
      <c r="AJ23" s="268"/>
      <c r="AK23" s="268"/>
      <c r="AL23" s="268"/>
      <c r="AM23" s="268"/>
      <c r="AN23" s="268"/>
      <c r="AO23" s="268"/>
      <c r="AP23" s="3"/>
      <c r="AQ23" s="3"/>
      <c r="AR23" s="3"/>
      <c r="AS23" s="3"/>
      <c r="AT23" s="3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</row>
    <row r="24" spans="1:60" ht="14.25" customHeight="1" x14ac:dyDescent="0.25">
      <c r="A24" s="3" t="s">
        <v>530</v>
      </c>
      <c r="B24" s="80"/>
      <c r="C24" s="465">
        <v>13</v>
      </c>
      <c r="D24" s="466"/>
      <c r="E24" s="467">
        <v>8.5669915824595488E-3</v>
      </c>
      <c r="F24" s="468"/>
      <c r="G24" s="469">
        <f t="shared" si="11"/>
        <v>68.596145068995682</v>
      </c>
      <c r="H24" s="470">
        <f>H23+(G23*E24)</f>
        <v>31.403854931004314</v>
      </c>
      <c r="I24" s="471">
        <f t="shared" si="2"/>
        <v>100</v>
      </c>
      <c r="J24" s="472">
        <f>(G24*0)/(1+cDR)^'Markov Model_b'!cycle</f>
        <v>0</v>
      </c>
      <c r="K24" s="471">
        <f t="shared" si="12"/>
        <v>68.596145068995682</v>
      </c>
      <c r="L24" s="473">
        <f>(G24*(uPostT))/(1+oDR)^'Markov Model_b'!cycle</f>
        <v>50.468029194458595</v>
      </c>
      <c r="M24" s="464"/>
      <c r="N24" s="464"/>
      <c r="O24" s="464"/>
      <c r="P24" s="465">
        <v>13</v>
      </c>
      <c r="Q24" s="466"/>
      <c r="R24" s="467">
        <v>8.5669915824595488E-3</v>
      </c>
      <c r="S24" s="464"/>
      <c r="T24" s="474">
        <f t="shared" si="5"/>
        <v>64.625678544066147</v>
      </c>
      <c r="U24" s="470">
        <f>(T23*'Markov Model_b'!mr_2)+U23</f>
        <v>35.37432145593386</v>
      </c>
      <c r="V24" s="470">
        <f t="shared" si="4"/>
        <v>100</v>
      </c>
      <c r="W24" s="475">
        <f>(T24*0)/(1+cDR)^'Markov Model_b'!cycle2</f>
        <v>0</v>
      </c>
      <c r="X24" s="470">
        <f t="shared" si="10"/>
        <v>64.625678544066147</v>
      </c>
      <c r="Y24" s="473">
        <f>(T24*(uPostT))/(1+oDR)^'Markov Model_b'!cycle</f>
        <v>47.546850164730095</v>
      </c>
      <c r="Z24" s="80"/>
      <c r="AA24" s="3"/>
      <c r="AB24" s="3"/>
      <c r="AC24" s="3"/>
      <c r="AD24" s="29"/>
      <c r="AE24" s="29"/>
      <c r="AF24" s="3"/>
      <c r="AG24" s="3"/>
      <c r="AH24" s="3"/>
      <c r="AI24" s="268"/>
      <c r="AJ24" s="268"/>
      <c r="AK24" s="268"/>
      <c r="AL24" s="268"/>
      <c r="AM24" s="268"/>
      <c r="AN24" s="268"/>
      <c r="AO24" s="268"/>
      <c r="AP24" s="3"/>
      <c r="AQ24" s="3"/>
      <c r="AR24" s="3"/>
      <c r="AS24" s="3"/>
      <c r="AT24" s="3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</row>
    <row r="25" spans="1:60" ht="14.25" customHeight="1" x14ac:dyDescent="0.2">
      <c r="A25" s="272"/>
      <c r="B25" s="80"/>
      <c r="C25" s="173">
        <v>14</v>
      </c>
      <c r="D25" s="165"/>
      <c r="E25" s="198">
        <v>8.0753299371522091E-3</v>
      </c>
      <c r="F25" s="199"/>
      <c r="G25" s="404">
        <f t="shared" si="11"/>
        <v>68.042208565146794</v>
      </c>
      <c r="H25" s="176">
        <f t="shared" si="9"/>
        <v>31.95779143485321</v>
      </c>
      <c r="I25" s="178">
        <f t="shared" si="2"/>
        <v>100</v>
      </c>
      <c r="J25" s="153">
        <f>(G25*0)/(1+cDR)^'Markov Model_b'!cycle</f>
        <v>0</v>
      </c>
      <c r="K25" s="178">
        <f t="shared" si="12"/>
        <v>68.042208565146794</v>
      </c>
      <c r="L25" s="202">
        <f>(G25*(uPostT))/(1+oDR)^'Markov Model_b'!cycle</f>
        <v>49.935644097192551</v>
      </c>
      <c r="M25" s="80"/>
      <c r="N25" s="3"/>
      <c r="O25" s="80"/>
      <c r="P25" s="173">
        <v>14</v>
      </c>
      <c r="Q25" s="165"/>
      <c r="R25" s="198">
        <v>8.0753299371522091E-3</v>
      </c>
      <c r="S25" s="80"/>
      <c r="T25" s="248">
        <f t="shared" si="5"/>
        <v>64.103804867410474</v>
      </c>
      <c r="U25" s="176">
        <f>(T24*'Markov Model_b'!mr_2)+U24</f>
        <v>35.896195132589533</v>
      </c>
      <c r="V25" s="176">
        <f t="shared" si="4"/>
        <v>100</v>
      </c>
      <c r="W25" s="180">
        <f>(T25*0)/(1+cDR)^'Markov Model_b'!cycle2</f>
        <v>0</v>
      </c>
      <c r="X25" s="176">
        <f t="shared" si="10"/>
        <v>64.103804867410474</v>
      </c>
      <c r="Y25" s="202">
        <f>(T25*(uPostT))/(1+oDR)^'Markov Model_b'!cycle</f>
        <v>47.045280461025008</v>
      </c>
      <c r="Z25" s="80"/>
      <c r="AA25" s="3"/>
      <c r="AB25" s="3"/>
      <c r="AC25" s="3"/>
      <c r="AD25" s="29"/>
      <c r="AE25" s="3"/>
      <c r="AF25" s="3"/>
      <c r="AG25" s="3"/>
      <c r="AH25" s="3"/>
      <c r="AI25" s="268"/>
      <c r="AJ25" s="268"/>
      <c r="AK25" s="268"/>
      <c r="AL25" s="268"/>
      <c r="AM25" s="268"/>
      <c r="AN25" s="268"/>
      <c r="AO25" s="268"/>
      <c r="AP25" s="3"/>
      <c r="AQ25" s="3"/>
      <c r="AR25" s="3"/>
      <c r="AS25" s="3"/>
      <c r="AT25" s="3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</row>
    <row r="26" spans="1:60" ht="14.25" customHeight="1" x14ac:dyDescent="0.2">
      <c r="A26" s="272"/>
      <c r="B26" s="80"/>
      <c r="C26" s="173">
        <v>15</v>
      </c>
      <c r="D26" s="165"/>
      <c r="E26" s="198">
        <v>7.6175061898490215E-3</v>
      </c>
      <c r="F26" s="199"/>
      <c r="G26" s="404">
        <f t="shared" si="11"/>
        <v>67.523896620230786</v>
      </c>
      <c r="H26" s="176">
        <f t="shared" si="9"/>
        <v>32.476103379769214</v>
      </c>
      <c r="I26" s="178">
        <f t="shared" si="2"/>
        <v>100</v>
      </c>
      <c r="J26" s="153">
        <f>(G26*0)/(1+cDR)^'Markov Model_b'!cycle</f>
        <v>0</v>
      </c>
      <c r="K26" s="178">
        <f t="shared" si="12"/>
        <v>67.523896620230786</v>
      </c>
      <c r="L26" s="202">
        <f>(G26*(uPostT))/(1+oDR)^'Markov Model_b'!cycle</f>
        <v>49.431679819638994</v>
      </c>
      <c r="M26" s="80"/>
      <c r="N26" s="3"/>
      <c r="O26" s="80"/>
      <c r="P26" s="173">
        <v>15</v>
      </c>
      <c r="Q26" s="165"/>
      <c r="R26" s="198">
        <v>7.6175061898490215E-3</v>
      </c>
      <c r="S26" s="80"/>
      <c r="T26" s="248">
        <f t="shared" si="5"/>
        <v>63.615493737040097</v>
      </c>
      <c r="U26" s="176">
        <f>(T25*'Markov Model_b'!mr_2)+U25</f>
        <v>36.384506262959903</v>
      </c>
      <c r="V26" s="176">
        <f t="shared" si="4"/>
        <v>100</v>
      </c>
      <c r="W26" s="180">
        <f>(T26*0)/(1+cDR)^'Markov Model_b'!cycle2</f>
        <v>0</v>
      </c>
      <c r="X26" s="176">
        <f t="shared" si="10"/>
        <v>63.615493737040097</v>
      </c>
      <c r="Y26" s="202">
        <f>(T26*(uPostT))/(1+oDR)^'Markov Model_b'!cycle</f>
        <v>46.570486529586006</v>
      </c>
      <c r="Z26" s="80"/>
      <c r="AA26" s="3"/>
      <c r="AB26" s="3"/>
      <c r="AC26" s="3"/>
      <c r="AD26" s="29"/>
      <c r="AE26" s="3"/>
      <c r="AF26" s="3"/>
      <c r="AG26" s="3"/>
      <c r="AH26" s="3"/>
      <c r="AI26" s="268"/>
      <c r="AJ26" s="268"/>
      <c r="AK26" s="268"/>
      <c r="AL26" s="268"/>
      <c r="AM26" s="268"/>
      <c r="AN26" s="268"/>
      <c r="AO26" s="268"/>
      <c r="AP26" s="3"/>
      <c r="AQ26" s="3"/>
      <c r="AR26" s="3"/>
      <c r="AS26" s="3"/>
      <c r="AT26" s="3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</row>
    <row r="27" spans="1:60" ht="14.25" customHeight="1" x14ac:dyDescent="0.2">
      <c r="A27" s="272"/>
      <c r="B27" s="80"/>
      <c r="C27" s="173">
        <v>16</v>
      </c>
      <c r="D27" s="165"/>
      <c r="E27" s="198">
        <v>7.1907341350878062E-3</v>
      </c>
      <c r="F27" s="199"/>
      <c r="G27" s="404">
        <f t="shared" si="11"/>
        <v>67.038350231869543</v>
      </c>
      <c r="H27" s="176">
        <f t="shared" si="9"/>
        <v>32.961649768130449</v>
      </c>
      <c r="I27" s="178">
        <f t="shared" si="2"/>
        <v>100</v>
      </c>
      <c r="J27" s="153">
        <f>(G27*0)/(1+cDR)^'Markov Model_b'!cycle</f>
        <v>0</v>
      </c>
      <c r="K27" s="178">
        <f t="shared" si="12"/>
        <v>67.038350231869543</v>
      </c>
      <c r="L27" s="202">
        <f>(G27*(uPostT))/(1+oDR)^'Markov Model_b'!cycle</f>
        <v>48.953845139356773</v>
      </c>
      <c r="M27" s="80"/>
      <c r="N27" s="3"/>
      <c r="O27" s="80"/>
      <c r="P27" s="173">
        <v>16</v>
      </c>
      <c r="Q27" s="165"/>
      <c r="R27" s="198">
        <v>7.1907341350878062E-3</v>
      </c>
      <c r="S27" s="80"/>
      <c r="T27" s="248">
        <f t="shared" si="5"/>
        <v>63.158051634704698</v>
      </c>
      <c r="U27" s="176">
        <f>(T26*'Markov Model_b'!mr_2)+U26</f>
        <v>36.841948365295302</v>
      </c>
      <c r="V27" s="176">
        <f t="shared" si="4"/>
        <v>100</v>
      </c>
      <c r="W27" s="180">
        <f>(T27*0)/(1+cDR)^'Markov Model_b'!cycle2</f>
        <v>0</v>
      </c>
      <c r="X27" s="176">
        <f t="shared" si="10"/>
        <v>63.158051634704698</v>
      </c>
      <c r="Y27" s="202">
        <f>(T27*(uPostT))/(1+oDR)^'Markov Model_b'!cycle</f>
        <v>46.120309767990079</v>
      </c>
      <c r="Z27" s="80"/>
      <c r="AA27" s="3"/>
      <c r="AB27" s="3"/>
      <c r="AC27" s="3"/>
      <c r="AD27" s="29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</row>
    <row r="28" spans="1:60" ht="14.25" customHeight="1" x14ac:dyDescent="0.2">
      <c r="A28" s="272"/>
      <c r="B28" s="80"/>
      <c r="C28" s="173">
        <v>17</v>
      </c>
      <c r="D28" s="165"/>
      <c r="E28" s="198">
        <v>6.7924945657797386E-3</v>
      </c>
      <c r="F28" s="199"/>
      <c r="G28" s="404">
        <f t="shared" si="11"/>
        <v>66.582992602220742</v>
      </c>
      <c r="H28" s="176">
        <f t="shared" si="9"/>
        <v>33.417007397779265</v>
      </c>
      <c r="I28" s="178">
        <f t="shared" si="2"/>
        <v>100</v>
      </c>
      <c r="J28" s="153">
        <f>(G28*0)/(1+cDR)^'Markov Model_b'!cycle</f>
        <v>0</v>
      </c>
      <c r="K28" s="178">
        <f t="shared" si="12"/>
        <v>66.582992602220742</v>
      </c>
      <c r="L28" s="202">
        <f>(G28*(uPostT))/(1+oDR)^'Markov Model_b'!cycle</f>
        <v>48.500076221719389</v>
      </c>
      <c r="M28" s="80"/>
      <c r="N28" s="3"/>
      <c r="O28" s="80"/>
      <c r="P28" s="173">
        <v>17</v>
      </c>
      <c r="Q28" s="165"/>
      <c r="R28" s="198">
        <v>6.7924945657797386E-3</v>
      </c>
      <c r="S28" s="80"/>
      <c r="T28" s="248">
        <f t="shared" si="5"/>
        <v>62.729050912190729</v>
      </c>
      <c r="U28" s="176">
        <f>(T27*'Markov Model_b'!mr_2)+U27</f>
        <v>37.270949087809271</v>
      </c>
      <c r="V28" s="176">
        <f t="shared" si="4"/>
        <v>100</v>
      </c>
      <c r="W28" s="180">
        <f>(T28*0)/(1+cDR)^'Markov Model_b'!cycle2</f>
        <v>0</v>
      </c>
      <c r="X28" s="176">
        <f t="shared" si="10"/>
        <v>62.729050912190729</v>
      </c>
      <c r="Y28" s="202">
        <f>(T28*(uPostT))/(1+oDR)^'Markov Model_b'!cycle</f>
        <v>45.692805800018888</v>
      </c>
      <c r="Z28" s="80"/>
      <c r="AA28" s="3"/>
      <c r="AB28" s="3"/>
      <c r="AC28" s="3"/>
      <c r="AD28" s="29"/>
      <c r="AE28" s="3"/>
      <c r="AF28" s="3"/>
      <c r="AG28" s="3"/>
      <c r="AH28" s="3"/>
      <c r="AI28" s="14"/>
      <c r="AJ28" s="14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</row>
    <row r="29" spans="1:60" ht="14.25" customHeight="1" x14ac:dyDescent="0.2">
      <c r="A29" s="272"/>
      <c r="B29" s="80"/>
      <c r="C29" s="173">
        <v>18</v>
      </c>
      <c r="D29" s="165"/>
      <c r="E29" s="198">
        <v>6.420506367371015E-3</v>
      </c>
      <c r="F29" s="199"/>
      <c r="G29" s="404">
        <f t="shared" si="11"/>
        <v>66.15549607425956</v>
      </c>
      <c r="H29" s="176">
        <f t="shared" si="9"/>
        <v>33.84450392574044</v>
      </c>
      <c r="I29" s="178">
        <f t="shared" si="2"/>
        <v>100</v>
      </c>
      <c r="J29" s="153">
        <f>(G29*0)/(1+cDR)^'Markov Model_b'!cycle</f>
        <v>0</v>
      </c>
      <c r="K29" s="178">
        <f t="shared" si="12"/>
        <v>66.15549607425956</v>
      </c>
      <c r="L29" s="202">
        <f>(G29*(uPostT))/(1+oDR)^'Markov Model_b'!cycle</f>
        <v>48.068509898772923</v>
      </c>
      <c r="M29" s="80"/>
      <c r="N29" s="3"/>
      <c r="O29" s="80"/>
      <c r="P29" s="173">
        <v>18</v>
      </c>
      <c r="Q29" s="165"/>
      <c r="R29" s="198">
        <v>6.420506367371015E-3</v>
      </c>
      <c r="S29" s="80"/>
      <c r="T29" s="248">
        <f t="shared" si="5"/>
        <v>62.326298641389869</v>
      </c>
      <c r="U29" s="176">
        <f>(T28*'Markov Model_b'!mr_2)+U28</f>
        <v>37.673701358610131</v>
      </c>
      <c r="V29" s="176">
        <f t="shared" si="4"/>
        <v>100</v>
      </c>
      <c r="W29" s="180">
        <f>(T29*0)/(1+cDR)^'Markov Model_b'!cycle2</f>
        <v>0</v>
      </c>
      <c r="X29" s="176">
        <f t="shared" si="10"/>
        <v>62.326298641389869</v>
      </c>
      <c r="Y29" s="202">
        <f>(T29*(uPostT))/(1+oDR)^'Markov Model_b'!cycle</f>
        <v>45.286219301183863</v>
      </c>
      <c r="Z29" s="80"/>
      <c r="AA29" s="3"/>
      <c r="AB29" s="3"/>
      <c r="AC29" s="3"/>
      <c r="AD29" s="29"/>
      <c r="AE29" s="3"/>
      <c r="AF29" s="3"/>
      <c r="AG29" s="3"/>
      <c r="AH29" s="3"/>
      <c r="AI29" s="14"/>
      <c r="AJ29" s="14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</row>
    <row r="30" spans="1:60" ht="14.25" customHeight="1" x14ac:dyDescent="0.2">
      <c r="A30" s="272"/>
      <c r="B30" s="80"/>
      <c r="C30" s="173">
        <v>19</v>
      </c>
      <c r="D30" s="165"/>
      <c r="E30" s="198">
        <v>6.0727010722510522E-3</v>
      </c>
      <c r="F30" s="199"/>
      <c r="G30" s="404">
        <f t="shared" si="11"/>
        <v>65.753753522314099</v>
      </c>
      <c r="H30" s="176">
        <f t="shared" si="9"/>
        <v>34.246246477685894</v>
      </c>
      <c r="I30" s="178">
        <f t="shared" si="2"/>
        <v>100</v>
      </c>
      <c r="J30" s="153">
        <f>(G30*0)/(1+cDR)^'Markov Model_b'!cycle</f>
        <v>0</v>
      </c>
      <c r="K30" s="178">
        <f t="shared" si="12"/>
        <v>65.753753522314099</v>
      </c>
      <c r="L30" s="202">
        <f>(G30*(uPostT))/(1+oDR)^'Markov Model_b'!cycle</f>
        <v>47.657460555779686</v>
      </c>
      <c r="M30" s="80"/>
      <c r="N30" s="3"/>
      <c r="O30" s="80"/>
      <c r="P30" s="173">
        <v>19</v>
      </c>
      <c r="Q30" s="165"/>
      <c r="R30" s="198">
        <v>6.0727010722510522E-3</v>
      </c>
      <c r="S30" s="80"/>
      <c r="T30" s="248">
        <f t="shared" si="5"/>
        <v>61.947809660800864</v>
      </c>
      <c r="U30" s="176">
        <f>(T29*'Markov Model_b'!mr_2)+U29</f>
        <v>38.052190339199136</v>
      </c>
      <c r="V30" s="176">
        <f t="shared" si="4"/>
        <v>100</v>
      </c>
      <c r="W30" s="180">
        <f>(T30*0)/(1+cDR)^'Markov Model_b'!cycle2</f>
        <v>0</v>
      </c>
      <c r="X30" s="176">
        <f t="shared" si="10"/>
        <v>61.947809660800864</v>
      </c>
      <c r="Y30" s="202">
        <f>(T30*(uPostT))/(1+oDR)^'Markov Model_b'!cycle</f>
        <v>44.898962223117579</v>
      </c>
      <c r="Z30" s="80"/>
      <c r="AA30" s="3"/>
      <c r="AB30" s="3"/>
      <c r="AC30" s="3"/>
      <c r="AD30" s="29"/>
      <c r="AE30" s="3"/>
      <c r="AF30" s="3"/>
      <c r="AG30" s="3"/>
      <c r="AH30" s="3"/>
      <c r="AI30" s="14"/>
      <c r="AJ30" s="14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</row>
    <row r="31" spans="1:60" ht="14.25" customHeight="1" x14ac:dyDescent="0.2">
      <c r="A31" s="272"/>
      <c r="B31" s="80"/>
      <c r="C31" s="173">
        <v>20</v>
      </c>
      <c r="D31" s="165"/>
      <c r="E31" s="198">
        <v>5.7472004229674467E-3</v>
      </c>
      <c r="F31" s="199"/>
      <c r="G31" s="404">
        <f t="shared" si="11"/>
        <v>65.375853522258964</v>
      </c>
      <c r="H31" s="176">
        <f t="shared" si="9"/>
        <v>34.624146477741036</v>
      </c>
      <c r="I31" s="178">
        <f t="shared" si="2"/>
        <v>100</v>
      </c>
      <c r="J31" s="153">
        <f>(G31*0)/(1+cDR)^'Markov Model_b'!cycle</f>
        <v>0</v>
      </c>
      <c r="K31" s="178">
        <f t="shared" si="12"/>
        <v>65.375853522258964</v>
      </c>
      <c r="L31" s="202">
        <f>(G31*(uPostT))/(1+oDR)^'Markov Model_b'!cycle</f>
        <v>47.265400078120656</v>
      </c>
      <c r="M31" s="80"/>
      <c r="N31" s="3"/>
      <c r="O31" s="80"/>
      <c r="P31" s="173">
        <v>20</v>
      </c>
      <c r="Q31" s="165"/>
      <c r="R31" s="198">
        <v>5.7472004229674467E-3</v>
      </c>
      <c r="S31" s="80"/>
      <c r="T31" s="248">
        <f t="shared" si="5"/>
        <v>61.591783182916402</v>
      </c>
      <c r="U31" s="176">
        <f>(T30*'Markov Model_b'!mr_2)+U30</f>
        <v>38.408216817083598</v>
      </c>
      <c r="V31" s="176">
        <f t="shared" si="4"/>
        <v>100</v>
      </c>
      <c r="W31" s="180">
        <f>(T31*0)/(1+cDR)^'Markov Model_b'!cycle2</f>
        <v>0</v>
      </c>
      <c r="X31" s="176">
        <f t="shared" si="10"/>
        <v>61.591783182916402</v>
      </c>
      <c r="Y31" s="202">
        <f>(T31*(uPostT))/(1+oDR)^'Markov Model_b'!cycle</f>
        <v>44.529594901185106</v>
      </c>
      <c r="Z31" s="80"/>
      <c r="AA31" s="3"/>
      <c r="AB31" s="3"/>
      <c r="AC31" s="3"/>
      <c r="AD31" s="29"/>
      <c r="AE31" s="3"/>
      <c r="AF31" s="3"/>
      <c r="AG31" s="3"/>
      <c r="AH31" s="3"/>
      <c r="AI31" s="14"/>
      <c r="AJ31" s="14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</row>
    <row r="32" spans="1:60" ht="14.25" customHeight="1" x14ac:dyDescent="0.2">
      <c r="A32" s="272"/>
      <c r="B32" s="80"/>
      <c r="C32" s="173">
        <v>21</v>
      </c>
      <c r="D32" s="165"/>
      <c r="E32" s="198">
        <v>5.4422965563215575E-3</v>
      </c>
      <c r="F32" s="199"/>
      <c r="G32" s="404">
        <f t="shared" si="11"/>
        <v>65.020058739768189</v>
      </c>
      <c r="H32" s="176">
        <f t="shared" si="9"/>
        <v>34.979941260231811</v>
      </c>
      <c r="I32" s="178">
        <f t="shared" si="2"/>
        <v>100</v>
      </c>
      <c r="J32" s="153">
        <f>(G32*0)/(1+cDR)^'Markov Model_b'!cycle</f>
        <v>0</v>
      </c>
      <c r="K32" s="178">
        <f t="shared" si="12"/>
        <v>65.020058739768189</v>
      </c>
      <c r="L32" s="202">
        <f>(G32*(uPostT))/(1+oDR)^'Markov Model_b'!cycle</f>
        <v>46.890940403034755</v>
      </c>
      <c r="M32" s="80"/>
      <c r="N32" s="3"/>
      <c r="O32" s="80"/>
      <c r="P32" s="173">
        <v>21</v>
      </c>
      <c r="Q32" s="165"/>
      <c r="R32" s="198">
        <v>5.4422965563215575E-3</v>
      </c>
      <c r="S32" s="80"/>
      <c r="T32" s="248">
        <f t="shared" si="5"/>
        <v>61.256582433402315</v>
      </c>
      <c r="U32" s="176">
        <f>(T31*'Markov Model_b'!mr_2)+U31</f>
        <v>38.743417566597685</v>
      </c>
      <c r="V32" s="176">
        <f t="shared" si="4"/>
        <v>100</v>
      </c>
      <c r="W32" s="180">
        <f>(T32*0)/(1+cDR)^'Markov Model_b'!cycle2</f>
        <v>0</v>
      </c>
      <c r="X32" s="176">
        <f t="shared" si="10"/>
        <v>61.256582433402315</v>
      </c>
      <c r="Y32" s="202">
        <f>(T32*(uPostT))/(1+oDR)^'Markov Model_b'!cycle</f>
        <v>44.176809616159609</v>
      </c>
      <c r="Z32" s="80"/>
      <c r="AA32" s="3"/>
      <c r="AB32" s="3"/>
      <c r="AC32" s="3"/>
      <c r="AD32" s="29"/>
      <c r="AE32" s="3"/>
      <c r="AF32" s="3"/>
      <c r="AG32" s="3"/>
      <c r="AH32" s="3"/>
      <c r="AI32" s="14"/>
      <c r="AJ32" s="14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</row>
    <row r="33" spans="1:60" ht="14.25" customHeight="1" x14ac:dyDescent="0.2">
      <c r="A33" s="272"/>
      <c r="B33" s="80"/>
      <c r="C33" s="173">
        <v>22</v>
      </c>
      <c r="D33" s="165"/>
      <c r="E33" s="198">
        <v>5.156434474381022E-3</v>
      </c>
      <c r="F33" s="199"/>
      <c r="G33" s="404">
        <f t="shared" si="11"/>
        <v>64.684787067356169</v>
      </c>
      <c r="H33" s="176">
        <f t="shared" si="9"/>
        <v>35.315212932643831</v>
      </c>
      <c r="I33" s="178">
        <f t="shared" si="2"/>
        <v>100</v>
      </c>
      <c r="J33" s="153">
        <f>(G33*0)/(1+cDR)^'Markov Model_b'!cycle</f>
        <v>0</v>
      </c>
      <c r="K33" s="178">
        <f t="shared" si="12"/>
        <v>64.684787067356169</v>
      </c>
      <c r="L33" s="202">
        <f>(G33*(uPostT))/(1+oDR)^'Markov Model_b'!cycle</f>
        <v>46.532818295665251</v>
      </c>
      <c r="M33" s="80"/>
      <c r="N33" s="3"/>
      <c r="O33" s="80"/>
      <c r="P33" s="173">
        <v>22</v>
      </c>
      <c r="Q33" s="165"/>
      <c r="R33" s="198">
        <v>5.156434474381022E-3</v>
      </c>
      <c r="S33" s="80"/>
      <c r="T33" s="248">
        <f t="shared" si="5"/>
        <v>60.940716879959957</v>
      </c>
      <c r="U33" s="176">
        <f>(T32*'Markov Model_b'!mr_2)+U32</f>
        <v>39.059283120040043</v>
      </c>
      <c r="V33" s="176">
        <f t="shared" si="4"/>
        <v>100</v>
      </c>
      <c r="W33" s="180">
        <f>(T33*0)/(1+cDR)^'Markov Model_b'!cycle2</f>
        <v>0</v>
      </c>
      <c r="X33" s="176">
        <f t="shared" si="10"/>
        <v>60.940716879959957</v>
      </c>
      <c r="Y33" s="202">
        <f>(T33*(uPostT))/(1+oDR)^'Markov Model_b'!cycle</f>
        <v>43.83941625145804</v>
      </c>
      <c r="Z33" s="80"/>
      <c r="AA33" s="3"/>
      <c r="AB33" s="3"/>
      <c r="AC33" s="3"/>
      <c r="AD33" s="29"/>
      <c r="AE33" s="3"/>
      <c r="AF33" s="3"/>
      <c r="AG33" s="3"/>
      <c r="AH33" s="3"/>
      <c r="AI33" s="14"/>
      <c r="AJ33" s="14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</row>
    <row r="34" spans="1:60" ht="14.25" customHeight="1" x14ac:dyDescent="0.25">
      <c r="A34" s="272"/>
      <c r="B34" s="80"/>
      <c r="C34" s="173">
        <v>23</v>
      </c>
      <c r="D34" s="165"/>
      <c r="E34" s="198">
        <v>4.8881965143747763E-3</v>
      </c>
      <c r="F34" s="199"/>
      <c r="G34" s="404">
        <f t="shared" si="11"/>
        <v>64.368595116680439</v>
      </c>
      <c r="H34" s="176">
        <f t="shared" si="9"/>
        <v>35.631404883319554</v>
      </c>
      <c r="I34" s="178">
        <f t="shared" si="2"/>
        <v>100</v>
      </c>
      <c r="J34" s="153">
        <f>(G34*0)/(1+cDR)^'Markov Model_b'!cycle</f>
        <v>0</v>
      </c>
      <c r="K34" s="178">
        <f t="shared" si="12"/>
        <v>64.368595116680439</v>
      </c>
      <c r="L34" s="202">
        <f>(G34*(uPostT))/(1+oDR)^'Markov Model_b'!cycle</f>
        <v>46.189882030392354</v>
      </c>
      <c r="M34" s="80"/>
      <c r="N34" s="3"/>
      <c r="O34" s="80"/>
      <c r="P34" s="173">
        <v>23</v>
      </c>
      <c r="Q34" s="165"/>
      <c r="R34" s="198">
        <v>4.8881965143747763E-3</v>
      </c>
      <c r="S34" s="80"/>
      <c r="T34" s="248">
        <f t="shared" si="5"/>
        <v>60.642826680123839</v>
      </c>
      <c r="U34" s="176">
        <f>(T33*'Markov Model_b'!mr_2)+U33</f>
        <v>39.357173319876161</v>
      </c>
      <c r="V34" s="176">
        <f t="shared" si="4"/>
        <v>100</v>
      </c>
      <c r="W34" s="180">
        <f>(T34*0)/(1+cDR)^'Markov Model_b'!cycle2</f>
        <v>0</v>
      </c>
      <c r="X34" s="176">
        <f t="shared" si="10"/>
        <v>60.642826680123839</v>
      </c>
      <c r="Y34" s="202">
        <f>(T34*(uPostT))/(1+oDR)^'Markov Model_b'!cycle</f>
        <v>43.516329745381974</v>
      </c>
      <c r="Z34" s="80"/>
      <c r="AA34" s="3"/>
      <c r="AB34" s="3"/>
      <c r="AC34" s="3"/>
      <c r="AD34" s="29"/>
      <c r="AE34" s="3"/>
      <c r="AF34" s="3"/>
      <c r="AG34" s="3"/>
      <c r="AH34" s="3"/>
      <c r="AI34" s="14"/>
      <c r="AJ34" s="204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</row>
    <row r="35" spans="1:60" ht="14.25" customHeight="1" x14ac:dyDescent="0.2">
      <c r="A35" s="272"/>
      <c r="B35" s="80"/>
      <c r="C35" s="173">
        <v>24</v>
      </c>
      <c r="D35" s="165"/>
      <c r="E35" s="198">
        <v>4.6362885686078714E-3</v>
      </c>
      <c r="F35" s="199"/>
      <c r="G35" s="404">
        <f t="shared" si="11"/>
        <v>64.070163734963629</v>
      </c>
      <c r="H35" s="176">
        <f t="shared" si="9"/>
        <v>35.929836265036371</v>
      </c>
      <c r="I35" s="178">
        <f t="shared" si="2"/>
        <v>100</v>
      </c>
      <c r="J35" s="153">
        <f>(G35*0)/(1+cDR)^'Markov Model_b'!cycle</f>
        <v>0</v>
      </c>
      <c r="K35" s="178">
        <f t="shared" si="12"/>
        <v>64.070163734963629</v>
      </c>
      <c r="L35" s="202">
        <f>(G35*(uPostT))/(1+oDR)^'Markov Model_b'!cycle</f>
        <v>45.861079709076819</v>
      </c>
      <c r="M35" s="80"/>
      <c r="N35" s="3"/>
      <c r="O35" s="80"/>
      <c r="P35" s="173">
        <v>24</v>
      </c>
      <c r="Q35" s="165"/>
      <c r="R35" s="198">
        <v>4.6362885686078714E-3</v>
      </c>
      <c r="S35" s="80"/>
      <c r="T35" s="248">
        <f t="shared" si="5"/>
        <v>60.361669036018711</v>
      </c>
      <c r="U35" s="176">
        <f>(T34*'Markov Model_b'!mr_2)+U34</f>
        <v>39.638330963981289</v>
      </c>
      <c r="V35" s="176">
        <f t="shared" si="4"/>
        <v>100</v>
      </c>
      <c r="W35" s="180">
        <f>(T35*0)/(1+cDR)^'Markov Model_b'!cycle2</f>
        <v>0</v>
      </c>
      <c r="X35" s="176">
        <f t="shared" si="10"/>
        <v>60.361669036018711</v>
      </c>
      <c r="Y35" s="202">
        <f>(T35*(uPostT))/(1+oDR)^'Markov Model_b'!cycle</f>
        <v>43.206559085521889</v>
      </c>
      <c r="Z35" s="80"/>
      <c r="AA35" s="3"/>
      <c r="AB35" s="3"/>
      <c r="AC35" s="3"/>
      <c r="AD35" s="3"/>
      <c r="AE35" s="3"/>
      <c r="AF35" s="3"/>
      <c r="AG35" s="3"/>
      <c r="AH35" s="3"/>
      <c r="AI35" s="14"/>
      <c r="AJ35" s="14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</row>
    <row r="36" spans="1:60" ht="14.25" customHeight="1" x14ac:dyDescent="0.25">
      <c r="A36" s="3" t="s">
        <v>496</v>
      </c>
      <c r="B36" s="80"/>
      <c r="C36" s="465">
        <v>25</v>
      </c>
      <c r="D36" s="466"/>
      <c r="E36" s="467">
        <v>4.3995278389929449E-3</v>
      </c>
      <c r="F36" s="468"/>
      <c r="G36" s="469">
        <f t="shared" si="11"/>
        <v>63.78828526596282</v>
      </c>
      <c r="H36" s="470">
        <f t="shared" si="9"/>
        <v>36.21171473403718</v>
      </c>
      <c r="I36" s="471">
        <f t="shared" si="2"/>
        <v>100</v>
      </c>
      <c r="J36" s="472">
        <f>(G36*0)/(1+cDR)^'Markov Model_b'!cycle</f>
        <v>0</v>
      </c>
      <c r="K36" s="471">
        <f t="shared" si="12"/>
        <v>63.78828526596282</v>
      </c>
      <c r="L36" s="473">
        <f>(G36*(uPostT))/(1+oDR)^'Markov Model_b'!cycle</f>
        <v>45.545448989696212</v>
      </c>
      <c r="M36" s="464"/>
      <c r="N36" s="464"/>
      <c r="O36" s="464"/>
      <c r="P36" s="465">
        <v>25</v>
      </c>
      <c r="Q36" s="466"/>
      <c r="R36" s="467">
        <v>4.3995278389929449E-3</v>
      </c>
      <c r="S36" s="464"/>
      <c r="T36" s="480">
        <f t="shared" si="5"/>
        <v>60.096106192686669</v>
      </c>
      <c r="U36" s="470">
        <f>(T35*'Markov Model_b'!mr_2)+U35</f>
        <v>39.903893807313331</v>
      </c>
      <c r="V36" s="470">
        <f t="shared" si="4"/>
        <v>100</v>
      </c>
      <c r="W36" s="475">
        <f>(T36*0)/(1+cDR)^'Markov Model_b'!cycle2</f>
        <v>0</v>
      </c>
      <c r="X36" s="470">
        <f t="shared" si="10"/>
        <v>60.096106192686669</v>
      </c>
      <c r="Y36" s="473">
        <f>(T36*(uPostT))/(1+oDR)^'Markov Model_b'!cycle</f>
        <v>42.909197631918246</v>
      </c>
      <c r="Z36" s="80"/>
      <c r="AA36" s="3"/>
      <c r="AB36" s="3"/>
      <c r="AC36" s="3"/>
      <c r="AD36" s="3"/>
      <c r="AE36" s="3"/>
      <c r="AF36" s="3"/>
      <c r="AG36" s="3"/>
      <c r="AH36" s="3"/>
      <c r="AI36" s="14"/>
      <c r="AJ36" s="14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</row>
    <row r="37" spans="1:60" ht="14.25" customHeight="1" x14ac:dyDescent="0.2">
      <c r="A37" s="272"/>
      <c r="B37" s="80"/>
      <c r="C37" s="173">
        <v>26</v>
      </c>
      <c r="D37" s="165"/>
      <c r="E37" s="198">
        <v>4.1768319394518416E-3</v>
      </c>
      <c r="F37" s="199"/>
      <c r="G37" s="404">
        <f t="shared" si="11"/>
        <v>63.521852318701079</v>
      </c>
      <c r="H37" s="176">
        <f t="shared" si="9"/>
        <v>36.478147681298921</v>
      </c>
      <c r="I37" s="178">
        <f t="shared" si="2"/>
        <v>100</v>
      </c>
      <c r="J37" s="153">
        <f>(G37*0)/(1+cDR)^'Markov Model_b'!cycle</f>
        <v>0</v>
      </c>
      <c r="K37" s="178">
        <f t="shared" si="12"/>
        <v>63.521852318701079</v>
      </c>
      <c r="L37" s="202">
        <f>(G37*(uPostT))/(1+oDR)^'Markov Model_b'!cycle</f>
        <v>45.242108033575434</v>
      </c>
      <c r="M37" s="80"/>
      <c r="N37" s="3"/>
      <c r="O37" s="80"/>
      <c r="P37" s="173">
        <v>26</v>
      </c>
      <c r="Q37" s="165"/>
      <c r="R37" s="198">
        <v>4.1768319394518416E-3</v>
      </c>
      <c r="S37" s="80"/>
      <c r="T37" s="248">
        <f t="shared" si="5"/>
        <v>59.845094856904367</v>
      </c>
      <c r="U37" s="176">
        <f>(T36*'Markov Model_b'!mr_2)+U36</f>
        <v>40.154905143095633</v>
      </c>
      <c r="V37" s="176">
        <f t="shared" si="4"/>
        <v>100</v>
      </c>
      <c r="W37" s="180">
        <f>(T37*0)/(1+cDR)^'Markov Model_b'!cycle2</f>
        <v>0</v>
      </c>
      <c r="X37" s="176">
        <f t="shared" si="10"/>
        <v>59.845094856904367</v>
      </c>
      <c r="Y37" s="202">
        <f>(T37*(uPostT))/(1+oDR)^'Markov Model_b'!cycle</f>
        <v>42.623414588282294</v>
      </c>
      <c r="Z37" s="80"/>
      <c r="AA37" s="3"/>
      <c r="AB37" s="3"/>
      <c r="AC37" s="3"/>
      <c r="AD37" s="3"/>
      <c r="AE37" s="3"/>
      <c r="AF37" s="3"/>
      <c r="AG37" s="3"/>
      <c r="AH37" s="3"/>
      <c r="AI37" s="14"/>
      <c r="AJ37" s="14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</row>
    <row r="38" spans="1:60" ht="14.25" customHeight="1" x14ac:dyDescent="0.2">
      <c r="A38" s="272"/>
      <c r="B38" s="80"/>
      <c r="C38" s="173">
        <v>27</v>
      </c>
      <c r="D38" s="165"/>
      <c r="E38" s="198">
        <v>3.9672091839965673E-3</v>
      </c>
      <c r="F38" s="199"/>
      <c r="G38" s="404">
        <f t="shared" si="11"/>
        <v>63.269847842797851</v>
      </c>
      <c r="H38" s="176">
        <f t="shared" si="9"/>
        <v>36.730152157202149</v>
      </c>
      <c r="I38" s="178">
        <f t="shared" si="2"/>
        <v>100</v>
      </c>
      <c r="J38" s="153">
        <f>(G38*0)/(1+cDR)^'Markov Model_b'!cycle</f>
        <v>0</v>
      </c>
      <c r="K38" s="178">
        <f t="shared" si="12"/>
        <v>63.269847842797851</v>
      </c>
      <c r="L38" s="202">
        <f>(G38*(uPostT))/(1+oDR)^'Markov Model_b'!cycle</f>
        <v>44.950247508310497</v>
      </c>
      <c r="M38" s="80"/>
      <c r="N38" s="3"/>
      <c r="O38" s="80"/>
      <c r="P38" s="173">
        <v>27</v>
      </c>
      <c r="Q38" s="165"/>
      <c r="R38" s="198">
        <v>3.9672091839965673E-3</v>
      </c>
      <c r="S38" s="80"/>
      <c r="T38" s="248">
        <f t="shared" si="5"/>
        <v>59.607676846970911</v>
      </c>
      <c r="U38" s="176">
        <f>(T37*'Markov Model_b'!mr_2)+U37</f>
        <v>40.392323153029089</v>
      </c>
      <c r="V38" s="176">
        <f t="shared" si="4"/>
        <v>100</v>
      </c>
      <c r="W38" s="180">
        <f>(T38*0)/(1+cDR)^'Markov Model_b'!cycle2</f>
        <v>0</v>
      </c>
      <c r="X38" s="176">
        <f t="shared" si="10"/>
        <v>59.607676846970911</v>
      </c>
      <c r="Y38" s="202">
        <f>(T38*(uPostT))/(1+oDR)^'Markov Model_b'!cycle</f>
        <v>42.348447467804867</v>
      </c>
      <c r="Z38" s="80"/>
      <c r="AA38" s="3"/>
      <c r="AB38" s="3"/>
      <c r="AC38" s="3"/>
      <c r="AD38" s="3"/>
      <c r="AE38" s="3"/>
      <c r="AF38" s="3"/>
      <c r="AG38" s="3"/>
      <c r="AH38" s="3"/>
      <c r="AI38" s="14"/>
      <c r="AJ38" s="14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</row>
    <row r="39" spans="1:60" ht="14.25" customHeight="1" x14ac:dyDescent="0.2">
      <c r="A39" s="272"/>
      <c r="B39" s="80"/>
      <c r="C39" s="173">
        <v>28</v>
      </c>
      <c r="D39" s="165"/>
      <c r="E39" s="198">
        <v>3.7697499194060957E-3</v>
      </c>
      <c r="F39" s="199"/>
      <c r="G39" s="404">
        <f t="shared" si="11"/>
        <v>63.031336338991629</v>
      </c>
      <c r="H39" s="176">
        <f t="shared" si="9"/>
        <v>36.968663661008371</v>
      </c>
      <c r="I39" s="178">
        <f t="shared" si="2"/>
        <v>100</v>
      </c>
      <c r="J39" s="153">
        <f>(G39*0)/(1+cDR)^'Markov Model_b'!cycle</f>
        <v>0</v>
      </c>
      <c r="K39" s="178">
        <f t="shared" si="12"/>
        <v>63.031336338991629</v>
      </c>
      <c r="L39" s="202">
        <f>(G39*(uPostT))/(1+oDR)^'Markov Model_b'!cycle</f>
        <v>44.669123507619716</v>
      </c>
      <c r="M39" s="80"/>
      <c r="N39" s="3"/>
      <c r="O39" s="80"/>
      <c r="P39" s="173">
        <v>28</v>
      </c>
      <c r="Q39" s="165"/>
      <c r="R39" s="198">
        <v>3.7697499194060957E-3</v>
      </c>
      <c r="S39" s="80"/>
      <c r="T39" s="248">
        <f t="shared" si="5"/>
        <v>59.38297081198106</v>
      </c>
      <c r="U39" s="176">
        <f>(T38*'Markov Model_b'!mr_2)+U38</f>
        <v>40.61702918801894</v>
      </c>
      <c r="V39" s="176">
        <f t="shared" si="4"/>
        <v>100</v>
      </c>
      <c r="W39" s="180">
        <f>(T39*0)/(1+cDR)^'Markov Model_b'!cycle2</f>
        <v>0</v>
      </c>
      <c r="X39" s="176">
        <f t="shared" si="10"/>
        <v>59.38297081198106</v>
      </c>
      <c r="Y39" s="202">
        <f>(T39*(uPostT))/(1+oDR)^'Markov Model_b'!cycle</f>
        <v>42.083595422819087</v>
      </c>
      <c r="Z39" s="80"/>
      <c r="AA39" s="3"/>
      <c r="AB39" s="3"/>
      <c r="AC39" s="3"/>
      <c r="AD39" s="3"/>
      <c r="AE39" s="3"/>
      <c r="AF39" s="3"/>
      <c r="AG39" s="3"/>
      <c r="AH39" s="3"/>
      <c r="AI39" s="14"/>
      <c r="AJ39" s="14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</row>
    <row r="40" spans="1:60" ht="14.25" customHeight="1" x14ac:dyDescent="0.2">
      <c r="A40" s="272"/>
      <c r="B40" s="80"/>
      <c r="C40" s="173">
        <v>29</v>
      </c>
      <c r="D40" s="165"/>
      <c r="E40" s="198">
        <v>3.583618779570974E-3</v>
      </c>
      <c r="F40" s="199"/>
      <c r="G40" s="404">
        <f t="shared" si="11"/>
        <v>62.805456058385765</v>
      </c>
      <c r="H40" s="176">
        <f t="shared" si="9"/>
        <v>37.194543941614235</v>
      </c>
      <c r="I40" s="178">
        <f t="shared" si="2"/>
        <v>100</v>
      </c>
      <c r="J40" s="153">
        <f>(G40*0)/(1+cDR)^'Markov Model_b'!cycle</f>
        <v>0</v>
      </c>
      <c r="K40" s="178">
        <f t="shared" si="12"/>
        <v>62.805456058385765</v>
      </c>
      <c r="L40" s="202">
        <f>(G40*(uPostT))/(1+oDR)^'Markov Model_b'!cycle</f>
        <v>44.398051269576882</v>
      </c>
      <c r="M40" s="80"/>
      <c r="N40" s="3"/>
      <c r="O40" s="80"/>
      <c r="P40" s="173">
        <v>29</v>
      </c>
      <c r="Q40" s="165"/>
      <c r="R40" s="198">
        <v>3.583618779570974E-3</v>
      </c>
      <c r="S40" s="80"/>
      <c r="T40" s="248">
        <f t="shared" si="5"/>
        <v>59.17016488259253</v>
      </c>
      <c r="U40" s="176">
        <f>(T39*'Markov Model_b'!mr_2)+U39</f>
        <v>40.82983511740747</v>
      </c>
      <c r="V40" s="176">
        <f t="shared" si="4"/>
        <v>100</v>
      </c>
      <c r="W40" s="180">
        <f>(T40*0)/(1+cDR)^'Markov Model_b'!cycle2</f>
        <v>0</v>
      </c>
      <c r="X40" s="176">
        <f t="shared" si="10"/>
        <v>59.17016488259253</v>
      </c>
      <c r="Y40" s="202">
        <f>(T40*(uPostT))/(1+oDR)^'Markov Model_b'!cycle</f>
        <v>41.82821332663341</v>
      </c>
      <c r="Z40" s="80"/>
      <c r="AA40" s="3"/>
      <c r="AB40" s="3"/>
      <c r="AC40" s="3"/>
      <c r="AD40" s="3"/>
      <c r="AE40" s="3"/>
      <c r="AF40" s="3"/>
      <c r="AG40" s="3"/>
      <c r="AH40" s="3"/>
      <c r="AI40" s="14"/>
      <c r="AJ40" s="14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</row>
    <row r="41" spans="1:60" ht="14.25" customHeight="1" x14ac:dyDescent="0.2">
      <c r="A41" s="272"/>
      <c r="B41" s="80"/>
      <c r="C41" s="173">
        <v>30</v>
      </c>
      <c r="D41" s="165"/>
      <c r="E41" s="198">
        <v>3.4080477542321463E-3</v>
      </c>
      <c r="F41" s="199"/>
      <c r="G41" s="404">
        <f t="shared" si="11"/>
        <v>62.591412064912461</v>
      </c>
      <c r="H41" s="176">
        <f t="shared" si="9"/>
        <v>37.408587935087539</v>
      </c>
      <c r="I41" s="178">
        <f t="shared" si="2"/>
        <v>100</v>
      </c>
      <c r="J41" s="153">
        <f>(G41*0)/(1+cDR)^'Markov Model_b'!cycle</f>
        <v>0</v>
      </c>
      <c r="K41" s="178">
        <f t="shared" si="12"/>
        <v>62.591412064912461</v>
      </c>
      <c r="L41" s="202">
        <f>(G41*(uPostT))/(1+oDR)^'Markov Model_b'!cycle</f>
        <v>44.136399591676145</v>
      </c>
      <c r="M41" s="80"/>
      <c r="N41" s="3"/>
      <c r="O41" s="80"/>
      <c r="P41" s="173">
        <v>30</v>
      </c>
      <c r="Q41" s="165"/>
      <c r="R41" s="198">
        <v>3.4080477542321463E-3</v>
      </c>
      <c r="S41" s="80"/>
      <c r="T41" s="248">
        <f t="shared" si="5"/>
        <v>58.968510135046863</v>
      </c>
      <c r="U41" s="176">
        <f>(T40*'Markov Model_b'!mr_2)+U40</f>
        <v>41.031489864953137</v>
      </c>
      <c r="V41" s="176">
        <f t="shared" si="4"/>
        <v>100</v>
      </c>
      <c r="W41" s="180">
        <f>(T41*0)/(1+cDR)^'Markov Model_b'!cycle2</f>
        <v>0</v>
      </c>
      <c r="X41" s="176">
        <f t="shared" si="10"/>
        <v>58.968510135046863</v>
      </c>
      <c r="Y41" s="202">
        <f>(T41*(uPostT))/(1+oDR)^'Markov Model_b'!cycle</f>
        <v>41.581706511862393</v>
      </c>
      <c r="Z41" s="80"/>
      <c r="AA41" s="3"/>
      <c r="AB41" s="3"/>
      <c r="AC41" s="3"/>
      <c r="AD41" s="3"/>
      <c r="AE41" s="3"/>
      <c r="AF41" s="3"/>
      <c r="AG41" s="3"/>
      <c r="AH41" s="3"/>
      <c r="AI41" s="14"/>
      <c r="AJ41" s="14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</row>
    <row r="42" spans="1:60" ht="14.25" customHeight="1" x14ac:dyDescent="0.2">
      <c r="A42" s="272"/>
      <c r="B42" s="80"/>
      <c r="C42" s="173">
        <v>31</v>
      </c>
      <c r="D42" s="165"/>
      <c r="E42" s="198">
        <v>3.2423299783530535E-3</v>
      </c>
      <c r="F42" s="199"/>
      <c r="G42" s="404">
        <f t="shared" si="11"/>
        <v>62.38847005318695</v>
      </c>
      <c r="H42" s="176">
        <f t="shared" si="9"/>
        <v>37.61152994681305</v>
      </c>
      <c r="I42" s="178">
        <f t="shared" si="2"/>
        <v>100</v>
      </c>
      <c r="J42" s="153">
        <f>(G42*0)/(1+cDR)^'Markov Model_b'!cycle</f>
        <v>0</v>
      </c>
      <c r="K42" s="178">
        <f t="shared" si="12"/>
        <v>62.38847005318695</v>
      </c>
      <c r="L42" s="202">
        <f>(G42*(uPostT))/(1+oDR)^'Markov Model_b'!cycle</f>
        <v>43.883585855504727</v>
      </c>
      <c r="M42" s="80"/>
      <c r="N42" s="3"/>
      <c r="O42" s="80"/>
      <c r="P42" s="173">
        <v>31</v>
      </c>
      <c r="Q42" s="165"/>
      <c r="R42" s="198">
        <v>3.2423299783530535E-3</v>
      </c>
      <c r="S42" s="80"/>
      <c r="T42" s="248">
        <f t="shared" si="5"/>
        <v>58.777314766857188</v>
      </c>
      <c r="U42" s="176">
        <f>(T41*'Markov Model_b'!mr_2)+U41</f>
        <v>41.222685233142812</v>
      </c>
      <c r="V42" s="176">
        <f t="shared" si="4"/>
        <v>100</v>
      </c>
      <c r="W42" s="180">
        <f>(T42*0)/(1+cDR)^'Markov Model_b'!cycle2</f>
        <v>0</v>
      </c>
      <c r="X42" s="176">
        <f t="shared" si="10"/>
        <v>58.777314766857188</v>
      </c>
      <c r="Y42" s="202">
        <f>(T42*(uPostT))/(1+oDR)^'Markov Model_b'!cycle</f>
        <v>41.343526083080206</v>
      </c>
      <c r="Z42" s="80"/>
      <c r="AA42" s="3"/>
      <c r="AB42" s="3"/>
      <c r="AC42" s="3"/>
      <c r="AD42" s="3"/>
      <c r="AE42" s="3"/>
      <c r="AF42" s="3"/>
      <c r="AG42" s="3"/>
      <c r="AH42" s="3"/>
      <c r="AI42" s="14"/>
      <c r="AJ42" s="14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</row>
    <row r="43" spans="1:60" ht="14.25" customHeight="1" x14ac:dyDescent="0.2">
      <c r="A43" s="272"/>
      <c r="B43" s="80"/>
      <c r="C43" s="173">
        <v>32</v>
      </c>
      <c r="D43" s="165"/>
      <c r="E43" s="198">
        <v>3.0858141600502154E-3</v>
      </c>
      <c r="F43" s="199"/>
      <c r="G43" s="404">
        <f t="shared" si="11"/>
        <v>62.195950828872959</v>
      </c>
      <c r="H43" s="176">
        <f t="shared" si="9"/>
        <v>37.804049171127041</v>
      </c>
      <c r="I43" s="178">
        <f t="shared" si="2"/>
        <v>100</v>
      </c>
      <c r="J43" s="153">
        <f>(G43*0)/(1+cDR)^'Markov Model_b'!cycle</f>
        <v>0</v>
      </c>
      <c r="K43" s="178">
        <f t="shared" si="12"/>
        <v>62.195950828872959</v>
      </c>
      <c r="L43" s="202">
        <f>(G43*(uPostT))/(1+oDR)^'Markov Model_b'!cycle</f>
        <v>43.639071585913243</v>
      </c>
      <c r="M43" s="80"/>
      <c r="N43" s="3"/>
      <c r="O43" s="80"/>
      <c r="P43" s="173">
        <v>32</v>
      </c>
      <c r="Q43" s="165"/>
      <c r="R43" s="198">
        <v>3.0858141600502154E-3</v>
      </c>
      <c r="S43" s="80"/>
      <c r="T43" s="248">
        <f t="shared" si="5"/>
        <v>58.595938896659888</v>
      </c>
      <c r="U43" s="176">
        <f>(T42*'Markov Model_b'!mr_2)+U42</f>
        <v>41.404061103340112</v>
      </c>
      <c r="V43" s="176">
        <f t="shared" si="4"/>
        <v>100</v>
      </c>
      <c r="W43" s="180">
        <f>(T43*0)/(1+cDR)^'Markov Model_b'!cycle2</f>
        <v>0</v>
      </c>
      <c r="X43" s="176">
        <f t="shared" si="10"/>
        <v>58.595938896659888</v>
      </c>
      <c r="Y43" s="202">
        <f>(T43*(uPostT))/(1+oDR)^'Markov Model_b'!cycle</f>
        <v>41.11316473303404</v>
      </c>
      <c r="Z43" s="80"/>
      <c r="AA43" s="3"/>
      <c r="AB43" s="3"/>
      <c r="AC43" s="3"/>
      <c r="AD43" s="3"/>
      <c r="AE43" s="3"/>
      <c r="AF43" s="3"/>
      <c r="AG43" s="3"/>
      <c r="AH43" s="3"/>
      <c r="AI43" s="14"/>
      <c r="AJ43" s="14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</row>
    <row r="44" spans="1:60" ht="14.25" customHeight="1" x14ac:dyDescent="0.2">
      <c r="A44" s="272"/>
      <c r="B44" s="80"/>
      <c r="C44" s="173">
        <v>33</v>
      </c>
      <c r="D44" s="165"/>
      <c r="E44" s="198">
        <v>2.9378995751344061E-3</v>
      </c>
      <c r="F44" s="199"/>
      <c r="G44" s="404">
        <f t="shared" si="11"/>
        <v>62.013225371357734</v>
      </c>
      <c r="H44" s="176">
        <f t="shared" si="9"/>
        <v>37.986774628642266</v>
      </c>
      <c r="I44" s="178">
        <f t="shared" si="2"/>
        <v>100</v>
      </c>
      <c r="J44" s="153">
        <f>(G44*0)/(1+cDR)^'Markov Model_b'!cycle</f>
        <v>0</v>
      </c>
      <c r="K44" s="178">
        <f t="shared" si="12"/>
        <v>62.013225371357734</v>
      </c>
      <c r="L44" s="202">
        <f>(G44*(uPostT))/(1+oDR)^'Markov Model_b'!cycle</f>
        <v>43.402358479842121</v>
      </c>
      <c r="M44" s="80"/>
      <c r="N44" s="3"/>
      <c r="O44" s="80"/>
      <c r="P44" s="173">
        <v>33</v>
      </c>
      <c r="Q44" s="165"/>
      <c r="R44" s="198">
        <v>2.9378995751344061E-3</v>
      </c>
      <c r="S44" s="80"/>
      <c r="T44" s="248">
        <f t="shared" si="5"/>
        <v>58.423789912670792</v>
      </c>
      <c r="U44" s="176">
        <f>(T43*'Markov Model_b'!mr_2)+U43</f>
        <v>41.576210087329208</v>
      </c>
      <c r="V44" s="176">
        <f t="shared" si="4"/>
        <v>100</v>
      </c>
      <c r="W44" s="180">
        <f>(T44*0)/(1+cDR)^'Markov Model_b'!cycle2</f>
        <v>0</v>
      </c>
      <c r="X44" s="176">
        <f t="shared" si="10"/>
        <v>58.423789912670792</v>
      </c>
      <c r="Y44" s="202">
        <f>(T44*(uPostT))/(1+oDR)^'Markov Model_b'!cycle</f>
        <v>40.890153001329111</v>
      </c>
      <c r="Z44" s="80"/>
      <c r="AA44" s="3"/>
      <c r="AB44" s="3"/>
      <c r="AC44" s="3"/>
      <c r="AD44" s="3"/>
      <c r="AE44" s="3"/>
      <c r="AF44" s="3"/>
      <c r="AG44" s="3"/>
      <c r="AH44" s="3"/>
      <c r="AI44" s="14"/>
      <c r="AJ44" s="14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</row>
    <row r="45" spans="1:60" ht="14.25" customHeight="1" x14ac:dyDescent="0.2">
      <c r="A45" s="272"/>
      <c r="B45" s="80"/>
      <c r="C45" s="173">
        <v>34</v>
      </c>
      <c r="D45" s="165"/>
      <c r="E45" s="198">
        <v>2.7980315650928955E-3</v>
      </c>
      <c r="F45" s="199"/>
      <c r="G45" s="404">
        <f t="shared" si="11"/>
        <v>61.839710409315458</v>
      </c>
      <c r="H45" s="176">
        <f t="shared" si="9"/>
        <v>38.160289590684542</v>
      </c>
      <c r="I45" s="178">
        <f t="shared" si="2"/>
        <v>100</v>
      </c>
      <c r="J45" s="153">
        <f>(G45*0)/(1+cDR)^'Markov Model_b'!cycle</f>
        <v>0</v>
      </c>
      <c r="K45" s="178">
        <f t="shared" si="12"/>
        <v>61.839710409315458</v>
      </c>
      <c r="L45" s="202">
        <f>(G45*(uPostT))/(1+oDR)^'Markov Model_b'!cycle</f>
        <v>43.17298484869432</v>
      </c>
      <c r="M45" s="80"/>
      <c r="N45" s="3"/>
      <c r="O45" s="80"/>
      <c r="P45" s="173">
        <v>34</v>
      </c>
      <c r="Q45" s="165"/>
      <c r="R45" s="198">
        <v>2.7980315650928955E-3</v>
      </c>
      <c r="S45" s="80"/>
      <c r="T45" s="248">
        <f t="shared" si="5"/>
        <v>58.260318304342782</v>
      </c>
      <c r="U45" s="176">
        <f>(T44*'Markov Model_b'!mr_2)+U44</f>
        <v>41.739681695657218</v>
      </c>
      <c r="V45" s="176">
        <f t="shared" si="4"/>
        <v>100</v>
      </c>
      <c r="W45" s="180">
        <f>(T45*0)/(1+cDR)^'Markov Model_b'!cycle2</f>
        <v>0</v>
      </c>
      <c r="X45" s="176">
        <f t="shared" si="10"/>
        <v>58.260318304342782</v>
      </c>
      <c r="Y45" s="202">
        <f>(T45*(uPostT))/(1+oDR)^'Markov Model_b'!cycle</f>
        <v>40.674055922723106</v>
      </c>
      <c r="Z45" s="80"/>
      <c r="AA45" s="3"/>
      <c r="AB45" s="3"/>
      <c r="AC45" s="3"/>
      <c r="AD45" s="3"/>
      <c r="AE45" s="3"/>
      <c r="AF45" s="3"/>
      <c r="AG45" s="3"/>
      <c r="AH45" s="3"/>
      <c r="AI45" s="14"/>
      <c r="AJ45" s="14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</row>
    <row r="46" spans="1:60" ht="14.25" customHeight="1" x14ac:dyDescent="0.2">
      <c r="A46" s="272"/>
      <c r="B46" s="80"/>
      <c r="C46" s="173">
        <v>35</v>
      </c>
      <c r="D46" s="165"/>
      <c r="E46" s="198">
        <v>2.665697482978624E-3</v>
      </c>
      <c r="F46" s="199"/>
      <c r="G46" s="404">
        <f t="shared" si="11"/>
        <v>61.67486444892922</v>
      </c>
      <c r="H46" s="176">
        <f t="shared" si="9"/>
        <v>38.32513555107078</v>
      </c>
      <c r="I46" s="178">
        <f t="shared" si="2"/>
        <v>100</v>
      </c>
      <c r="J46" s="153">
        <f>(G46*0)/(1+cDR)^'Markov Model_b'!cycle</f>
        <v>0</v>
      </c>
      <c r="K46" s="178">
        <f t="shared" si="12"/>
        <v>61.67486444892922</v>
      </c>
      <c r="L46" s="202">
        <f>(G46*(uPostT))/(1+oDR)^'Markov Model_b'!cycle</f>
        <v>42.95052242558652</v>
      </c>
      <c r="M46" s="80"/>
      <c r="N46" s="3"/>
      <c r="O46" s="80"/>
      <c r="P46" s="173">
        <v>35</v>
      </c>
      <c r="Q46" s="165"/>
      <c r="R46" s="198">
        <v>2.665697482978624E-3</v>
      </c>
      <c r="S46" s="80"/>
      <c r="T46" s="248">
        <f t="shared" si="5"/>
        <v>58.105013920481362</v>
      </c>
      <c r="U46" s="176">
        <f>(T45*'Markov Model_b'!mr_2)+U45</f>
        <v>41.894986079518638</v>
      </c>
      <c r="V46" s="176">
        <f t="shared" si="4"/>
        <v>100</v>
      </c>
      <c r="W46" s="180">
        <f>(T46*0)/(1+cDR)^'Markov Model_b'!cycle2</f>
        <v>0</v>
      </c>
      <c r="X46" s="176">
        <f t="shared" si="10"/>
        <v>58.105013920481362</v>
      </c>
      <c r="Y46" s="202">
        <f>(T46*(uPostT))/(1+oDR)^'Markov Model_b'!cycle</f>
        <v>40.46447001917943</v>
      </c>
      <c r="Z46" s="80"/>
      <c r="AA46" s="3"/>
      <c r="AB46" s="3"/>
      <c r="AC46" s="3"/>
      <c r="AD46" s="3"/>
      <c r="AE46" s="3"/>
      <c r="AF46" s="3"/>
      <c r="AG46" s="3"/>
      <c r="AH46" s="3"/>
      <c r="AI46" s="14"/>
      <c r="AJ46" s="14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</row>
    <row r="47" spans="1:60" ht="14.25" customHeight="1" x14ac:dyDescent="0.2">
      <c r="A47" s="272"/>
      <c r="B47" s="80"/>
      <c r="C47" s="173">
        <v>36</v>
      </c>
      <c r="D47" s="165"/>
      <c r="E47" s="198">
        <v>2.5404230383084814E-3</v>
      </c>
      <c r="F47" s="199"/>
      <c r="G47" s="404">
        <f t="shared" si="11"/>
        <v>61.518184202398608</v>
      </c>
      <c r="H47" s="176">
        <f t="shared" si="9"/>
        <v>38.481815797601392</v>
      </c>
      <c r="I47" s="178">
        <f t="shared" si="2"/>
        <v>100</v>
      </c>
      <c r="J47" s="153">
        <f>(G47*0)/(1+cDR)^'Markov Model_b'!cycle</f>
        <v>0</v>
      </c>
      <c r="K47" s="178">
        <f t="shared" si="12"/>
        <v>61.518184202398608</v>
      </c>
      <c r="L47" s="202">
        <f>(G47*(uPostT))/(1+oDR)^'Markov Model_b'!cycle</f>
        <v>42.73457349517124</v>
      </c>
      <c r="M47" s="80"/>
      <c r="N47" s="3"/>
      <c r="O47" s="80"/>
      <c r="P47" s="173">
        <v>36</v>
      </c>
      <c r="Q47" s="165"/>
      <c r="R47" s="198">
        <v>2.5404230383084814E-3</v>
      </c>
      <c r="S47" s="80"/>
      <c r="T47" s="248">
        <f t="shared" si="5"/>
        <v>57.957402604476535</v>
      </c>
      <c r="U47" s="176">
        <f>(T46*'Markov Model_b'!mr_2)+U46</f>
        <v>42.042597395523465</v>
      </c>
      <c r="V47" s="176">
        <f t="shared" si="4"/>
        <v>100</v>
      </c>
      <c r="W47" s="180">
        <f>(T47*0)/(1+cDR)^'Markov Model_b'!cycle2</f>
        <v>0</v>
      </c>
      <c r="X47" s="176">
        <f t="shared" si="10"/>
        <v>57.957402604476535</v>
      </c>
      <c r="Y47" s="202">
        <f>(T47*(uPostT))/(1+oDR)^'Markov Model_b'!cycle</f>
        <v>40.261020595820213</v>
      </c>
      <c r="Z47" s="80"/>
      <c r="AA47" s="3"/>
      <c r="AB47" s="3"/>
      <c r="AC47" s="3"/>
      <c r="AD47" s="3"/>
      <c r="AE47" s="3"/>
      <c r="AF47" s="3"/>
      <c r="AG47" s="3"/>
      <c r="AH47" s="3"/>
      <c r="AI47" s="14"/>
      <c r="AJ47" s="14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</row>
    <row r="48" spans="1:60" ht="14.25" customHeight="1" x14ac:dyDescent="0.25">
      <c r="A48" s="3" t="s">
        <v>497</v>
      </c>
      <c r="B48" s="80"/>
      <c r="C48" s="465">
        <v>37</v>
      </c>
      <c r="D48" s="466"/>
      <c r="E48" s="467">
        <v>2.4217689978662804E-3</v>
      </c>
      <c r="F48" s="468"/>
      <c r="G48" s="469">
        <f t="shared" si="11"/>
        <v>61.36920137109221</v>
      </c>
      <c r="H48" s="470">
        <f t="shared" si="9"/>
        <v>38.63079862890779</v>
      </c>
      <c r="I48" s="471">
        <f t="shared" si="2"/>
        <v>100</v>
      </c>
      <c r="J48" s="472">
        <f>(G48*0)/(1+cDR)^'Markov Model_b'!cycle</f>
        <v>0</v>
      </c>
      <c r="K48" s="471">
        <f t="shared" si="12"/>
        <v>61.36920137109221</v>
      </c>
      <c r="L48" s="473">
        <f>(G48*(uPostT))/(1+oDR)^'Markov Model_b'!cycle</f>
        <v>42.524768309170675</v>
      </c>
      <c r="M48" s="464"/>
      <c r="N48" s="464"/>
      <c r="O48" s="464"/>
      <c r="P48" s="465">
        <v>37</v>
      </c>
      <c r="Q48" s="466"/>
      <c r="R48" s="467">
        <v>2.4217689978662804E-3</v>
      </c>
      <c r="S48" s="464"/>
      <c r="T48" s="480">
        <f t="shared" si="5"/>
        <v>57.817043163652158</v>
      </c>
      <c r="U48" s="470">
        <f>(T47*'Markov Model_b'!mr_2)+U47</f>
        <v>42.182956836347842</v>
      </c>
      <c r="V48" s="470">
        <f t="shared" si="4"/>
        <v>100</v>
      </c>
      <c r="W48" s="475">
        <f>(T48*0)/(1+cDR)^'Markov Model_b'!cycle2</f>
        <v>0</v>
      </c>
      <c r="X48" s="470">
        <f t="shared" si="10"/>
        <v>57.817043163652158</v>
      </c>
      <c r="Y48" s="473">
        <f>(T48*(uPostT))/(1+oDR)^'Markov Model_b'!cycle</f>
        <v>40.063359306053663</v>
      </c>
      <c r="Z48" s="80"/>
      <c r="AA48" s="3"/>
      <c r="AB48" s="3"/>
      <c r="AC48" s="3"/>
      <c r="AD48" s="3"/>
      <c r="AE48" s="3"/>
      <c r="AF48" s="3"/>
      <c r="AG48" s="3"/>
      <c r="AH48" s="3"/>
      <c r="AI48" s="14"/>
      <c r="AJ48" s="14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</row>
    <row r="49" spans="1:60" ht="14.25" customHeight="1" x14ac:dyDescent="0.2">
      <c r="A49" s="272"/>
      <c r="B49" s="80"/>
      <c r="C49" s="173">
        <v>38</v>
      </c>
      <c r="D49" s="165"/>
      <c r="E49" s="198">
        <v>2.3093282043478158E-3</v>
      </c>
      <c r="F49" s="199"/>
      <c r="G49" s="404">
        <f t="shared" si="11"/>
        <v>61.227479743487649</v>
      </c>
      <c r="H49" s="176">
        <f t="shared" si="9"/>
        <v>38.772520256512351</v>
      </c>
      <c r="I49" s="178">
        <f t="shared" si="2"/>
        <v>100</v>
      </c>
      <c r="J49" s="153">
        <f>(G49*0)/(1+cDR)^'Markov Model_b'!cycle</f>
        <v>0</v>
      </c>
      <c r="K49" s="178">
        <f t="shared" si="12"/>
        <v>61.227479743487649</v>
      </c>
      <c r="L49" s="202">
        <f>(G49*(uPostT))/(1+oDR)^'Markov Model_b'!cycle</f>
        <v>42.320762755442352</v>
      </c>
      <c r="M49" s="80"/>
      <c r="N49" s="3"/>
      <c r="O49" s="80"/>
      <c r="P49" s="173">
        <v>38</v>
      </c>
      <c r="Q49" s="165"/>
      <c r="R49" s="198">
        <v>2.3093282043478158E-3</v>
      </c>
      <c r="S49" s="80"/>
      <c r="T49" s="248">
        <f t="shared" si="5"/>
        <v>57.683524635182344</v>
      </c>
      <c r="U49" s="176">
        <f>(T48*'Markov Model_b'!mr_2)+U48</f>
        <v>42.316475364817656</v>
      </c>
      <c r="V49" s="176">
        <f t="shared" si="4"/>
        <v>100</v>
      </c>
      <c r="W49" s="180">
        <f>(T49*0)/(1+cDR)^'Markov Model_b'!cycle2</f>
        <v>0</v>
      </c>
      <c r="X49" s="176">
        <f t="shared" si="10"/>
        <v>57.683524635182344</v>
      </c>
      <c r="Y49" s="202">
        <f>(T49*(uPostT))/(1+oDR)^'Markov Model_b'!cycle</f>
        <v>39.871161955558385</v>
      </c>
      <c r="Z49" s="80"/>
      <c r="AA49" s="3"/>
      <c r="AB49" s="3"/>
      <c r="AC49" s="3"/>
      <c r="AD49" s="3"/>
      <c r="AE49" s="3"/>
      <c r="AF49" s="3"/>
      <c r="AG49" s="3"/>
      <c r="AH49" s="3"/>
      <c r="AI49" s="14"/>
      <c r="AJ49" s="14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</row>
    <row r="50" spans="1:60" ht="14.25" customHeight="1" x14ac:dyDescent="0.2">
      <c r="A50" s="272"/>
      <c r="B50" s="80"/>
      <c r="C50" s="173">
        <v>39</v>
      </c>
      <c r="D50" s="165"/>
      <c r="E50" s="198">
        <v>2.2027228792133036E-3</v>
      </c>
      <c r="F50" s="199"/>
      <c r="G50" s="404">
        <f t="shared" si="11"/>
        <v>61.092612573020098</v>
      </c>
      <c r="H50" s="176">
        <f t="shared" si="9"/>
        <v>38.907387426979902</v>
      </c>
      <c r="I50" s="178">
        <f t="shared" si="2"/>
        <v>100</v>
      </c>
      <c r="J50" s="153">
        <f>(G50*0)/(1+cDR)^'Markov Model_b'!cycle</f>
        <v>0</v>
      </c>
      <c r="K50" s="178">
        <f t="shared" si="12"/>
        <v>61.092612573020098</v>
      </c>
      <c r="L50" s="202">
        <f>(G50*(uPostT))/(1+oDR)^'Markov Model_b'!cycle</f>
        <v>42.122236252424123</v>
      </c>
      <c r="M50" s="80"/>
      <c r="N50" s="3"/>
      <c r="O50" s="80"/>
      <c r="P50" s="173">
        <v>39</v>
      </c>
      <c r="Q50" s="165"/>
      <c r="R50" s="198">
        <v>2.2027228792133036E-3</v>
      </c>
      <c r="S50" s="80"/>
      <c r="T50" s="248">
        <f t="shared" si="5"/>
        <v>57.556463815714764</v>
      </c>
      <c r="U50" s="176">
        <f>(T49*'Markov Model_b'!mr_2)+U49</f>
        <v>42.443536184285236</v>
      </c>
      <c r="V50" s="176">
        <f t="shared" si="4"/>
        <v>100</v>
      </c>
      <c r="W50" s="180">
        <f>(T50*0)/(1+cDR)^'Markov Model_b'!cycle2</f>
        <v>0</v>
      </c>
      <c r="X50" s="176">
        <f t="shared" si="10"/>
        <v>57.556463815714764</v>
      </c>
      <c r="Y50" s="202">
        <f>(T50*(uPostT))/(1+oDR)^'Markov Model_b'!cycle</f>
        <v>39.684126518601552</v>
      </c>
      <c r="Z50" s="80"/>
      <c r="AA50" s="3"/>
      <c r="AB50" s="3"/>
      <c r="AC50" s="3"/>
      <c r="AD50" s="3"/>
      <c r="AE50" s="3"/>
      <c r="AF50" s="3"/>
      <c r="AG50" s="3"/>
      <c r="AH50" s="3"/>
      <c r="AI50" s="14"/>
      <c r="AJ50" s="14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</row>
    <row r="51" spans="1:60" ht="14.25" customHeight="1" x14ac:dyDescent="0.2">
      <c r="A51" s="272"/>
      <c r="B51" s="80"/>
      <c r="C51" s="173">
        <v>40</v>
      </c>
      <c r="D51" s="165"/>
      <c r="E51" s="198">
        <v>2.1016021799617479E-3</v>
      </c>
      <c r="F51" s="199"/>
      <c r="G51" s="404">
        <f t="shared" si="11"/>
        <v>60.964220205257078</v>
      </c>
      <c r="H51" s="176">
        <f t="shared" si="9"/>
        <v>39.035779794742922</v>
      </c>
      <c r="I51" s="178">
        <f t="shared" si="2"/>
        <v>100</v>
      </c>
      <c r="J51" s="153">
        <f>(G51*0)/(1+cDR)^'Markov Model_b'!cycle</f>
        <v>0</v>
      </c>
      <c r="K51" s="178">
        <f t="shared" si="12"/>
        <v>60.964220205257078</v>
      </c>
      <c r="L51" s="202">
        <f>(G51*(uPostT))/(1+oDR)^'Markov Model_b'!cycle</f>
        <v>41.928889844280455</v>
      </c>
      <c r="M51" s="80"/>
      <c r="N51" s="3"/>
      <c r="O51" s="80"/>
      <c r="P51" s="173">
        <v>40</v>
      </c>
      <c r="Q51" s="165"/>
      <c r="R51" s="198">
        <v>2.1016021799617479E-3</v>
      </c>
      <c r="S51" s="80"/>
      <c r="T51" s="248">
        <f t="shared" si="5"/>
        <v>57.435503025888771</v>
      </c>
      <c r="U51" s="176">
        <f>(T50*'Markov Model_b'!mr_2)+U50</f>
        <v>42.564496974111229</v>
      </c>
      <c r="V51" s="176">
        <f t="shared" si="4"/>
        <v>100</v>
      </c>
      <c r="W51" s="180">
        <f>(T51*0)/(1+cDR)^'Markov Model_b'!cycle2</f>
        <v>0</v>
      </c>
      <c r="X51" s="176">
        <f t="shared" si="10"/>
        <v>57.435503025888771</v>
      </c>
      <c r="Y51" s="202">
        <f>(T51*(uPostT))/(1+oDR)^'Markov Model_b'!cycle</f>
        <v>39.501971343441582</v>
      </c>
      <c r="Z51" s="80"/>
      <c r="AA51" s="3"/>
      <c r="AB51" s="3"/>
      <c r="AC51" s="3"/>
      <c r="AD51" s="3"/>
      <c r="AE51" s="3"/>
      <c r="AF51" s="3"/>
      <c r="AG51" s="3"/>
      <c r="AH51" s="3"/>
      <c r="AI51" s="14"/>
      <c r="AJ51" s="14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</row>
    <row r="52" spans="1:60" ht="14.25" customHeight="1" x14ac:dyDescent="0.2">
      <c r="A52" s="272"/>
      <c r="B52" s="80"/>
      <c r="C52" s="173">
        <v>41</v>
      </c>
      <c r="D52" s="165"/>
      <c r="E52" s="198">
        <v>2.0056399854406215E-3</v>
      </c>
      <c r="F52" s="199"/>
      <c r="G52" s="404">
        <f t="shared" si="11"/>
        <v>60.84194792753221</v>
      </c>
      <c r="H52" s="176">
        <f t="shared" si="9"/>
        <v>39.15805207246779</v>
      </c>
      <c r="I52" s="178">
        <f t="shared" si="2"/>
        <v>100</v>
      </c>
      <c r="J52" s="153">
        <f>(G52*0)/(1+cDR)^'Markov Model_b'!cycle</f>
        <v>0</v>
      </c>
      <c r="K52" s="178">
        <f t="shared" si="12"/>
        <v>60.84194792753221</v>
      </c>
      <c r="L52" s="202">
        <f>(G52*(uPostT))/(1+oDR)^'Markov Model_b'!cycle</f>
        <v>41.740444475075947</v>
      </c>
      <c r="M52" s="80"/>
      <c r="N52" s="3"/>
      <c r="O52" s="80"/>
      <c r="P52" s="173">
        <v>41</v>
      </c>
      <c r="Q52" s="165"/>
      <c r="R52" s="198">
        <v>2.0056399854406215E-3</v>
      </c>
      <c r="S52" s="80"/>
      <c r="T52" s="248">
        <f t="shared" si="5"/>
        <v>57.320308084436149</v>
      </c>
      <c r="U52" s="176">
        <f>(T51*'Markov Model_b'!mr_2)+U51</f>
        <v>42.679691915563851</v>
      </c>
      <c r="V52" s="176">
        <f t="shared" si="4"/>
        <v>100</v>
      </c>
      <c r="W52" s="180">
        <f>(T52*0)/(1+cDR)^'Markov Model_b'!cycle2</f>
        <v>0</v>
      </c>
      <c r="X52" s="176">
        <f t="shared" si="10"/>
        <v>57.320308084436149</v>
      </c>
      <c r="Y52" s="202">
        <f>(T52*(uPostT))/(1+oDR)^'Markov Model_b'!cycle</f>
        <v>39.324433526395453</v>
      </c>
      <c r="Z52" s="80"/>
      <c r="AA52" s="3"/>
      <c r="AB52" s="3"/>
      <c r="AC52" s="3"/>
      <c r="AD52" s="3"/>
      <c r="AE52" s="3"/>
      <c r="AF52" s="3"/>
      <c r="AG52" s="3"/>
      <c r="AH52" s="3"/>
      <c r="AI52" s="14"/>
      <c r="AJ52" s="14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</row>
    <row r="53" spans="1:60" ht="14.25" customHeight="1" x14ac:dyDescent="0.2">
      <c r="A53" s="272"/>
      <c r="B53" s="80"/>
      <c r="C53" s="173">
        <v>42</v>
      </c>
      <c r="D53" s="165"/>
      <c r="E53" s="198">
        <v>1.9145328857692046E-3</v>
      </c>
      <c r="F53" s="199"/>
      <c r="G53" s="404">
        <f t="shared" si="11"/>
        <v>60.725464017390692</v>
      </c>
      <c r="H53" s="176">
        <f t="shared" si="9"/>
        <v>39.274535982609308</v>
      </c>
      <c r="I53" s="178">
        <f t="shared" si="2"/>
        <v>100</v>
      </c>
      <c r="J53" s="153">
        <f>(G53*0)/(1+cDR)^'Markov Model_b'!cycle</f>
        <v>0</v>
      </c>
      <c r="K53" s="178">
        <f t="shared" si="12"/>
        <v>60.725464017390692</v>
      </c>
      <c r="L53" s="202">
        <f>(G53*(uPostT))/(1+oDR)^'Markov Model_b'!cycle</f>
        <v>41.556639422904532</v>
      </c>
      <c r="M53" s="80"/>
      <c r="N53" s="3"/>
      <c r="O53" s="80"/>
      <c r="P53" s="173">
        <v>42</v>
      </c>
      <c r="Q53" s="165"/>
      <c r="R53" s="198">
        <v>1.9145328857692046E-3</v>
      </c>
      <c r="S53" s="80"/>
      <c r="T53" s="248">
        <f t="shared" si="5"/>
        <v>57.210566469586077</v>
      </c>
      <c r="U53" s="176">
        <f>(T52*'Markov Model_b'!mr_2)+U52</f>
        <v>42.789433530413923</v>
      </c>
      <c r="V53" s="176">
        <f t="shared" si="4"/>
        <v>100</v>
      </c>
      <c r="W53" s="180">
        <f>(T53*0)/(1+cDR)^'Markov Model_b'!cycle2</f>
        <v>0</v>
      </c>
      <c r="X53" s="176">
        <f t="shared" si="10"/>
        <v>57.210566469586077</v>
      </c>
      <c r="Y53" s="202">
        <f>(T53*(uPostT))/(1+oDR)^'Markov Model_b'!cycle</f>
        <v>39.151267436603426</v>
      </c>
      <c r="Z53" s="80"/>
      <c r="AA53" s="3"/>
      <c r="AB53" s="3"/>
      <c r="AC53" s="3"/>
      <c r="AD53" s="3"/>
      <c r="AE53" s="3"/>
      <c r="AF53" s="3"/>
      <c r="AG53" s="3"/>
      <c r="AH53" s="3"/>
      <c r="AI53" s="14"/>
      <c r="AJ53" s="14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</row>
    <row r="54" spans="1:60" ht="14.25" customHeight="1" x14ac:dyDescent="0.2">
      <c r="A54" s="272"/>
      <c r="B54" s="80"/>
      <c r="C54" s="173">
        <v>43</v>
      </c>
      <c r="D54" s="165"/>
      <c r="E54" s="198">
        <v>1.8279983560672841E-3</v>
      </c>
      <c r="F54" s="199"/>
      <c r="G54" s="404">
        <f t="shared" si="11"/>
        <v>60.614457968995481</v>
      </c>
      <c r="H54" s="176">
        <f t="shared" si="9"/>
        <v>39.385542031004519</v>
      </c>
      <c r="I54" s="178">
        <f t="shared" si="2"/>
        <v>100</v>
      </c>
      <c r="J54" s="153">
        <f>(G54*0)/(1+cDR)^'Markov Model_b'!cycle</f>
        <v>0</v>
      </c>
      <c r="K54" s="178">
        <f t="shared" si="12"/>
        <v>60.614457968995481</v>
      </c>
      <c r="L54" s="202">
        <f>(G54*(uPostT))/(1+oDR)^'Markov Model_b'!cycle</f>
        <v>41.377230877162887</v>
      </c>
      <c r="M54" s="80"/>
      <c r="N54" s="3"/>
      <c r="O54" s="80"/>
      <c r="P54" s="173">
        <v>43</v>
      </c>
      <c r="Q54" s="165"/>
      <c r="R54" s="198">
        <v>1.8279983560672841E-3</v>
      </c>
      <c r="S54" s="80"/>
      <c r="T54" s="248">
        <f t="shared" si="5"/>
        <v>57.105985648129995</v>
      </c>
      <c r="U54" s="176">
        <f>(T53*'Markov Model_b'!mr_2)+U53</f>
        <v>42.894014351870005</v>
      </c>
      <c r="V54" s="176">
        <f t="shared" si="4"/>
        <v>100</v>
      </c>
      <c r="W54" s="180">
        <f>(T54*0)/(1+cDR)^'Markov Model_b'!cycle2</f>
        <v>0</v>
      </c>
      <c r="X54" s="176">
        <f t="shared" si="10"/>
        <v>57.105985648129995</v>
      </c>
      <c r="Y54" s="202">
        <f>(T54*(uPostT))/(1+oDR)^'Markov Model_b'!cycle</f>
        <v>38.982243375652239</v>
      </c>
      <c r="Z54" s="80"/>
      <c r="AA54" s="3"/>
      <c r="AB54" s="3"/>
      <c r="AC54" s="3"/>
      <c r="AD54" s="3"/>
      <c r="AE54" s="3"/>
      <c r="AF54" s="3"/>
      <c r="AG54" s="3"/>
      <c r="AH54" s="3"/>
      <c r="AI54" s="14"/>
      <c r="AJ54" s="14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</row>
    <row r="55" spans="1:60" ht="14.25" customHeight="1" x14ac:dyDescent="0.2">
      <c r="A55" s="272"/>
      <c r="B55" s="80"/>
      <c r="C55" s="173">
        <v>44</v>
      </c>
      <c r="D55" s="165"/>
      <c r="E55" s="198">
        <v>1.745773095483405E-3</v>
      </c>
      <c r="F55" s="199"/>
      <c r="G55" s="404">
        <f t="shared" si="11"/>
        <v>60.508638879075896</v>
      </c>
      <c r="H55" s="176">
        <f t="shared" si="9"/>
        <v>39.491361120924104</v>
      </c>
      <c r="I55" s="178">
        <f t="shared" si="2"/>
        <v>100</v>
      </c>
      <c r="J55" s="153">
        <f>(G55*0)/(1+cDR)^'Markov Model_b'!cycle</f>
        <v>0</v>
      </c>
      <c r="K55" s="178">
        <f t="shared" si="12"/>
        <v>60.508638879075896</v>
      </c>
      <c r="L55" s="202">
        <f>(G55*(uPostT))/(1+oDR)^'Markov Model_b'!cycle</f>
        <v>41.201990644121622</v>
      </c>
      <c r="M55" s="80"/>
      <c r="N55" s="3"/>
      <c r="O55" s="80"/>
      <c r="P55" s="173">
        <v>44</v>
      </c>
      <c r="Q55" s="165"/>
      <c r="R55" s="198">
        <v>1.745773095483405E-3</v>
      </c>
      <c r="S55" s="80"/>
      <c r="T55" s="248">
        <f t="shared" si="5"/>
        <v>57.00629155479443</v>
      </c>
      <c r="U55" s="176">
        <f>(T54*'Markov Model_b'!mr_2)+U54</f>
        <v>42.99370844520557</v>
      </c>
      <c r="V55" s="176">
        <f t="shared" si="4"/>
        <v>100</v>
      </c>
      <c r="W55" s="180">
        <f>(T55*0)/(1+cDR)^'Markov Model_b'!cycle2</f>
        <v>0</v>
      </c>
      <c r="X55" s="176">
        <f t="shared" si="10"/>
        <v>57.00629155479443</v>
      </c>
      <c r="Y55" s="202">
        <f>(T55*(uPostT))/(1+oDR)^'Markov Model_b'!cycle</f>
        <v>38.817146358070261</v>
      </c>
      <c r="Z55" s="80"/>
      <c r="AA55" s="3"/>
      <c r="AB55" s="3"/>
      <c r="AC55" s="3"/>
      <c r="AD55" s="3"/>
      <c r="AE55" s="3"/>
      <c r="AF55" s="3"/>
      <c r="AG55" s="3"/>
      <c r="AH55" s="3"/>
      <c r="AI55" s="14"/>
      <c r="AJ55" s="14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</row>
    <row r="56" spans="1:60" ht="14.25" customHeight="1" x14ac:dyDescent="0.2">
      <c r="A56" s="272"/>
      <c r="B56" s="80"/>
      <c r="C56" s="173">
        <v>45</v>
      </c>
      <c r="D56" s="165"/>
      <c r="E56" s="198">
        <v>1.6676115150338067E-3</v>
      </c>
      <c r="F56" s="199"/>
      <c r="G56" s="404">
        <f t="shared" si="11"/>
        <v>60.407733976122124</v>
      </c>
      <c r="H56" s="176">
        <f t="shared" si="9"/>
        <v>39.592266023877876</v>
      </c>
      <c r="I56" s="178">
        <f t="shared" si="2"/>
        <v>100</v>
      </c>
      <c r="J56" s="153">
        <f>(G56*0)/(1+cDR)^'Markov Model_b'!cycle</f>
        <v>0</v>
      </c>
      <c r="K56" s="178">
        <f t="shared" si="12"/>
        <v>60.407733976122124</v>
      </c>
      <c r="L56" s="202">
        <f>(G56*(uPostT))/(1+oDR)^'Markov Model_b'!cycle</f>
        <v>41.030704967662011</v>
      </c>
      <c r="M56" s="80"/>
      <c r="N56" s="3"/>
      <c r="O56" s="80"/>
      <c r="P56" s="173">
        <v>45</v>
      </c>
      <c r="Q56" s="165"/>
      <c r="R56" s="198">
        <v>1.6676115150338067E-3</v>
      </c>
      <c r="S56" s="80"/>
      <c r="T56" s="248">
        <f t="shared" si="5"/>
        <v>56.911227206568277</v>
      </c>
      <c r="U56" s="176">
        <f>(T55*'Markov Model_b'!mr_2)+U55</f>
        <v>43.088772793431723</v>
      </c>
      <c r="V56" s="176">
        <f t="shared" si="4"/>
        <v>100</v>
      </c>
      <c r="W56" s="180">
        <f>(T56*0)/(1+cDR)^'Markov Model_b'!cycle2</f>
        <v>0</v>
      </c>
      <c r="X56" s="176">
        <f t="shared" si="10"/>
        <v>56.911227206568277</v>
      </c>
      <c r="Y56" s="202">
        <f>(T56*(uPostT))/(1+oDR)^'Markov Model_b'!cycle</f>
        <v>38.655775000321981</v>
      </c>
      <c r="Z56" s="80"/>
      <c r="AA56" s="3"/>
      <c r="AB56" s="3"/>
      <c r="AC56" s="3"/>
      <c r="AD56" s="3"/>
      <c r="AE56" s="3"/>
      <c r="AF56" s="3"/>
      <c r="AG56" s="3"/>
      <c r="AH56" s="3"/>
      <c r="AI56" s="14"/>
      <c r="AJ56" s="14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</row>
    <row r="57" spans="1:60" ht="14.25" customHeight="1" x14ac:dyDescent="0.2">
      <c r="A57" s="272"/>
      <c r="B57" s="80"/>
      <c r="C57" s="173">
        <v>46</v>
      </c>
      <c r="D57" s="165"/>
      <c r="E57" s="198">
        <v>1.5932843595587998E-3</v>
      </c>
      <c r="F57" s="199"/>
      <c r="G57" s="404">
        <f t="shared" si="11"/>
        <v>60.311487278381577</v>
      </c>
      <c r="H57" s="176">
        <f t="shared" si="9"/>
        <v>39.688512721618423</v>
      </c>
      <c r="I57" s="178">
        <f t="shared" si="2"/>
        <v>100</v>
      </c>
      <c r="J57" s="153">
        <f>(G57*0)/(1+cDR)^'Markov Model_b'!cycle</f>
        <v>0</v>
      </c>
      <c r="K57" s="178">
        <f t="shared" si="12"/>
        <v>60.311487278381577</v>
      </c>
      <c r="L57" s="202">
        <f>(G57*(uPostT))/(1+oDR)^'Markov Model_b'!cycle</f>
        <v>40.863173453541513</v>
      </c>
      <c r="M57" s="80"/>
      <c r="N57" s="3"/>
      <c r="O57" s="80"/>
      <c r="P57" s="173">
        <v>46</v>
      </c>
      <c r="Q57" s="165"/>
      <c r="R57" s="198">
        <v>1.5932843595587998E-3</v>
      </c>
      <c r="S57" s="80"/>
      <c r="T57" s="248">
        <f t="shared" si="5"/>
        <v>56.820551438376754</v>
      </c>
      <c r="U57" s="176">
        <f>(T56*'Markov Model_b'!mr_2)+U56</f>
        <v>43.179448561623246</v>
      </c>
      <c r="V57" s="176">
        <f t="shared" si="4"/>
        <v>100</v>
      </c>
      <c r="W57" s="180">
        <f>(T57*0)/(1+cDR)^'Markov Model_b'!cycle2</f>
        <v>0</v>
      </c>
      <c r="X57" s="176">
        <f t="shared" si="10"/>
        <v>56.820551438376754</v>
      </c>
      <c r="Y57" s="202">
        <f>(T57*(uPostT))/(1+oDR)^'Markov Model_b'!cycle</f>
        <v>38.49794050733901</v>
      </c>
      <c r="Z57" s="80"/>
      <c r="AA57" s="3"/>
      <c r="AB57" s="3"/>
      <c r="AC57" s="3"/>
      <c r="AD57" s="3"/>
      <c r="AE57" s="3"/>
      <c r="AF57" s="3"/>
      <c r="AG57" s="3"/>
      <c r="AH57" s="3"/>
      <c r="AI57" s="14"/>
      <c r="AJ57" s="14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</row>
    <row r="58" spans="1:60" ht="14.25" customHeight="1" x14ac:dyDescent="0.2">
      <c r="A58" s="272"/>
      <c r="B58" s="80"/>
      <c r="C58" s="173">
        <v>47</v>
      </c>
      <c r="D58" s="165"/>
      <c r="E58" s="198">
        <v>1.5225774506744116E-3</v>
      </c>
      <c r="F58" s="199"/>
      <c r="G58" s="404">
        <f t="shared" si="11"/>
        <v>60.219658367834874</v>
      </c>
      <c r="H58" s="176">
        <f t="shared" si="9"/>
        <v>39.780341632165126</v>
      </c>
      <c r="I58" s="178">
        <f t="shared" si="2"/>
        <v>100</v>
      </c>
      <c r="J58" s="153">
        <f>(G58*0)/(1+cDR)^'Markov Model_b'!cycle</f>
        <v>0</v>
      </c>
      <c r="K58" s="178">
        <f t="shared" si="12"/>
        <v>60.219658367834874</v>
      </c>
      <c r="L58" s="202">
        <f>(G58*(uPostT))/(1+oDR)^'Markov Model_b'!cycle</f>
        <v>40.699208086861006</v>
      </c>
      <c r="M58" s="80"/>
      <c r="N58" s="3"/>
      <c r="O58" s="80"/>
      <c r="P58" s="173">
        <v>47</v>
      </c>
      <c r="Q58" s="165"/>
      <c r="R58" s="198">
        <v>1.5225774506744116E-3</v>
      </c>
      <c r="S58" s="80"/>
      <c r="T58" s="248">
        <f t="shared" si="5"/>
        <v>56.734037748021798</v>
      </c>
      <c r="U58" s="176">
        <f>(T57*'Markov Model_b'!mr_2)+U57</f>
        <v>43.265962251978202</v>
      </c>
      <c r="V58" s="176">
        <f t="shared" si="4"/>
        <v>100</v>
      </c>
      <c r="W58" s="180">
        <f>(T58*0)/(1+cDR)^'Markov Model_b'!cycle2</f>
        <v>0</v>
      </c>
      <c r="X58" s="176">
        <f t="shared" si="10"/>
        <v>56.734037748021798</v>
      </c>
      <c r="Y58" s="202">
        <f>(T58*(uPostT))/(1+oDR)^'Markov Model_b'!cycle</f>
        <v>38.343465746857987</v>
      </c>
      <c r="Z58" s="80"/>
      <c r="AA58" s="3"/>
      <c r="AB58" s="3"/>
      <c r="AC58" s="3"/>
      <c r="AD58" s="3"/>
      <c r="AE58" s="3"/>
      <c r="AF58" s="3"/>
      <c r="AG58" s="3"/>
      <c r="AH58" s="3"/>
      <c r="AI58" s="14"/>
      <c r="AJ58" s="14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</row>
    <row r="59" spans="1:60" ht="14.25" customHeight="1" x14ac:dyDescent="0.2">
      <c r="A59" s="272"/>
      <c r="B59" s="80"/>
      <c r="C59" s="173">
        <v>48</v>
      </c>
      <c r="D59" s="165"/>
      <c r="E59" s="198">
        <v>1.4552905389946802E-3</v>
      </c>
      <c r="F59" s="199"/>
      <c r="G59" s="404">
        <f t="shared" si="11"/>
        <v>60.13202126875067</v>
      </c>
      <c r="H59" s="176">
        <f t="shared" si="9"/>
        <v>39.86797873124933</v>
      </c>
      <c r="I59" s="178">
        <f t="shared" si="2"/>
        <v>100</v>
      </c>
      <c r="J59" s="153">
        <f>(G59*0)/(1+cDR)^'Markov Model_b'!cycle</f>
        <v>0</v>
      </c>
      <c r="K59" s="178">
        <f t="shared" si="12"/>
        <v>60.13202126875067</v>
      </c>
      <c r="L59" s="202">
        <f>(G59*(uPostT))/(1+oDR)^'Markov Model_b'!cycle</f>
        <v>40.538632333553728</v>
      </c>
      <c r="M59" s="80"/>
      <c r="N59" s="3"/>
      <c r="O59" s="80"/>
      <c r="P59" s="173">
        <v>48</v>
      </c>
      <c r="Q59" s="165"/>
      <c r="R59" s="198">
        <v>1.4552905389946802E-3</v>
      </c>
      <c r="S59" s="80"/>
      <c r="T59" s="248">
        <f t="shared" si="5"/>
        <v>56.651473239648134</v>
      </c>
      <c r="U59" s="176">
        <f>(T58*'Markov Model_b'!mr_2)+U58</f>
        <v>43.348526760351866</v>
      </c>
      <c r="V59" s="176">
        <f t="shared" si="4"/>
        <v>100</v>
      </c>
      <c r="W59" s="180">
        <f>(T59*0)/(1+cDR)^'Markov Model_b'!cycle2</f>
        <v>0</v>
      </c>
      <c r="X59" s="176">
        <f t="shared" si="10"/>
        <v>56.651473239648134</v>
      </c>
      <c r="Y59" s="202">
        <f>(T59*(uPostT))/(1+oDR)^'Markov Model_b'!cycle</f>
        <v>38.192184402917015</v>
      </c>
      <c r="Z59" s="80"/>
      <c r="AA59" s="3"/>
      <c r="AB59" s="3"/>
      <c r="AC59" s="3"/>
      <c r="AD59" s="3"/>
      <c r="AE59" s="3"/>
      <c r="AF59" s="3"/>
      <c r="AG59" s="3"/>
      <c r="AH59" s="3"/>
      <c r="AI59" s="14"/>
      <c r="AJ59" s="14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</row>
    <row r="60" spans="1:60" ht="14.25" customHeight="1" x14ac:dyDescent="0.25">
      <c r="A60" s="3" t="s">
        <v>531</v>
      </c>
      <c r="B60" s="80"/>
      <c r="C60" s="465">
        <v>49</v>
      </c>
      <c r="D60" s="466"/>
      <c r="E60" s="467">
        <v>1.3912362551388724E-3</v>
      </c>
      <c r="F60" s="468"/>
      <c r="G60" s="469">
        <f t="shared" si="11"/>
        <v>60.048363420666803</v>
      </c>
      <c r="H60" s="470">
        <f t="shared" si="9"/>
        <v>39.951636579333197</v>
      </c>
      <c r="I60" s="471">
        <f t="shared" si="2"/>
        <v>100</v>
      </c>
      <c r="J60" s="472">
        <f>(G60*0)/(1+cDR)^'Markov Model_b'!cycle</f>
        <v>0</v>
      </c>
      <c r="K60" s="471">
        <f t="shared" si="12"/>
        <v>60.048363420666803</v>
      </c>
      <c r="L60" s="473">
        <f>(G60*(uPostT))/(1+oDR)^'Markov Model_b'!cycle</f>
        <v>40.381280317723245</v>
      </c>
      <c r="M60" s="464"/>
      <c r="N60" s="464"/>
      <c r="O60" s="464"/>
      <c r="P60" s="465">
        <v>49</v>
      </c>
      <c r="Q60" s="466"/>
      <c r="R60" s="467">
        <v>1.3912362551388724E-3</v>
      </c>
      <c r="S60" s="464"/>
      <c r="T60" s="480">
        <f t="shared" si="5"/>
        <v>56.572657656170108</v>
      </c>
      <c r="U60" s="470">
        <f>(T59*'Markov Model_b'!mr_2)+U59</f>
        <v>43.427342343829892</v>
      </c>
      <c r="V60" s="470">
        <f t="shared" si="4"/>
        <v>100</v>
      </c>
      <c r="W60" s="475">
        <f>(T60*0)/(1+cDR)^'Markov Model_b'!cycle2</f>
        <v>0</v>
      </c>
      <c r="X60" s="470">
        <f t="shared" si="10"/>
        <v>56.572657656170108</v>
      </c>
      <c r="Y60" s="473">
        <f>(T60*(uPostT))/(1+oDR)^'Markov Model_b'!cycle</f>
        <v>38.043940200810717</v>
      </c>
      <c r="Z60" s="80"/>
      <c r="AA60" s="3"/>
      <c r="AB60" s="3"/>
      <c r="AC60" s="3"/>
      <c r="AD60" s="3"/>
      <c r="AE60" s="3"/>
      <c r="AF60" s="3"/>
      <c r="AG60" s="3"/>
      <c r="AH60" s="3"/>
      <c r="AI60" s="14"/>
      <c r="AJ60" s="14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</row>
    <row r="61" spans="1:60" ht="14.25" customHeight="1" x14ac:dyDescent="0.2">
      <c r="A61" s="272"/>
      <c r="B61" s="80"/>
      <c r="C61" s="173">
        <v>50</v>
      </c>
      <c r="D61" s="165"/>
      <c r="E61" s="198">
        <v>1.330239150125867E-3</v>
      </c>
      <c r="F61" s="199"/>
      <c r="G61" s="404">
        <f t="shared" si="11"/>
        <v>59.968484736743648</v>
      </c>
      <c r="H61" s="176">
        <f t="shared" si="9"/>
        <v>40.031515263256352</v>
      </c>
      <c r="I61" s="176">
        <f t="shared" si="2"/>
        <v>100</v>
      </c>
      <c r="J61" s="153">
        <f>(G61*0)/(1+cDR)^'Markov Model_b'!cycle</f>
        <v>0</v>
      </c>
      <c r="K61" s="178">
        <f t="shared" si="12"/>
        <v>59.968484736743648</v>
      </c>
      <c r="L61" s="202">
        <f>(G61*(uPostT))/(1+oDR)^'Markov Model_b'!cycle</f>
        <v>40.226996067543539</v>
      </c>
      <c r="M61" s="80"/>
      <c r="N61" s="3"/>
      <c r="O61" s="80"/>
      <c r="P61" s="173">
        <v>50</v>
      </c>
      <c r="Q61" s="165"/>
      <c r="R61" s="198">
        <v>1.330239150125867E-3</v>
      </c>
      <c r="S61" s="80"/>
      <c r="T61" s="248">
        <f t="shared" si="5"/>
        <v>56.497402492129204</v>
      </c>
      <c r="U61" s="176">
        <f>(T60*'Markov Model_b'!mr_2)+U60</f>
        <v>43.502597507870796</v>
      </c>
      <c r="V61" s="176">
        <f t="shared" si="4"/>
        <v>100</v>
      </c>
      <c r="W61" s="180">
        <f>(T61*0)/(1+cDR)^'Markov Model_b'!cycle2</f>
        <v>0</v>
      </c>
      <c r="X61" s="176">
        <f t="shared" si="10"/>
        <v>56.497402492129204</v>
      </c>
      <c r="Y61" s="202">
        <f>(T61*(uPostT))/(1+oDR)^'Markov Model_b'!cycle</f>
        <v>37.898586196638945</v>
      </c>
      <c r="Z61" s="80"/>
      <c r="AA61" s="3"/>
      <c r="AB61" s="3"/>
      <c r="AC61" s="3"/>
      <c r="AD61" s="3"/>
      <c r="AE61" s="3"/>
      <c r="AF61" s="3"/>
      <c r="AG61" s="3"/>
      <c r="AH61" s="3"/>
      <c r="AI61" s="14"/>
      <c r="AJ61" s="14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</row>
    <row r="62" spans="1:60" ht="14.25" customHeight="1" x14ac:dyDescent="0.2">
      <c r="A62" s="272"/>
      <c r="B62" s="80"/>
      <c r="C62" s="173">
        <v>51</v>
      </c>
      <c r="D62" s="165"/>
      <c r="E62" s="198">
        <v>1.2721348167378244E-3</v>
      </c>
      <c r="F62" s="199"/>
      <c r="G62" s="404">
        <f t="shared" si="11"/>
        <v>59.892196739403026</v>
      </c>
      <c r="H62" s="176">
        <f t="shared" si="9"/>
        <v>40.107803260596974</v>
      </c>
      <c r="I62" s="176">
        <f t="shared" si="2"/>
        <v>100</v>
      </c>
      <c r="J62" s="153">
        <f>(G62*0)/(1+cDR)^'Markov Model_b'!cycle</f>
        <v>0</v>
      </c>
      <c r="K62" s="178">
        <f t="shared" si="12"/>
        <v>59.892196739403026</v>
      </c>
      <c r="L62" s="202">
        <f>(G62*(uPostT))/(1+oDR)^'Markov Model_b'!cycle</f>
        <v>40.075632823215209</v>
      </c>
      <c r="M62" s="80"/>
      <c r="N62" s="3"/>
      <c r="O62" s="80"/>
      <c r="P62" s="173">
        <v>51</v>
      </c>
      <c r="Q62" s="165"/>
      <c r="R62" s="198">
        <v>1.2721348167378244E-3</v>
      </c>
      <c r="S62" s="80"/>
      <c r="T62" s="248">
        <f t="shared" si="5"/>
        <v>56.425530179363719</v>
      </c>
      <c r="U62" s="176">
        <f>(T61*'Markov Model_b'!mr_2)+U61</f>
        <v>43.574469820636281</v>
      </c>
      <c r="V62" s="176">
        <f t="shared" si="4"/>
        <v>100</v>
      </c>
      <c r="W62" s="180">
        <f>(T62*0)/(1+cDR)^'Markov Model_b'!cycle2</f>
        <v>0</v>
      </c>
      <c r="X62" s="176">
        <f t="shared" si="10"/>
        <v>56.425530179363719</v>
      </c>
      <c r="Y62" s="202">
        <f>(T62*(uPostT))/(1+oDR)^'Markov Model_b'!cycle</f>
        <v>37.75598412531977</v>
      </c>
      <c r="Z62" s="80"/>
      <c r="AA62" s="3"/>
      <c r="AB62" s="3"/>
      <c r="AC62" s="3"/>
      <c r="AD62" s="3"/>
      <c r="AE62" s="3"/>
      <c r="AF62" s="3"/>
      <c r="AG62" s="3"/>
      <c r="AH62" s="3"/>
      <c r="AI62" s="14"/>
      <c r="AJ62" s="14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</row>
    <row r="63" spans="1:60" ht="14.25" customHeight="1" x14ac:dyDescent="0.2">
      <c r="A63" s="272"/>
      <c r="B63" s="80"/>
      <c r="C63" s="173">
        <v>52</v>
      </c>
      <c r="D63" s="165"/>
      <c r="E63" s="198">
        <v>1.2167690842935786E-3</v>
      </c>
      <c r="F63" s="199"/>
      <c r="G63" s="404">
        <f t="shared" si="11"/>
        <v>59.819321766020089</v>
      </c>
      <c r="H63" s="176">
        <f t="shared" si="9"/>
        <v>40.180678233979911</v>
      </c>
      <c r="I63" s="176">
        <f t="shared" si="2"/>
        <v>100</v>
      </c>
      <c r="J63" s="153">
        <f>(G63*0)/(1+cDR)^'Markov Model_b'!cycle</f>
        <v>0</v>
      </c>
      <c r="K63" s="178">
        <f t="shared" si="12"/>
        <v>59.819321766020089</v>
      </c>
      <c r="L63" s="202">
        <f>(G63*(uPostT))/(1+oDR)^'Markov Model_b'!cycle</f>
        <v>39.927052401159514</v>
      </c>
      <c r="M63" s="80"/>
      <c r="N63" s="3"/>
      <c r="O63" s="80"/>
      <c r="P63" s="173">
        <v>52</v>
      </c>
      <c r="Q63" s="165"/>
      <c r="R63" s="198">
        <v>1.2167690842935786E-3</v>
      </c>
      <c r="S63" s="80"/>
      <c r="T63" s="248">
        <f t="shared" si="5"/>
        <v>56.356873338676593</v>
      </c>
      <c r="U63" s="176">
        <f>(T62*'Markov Model_b'!mr_2)+U62</f>
        <v>43.643126661323407</v>
      </c>
      <c r="V63" s="176">
        <f t="shared" si="4"/>
        <v>100</v>
      </c>
      <c r="W63" s="180">
        <f>(T63*0)/(1+cDR)^'Markov Model_b'!cycle2</f>
        <v>0</v>
      </c>
      <c r="X63" s="176">
        <f t="shared" si="10"/>
        <v>56.356873338676593</v>
      </c>
      <c r="Y63" s="202">
        <f>(T63*(uPostT))/(1+oDR)^'Markov Model_b'!cycle</f>
        <v>37.616003801585038</v>
      </c>
      <c r="Z63" s="80"/>
      <c r="AA63" s="3"/>
      <c r="AB63" s="3"/>
      <c r="AC63" s="3"/>
      <c r="AD63" s="3"/>
      <c r="AE63" s="3"/>
      <c r="AF63" s="3"/>
      <c r="AG63" s="3"/>
      <c r="AH63" s="3"/>
      <c r="AI63" s="14"/>
      <c r="AJ63" s="14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</row>
    <row r="64" spans="1:60" ht="14.25" customHeight="1" x14ac:dyDescent="0.2">
      <c r="A64" s="272"/>
      <c r="B64" s="80"/>
      <c r="C64" s="173">
        <v>53</v>
      </c>
      <c r="D64" s="165"/>
      <c r="E64" s="198">
        <v>1.1639972800415177E-3</v>
      </c>
      <c r="F64" s="199"/>
      <c r="G64" s="404">
        <f t="shared" si="11"/>
        <v>59.749692238190512</v>
      </c>
      <c r="H64" s="176">
        <f t="shared" si="9"/>
        <v>40.250307761809488</v>
      </c>
      <c r="I64" s="176">
        <f t="shared" si="2"/>
        <v>100</v>
      </c>
      <c r="J64" s="153">
        <f>(G64*0)/(1+cDR)^'Markov Model_b'!cycle</f>
        <v>0</v>
      </c>
      <c r="K64" s="178">
        <f t="shared" si="12"/>
        <v>59.749692238190512</v>
      </c>
      <c r="L64" s="202">
        <f>(G64*(uPostT))/(1+oDR)^'Markov Model_b'!cycle</f>
        <v>39.781124609241395</v>
      </c>
      <c r="M64" s="80"/>
      <c r="N64" s="3"/>
      <c r="O64" s="80"/>
      <c r="P64" s="173">
        <v>53</v>
      </c>
      <c r="Q64" s="165"/>
      <c r="R64" s="198">
        <v>1.1639972800415177E-3</v>
      </c>
      <c r="S64" s="80"/>
      <c r="T64" s="248">
        <f t="shared" si="5"/>
        <v>56.291274091398726</v>
      </c>
      <c r="U64" s="176">
        <f>(T63*'Markov Model_b'!mr_2)+U63</f>
        <v>43.708725908601274</v>
      </c>
      <c r="V64" s="176">
        <f t="shared" si="4"/>
        <v>100</v>
      </c>
      <c r="W64" s="180">
        <f>(T64*0)/(1+cDR)^'Markov Model_b'!cycle2</f>
        <v>0</v>
      </c>
      <c r="X64" s="176">
        <f t="shared" si="10"/>
        <v>56.291274091398726</v>
      </c>
      <c r="Y64" s="202">
        <f>(T64*(uPostT))/(1+oDR)^'Markov Model_b'!cycle</f>
        <v>37.478522569051329</v>
      </c>
      <c r="Z64" s="80"/>
      <c r="AA64" s="3"/>
      <c r="AB64" s="3"/>
      <c r="AC64" s="3"/>
      <c r="AD64" s="3"/>
      <c r="AE64" s="3"/>
      <c r="AF64" s="3"/>
      <c r="AG64" s="3"/>
      <c r="AH64" s="3"/>
      <c r="AI64" s="14"/>
      <c r="AJ64" s="14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</row>
    <row r="65" spans="1:60" ht="14.25" customHeight="1" x14ac:dyDescent="0.2">
      <c r="A65" s="272"/>
      <c r="B65" s="80"/>
      <c r="C65" s="173">
        <v>54</v>
      </c>
      <c r="D65" s="165"/>
      <c r="E65" s="198">
        <v>1.1136835510669463E-3</v>
      </c>
      <c r="F65" s="199"/>
      <c r="G65" s="404">
        <f t="shared" si="11"/>
        <v>59.683149988763525</v>
      </c>
      <c r="H65" s="176">
        <f t="shared" si="9"/>
        <v>40.316850011236475</v>
      </c>
      <c r="I65" s="176">
        <f t="shared" si="2"/>
        <v>100</v>
      </c>
      <c r="J65" s="153">
        <f>(G65*0)/(1+cDR)^'Markov Model_b'!cycle</f>
        <v>0</v>
      </c>
      <c r="K65" s="178">
        <f t="shared" si="12"/>
        <v>59.683149988763525</v>
      </c>
      <c r="L65" s="202">
        <f>(G65*(uPostT))/(1+oDR)^'Markov Model_b'!cycle</f>
        <v>39.637726708350264</v>
      </c>
      <c r="M65" s="80"/>
      <c r="N65" s="3"/>
      <c r="O65" s="80"/>
      <c r="P65" s="173">
        <v>54</v>
      </c>
      <c r="Q65" s="165"/>
      <c r="R65" s="198">
        <v>1.1136835510669463E-3</v>
      </c>
      <c r="S65" s="80"/>
      <c r="T65" s="248">
        <f t="shared" si="5"/>
        <v>56.228583425374538</v>
      </c>
      <c r="U65" s="176">
        <f>(T64*'Markov Model_b'!mr_2)+U64</f>
        <v>43.771416574625462</v>
      </c>
      <c r="V65" s="176">
        <f t="shared" si="4"/>
        <v>100</v>
      </c>
      <c r="W65" s="180">
        <f>(T65*0)/(1+cDR)^'Markov Model_b'!cycle2</f>
        <v>0</v>
      </c>
      <c r="X65" s="176">
        <f t="shared" si="10"/>
        <v>56.228583425374538</v>
      </c>
      <c r="Y65" s="202">
        <f>(T65*(uPostT))/(1+oDR)^'Markov Model_b'!cycle</f>
        <v>37.343424792965486</v>
      </c>
      <c r="Z65" s="80"/>
      <c r="AA65" s="3"/>
      <c r="AB65" s="3"/>
      <c r="AC65" s="3"/>
      <c r="AD65" s="3"/>
      <c r="AE65" s="3"/>
      <c r="AF65" s="3"/>
      <c r="AG65" s="3"/>
      <c r="AH65" s="3"/>
      <c r="AI65" s="14"/>
      <c r="AJ65" s="14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</row>
    <row r="66" spans="1:60" ht="14.25" customHeight="1" x14ac:dyDescent="0.2">
      <c r="A66" s="272"/>
      <c r="B66" s="80"/>
      <c r="C66" s="173">
        <v>55</v>
      </c>
      <c r="D66" s="165"/>
      <c r="E66" s="198">
        <v>1.0657002412179928E-3</v>
      </c>
      <c r="F66" s="199"/>
      <c r="G66" s="404">
        <f t="shared" si="11"/>
        <v>59.619545641423848</v>
      </c>
      <c r="H66" s="176">
        <f t="shared" si="9"/>
        <v>40.380454358576152</v>
      </c>
      <c r="I66" s="176">
        <f t="shared" si="2"/>
        <v>100</v>
      </c>
      <c r="J66" s="153">
        <f>(G66*0)/(1+cDR)^'Markov Model_b'!cycle</f>
        <v>0</v>
      </c>
      <c r="K66" s="178">
        <f t="shared" si="12"/>
        <v>59.619545641423848</v>
      </c>
      <c r="L66" s="202">
        <f>(G66*(uPostT))/(1+oDR)^'Markov Model_b'!cycle</f>
        <v>39.496742916145479</v>
      </c>
      <c r="M66" s="80"/>
      <c r="N66" s="3"/>
      <c r="O66" s="80"/>
      <c r="P66" s="173">
        <v>55</v>
      </c>
      <c r="Q66" s="165"/>
      <c r="R66" s="198">
        <v>1.0657002412179928E-3</v>
      </c>
      <c r="S66" s="80"/>
      <c r="T66" s="248">
        <f t="shared" si="5"/>
        <v>56.168660610454772</v>
      </c>
      <c r="U66" s="176">
        <f>(T65*'Markov Model_b'!mr_2)+U65</f>
        <v>43.831339389545228</v>
      </c>
      <c r="V66" s="176">
        <f t="shared" si="4"/>
        <v>100</v>
      </c>
      <c r="W66" s="180">
        <f>(T66*0)/(1+cDR)^'Markov Model_b'!cycle2</f>
        <v>0</v>
      </c>
      <c r="X66" s="176">
        <f t="shared" si="10"/>
        <v>56.168660610454772</v>
      </c>
      <c r="Y66" s="202">
        <f>(T66*(uPostT))/(1+oDR)^'Markov Model_b'!cycle</f>
        <v>37.210601392674029</v>
      </c>
      <c r="Z66" s="80"/>
      <c r="AA66" s="3"/>
      <c r="AB66" s="3"/>
      <c r="AC66" s="3"/>
      <c r="AD66" s="3"/>
      <c r="AE66" s="3"/>
      <c r="AF66" s="3"/>
      <c r="AG66" s="3"/>
      <c r="AH66" s="3"/>
      <c r="AI66" s="14"/>
      <c r="AJ66" s="14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</row>
    <row r="67" spans="1:60" ht="14.25" customHeight="1" x14ac:dyDescent="0.2">
      <c r="A67" s="272"/>
      <c r="B67" s="80"/>
      <c r="C67" s="173">
        <v>56</v>
      </c>
      <c r="D67" s="165"/>
      <c r="E67" s="198">
        <v>1.0199273180951374E-3</v>
      </c>
      <c r="F67" s="199"/>
      <c r="G67" s="404">
        <f t="shared" si="11"/>
        <v>59.558738038131743</v>
      </c>
      <c r="H67" s="176">
        <f t="shared" si="9"/>
        <v>40.441261961868257</v>
      </c>
      <c r="I67" s="176">
        <f t="shared" si="2"/>
        <v>100</v>
      </c>
      <c r="J67" s="153">
        <f>(G67*0)/(1+cDR)^'Markov Model_b'!cycle</f>
        <v>0</v>
      </c>
      <c r="K67" s="178">
        <f t="shared" si="12"/>
        <v>59.558738038131743</v>
      </c>
      <c r="L67" s="202">
        <f>(G67*(uPostT))/(1+oDR)^'Markov Model_b'!cycle</f>
        <v>39.358063949196541</v>
      </c>
      <c r="M67" s="80"/>
      <c r="N67" s="3"/>
      <c r="O67" s="80"/>
      <c r="P67" s="173">
        <v>56</v>
      </c>
      <c r="Q67" s="165"/>
      <c r="R67" s="198">
        <v>1.0199273180951374E-3</v>
      </c>
      <c r="S67" s="80"/>
      <c r="T67" s="248">
        <f t="shared" si="5"/>
        <v>56.111372659077354</v>
      </c>
      <c r="U67" s="176">
        <f>(T66*'Markov Model_b'!mr_2)+U66</f>
        <v>43.888627340922646</v>
      </c>
      <c r="V67" s="176">
        <f t="shared" si="4"/>
        <v>100</v>
      </c>
      <c r="W67" s="180">
        <f>(T67*0)/(1+cDR)^'Markov Model_b'!cycle2</f>
        <v>0</v>
      </c>
      <c r="X67" s="176">
        <f t="shared" si="10"/>
        <v>56.111372659077354</v>
      </c>
      <c r="Y67" s="202">
        <f>(T67*(uPostT))/(1+oDR)^'Markov Model_b'!cycle</f>
        <v>37.079949410265236</v>
      </c>
      <c r="Z67" s="80"/>
      <c r="AA67" s="3"/>
      <c r="AB67" s="3"/>
      <c r="AC67" s="3"/>
      <c r="AD67" s="3"/>
      <c r="AE67" s="3"/>
      <c r="AF67" s="3"/>
      <c r="AG67" s="3"/>
      <c r="AH67" s="3"/>
      <c r="AI67" s="14"/>
      <c r="AJ67" s="14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</row>
    <row r="68" spans="1:60" ht="14.25" customHeight="1" x14ac:dyDescent="0.2">
      <c r="A68" s="272"/>
      <c r="B68" s="80"/>
      <c r="C68" s="173">
        <v>57</v>
      </c>
      <c r="D68" s="165"/>
      <c r="E68" s="198">
        <v>9.7625184564359424E-4</v>
      </c>
      <c r="F68" s="199"/>
      <c r="G68" s="404">
        <f t="shared" si="11"/>
        <v>59.500593710197812</v>
      </c>
      <c r="H68" s="176">
        <f t="shared" si="9"/>
        <v>40.499406289802188</v>
      </c>
      <c r="I68" s="176">
        <f t="shared" si="2"/>
        <v>100</v>
      </c>
      <c r="J68" s="153">
        <f>(G68*0)/(1+cDR)^'Markov Model_b'!cycle</f>
        <v>0</v>
      </c>
      <c r="K68" s="178">
        <f t="shared" si="12"/>
        <v>59.500593710197812</v>
      </c>
      <c r="L68" s="202">
        <f>(G68*(uPostT))/(1+oDR)^'Markov Model_b'!cycle</f>
        <v>39.221586600124859</v>
      </c>
      <c r="M68" s="80"/>
      <c r="N68" s="3"/>
      <c r="O68" s="80"/>
      <c r="P68" s="173">
        <v>57</v>
      </c>
      <c r="Q68" s="165"/>
      <c r="R68" s="198">
        <v>9.7625184564359424E-4</v>
      </c>
      <c r="S68" s="80"/>
      <c r="T68" s="248">
        <f t="shared" si="5"/>
        <v>56.056593827957336</v>
      </c>
      <c r="U68" s="176">
        <f>(T67*'Markov Model_b'!mr_2)+U67</f>
        <v>43.943406172042664</v>
      </c>
      <c r="V68" s="176">
        <f t="shared" si="4"/>
        <v>100</v>
      </c>
      <c r="W68" s="180">
        <f>(T68*0)/(1+cDR)^'Markov Model_b'!cycle2</f>
        <v>0</v>
      </c>
      <c r="X68" s="176">
        <f t="shared" si="10"/>
        <v>56.056593827957336</v>
      </c>
      <c r="Y68" s="202">
        <f>(T68*(uPostT))/(1+oDR)^'Markov Model_b'!cycle</f>
        <v>36.951371612186627</v>
      </c>
      <c r="Z68" s="80"/>
      <c r="AA68" s="3"/>
      <c r="AB68" s="3"/>
      <c r="AC68" s="3"/>
      <c r="AD68" s="3"/>
      <c r="AE68" s="3"/>
      <c r="AF68" s="3"/>
      <c r="AG68" s="3"/>
      <c r="AH68" s="3"/>
      <c r="AI68" s="14"/>
      <c r="AJ68" s="14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</row>
    <row r="69" spans="1:60" ht="14.25" customHeight="1" x14ac:dyDescent="0.2">
      <c r="A69" s="272"/>
      <c r="B69" s="80"/>
      <c r="C69" s="173">
        <v>58</v>
      </c>
      <c r="D69" s="165"/>
      <c r="E69" s="198">
        <v>9.3456749830816976E-4</v>
      </c>
      <c r="F69" s="199"/>
      <c r="G69" s="404">
        <f t="shared" si="11"/>
        <v>59.444986389186219</v>
      </c>
      <c r="H69" s="176">
        <f t="shared" si="9"/>
        <v>40.555013610813781</v>
      </c>
      <c r="I69" s="176">
        <f t="shared" si="2"/>
        <v>100</v>
      </c>
      <c r="J69" s="153">
        <f>(G69*0)/(1+cDR)^'Markov Model_b'!cycle</f>
        <v>0</v>
      </c>
      <c r="K69" s="178">
        <f t="shared" si="12"/>
        <v>59.444986389186219</v>
      </c>
      <c r="L69" s="202">
        <f>(G69*(uPostT))/(1+oDR)^'Markov Model_b'!cycle</f>
        <v>39.08721334668958</v>
      </c>
      <c r="M69" s="80"/>
      <c r="N69" s="3"/>
      <c r="O69" s="80"/>
      <c r="P69" s="173">
        <v>58</v>
      </c>
      <c r="Q69" s="165"/>
      <c r="R69" s="198">
        <v>9.3456749830816976E-4</v>
      </c>
      <c r="S69" s="80"/>
      <c r="T69" s="248">
        <f t="shared" si="5"/>
        <v>56.004205157299864</v>
      </c>
      <c r="U69" s="176">
        <f>(T68*'Markov Model_b'!mr_2)+U68</f>
        <v>43.995794842700136</v>
      </c>
      <c r="V69" s="176">
        <f t="shared" si="4"/>
        <v>100</v>
      </c>
      <c r="W69" s="180">
        <f>(T69*0)/(1+cDR)^'Markov Model_b'!cycle2</f>
        <v>0</v>
      </c>
      <c r="X69" s="176">
        <f t="shared" si="10"/>
        <v>56.004205157299864</v>
      </c>
      <c r="Y69" s="202">
        <f>(T69*(uPostT))/(1+oDR)^'Markov Model_b'!cycle</f>
        <v>36.824776120957566</v>
      </c>
      <c r="Z69" s="80"/>
      <c r="AA69" s="3"/>
      <c r="AB69" s="3"/>
      <c r="AC69" s="3"/>
      <c r="AD69" s="3"/>
      <c r="AE69" s="3"/>
      <c r="AF69" s="3"/>
      <c r="AG69" s="3"/>
      <c r="AH69" s="3"/>
      <c r="AI69" s="14"/>
      <c r="AJ69" s="14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</row>
    <row r="70" spans="1:60" ht="14.25" customHeight="1" x14ac:dyDescent="0.2">
      <c r="A70" s="272"/>
      <c r="B70" s="80"/>
      <c r="C70" s="173">
        <v>59</v>
      </c>
      <c r="D70" s="165"/>
      <c r="E70" s="198">
        <v>8.9477411311816857E-4</v>
      </c>
      <c r="F70" s="199"/>
      <c r="G70" s="404">
        <f t="shared" si="11"/>
        <v>59.391796554210515</v>
      </c>
      <c r="H70" s="176">
        <f t="shared" si="9"/>
        <v>40.608203445789485</v>
      </c>
      <c r="I70" s="176">
        <f t="shared" si="2"/>
        <v>100</v>
      </c>
      <c r="J70" s="153">
        <f>(G70*0)/(1+cDR)^'Markov Model_b'!cycle</f>
        <v>0</v>
      </c>
      <c r="K70" s="178">
        <f t="shared" si="12"/>
        <v>59.391796554210515</v>
      </c>
      <c r="L70" s="202">
        <f>(G70*(uPostT))/(1+oDR)^'Markov Model_b'!cycle</f>
        <v>38.95485199005789</v>
      </c>
      <c r="M70" s="80"/>
      <c r="N70" s="3"/>
      <c r="O70" s="80"/>
      <c r="P70" s="173">
        <v>59</v>
      </c>
      <c r="Q70" s="165"/>
      <c r="R70" s="198">
        <v>8.9477411311816857E-4</v>
      </c>
      <c r="S70" s="80"/>
      <c r="T70" s="248">
        <f t="shared" si="5"/>
        <v>55.954094044299353</v>
      </c>
      <c r="U70" s="176">
        <f>(T69*'Markov Model_b'!mr_2)+U69</f>
        <v>44.045905955700647</v>
      </c>
      <c r="V70" s="176">
        <f t="shared" si="4"/>
        <v>100</v>
      </c>
      <c r="W70" s="180">
        <f>(T70*0)/(1+cDR)^'Markov Model_b'!cycle2</f>
        <v>0</v>
      </c>
      <c r="X70" s="176">
        <f t="shared" si="10"/>
        <v>55.954094044299353</v>
      </c>
      <c r="Y70" s="202">
        <f>(T70*(uPostT))/(1+oDR)^'Markov Model_b'!cycle</f>
        <v>36.700076074377222</v>
      </c>
      <c r="Z70" s="80"/>
      <c r="AA70" s="3"/>
      <c r="AB70" s="3"/>
      <c r="AC70" s="3"/>
      <c r="AD70" s="3"/>
      <c r="AE70" s="3"/>
      <c r="AF70" s="3"/>
      <c r="AG70" s="3"/>
      <c r="AH70" s="3"/>
      <c r="AI70" s="14"/>
      <c r="AJ70" s="14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</row>
    <row r="71" spans="1:60" ht="14.25" customHeight="1" x14ac:dyDescent="0.2">
      <c r="A71" s="272"/>
      <c r="B71" s="80"/>
      <c r="C71" s="173">
        <v>60</v>
      </c>
      <c r="D71" s="165"/>
      <c r="E71" s="198">
        <v>8.5677727639749124E-4</v>
      </c>
      <c r="F71" s="199"/>
      <c r="G71" s="404">
        <f t="shared" si="11"/>
        <v>59.340911012518447</v>
      </c>
      <c r="H71" s="176">
        <f t="shared" si="9"/>
        <v>40.659088987481553</v>
      </c>
      <c r="I71" s="176">
        <f t="shared" si="2"/>
        <v>100</v>
      </c>
      <c r="J71" s="153">
        <f>(G71*0)/(1+cDR)^'Markov Model_b'!cycle</f>
        <v>0</v>
      </c>
      <c r="K71" s="178">
        <f t="shared" si="12"/>
        <v>59.340911012518447</v>
      </c>
      <c r="L71" s="202">
        <f>(G71*(uPostT))/(1+oDR)^'Markov Model_b'!cycle</f>
        <v>38.824415319767965</v>
      </c>
      <c r="M71" s="80"/>
      <c r="N71" s="3"/>
      <c r="O71" s="80"/>
      <c r="P71" s="173">
        <v>60</v>
      </c>
      <c r="Q71" s="165"/>
      <c r="R71" s="198">
        <v>8.5677727639749124E-4</v>
      </c>
      <c r="S71" s="80"/>
      <c r="T71" s="248">
        <f t="shared" si="5"/>
        <v>55.906153848000791</v>
      </c>
      <c r="U71" s="176">
        <f>(T70*'Markov Model_b'!mr_2)+U70</f>
        <v>44.093846151999209</v>
      </c>
      <c r="V71" s="176">
        <f t="shared" si="4"/>
        <v>100</v>
      </c>
      <c r="W71" s="180">
        <f>(T71*0)/(1+cDR)^'Markov Model_b'!cycle2</f>
        <v>0</v>
      </c>
      <c r="X71" s="176">
        <f t="shared" si="10"/>
        <v>55.906153848000791</v>
      </c>
      <c r="Y71" s="202">
        <f>(T71*(uPostT))/(1+oDR)^'Markov Model_b'!cycle</f>
        <v>36.577189309879941</v>
      </c>
      <c r="Z71" s="80"/>
      <c r="AA71" s="3"/>
      <c r="AB71" s="3"/>
      <c r="AC71" s="3"/>
      <c r="AD71" s="3"/>
      <c r="AE71" s="3"/>
      <c r="AF71" s="3"/>
      <c r="AG71" s="3"/>
      <c r="AH71" s="3"/>
      <c r="AI71" s="14"/>
      <c r="AJ71" s="14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</row>
    <row r="72" spans="1:60" ht="14.25" customHeight="1" x14ac:dyDescent="0.25">
      <c r="A72" s="3" t="s">
        <v>529</v>
      </c>
      <c r="B72" s="80"/>
      <c r="C72" s="465">
        <v>61</v>
      </c>
      <c r="D72" s="466"/>
      <c r="E72" s="467">
        <v>8.2048794212530307E-4</v>
      </c>
      <c r="F72" s="468"/>
      <c r="G72" s="469">
        <f t="shared" si="11"/>
        <v>59.292222510557941</v>
      </c>
      <c r="H72" s="470">
        <f t="shared" si="9"/>
        <v>40.707777489442059</v>
      </c>
      <c r="I72" s="470">
        <f t="shared" si="2"/>
        <v>100</v>
      </c>
      <c r="J72" s="472">
        <f>(G72*0)/(1+cDR)^'Markov Model_b'!cycle</f>
        <v>0</v>
      </c>
      <c r="K72" s="471">
        <f t="shared" si="12"/>
        <v>59.292222510557941</v>
      </c>
      <c r="L72" s="473">
        <f>(G72*(uPostT))/(1+oDR)^'Markov Model_b'!cycle</f>
        <v>38.695820803130196</v>
      </c>
      <c r="M72" s="464"/>
      <c r="N72" s="464"/>
      <c r="O72" s="464"/>
      <c r="P72" s="465">
        <v>61</v>
      </c>
      <c r="Q72" s="466"/>
      <c r="R72" s="467">
        <v>8.2048794212530307E-4</v>
      </c>
      <c r="S72" s="464"/>
      <c r="T72" s="480">
        <f t="shared" si="5"/>
        <v>55.860283522877907</v>
      </c>
      <c r="U72" s="470">
        <f>(T71*'Markov Model_b'!mr_2)+U71</f>
        <v>44.139716477122093</v>
      </c>
      <c r="V72" s="470">
        <f t="shared" si="4"/>
        <v>100</v>
      </c>
      <c r="W72" s="475">
        <f>(T72*0)/(1+cDR)^'Markov Model_b'!cycle2</f>
        <v>0</v>
      </c>
      <c r="X72" s="470">
        <f t="shared" si="10"/>
        <v>55.860283522877907</v>
      </c>
      <c r="Y72" s="473">
        <f>(T72*(uPostT))/(1+oDR)^'Markov Model_b'!cycle</f>
        <v>36.456038071914563</v>
      </c>
      <c r="Z72" s="80"/>
      <c r="AA72" s="3"/>
      <c r="AB72" s="3"/>
      <c r="AC72" s="3"/>
      <c r="AD72" s="3"/>
      <c r="AE72" s="3"/>
      <c r="AF72" s="3"/>
      <c r="AG72" s="3"/>
      <c r="AH72" s="3"/>
      <c r="AI72" s="14"/>
      <c r="AJ72" s="14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</row>
    <row r="73" spans="1:60" ht="14.25" customHeight="1" x14ac:dyDescent="0.2">
      <c r="A73" s="272"/>
      <c r="B73" s="80"/>
      <c r="C73" s="173">
        <v>62</v>
      </c>
      <c r="D73" s="165"/>
      <c r="E73" s="198">
        <v>7.8582207924254854E-4</v>
      </c>
      <c r="F73" s="199"/>
      <c r="G73" s="404">
        <f t="shared" si="11"/>
        <v>59.245629372981782</v>
      </c>
      <c r="H73" s="176">
        <f t="shared" si="9"/>
        <v>40.754370627018218</v>
      </c>
      <c r="I73" s="176">
        <f t="shared" si="2"/>
        <v>100</v>
      </c>
      <c r="J73" s="153">
        <f>(G73*0)/(1+cDR)^'Markov Model_b'!cycle</f>
        <v>0</v>
      </c>
      <c r="K73" s="178">
        <f t="shared" si="12"/>
        <v>59.245629372981782</v>
      </c>
      <c r="L73" s="202">
        <f>(G73*(uPostT))/(1+oDR)^'Markov Model_b'!cycle</f>
        <v>38.568990297026133</v>
      </c>
      <c r="M73" s="80"/>
      <c r="N73" s="3"/>
      <c r="O73" s="80"/>
      <c r="P73" s="173">
        <v>62</v>
      </c>
      <c r="Q73" s="165"/>
      <c r="R73" s="198">
        <v>7.8582207924254854E-4</v>
      </c>
      <c r="S73" s="80"/>
      <c r="T73" s="248">
        <f t="shared" si="5"/>
        <v>55.816387278732883</v>
      </c>
      <c r="U73" s="176">
        <f>(T72*'Markov Model_b'!mr_2)+U72</f>
        <v>44.183612721267117</v>
      </c>
      <c r="V73" s="176">
        <f t="shared" si="4"/>
        <v>100</v>
      </c>
      <c r="W73" s="180">
        <f>(T73*0)/(1+cDR)^'Markov Model_b'!cycle2</f>
        <v>0</v>
      </c>
      <c r="X73" s="176">
        <f t="shared" si="10"/>
        <v>55.816387278732883</v>
      </c>
      <c r="Y73" s="202">
        <f>(T73*(uPostT))/(1+oDR)^'Markov Model_b'!cycle</f>
        <v>36.336548740424895</v>
      </c>
      <c r="Z73" s="80"/>
      <c r="AA73" s="3"/>
      <c r="AB73" s="3"/>
      <c r="AC73" s="3"/>
      <c r="AD73" s="3"/>
      <c r="AE73" s="3"/>
      <c r="AF73" s="3"/>
      <c r="AG73" s="3"/>
      <c r="AH73" s="3"/>
      <c r="AI73" s="14"/>
      <c r="AJ73" s="14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</row>
    <row r="74" spans="1:60" ht="14.25" customHeight="1" x14ac:dyDescent="0.2">
      <c r="A74" s="272"/>
      <c r="B74" s="80"/>
      <c r="C74" s="173">
        <v>63</v>
      </c>
      <c r="D74" s="165"/>
      <c r="E74" s="198">
        <v>7.5270034545421582E-4</v>
      </c>
      <c r="F74" s="199"/>
      <c r="G74" s="404">
        <f t="shared" si="11"/>
        <v>59.201035167286086</v>
      </c>
      <c r="H74" s="176">
        <f t="shared" si="9"/>
        <v>40.798964832713914</v>
      </c>
      <c r="I74" s="176">
        <f t="shared" si="2"/>
        <v>100</v>
      </c>
      <c r="J74" s="153">
        <f>(G74*0)/(1+cDR)^'Markov Model_b'!cycle</f>
        <v>0</v>
      </c>
      <c r="K74" s="178">
        <f t="shared" si="12"/>
        <v>59.201035167286086</v>
      </c>
      <c r="L74" s="202">
        <f>(G74*(uPostT))/(1+oDR)^'Markov Model_b'!cycle</f>
        <v>38.443849780255114</v>
      </c>
      <c r="M74" s="80"/>
      <c r="N74" s="3"/>
      <c r="O74" s="80"/>
      <c r="P74" s="173">
        <v>63</v>
      </c>
      <c r="Q74" s="165"/>
      <c r="R74" s="198">
        <v>7.5270034545421582E-4</v>
      </c>
      <c r="S74" s="80"/>
      <c r="T74" s="248">
        <f t="shared" si="5"/>
        <v>55.774374264746172</v>
      </c>
      <c r="U74" s="176">
        <f>(T73*'Markov Model_b'!mr_2)+U73</f>
        <v>44.225625735253828</v>
      </c>
      <c r="V74" s="176">
        <f t="shared" si="4"/>
        <v>100</v>
      </c>
      <c r="W74" s="180">
        <f>(T74*0)/(1+cDR)^'Markov Model_b'!cycle2</f>
        <v>0</v>
      </c>
      <c r="X74" s="176">
        <f t="shared" si="10"/>
        <v>55.774374264746172</v>
      </c>
      <c r="Y74" s="202">
        <f>(T74*(uPostT))/(1+oDR)^'Markov Model_b'!cycle</f>
        <v>36.218651578688643</v>
      </c>
      <c r="Z74" s="80"/>
      <c r="AA74" s="3"/>
      <c r="AB74" s="3"/>
      <c r="AC74" s="3"/>
      <c r="AD74" s="3"/>
      <c r="AE74" s="3"/>
      <c r="AF74" s="3"/>
      <c r="AG74" s="3"/>
      <c r="AH74" s="3"/>
      <c r="AI74" s="14"/>
      <c r="AJ74" s="14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</row>
    <row r="75" spans="1:60" ht="14.25" customHeight="1" x14ac:dyDescent="0.2">
      <c r="A75" s="272"/>
      <c r="B75" s="80"/>
      <c r="C75" s="173">
        <v>64</v>
      </c>
      <c r="D75" s="165"/>
      <c r="E75" s="198">
        <v>7.2104778530679425E-4</v>
      </c>
      <c r="F75" s="199"/>
      <c r="G75" s="404">
        <f t="shared" si="11"/>
        <v>59.158348391990842</v>
      </c>
      <c r="H75" s="176">
        <f t="shared" si="9"/>
        <v>40.841651608009158</v>
      </c>
      <c r="I75" s="176">
        <f t="shared" si="2"/>
        <v>100</v>
      </c>
      <c r="J75" s="153">
        <f>(G75*0)/(1+cDR)^'Markov Model_b'!cycle</f>
        <v>0</v>
      </c>
      <c r="K75" s="178">
        <f t="shared" si="12"/>
        <v>59.158348391990842</v>
      </c>
      <c r="L75" s="202">
        <f>(G75*(uPostT))/(1+oDR)^'Markov Model_b'!cycle</f>
        <v>38.320329104750506</v>
      </c>
      <c r="M75" s="80"/>
      <c r="N75" s="3"/>
      <c r="O75" s="80"/>
      <c r="P75" s="173">
        <v>64</v>
      </c>
      <c r="Q75" s="165"/>
      <c r="R75" s="198">
        <v>7.2104778530679425E-4</v>
      </c>
      <c r="S75" s="80"/>
      <c r="T75" s="248">
        <f t="shared" si="5"/>
        <v>55.734158275705703</v>
      </c>
      <c r="U75" s="176">
        <f>(T74*'Markov Model_b'!mr_2)+U74</f>
        <v>44.265841724294297</v>
      </c>
      <c r="V75" s="176">
        <f t="shared" si="4"/>
        <v>100</v>
      </c>
      <c r="W75" s="180">
        <f>(T75*0)/(1+cDR)^'Markov Model_b'!cycle2</f>
        <v>0</v>
      </c>
      <c r="X75" s="176">
        <f t="shared" si="10"/>
        <v>55.734158275705703</v>
      </c>
      <c r="Y75" s="202">
        <f>(T75*(uPostT))/(1+oDR)^'Markov Model_b'!cycle</f>
        <v>36.102280498933695</v>
      </c>
      <c r="Z75" s="80"/>
      <c r="AA75" s="3"/>
      <c r="AB75" s="3"/>
      <c r="AC75" s="3"/>
      <c r="AD75" s="3"/>
      <c r="AE75" s="3"/>
      <c r="AF75" s="3"/>
      <c r="AG75" s="3"/>
      <c r="AH75" s="3"/>
      <c r="AI75" s="14"/>
      <c r="AJ75" s="14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</row>
    <row r="76" spans="1:60" ht="14.25" customHeight="1" x14ac:dyDescent="0.2">
      <c r="A76" s="272"/>
      <c r="B76" s="80"/>
      <c r="C76" s="173">
        <v>65</v>
      </c>
      <c r="D76" s="165"/>
      <c r="E76" s="198">
        <v>6.9079355051876457E-4</v>
      </c>
      <c r="F76" s="199"/>
      <c r="G76" s="404">
        <f t="shared" si="11"/>
        <v>59.117482186462311</v>
      </c>
      <c r="H76" s="176">
        <f t="shared" si="9"/>
        <v>40.882517813537689</v>
      </c>
      <c r="I76" s="176">
        <f t="shared" si="2"/>
        <v>100</v>
      </c>
      <c r="J76" s="153">
        <f>(G76*0)/(1+cDR)^'Markov Model_b'!cycle</f>
        <v>0</v>
      </c>
      <c r="K76" s="178">
        <f t="shared" si="12"/>
        <v>59.117482186462311</v>
      </c>
      <c r="L76" s="202">
        <f>(G76*(uPostT))/(1+oDR)^'Markov Model_b'!cycle</f>
        <v>38.198361764140827</v>
      </c>
      <c r="M76" s="80"/>
      <c r="N76" s="3"/>
      <c r="O76" s="80"/>
      <c r="P76" s="173">
        <v>65</v>
      </c>
      <c r="Q76" s="165"/>
      <c r="R76" s="198">
        <v>6.9079355051876457E-4</v>
      </c>
      <c r="S76" s="80"/>
      <c r="T76" s="248">
        <f t="shared" si="5"/>
        <v>55.69565747862525</v>
      </c>
      <c r="U76" s="176">
        <f>(T75*'Markov Model_b'!mr_2)+U75</f>
        <v>44.30434252137475</v>
      </c>
      <c r="V76" s="176">
        <f t="shared" si="4"/>
        <v>100</v>
      </c>
      <c r="W76" s="180">
        <f>(T76*0)/(1+cDR)^'Markov Model_b'!cycle2</f>
        <v>0</v>
      </c>
      <c r="X76" s="176">
        <f t="shared" si="10"/>
        <v>55.69565747862525</v>
      </c>
      <c r="Y76" s="202">
        <f>(T76*(uPostT))/(1+oDR)^'Markov Model_b'!cycle</f>
        <v>35.987372844295265</v>
      </c>
      <c r="Z76" s="80"/>
      <c r="AA76" s="3"/>
      <c r="AB76" s="3"/>
      <c r="AC76" s="3"/>
      <c r="AD76" s="3"/>
      <c r="AE76" s="3"/>
      <c r="AF76" s="3"/>
      <c r="AG76" s="3"/>
      <c r="AH76" s="3"/>
      <c r="AI76" s="14"/>
      <c r="AJ76" s="14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</row>
    <row r="77" spans="1:60" ht="14.25" customHeight="1" x14ac:dyDescent="0.2">
      <c r="A77" s="272"/>
      <c r="B77" s="80"/>
      <c r="C77" s="173">
        <v>66</v>
      </c>
      <c r="D77" s="165"/>
      <c r="E77" s="198">
        <v>6.6187064073230939E-4</v>
      </c>
      <c r="F77" s="199"/>
      <c r="G77" s="404">
        <f t="shared" si="11"/>
        <v>59.078354060649076</v>
      </c>
      <c r="H77" s="176">
        <f t="shared" si="9"/>
        <v>40.921645939350924</v>
      </c>
      <c r="I77" s="176">
        <f t="shared" si="2"/>
        <v>100</v>
      </c>
      <c r="J77" s="153">
        <f>(G77*0)/(1+cDR)^'Markov Model_b'!cycle</f>
        <v>0</v>
      </c>
      <c r="K77" s="178">
        <f t="shared" si="12"/>
        <v>59.078354060649076</v>
      </c>
      <c r="L77" s="202">
        <f>(G77*(uPostT))/(1+oDR)^'Markov Model_b'!cycle</f>
        <v>38.077884678269406</v>
      </c>
      <c r="M77" s="80"/>
      <c r="N77" s="3"/>
      <c r="O77" s="80"/>
      <c r="P77" s="173">
        <v>66</v>
      </c>
      <c r="Q77" s="165"/>
      <c r="R77" s="198">
        <v>6.6187064073230939E-4</v>
      </c>
      <c r="S77" s="80"/>
      <c r="T77" s="248">
        <f t="shared" si="5"/>
        <v>55.658794158123868</v>
      </c>
      <c r="U77" s="176">
        <f>(T76*'Markov Model_b'!mr_2)+U76</f>
        <v>44.341205841876132</v>
      </c>
      <c r="V77" s="176">
        <f t="shared" si="4"/>
        <v>100</v>
      </c>
      <c r="W77" s="180">
        <f>(T77*0)/(1+cDR)^'Markov Model_b'!cycle2</f>
        <v>0</v>
      </c>
      <c r="X77" s="176">
        <f t="shared" si="10"/>
        <v>55.658794158123868</v>
      </c>
      <c r="Y77" s="202">
        <f>(T77*(uPostT))/(1+oDR)^'Markov Model_b'!cycle</f>
        <v>35.873869185808033</v>
      </c>
      <c r="Z77" s="80"/>
      <c r="AA77" s="3"/>
      <c r="AB77" s="3"/>
      <c r="AC77" s="3"/>
      <c r="AD77" s="3"/>
      <c r="AE77" s="3"/>
      <c r="AF77" s="3"/>
      <c r="AG77" s="3"/>
      <c r="AH77" s="3"/>
      <c r="AI77" s="14"/>
      <c r="AJ77" s="14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</row>
    <row r="78" spans="1:60" ht="14.25" customHeight="1" x14ac:dyDescent="0.25">
      <c r="A78" s="272"/>
      <c r="B78" s="80"/>
      <c r="C78" s="173">
        <v>67</v>
      </c>
      <c r="D78" s="165"/>
      <c r="E78" s="198">
        <v>6.3421566301369303E-4</v>
      </c>
      <c r="F78" s="199"/>
      <c r="G78" s="404">
        <f t="shared" si="11"/>
        <v>59.040885643158745</v>
      </c>
      <c r="H78" s="176">
        <f t="shared" si="9"/>
        <v>40.959114356841255</v>
      </c>
      <c r="I78" s="176">
        <f t="shared" si="2"/>
        <v>100</v>
      </c>
      <c r="J78" s="153">
        <f>(G78*0)/(1+cDR)^'Markov Model_b'!cycle</f>
        <v>0</v>
      </c>
      <c r="K78" s="178">
        <f t="shared" si="12"/>
        <v>59.040885643158745</v>
      </c>
      <c r="L78" s="202">
        <f>(G78*(uPostT))/(1+oDR)^'Markov Model_b'!cycle</f>
        <v>37.958837992410999</v>
      </c>
      <c r="M78" s="80"/>
      <c r="N78" s="3"/>
      <c r="O78" s="80"/>
      <c r="P78" s="173">
        <v>67</v>
      </c>
      <c r="Q78" s="165"/>
      <c r="R78" s="198">
        <v>6.3421566301369303E-4</v>
      </c>
      <c r="S78" s="80"/>
      <c r="T78" s="248">
        <f t="shared" si="5"/>
        <v>55.623494479084329</v>
      </c>
      <c r="U78" s="176">
        <f>(T77*'Markov Model_b'!mr_2)+U77</f>
        <v>44.376505520915671</v>
      </c>
      <c r="V78" s="176">
        <f t="shared" si="4"/>
        <v>100</v>
      </c>
      <c r="W78" s="180">
        <f>(T78*0)/(1+cDR)^'Markov Model_b'!cycle2</f>
        <v>0</v>
      </c>
      <c r="X78" s="176">
        <f t="shared" si="10"/>
        <v>55.623494479084329</v>
      </c>
      <c r="Y78" s="202">
        <f>(T78*(uPostT))/(1+oDR)^'Markov Model_b'!cycle</f>
        <v>35.761713133244371</v>
      </c>
      <c r="Z78" s="80"/>
      <c r="AA78" s="3"/>
      <c r="AB78" s="3"/>
      <c r="AC78" s="3"/>
      <c r="AD78" s="3"/>
      <c r="AE78" s="3"/>
      <c r="AF78" s="3"/>
      <c r="AG78" s="3"/>
      <c r="AH78" s="3"/>
      <c r="AI78" s="204"/>
      <c r="AJ78" s="14"/>
      <c r="AK78" s="3"/>
      <c r="AL78" s="3"/>
      <c r="AM78" s="3"/>
      <c r="AN78" s="3"/>
      <c r="AO78" s="3"/>
      <c r="AP78" s="3"/>
      <c r="AQ78" s="3"/>
      <c r="AR78" s="3"/>
      <c r="AS78" s="3"/>
      <c r="AT78" s="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</row>
    <row r="79" spans="1:60" ht="14.25" customHeight="1" x14ac:dyDescent="0.2">
      <c r="A79" s="272"/>
      <c r="B79" s="80"/>
      <c r="C79" s="173">
        <v>68</v>
      </c>
      <c r="D79" s="165"/>
      <c r="E79" s="198">
        <v>6.0776860858474668E-4</v>
      </c>
      <c r="F79" s="199"/>
      <c r="G79" s="404">
        <f t="shared" si="11"/>
        <v>59.005002446241789</v>
      </c>
      <c r="H79" s="176">
        <f t="shared" si="9"/>
        <v>40.994997553758211</v>
      </c>
      <c r="I79" s="176">
        <f t="shared" si="2"/>
        <v>100</v>
      </c>
      <c r="J79" s="153">
        <f>(G79*0)/(1+cDR)^'Markov Model_b'!cycle</f>
        <v>0</v>
      </c>
      <c r="K79" s="178">
        <f t="shared" si="12"/>
        <v>59.005002446241789</v>
      </c>
      <c r="L79" s="202">
        <f>(G79*(uPostT))/(1+oDR)^'Markov Model_b'!cycle</f>
        <v>37.841164890035756</v>
      </c>
      <c r="M79" s="80"/>
      <c r="N79" s="3"/>
      <c r="O79" s="80"/>
      <c r="P79" s="173">
        <v>68</v>
      </c>
      <c r="Q79" s="165"/>
      <c r="R79" s="198">
        <v>6.0776860858474668E-4</v>
      </c>
      <c r="S79" s="80"/>
      <c r="T79" s="248">
        <f t="shared" si="5"/>
        <v>55.589688265240156</v>
      </c>
      <c r="U79" s="176">
        <f>(T78*'Markov Model_b'!mr_2)+U78</f>
        <v>44.410311734759844</v>
      </c>
      <c r="V79" s="176">
        <f t="shared" si="4"/>
        <v>100</v>
      </c>
      <c r="W79" s="180">
        <f>(T79*0)/(1+cDR)^'Markov Model_b'!cycle2</f>
        <v>0</v>
      </c>
      <c r="X79" s="176">
        <f t="shared" si="10"/>
        <v>55.589688265240156</v>
      </c>
      <c r="Y79" s="202">
        <f>(T79*(uPostT))/(1+oDR)^'Markov Model_b'!cycle</f>
        <v>35.650851158715987</v>
      </c>
      <c r="Z79" s="80"/>
      <c r="AA79" s="3"/>
      <c r="AB79" s="3"/>
      <c r="AC79" s="3"/>
      <c r="AD79" s="3"/>
      <c r="AE79" s="3"/>
      <c r="AF79" s="3"/>
      <c r="AG79" s="3"/>
      <c r="AH79" s="3"/>
      <c r="AI79" s="14"/>
      <c r="AJ79" s="14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</row>
    <row r="80" spans="1:60" ht="14.25" customHeight="1" x14ac:dyDescent="0.2">
      <c r="A80" s="272"/>
      <c r="B80" s="80"/>
      <c r="C80" s="173">
        <v>69</v>
      </c>
      <c r="D80" s="165"/>
      <c r="E80" s="198">
        <v>5.8247264539929011E-4</v>
      </c>
      <c r="F80" s="199"/>
      <c r="G80" s="404">
        <f t="shared" si="11"/>
        <v>58.970633646375134</v>
      </c>
      <c r="H80" s="176">
        <f t="shared" si="9"/>
        <v>41.029366353624866</v>
      </c>
      <c r="I80" s="176">
        <f t="shared" si="2"/>
        <v>100</v>
      </c>
      <c r="J80" s="153">
        <f>(G80*0)/(1+cDR)^'Markov Model_b'!cycle</f>
        <v>0</v>
      </c>
      <c r="K80" s="178">
        <f t="shared" si="12"/>
        <v>58.970633646375134</v>
      </c>
      <c r="L80" s="202">
        <f>(G80*(uPostT))/(1+oDR)^'Markov Model_b'!cycle</f>
        <v>37.724811418072093</v>
      </c>
      <c r="M80" s="80"/>
      <c r="N80" s="3"/>
      <c r="O80" s="80"/>
      <c r="P80" s="173">
        <v>69</v>
      </c>
      <c r="Q80" s="165"/>
      <c r="R80" s="198">
        <v>5.8247264539929011E-4</v>
      </c>
      <c r="S80" s="80"/>
      <c r="T80" s="248">
        <f t="shared" si="5"/>
        <v>55.557308792459381</v>
      </c>
      <c r="U80" s="176">
        <f>(T79*'Markov Model_b'!mr_2)+U79</f>
        <v>44.442691207540619</v>
      </c>
      <c r="V80" s="176">
        <f t="shared" si="4"/>
        <v>100</v>
      </c>
      <c r="W80" s="180">
        <f>(T80*0)/(1+cDR)^'Markov Model_b'!cycle2</f>
        <v>0</v>
      </c>
      <c r="X80" s="176">
        <f t="shared" si="10"/>
        <v>55.557308792459381</v>
      </c>
      <c r="Y80" s="202">
        <f>(T80*(uPostT))/(1+oDR)^'Markov Model_b'!cycle</f>
        <v>35.541232432050712</v>
      </c>
      <c r="Z80" s="80"/>
      <c r="AA80" s="3"/>
      <c r="AB80" s="3"/>
      <c r="AC80" s="3"/>
      <c r="AD80" s="3"/>
      <c r="AE80" s="3"/>
      <c r="AF80" s="3"/>
      <c r="AG80" s="3"/>
      <c r="AH80" s="3"/>
      <c r="AI80" s="14"/>
      <c r="AJ80" s="14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</row>
    <row r="81" spans="1:60" ht="14.25" customHeight="1" x14ac:dyDescent="0.2">
      <c r="A81" s="272"/>
      <c r="B81" s="80"/>
      <c r="C81" s="173">
        <v>70</v>
      </c>
      <c r="D81" s="165"/>
      <c r="E81" s="198">
        <v>5.5827392530122255E-4</v>
      </c>
      <c r="F81" s="199"/>
      <c r="G81" s="404">
        <f t="shared" si="11"/>
        <v>58.937711879251871</v>
      </c>
      <c r="H81" s="176">
        <f t="shared" si="9"/>
        <v>41.062288120748129</v>
      </c>
      <c r="I81" s="176">
        <f t="shared" si="2"/>
        <v>100</v>
      </c>
      <c r="J81" s="153">
        <f>(G81*0)/(1+cDR)^'Markov Model_b'!cycle</f>
        <v>0</v>
      </c>
      <c r="K81" s="178">
        <f t="shared" si="12"/>
        <v>58.937711879251871</v>
      </c>
      <c r="L81" s="202">
        <f>(G81*(uPostT))/(1+oDR)^'Markov Model_b'!cycle</f>
        <v>37.6097263237112</v>
      </c>
      <c r="M81" s="80"/>
      <c r="N81" s="3"/>
      <c r="O81" s="80"/>
      <c r="P81" s="173">
        <v>70</v>
      </c>
      <c r="Q81" s="165"/>
      <c r="R81" s="198">
        <v>5.5827392530122255E-4</v>
      </c>
      <c r="S81" s="80"/>
      <c r="T81" s="248">
        <f t="shared" si="5"/>
        <v>55.526292595600644</v>
      </c>
      <c r="U81" s="176">
        <f>(T80*'Markov Model_b'!mr_2)+U80</f>
        <v>44.473707404399356</v>
      </c>
      <c r="V81" s="176">
        <f t="shared" si="4"/>
        <v>100</v>
      </c>
      <c r="W81" s="180">
        <f>(T81*0)/(1+cDR)^'Markov Model_b'!cycle2</f>
        <v>0</v>
      </c>
      <c r="X81" s="176">
        <f t="shared" si="10"/>
        <v>55.526292595600644</v>
      </c>
      <c r="Y81" s="202">
        <f>(T81*(uPostT))/(1+oDR)^'Markov Model_b'!cycle</f>
        <v>35.432808667043226</v>
      </c>
      <c r="Z81" s="80"/>
      <c r="AA81" s="3"/>
      <c r="AB81" s="3"/>
      <c r="AC81" s="3"/>
      <c r="AD81" s="3"/>
      <c r="AE81" s="3"/>
      <c r="AF81" s="3"/>
      <c r="AG81" s="3"/>
      <c r="AH81" s="3"/>
      <c r="AI81" s="14"/>
      <c r="AJ81" s="14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</row>
    <row r="82" spans="1:60" ht="14.25" customHeight="1" x14ac:dyDescent="0.2">
      <c r="A82" s="272"/>
      <c r="B82" s="80"/>
      <c r="C82" s="173">
        <v>71</v>
      </c>
      <c r="D82" s="165"/>
      <c r="E82" s="198">
        <v>5.3512140461448032E-4</v>
      </c>
      <c r="F82" s="199"/>
      <c r="G82" s="404">
        <f t="shared" si="11"/>
        <v>58.906173048086281</v>
      </c>
      <c r="H82" s="176">
        <f t="shared" si="9"/>
        <v>41.093826951913719</v>
      </c>
      <c r="I82" s="176">
        <f t="shared" si="2"/>
        <v>100</v>
      </c>
      <c r="J82" s="153">
        <f>(G82*0)/(1+cDR)^'Markov Model_b'!cycle</f>
        <v>0</v>
      </c>
      <c r="K82" s="178">
        <f t="shared" si="12"/>
        <v>58.906173048086281</v>
      </c>
      <c r="L82" s="202">
        <f>(G82*(uPostT))/(1+oDR)^'Markov Model_b'!cycle</f>
        <v>37.495860901878999</v>
      </c>
      <c r="M82" s="80"/>
      <c r="N82" s="3"/>
      <c r="O82" s="80"/>
      <c r="P82" s="173">
        <v>71</v>
      </c>
      <c r="Q82" s="165"/>
      <c r="R82" s="198">
        <v>5.3512140461448032E-4</v>
      </c>
      <c r="S82" s="80"/>
      <c r="T82" s="248">
        <f t="shared" si="5"/>
        <v>55.496579287913853</v>
      </c>
      <c r="U82" s="176">
        <f>(T81*'Markov Model_b'!mr_2)+U81</f>
        <v>44.503420712086147</v>
      </c>
      <c r="V82" s="176">
        <f t="shared" si="4"/>
        <v>100</v>
      </c>
      <c r="W82" s="180">
        <f>(T82*0)/(1+cDR)^'Markov Model_b'!cycle2</f>
        <v>0</v>
      </c>
      <c r="X82" s="176">
        <f t="shared" si="10"/>
        <v>55.496579287913853</v>
      </c>
      <c r="Y82" s="202">
        <f>(T82*(uPostT))/(1+oDR)^'Markov Model_b'!cycle</f>
        <v>35.325533977755498</v>
      </c>
      <c r="Z82" s="80"/>
      <c r="AA82" s="3"/>
      <c r="AB82" s="3"/>
      <c r="AC82" s="3"/>
      <c r="AD82" s="3"/>
      <c r="AE82" s="3"/>
      <c r="AF82" s="3"/>
      <c r="AG82" s="3"/>
      <c r="AH82" s="3"/>
      <c r="AI82" s="14"/>
      <c r="AJ82" s="14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</row>
    <row r="83" spans="1:60" ht="14.25" customHeight="1" x14ac:dyDescent="0.2">
      <c r="A83" s="272"/>
      <c r="B83" s="80"/>
      <c r="C83" s="173">
        <v>72</v>
      </c>
      <c r="D83" s="165"/>
      <c r="E83" s="198">
        <v>5.1296667710926114E-4</v>
      </c>
      <c r="F83" s="199"/>
      <c r="G83" s="404">
        <f t="shared" si="11"/>
        <v>58.875956144236582</v>
      </c>
      <c r="H83" s="176">
        <f t="shared" si="9"/>
        <v>41.124043855763418</v>
      </c>
      <c r="I83" s="176">
        <f t="shared" si="2"/>
        <v>100</v>
      </c>
      <c r="J83" s="153">
        <f>(G83*0)/(1+cDR)^'Markov Model_b'!cycle</f>
        <v>0</v>
      </c>
      <c r="K83" s="178">
        <f t="shared" si="12"/>
        <v>58.875956144236582</v>
      </c>
      <c r="L83" s="202">
        <f>(G83*(uPostT))/(1+oDR)^'Markov Model_b'!cycle</f>
        <v>37.383168852575373</v>
      </c>
      <c r="M83" s="80"/>
      <c r="N83" s="3"/>
      <c r="O83" s="80"/>
      <c r="P83" s="173">
        <v>72</v>
      </c>
      <c r="Q83" s="165"/>
      <c r="R83" s="198">
        <v>5.1296667710926114E-4</v>
      </c>
      <c r="S83" s="80"/>
      <c r="T83" s="248">
        <f t="shared" si="5"/>
        <v>55.4681113920456</v>
      </c>
      <c r="U83" s="176">
        <f>(T82*'Markov Model_b'!mr_2)+U82</f>
        <v>44.5318886079544</v>
      </c>
      <c r="V83" s="176">
        <f t="shared" si="4"/>
        <v>100</v>
      </c>
      <c r="W83" s="180">
        <f>(T83*0)/(1+cDR)^'Markov Model_b'!cycle2</f>
        <v>0</v>
      </c>
      <c r="X83" s="176">
        <f t="shared" si="10"/>
        <v>55.4681113920456</v>
      </c>
      <c r="Y83" s="202">
        <f>(T83*(uPostT))/(1+oDR)^'Markov Model_b'!cycle</f>
        <v>35.219364744113527</v>
      </c>
      <c r="Z83" s="80"/>
      <c r="AA83" s="3"/>
      <c r="AB83" s="3"/>
      <c r="AC83" s="3"/>
      <c r="AD83" s="3"/>
      <c r="AE83" s="3"/>
      <c r="AF83" s="3"/>
      <c r="AG83" s="3"/>
      <c r="AH83" s="3"/>
      <c r="AI83" s="14"/>
      <c r="AJ83" s="14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</row>
    <row r="84" spans="1:60" ht="14.25" customHeight="1" x14ac:dyDescent="0.25">
      <c r="A84" s="3" t="s">
        <v>527</v>
      </c>
      <c r="B84" s="80"/>
      <c r="C84" s="465">
        <v>73</v>
      </c>
      <c r="D84" s="466"/>
      <c r="E84" s="467">
        <v>4.9176381838583749E-4</v>
      </c>
      <c r="F84" s="468"/>
      <c r="G84" s="469">
        <f t="shared" si="11"/>
        <v>58.847003079231975</v>
      </c>
      <c r="H84" s="470">
        <f t="shared" si="9"/>
        <v>41.152996920768025</v>
      </c>
      <c r="I84" s="470">
        <f t="shared" si="2"/>
        <v>100</v>
      </c>
      <c r="J84" s="472">
        <f>(G84*0)/(1+cDR)^'Markov Model_b'!cycle</f>
        <v>0</v>
      </c>
      <c r="K84" s="471">
        <f t="shared" si="12"/>
        <v>58.847003079231975</v>
      </c>
      <c r="L84" s="473">
        <f>(G84*(uPostT))/(1+oDR)^'Markov Model_b'!cycle</f>
        <v>37.271606147348692</v>
      </c>
      <c r="M84" s="464"/>
      <c r="N84" s="464"/>
      <c r="O84" s="464"/>
      <c r="P84" s="465">
        <v>73</v>
      </c>
      <c r="Q84" s="466"/>
      <c r="R84" s="467">
        <v>4.9176381838583749E-4</v>
      </c>
      <c r="S84" s="464"/>
      <c r="T84" s="480">
        <f t="shared" si="5"/>
        <v>55.440834181788794</v>
      </c>
      <c r="U84" s="470">
        <f>(T83*'Markov Model_b'!mr_2)+U83</f>
        <v>44.559165818211206</v>
      </c>
      <c r="V84" s="470">
        <f t="shared" si="4"/>
        <v>100</v>
      </c>
      <c r="W84" s="475">
        <f>(T84*0)/(1+cDR)^'Markov Model_b'!cycle2</f>
        <v>0</v>
      </c>
      <c r="X84" s="470">
        <f t="shared" si="10"/>
        <v>55.440834181788794</v>
      </c>
      <c r="Y84" s="473">
        <f>(T84*(uPostT))/(1+oDR)^'Markov Model_b'!cycle</f>
        <v>35.114259486110562</v>
      </c>
      <c r="Z84" s="80"/>
      <c r="AA84" s="3"/>
      <c r="AB84" s="3"/>
      <c r="AC84" s="3"/>
      <c r="AD84" s="3"/>
      <c r="AE84" s="3"/>
      <c r="AF84" s="3"/>
      <c r="AG84" s="3"/>
      <c r="AH84" s="3"/>
      <c r="AI84" s="14"/>
      <c r="AJ84" s="14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</row>
    <row r="85" spans="1:60" ht="14.25" customHeight="1" x14ac:dyDescent="0.2">
      <c r="A85" s="272"/>
      <c r="B85" s="80"/>
      <c r="C85" s="173">
        <v>74</v>
      </c>
      <c r="D85" s="165"/>
      <c r="E85" s="198">
        <v>4.7146924079377595E-4</v>
      </c>
      <c r="F85" s="199"/>
      <c r="G85" s="404">
        <f t="shared" si="11"/>
        <v>58.819258527367218</v>
      </c>
      <c r="H85" s="176">
        <f t="shared" si="9"/>
        <v>41.180741472632782</v>
      </c>
      <c r="I85" s="176">
        <f t="shared" si="2"/>
        <v>100</v>
      </c>
      <c r="J85" s="153">
        <f>(G85*0)/(1+cDR)^'Markov Model_b'!cycle</f>
        <v>0</v>
      </c>
      <c r="K85" s="178">
        <f t="shared" si="12"/>
        <v>58.819258527367218</v>
      </c>
      <c r="L85" s="202">
        <f>(G85*(uPostT))/(1+oDR)^'Markov Model_b'!cycle</f>
        <v>37.161130904234653</v>
      </c>
      <c r="M85" s="80"/>
      <c r="N85" s="3"/>
      <c r="O85" s="80"/>
      <c r="P85" s="173">
        <v>74</v>
      </c>
      <c r="Q85" s="165"/>
      <c r="R85" s="198">
        <v>4.7146924079377595E-4</v>
      </c>
      <c r="S85" s="80"/>
      <c r="T85" s="248">
        <f t="shared" si="5"/>
        <v>55.414695533788134</v>
      </c>
      <c r="U85" s="176">
        <f>(T84*'Markov Model_b'!mr_2)+U84</f>
        <v>44.585304466211866</v>
      </c>
      <c r="V85" s="176">
        <f t="shared" si="4"/>
        <v>100</v>
      </c>
      <c r="W85" s="180">
        <f>(T85*0)/(1+cDR)^'Markov Model_b'!cycle2</f>
        <v>0</v>
      </c>
      <c r="X85" s="176">
        <f t="shared" si="10"/>
        <v>55.414695533788134</v>
      </c>
      <c r="Y85" s="202">
        <f>(T85*(uPostT))/(1+oDR)^'Markov Model_b'!cycle</f>
        <v>35.010178745984653</v>
      </c>
      <c r="Z85" s="80"/>
      <c r="AA85" s="3"/>
      <c r="AB85" s="3"/>
      <c r="AC85" s="3"/>
      <c r="AD85" s="3"/>
      <c r="AE85" s="3"/>
      <c r="AF85" s="3"/>
      <c r="AG85" s="3"/>
      <c r="AH85" s="3"/>
      <c r="AI85" s="14"/>
      <c r="AJ85" s="14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</row>
    <row r="86" spans="1:60" ht="14.25" customHeight="1" x14ac:dyDescent="0.2">
      <c r="A86" s="272"/>
      <c r="B86" s="80"/>
      <c r="C86" s="173">
        <v>75</v>
      </c>
      <c r="D86" s="165"/>
      <c r="E86" s="198">
        <v>4.5204155808509228E-4</v>
      </c>
      <c r="F86" s="199"/>
      <c r="G86" s="404">
        <f t="shared" si="11"/>
        <v>58.7926697780971</v>
      </c>
      <c r="H86" s="176">
        <f t="shared" si="9"/>
        <v>41.2073302219029</v>
      </c>
      <c r="I86" s="176">
        <f t="shared" si="2"/>
        <v>100</v>
      </c>
      <c r="J86" s="153">
        <f>(G86*0)/(1+cDR)^'Markov Model_b'!cycle</f>
        <v>0</v>
      </c>
      <c r="K86" s="178">
        <f t="shared" si="12"/>
        <v>58.7926697780971</v>
      </c>
      <c r="L86" s="202">
        <f>(G86*(uPostT))/(1+oDR)^'Markov Model_b'!cycle</f>
        <v>37.051703270544152</v>
      </c>
      <c r="M86" s="80"/>
      <c r="N86" s="3"/>
      <c r="O86" s="80"/>
      <c r="P86" s="173">
        <v>75</v>
      </c>
      <c r="Q86" s="165"/>
      <c r="R86" s="198">
        <v>4.5204155808509228E-4</v>
      </c>
      <c r="S86" s="80"/>
      <c r="T86" s="248">
        <f t="shared" si="5"/>
        <v>55.389645788478227</v>
      </c>
      <c r="U86" s="176">
        <f>(T85*'Markov Model_b'!mr_2)+U85</f>
        <v>44.610354211521773</v>
      </c>
      <c r="V86" s="176">
        <f t="shared" si="4"/>
        <v>100</v>
      </c>
      <c r="W86" s="180">
        <f>(T86*0)/(1+cDR)^'Markov Model_b'!cycle2</f>
        <v>0</v>
      </c>
      <c r="X86" s="176">
        <f t="shared" si="10"/>
        <v>55.389645788478227</v>
      </c>
      <c r="Y86" s="202">
        <f>(T86*(uPostT))/(1+oDR)^'Markov Model_b'!cycle</f>
        <v>34.907084977791008</v>
      </c>
      <c r="Z86" s="80"/>
      <c r="AA86" s="3"/>
      <c r="AB86" s="3"/>
      <c r="AC86" s="3"/>
      <c r="AD86" s="3"/>
      <c r="AE86" s="3"/>
      <c r="AF86" s="3"/>
      <c r="AG86" s="3"/>
      <c r="AH86" s="3"/>
      <c r="AI86" s="14"/>
      <c r="AJ86" s="14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</row>
    <row r="87" spans="1:60" ht="14.25" customHeight="1" x14ac:dyDescent="0.2">
      <c r="A87" s="272"/>
      <c r="B87" s="80"/>
      <c r="C87" s="173">
        <v>76</v>
      </c>
      <c r="D87" s="165"/>
      <c r="E87" s="198">
        <v>4.3344145906032416E-4</v>
      </c>
      <c r="F87" s="199"/>
      <c r="G87" s="404">
        <f t="shared" si="11"/>
        <v>58.767186597526432</v>
      </c>
      <c r="H87" s="176">
        <f t="shared" si="9"/>
        <v>41.232813402473568</v>
      </c>
      <c r="I87" s="176">
        <f t="shared" si="2"/>
        <v>100</v>
      </c>
      <c r="J87" s="153">
        <f>(G87*0)/(1+cDR)^'Markov Model_b'!cycle</f>
        <v>0</v>
      </c>
      <c r="K87" s="178">
        <f t="shared" si="12"/>
        <v>58.767186597526432</v>
      </c>
      <c r="L87" s="202">
        <f>(G87*(uPostT))/(1+oDR)^'Markov Model_b'!cycle</f>
        <v>36.943285312935558</v>
      </c>
      <c r="M87" s="80"/>
      <c r="N87" s="3"/>
      <c r="O87" s="80"/>
      <c r="P87" s="173">
        <v>76</v>
      </c>
      <c r="Q87" s="165"/>
      <c r="R87" s="198">
        <v>4.3344145906032416E-4</v>
      </c>
      <c r="S87" s="80"/>
      <c r="T87" s="248">
        <f t="shared" si="5"/>
        <v>55.365637619590835</v>
      </c>
      <c r="U87" s="176">
        <f>(T86*'Markov Model_b'!mr_2)+U86</f>
        <v>44.634362380409165</v>
      </c>
      <c r="V87" s="176">
        <f t="shared" si="4"/>
        <v>100</v>
      </c>
      <c r="W87" s="180">
        <f>(T87*0)/(1+cDR)^'Markov Model_b'!cycle2</f>
        <v>0</v>
      </c>
      <c r="X87" s="176">
        <f t="shared" si="10"/>
        <v>55.365637619590835</v>
      </c>
      <c r="Y87" s="202">
        <f>(T87*(uPostT))/(1+oDR)^'Markov Model_b'!cycle</f>
        <v>34.804942443837099</v>
      </c>
      <c r="Z87" s="80"/>
      <c r="AA87" s="3"/>
      <c r="AB87" s="3"/>
      <c r="AC87" s="3"/>
      <c r="AD87" s="3"/>
      <c r="AE87" s="3"/>
      <c r="AF87" s="3"/>
      <c r="AG87" s="3"/>
      <c r="AH87" s="3"/>
      <c r="AI87" s="14"/>
      <c r="AJ87" s="14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</row>
    <row r="88" spans="1:60" ht="14.25" customHeight="1" x14ac:dyDescent="0.2">
      <c r="A88" s="272"/>
      <c r="B88" s="80"/>
      <c r="C88" s="173">
        <v>77</v>
      </c>
      <c r="D88" s="165"/>
      <c r="E88" s="198">
        <v>4.1563158953511481E-4</v>
      </c>
      <c r="F88" s="199"/>
      <c r="G88" s="404">
        <f t="shared" si="11"/>
        <v>58.742761098348396</v>
      </c>
      <c r="H88" s="176">
        <f t="shared" si="9"/>
        <v>41.257238901651604</v>
      </c>
      <c r="I88" s="176">
        <f t="shared" si="2"/>
        <v>100</v>
      </c>
      <c r="J88" s="153">
        <f>(G88*0)/(1+cDR)^'Markov Model_b'!cycle</f>
        <v>0</v>
      </c>
      <c r="K88" s="178">
        <f t="shared" si="12"/>
        <v>58.742761098348396</v>
      </c>
      <c r="L88" s="202">
        <f>(G88*(uPostT))/(1+oDR)^'Markov Model_b'!cycle</f>
        <v>36.83584091425265</v>
      </c>
      <c r="M88" s="80"/>
      <c r="N88" s="3"/>
      <c r="O88" s="80"/>
      <c r="P88" s="173">
        <v>77</v>
      </c>
      <c r="Q88" s="165"/>
      <c r="R88" s="198">
        <v>4.1563158953511481E-4</v>
      </c>
      <c r="S88" s="80"/>
      <c r="T88" s="248">
        <f t="shared" si="5"/>
        <v>55.342625911621383</v>
      </c>
      <c r="U88" s="176">
        <f>(T87*'Markov Model_b'!mr_2)+U87</f>
        <v>44.657374088378617</v>
      </c>
      <c r="V88" s="176">
        <f t="shared" si="4"/>
        <v>100</v>
      </c>
      <c r="W88" s="180">
        <f>(T88*0)/(1+cDR)^'Markov Model_b'!cycle2</f>
        <v>0</v>
      </c>
      <c r="X88" s="176">
        <f t="shared" si="10"/>
        <v>55.342625911621383</v>
      </c>
      <c r="Y88" s="202">
        <f>(T88*(uPostT))/(1+oDR)^'Markov Model_b'!cycle</f>
        <v>34.703717117491756</v>
      </c>
      <c r="Z88" s="80"/>
      <c r="AA88" s="3"/>
      <c r="AB88" s="3"/>
      <c r="AC88" s="3"/>
      <c r="AD88" s="3"/>
      <c r="AE88" s="3"/>
      <c r="AF88" s="3"/>
      <c r="AG88" s="3"/>
      <c r="AH88" s="3"/>
      <c r="AI88" s="14"/>
      <c r="AJ88" s="14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</row>
    <row r="89" spans="1:60" ht="14.25" customHeight="1" x14ac:dyDescent="0.2">
      <c r="A89" s="272"/>
      <c r="B89" s="80"/>
      <c r="C89" s="173">
        <v>78</v>
      </c>
      <c r="D89" s="165"/>
      <c r="E89" s="198">
        <v>3.9857644200608222E-4</v>
      </c>
      <c r="F89" s="199"/>
      <c r="G89" s="404">
        <f t="shared" si="11"/>
        <v>58.719347617636203</v>
      </c>
      <c r="H89" s="176">
        <f t="shared" si="9"/>
        <v>41.280652382363797</v>
      </c>
      <c r="I89" s="176">
        <f t="shared" si="2"/>
        <v>100</v>
      </c>
      <c r="J89" s="153">
        <f>(G89*0)/(1+cDR)^'Markov Model_b'!cycle</f>
        <v>0</v>
      </c>
      <c r="K89" s="178">
        <f t="shared" si="12"/>
        <v>58.719347617636203</v>
      </c>
      <c r="L89" s="202">
        <f>(G89*(uPostT))/(1+oDR)^'Markov Model_b'!cycle</f>
        <v>36.729335676651132</v>
      </c>
      <c r="M89" s="80"/>
      <c r="N89" s="3"/>
      <c r="O89" s="80"/>
      <c r="P89" s="173">
        <v>78</v>
      </c>
      <c r="Q89" s="165"/>
      <c r="R89" s="198">
        <v>3.9857644200608222E-4</v>
      </c>
      <c r="S89" s="80"/>
      <c r="T89" s="248">
        <f t="shared" si="5"/>
        <v>55.320567644694258</v>
      </c>
      <c r="U89" s="176">
        <f>(T88*'Markov Model_b'!mr_2)+U88</f>
        <v>44.679432355305742</v>
      </c>
      <c r="V89" s="176">
        <f t="shared" si="4"/>
        <v>100</v>
      </c>
      <c r="W89" s="180">
        <f>(T89*0)/(1+cDR)^'Markov Model_b'!cycle2</f>
        <v>0</v>
      </c>
      <c r="X89" s="176">
        <f t="shared" si="10"/>
        <v>55.320567644694258</v>
      </c>
      <c r="Y89" s="202">
        <f>(T89*(uPostT))/(1+oDR)^'Markov Model_b'!cycle</f>
        <v>34.603376591918895</v>
      </c>
      <c r="Z89" s="80"/>
      <c r="AA89" s="3"/>
      <c r="AB89" s="3"/>
      <c r="AC89" s="3"/>
      <c r="AD89" s="3"/>
      <c r="AE89" s="3"/>
      <c r="AF89" s="3"/>
      <c r="AG89" s="3"/>
      <c r="AH89" s="3"/>
      <c r="AI89" s="14"/>
      <c r="AJ89" s="14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</row>
    <row r="90" spans="1:60" ht="14.25" customHeight="1" x14ac:dyDescent="0.2">
      <c r="A90" s="272"/>
      <c r="B90" s="80"/>
      <c r="C90" s="173">
        <v>79</v>
      </c>
      <c r="D90" s="165"/>
      <c r="E90" s="198">
        <v>3.8224225244848364E-4</v>
      </c>
      <c r="F90" s="199"/>
      <c r="G90" s="404">
        <f t="shared" si="11"/>
        <v>58.696902601940529</v>
      </c>
      <c r="H90" s="176">
        <f t="shared" si="9"/>
        <v>41.303097398059471</v>
      </c>
      <c r="I90" s="176">
        <f t="shared" si="2"/>
        <v>100</v>
      </c>
      <c r="J90" s="153">
        <f>(G90*0)/(1+cDR)^'Markov Model_b'!cycle</f>
        <v>0</v>
      </c>
      <c r="K90" s="178">
        <f t="shared" si="12"/>
        <v>58.696902601940529</v>
      </c>
      <c r="L90" s="202">
        <f>(G90*(uPostT))/(1+oDR)^'Markov Model_b'!cycle</f>
        <v>36.623736830574721</v>
      </c>
      <c r="M90" s="80"/>
      <c r="N90" s="3"/>
      <c r="O90" s="80"/>
      <c r="P90" s="173">
        <v>79</v>
      </c>
      <c r="Q90" s="165"/>
      <c r="R90" s="198">
        <v>3.8224225244848364E-4</v>
      </c>
      <c r="S90" s="80"/>
      <c r="T90" s="248">
        <f t="shared" si="5"/>
        <v>55.299421786311022</v>
      </c>
      <c r="U90" s="176">
        <f>(T89*'Markov Model_b'!mr_2)+U89</f>
        <v>44.700578213688978</v>
      </c>
      <c r="V90" s="176">
        <f t="shared" si="4"/>
        <v>100</v>
      </c>
      <c r="W90" s="180">
        <f>(T90*0)/(1+cDR)^'Markov Model_b'!cycle2</f>
        <v>0</v>
      </c>
      <c r="X90" s="176">
        <f t="shared" si="10"/>
        <v>55.299421786311022</v>
      </c>
      <c r="Y90" s="202">
        <f>(T90*(uPostT))/(1+oDR)^'Markov Model_b'!cycle</f>
        <v>34.503889994322279</v>
      </c>
      <c r="Z90" s="80"/>
      <c r="AA90" s="3"/>
      <c r="AB90" s="3"/>
      <c r="AC90" s="3"/>
      <c r="AD90" s="3"/>
      <c r="AE90" s="3"/>
      <c r="AF90" s="3"/>
      <c r="AG90" s="3"/>
      <c r="AH90" s="3"/>
      <c r="AI90" s="14"/>
      <c r="AJ90" s="14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</row>
    <row r="91" spans="1:60" ht="14.25" customHeight="1" x14ac:dyDescent="0.2">
      <c r="A91" s="272"/>
      <c r="B91" s="80"/>
      <c r="C91" s="173">
        <v>80</v>
      </c>
      <c r="D91" s="165"/>
      <c r="E91" s="198">
        <v>3.6659690372203846E-4</v>
      </c>
      <c r="F91" s="199"/>
      <c r="G91" s="404">
        <f t="shared" si="11"/>
        <v>58.675384499188581</v>
      </c>
      <c r="H91" s="176">
        <f t="shared" si="9"/>
        <v>41.324615500811419</v>
      </c>
      <c r="I91" s="176">
        <f t="shared" si="2"/>
        <v>100</v>
      </c>
      <c r="J91" s="153">
        <f>(G91*0)/(1+cDR)^'Markov Model_b'!cycle</f>
        <v>0</v>
      </c>
      <c r="K91" s="178">
        <f t="shared" si="12"/>
        <v>58.675384499188581</v>
      </c>
      <c r="L91" s="202">
        <f>(G91*(uPostT))/(1+oDR)^'Markov Model_b'!cycle</f>
        <v>36.519013149176949</v>
      </c>
      <c r="M91" s="80"/>
      <c r="N91" s="3"/>
      <c r="O91" s="80"/>
      <c r="P91" s="173">
        <v>80</v>
      </c>
      <c r="Q91" s="165"/>
      <c r="R91" s="198">
        <v>3.6659690372203846E-4</v>
      </c>
      <c r="S91" s="80"/>
      <c r="T91" s="248">
        <f t="shared" si="5"/>
        <v>55.279149189506541</v>
      </c>
      <c r="U91" s="176">
        <f>(T90*'Markov Model_b'!mr_2)+U90</f>
        <v>44.720850810493459</v>
      </c>
      <c r="V91" s="176">
        <f t="shared" si="4"/>
        <v>100</v>
      </c>
      <c r="W91" s="180">
        <f>(T91*0)/(1+cDR)^'Markov Model_b'!cycle2</f>
        <v>0</v>
      </c>
      <c r="X91" s="176">
        <f t="shared" si="10"/>
        <v>55.279149189506541</v>
      </c>
      <c r="Y91" s="202">
        <f>(T91*(uPostT))/(1+oDR)^'Markov Model_b'!cycle</f>
        <v>34.405227905320679</v>
      </c>
      <c r="Z91" s="80"/>
      <c r="AA91" s="3"/>
      <c r="AB91" s="3"/>
      <c r="AC91" s="3"/>
      <c r="AD91" s="3"/>
      <c r="AE91" s="3"/>
      <c r="AF91" s="3"/>
      <c r="AG91" s="3"/>
      <c r="AH91" s="3"/>
      <c r="AI91" s="14"/>
      <c r="AJ91" s="14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</row>
    <row r="92" spans="1:60" ht="14.25" customHeight="1" x14ac:dyDescent="0.2">
      <c r="A92" s="272"/>
      <c r="B92" s="80"/>
      <c r="C92" s="173">
        <v>81</v>
      </c>
      <c r="D92" s="165"/>
      <c r="E92" s="198">
        <v>3.5160983510645893E-4</v>
      </c>
      <c r="F92" s="199"/>
      <c r="G92" s="404">
        <f t="shared" si="11"/>
        <v>58.654753656920015</v>
      </c>
      <c r="H92" s="176">
        <f t="shared" si="9"/>
        <v>41.345246343079985</v>
      </c>
      <c r="I92" s="176">
        <f t="shared" si="2"/>
        <v>100</v>
      </c>
      <c r="J92" s="153">
        <f>(G92*0)/(1+cDR)^'Markov Model_b'!cycle</f>
        <v>0</v>
      </c>
      <c r="K92" s="178">
        <f t="shared" si="12"/>
        <v>58.654753656920015</v>
      </c>
      <c r="L92" s="202">
        <f>(G92*(uPostT))/(1+oDR)^'Markov Model_b'!cycle</f>
        <v>36.41513486781578</v>
      </c>
      <c r="M92" s="80"/>
      <c r="N92" s="3"/>
      <c r="O92" s="80"/>
      <c r="P92" s="173">
        <v>81</v>
      </c>
      <c r="Q92" s="165"/>
      <c r="R92" s="198">
        <v>3.5160983510645893E-4</v>
      </c>
      <c r="S92" s="80"/>
      <c r="T92" s="248">
        <f t="shared" si="5"/>
        <v>55.25971249697519</v>
      </c>
      <c r="U92" s="176">
        <f>(T91*'Markov Model_b'!mr_2)+U91</f>
        <v>44.74028750302481</v>
      </c>
      <c r="V92" s="176">
        <f t="shared" si="4"/>
        <v>100</v>
      </c>
      <c r="W92" s="180">
        <f>(T92*0)/(1+cDR)^'Markov Model_b'!cycle2</f>
        <v>0</v>
      </c>
      <c r="X92" s="176">
        <f t="shared" si="10"/>
        <v>55.25971249697519</v>
      </c>
      <c r="Y92" s="202">
        <f>(T92*(uPostT))/(1+oDR)^'Markov Model_b'!cycle</f>
        <v>34.307362283102343</v>
      </c>
      <c r="Z92" s="80"/>
      <c r="AA92" s="3"/>
      <c r="AB92" s="3"/>
      <c r="AC92" s="3"/>
      <c r="AD92" s="3"/>
      <c r="AE92" s="3"/>
      <c r="AF92" s="3"/>
      <c r="AG92" s="3"/>
      <c r="AH92" s="3"/>
      <c r="AI92" s="14"/>
      <c r="AJ92" s="14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</row>
    <row r="93" spans="1:60" ht="14.25" customHeight="1" x14ac:dyDescent="0.2">
      <c r="A93" s="272"/>
      <c r="B93" s="80"/>
      <c r="C93" s="173">
        <v>82</v>
      </c>
      <c r="D93" s="165"/>
      <c r="E93" s="198">
        <v>3.3725195752581927E-4</v>
      </c>
      <c r="F93" s="199"/>
      <c r="G93" s="404">
        <f t="shared" si="11"/>
        <v>58.634972226431024</v>
      </c>
      <c r="H93" s="176">
        <f t="shared" si="9"/>
        <v>41.365027773568976</v>
      </c>
      <c r="I93" s="176">
        <f t="shared" si="2"/>
        <v>100</v>
      </c>
      <c r="J93" s="153">
        <f>(G93*0)/(1+cDR)^'Markov Model_b'!cycle</f>
        <v>0</v>
      </c>
      <c r="K93" s="178">
        <f t="shared" si="12"/>
        <v>58.634972226431024</v>
      </c>
      <c r="L93" s="202">
        <f>(G93*(uPostT))/(1+oDR)^'Markov Model_b'!cycle</f>
        <v>36.312073608277345</v>
      </c>
      <c r="M93" s="80"/>
      <c r="N93" s="3"/>
      <c r="O93" s="80"/>
      <c r="P93" s="173">
        <v>82</v>
      </c>
      <c r="Q93" s="165"/>
      <c r="R93" s="198">
        <v>3.3725195752581927E-4</v>
      </c>
      <c r="S93" s="80"/>
      <c r="T93" s="248">
        <f t="shared" si="5"/>
        <v>55.241076050763269</v>
      </c>
      <c r="U93" s="176">
        <f>(T92*'Markov Model_b'!mr_2)+U92</f>
        <v>44.758923949236731</v>
      </c>
      <c r="V93" s="176">
        <f t="shared" si="4"/>
        <v>100</v>
      </c>
      <c r="W93" s="180">
        <f>(T93*0)/(1+cDR)^'Markov Model_b'!cycle2</f>
        <v>0</v>
      </c>
      <c r="X93" s="176">
        <f t="shared" si="10"/>
        <v>55.241076050763269</v>
      </c>
      <c r="Y93" s="202">
        <f>(T93*(uPostT))/(1+oDR)^'Markov Model_b'!cycle</f>
        <v>34.210266392034718</v>
      </c>
      <c r="Z93" s="80"/>
      <c r="AA93" s="3"/>
      <c r="AB93" s="3"/>
      <c r="AC93" s="3"/>
      <c r="AD93" s="3"/>
      <c r="AE93" s="3"/>
      <c r="AF93" s="3"/>
      <c r="AG93" s="3"/>
      <c r="AH93" s="3"/>
      <c r="AI93" s="14"/>
      <c r="AJ93" s="14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</row>
    <row r="94" spans="1:60" ht="14.25" customHeight="1" x14ac:dyDescent="0.2">
      <c r="A94" s="272"/>
      <c r="B94" s="80"/>
      <c r="C94" s="173">
        <v>83</v>
      </c>
      <c r="D94" s="165"/>
      <c r="E94" s="198">
        <v>3.2349557405259022E-4</v>
      </c>
      <c r="F94" s="199"/>
      <c r="G94" s="404">
        <f t="shared" si="11"/>
        <v>58.616004072431075</v>
      </c>
      <c r="H94" s="176">
        <f t="shared" si="9"/>
        <v>41.383995927568925</v>
      </c>
      <c r="I94" s="176">
        <f t="shared" si="2"/>
        <v>100</v>
      </c>
      <c r="J94" s="153">
        <f>(G94*0)/(1+cDR)^'Markov Model_b'!cycle</f>
        <v>0</v>
      </c>
      <c r="K94" s="178">
        <f t="shared" si="12"/>
        <v>58.616004072431075</v>
      </c>
      <c r="L94" s="202">
        <f>(G94*(uPostT))/(1+oDR)^'Markov Model_b'!cycle</f>
        <v>36.20980230741187</v>
      </c>
      <c r="M94" s="80"/>
      <c r="N94" s="3"/>
      <c r="O94" s="80"/>
      <c r="P94" s="173">
        <v>83</v>
      </c>
      <c r="Q94" s="165"/>
      <c r="R94" s="198">
        <v>3.2349557405259022E-4</v>
      </c>
      <c r="S94" s="80"/>
      <c r="T94" s="248">
        <f t="shared" si="5"/>
        <v>55.223205807154947</v>
      </c>
      <c r="U94" s="176">
        <f>(T93*'Markov Model_b'!mr_2)+U93</f>
        <v>44.776794192845053</v>
      </c>
      <c r="V94" s="176">
        <f t="shared" si="4"/>
        <v>100</v>
      </c>
      <c r="W94" s="180">
        <f>(T94*0)/(1+cDR)^'Markov Model_b'!cycle2</f>
        <v>0</v>
      </c>
      <c r="X94" s="176">
        <f t="shared" si="10"/>
        <v>55.223205807154947</v>
      </c>
      <c r="Y94" s="202">
        <f>(T94*(uPostT))/(1+oDR)^'Markov Model_b'!cycle</f>
        <v>34.113914735431166</v>
      </c>
      <c r="Z94" s="80"/>
      <c r="AA94" s="3"/>
      <c r="AB94" s="3"/>
      <c r="AC94" s="3"/>
      <c r="AD94" s="3"/>
      <c r="AE94" s="3"/>
      <c r="AF94" s="3"/>
      <c r="AG94" s="3"/>
      <c r="AH94" s="3"/>
      <c r="AI94" s="14"/>
      <c r="AJ94" s="14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</row>
    <row r="95" spans="1:60" ht="14.25" customHeight="1" x14ac:dyDescent="0.25">
      <c r="A95" s="3" t="s">
        <v>528</v>
      </c>
      <c r="B95" s="80"/>
      <c r="C95" s="465">
        <v>84</v>
      </c>
      <c r="D95" s="466"/>
      <c r="E95" s="467">
        <v>3.1031430532296733E-4</v>
      </c>
      <c r="F95" s="468"/>
      <c r="G95" s="469">
        <f t="shared" si="11"/>
        <v>58.59781468784653</v>
      </c>
      <c r="H95" s="470">
        <f t="shared" si="9"/>
        <v>41.40218531215347</v>
      </c>
      <c r="I95" s="470">
        <f t="shared" si="2"/>
        <v>100</v>
      </c>
      <c r="J95" s="472">
        <f>(G95*0)/(1+cDR)^'Markov Model_b'!cycle</f>
        <v>0</v>
      </c>
      <c r="K95" s="471">
        <f t="shared" si="12"/>
        <v>58.59781468784653</v>
      </c>
      <c r="L95" s="473">
        <f>(G95*(uPostT))/(1+oDR)^'Markov Model_b'!cycle</f>
        <v>36.108295149888249</v>
      </c>
      <c r="M95" s="464"/>
      <c r="N95" s="464"/>
      <c r="O95" s="464"/>
      <c r="P95" s="465">
        <v>84</v>
      </c>
      <c r="Q95" s="466"/>
      <c r="R95" s="467">
        <v>3.1031430532296733E-4</v>
      </c>
      <c r="S95" s="464"/>
      <c r="T95" s="480">
        <f t="shared" si="5"/>
        <v>55.20606925640719</v>
      </c>
      <c r="U95" s="470">
        <f>(T94*'Markov Model_b'!mr_2)+U94</f>
        <v>44.79393074359281</v>
      </c>
      <c r="V95" s="470">
        <f t="shared" si="4"/>
        <v>100</v>
      </c>
      <c r="W95" s="475">
        <f>(T95*0)/(1+cDR)^'Markov Model_b'!cycle2</f>
        <v>0</v>
      </c>
      <c r="X95" s="470">
        <f t="shared" si="10"/>
        <v>55.20606925640719</v>
      </c>
      <c r="Y95" s="473">
        <f>(T95*(uPostT))/(1+oDR)^'Markov Model_b'!cycle</f>
        <v>34.018282992197697</v>
      </c>
      <c r="Z95" s="80"/>
      <c r="AA95" s="3"/>
      <c r="AB95" s="3"/>
      <c r="AC95" s="3"/>
      <c r="AD95" s="3"/>
      <c r="AE95" s="3"/>
      <c r="AF95" s="3"/>
      <c r="AG95" s="3"/>
      <c r="AH95" s="3"/>
      <c r="AI95" s="14"/>
      <c r="AJ95" s="14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</row>
    <row r="96" spans="1:60" ht="14.25" customHeight="1" x14ac:dyDescent="0.2">
      <c r="A96" s="272"/>
      <c r="B96" s="80"/>
      <c r="C96" s="173">
        <v>85</v>
      </c>
      <c r="D96" s="165"/>
      <c r="E96" s="198">
        <v>2.9768301951277332E-4</v>
      </c>
      <c r="F96" s="199"/>
      <c r="G96" s="404">
        <f t="shared" si="11"/>
        <v>58.580371113433401</v>
      </c>
      <c r="H96" s="176">
        <f t="shared" si="9"/>
        <v>41.419628886566599</v>
      </c>
      <c r="I96" s="176">
        <f t="shared" si="2"/>
        <v>100</v>
      </c>
      <c r="J96" s="153">
        <f>(G96*0)/(1+cDR)^'Markov Model_b'!cycle</f>
        <v>0</v>
      </c>
      <c r="K96" s="178">
        <f t="shared" si="12"/>
        <v>58.580371113433401</v>
      </c>
      <c r="L96" s="202">
        <f>(G96*(uPostT))/(1+oDR)^'Markov Model_b'!cycle</f>
        <v>36.007527504796577</v>
      </c>
      <c r="M96" s="80"/>
      <c r="N96" s="3"/>
      <c r="O96" s="80"/>
      <c r="P96" s="173">
        <v>85</v>
      </c>
      <c r="Q96" s="165"/>
      <c r="R96" s="198">
        <v>2.9768301951277332E-4</v>
      </c>
      <c r="S96" s="80"/>
      <c r="T96" s="248">
        <f t="shared" si="5"/>
        <v>55.189635347015511</v>
      </c>
      <c r="U96" s="176">
        <f>(T95*'Markov Model_b'!mr_2)+U95</f>
        <v>44.810364652984489</v>
      </c>
      <c r="V96" s="176">
        <f t="shared" si="4"/>
        <v>100</v>
      </c>
      <c r="W96" s="180">
        <f>(T96*0)/(1+cDR)^'Markov Model_b'!cycle2</f>
        <v>0</v>
      </c>
      <c r="X96" s="176">
        <f t="shared" si="10"/>
        <v>55.189635347015511</v>
      </c>
      <c r="Y96" s="202">
        <f>(T96*(uPostT))/(1+oDR)^'Markov Model_b'!cycle</f>
        <v>33.923347957105179</v>
      </c>
      <c r="Z96" s="80"/>
      <c r="AA96" s="3"/>
      <c r="AB96" s="3"/>
      <c r="AC96" s="3"/>
      <c r="AD96" s="3"/>
      <c r="AE96" s="3"/>
      <c r="AF96" s="3"/>
      <c r="AG96" s="3"/>
      <c r="AH96" s="3"/>
      <c r="AI96" s="14"/>
      <c r="AJ96" s="14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</row>
    <row r="97" spans="1:60" ht="14.25" customHeight="1" x14ac:dyDescent="0.2">
      <c r="A97" s="272"/>
      <c r="B97" s="80"/>
      <c r="C97" s="173">
        <v>86</v>
      </c>
      <c r="D97" s="165"/>
      <c r="E97" s="198">
        <v>2.8557776656185085E-4</v>
      </c>
      <c r="F97" s="199"/>
      <c r="G97" s="404">
        <f t="shared" si="11"/>
        <v>58.56364186188646</v>
      </c>
      <c r="H97" s="176">
        <f t="shared" si="9"/>
        <v>41.43635813811354</v>
      </c>
      <c r="I97" s="176">
        <f t="shared" si="2"/>
        <v>100</v>
      </c>
      <c r="J97" s="153">
        <f>(G97*0)/(1+cDR)^'Markov Model_b'!cycle</f>
        <v>0</v>
      </c>
      <c r="K97" s="178">
        <f t="shared" si="12"/>
        <v>58.56364186188646</v>
      </c>
      <c r="L97" s="202">
        <f>(G97*(uPostT))/(1+oDR)^'Markov Model_b'!cycle</f>
        <v>35.907475865847729</v>
      </c>
      <c r="M97" s="80"/>
      <c r="N97" s="3"/>
      <c r="O97" s="80"/>
      <c r="P97" s="173">
        <v>86</v>
      </c>
      <c r="Q97" s="165"/>
      <c r="R97" s="198">
        <v>2.8557776656185085E-4</v>
      </c>
      <c r="S97" s="80"/>
      <c r="T97" s="248">
        <f t="shared" si="5"/>
        <v>55.173874414215746</v>
      </c>
      <c r="U97" s="176">
        <f>(T96*'Markov Model_b'!mr_2)+U96</f>
        <v>44.826125585784254</v>
      </c>
      <c r="V97" s="176">
        <f t="shared" si="4"/>
        <v>100</v>
      </c>
      <c r="W97" s="180">
        <f>(T97*0)/(1+cDR)^'Markov Model_b'!cycle2</f>
        <v>0</v>
      </c>
      <c r="X97" s="176">
        <f t="shared" si="10"/>
        <v>55.173874414215746</v>
      </c>
      <c r="Y97" s="202">
        <f>(T97*(uPostT))/(1+oDR)^'Markov Model_b'!cycle</f>
        <v>33.829087484450177</v>
      </c>
      <c r="Z97" s="80"/>
      <c r="AA97" s="3"/>
      <c r="AB97" s="3"/>
      <c r="AC97" s="3"/>
      <c r="AD97" s="3"/>
      <c r="AE97" s="3"/>
      <c r="AF97" s="3"/>
      <c r="AG97" s="3"/>
      <c r="AH97" s="3"/>
      <c r="AI97" s="14"/>
      <c r="AJ97" s="14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</row>
    <row r="98" spans="1:60" ht="14.25" customHeight="1" x14ac:dyDescent="0.2">
      <c r="A98" s="272"/>
      <c r="B98" s="80"/>
      <c r="C98" s="173">
        <v>87</v>
      </c>
      <c r="D98" s="165"/>
      <c r="E98" s="198">
        <v>2.739757163499057E-4</v>
      </c>
      <c r="F98" s="199"/>
      <c r="G98" s="404">
        <f t="shared" si="11"/>
        <v>58.547596846155287</v>
      </c>
      <c r="H98" s="176">
        <f t="shared" si="9"/>
        <v>41.452403153844713</v>
      </c>
      <c r="I98" s="176">
        <f t="shared" si="2"/>
        <v>100</v>
      </c>
      <c r="J98" s="153">
        <f>(G98*0)/(1+cDR)^'Markov Model_b'!cycle</f>
        <v>0</v>
      </c>
      <c r="K98" s="178">
        <f t="shared" si="12"/>
        <v>58.547596846155287</v>
      </c>
      <c r="L98" s="202">
        <f>(G98*(uPostT))/(1+oDR)^'Markov Model_b'!cycle</f>
        <v>35.808117794937722</v>
      </c>
      <c r="M98" s="80"/>
      <c r="N98" s="3"/>
      <c r="O98" s="80"/>
      <c r="P98" s="173">
        <v>87</v>
      </c>
      <c r="Q98" s="165"/>
      <c r="R98" s="198">
        <v>2.739757163499057E-4</v>
      </c>
      <c r="S98" s="80"/>
      <c r="T98" s="248">
        <f t="shared" si="5"/>
        <v>55.158758112449313</v>
      </c>
      <c r="U98" s="176">
        <f>(T97*'Markov Model_b'!mr_2)+U97</f>
        <v>44.841241887550687</v>
      </c>
      <c r="V98" s="176">
        <f t="shared" si="4"/>
        <v>100</v>
      </c>
      <c r="W98" s="180">
        <f>(T98*0)/(1+cDR)^'Markov Model_b'!cycle2</f>
        <v>0</v>
      </c>
      <c r="X98" s="176">
        <f t="shared" si="10"/>
        <v>55.158758112449313</v>
      </c>
      <c r="Y98" s="202">
        <f>(T98*(uPostT))/(1+oDR)^'Markov Model_b'!cycle</f>
        <v>33.735480434885943</v>
      </c>
      <c r="Z98" s="80"/>
      <c r="AA98" s="3"/>
      <c r="AB98" s="3"/>
      <c r="AC98" s="3"/>
      <c r="AD98" s="3"/>
      <c r="AE98" s="3"/>
      <c r="AF98" s="3"/>
      <c r="AG98" s="3"/>
      <c r="AH98" s="3"/>
      <c r="AI98" s="14"/>
      <c r="AJ98" s="14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</row>
    <row r="99" spans="1:60" ht="14.25" customHeight="1" x14ac:dyDescent="0.2">
      <c r="A99" s="272"/>
      <c r="B99" s="80"/>
      <c r="C99" s="173">
        <v>88</v>
      </c>
      <c r="D99" s="165"/>
      <c r="E99" s="198">
        <v>2.628551005567914E-4</v>
      </c>
      <c r="F99" s="199"/>
      <c r="G99" s="404">
        <f t="shared" si="11"/>
        <v>58.532207311698933</v>
      </c>
      <c r="H99" s="176">
        <f t="shared" si="9"/>
        <v>41.467792688301067</v>
      </c>
      <c r="I99" s="176">
        <f t="shared" si="2"/>
        <v>100</v>
      </c>
      <c r="J99" s="153">
        <f>(G99*0)/(1+cDR)^'Markov Model_b'!cycle</f>
        <v>0</v>
      </c>
      <c r="K99" s="178">
        <f t="shared" si="12"/>
        <v>58.532207311698933</v>
      </c>
      <c r="L99" s="202">
        <f>(G99*(uPostT))/(1+oDR)^'Markov Model_b'!cycle</f>
        <v>35.709431868861834</v>
      </c>
      <c r="M99" s="80"/>
      <c r="N99" s="3"/>
      <c r="O99" s="80"/>
      <c r="P99" s="173">
        <v>88</v>
      </c>
      <c r="Q99" s="165"/>
      <c r="R99" s="198">
        <v>2.628551005567914E-4</v>
      </c>
      <c r="S99" s="80"/>
      <c r="T99" s="248">
        <f t="shared" si="5"/>
        <v>55.144259351539077</v>
      </c>
      <c r="U99" s="176">
        <f>(T98*'Markov Model_b'!mr_2)+U98</f>
        <v>44.855740648460923</v>
      </c>
      <c r="V99" s="176">
        <f t="shared" si="4"/>
        <v>100</v>
      </c>
      <c r="W99" s="180">
        <f>(T99*0)/(1+cDR)^'Markov Model_b'!cycle2</f>
        <v>0</v>
      </c>
      <c r="X99" s="176">
        <f t="shared" si="10"/>
        <v>55.144259351539077</v>
      </c>
      <c r="Y99" s="202">
        <f>(T99*(uPostT))/(1+oDR)^'Markov Model_b'!cycle</f>
        <v>33.642506625220847</v>
      </c>
      <c r="Z99" s="80"/>
      <c r="AA99" s="3"/>
      <c r="AB99" s="3"/>
      <c r="AC99" s="3"/>
      <c r="AD99" s="3"/>
      <c r="AE99" s="3"/>
      <c r="AF99" s="3"/>
      <c r="AG99" s="3"/>
      <c r="AH99" s="3"/>
      <c r="AI99" s="14"/>
      <c r="AJ99" s="14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</row>
    <row r="100" spans="1:60" ht="14.25" customHeight="1" x14ac:dyDescent="0.2">
      <c r="A100" s="272"/>
      <c r="B100" s="80"/>
      <c r="C100" s="173">
        <v>89</v>
      </c>
      <c r="D100" s="165"/>
      <c r="E100" s="198">
        <v>2.5219515795393832E-4</v>
      </c>
      <c r="F100" s="199"/>
      <c r="G100" s="404">
        <f t="shared" si="11"/>
        <v>58.51744577243057</v>
      </c>
      <c r="H100" s="176">
        <f t="shared" si="9"/>
        <v>41.48255422756943</v>
      </c>
      <c r="I100" s="176">
        <f t="shared" si="2"/>
        <v>100</v>
      </c>
      <c r="J100" s="153">
        <f>(G100*0)/(1+cDR)^'Markov Model_b'!cycle</f>
        <v>0</v>
      </c>
      <c r="K100" s="178">
        <f t="shared" si="12"/>
        <v>58.51744577243057</v>
      </c>
      <c r="L100" s="202">
        <f>(G100*(uPostT))/(1+oDR)^'Markov Model_b'!cycle</f>
        <v>35.611397628978771</v>
      </c>
      <c r="M100" s="80"/>
      <c r="N100" s="3"/>
      <c r="O100" s="80"/>
      <c r="P100" s="173">
        <v>89</v>
      </c>
      <c r="Q100" s="165"/>
      <c r="R100" s="198">
        <v>2.5219515795393832E-4</v>
      </c>
      <c r="S100" s="80"/>
      <c r="T100" s="248">
        <f t="shared" si="5"/>
        <v>55.130352236341665</v>
      </c>
      <c r="U100" s="176">
        <f>(T99*'Markov Model_b'!mr_2)+U99</f>
        <v>44.869647763658335</v>
      </c>
      <c r="V100" s="176">
        <f t="shared" si="4"/>
        <v>100</v>
      </c>
      <c r="W100" s="180">
        <f>(T100*0)/(1+cDR)^'Markov Model_b'!cycle2</f>
        <v>0</v>
      </c>
      <c r="X100" s="176">
        <f t="shared" si="10"/>
        <v>55.130352236341665</v>
      </c>
      <c r="Y100" s="202">
        <f>(T100*(uPostT))/(1+oDR)^'Markov Model_b'!cycle</f>
        <v>33.550146780996037</v>
      </c>
      <c r="Z100" s="80"/>
      <c r="AA100" s="3"/>
      <c r="AB100" s="3"/>
      <c r="AC100" s="3"/>
      <c r="AD100" s="3"/>
      <c r="AE100" s="3"/>
      <c r="AF100" s="3"/>
      <c r="AG100" s="3"/>
      <c r="AH100" s="3"/>
      <c r="AI100" s="14"/>
      <c r="AJ100" s="14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</row>
    <row r="101" spans="1:60" ht="14.25" customHeight="1" x14ac:dyDescent="0.2">
      <c r="A101" s="272"/>
      <c r="B101" s="80"/>
      <c r="C101" s="173">
        <v>90</v>
      </c>
      <c r="D101" s="165"/>
      <c r="E101" s="198">
        <v>2.4197608289922012E-4</v>
      </c>
      <c r="F101" s="199"/>
      <c r="G101" s="404">
        <f t="shared" si="11"/>
        <v>58.503285950121288</v>
      </c>
      <c r="H101" s="176">
        <f t="shared" si="9"/>
        <v>41.496714049878712</v>
      </c>
      <c r="I101" s="176">
        <f t="shared" si="2"/>
        <v>100</v>
      </c>
      <c r="J101" s="153">
        <f>(G101*0)/(1+cDR)^'Markov Model_b'!cycle</f>
        <v>0</v>
      </c>
      <c r="K101" s="178">
        <f t="shared" si="12"/>
        <v>58.503285950121288</v>
      </c>
      <c r="L101" s="202">
        <f>(G101*(uPostT))/(1+oDR)^'Markov Model_b'!cycle</f>
        <v>35.513995533639843</v>
      </c>
      <c r="M101" s="80"/>
      <c r="N101" s="3"/>
      <c r="O101" s="80"/>
      <c r="P101" s="173">
        <v>90</v>
      </c>
      <c r="Q101" s="165"/>
      <c r="R101" s="198">
        <v>2.4197608289922012E-4</v>
      </c>
      <c r="S101" s="80"/>
      <c r="T101" s="248">
        <f t="shared" si="5"/>
        <v>55.117012009658659</v>
      </c>
      <c r="U101" s="176">
        <f>(T100*'Markov Model_b'!mr_2)+U100</f>
        <v>44.882987990341341</v>
      </c>
      <c r="V101" s="176">
        <f t="shared" si="4"/>
        <v>100</v>
      </c>
      <c r="W101" s="180">
        <f>(T101*0)/(1+cDR)^'Markov Model_b'!cycle2</f>
        <v>0</v>
      </c>
      <c r="X101" s="176">
        <f t="shared" si="10"/>
        <v>55.117012009658659</v>
      </c>
      <c r="Y101" s="202">
        <f>(T101*(uPostT))/(1+oDR)^'Markov Model_b'!cycle</f>
        <v>33.458382491668111</v>
      </c>
      <c r="Z101" s="80"/>
      <c r="AA101" s="3"/>
      <c r="AB101" s="3"/>
      <c r="AC101" s="3"/>
      <c r="AD101" s="3"/>
      <c r="AE101" s="3"/>
      <c r="AF101" s="3"/>
      <c r="AG101" s="3"/>
      <c r="AH101" s="3"/>
      <c r="AI101" s="14"/>
      <c r="AJ101" s="14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</row>
    <row r="102" spans="1:60" ht="14.25" customHeight="1" x14ac:dyDescent="0.2">
      <c r="A102" s="272"/>
      <c r="B102" s="80"/>
      <c r="C102" s="173">
        <v>91</v>
      </c>
      <c r="D102" s="165"/>
      <c r="E102" s="198">
        <v>2.3217897681970801E-4</v>
      </c>
      <c r="F102" s="199"/>
      <c r="G102" s="404">
        <f t="shared" si="11"/>
        <v>58.4897027170488</v>
      </c>
      <c r="H102" s="176">
        <f t="shared" si="9"/>
        <v>41.5102972829512</v>
      </c>
      <c r="I102" s="176">
        <f t="shared" si="2"/>
        <v>100</v>
      </c>
      <c r="J102" s="153">
        <f>(G102*0)/(1+cDR)^'Markov Model_b'!cycle</f>
        <v>0</v>
      </c>
      <c r="K102" s="178">
        <f t="shared" si="12"/>
        <v>58.4897027170488</v>
      </c>
      <c r="L102" s="202">
        <f>(G102*(uPostT))/(1+oDR)^'Markov Model_b'!cycle</f>
        <v>35.417206913211039</v>
      </c>
      <c r="M102" s="80"/>
      <c r="N102" s="3"/>
      <c r="O102" s="80"/>
      <c r="P102" s="173">
        <v>91</v>
      </c>
      <c r="Q102" s="165"/>
      <c r="R102" s="198">
        <v>2.3217897681970801E-4</v>
      </c>
      <c r="S102" s="80"/>
      <c r="T102" s="248">
        <f t="shared" si="5"/>
        <v>55.104214998204895</v>
      </c>
      <c r="U102" s="176">
        <f>(T101*'Markov Model_b'!mr_2)+U101</f>
        <v>44.895785001795105</v>
      </c>
      <c r="V102" s="176">
        <f t="shared" si="4"/>
        <v>100</v>
      </c>
      <c r="W102" s="180">
        <f>(T102*0)/(1+cDR)^'Markov Model_b'!cycle2</f>
        <v>0</v>
      </c>
      <c r="X102" s="176">
        <f t="shared" si="10"/>
        <v>55.104214998204895</v>
      </c>
      <c r="Y102" s="202">
        <f>(T102*(uPostT))/(1+oDR)^'Markov Model_b'!cycle</f>
        <v>33.367196168234571</v>
      </c>
      <c r="Z102" s="80"/>
      <c r="AA102" s="3"/>
      <c r="AB102" s="3"/>
      <c r="AC102" s="3"/>
      <c r="AD102" s="3"/>
      <c r="AE102" s="3"/>
      <c r="AF102" s="3"/>
      <c r="AG102" s="3"/>
      <c r="AH102" s="3"/>
      <c r="AI102" s="14"/>
      <c r="AJ102" s="14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</row>
    <row r="103" spans="1:60" ht="14.25" customHeight="1" x14ac:dyDescent="0.2">
      <c r="A103" s="272"/>
      <c r="B103" s="80"/>
      <c r="C103" s="173">
        <v>92</v>
      </c>
      <c r="D103" s="165"/>
      <c r="E103" s="198">
        <v>2.2278580248574764E-4</v>
      </c>
      <c r="F103" s="199"/>
      <c r="G103" s="404">
        <f t="shared" si="11"/>
        <v>58.476672041691828</v>
      </c>
      <c r="H103" s="176">
        <f t="shared" si="9"/>
        <v>41.523327958308172</v>
      </c>
      <c r="I103" s="176">
        <f t="shared" si="2"/>
        <v>100</v>
      </c>
      <c r="J103" s="153">
        <f>(G103*0)/(1+cDR)^'Markov Model_b'!cycle</f>
        <v>0</v>
      </c>
      <c r="K103" s="178">
        <f t="shared" si="12"/>
        <v>58.476672041691828</v>
      </c>
      <c r="L103" s="202">
        <f>(G103*(uPostT))/(1+oDR)^'Markov Model_b'!cycle</f>
        <v>35.321013927528256</v>
      </c>
      <c r="M103" s="80"/>
      <c r="N103" s="3"/>
      <c r="O103" s="80"/>
      <c r="P103" s="173">
        <v>92</v>
      </c>
      <c r="Q103" s="165"/>
      <c r="R103" s="198">
        <v>2.2278580248574764E-4</v>
      </c>
      <c r="S103" s="80"/>
      <c r="T103" s="248">
        <f t="shared" si="5"/>
        <v>55.09193856144617</v>
      </c>
      <c r="U103" s="176">
        <f>(T102*'Markov Model_b'!mr_2)+U102</f>
        <v>44.90806143855383</v>
      </c>
      <c r="V103" s="176">
        <f t="shared" si="4"/>
        <v>100</v>
      </c>
      <c r="W103" s="180">
        <f>(T103*0)/(1+cDR)^'Markov Model_b'!cycle2</f>
        <v>0</v>
      </c>
      <c r="X103" s="176">
        <f t="shared" si="10"/>
        <v>55.09193856144617</v>
      </c>
      <c r="Y103" s="202">
        <f>(T103*(uPostT))/(1+oDR)^'Markov Model_b'!cycle</f>
        <v>33.276571003151652</v>
      </c>
      <c r="Z103" s="80"/>
      <c r="AA103" s="3"/>
      <c r="AB103" s="3"/>
      <c r="AC103" s="3"/>
      <c r="AD103" s="3"/>
      <c r="AE103" s="3"/>
      <c r="AF103" s="3"/>
      <c r="AG103" s="3"/>
      <c r="AH103" s="3"/>
      <c r="AI103" s="14"/>
      <c r="AJ103" s="14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</row>
    <row r="104" spans="1:60" ht="14.25" customHeight="1" x14ac:dyDescent="0.2">
      <c r="A104" s="272"/>
      <c r="B104" s="80"/>
      <c r="C104" s="173">
        <v>93</v>
      </c>
      <c r="D104" s="165"/>
      <c r="E104" s="198">
        <v>2.1377934089261696E-4</v>
      </c>
      <c r="F104" s="199"/>
      <c r="G104" s="404">
        <f t="shared" si="11"/>
        <v>58.464170937285161</v>
      </c>
      <c r="H104" s="176">
        <f t="shared" si="9"/>
        <v>41.535829062714839</v>
      </c>
      <c r="I104" s="176">
        <f t="shared" si="2"/>
        <v>100</v>
      </c>
      <c r="J104" s="153">
        <f>(G104*0)/(1+cDR)^'Markov Model_b'!cycle</f>
        <v>0</v>
      </c>
      <c r="K104" s="178">
        <f t="shared" si="12"/>
        <v>58.464170937285161</v>
      </c>
      <c r="L104" s="202">
        <f>(G104*(uPostT))/(1+oDR)^'Markov Model_b'!cycle</f>
        <v>35.225399525637066</v>
      </c>
      <c r="M104" s="80"/>
      <c r="N104" s="3"/>
      <c r="O104" s="80"/>
      <c r="P104" s="173">
        <v>93</v>
      </c>
      <c r="Q104" s="165"/>
      <c r="R104" s="198">
        <v>2.1377934089261696E-4</v>
      </c>
      <c r="S104" s="80"/>
      <c r="T104" s="248">
        <f t="shared" si="5"/>
        <v>55.080161043132009</v>
      </c>
      <c r="U104" s="176">
        <f>(T103*'Markov Model_b'!mr_2)+U103</f>
        <v>44.919838956867991</v>
      </c>
      <c r="V104" s="176">
        <f t="shared" si="4"/>
        <v>100</v>
      </c>
      <c r="W104" s="180">
        <f>(T104*0)/(1+cDR)^'Markov Model_b'!cycle2</f>
        <v>0</v>
      </c>
      <c r="X104" s="176">
        <f t="shared" si="10"/>
        <v>55.080161043132009</v>
      </c>
      <c r="Y104" s="202">
        <f>(T104*(uPostT))/(1+oDR)^'Markov Model_b'!cycle</f>
        <v>33.186490932404411</v>
      </c>
      <c r="Z104" s="80"/>
      <c r="AA104" s="3"/>
      <c r="AB104" s="3"/>
      <c r="AC104" s="3"/>
      <c r="AD104" s="3"/>
      <c r="AE104" s="3"/>
      <c r="AF104" s="3"/>
      <c r="AG104" s="3"/>
      <c r="AH104" s="3"/>
      <c r="AI104" s="14"/>
      <c r="AJ104" s="14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</row>
    <row r="105" spans="1:60" ht="14.25" customHeight="1" x14ac:dyDescent="0.2">
      <c r="A105" s="272"/>
      <c r="B105" s="80"/>
      <c r="C105" s="173">
        <v>94</v>
      </c>
      <c r="D105" s="165"/>
      <c r="E105" s="198">
        <v>2.0514315058139942E-4</v>
      </c>
      <c r="F105" s="199"/>
      <c r="G105" s="404">
        <f t="shared" si="11"/>
        <v>58.452177413062955</v>
      </c>
      <c r="H105" s="176">
        <f t="shared" si="9"/>
        <v>41.547822586937045</v>
      </c>
      <c r="I105" s="176">
        <f t="shared" si="2"/>
        <v>100</v>
      </c>
      <c r="J105" s="153">
        <f>(G105*0)/(1+cDR)^'Markov Model_b'!cycle</f>
        <v>0</v>
      </c>
      <c r="K105" s="178">
        <f t="shared" si="12"/>
        <v>58.452177413062955</v>
      </c>
      <c r="L105" s="202">
        <f>(G105*(uPostT))/(1+oDR)^'Markov Model_b'!cycle</f>
        <v>35.130347407678705</v>
      </c>
      <c r="M105" s="80"/>
      <c r="N105" s="3"/>
      <c r="O105" s="80"/>
      <c r="P105" s="173">
        <v>94</v>
      </c>
      <c r="Q105" s="165"/>
      <c r="R105" s="198">
        <v>2.0514315058139942E-4</v>
      </c>
      <c r="S105" s="80"/>
      <c r="T105" s="248">
        <f t="shared" si="5"/>
        <v>55.068861725361089</v>
      </c>
      <c r="U105" s="176">
        <f>(T104*'Markov Model_b'!mr_2)+U104</f>
        <v>44.931138274638911</v>
      </c>
      <c r="V105" s="176">
        <f t="shared" si="4"/>
        <v>100</v>
      </c>
      <c r="W105" s="180">
        <f>(T105*0)/(1+cDR)^'Markov Model_b'!cycle2</f>
        <v>0</v>
      </c>
      <c r="X105" s="176">
        <f t="shared" si="10"/>
        <v>55.068861725361089</v>
      </c>
      <c r="Y105" s="202">
        <f>(T105*(uPostT))/(1+oDR)^'Markov Model_b'!cycle</f>
        <v>33.09694059959881</v>
      </c>
      <c r="Z105" s="80"/>
      <c r="AA105" s="3"/>
      <c r="AB105" s="3"/>
      <c r="AC105" s="3"/>
      <c r="AD105" s="3"/>
      <c r="AE105" s="3"/>
      <c r="AF105" s="3"/>
      <c r="AG105" s="3"/>
      <c r="AH105" s="3"/>
      <c r="AI105" s="14"/>
      <c r="AJ105" s="14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</row>
    <row r="106" spans="1:60" ht="14.25" customHeight="1" x14ac:dyDescent="0.2">
      <c r="A106" s="272"/>
      <c r="B106" s="80"/>
      <c r="C106" s="173">
        <v>95</v>
      </c>
      <c r="D106" s="165"/>
      <c r="E106" s="198">
        <v>1.9686152924058842E-4</v>
      </c>
      <c r="F106" s="199"/>
      <c r="G106" s="404">
        <f t="shared" si="11"/>
        <v>58.440670428029975</v>
      </c>
      <c r="H106" s="176">
        <f t="shared" si="9"/>
        <v>41.559329571970025</v>
      </c>
      <c r="I106" s="176">
        <f t="shared" si="2"/>
        <v>100</v>
      </c>
      <c r="J106" s="153">
        <f>(G106*0)/(1+cDR)^'Markov Model_b'!cycle</f>
        <v>0</v>
      </c>
      <c r="K106" s="178">
        <f t="shared" si="12"/>
        <v>58.440670428029975</v>
      </c>
      <c r="L106" s="202">
        <f>(G106*(uPostT))/(1+oDR)^'Markov Model_b'!cycle</f>
        <v>35.035841988793294</v>
      </c>
      <c r="M106" s="80"/>
      <c r="N106" s="3"/>
      <c r="O106" s="80"/>
      <c r="P106" s="173">
        <v>95</v>
      </c>
      <c r="Q106" s="165"/>
      <c r="R106" s="198">
        <v>1.9686152924058842E-4</v>
      </c>
      <c r="S106" s="80"/>
      <c r="T106" s="248">
        <f t="shared" si="5"/>
        <v>55.058020785028297</v>
      </c>
      <c r="U106" s="176">
        <f>(T105*'Markov Model_b'!mr_2)+U105</f>
        <v>44.941979214971703</v>
      </c>
      <c r="V106" s="176">
        <f t="shared" si="4"/>
        <v>100</v>
      </c>
      <c r="W106" s="180">
        <f>(T106*0)/(1+cDR)^'Markov Model_b'!cycle2</f>
        <v>0</v>
      </c>
      <c r="X106" s="176">
        <f t="shared" si="10"/>
        <v>55.058020785028297</v>
      </c>
      <c r="Y106" s="202">
        <f>(T106*(uPostT))/(1+oDR)^'Markov Model_b'!cycle</f>
        <v>33.007905321954311</v>
      </c>
      <c r="Z106" s="80"/>
      <c r="AA106" s="3"/>
      <c r="AB106" s="3"/>
      <c r="AC106" s="3"/>
      <c r="AD106" s="3"/>
      <c r="AE106" s="3"/>
      <c r="AF106" s="3"/>
      <c r="AG106" s="3"/>
      <c r="AH106" s="3"/>
      <c r="AI106" s="14"/>
      <c r="AJ106" s="14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</row>
    <row r="107" spans="1:60" ht="14.25" customHeight="1" x14ac:dyDescent="0.2">
      <c r="A107" s="272"/>
      <c r="B107" s="80"/>
      <c r="C107" s="173">
        <v>96</v>
      </c>
      <c r="D107" s="165"/>
      <c r="E107" s="198">
        <v>1.8891947744348325E-4</v>
      </c>
      <c r="F107" s="199"/>
      <c r="G107" s="404">
        <f t="shared" si="11"/>
        <v>58.429629847111265</v>
      </c>
      <c r="H107" s="176">
        <f t="shared" si="9"/>
        <v>41.570370152888735</v>
      </c>
      <c r="I107" s="176">
        <f t="shared" si="2"/>
        <v>100</v>
      </c>
      <c r="J107" s="153">
        <f>(G107*0)/(1+cDR)^'Markov Model_b'!cycle</f>
        <v>0</v>
      </c>
      <c r="K107" s="178">
        <f t="shared" si="12"/>
        <v>58.429629847111265</v>
      </c>
      <c r="L107" s="202">
        <f>(G107*(uPostT))/(1+oDR)^'Markov Model_b'!cycle</f>
        <v>34.941868364920673</v>
      </c>
      <c r="M107" s="80"/>
      <c r="N107" s="3"/>
      <c r="O107" s="80"/>
      <c r="P107" s="173">
        <v>96</v>
      </c>
      <c r="Q107" s="165"/>
      <c r="R107" s="198">
        <v>1.8891947744348325E-4</v>
      </c>
      <c r="S107" s="80"/>
      <c r="T107" s="248">
        <f t="shared" si="5"/>
        <v>55.047619252512519</v>
      </c>
      <c r="U107" s="176">
        <f>(T106*'Markov Model_b'!mr_2)+U106</f>
        <v>44.952380747487481</v>
      </c>
      <c r="V107" s="176">
        <f t="shared" si="4"/>
        <v>100</v>
      </c>
      <c r="W107" s="180">
        <f>(T107*0)/(1+cDR)^'Markov Model_b'!cycle2</f>
        <v>0</v>
      </c>
      <c r="X107" s="176">
        <f t="shared" si="10"/>
        <v>55.047619252512519</v>
      </c>
      <c r="Y107" s="202">
        <f>(T107*(uPostT))/(1+oDR)^'Markov Model_b'!cycle</f>
        <v>32.919371058084167</v>
      </c>
      <c r="Z107" s="80"/>
      <c r="AA107" s="3"/>
      <c r="AB107" s="3"/>
      <c r="AC107" s="3"/>
      <c r="AD107" s="3"/>
      <c r="AE107" s="3"/>
      <c r="AF107" s="3"/>
      <c r="AG107" s="3"/>
      <c r="AH107" s="3"/>
      <c r="AI107" s="14"/>
      <c r="AJ107" s="14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</row>
    <row r="108" spans="1:60" ht="14.25" customHeight="1" x14ac:dyDescent="0.25">
      <c r="A108" s="3" t="s">
        <v>526</v>
      </c>
      <c r="B108" s="80"/>
      <c r="C108" s="465">
        <v>97</v>
      </c>
      <c r="D108" s="466"/>
      <c r="E108" s="467">
        <v>1.813026643866511E-4</v>
      </c>
      <c r="F108" s="468"/>
      <c r="G108" s="469">
        <f t="shared" si="11"/>
        <v>58.419036399540857</v>
      </c>
      <c r="H108" s="470">
        <f t="shared" si="9"/>
        <v>41.580963600459143</v>
      </c>
      <c r="I108" s="470">
        <f t="shared" si="2"/>
        <v>100</v>
      </c>
      <c r="J108" s="472">
        <f>(G108*0)/(1+cDR)^'Markov Model_b'!cycle</f>
        <v>0</v>
      </c>
      <c r="K108" s="471">
        <f t="shared" si="12"/>
        <v>58.419036399540857</v>
      </c>
      <c r="L108" s="473">
        <f>(G108*(uPostT))/(1+oDR)^'Markov Model_b'!cycle</f>
        <v>34.848412280386498</v>
      </c>
      <c r="M108" s="464"/>
      <c r="N108" s="464"/>
      <c r="O108" s="464"/>
      <c r="P108" s="465">
        <v>97</v>
      </c>
      <c r="Q108" s="466"/>
      <c r="R108" s="467">
        <v>1.813026643866511E-4</v>
      </c>
      <c r="S108" s="464"/>
      <c r="T108" s="480">
        <f t="shared" si="5"/>
        <v>55.037638972473893</v>
      </c>
      <c r="U108" s="470">
        <f>(T107*'Markov Model_b'!mr_2)+U107</f>
        <v>44.962361027526107</v>
      </c>
      <c r="V108" s="470">
        <f t="shared" si="4"/>
        <v>100</v>
      </c>
      <c r="W108" s="475">
        <f>(T108*0)/(1+cDR)^'Markov Model_b'!cycle2</f>
        <v>0</v>
      </c>
      <c r="X108" s="470">
        <f t="shared" si="10"/>
        <v>55.037638972473893</v>
      </c>
      <c r="Y108" s="473">
        <f>(T108*(uPostT))/(1+oDR)^'Markov Model_b'!cycle</f>
        <v>32.831324377457754</v>
      </c>
      <c r="Z108" s="80"/>
      <c r="AA108" s="3"/>
      <c r="AB108" s="3"/>
      <c r="AC108" s="3"/>
      <c r="AD108" s="3"/>
      <c r="AE108" s="3"/>
      <c r="AF108" s="3"/>
      <c r="AG108" s="3"/>
      <c r="AH108" s="3"/>
      <c r="AI108" s="14"/>
      <c r="AJ108" s="14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</row>
    <row r="109" spans="1:60" ht="14.25" customHeight="1" x14ac:dyDescent="0.2">
      <c r="A109" s="3"/>
      <c r="B109" s="80"/>
      <c r="C109" s="173">
        <v>98</v>
      </c>
      <c r="D109" s="165"/>
      <c r="E109" s="198">
        <v>1.7399739550150173E-4</v>
      </c>
      <c r="F109" s="199"/>
      <c r="G109" s="404">
        <f t="shared" si="11"/>
        <v>58.408871639359631</v>
      </c>
      <c r="H109" s="176">
        <f t="shared" si="9"/>
        <v>41.591128360640369</v>
      </c>
      <c r="I109" s="176">
        <f t="shared" si="2"/>
        <v>100</v>
      </c>
      <c r="J109" s="153">
        <f>(G109*0)/(1+cDR)^'Markov Model_b'!cycle</f>
        <v>0</v>
      </c>
      <c r="K109" s="178">
        <f t="shared" si="12"/>
        <v>58.408871639359631</v>
      </c>
      <c r="L109" s="202">
        <f>(G109*(uPostT))/(1+oDR)^'Markov Model_b'!cycle</f>
        <v>34.755460097169433</v>
      </c>
      <c r="M109" s="80"/>
      <c r="N109" s="3"/>
      <c r="O109" s="80"/>
      <c r="P109" s="173">
        <v>98</v>
      </c>
      <c r="Q109" s="165"/>
      <c r="R109" s="198">
        <v>1.7399739550150173E-4</v>
      </c>
      <c r="S109" s="80"/>
      <c r="T109" s="248">
        <f t="shared" si="5"/>
        <v>55.028062566638127</v>
      </c>
      <c r="U109" s="176">
        <f>(T108*'Markov Model_b'!mr_2)+U108</f>
        <v>44.971937433361873</v>
      </c>
      <c r="V109" s="176">
        <f t="shared" si="4"/>
        <v>100</v>
      </c>
      <c r="W109" s="180">
        <f>(T109*0)/(1+cDR)^'Markov Model_b'!cycle2</f>
        <v>0</v>
      </c>
      <c r="X109" s="176">
        <f t="shared" si="10"/>
        <v>55.028062566638127</v>
      </c>
      <c r="Y109" s="202">
        <f>(T109*(uPostT))/(1+oDR)^'Markov Model_b'!cycle</f>
        <v>32.743752431446609</v>
      </c>
      <c r="Z109" s="80"/>
      <c r="AA109" s="3"/>
      <c r="AB109" s="3"/>
      <c r="AC109" s="3"/>
      <c r="AD109" s="3"/>
      <c r="AE109" s="3"/>
      <c r="AF109" s="3"/>
      <c r="AG109" s="3"/>
      <c r="AH109" s="3"/>
      <c r="AI109" s="14"/>
      <c r="AJ109" s="14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</row>
    <row r="110" spans="1:60" ht="14.25" customHeight="1" x14ac:dyDescent="0.2">
      <c r="A110" s="272"/>
      <c r="B110" s="80"/>
      <c r="C110" s="173">
        <v>99</v>
      </c>
      <c r="D110" s="165"/>
      <c r="E110" s="198">
        <v>1.6699058182578774E-4</v>
      </c>
      <c r="F110" s="199"/>
      <c r="G110" s="404">
        <f t="shared" si="11"/>
        <v>58.399117907900788</v>
      </c>
      <c r="H110" s="176">
        <f t="shared" si="9"/>
        <v>41.600882092099212</v>
      </c>
      <c r="I110" s="176">
        <f t="shared" si="2"/>
        <v>100</v>
      </c>
      <c r="J110" s="153">
        <f>(G110*0)/(1+cDR)^'Markov Model_b'!cycle</f>
        <v>0</v>
      </c>
      <c r="K110" s="178">
        <f t="shared" si="12"/>
        <v>58.399117907900788</v>
      </c>
      <c r="L110" s="202">
        <f>(G110*(uPostT))/(1+oDR)^'Markov Model_b'!cycle</f>
        <v>34.662998765751809</v>
      </c>
      <c r="M110" s="80"/>
      <c r="N110" s="3"/>
      <c r="O110" s="80"/>
      <c r="P110" s="173">
        <v>99</v>
      </c>
      <c r="Q110" s="165"/>
      <c r="R110" s="198">
        <v>1.6699058182578774E-4</v>
      </c>
      <c r="S110" s="80"/>
      <c r="T110" s="248">
        <f t="shared" si="5"/>
        <v>55.01887339845338</v>
      </c>
      <c r="U110" s="176">
        <f>(T109*'Markov Model_b'!mr_2)+U109</f>
        <v>44.98112660154662</v>
      </c>
      <c r="V110" s="176">
        <f t="shared" si="4"/>
        <v>100</v>
      </c>
      <c r="W110" s="180">
        <f>(T110*0)/(1+cDR)^'Markov Model_b'!cycle2</f>
        <v>0</v>
      </c>
      <c r="X110" s="176">
        <f t="shared" si="10"/>
        <v>55.01887339845338</v>
      </c>
      <c r="Y110" s="202">
        <f>(T110*(uPostT))/(1+oDR)^'Markov Model_b'!cycle</f>
        <v>32.656642925862265</v>
      </c>
      <c r="Z110" s="80"/>
      <c r="AA110" s="3"/>
      <c r="AB110" s="3"/>
      <c r="AC110" s="3"/>
      <c r="AD110" s="3"/>
      <c r="AE110" s="3"/>
      <c r="AF110" s="3"/>
      <c r="AG110" s="3"/>
      <c r="AH110" s="3"/>
      <c r="AI110" s="14"/>
      <c r="AJ110" s="14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</row>
    <row r="111" spans="1:60" ht="14.25" customHeight="1" x14ac:dyDescent="0.2">
      <c r="A111" s="272"/>
      <c r="B111" s="80"/>
      <c r="C111" s="173">
        <v>100</v>
      </c>
      <c r="D111" s="165"/>
      <c r="E111" s="198">
        <v>1.6026971102239829E-4</v>
      </c>
      <c r="F111" s="199"/>
      <c r="G111" s="404">
        <f t="shared" si="11"/>
        <v>58.389758298149722</v>
      </c>
      <c r="H111" s="176">
        <f t="shared" si="9"/>
        <v>41.610241701850278</v>
      </c>
      <c r="I111" s="176">
        <f t="shared" si="2"/>
        <v>100</v>
      </c>
      <c r="J111" s="153">
        <f>(G111*0)/(1+cDR)^'Markov Model_b'!cycle</f>
        <v>0</v>
      </c>
      <c r="K111" s="178">
        <f t="shared" si="12"/>
        <v>58.389758298149722</v>
      </c>
      <c r="L111" s="202">
        <f>(G111*(uPostT))/(1+oDR)^'Markov Model_b'!cycle</f>
        <v>34.571015797462785</v>
      </c>
      <c r="M111" s="80"/>
      <c r="N111" s="3"/>
      <c r="O111" s="80"/>
      <c r="P111" s="173">
        <v>100</v>
      </c>
      <c r="Q111" s="165"/>
      <c r="R111" s="198">
        <v>1.6026971102239829E-4</v>
      </c>
      <c r="S111" s="80"/>
      <c r="T111" s="248">
        <f t="shared" si="5"/>
        <v>55.010055539513033</v>
      </c>
      <c r="U111" s="176">
        <f>(T110*'Markov Model_b'!mr_2)+U110</f>
        <v>44.989944460486967</v>
      </c>
      <c r="V111" s="176">
        <f t="shared" si="4"/>
        <v>100</v>
      </c>
      <c r="W111" s="180">
        <f>(T111*0)/(1+cDR)^'Markov Model_b'!cycle2</f>
        <v>0</v>
      </c>
      <c r="X111" s="176">
        <f t="shared" si="10"/>
        <v>55.010055539513033</v>
      </c>
      <c r="Y111" s="202">
        <f>(T111*(uPostT))/(1+oDR)^'Markov Model_b'!cycle</f>
        <v>32.569984094900313</v>
      </c>
      <c r="Z111" s="80"/>
      <c r="AA111" s="3"/>
      <c r="AB111" s="3"/>
      <c r="AC111" s="3"/>
      <c r="AD111" s="3"/>
      <c r="AE111" s="3"/>
      <c r="AF111" s="3"/>
      <c r="AG111" s="3"/>
      <c r="AH111" s="3"/>
      <c r="AI111" s="14"/>
      <c r="AJ111" s="14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</row>
    <row r="112" spans="1:60" ht="14.25" customHeight="1" x14ac:dyDescent="0.2">
      <c r="A112" s="272"/>
      <c r="B112" s="80"/>
      <c r="C112" s="173">
        <v>101</v>
      </c>
      <c r="D112" s="165"/>
      <c r="E112" s="198">
        <v>1.5382281994869018E-4</v>
      </c>
      <c r="F112" s="199"/>
      <c r="G112" s="404">
        <f t="shared" si="11"/>
        <v>58.380776620872176</v>
      </c>
      <c r="H112" s="176">
        <f t="shared" si="9"/>
        <v>41.619223379127824</v>
      </c>
      <c r="I112" s="176">
        <f t="shared" si="2"/>
        <v>100</v>
      </c>
      <c r="J112" s="153">
        <f>(G112*0)/(1+cDR)^'Markov Model_b'!cycle</f>
        <v>0</v>
      </c>
      <c r="K112" s="178">
        <f t="shared" si="12"/>
        <v>58.380776620872176</v>
      </c>
      <c r="L112" s="202">
        <f>(G112*(uPostT))/(1+oDR)^'Markov Model_b'!cycle</f>
        <v>34.479499238228755</v>
      </c>
      <c r="M112" s="80"/>
      <c r="N112" s="3"/>
      <c r="O112" s="80"/>
      <c r="P112" s="173">
        <v>101</v>
      </c>
      <c r="Q112" s="165"/>
      <c r="R112" s="198">
        <v>1.5382281994869018E-4</v>
      </c>
      <c r="S112" s="80"/>
      <c r="T112" s="248">
        <f t="shared" si="5"/>
        <v>55.001593737644413</v>
      </c>
      <c r="U112" s="176">
        <f>(T111*'Markov Model_b'!mr_2)+U111</f>
        <v>44.998406262355587</v>
      </c>
      <c r="V112" s="176">
        <f t="shared" si="4"/>
        <v>100</v>
      </c>
      <c r="W112" s="180">
        <f>(T112*0)/(1+cDR)^'Markov Model_b'!cycle2</f>
        <v>0</v>
      </c>
      <c r="X112" s="176">
        <f t="shared" si="10"/>
        <v>55.001593737644413</v>
      </c>
      <c r="Y112" s="202">
        <f>(T112*(uPostT))/(1+oDR)^'Markov Model_b'!cycle</f>
        <v>32.483764676410132</v>
      </c>
      <c r="Z112" s="80"/>
      <c r="AA112" s="3"/>
      <c r="AB112" s="3"/>
      <c r="AC112" s="3"/>
      <c r="AD112" s="3"/>
      <c r="AE112" s="3"/>
      <c r="AF112" s="3"/>
      <c r="AG112" s="3"/>
      <c r="AH112" s="3"/>
      <c r="AI112" s="14"/>
      <c r="AJ112" s="14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</row>
    <row r="113" spans="1:60" ht="14.25" customHeight="1" x14ac:dyDescent="0.2">
      <c r="A113" s="272"/>
      <c r="B113" s="80"/>
      <c r="C113" s="173">
        <v>102</v>
      </c>
      <c r="D113" s="165"/>
      <c r="E113" s="198">
        <v>1.4763846867804631E-4</v>
      </c>
      <c r="F113" s="199"/>
      <c r="G113" s="404">
        <f t="shared" si="11"/>
        <v>58.372157372411635</v>
      </c>
      <c r="H113" s="176">
        <f t="shared" si="9"/>
        <v>41.627842627588365</v>
      </c>
      <c r="I113" s="176">
        <f t="shared" si="2"/>
        <v>100</v>
      </c>
      <c r="J113" s="153">
        <f>(G113*0)/(1+cDR)^'Markov Model_b'!cycle</f>
        <v>0</v>
      </c>
      <c r="K113" s="178">
        <f t="shared" si="12"/>
        <v>58.372157372411635</v>
      </c>
      <c r="L113" s="202">
        <f>(G113*(uPostT))/(1+oDR)^'Markov Model_b'!cycle</f>
        <v>34.388437643651329</v>
      </c>
      <c r="M113" s="80"/>
      <c r="N113" s="3"/>
      <c r="O113" s="80"/>
      <c r="P113" s="173">
        <v>102</v>
      </c>
      <c r="Q113" s="165"/>
      <c r="R113" s="198">
        <v>1.4763846867804631E-4</v>
      </c>
      <c r="S113" s="80"/>
      <c r="T113" s="248">
        <f t="shared" si="5"/>
        <v>54.993473386570138</v>
      </c>
      <c r="U113" s="176">
        <f>(T112*'Markov Model_b'!mr_2)+U112</f>
        <v>45.006526613429862</v>
      </c>
      <c r="V113" s="176">
        <f t="shared" si="4"/>
        <v>100</v>
      </c>
      <c r="W113" s="180">
        <f>(T113*0)/(1+cDR)^'Markov Model_b'!cycle2</f>
        <v>0</v>
      </c>
      <c r="X113" s="176">
        <f t="shared" si="10"/>
        <v>54.993473386570138</v>
      </c>
      <c r="Y113" s="202">
        <f>(T113*(uPostT))/(1+oDR)^'Markov Model_b'!cycle</f>
        <v>32.397973888415386</v>
      </c>
      <c r="Z113" s="80"/>
      <c r="AA113" s="3"/>
      <c r="AB113" s="3"/>
      <c r="AC113" s="3"/>
      <c r="AD113" s="3"/>
      <c r="AE113" s="3"/>
      <c r="AF113" s="3"/>
      <c r="AG113" s="3"/>
      <c r="AH113" s="3"/>
      <c r="AI113" s="14"/>
      <c r="AJ113" s="14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</row>
    <row r="114" spans="1:60" ht="14.25" customHeight="1" x14ac:dyDescent="0.2">
      <c r="A114" s="272"/>
      <c r="B114" s="80"/>
      <c r="C114" s="173">
        <v>103</v>
      </c>
      <c r="D114" s="165"/>
      <c r="E114" s="198">
        <v>1.4170571589045E-4</v>
      </c>
      <c r="F114" s="199"/>
      <c r="G114" s="404">
        <f t="shared" si="11"/>
        <v>58.363885704063108</v>
      </c>
      <c r="H114" s="176">
        <f t="shared" si="9"/>
        <v>41.636114295936892</v>
      </c>
      <c r="I114" s="176">
        <f t="shared" si="2"/>
        <v>100</v>
      </c>
      <c r="J114" s="153">
        <f>(G114*0)/(1+cDR)^'Markov Model_b'!cycle</f>
        <v>0</v>
      </c>
      <c r="K114" s="178">
        <f t="shared" si="12"/>
        <v>58.363885704063108</v>
      </c>
      <c r="L114" s="202">
        <f>(G114*(uPostT))/(1+oDR)^'Markov Model_b'!cycle</f>
        <v>34.297820055338327</v>
      </c>
      <c r="M114" s="80"/>
      <c r="N114" s="3"/>
      <c r="O114" s="80"/>
      <c r="P114" s="173">
        <v>103</v>
      </c>
      <c r="Q114" s="165"/>
      <c r="R114" s="198">
        <v>1.4170571589045E-4</v>
      </c>
      <c r="S114" s="80"/>
      <c r="T114" s="248">
        <f t="shared" si="5"/>
        <v>54.985680497054588</v>
      </c>
      <c r="U114" s="176">
        <f>(T113*'Markov Model_b'!mr_2)+U113</f>
        <v>45.014319502945412</v>
      </c>
      <c r="V114" s="176">
        <f t="shared" si="4"/>
        <v>100</v>
      </c>
      <c r="W114" s="180">
        <f>(T114*0)/(1+cDR)^'Markov Model_b'!cycle2</f>
        <v>0</v>
      </c>
      <c r="X114" s="176">
        <f t="shared" si="10"/>
        <v>54.985680497054588</v>
      </c>
      <c r="Y114" s="202">
        <f>(T114*(uPostT))/(1+oDR)^'Markov Model_b'!cycle</f>
        <v>32.312601406815084</v>
      </c>
      <c r="Z114" s="80"/>
      <c r="AA114" s="3"/>
      <c r="AB114" s="3"/>
      <c r="AC114" s="3"/>
      <c r="AD114" s="3"/>
      <c r="AE114" s="3"/>
      <c r="AF114" s="3"/>
      <c r="AG114" s="3"/>
      <c r="AH114" s="3"/>
      <c r="AI114" s="14"/>
      <c r="AJ114" s="14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</row>
    <row r="115" spans="1:60" ht="14.25" customHeight="1" x14ac:dyDescent="0.2">
      <c r="A115" s="272"/>
      <c r="B115" s="80"/>
      <c r="C115" s="173">
        <v>104</v>
      </c>
      <c r="D115" s="165"/>
      <c r="E115" s="198">
        <v>1.3601409554558908E-4</v>
      </c>
      <c r="F115" s="199"/>
      <c r="G115" s="404">
        <f t="shared" si="11"/>
        <v>58.355947392936542</v>
      </c>
      <c r="H115" s="176">
        <f t="shared" si="9"/>
        <v>41.644052607063458</v>
      </c>
      <c r="I115" s="176">
        <f t="shared" si="2"/>
        <v>100</v>
      </c>
      <c r="J115" s="153">
        <f>(G115*0)/(1+cDR)^'Markov Model_b'!cycle</f>
        <v>0</v>
      </c>
      <c r="K115" s="178">
        <f t="shared" si="12"/>
        <v>58.355947392936542</v>
      </c>
      <c r="L115" s="202">
        <f>(G115*(uPostT))/(1+oDR)^'Markov Model_b'!cycle</f>
        <v>34.20763597841826</v>
      </c>
      <c r="M115" s="80"/>
      <c r="N115" s="3"/>
      <c r="O115" s="80"/>
      <c r="P115" s="173">
        <v>104</v>
      </c>
      <c r="Q115" s="165"/>
      <c r="R115" s="198">
        <v>1.3601409554558908E-4</v>
      </c>
      <c r="S115" s="80"/>
      <c r="T115" s="248">
        <f t="shared" si="5"/>
        <v>54.978201669453824</v>
      </c>
      <c r="U115" s="176">
        <f>(T114*'Markov Model_b'!mr_2)+U114</f>
        <v>45.021798330546176</v>
      </c>
      <c r="V115" s="176">
        <f t="shared" si="4"/>
        <v>100</v>
      </c>
      <c r="W115" s="180">
        <f>(T115*0)/(1+cDR)^'Markov Model_b'!cycle2</f>
        <v>0</v>
      </c>
      <c r="X115" s="176">
        <f t="shared" si="10"/>
        <v>54.978201669453824</v>
      </c>
      <c r="Y115" s="202">
        <f>(T115*(uPostT))/(1+oDR)^'Markov Model_b'!cycle</f>
        <v>32.227637344199508</v>
      </c>
      <c r="Z115" s="80"/>
      <c r="AA115" s="3"/>
      <c r="AB115" s="3"/>
      <c r="AC115" s="3"/>
      <c r="AD115" s="3"/>
      <c r="AE115" s="3"/>
      <c r="AF115" s="3"/>
      <c r="AG115" s="3"/>
      <c r="AH115" s="3"/>
      <c r="AI115" s="14"/>
      <c r="AJ115" s="14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</row>
    <row r="116" spans="1:60" ht="14.25" customHeight="1" x14ac:dyDescent="0.2">
      <c r="A116" s="272"/>
      <c r="B116" s="80"/>
      <c r="C116" s="173">
        <v>105</v>
      </c>
      <c r="D116" s="165"/>
      <c r="E116" s="198">
        <v>1.3055359476821238E-4</v>
      </c>
      <c r="F116" s="199"/>
      <c r="G116" s="404">
        <f t="shared" si="11"/>
        <v>58.348328814228289</v>
      </c>
      <c r="H116" s="176">
        <f t="shared" si="9"/>
        <v>41.651671185771711</v>
      </c>
      <c r="I116" s="176">
        <f t="shared" si="2"/>
        <v>100</v>
      </c>
      <c r="J116" s="153">
        <f>(G116*0)/(1+cDR)^'Markov Model_b'!cycle</f>
        <v>0</v>
      </c>
      <c r="K116" s="178">
        <f t="shared" si="12"/>
        <v>58.348328814228289</v>
      </c>
      <c r="L116" s="202">
        <f>(G116*(uPostT))/(1+oDR)^'Markov Model_b'!cycle</f>
        <v>34.117875360172334</v>
      </c>
      <c r="M116" s="80"/>
      <c r="N116" s="3"/>
      <c r="O116" s="80"/>
      <c r="P116" s="173">
        <v>105</v>
      </c>
      <c r="Q116" s="165"/>
      <c r="R116" s="198">
        <v>1.3055359476821238E-4</v>
      </c>
      <c r="S116" s="80"/>
      <c r="T116" s="248">
        <f t="shared" si="5"/>
        <v>54.971024067591983</v>
      </c>
      <c r="U116" s="176">
        <f>(T115*'Markov Model_b'!mr_2)+U115</f>
        <v>45.028975932408017</v>
      </c>
      <c r="V116" s="176">
        <f t="shared" si="4"/>
        <v>100</v>
      </c>
      <c r="W116" s="180">
        <f>(T116*0)/(1+cDR)^'Markov Model_b'!cycle2</f>
        <v>0</v>
      </c>
      <c r="X116" s="176">
        <f t="shared" si="10"/>
        <v>54.971024067591983</v>
      </c>
      <c r="Y116" s="202">
        <f>(T116*(uPostT))/(1+oDR)^'Markov Model_b'!cycle</f>
        <v>32.143072229719046</v>
      </c>
      <c r="Z116" s="80"/>
      <c r="AA116" s="3"/>
      <c r="AB116" s="3"/>
      <c r="AC116" s="3"/>
      <c r="AD116" s="3"/>
      <c r="AE116" s="3"/>
      <c r="AF116" s="3"/>
      <c r="AG116" s="3"/>
      <c r="AH116" s="3"/>
      <c r="AI116" s="14"/>
      <c r="AJ116" s="14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</row>
    <row r="117" spans="1:60" ht="14.25" customHeight="1" x14ac:dyDescent="0.2">
      <c r="A117" s="272"/>
      <c r="B117" s="80"/>
      <c r="C117" s="173">
        <v>106</v>
      </c>
      <c r="D117" s="165"/>
      <c r="E117" s="198">
        <v>1.2531463286857836E-4</v>
      </c>
      <c r="F117" s="199"/>
      <c r="G117" s="404">
        <f t="shared" si="11"/>
        <v>58.341016914824436</v>
      </c>
      <c r="H117" s="176">
        <f t="shared" si="9"/>
        <v>41.658983085175564</v>
      </c>
      <c r="I117" s="176">
        <f t="shared" si="2"/>
        <v>100</v>
      </c>
      <c r="J117" s="153">
        <f>(G117*0)/(1+cDR)^'Markov Model_b'!cycle</f>
        <v>0</v>
      </c>
      <c r="K117" s="178">
        <f t="shared" si="12"/>
        <v>58.341016914824436</v>
      </c>
      <c r="L117" s="202">
        <f>(G117*(uPostT))/(1+oDR)^'Markov Model_b'!cycle</f>
        <v>34.028528569723015</v>
      </c>
      <c r="M117" s="80"/>
      <c r="N117" s="3"/>
      <c r="O117" s="80"/>
      <c r="P117" s="173">
        <v>106</v>
      </c>
      <c r="Q117" s="165"/>
      <c r="R117" s="198">
        <v>1.2531463286857836E-4</v>
      </c>
      <c r="S117" s="80"/>
      <c r="T117" s="248">
        <f t="shared" si="5"/>
        <v>54.964135393892541</v>
      </c>
      <c r="U117" s="176">
        <f>(T116*'Markov Model_b'!mr_2)+U116</f>
        <v>45.035864606107459</v>
      </c>
      <c r="V117" s="176">
        <f t="shared" si="4"/>
        <v>100</v>
      </c>
      <c r="W117" s="180">
        <f>(T117*0)/(1+cDR)^'Markov Model_b'!cycle2</f>
        <v>0</v>
      </c>
      <c r="X117" s="176">
        <f t="shared" si="10"/>
        <v>54.964135393892541</v>
      </c>
      <c r="Y117" s="202">
        <f>(T117*(uPostT))/(1+oDR)^'Markov Model_b'!cycle</f>
        <v>32.058896989948444</v>
      </c>
      <c r="Z117" s="80"/>
      <c r="AA117" s="3"/>
      <c r="AB117" s="3"/>
      <c r="AC117" s="3"/>
      <c r="AD117" s="3"/>
      <c r="AE117" s="3"/>
      <c r="AF117" s="3"/>
      <c r="AG117" s="3"/>
      <c r="AH117" s="3"/>
      <c r="AI117" s="14"/>
      <c r="AJ117" s="14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</row>
    <row r="118" spans="1:60" ht="14.25" customHeight="1" x14ac:dyDescent="0.2">
      <c r="A118" s="272"/>
      <c r="B118" s="80"/>
      <c r="C118" s="173">
        <v>107</v>
      </c>
      <c r="D118" s="165"/>
      <c r="E118" s="198">
        <v>1.2028804143726646E-4</v>
      </c>
      <c r="F118" s="199"/>
      <c r="G118" s="404">
        <f t="shared" si="11"/>
        <v>58.333999188164292</v>
      </c>
      <c r="H118" s="176">
        <f t="shared" si="9"/>
        <v>41.666000811835708</v>
      </c>
      <c r="I118" s="176">
        <f t="shared" si="2"/>
        <v>100</v>
      </c>
      <c r="J118" s="153">
        <f>(G118*0)/(1+cDR)^'Markov Model_b'!cycle</f>
        <v>0</v>
      </c>
      <c r="K118" s="178">
        <f t="shared" si="12"/>
        <v>58.333999188164292</v>
      </c>
      <c r="L118" s="202">
        <f>(G118*(uPostT))/(1+oDR)^'Markov Model_b'!cycle</f>
        <v>33.939586378721565</v>
      </c>
      <c r="M118" s="80"/>
      <c r="N118" s="3"/>
      <c r="O118" s="80"/>
      <c r="P118" s="173">
        <v>107</v>
      </c>
      <c r="Q118" s="165"/>
      <c r="R118" s="198">
        <v>1.2028804143726646E-4</v>
      </c>
      <c r="S118" s="80"/>
      <c r="T118" s="248">
        <f t="shared" si="5"/>
        <v>54.957523865696714</v>
      </c>
      <c r="U118" s="176">
        <f>(T117*'Markov Model_b'!mr_2)+U117</f>
        <v>45.042476134303286</v>
      </c>
      <c r="V118" s="176">
        <f t="shared" si="4"/>
        <v>100</v>
      </c>
      <c r="W118" s="180">
        <f>(T118*0)/(1+cDR)^'Markov Model_b'!cycle2</f>
        <v>0</v>
      </c>
      <c r="X118" s="176">
        <f t="shared" si="10"/>
        <v>54.957523865696714</v>
      </c>
      <c r="Y118" s="202">
        <f>(T118*(uPostT))/(1+oDR)^'Markov Model_b'!cycle</f>
        <v>31.975102930692152</v>
      </c>
      <c r="Z118" s="80"/>
      <c r="AA118" s="3"/>
      <c r="AB118" s="3"/>
      <c r="AC118" s="3"/>
      <c r="AD118" s="3"/>
      <c r="AE118" s="3"/>
      <c r="AF118" s="3"/>
      <c r="AG118" s="3"/>
      <c r="AH118" s="3"/>
      <c r="AI118" s="14"/>
      <c r="AJ118" s="14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</row>
    <row r="119" spans="1:60" ht="14.25" customHeight="1" x14ac:dyDescent="0.2">
      <c r="A119" s="272"/>
      <c r="B119" s="417"/>
      <c r="C119" s="418">
        <v>108</v>
      </c>
      <c r="D119" s="419"/>
      <c r="E119" s="420">
        <v>1.1546504544779346E-4</v>
      </c>
      <c r="F119" s="424"/>
      <c r="G119" s="425">
        <f t="shared" si="11"/>
        <v>58.327263650296878</v>
      </c>
      <c r="H119" s="421">
        <f t="shared" si="9"/>
        <v>41.672736349703122</v>
      </c>
      <c r="I119" s="421">
        <f t="shared" si="2"/>
        <v>100</v>
      </c>
      <c r="J119" s="422">
        <f>(G119*0)/(1+cDR)^'Markov Model_b'!cycle</f>
        <v>0</v>
      </c>
      <c r="K119" s="421">
        <f t="shared" si="12"/>
        <v>58.327263650296878</v>
      </c>
      <c r="L119" s="423">
        <f>(G119*(uPostT))/(1+oDR)^'Markov Model_b'!cycle</f>
        <v>33.851039942980414</v>
      </c>
      <c r="M119" s="417"/>
      <c r="N119" s="3"/>
      <c r="O119" s="417"/>
      <c r="P119" s="418">
        <v>108</v>
      </c>
      <c r="Q119" s="419"/>
      <c r="R119" s="420">
        <v>1.1546504544779346E-4</v>
      </c>
      <c r="S119" s="417"/>
      <c r="T119" s="478">
        <f t="shared" si="5"/>
        <v>54.951178192705861</v>
      </c>
      <c r="U119" s="421">
        <f>(T118*'Markov Model_b'!mr_2)+U118</f>
        <v>45.048821807294139</v>
      </c>
      <c r="V119" s="421">
        <f t="shared" si="4"/>
        <v>100</v>
      </c>
      <c r="W119" s="422">
        <f>(T119*0)/(1+cDR)^'Markov Model_b'!cycle2</f>
        <v>0</v>
      </c>
      <c r="X119" s="421">
        <f t="shared" si="10"/>
        <v>54.951178192705861</v>
      </c>
      <c r="Y119" s="423">
        <f>(T119*(uPostT))/(1+oDR)^'Markov Model_b'!cycle</f>
        <v>31.891681719679859</v>
      </c>
      <c r="Z119" s="417"/>
      <c r="AA119" s="3"/>
      <c r="AB119" s="3"/>
      <c r="AC119" s="3"/>
      <c r="AD119" s="3"/>
      <c r="AE119" s="3"/>
      <c r="AF119" s="3"/>
      <c r="AG119" s="3"/>
      <c r="AH119" s="3"/>
      <c r="AI119" s="14"/>
      <c r="AJ119" s="14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</row>
    <row r="120" spans="1:60" ht="14.25" customHeight="1" x14ac:dyDescent="0.2">
      <c r="A120" s="3"/>
      <c r="B120" s="252"/>
      <c r="C120" s="252"/>
      <c r="D120" s="252"/>
      <c r="E120" s="252"/>
      <c r="F120" s="252"/>
      <c r="G120" s="252"/>
      <c r="H120" s="252"/>
      <c r="I120" s="252"/>
      <c r="J120" s="416" t="s">
        <v>244</v>
      </c>
      <c r="K120" s="416" t="s">
        <v>354</v>
      </c>
      <c r="L120" s="416" t="s">
        <v>355</v>
      </c>
      <c r="M120" s="252"/>
      <c r="N120" s="3"/>
      <c r="O120" s="252"/>
      <c r="P120" s="252"/>
      <c r="Q120" s="252"/>
      <c r="R120" s="252"/>
      <c r="S120" s="252"/>
      <c r="T120" s="252"/>
      <c r="U120" s="252"/>
      <c r="V120" s="252"/>
      <c r="W120" s="416" t="s">
        <v>244</v>
      </c>
      <c r="X120" s="416" t="s">
        <v>354</v>
      </c>
      <c r="Y120" s="416" t="s">
        <v>355</v>
      </c>
      <c r="Z120" s="252"/>
      <c r="AA120" s="3"/>
      <c r="AB120" s="3"/>
      <c r="AC120" s="3"/>
      <c r="AD120" s="3"/>
      <c r="AE120" s="3"/>
      <c r="AF120" s="3"/>
      <c r="AG120" s="3"/>
      <c r="AH120" s="3"/>
      <c r="AI120" s="14"/>
      <c r="AJ120" s="14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</row>
    <row r="121" spans="1:60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411">
        <f>SUM(J11:J119)/cohortsize</f>
        <v>89216.373629588692</v>
      </c>
      <c r="K121" s="410">
        <f>(SUM(K12:K119)/12/cohortsize)+(K11/cohortsize)</f>
        <v>6.3863427306887042</v>
      </c>
      <c r="L121" s="410">
        <f>(SUM(L12:L119)/12/cohortsize)+(L11/cohortsize)</f>
        <v>4.2054438818915285</v>
      </c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411">
        <f>SUM(W11:W119)/cohortsize</f>
        <v>75710.003151432553</v>
      </c>
      <c r="X121" s="410">
        <f>(SUM(X12:X119)/12/cohortsize)+(X11/cohortsize)</f>
        <v>6.0166898879025412</v>
      </c>
      <c r="Y121" s="410">
        <f>(SUM(Y12:Y119)/12/cohortsize)+(Y11/cohortsize)</f>
        <v>3.9380899826545335</v>
      </c>
      <c r="Z121" s="3"/>
      <c r="AA121" s="3"/>
      <c r="AB121" s="3"/>
      <c r="AC121" s="3"/>
      <c r="AD121" s="3"/>
      <c r="AE121" s="3"/>
      <c r="AF121" s="3"/>
      <c r="AG121" s="3"/>
      <c r="AH121" s="3"/>
      <c r="AI121" s="14"/>
      <c r="AJ121" s="14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</row>
    <row r="122" spans="1:60" s="250" customFormat="1" ht="14.25" customHeight="1" x14ac:dyDescent="0.2">
      <c r="A122" s="252"/>
      <c r="B122" s="252"/>
      <c r="C122" s="252"/>
      <c r="D122" s="252"/>
      <c r="E122" s="252"/>
      <c r="F122" s="252"/>
      <c r="G122" s="252"/>
      <c r="H122" s="252"/>
      <c r="I122" s="252"/>
      <c r="J122" s="411" t="s">
        <v>351</v>
      </c>
      <c r="K122" s="410" t="s">
        <v>353</v>
      </c>
      <c r="L122" s="410" t="s">
        <v>352</v>
      </c>
      <c r="M122" s="252"/>
      <c r="N122" s="252"/>
      <c r="O122" s="252"/>
      <c r="P122" s="252"/>
      <c r="Q122" s="252"/>
      <c r="R122" s="252"/>
      <c r="S122" s="252"/>
      <c r="T122" s="252"/>
      <c r="U122" s="252"/>
      <c r="V122" s="252"/>
      <c r="W122" s="411" t="s">
        <v>351</v>
      </c>
      <c r="X122" s="410" t="s">
        <v>353</v>
      </c>
      <c r="Y122" s="410" t="s">
        <v>352</v>
      </c>
      <c r="Z122" s="252"/>
      <c r="AA122" s="252"/>
      <c r="AB122" s="252"/>
      <c r="AC122" s="252"/>
      <c r="AD122" s="252"/>
      <c r="AE122" s="252"/>
      <c r="AF122" s="252"/>
      <c r="AG122" s="252"/>
      <c r="AH122" s="252"/>
      <c r="AI122" s="254"/>
      <c r="AJ122" s="254"/>
      <c r="AK122" s="252"/>
      <c r="AL122" s="252"/>
      <c r="AM122" s="252"/>
      <c r="AN122" s="252"/>
      <c r="AO122" s="252"/>
      <c r="AP122" s="252"/>
      <c r="AQ122" s="252"/>
      <c r="AR122" s="252"/>
      <c r="AS122" s="252"/>
      <c r="AT122" s="3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</row>
    <row r="123" spans="1:60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412">
        <f>SUM(J11:J35)</f>
        <v>8921637.362958869</v>
      </c>
      <c r="K123" s="410">
        <f>(SUM(K12:K119)/12)+(K11)</f>
        <v>638.63427306887047</v>
      </c>
      <c r="L123" s="410">
        <f>(SUM(L12:L119)/12)+(L11)</f>
        <v>420.54438818915287</v>
      </c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412">
        <f>SUM(W11:W35)</f>
        <v>7571000.3151432555</v>
      </c>
      <c r="X123" s="410">
        <f>(SUM(X12:X119)/12)+(X11)</f>
        <v>601.66898879025416</v>
      </c>
      <c r="Y123" s="410">
        <f>(SUM(Y12:Y119)/12)+(Y11)</f>
        <v>393.80899826545334</v>
      </c>
      <c r="Z123" s="3"/>
      <c r="AA123" s="3"/>
      <c r="AB123" s="3"/>
      <c r="AC123" s="3"/>
      <c r="AD123" s="3"/>
      <c r="AE123" s="3"/>
      <c r="AF123" s="3"/>
      <c r="AG123" s="3"/>
      <c r="AH123" s="3"/>
      <c r="AI123" s="14"/>
      <c r="AJ123" s="14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</row>
    <row r="124" spans="1:60" s="274" customFormat="1" ht="14.25" customHeight="1" x14ac:dyDescent="0.2">
      <c r="A124" s="252"/>
      <c r="B124" s="252"/>
      <c r="C124" s="252"/>
      <c r="D124" s="252"/>
      <c r="E124" s="252"/>
      <c r="F124" s="252"/>
      <c r="G124" s="252"/>
      <c r="H124" s="252"/>
      <c r="I124" s="252"/>
      <c r="J124" s="277"/>
      <c r="K124" s="253"/>
      <c r="L124" s="253"/>
      <c r="M124" s="252"/>
      <c r="N124" s="252"/>
      <c r="O124" s="252"/>
      <c r="P124" s="252"/>
      <c r="Q124" s="252"/>
      <c r="R124" s="252"/>
      <c r="S124" s="252"/>
      <c r="T124" s="252"/>
      <c r="U124" s="252"/>
      <c r="V124" s="252"/>
      <c r="W124" s="277"/>
      <c r="X124" s="253"/>
      <c r="Y124" s="253"/>
      <c r="Z124" s="252"/>
      <c r="AA124" s="252"/>
      <c r="AB124" s="252"/>
      <c r="AC124" s="252"/>
      <c r="AD124" s="252"/>
      <c r="AE124" s="252"/>
      <c r="AF124" s="252"/>
      <c r="AG124" s="252"/>
      <c r="AH124" s="252"/>
      <c r="AI124" s="254"/>
      <c r="AJ124" s="254"/>
      <c r="AK124" s="252"/>
      <c r="AL124" s="252"/>
      <c r="AM124" s="252"/>
      <c r="AN124" s="252"/>
      <c r="AO124" s="252"/>
      <c r="AP124" s="252"/>
      <c r="AQ124" s="252"/>
      <c r="AR124" s="252"/>
      <c r="AS124" s="252"/>
      <c r="AT124" s="3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</row>
    <row r="125" spans="1:60" ht="4.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14"/>
      <c r="AJ125" s="14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</row>
    <row r="126" spans="1:60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413" t="s">
        <v>229</v>
      </c>
      <c r="K126" s="415">
        <f>(J121-W121)/(L121-Y121)</f>
        <v>50518.696442064822</v>
      </c>
      <c r="L126" s="4" t="s">
        <v>374</v>
      </c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14"/>
      <c r="AJ126" s="14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</row>
    <row r="127" spans="1:60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76" t="s">
        <v>255</v>
      </c>
      <c r="K127" s="414">
        <f>(J121-W121)/(K121-X121)</f>
        <v>36537.986226090827</v>
      </c>
      <c r="L127" s="272" t="s">
        <v>368</v>
      </c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14"/>
      <c r="AJ127" s="14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</row>
    <row r="128" spans="1:60" ht="4.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14"/>
      <c r="AJ128" s="14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</row>
    <row r="129" spans="1:60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14"/>
      <c r="AJ129" s="14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</row>
    <row r="130" spans="1:60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29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14"/>
      <c r="AJ130" s="14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</row>
    <row r="131" spans="1:60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29"/>
      <c r="L131" s="218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14"/>
      <c r="AJ131" s="14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</row>
    <row r="132" spans="1:60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206"/>
      <c r="L132" s="405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14"/>
      <c r="AJ132" s="14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</row>
    <row r="133" spans="1:60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06"/>
      <c r="M133" s="4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14"/>
      <c r="AJ133" s="14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</row>
    <row r="134" spans="1:60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14"/>
      <c r="AJ134" s="14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</row>
    <row r="135" spans="1:60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14"/>
      <c r="AJ135" s="14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</row>
    <row r="136" spans="1:60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14"/>
      <c r="AJ136" s="14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</row>
    <row r="137" spans="1:60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14"/>
      <c r="AJ137" s="14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</row>
    <row r="138" spans="1:60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14"/>
      <c r="AJ138" s="14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</row>
    <row r="139" spans="1:60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14"/>
      <c r="AJ139" s="14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</row>
    <row r="140" spans="1:60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14"/>
      <c r="AJ140" s="14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</row>
    <row r="141" spans="1:60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14"/>
      <c r="AJ141" s="14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</row>
    <row r="142" spans="1:60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14"/>
      <c r="AJ142" s="14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</row>
    <row r="143" spans="1:60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14"/>
      <c r="AJ143" s="14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</row>
    <row r="144" spans="1:60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14"/>
      <c r="AJ144" s="14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</row>
    <row r="145" spans="1:60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14"/>
      <c r="AJ145" s="14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</row>
    <row r="146" spans="1:60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14"/>
      <c r="AJ146" s="14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</row>
    <row r="147" spans="1:60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14"/>
      <c r="AJ147" s="14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</row>
    <row r="148" spans="1:60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14"/>
      <c r="AJ148" s="14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</row>
    <row r="149" spans="1:60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14"/>
      <c r="AJ149" s="14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</row>
    <row r="150" spans="1:60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14"/>
      <c r="AJ150" s="14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</row>
    <row r="151" spans="1:60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14"/>
      <c r="AJ151" s="14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</row>
    <row r="152" spans="1:60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14"/>
      <c r="AJ152" s="14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</row>
    <row r="153" spans="1:60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14"/>
      <c r="AJ153" s="14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</row>
    <row r="154" spans="1:60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14"/>
      <c r="AJ154" s="14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</row>
    <row r="155" spans="1:60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14"/>
      <c r="AJ155" s="14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</row>
    <row r="156" spans="1:60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14"/>
      <c r="AJ156" s="14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</row>
    <row r="157" spans="1:60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14"/>
      <c r="AJ157" s="14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</row>
    <row r="158" spans="1:60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14"/>
      <c r="AJ158" s="14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</row>
    <row r="159" spans="1:60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14"/>
      <c r="AJ159" s="14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</row>
    <row r="160" spans="1:60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14"/>
      <c r="AJ160" s="14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</row>
    <row r="161" spans="1:58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14"/>
      <c r="AJ161" s="14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</row>
    <row r="162" spans="1:58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14"/>
      <c r="AJ162" s="14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</row>
    <row r="163" spans="1:58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14"/>
      <c r="AJ163" s="14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</row>
    <row r="164" spans="1:58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14"/>
      <c r="AJ164" s="14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</row>
    <row r="165" spans="1:58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14"/>
      <c r="AJ165" s="14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</row>
    <row r="166" spans="1:58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14"/>
      <c r="AJ166" s="14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</row>
    <row r="167" spans="1:58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14"/>
      <c r="AJ167" s="14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</row>
    <row r="168" spans="1:58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14"/>
      <c r="AJ168" s="14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</row>
    <row r="169" spans="1:58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14"/>
      <c r="AJ169" s="14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</row>
    <row r="170" spans="1:58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14"/>
      <c r="AJ170" s="14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</row>
    <row r="171" spans="1:58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14"/>
      <c r="AJ171" s="14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</row>
    <row r="172" spans="1:58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14"/>
      <c r="AJ172" s="14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</row>
    <row r="173" spans="1:58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14"/>
      <c r="AJ173" s="14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</row>
    <row r="174" spans="1:58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14"/>
      <c r="AJ174" s="14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</row>
    <row r="175" spans="1:58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14"/>
      <c r="AJ175" s="14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</row>
    <row r="176" spans="1:58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14"/>
      <c r="AJ176" s="14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</row>
    <row r="177" spans="1:58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14"/>
      <c r="AJ177" s="14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</row>
    <row r="178" spans="1:58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14"/>
      <c r="AJ178" s="14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</row>
    <row r="179" spans="1:58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14"/>
      <c r="AJ179" s="14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</row>
    <row r="180" spans="1:58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14"/>
      <c r="AJ180" s="14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</row>
    <row r="181" spans="1:58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14"/>
      <c r="AJ181" s="14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</row>
    <row r="182" spans="1:58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14"/>
      <c r="AJ182" s="14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</row>
    <row r="183" spans="1:58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14"/>
      <c r="AJ183" s="14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</row>
    <row r="184" spans="1:58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14"/>
      <c r="AJ184" s="14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</row>
    <row r="185" spans="1:58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14"/>
      <c r="AJ185" s="14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</row>
    <row r="186" spans="1:58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14"/>
      <c r="AJ186" s="14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</row>
    <row r="187" spans="1:58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14"/>
      <c r="AJ187" s="14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</row>
    <row r="188" spans="1:58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14"/>
      <c r="AJ188" s="14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</row>
    <row r="189" spans="1:58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14"/>
      <c r="AJ189" s="14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</row>
    <row r="190" spans="1:58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14"/>
      <c r="AJ190" s="14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</row>
    <row r="191" spans="1:58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14"/>
      <c r="AJ191" s="14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</row>
    <row r="192" spans="1:58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14"/>
      <c r="AJ192" s="14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</row>
    <row r="193" spans="1:58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14"/>
      <c r="AJ193" s="14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</row>
    <row r="194" spans="1:58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14"/>
      <c r="AJ194" s="14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</row>
    <row r="195" spans="1:58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14"/>
      <c r="AJ195" s="14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</row>
    <row r="196" spans="1:58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14"/>
      <c r="AJ196" s="14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</row>
    <row r="197" spans="1:58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14"/>
      <c r="AJ197" s="14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</row>
    <row r="198" spans="1:58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14"/>
      <c r="AJ198" s="14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</row>
    <row r="199" spans="1:58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14"/>
      <c r="AJ199" s="14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</row>
    <row r="200" spans="1:58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14"/>
      <c r="AJ200" s="14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</row>
    <row r="201" spans="1:58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14"/>
      <c r="AJ201" s="14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14"/>
      <c r="AJ202" s="14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14"/>
      <c r="AJ203" s="14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  <row r="204" spans="1:58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14"/>
      <c r="AJ204" s="14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</row>
    <row r="205" spans="1:58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14"/>
      <c r="AJ205" s="14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</row>
    <row r="206" spans="1:58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14"/>
      <c r="AJ206" s="14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</row>
    <row r="207" spans="1:58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14"/>
      <c r="AJ207" s="14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</row>
    <row r="208" spans="1:58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14"/>
      <c r="AJ208" s="14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</row>
    <row r="209" spans="1:58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14"/>
      <c r="AJ209" s="14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</row>
    <row r="210" spans="1:58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14"/>
      <c r="AJ210" s="14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</row>
    <row r="211" spans="1:58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14"/>
      <c r="AJ211" s="14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</row>
    <row r="212" spans="1:58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14"/>
      <c r="AJ212" s="14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</row>
    <row r="213" spans="1:58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14"/>
      <c r="AJ213" s="14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</row>
    <row r="214" spans="1:58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14"/>
      <c r="AJ214" s="14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</row>
    <row r="215" spans="1:58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14"/>
      <c r="AJ215" s="14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</row>
    <row r="216" spans="1:58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14"/>
      <c r="AJ216" s="14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</row>
    <row r="217" spans="1:58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14"/>
      <c r="AJ217" s="14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</row>
    <row r="218" spans="1:58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14"/>
      <c r="AJ218" s="14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</row>
    <row r="219" spans="1:58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14"/>
      <c r="AJ219" s="14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</row>
    <row r="220" spans="1:58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14"/>
      <c r="AJ220" s="14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</row>
    <row r="221" spans="1:58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14"/>
      <c r="AJ221" s="14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</row>
    <row r="222" spans="1:58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14"/>
      <c r="AJ222" s="14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</row>
    <row r="223" spans="1:58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14"/>
      <c r="AJ223" s="14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</row>
    <row r="224" spans="1:58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14"/>
      <c r="AJ224" s="14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</row>
    <row r="225" spans="1:58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14"/>
      <c r="AJ225" s="14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</row>
    <row r="226" spans="1:58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14"/>
      <c r="AJ226" s="14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</row>
    <row r="227" spans="1:58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14"/>
      <c r="AJ227" s="14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</row>
    <row r="228" spans="1:58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14"/>
      <c r="AJ228" s="14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</row>
    <row r="229" spans="1:58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14"/>
      <c r="AJ229" s="14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</row>
    <row r="230" spans="1:58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14"/>
      <c r="AJ230" s="14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</row>
    <row r="231" spans="1:58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14"/>
      <c r="AJ231" s="14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</row>
    <row r="232" spans="1:58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14"/>
      <c r="AJ232" s="14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</row>
    <row r="233" spans="1:58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14"/>
      <c r="AJ233" s="14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</row>
    <row r="234" spans="1:58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14"/>
      <c r="AJ234" s="14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</row>
    <row r="235" spans="1:58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14"/>
      <c r="AJ235" s="14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</row>
    <row r="236" spans="1:58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14"/>
      <c r="AJ236" s="14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</row>
    <row r="237" spans="1:58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14"/>
      <c r="AJ237" s="14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</row>
    <row r="238" spans="1:58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14"/>
      <c r="AJ238" s="14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</row>
    <row r="239" spans="1:58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14"/>
      <c r="AJ239" s="14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</row>
    <row r="240" spans="1:58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14"/>
      <c r="AJ240" s="14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</row>
    <row r="241" spans="1:58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14"/>
      <c r="AJ241" s="14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</row>
    <row r="242" spans="1:58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14"/>
      <c r="AJ242" s="14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</row>
    <row r="243" spans="1:58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14"/>
      <c r="AJ243" s="14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</row>
    <row r="244" spans="1:58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14"/>
      <c r="AJ244" s="14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</row>
    <row r="245" spans="1:58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14"/>
      <c r="AJ245" s="14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</row>
    <row r="246" spans="1:58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14"/>
      <c r="AJ246" s="14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</row>
    <row r="247" spans="1:58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14"/>
      <c r="AJ247" s="14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</row>
    <row r="248" spans="1:58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14"/>
      <c r="AJ248" s="14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</row>
    <row r="249" spans="1:58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14"/>
      <c r="AJ249" s="14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</row>
    <row r="250" spans="1:58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14"/>
      <c r="AJ250" s="14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</row>
    <row r="251" spans="1:58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14"/>
      <c r="AJ251" s="14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</row>
    <row r="252" spans="1:58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14"/>
      <c r="AJ252" s="14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</row>
    <row r="253" spans="1:58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14"/>
      <c r="AJ253" s="14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</row>
    <row r="254" spans="1:58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14"/>
      <c r="AJ254" s="14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</row>
    <row r="255" spans="1:58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14"/>
      <c r="AJ255" s="14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</row>
    <row r="256" spans="1:58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14"/>
      <c r="AJ256" s="14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</row>
    <row r="257" spans="1:58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14"/>
      <c r="AJ257" s="14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</row>
    <row r="258" spans="1:58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14"/>
      <c r="AJ258" s="14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</row>
    <row r="259" spans="1:58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14"/>
      <c r="AJ259" s="14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</row>
    <row r="260" spans="1:58" ht="14.25" customHeight="1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14"/>
      <c r="AJ260" s="14"/>
      <c r="AK260" s="3"/>
      <c r="AL260" s="3"/>
      <c r="AM260" s="3"/>
      <c r="AN260" s="3"/>
      <c r="AO260" s="3"/>
      <c r="AP260" s="3"/>
      <c r="AQ260" s="3"/>
      <c r="AR260" s="3"/>
      <c r="AS260" s="3"/>
      <c r="AT260" s="4"/>
      <c r="AU260" s="4"/>
      <c r="AV260" s="402"/>
      <c r="AW260" s="402"/>
      <c r="AX260" s="402"/>
      <c r="AY260" s="402"/>
      <c r="AZ260" s="402"/>
      <c r="BA260" s="402"/>
      <c r="BB260" s="402"/>
      <c r="BC260" s="402"/>
      <c r="BD260" s="402"/>
      <c r="BE260" s="402"/>
      <c r="BF260" s="402"/>
    </row>
    <row r="261" spans="1:58" ht="14.25" customHeight="1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14"/>
      <c r="AJ261" s="14"/>
      <c r="AK261" s="3"/>
      <c r="AL261" s="3"/>
      <c r="AM261" s="3"/>
      <c r="AN261" s="3"/>
      <c r="AO261" s="3"/>
      <c r="AP261" s="3"/>
      <c r="AQ261" s="3"/>
      <c r="AR261" s="3"/>
      <c r="AS261" s="3"/>
      <c r="AT261" s="4"/>
      <c r="AU261" s="4"/>
      <c r="AV261" s="402"/>
      <c r="AW261" s="402"/>
      <c r="AX261" s="402"/>
      <c r="AY261" s="402"/>
      <c r="AZ261" s="402"/>
      <c r="BA261" s="402"/>
      <c r="BB261" s="402"/>
      <c r="BC261" s="402"/>
      <c r="BD261" s="402"/>
      <c r="BE261" s="402"/>
      <c r="BF261" s="402"/>
    </row>
    <row r="262" spans="1:58" ht="14.25" customHeight="1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14"/>
      <c r="AJ262" s="14"/>
      <c r="AK262" s="3"/>
      <c r="AL262" s="3"/>
      <c r="AM262" s="3"/>
      <c r="AN262" s="3"/>
      <c r="AO262" s="3"/>
      <c r="AP262" s="3"/>
      <c r="AQ262" s="3"/>
      <c r="AR262" s="3"/>
      <c r="AS262" s="3"/>
      <c r="AT262" s="4"/>
      <c r="AU262" s="4"/>
      <c r="AV262" s="402"/>
      <c r="AW262" s="402"/>
      <c r="AX262" s="402"/>
      <c r="AY262" s="402"/>
      <c r="AZ262" s="402"/>
      <c r="BA262" s="402"/>
      <c r="BB262" s="402"/>
      <c r="BC262" s="402"/>
      <c r="BD262" s="402"/>
      <c r="BE262" s="402"/>
      <c r="BF262" s="402"/>
    </row>
    <row r="263" spans="1:58" ht="14.25" customHeight="1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14"/>
      <c r="AJ263" s="14"/>
      <c r="AK263" s="3"/>
      <c r="AL263" s="3"/>
      <c r="AM263" s="3"/>
      <c r="AN263" s="3"/>
      <c r="AO263" s="3"/>
      <c r="AP263" s="3"/>
      <c r="AQ263" s="3"/>
      <c r="AR263" s="3"/>
      <c r="AS263" s="3"/>
      <c r="AT263" s="4"/>
      <c r="AU263" s="4"/>
      <c r="AV263" s="402"/>
      <c r="AW263" s="402"/>
      <c r="AX263" s="402"/>
      <c r="AY263" s="402"/>
      <c r="AZ263" s="402"/>
      <c r="BA263" s="402"/>
      <c r="BB263" s="402"/>
      <c r="BC263" s="402"/>
      <c r="BD263" s="402"/>
      <c r="BE263" s="402"/>
      <c r="BF263" s="402"/>
    </row>
    <row r="264" spans="1:58" ht="14.25" customHeight="1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14"/>
      <c r="AJ264" s="14"/>
      <c r="AK264" s="3"/>
      <c r="AL264" s="3"/>
      <c r="AM264" s="3"/>
      <c r="AN264" s="3"/>
      <c r="AO264" s="3"/>
      <c r="AP264" s="3"/>
      <c r="AQ264" s="3"/>
      <c r="AR264" s="3"/>
      <c r="AS264" s="3"/>
      <c r="AT264" s="4"/>
      <c r="AU264" s="4"/>
      <c r="AV264" s="402"/>
      <c r="AW264" s="402"/>
      <c r="AX264" s="402"/>
      <c r="AY264" s="402"/>
      <c r="AZ264" s="402"/>
      <c r="BA264" s="402"/>
      <c r="BB264" s="402"/>
      <c r="BC264" s="402"/>
      <c r="BD264" s="402"/>
      <c r="BE264" s="402"/>
      <c r="BF264" s="402"/>
    </row>
    <row r="265" spans="1:58" ht="14.25" customHeight="1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14"/>
      <c r="AJ265" s="14"/>
      <c r="AK265" s="3"/>
      <c r="AL265" s="3"/>
      <c r="AM265" s="3"/>
      <c r="AN265" s="3"/>
      <c r="AO265" s="3"/>
      <c r="AP265" s="3"/>
      <c r="AQ265" s="3"/>
      <c r="AR265" s="3"/>
      <c r="AS265" s="3"/>
      <c r="AT265" s="4"/>
      <c r="AU265" s="4"/>
      <c r="AV265" s="402"/>
      <c r="AW265" s="402"/>
      <c r="AX265" s="402"/>
      <c r="AY265" s="402"/>
      <c r="AZ265" s="402"/>
      <c r="BA265" s="402"/>
      <c r="BB265" s="402"/>
      <c r="BC265" s="402"/>
      <c r="BD265" s="402"/>
      <c r="BE265" s="402"/>
      <c r="BF265" s="402"/>
    </row>
    <row r="266" spans="1:58" ht="14.25" customHeight="1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14"/>
      <c r="AJ266" s="14"/>
      <c r="AK266" s="3"/>
      <c r="AL266" s="3"/>
      <c r="AM266" s="3"/>
      <c r="AN266" s="3"/>
      <c r="AO266" s="3"/>
      <c r="AP266" s="3"/>
      <c r="AQ266" s="3"/>
      <c r="AR266" s="3"/>
      <c r="AS266" s="3"/>
      <c r="AT266" s="4"/>
      <c r="AU266" s="4"/>
      <c r="AV266" s="402"/>
      <c r="AW266" s="402"/>
      <c r="AX266" s="402"/>
      <c r="AY266" s="402"/>
      <c r="AZ266" s="402"/>
      <c r="BA266" s="402"/>
      <c r="BB266" s="402"/>
      <c r="BC266" s="402"/>
      <c r="BD266" s="402"/>
      <c r="BE266" s="402"/>
      <c r="BF266" s="402"/>
    </row>
    <row r="267" spans="1:58" ht="14.25" customHeight="1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14"/>
      <c r="AJ267" s="14"/>
      <c r="AK267" s="3"/>
      <c r="AL267" s="3"/>
      <c r="AM267" s="3"/>
      <c r="AN267" s="3"/>
      <c r="AO267" s="3"/>
      <c r="AP267" s="3"/>
      <c r="AQ267" s="3"/>
      <c r="AR267" s="3"/>
      <c r="AS267" s="3"/>
      <c r="AT267" s="4"/>
      <c r="AU267" s="4"/>
      <c r="AV267" s="402"/>
      <c r="AW267" s="402"/>
      <c r="AX267" s="402"/>
      <c r="AY267" s="402"/>
      <c r="AZ267" s="402"/>
      <c r="BA267" s="402"/>
      <c r="BB267" s="402"/>
      <c r="BC267" s="402"/>
      <c r="BD267" s="402"/>
      <c r="BE267" s="402"/>
      <c r="BF267" s="402"/>
    </row>
    <row r="268" spans="1:58" ht="14.25" customHeight="1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14"/>
      <c r="AJ268" s="14"/>
      <c r="AK268" s="3"/>
      <c r="AL268" s="3"/>
      <c r="AM268" s="3"/>
      <c r="AN268" s="3"/>
      <c r="AO268" s="3"/>
      <c r="AP268" s="3"/>
      <c r="AQ268" s="3"/>
      <c r="AR268" s="3"/>
      <c r="AS268" s="3"/>
      <c r="AT268" s="4"/>
      <c r="AU268" s="4"/>
      <c r="AV268" s="402"/>
      <c r="AW268" s="402"/>
      <c r="AX268" s="402"/>
      <c r="AY268" s="402"/>
      <c r="AZ268" s="402"/>
      <c r="BA268" s="402"/>
      <c r="BB268" s="402"/>
      <c r="BC268" s="402"/>
      <c r="BD268" s="402"/>
      <c r="BE268" s="402"/>
      <c r="BF268" s="402"/>
    </row>
    <row r="269" spans="1:58" ht="14.25" customHeight="1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14"/>
      <c r="AJ269" s="14"/>
      <c r="AK269" s="3"/>
      <c r="AL269" s="3"/>
      <c r="AM269" s="3"/>
      <c r="AN269" s="3"/>
      <c r="AO269" s="3"/>
      <c r="AP269" s="3"/>
      <c r="AQ269" s="3"/>
      <c r="AR269" s="3"/>
      <c r="AS269" s="3"/>
      <c r="AT269" s="4"/>
      <c r="AU269" s="4"/>
      <c r="AV269" s="402"/>
      <c r="AW269" s="402"/>
      <c r="AX269" s="402"/>
      <c r="AY269" s="402"/>
      <c r="AZ269" s="402"/>
      <c r="BA269" s="402"/>
      <c r="BB269" s="402"/>
      <c r="BC269" s="402"/>
      <c r="BD269" s="402"/>
      <c r="BE269" s="402"/>
      <c r="BF269" s="402"/>
    </row>
    <row r="270" spans="1:58" ht="14.25" customHeight="1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14"/>
      <c r="AJ270" s="14"/>
      <c r="AK270" s="3"/>
      <c r="AL270" s="3"/>
      <c r="AM270" s="3"/>
      <c r="AN270" s="3"/>
      <c r="AO270" s="3"/>
      <c r="AP270" s="3"/>
      <c r="AQ270" s="3"/>
      <c r="AR270" s="3"/>
      <c r="AS270" s="3"/>
      <c r="AT270" s="4"/>
      <c r="AU270" s="4"/>
      <c r="AV270" s="402"/>
      <c r="AW270" s="402"/>
      <c r="AX270" s="402"/>
      <c r="AY270" s="402"/>
      <c r="AZ270" s="402"/>
      <c r="BA270" s="402"/>
      <c r="BB270" s="402"/>
      <c r="BC270" s="402"/>
      <c r="BD270" s="402"/>
      <c r="BE270" s="402"/>
      <c r="BF270" s="402"/>
    </row>
    <row r="271" spans="1:58" ht="14.25" customHeight="1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14"/>
      <c r="AJ271" s="14"/>
      <c r="AK271" s="3"/>
      <c r="AL271" s="3"/>
      <c r="AM271" s="3"/>
      <c r="AN271" s="3"/>
      <c r="AO271" s="3"/>
      <c r="AP271" s="3"/>
      <c r="AQ271" s="3"/>
      <c r="AR271" s="3"/>
      <c r="AS271" s="3"/>
      <c r="AT271" s="4"/>
      <c r="AU271" s="4"/>
      <c r="AV271" s="402"/>
      <c r="AW271" s="402"/>
      <c r="AX271" s="402"/>
      <c r="AY271" s="402"/>
      <c r="AZ271" s="402"/>
      <c r="BA271" s="402"/>
      <c r="BB271" s="402"/>
      <c r="BC271" s="402"/>
      <c r="BD271" s="402"/>
      <c r="BE271" s="402"/>
      <c r="BF271" s="402"/>
    </row>
    <row r="272" spans="1:58" ht="14.25" customHeight="1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14"/>
      <c r="AJ272" s="14"/>
      <c r="AK272" s="3"/>
      <c r="AL272" s="3"/>
      <c r="AM272" s="3"/>
      <c r="AN272" s="3"/>
      <c r="AO272" s="3"/>
      <c r="AP272" s="3"/>
      <c r="AQ272" s="3"/>
      <c r="AR272" s="3"/>
      <c r="AS272" s="3"/>
      <c r="AT272" s="4"/>
      <c r="AU272" s="4"/>
      <c r="AV272" s="402"/>
      <c r="AW272" s="402"/>
      <c r="AX272" s="402"/>
      <c r="AY272" s="402"/>
      <c r="AZ272" s="402"/>
      <c r="BA272" s="402"/>
      <c r="BB272" s="402"/>
      <c r="BC272" s="402"/>
      <c r="BD272" s="402"/>
      <c r="BE272" s="402"/>
      <c r="BF272" s="402"/>
    </row>
    <row r="273" spans="1:58" ht="14.25" customHeight="1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14"/>
      <c r="AJ273" s="14"/>
      <c r="AK273" s="3"/>
      <c r="AL273" s="3"/>
      <c r="AM273" s="3"/>
      <c r="AN273" s="3"/>
      <c r="AO273" s="3"/>
      <c r="AP273" s="3"/>
      <c r="AQ273" s="3"/>
      <c r="AR273" s="3"/>
      <c r="AS273" s="3"/>
      <c r="AT273" s="4"/>
      <c r="AU273" s="4"/>
      <c r="AV273" s="402"/>
      <c r="AW273" s="402"/>
      <c r="AX273" s="402"/>
      <c r="AY273" s="402"/>
      <c r="AZ273" s="402"/>
      <c r="BA273" s="402"/>
      <c r="BB273" s="402"/>
      <c r="BC273" s="402"/>
      <c r="BD273" s="402"/>
      <c r="BE273" s="402"/>
      <c r="BF273" s="402"/>
    </row>
    <row r="274" spans="1:58" ht="14.25" customHeight="1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14"/>
      <c r="AJ274" s="14"/>
      <c r="AK274" s="3"/>
      <c r="AL274" s="3"/>
      <c r="AM274" s="3"/>
      <c r="AN274" s="3"/>
      <c r="AO274" s="3"/>
      <c r="AP274" s="3"/>
      <c r="AQ274" s="3"/>
      <c r="AR274" s="3"/>
      <c r="AS274" s="3"/>
      <c r="AT274" s="4"/>
      <c r="AU274" s="4"/>
      <c r="AV274" s="402"/>
      <c r="AW274" s="402"/>
      <c r="AX274" s="402"/>
      <c r="AY274" s="402"/>
      <c r="AZ274" s="402"/>
      <c r="BA274" s="402"/>
      <c r="BB274" s="402"/>
      <c r="BC274" s="402"/>
      <c r="BD274" s="402"/>
      <c r="BE274" s="402"/>
      <c r="BF274" s="402"/>
    </row>
    <row r="275" spans="1:58" ht="14.25" customHeight="1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14"/>
      <c r="AJ275" s="14"/>
      <c r="AK275" s="3"/>
      <c r="AL275" s="3"/>
      <c r="AM275" s="3"/>
      <c r="AN275" s="3"/>
      <c r="AO275" s="3"/>
      <c r="AP275" s="3"/>
      <c r="AQ275" s="3"/>
      <c r="AR275" s="3"/>
      <c r="AS275" s="3"/>
      <c r="AT275" s="4"/>
      <c r="AU275" s="4"/>
      <c r="AV275" s="402"/>
      <c r="AW275" s="402"/>
      <c r="AX275" s="402"/>
      <c r="AY275" s="402"/>
      <c r="AZ275" s="402"/>
      <c r="BA275" s="402"/>
      <c r="BB275" s="402"/>
      <c r="BC275" s="402"/>
      <c r="BD275" s="402"/>
      <c r="BE275" s="402"/>
      <c r="BF275" s="402"/>
    </row>
    <row r="276" spans="1:58" ht="14.25" customHeight="1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14"/>
      <c r="AJ276" s="14"/>
      <c r="AK276" s="3"/>
      <c r="AL276" s="3"/>
      <c r="AM276" s="3"/>
      <c r="AN276" s="3"/>
      <c r="AO276" s="3"/>
      <c r="AP276" s="3"/>
      <c r="AQ276" s="3"/>
      <c r="AR276" s="3"/>
      <c r="AS276" s="3"/>
      <c r="AT276" s="4"/>
      <c r="AU276" s="4"/>
      <c r="AV276" s="402"/>
      <c r="AW276" s="402"/>
      <c r="AX276" s="402"/>
      <c r="AY276" s="402"/>
      <c r="AZ276" s="402"/>
      <c r="BA276" s="402"/>
      <c r="BB276" s="402"/>
      <c r="BC276" s="402"/>
      <c r="BD276" s="402"/>
      <c r="BE276" s="402"/>
      <c r="BF276" s="402"/>
    </row>
    <row r="277" spans="1:58" ht="14.25" customHeight="1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14"/>
      <c r="AJ277" s="14"/>
      <c r="AK277" s="3"/>
      <c r="AL277" s="3"/>
      <c r="AM277" s="3"/>
      <c r="AN277" s="3"/>
      <c r="AO277" s="3"/>
      <c r="AP277" s="3"/>
      <c r="AQ277" s="3"/>
      <c r="AR277" s="3"/>
      <c r="AS277" s="3"/>
      <c r="AT277" s="4"/>
      <c r="AU277" s="4"/>
      <c r="AV277" s="402"/>
      <c r="AW277" s="402"/>
      <c r="AX277" s="402"/>
      <c r="AY277" s="402"/>
      <c r="AZ277" s="402"/>
      <c r="BA277" s="402"/>
      <c r="BB277" s="402"/>
      <c r="BC277" s="402"/>
      <c r="BD277" s="402"/>
      <c r="BE277" s="402"/>
      <c r="BF277" s="402"/>
    </row>
    <row r="278" spans="1:58" ht="14.25" customHeight="1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14"/>
      <c r="AJ278" s="14"/>
      <c r="AK278" s="3"/>
      <c r="AL278" s="3"/>
      <c r="AM278" s="3"/>
      <c r="AN278" s="3"/>
      <c r="AO278" s="3"/>
      <c r="AP278" s="3"/>
      <c r="AQ278" s="3"/>
      <c r="AR278" s="3"/>
      <c r="AS278" s="3"/>
      <c r="AT278" s="4"/>
      <c r="AU278" s="4"/>
      <c r="AV278" s="402"/>
      <c r="AW278" s="402"/>
      <c r="AX278" s="402"/>
      <c r="AY278" s="402"/>
      <c r="AZ278" s="402"/>
      <c r="BA278" s="402"/>
      <c r="BB278" s="402"/>
      <c r="BC278" s="402"/>
      <c r="BD278" s="402"/>
      <c r="BE278" s="402"/>
      <c r="BF278" s="402"/>
    </row>
    <row r="279" spans="1:58" ht="14.25" customHeight="1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14"/>
      <c r="AJ279" s="14"/>
      <c r="AK279" s="3"/>
      <c r="AL279" s="3"/>
      <c r="AM279" s="3"/>
      <c r="AN279" s="3"/>
      <c r="AO279" s="3"/>
      <c r="AP279" s="3"/>
      <c r="AQ279" s="3"/>
      <c r="AR279" s="3"/>
      <c r="AS279" s="3"/>
      <c r="AT279" s="4"/>
      <c r="AU279" s="4"/>
      <c r="AV279" s="402"/>
      <c r="AW279" s="402"/>
      <c r="AX279" s="402"/>
      <c r="AY279" s="402"/>
      <c r="AZ279" s="402"/>
      <c r="BA279" s="402"/>
      <c r="BB279" s="402"/>
      <c r="BC279" s="402"/>
      <c r="BD279" s="402"/>
      <c r="BE279" s="402"/>
      <c r="BF279" s="402"/>
    </row>
    <row r="280" spans="1:58" ht="14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14"/>
      <c r="AJ280" s="14"/>
      <c r="AK280" s="3"/>
      <c r="AL280" s="3"/>
      <c r="AM280" s="3"/>
      <c r="AN280" s="3"/>
      <c r="AO280" s="3"/>
      <c r="AP280" s="3"/>
      <c r="AQ280" s="3"/>
      <c r="AR280" s="3"/>
      <c r="AS280" s="3"/>
      <c r="AT280" s="4"/>
      <c r="AU280" s="4"/>
      <c r="AV280" s="402"/>
      <c r="AW280" s="402"/>
      <c r="AX280" s="402"/>
      <c r="AY280" s="402"/>
      <c r="AZ280" s="402"/>
      <c r="BA280" s="402"/>
      <c r="BB280" s="402"/>
      <c r="BC280" s="402"/>
      <c r="BD280" s="402"/>
      <c r="BE280" s="402"/>
      <c r="BF280" s="402"/>
    </row>
    <row r="281" spans="1:58" ht="14.25" customHeight="1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14"/>
      <c r="AJ281" s="14"/>
      <c r="AK281" s="3"/>
      <c r="AL281" s="3"/>
      <c r="AM281" s="3"/>
      <c r="AN281" s="3"/>
      <c r="AO281" s="3"/>
      <c r="AP281" s="3"/>
      <c r="AQ281" s="3"/>
      <c r="AR281" s="3"/>
      <c r="AS281" s="3"/>
      <c r="AT281" s="4"/>
      <c r="AU281" s="4"/>
      <c r="AV281" s="402"/>
      <c r="AW281" s="402"/>
      <c r="AX281" s="402"/>
      <c r="AY281" s="402"/>
      <c r="AZ281" s="402"/>
      <c r="BA281" s="402"/>
      <c r="BB281" s="402"/>
      <c r="BC281" s="402"/>
      <c r="BD281" s="402"/>
      <c r="BE281" s="402"/>
      <c r="BF281" s="402"/>
    </row>
    <row r="282" spans="1:58" ht="14.25" customHeight="1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14"/>
      <c r="AJ282" s="14"/>
      <c r="AK282" s="3"/>
      <c r="AL282" s="3"/>
      <c r="AM282" s="3"/>
      <c r="AN282" s="3"/>
      <c r="AO282" s="3"/>
      <c r="AP282" s="3"/>
      <c r="AQ282" s="3"/>
      <c r="AR282" s="3"/>
      <c r="AS282" s="3"/>
      <c r="AT282" s="4"/>
      <c r="AU282" s="4"/>
      <c r="AV282" s="402"/>
      <c r="AW282" s="402"/>
      <c r="AX282" s="402"/>
      <c r="AY282" s="402"/>
      <c r="AZ282" s="402"/>
      <c r="BA282" s="402"/>
      <c r="BB282" s="402"/>
      <c r="BC282" s="402"/>
      <c r="BD282" s="402"/>
      <c r="BE282" s="402"/>
      <c r="BF282" s="402"/>
    </row>
    <row r="283" spans="1:58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14"/>
      <c r="AJ283" s="14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</row>
    <row r="284" spans="1:58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14"/>
      <c r="AJ284" s="14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</row>
    <row r="285" spans="1:58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14"/>
      <c r="AJ285" s="14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</row>
    <row r="286" spans="1:58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14"/>
      <c r="AJ286" s="14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</row>
    <row r="287" spans="1:58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14"/>
      <c r="AJ287" s="14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</row>
    <row r="288" spans="1:58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14"/>
      <c r="AJ288" s="14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</row>
    <row r="289" spans="1:47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14"/>
      <c r="AJ289" s="14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</row>
    <row r="290" spans="1:47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14"/>
      <c r="AJ290" s="14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</row>
    <row r="291" spans="1:47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14"/>
      <c r="AJ291" s="14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</row>
    <row r="292" spans="1:47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14"/>
      <c r="AJ292" s="14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</row>
    <row r="293" spans="1:47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14"/>
      <c r="AJ293" s="14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</row>
    <row r="294" spans="1:47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14"/>
      <c r="AJ294" s="14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</row>
    <row r="295" spans="1:47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14"/>
      <c r="AJ295" s="14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</row>
    <row r="296" spans="1:47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14"/>
      <c r="AJ296" s="14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</row>
    <row r="297" spans="1:47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14"/>
      <c r="AJ297" s="14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</row>
    <row r="298" spans="1:47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14"/>
      <c r="AJ298" s="14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</row>
    <row r="299" spans="1:47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14"/>
      <c r="AJ299" s="14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</row>
    <row r="300" spans="1:47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14"/>
      <c r="AJ300" s="14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</row>
    <row r="301" spans="1:47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14"/>
      <c r="AJ301" s="14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</row>
    <row r="302" spans="1:47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14"/>
      <c r="AJ302" s="14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</row>
    <row r="303" spans="1:47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14"/>
      <c r="AJ303" s="14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</row>
    <row r="304" spans="1:47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14"/>
      <c r="AJ304" s="14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</row>
    <row r="305" spans="1:47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14"/>
      <c r="AJ305" s="14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</row>
    <row r="306" spans="1:47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14"/>
      <c r="AJ306" s="14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</row>
    <row r="307" spans="1:47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14"/>
      <c r="AJ307" s="14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</row>
    <row r="308" spans="1:47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14"/>
      <c r="AJ308" s="14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</row>
    <row r="309" spans="1:47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14"/>
      <c r="AJ309" s="14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</row>
    <row r="310" spans="1:47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14"/>
      <c r="AJ310" s="14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</row>
    <row r="311" spans="1:47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14"/>
      <c r="AJ311" s="14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</row>
    <row r="312" spans="1:47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14"/>
      <c r="AJ312" s="14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</row>
    <row r="313" spans="1:47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14"/>
      <c r="AJ313" s="14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</row>
    <row r="314" spans="1:47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14"/>
      <c r="AJ314" s="14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</row>
    <row r="315" spans="1:47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14"/>
      <c r="AJ315" s="14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</row>
    <row r="316" spans="1:47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14"/>
      <c r="AJ316" s="14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</row>
    <row r="317" spans="1:47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14"/>
      <c r="AJ317" s="14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</row>
    <row r="318" spans="1:47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14"/>
      <c r="AJ318" s="14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</row>
    <row r="319" spans="1:47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14"/>
      <c r="AJ319" s="14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</row>
    <row r="320" spans="1:47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14"/>
      <c r="AJ320" s="14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</row>
    <row r="321" spans="1:47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14"/>
      <c r="AJ321" s="14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</row>
    <row r="322" spans="1:47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14"/>
      <c r="AJ322" s="14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</row>
    <row r="323" spans="1:47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14"/>
      <c r="AJ323" s="14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</row>
    <row r="324" spans="1:47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14"/>
      <c r="AJ324" s="14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</row>
    <row r="325" spans="1:47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14"/>
      <c r="AJ325" s="14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</row>
    <row r="326" spans="1:47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14"/>
      <c r="AJ326" s="14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</row>
    <row r="327" spans="1:47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14"/>
      <c r="AJ327" s="14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</row>
    <row r="328" spans="1:47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14"/>
      <c r="AJ328" s="14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</row>
    <row r="329" spans="1:47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14"/>
      <c r="AJ329" s="14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</row>
    <row r="330" spans="1:47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14"/>
      <c r="AJ330" s="14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</row>
    <row r="331" spans="1:47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14"/>
      <c r="AJ331" s="14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</row>
    <row r="332" spans="1:47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14"/>
      <c r="AJ332" s="14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</row>
    <row r="333" spans="1:47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14"/>
      <c r="AJ333" s="14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</row>
    <row r="334" spans="1:47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14"/>
      <c r="AJ334" s="14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</row>
    <row r="335" spans="1:47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14"/>
      <c r="AJ335" s="14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</row>
    <row r="336" spans="1:47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14"/>
      <c r="AJ336" s="14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</row>
    <row r="337" spans="1:47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14"/>
      <c r="AJ337" s="14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</row>
    <row r="338" spans="1:47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14"/>
      <c r="AJ338" s="14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</row>
    <row r="339" spans="1:47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14"/>
      <c r="AJ339" s="14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</row>
    <row r="340" spans="1:47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14"/>
      <c r="AJ340" s="14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</row>
    <row r="341" spans="1:47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14"/>
      <c r="AJ341" s="14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</row>
    <row r="342" spans="1:47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14"/>
      <c r="AJ342" s="14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</row>
    <row r="343" spans="1:47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14"/>
      <c r="AJ343" s="14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</row>
    <row r="344" spans="1:47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14"/>
      <c r="AJ344" s="14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</row>
    <row r="345" spans="1:47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14"/>
      <c r="AJ345" s="14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</row>
    <row r="346" spans="1:47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14"/>
      <c r="AJ346" s="14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</row>
    <row r="347" spans="1:47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14"/>
      <c r="AJ347" s="14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</row>
    <row r="348" spans="1:47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14"/>
      <c r="AJ348" s="14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</row>
    <row r="349" spans="1:47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14"/>
      <c r="AJ349" s="14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</row>
    <row r="350" spans="1:47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14"/>
      <c r="AJ350" s="14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</row>
    <row r="351" spans="1:47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14"/>
      <c r="AJ351" s="14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</row>
    <row r="352" spans="1:47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14"/>
      <c r="AJ352" s="14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</row>
    <row r="353" spans="1:47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14"/>
      <c r="AJ353" s="14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</row>
    <row r="354" spans="1:47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14"/>
      <c r="AJ354" s="14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</row>
    <row r="355" spans="1:47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14"/>
      <c r="AJ355" s="14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</row>
    <row r="356" spans="1:47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14"/>
      <c r="AJ356" s="14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</row>
    <row r="357" spans="1:47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14"/>
      <c r="AJ357" s="14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</row>
    <row r="358" spans="1:47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14"/>
      <c r="AJ358" s="14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</row>
    <row r="359" spans="1:47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14"/>
      <c r="AJ359" s="14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</row>
    <row r="360" spans="1:47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14"/>
      <c r="AJ360" s="14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</row>
    <row r="361" spans="1:47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14"/>
      <c r="AJ361" s="14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</row>
    <row r="362" spans="1:47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14"/>
      <c r="AJ362" s="14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</row>
    <row r="363" spans="1:47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14"/>
      <c r="AJ363" s="14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</row>
    <row r="364" spans="1:47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14"/>
      <c r="AJ364" s="14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</row>
    <row r="365" spans="1:47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14"/>
      <c r="AJ365" s="14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</row>
    <row r="366" spans="1:47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14"/>
      <c r="AJ366" s="14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</row>
    <row r="367" spans="1:47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14"/>
      <c r="AJ367" s="14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</row>
    <row r="368" spans="1:47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14"/>
      <c r="AJ368" s="14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</row>
    <row r="369" spans="1:47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14"/>
      <c r="AJ369" s="14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</row>
    <row r="370" spans="1:47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14"/>
      <c r="AJ370" s="14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</row>
    <row r="371" spans="1:47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14"/>
      <c r="AJ371" s="14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</row>
    <row r="372" spans="1:47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14"/>
      <c r="AJ372" s="14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</row>
    <row r="373" spans="1:47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14"/>
      <c r="AJ373" s="14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</row>
    <row r="374" spans="1:47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14"/>
      <c r="AJ374" s="14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</row>
    <row r="375" spans="1:47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14"/>
      <c r="AJ375" s="14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</row>
    <row r="376" spans="1:47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14"/>
      <c r="AJ376" s="14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</row>
    <row r="377" spans="1:47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14"/>
      <c r="AJ377" s="14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</row>
    <row r="378" spans="1:47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14"/>
      <c r="AJ378" s="14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</row>
    <row r="379" spans="1:47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14"/>
      <c r="AJ379" s="14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</row>
    <row r="380" spans="1:47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14"/>
      <c r="AJ380" s="14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</row>
    <row r="381" spans="1:47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14"/>
      <c r="AJ381" s="14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</row>
    <row r="382" spans="1:47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14"/>
      <c r="AJ382" s="14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</row>
    <row r="383" spans="1:47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14"/>
      <c r="AJ383" s="14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</row>
    <row r="384" spans="1:47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14"/>
      <c r="AJ384" s="14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</row>
    <row r="385" spans="1:47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14"/>
      <c r="AJ385" s="14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</row>
    <row r="386" spans="1:47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14"/>
      <c r="AJ386" s="14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</row>
    <row r="387" spans="1:47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14"/>
      <c r="AJ387" s="14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</row>
    <row r="388" spans="1:47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14"/>
      <c r="AJ388" s="14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</row>
    <row r="389" spans="1:47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14"/>
      <c r="AJ389" s="14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</row>
    <row r="390" spans="1:47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14"/>
      <c r="AJ390" s="14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</row>
    <row r="391" spans="1:47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14"/>
      <c r="AJ391" s="14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</row>
    <row r="392" spans="1:47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14"/>
      <c r="AJ392" s="14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</row>
    <row r="393" spans="1:47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14"/>
      <c r="AJ393" s="14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</row>
    <row r="394" spans="1:47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14"/>
      <c r="AJ394" s="14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</row>
    <row r="395" spans="1:47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14"/>
      <c r="AJ395" s="14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</row>
    <row r="396" spans="1:47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14"/>
      <c r="AJ396" s="14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</row>
    <row r="397" spans="1:47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14"/>
      <c r="AJ397" s="14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</row>
    <row r="398" spans="1:47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14"/>
      <c r="AJ398" s="14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</row>
    <row r="399" spans="1:47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14"/>
      <c r="AJ399" s="14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</row>
    <row r="400" spans="1:47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14"/>
      <c r="AJ400" s="14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</row>
    <row r="401" spans="1:47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14"/>
      <c r="AJ401" s="14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</row>
    <row r="402" spans="1:47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14"/>
      <c r="AJ402" s="14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</row>
    <row r="403" spans="1:47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14"/>
      <c r="AJ403" s="14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</row>
    <row r="404" spans="1:47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14"/>
      <c r="AJ404" s="14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</row>
    <row r="405" spans="1:47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14"/>
      <c r="AJ405" s="14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</row>
    <row r="406" spans="1:47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14"/>
      <c r="AJ406" s="14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</row>
    <row r="407" spans="1:47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14"/>
      <c r="AJ407" s="14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</row>
    <row r="408" spans="1:47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14"/>
      <c r="AJ408" s="14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</row>
    <row r="409" spans="1:47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14"/>
      <c r="AJ409" s="14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</row>
    <row r="410" spans="1:47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14"/>
      <c r="AJ410" s="14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</row>
    <row r="411" spans="1:47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14"/>
      <c r="AJ411" s="14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</row>
    <row r="412" spans="1:47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14"/>
      <c r="AJ412" s="14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</row>
    <row r="413" spans="1:47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14"/>
      <c r="AJ413" s="14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</row>
    <row r="414" spans="1:47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14"/>
      <c r="AJ414" s="14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</row>
    <row r="415" spans="1:47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14"/>
      <c r="AJ415" s="14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</row>
    <row r="416" spans="1:47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14"/>
      <c r="AJ416" s="14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</row>
    <row r="417" spans="1:47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14"/>
      <c r="AJ417" s="14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</row>
    <row r="418" spans="1:47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14"/>
      <c r="AJ418" s="14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</row>
    <row r="419" spans="1:47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14"/>
      <c r="AJ419" s="14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</row>
    <row r="420" spans="1:47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14"/>
      <c r="AJ420" s="14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</row>
    <row r="421" spans="1:47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14"/>
      <c r="AJ421" s="14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</row>
    <row r="422" spans="1:47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14"/>
      <c r="AJ422" s="14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</row>
    <row r="423" spans="1:47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14"/>
      <c r="AJ423" s="14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</row>
    <row r="424" spans="1:47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14"/>
      <c r="AJ424" s="14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</row>
    <row r="425" spans="1:47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14"/>
      <c r="AJ425" s="14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</row>
    <row r="426" spans="1:47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14"/>
      <c r="AJ426" s="14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</row>
    <row r="427" spans="1:47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14"/>
      <c r="AJ427" s="14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</row>
    <row r="428" spans="1:47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14"/>
      <c r="AJ428" s="14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</row>
    <row r="429" spans="1:47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14"/>
      <c r="AJ429" s="14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</row>
    <row r="430" spans="1:47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14"/>
      <c r="AJ430" s="14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</row>
    <row r="431" spans="1:47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14"/>
      <c r="AJ431" s="14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</row>
    <row r="432" spans="1:47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14"/>
      <c r="AJ432" s="14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</row>
    <row r="433" spans="1:47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14"/>
      <c r="AJ433" s="14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</row>
    <row r="434" spans="1:47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14"/>
      <c r="AJ434" s="14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</row>
    <row r="435" spans="1:47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14"/>
      <c r="AJ435" s="14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</row>
    <row r="436" spans="1:47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14"/>
      <c r="AJ436" s="14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</row>
    <row r="437" spans="1:47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14"/>
      <c r="AJ437" s="14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</row>
    <row r="438" spans="1:47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14"/>
      <c r="AJ438" s="14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</row>
    <row r="439" spans="1:47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14"/>
      <c r="AJ439" s="14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</row>
    <row r="440" spans="1:47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14"/>
      <c r="AJ440" s="14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</row>
    <row r="441" spans="1:47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14"/>
      <c r="AJ441" s="14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</row>
    <row r="442" spans="1:47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14"/>
      <c r="AJ442" s="14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</row>
    <row r="443" spans="1:47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14"/>
      <c r="AJ443" s="14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</row>
    <row r="444" spans="1:47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14"/>
      <c r="AJ444" s="14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</row>
    <row r="445" spans="1:47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14"/>
      <c r="AJ445" s="14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</row>
    <row r="446" spans="1:47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14"/>
      <c r="AJ446" s="14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</row>
    <row r="447" spans="1:47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14"/>
      <c r="AJ447" s="14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</row>
    <row r="448" spans="1:47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14"/>
      <c r="AJ448" s="14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</row>
    <row r="449" spans="1:47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14"/>
      <c r="AJ449" s="14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</row>
    <row r="450" spans="1:47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14"/>
      <c r="AJ450" s="14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</row>
    <row r="451" spans="1:47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14"/>
      <c r="AJ451" s="14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</row>
    <row r="452" spans="1:47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14"/>
      <c r="AJ452" s="14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</row>
    <row r="453" spans="1:47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14"/>
      <c r="AJ453" s="14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</row>
    <row r="454" spans="1:47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14"/>
      <c r="AJ454" s="14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</row>
    <row r="455" spans="1:47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14"/>
      <c r="AJ455" s="14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</row>
    <row r="456" spans="1:47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14"/>
      <c r="AJ456" s="14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</row>
    <row r="457" spans="1:47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14"/>
      <c r="AJ457" s="14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</row>
    <row r="458" spans="1:47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14"/>
      <c r="AJ458" s="14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</row>
    <row r="459" spans="1:47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14"/>
      <c r="AJ459" s="14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</row>
    <row r="460" spans="1:47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14"/>
      <c r="AJ460" s="14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</row>
    <row r="461" spans="1:47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14"/>
      <c r="AJ461" s="14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</row>
    <row r="462" spans="1:47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14"/>
      <c r="AJ462" s="14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</row>
    <row r="463" spans="1:47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14"/>
      <c r="AJ463" s="14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</row>
    <row r="464" spans="1:47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14"/>
      <c r="AJ464" s="14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</row>
    <row r="465" spans="1:47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14"/>
      <c r="AJ465" s="14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</row>
    <row r="466" spans="1:47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14"/>
      <c r="AJ466" s="14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</row>
    <row r="467" spans="1:47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14"/>
      <c r="AJ467" s="14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</row>
    <row r="468" spans="1:47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14"/>
      <c r="AJ468" s="14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</row>
    <row r="469" spans="1:47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14"/>
      <c r="AJ469" s="14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</row>
    <row r="470" spans="1:47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14"/>
      <c r="AJ470" s="14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</row>
    <row r="471" spans="1:47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14"/>
      <c r="AJ471" s="14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</row>
    <row r="472" spans="1:47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14"/>
      <c r="AJ472" s="14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</row>
    <row r="473" spans="1:47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14"/>
      <c r="AJ473" s="14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</row>
    <row r="474" spans="1:47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14"/>
      <c r="AJ474" s="14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</row>
    <row r="475" spans="1:47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14"/>
      <c r="AJ475" s="14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</row>
    <row r="476" spans="1:47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14"/>
      <c r="AJ476" s="14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</row>
    <row r="477" spans="1:47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14"/>
      <c r="AJ477" s="14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</row>
    <row r="478" spans="1:47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14"/>
      <c r="AJ478" s="14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</row>
    <row r="479" spans="1:47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14"/>
      <c r="AJ479" s="14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</row>
    <row r="480" spans="1:47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14"/>
      <c r="AJ480" s="14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</row>
    <row r="481" spans="1:47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14"/>
      <c r="AJ481" s="14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</row>
    <row r="482" spans="1:47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14"/>
      <c r="AJ482" s="14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</row>
    <row r="483" spans="1:47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14"/>
      <c r="AJ483" s="14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</row>
    <row r="484" spans="1:47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14"/>
      <c r="AJ484" s="14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</row>
    <row r="485" spans="1:47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14"/>
      <c r="AJ485" s="14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</row>
    <row r="486" spans="1:47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14"/>
      <c r="AJ486" s="14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</row>
    <row r="487" spans="1:47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14"/>
      <c r="AJ487" s="14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</row>
    <row r="488" spans="1:47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14"/>
      <c r="AJ488" s="14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</row>
    <row r="489" spans="1:47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14"/>
      <c r="AJ489" s="14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</row>
    <row r="490" spans="1:47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14"/>
      <c r="AJ490" s="14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</row>
    <row r="491" spans="1:47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14"/>
      <c r="AJ491" s="14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</row>
    <row r="492" spans="1:47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14"/>
      <c r="AJ492" s="14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</row>
    <row r="493" spans="1:47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14"/>
      <c r="AJ493" s="14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</row>
    <row r="494" spans="1:47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14"/>
      <c r="AJ494" s="14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</row>
    <row r="495" spans="1:47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14"/>
      <c r="AJ495" s="14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</row>
    <row r="496" spans="1:47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14"/>
      <c r="AJ496" s="14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</row>
    <row r="497" spans="1:47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14"/>
      <c r="AJ497" s="14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</row>
    <row r="498" spans="1:47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14"/>
      <c r="AJ498" s="14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</row>
    <row r="499" spans="1:47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14"/>
      <c r="AJ499" s="14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</row>
    <row r="500" spans="1:47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14"/>
      <c r="AJ500" s="14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</row>
    <row r="501" spans="1:47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14"/>
      <c r="AJ501" s="14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</row>
    <row r="502" spans="1:47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14"/>
      <c r="AJ502" s="14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</row>
    <row r="503" spans="1:47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14"/>
      <c r="AJ503" s="14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</row>
    <row r="504" spans="1:47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14"/>
      <c r="AJ504" s="14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</row>
    <row r="505" spans="1:47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14"/>
      <c r="AJ505" s="14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</row>
    <row r="506" spans="1:47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14"/>
      <c r="AJ506" s="14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</row>
    <row r="507" spans="1:47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14"/>
      <c r="AJ507" s="14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</row>
    <row r="508" spans="1:47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14"/>
      <c r="AJ508" s="14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</row>
    <row r="509" spans="1:47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14"/>
      <c r="AJ509" s="14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</row>
    <row r="510" spans="1:47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14"/>
      <c r="AJ510" s="14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</row>
    <row r="511" spans="1:47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14"/>
      <c r="AJ511" s="14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</row>
    <row r="512" spans="1:47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14"/>
      <c r="AJ512" s="14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</row>
    <row r="513" spans="1:47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14"/>
      <c r="AJ513" s="14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</row>
    <row r="514" spans="1:47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14"/>
      <c r="AJ514" s="14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</row>
    <row r="515" spans="1:47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14"/>
      <c r="AJ515" s="14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</row>
    <row r="516" spans="1:47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14"/>
      <c r="AJ516" s="14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</row>
    <row r="517" spans="1:47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14"/>
      <c r="AJ517" s="14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</row>
    <row r="518" spans="1:47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14"/>
      <c r="AJ518" s="14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</row>
    <row r="519" spans="1:47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14"/>
      <c r="AJ519" s="14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</row>
    <row r="520" spans="1:47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14"/>
      <c r="AJ520" s="14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</row>
    <row r="521" spans="1:47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14"/>
      <c r="AJ521" s="14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</row>
    <row r="522" spans="1:47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14"/>
      <c r="AJ522" s="14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</row>
    <row r="523" spans="1:47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14"/>
      <c r="AJ523" s="14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</row>
    <row r="524" spans="1:47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14"/>
      <c r="AJ524" s="14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</row>
    <row r="525" spans="1:47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14"/>
      <c r="AJ525" s="14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</row>
    <row r="526" spans="1:47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14"/>
      <c r="AJ526" s="14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</row>
    <row r="527" spans="1:47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14"/>
      <c r="AJ527" s="14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</row>
    <row r="528" spans="1:47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14"/>
      <c r="AJ528" s="14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</row>
    <row r="529" spans="1:47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14"/>
      <c r="AJ529" s="14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</row>
    <row r="530" spans="1:47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14"/>
      <c r="AJ530" s="14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</row>
    <row r="531" spans="1:47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14"/>
      <c r="AJ531" s="14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</row>
    <row r="532" spans="1:47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14"/>
      <c r="AJ532" s="14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</row>
    <row r="533" spans="1:47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14"/>
      <c r="AJ533" s="14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</row>
    <row r="534" spans="1:47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14"/>
      <c r="AJ534" s="14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</row>
    <row r="535" spans="1:47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14"/>
      <c r="AJ535" s="14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</row>
    <row r="536" spans="1:47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14"/>
      <c r="AJ536" s="14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</row>
    <row r="537" spans="1:47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14"/>
      <c r="AJ537" s="14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</row>
    <row r="538" spans="1:47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14"/>
      <c r="AJ538" s="14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</row>
    <row r="539" spans="1:47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14"/>
      <c r="AJ539" s="14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</row>
    <row r="540" spans="1:47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14"/>
      <c r="AJ540" s="14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</row>
    <row r="541" spans="1:47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14"/>
      <c r="AJ541" s="14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</row>
    <row r="542" spans="1:47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14"/>
      <c r="AJ542" s="14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</row>
    <row r="543" spans="1:47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14"/>
      <c r="AJ543" s="14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</row>
    <row r="544" spans="1:47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14"/>
      <c r="AJ544" s="14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</row>
    <row r="545" spans="1:47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14"/>
      <c r="AJ545" s="14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</row>
    <row r="546" spans="1:47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14"/>
      <c r="AJ546" s="14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</row>
    <row r="547" spans="1:47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14"/>
      <c r="AJ547" s="14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</row>
    <row r="548" spans="1:47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14"/>
      <c r="AJ548" s="14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</row>
    <row r="549" spans="1:47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14"/>
      <c r="AJ549" s="14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</row>
    <row r="550" spans="1:47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14"/>
      <c r="AJ550" s="14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</row>
    <row r="551" spans="1:47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14"/>
      <c r="AJ551" s="14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</row>
    <row r="552" spans="1:47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14"/>
      <c r="AJ552" s="14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</row>
    <row r="553" spans="1:47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14"/>
      <c r="AJ553" s="14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</row>
    <row r="554" spans="1:47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14"/>
      <c r="AJ554" s="14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</row>
    <row r="555" spans="1:47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14"/>
      <c r="AJ555" s="14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</row>
    <row r="556" spans="1:47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14"/>
      <c r="AJ556" s="14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</row>
    <row r="557" spans="1:47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14"/>
      <c r="AJ557" s="14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</row>
    <row r="558" spans="1:47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14"/>
      <c r="AJ558" s="14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</row>
    <row r="559" spans="1:47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14"/>
      <c r="AJ559" s="14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</row>
    <row r="560" spans="1:47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14"/>
      <c r="AJ560" s="14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</row>
    <row r="561" spans="1:47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14"/>
      <c r="AJ561" s="14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</row>
    <row r="562" spans="1:47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14"/>
      <c r="AJ562" s="14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</row>
    <row r="563" spans="1:47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14"/>
      <c r="AJ563" s="14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</row>
    <row r="564" spans="1:47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14"/>
      <c r="AJ564" s="14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</row>
    <row r="565" spans="1:47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14"/>
      <c r="AJ565" s="14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</row>
    <row r="566" spans="1:47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14"/>
      <c r="AJ566" s="14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</row>
    <row r="567" spans="1:47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14"/>
      <c r="AJ567" s="14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</row>
    <row r="568" spans="1:47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14"/>
      <c r="AJ568" s="14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</row>
    <row r="569" spans="1:47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14"/>
      <c r="AJ569" s="14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</row>
    <row r="570" spans="1:47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14"/>
      <c r="AJ570" s="14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</row>
    <row r="571" spans="1:47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14"/>
      <c r="AJ571" s="14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</row>
    <row r="572" spans="1:47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14"/>
      <c r="AJ572" s="14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</row>
    <row r="573" spans="1:47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14"/>
      <c r="AJ573" s="14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</row>
    <row r="574" spans="1:47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14"/>
      <c r="AJ574" s="14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</row>
    <row r="575" spans="1:47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14"/>
      <c r="AJ575" s="14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</row>
    <row r="576" spans="1:47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14"/>
      <c r="AJ576" s="14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</row>
    <row r="577" spans="1:47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14"/>
      <c r="AJ577" s="14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</row>
    <row r="578" spans="1:47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14"/>
      <c r="AJ578" s="14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</row>
    <row r="579" spans="1:47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14"/>
      <c r="AJ579" s="14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</row>
    <row r="580" spans="1:47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14"/>
      <c r="AJ580" s="14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</row>
    <row r="581" spans="1:47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14"/>
      <c r="AJ581" s="14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</row>
    <row r="582" spans="1:47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14"/>
      <c r="AJ582" s="14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</row>
    <row r="583" spans="1:47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14"/>
      <c r="AJ583" s="14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</row>
    <row r="584" spans="1:47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14"/>
      <c r="AJ584" s="14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</row>
    <row r="585" spans="1:47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14"/>
      <c r="AJ585" s="14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</row>
    <row r="586" spans="1:47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14"/>
      <c r="AJ586" s="14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</row>
    <row r="587" spans="1:47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14"/>
      <c r="AJ587" s="14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</row>
    <row r="588" spans="1:47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14"/>
      <c r="AJ588" s="14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</row>
    <row r="589" spans="1:47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14"/>
      <c r="AJ589" s="14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</row>
    <row r="590" spans="1:47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14"/>
      <c r="AJ590" s="14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</row>
    <row r="591" spans="1:47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14"/>
      <c r="AJ591" s="14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</row>
    <row r="592" spans="1:47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14"/>
      <c r="AJ592" s="14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</row>
    <row r="593" spans="1:47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14"/>
      <c r="AJ593" s="14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</row>
    <row r="594" spans="1:47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14"/>
      <c r="AJ594" s="14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</row>
    <row r="595" spans="1:47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14"/>
      <c r="AJ595" s="14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</row>
    <row r="596" spans="1:47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14"/>
      <c r="AJ596" s="14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</row>
    <row r="597" spans="1:47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14"/>
      <c r="AJ597" s="14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</row>
    <row r="598" spans="1:47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14"/>
      <c r="AJ598" s="14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</row>
    <row r="599" spans="1:47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14"/>
      <c r="AJ599" s="14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</row>
    <row r="600" spans="1:47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14"/>
      <c r="AJ600" s="14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</row>
    <row r="601" spans="1:47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14"/>
      <c r="AJ601" s="14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</row>
    <row r="602" spans="1:47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14"/>
      <c r="AJ602" s="14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</row>
    <row r="603" spans="1:47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14"/>
      <c r="AJ603" s="14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</row>
    <row r="604" spans="1:47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14"/>
      <c r="AJ604" s="14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</row>
    <row r="605" spans="1:47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14"/>
      <c r="AJ605" s="14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</row>
    <row r="606" spans="1:47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14"/>
      <c r="AJ606" s="14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</row>
    <row r="607" spans="1:47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14"/>
      <c r="AJ607" s="14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</row>
    <row r="608" spans="1:47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14"/>
      <c r="AJ608" s="14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</row>
    <row r="609" spans="1:47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14"/>
      <c r="AJ609" s="14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</row>
    <row r="610" spans="1:47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14"/>
      <c r="AJ610" s="14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</row>
    <row r="611" spans="1:47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14"/>
      <c r="AJ611" s="14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</row>
    <row r="612" spans="1:47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14"/>
      <c r="AJ612" s="14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</row>
    <row r="613" spans="1:47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14"/>
      <c r="AJ613" s="14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</row>
    <row r="614" spans="1:47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14"/>
      <c r="AJ614" s="14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</row>
    <row r="615" spans="1:47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14"/>
      <c r="AJ615" s="14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</row>
    <row r="616" spans="1:47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14"/>
      <c r="AJ616" s="14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</row>
    <row r="617" spans="1:47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14"/>
      <c r="AJ617" s="14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</row>
    <row r="618" spans="1:47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14"/>
      <c r="AJ618" s="14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</row>
    <row r="619" spans="1:47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14"/>
      <c r="AJ619" s="14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</row>
    <row r="620" spans="1:47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14"/>
      <c r="AJ620" s="14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</row>
    <row r="621" spans="1:47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14"/>
      <c r="AJ621" s="14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</row>
    <row r="622" spans="1:47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14"/>
      <c r="AJ622" s="14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</row>
    <row r="623" spans="1:47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14"/>
      <c r="AJ623" s="14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</row>
    <row r="624" spans="1:47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14"/>
      <c r="AJ624" s="14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</row>
    <row r="625" spans="1:47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14"/>
      <c r="AJ625" s="14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</row>
    <row r="626" spans="1:47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14"/>
      <c r="AJ626" s="14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</row>
    <row r="627" spans="1:47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14"/>
      <c r="AJ627" s="14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</row>
    <row r="628" spans="1:47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14"/>
      <c r="AJ628" s="14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</row>
    <row r="629" spans="1:47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14"/>
      <c r="AJ629" s="14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</row>
    <row r="630" spans="1:47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14"/>
      <c r="AJ630" s="14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</row>
    <row r="631" spans="1:47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14"/>
      <c r="AJ631" s="14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</row>
    <row r="632" spans="1:47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14"/>
      <c r="AJ632" s="14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</row>
    <row r="633" spans="1:47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14"/>
      <c r="AJ633" s="14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</row>
    <row r="634" spans="1:47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14"/>
      <c r="AJ634" s="14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</row>
    <row r="635" spans="1:47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14"/>
      <c r="AJ635" s="14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</row>
    <row r="636" spans="1:47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14"/>
      <c r="AJ636" s="14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</row>
    <row r="637" spans="1:47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14"/>
      <c r="AJ637" s="14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</row>
    <row r="638" spans="1:47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14"/>
      <c r="AJ638" s="14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</row>
    <row r="639" spans="1:47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14"/>
      <c r="AJ639" s="14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</row>
    <row r="640" spans="1:47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14"/>
      <c r="AJ640" s="14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</row>
    <row r="641" spans="1:47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14"/>
      <c r="AJ641" s="14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</row>
    <row r="642" spans="1:47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14"/>
      <c r="AJ642" s="14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</row>
    <row r="643" spans="1:47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14"/>
      <c r="AJ643" s="14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</row>
    <row r="644" spans="1:47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14"/>
      <c r="AJ644" s="14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</row>
    <row r="645" spans="1:47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14"/>
      <c r="AJ645" s="14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</row>
    <row r="646" spans="1:47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14"/>
      <c r="AJ646" s="14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</row>
    <row r="647" spans="1:47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14"/>
      <c r="AJ647" s="14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</row>
    <row r="648" spans="1:47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14"/>
      <c r="AJ648" s="14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</row>
    <row r="649" spans="1:47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14"/>
      <c r="AJ649" s="14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</row>
    <row r="650" spans="1:47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14"/>
      <c r="AJ650" s="14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</row>
    <row r="651" spans="1:47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14"/>
      <c r="AJ651" s="14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</row>
    <row r="652" spans="1:47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14"/>
      <c r="AJ652" s="14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</row>
    <row r="653" spans="1:47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14"/>
      <c r="AJ653" s="14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</row>
    <row r="654" spans="1:47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14"/>
      <c r="AJ654" s="14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</row>
    <row r="655" spans="1:47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14"/>
      <c r="AJ655" s="14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</row>
    <row r="656" spans="1:47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14"/>
      <c r="AJ656" s="14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</row>
    <row r="657" spans="1:47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14"/>
      <c r="AJ657" s="14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</row>
    <row r="658" spans="1:47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14"/>
      <c r="AJ658" s="14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</row>
    <row r="659" spans="1:47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14"/>
      <c r="AJ659" s="14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</row>
    <row r="660" spans="1:47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14"/>
      <c r="AJ660" s="14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</row>
    <row r="661" spans="1:47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14"/>
      <c r="AJ661" s="14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</row>
    <row r="662" spans="1:47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14"/>
      <c r="AJ662" s="14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</row>
    <row r="663" spans="1:47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14"/>
      <c r="AJ663" s="14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</row>
    <row r="664" spans="1:47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14"/>
      <c r="AJ664" s="14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</row>
    <row r="665" spans="1:47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14"/>
      <c r="AJ665" s="14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</row>
    <row r="666" spans="1:47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14"/>
      <c r="AJ666" s="14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</row>
    <row r="667" spans="1:47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14"/>
      <c r="AJ667" s="14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</row>
    <row r="668" spans="1:47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14"/>
      <c r="AJ668" s="14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</row>
    <row r="669" spans="1:47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14"/>
      <c r="AJ669" s="14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</row>
    <row r="670" spans="1:47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14"/>
      <c r="AJ670" s="14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</row>
    <row r="671" spans="1:47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14"/>
      <c r="AJ671" s="14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</row>
    <row r="672" spans="1:47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14"/>
      <c r="AJ672" s="14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</row>
    <row r="673" spans="1:47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14"/>
      <c r="AJ673" s="14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</row>
    <row r="674" spans="1:47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14"/>
      <c r="AJ674" s="14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</row>
    <row r="675" spans="1:47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14"/>
      <c r="AJ675" s="14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</row>
    <row r="676" spans="1:47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14"/>
      <c r="AJ676" s="14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</row>
    <row r="677" spans="1:47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14"/>
      <c r="AJ677" s="14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</row>
    <row r="678" spans="1:47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14"/>
      <c r="AJ678" s="14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</row>
    <row r="679" spans="1:47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14"/>
      <c r="AJ679" s="14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</row>
    <row r="680" spans="1:47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14"/>
      <c r="AJ680" s="14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</row>
    <row r="681" spans="1:47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14"/>
      <c r="AJ681" s="14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</row>
    <row r="682" spans="1:47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14"/>
      <c r="AJ682" s="14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</row>
    <row r="683" spans="1:47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14"/>
      <c r="AJ683" s="14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</row>
    <row r="684" spans="1:47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14"/>
      <c r="AJ684" s="14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</row>
    <row r="685" spans="1:47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14"/>
      <c r="AJ685" s="14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</row>
    <row r="686" spans="1:47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14"/>
      <c r="AJ686" s="14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</row>
    <row r="687" spans="1:47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14"/>
      <c r="AJ687" s="14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</row>
    <row r="688" spans="1:47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14"/>
      <c r="AJ688" s="14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</row>
    <row r="689" spans="1:47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14"/>
      <c r="AJ689" s="14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</row>
    <row r="690" spans="1:47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14"/>
      <c r="AJ690" s="14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</row>
    <row r="691" spans="1:47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14"/>
      <c r="AJ691" s="14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</row>
    <row r="692" spans="1:47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14"/>
      <c r="AJ692" s="14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</row>
    <row r="693" spans="1:47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14"/>
      <c r="AJ693" s="14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</row>
    <row r="694" spans="1:47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14"/>
      <c r="AJ694" s="14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</row>
    <row r="695" spans="1:47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14"/>
      <c r="AJ695" s="14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</row>
    <row r="696" spans="1:47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14"/>
      <c r="AJ696" s="14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</row>
    <row r="697" spans="1:47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14"/>
      <c r="AJ697" s="14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</row>
    <row r="698" spans="1:47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14"/>
      <c r="AJ698" s="14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</row>
    <row r="699" spans="1:47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14"/>
      <c r="AJ699" s="14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</row>
    <row r="700" spans="1:47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14"/>
      <c r="AJ700" s="14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</row>
    <row r="701" spans="1:47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14"/>
      <c r="AJ701" s="14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</row>
    <row r="702" spans="1:47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14"/>
      <c r="AJ702" s="14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</row>
    <row r="703" spans="1:47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14"/>
      <c r="AJ703" s="14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</row>
    <row r="704" spans="1:47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14"/>
      <c r="AJ704" s="14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</row>
    <row r="705" spans="1:47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14"/>
      <c r="AJ705" s="14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</row>
    <row r="706" spans="1:47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14"/>
      <c r="AJ706" s="14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</row>
    <row r="707" spans="1:47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14"/>
      <c r="AJ707" s="14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</row>
    <row r="708" spans="1:47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14"/>
      <c r="AJ708" s="14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</row>
    <row r="709" spans="1:47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14"/>
      <c r="AJ709" s="14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</row>
    <row r="710" spans="1:47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14"/>
      <c r="AJ710" s="14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</row>
    <row r="711" spans="1:47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14"/>
      <c r="AJ711" s="14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</row>
    <row r="712" spans="1:47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14"/>
      <c r="AJ712" s="14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</row>
    <row r="713" spans="1:47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14"/>
      <c r="AJ713" s="14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</row>
    <row r="714" spans="1:47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14"/>
      <c r="AJ714" s="14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</row>
    <row r="715" spans="1:47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14"/>
      <c r="AJ715" s="14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</row>
    <row r="716" spans="1:47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14"/>
      <c r="AJ716" s="14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</row>
    <row r="717" spans="1:47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14"/>
      <c r="AJ717" s="14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</row>
    <row r="718" spans="1:47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14"/>
      <c r="AJ718" s="14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</row>
    <row r="719" spans="1:47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14"/>
      <c r="AJ719" s="14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</row>
    <row r="720" spans="1:47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14"/>
      <c r="AJ720" s="14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</row>
    <row r="721" spans="1:47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14"/>
      <c r="AJ721" s="14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</row>
    <row r="722" spans="1:47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14"/>
      <c r="AJ722" s="14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</row>
    <row r="723" spans="1:47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14"/>
      <c r="AJ723" s="14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</row>
    <row r="724" spans="1:47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14"/>
      <c r="AJ724" s="14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</row>
    <row r="725" spans="1:47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14"/>
      <c r="AJ725" s="14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</row>
    <row r="726" spans="1:47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14"/>
      <c r="AJ726" s="14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</row>
    <row r="727" spans="1:47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14"/>
      <c r="AJ727" s="14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</row>
    <row r="728" spans="1:47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14"/>
      <c r="AJ728" s="14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</row>
    <row r="729" spans="1:47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14"/>
      <c r="AJ729" s="14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</row>
    <row r="730" spans="1:47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14"/>
      <c r="AJ730" s="14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</row>
    <row r="731" spans="1:47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14"/>
      <c r="AJ731" s="14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</row>
    <row r="732" spans="1:47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14"/>
      <c r="AJ732" s="14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</row>
    <row r="733" spans="1:47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14"/>
      <c r="AJ733" s="14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</row>
    <row r="734" spans="1:47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14"/>
      <c r="AJ734" s="14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</row>
    <row r="735" spans="1:47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14"/>
      <c r="AJ735" s="14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</row>
    <row r="736" spans="1:47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14"/>
      <c r="AJ736" s="14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</row>
    <row r="737" spans="1:47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14"/>
      <c r="AJ737" s="14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</row>
    <row r="738" spans="1:47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14"/>
      <c r="AJ738" s="14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</row>
    <row r="739" spans="1:47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14"/>
      <c r="AJ739" s="14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</row>
    <row r="740" spans="1:47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14"/>
      <c r="AJ740" s="14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</row>
    <row r="741" spans="1:47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14"/>
      <c r="AJ741" s="14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</row>
    <row r="742" spans="1:47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14"/>
      <c r="AJ742" s="14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</row>
    <row r="743" spans="1:47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14"/>
      <c r="AJ743" s="14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</row>
    <row r="744" spans="1:47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14"/>
      <c r="AJ744" s="14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</row>
    <row r="745" spans="1:47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14"/>
      <c r="AJ745" s="14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</row>
    <row r="746" spans="1:47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14"/>
      <c r="AJ746" s="14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</row>
    <row r="747" spans="1:47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14"/>
      <c r="AJ747" s="14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</row>
    <row r="748" spans="1:47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14"/>
      <c r="AJ748" s="14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</row>
    <row r="749" spans="1:47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14"/>
      <c r="AJ749" s="14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</row>
    <row r="750" spans="1:47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14"/>
      <c r="AJ750" s="14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</row>
    <row r="751" spans="1:47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14"/>
      <c r="AJ751" s="14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</row>
    <row r="752" spans="1:47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14"/>
      <c r="AJ752" s="14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</row>
    <row r="753" spans="1:47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14"/>
      <c r="AJ753" s="14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</row>
    <row r="754" spans="1:47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14"/>
      <c r="AJ754" s="14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</row>
    <row r="755" spans="1:47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14"/>
      <c r="AJ755" s="14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</row>
    <row r="756" spans="1:47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14"/>
      <c r="AJ756" s="14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</row>
    <row r="757" spans="1:47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14"/>
      <c r="AJ757" s="14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</row>
    <row r="758" spans="1:47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14"/>
      <c r="AJ758" s="14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</row>
    <row r="759" spans="1:47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14"/>
      <c r="AJ759" s="14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</row>
    <row r="760" spans="1:47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14"/>
      <c r="AJ760" s="14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</row>
    <row r="761" spans="1:47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14"/>
      <c r="AJ761" s="14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</row>
    <row r="762" spans="1:47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14"/>
      <c r="AJ762" s="14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</row>
    <row r="763" spans="1:47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14"/>
      <c r="AJ763" s="14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</row>
    <row r="764" spans="1:47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14"/>
      <c r="AJ764" s="14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</row>
    <row r="765" spans="1:47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14"/>
      <c r="AJ765" s="14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</row>
    <row r="766" spans="1:47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14"/>
      <c r="AJ766" s="14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</row>
    <row r="767" spans="1:47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14"/>
      <c r="AJ767" s="14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</row>
    <row r="768" spans="1:47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14"/>
      <c r="AJ768" s="14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</row>
    <row r="769" spans="1:47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14"/>
      <c r="AJ769" s="14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</row>
    <row r="770" spans="1:47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14"/>
      <c r="AJ770" s="14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</row>
    <row r="771" spans="1:47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14"/>
      <c r="AJ771" s="14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</row>
    <row r="772" spans="1:47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14"/>
      <c r="AJ772" s="14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</row>
    <row r="773" spans="1:47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14"/>
      <c r="AJ773" s="14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</row>
    <row r="774" spans="1:47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14"/>
      <c r="AJ774" s="14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</row>
    <row r="775" spans="1:47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14"/>
      <c r="AJ775" s="14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</row>
    <row r="776" spans="1:47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14"/>
      <c r="AJ776" s="14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</row>
    <row r="777" spans="1:47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14"/>
      <c r="AJ777" s="14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</row>
    <row r="778" spans="1:47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14"/>
      <c r="AJ778" s="14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</row>
    <row r="779" spans="1:47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14"/>
      <c r="AJ779" s="14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</row>
    <row r="780" spans="1:47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14"/>
      <c r="AJ780" s="14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</row>
    <row r="781" spans="1:47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14"/>
      <c r="AJ781" s="14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</row>
    <row r="782" spans="1:47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14"/>
      <c r="AJ782" s="14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</row>
    <row r="783" spans="1:47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14"/>
      <c r="AJ783" s="14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</row>
    <row r="784" spans="1:47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14"/>
      <c r="AJ784" s="14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</row>
    <row r="785" spans="1:47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14"/>
      <c r="AJ785" s="14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</row>
    <row r="786" spans="1:47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14"/>
      <c r="AJ786" s="14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</row>
    <row r="787" spans="1:47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14"/>
      <c r="AJ787" s="14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</row>
    <row r="788" spans="1:47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14"/>
      <c r="AJ788" s="14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</row>
    <row r="789" spans="1:47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14"/>
      <c r="AJ789" s="14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</row>
    <row r="790" spans="1:47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14"/>
      <c r="AJ790" s="14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</row>
    <row r="791" spans="1:47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14"/>
      <c r="AJ791" s="14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</row>
    <row r="792" spans="1:47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14"/>
      <c r="AJ792" s="14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</row>
    <row r="793" spans="1:47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14"/>
      <c r="AJ793" s="14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</row>
    <row r="794" spans="1:47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14"/>
      <c r="AJ794" s="14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</row>
    <row r="795" spans="1:47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14"/>
      <c r="AJ795" s="14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</row>
    <row r="796" spans="1:47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14"/>
      <c r="AJ796" s="14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</row>
    <row r="797" spans="1:47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14"/>
      <c r="AJ797" s="14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</row>
    <row r="798" spans="1:47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14"/>
      <c r="AJ798" s="14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</row>
    <row r="799" spans="1:47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14"/>
      <c r="AJ799" s="14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</row>
    <row r="800" spans="1:47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14"/>
      <c r="AJ800" s="14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</row>
    <row r="801" spans="1:47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14"/>
      <c r="AJ801" s="14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</row>
    <row r="802" spans="1:47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14"/>
      <c r="AJ802" s="14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</row>
    <row r="803" spans="1:47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14"/>
      <c r="AJ803" s="14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</row>
    <row r="804" spans="1:47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14"/>
      <c r="AJ804" s="14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</row>
    <row r="805" spans="1:47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14"/>
      <c r="AJ805" s="14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</row>
    <row r="806" spans="1:47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14"/>
      <c r="AJ806" s="14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</row>
    <row r="807" spans="1:47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14"/>
      <c r="AJ807" s="14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</row>
    <row r="808" spans="1:47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14"/>
      <c r="AJ808" s="14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</row>
    <row r="809" spans="1:47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14"/>
      <c r="AJ809" s="14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</row>
    <row r="810" spans="1:47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14"/>
      <c r="AJ810" s="14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</row>
    <row r="811" spans="1:47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14"/>
      <c r="AJ811" s="14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</row>
    <row r="812" spans="1:47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14"/>
      <c r="AJ812" s="14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</row>
    <row r="813" spans="1:47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14"/>
      <c r="AJ813" s="14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</row>
    <row r="814" spans="1:47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14"/>
      <c r="AJ814" s="14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</row>
    <row r="815" spans="1:47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14"/>
      <c r="AJ815" s="14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</row>
    <row r="816" spans="1:47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14"/>
      <c r="AJ816" s="14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</row>
    <row r="817" spans="1:47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14"/>
      <c r="AJ817" s="14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</row>
    <row r="818" spans="1:47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14"/>
      <c r="AJ818" s="14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</row>
    <row r="819" spans="1:47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14"/>
      <c r="AJ819" s="14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</row>
    <row r="820" spans="1:47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14"/>
      <c r="AJ820" s="14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</row>
    <row r="821" spans="1:47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14"/>
      <c r="AJ821" s="14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</row>
    <row r="822" spans="1:47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14"/>
      <c r="AJ822" s="14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</row>
    <row r="823" spans="1:47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14"/>
      <c r="AJ823" s="14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</row>
    <row r="824" spans="1:47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14"/>
      <c r="AJ824" s="14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</row>
    <row r="825" spans="1:47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14"/>
      <c r="AJ825" s="14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</row>
    <row r="826" spans="1:47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14"/>
      <c r="AJ826" s="14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</row>
    <row r="827" spans="1:47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14"/>
      <c r="AJ827" s="14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</row>
    <row r="828" spans="1:47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14"/>
      <c r="AJ828" s="14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</row>
    <row r="829" spans="1:47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14"/>
      <c r="AJ829" s="14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</row>
    <row r="830" spans="1:47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14"/>
      <c r="AJ830" s="14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</row>
    <row r="831" spans="1:47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14"/>
      <c r="AJ831" s="14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</row>
    <row r="832" spans="1:47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14"/>
      <c r="AJ832" s="14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</row>
    <row r="833" spans="1:47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14"/>
      <c r="AJ833" s="14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</row>
    <row r="834" spans="1:47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14"/>
      <c r="AJ834" s="14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</row>
    <row r="835" spans="1:47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14"/>
      <c r="AJ835" s="14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</row>
    <row r="836" spans="1:47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14"/>
      <c r="AJ836" s="14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</row>
    <row r="837" spans="1:47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14"/>
      <c r="AJ837" s="14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</row>
    <row r="838" spans="1:47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14"/>
      <c r="AJ838" s="14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</row>
    <row r="839" spans="1:47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14"/>
      <c r="AJ839" s="14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</row>
    <row r="840" spans="1:47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14"/>
      <c r="AJ840" s="14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</row>
    <row r="841" spans="1:47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14"/>
      <c r="AJ841" s="14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</row>
    <row r="842" spans="1:47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14"/>
      <c r="AJ842" s="14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</row>
    <row r="843" spans="1:47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14"/>
      <c r="AJ843" s="14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</row>
    <row r="844" spans="1:47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14"/>
      <c r="AJ844" s="14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</row>
    <row r="845" spans="1:47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14"/>
      <c r="AJ845" s="14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</row>
    <row r="846" spans="1:47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14"/>
      <c r="AJ846" s="14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</row>
    <row r="847" spans="1:47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14"/>
      <c r="AJ847" s="14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</row>
    <row r="848" spans="1:47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14"/>
      <c r="AJ848" s="14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</row>
    <row r="849" spans="1:47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14"/>
      <c r="AJ849" s="14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</row>
    <row r="850" spans="1:47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14"/>
      <c r="AJ850" s="14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</row>
    <row r="851" spans="1:47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14"/>
      <c r="AJ851" s="14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</row>
    <row r="852" spans="1:47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14"/>
      <c r="AJ852" s="14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</row>
    <row r="853" spans="1:47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14"/>
      <c r="AJ853" s="14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</row>
    <row r="854" spans="1:47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14"/>
      <c r="AJ854" s="14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</row>
    <row r="855" spans="1:47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14"/>
      <c r="AJ855" s="14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</row>
    <row r="856" spans="1:47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14"/>
      <c r="AJ856" s="14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</row>
    <row r="857" spans="1:47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14"/>
      <c r="AJ857" s="14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</row>
    <row r="858" spans="1:47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14"/>
      <c r="AJ858" s="14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</row>
    <row r="859" spans="1:47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14"/>
      <c r="AJ859" s="14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</row>
    <row r="860" spans="1:47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14"/>
      <c r="AJ860" s="14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</row>
    <row r="861" spans="1:47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14"/>
      <c r="AJ861" s="14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</row>
    <row r="862" spans="1:47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14"/>
      <c r="AJ862" s="14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</row>
    <row r="863" spans="1:47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14"/>
      <c r="AJ863" s="14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</row>
    <row r="864" spans="1:47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14"/>
      <c r="AJ864" s="14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</row>
    <row r="865" spans="1:47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14"/>
      <c r="AJ865" s="14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</row>
    <row r="866" spans="1:47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14"/>
      <c r="AJ866" s="14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</row>
    <row r="867" spans="1:47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14"/>
      <c r="AJ867" s="14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</row>
    <row r="868" spans="1:47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14"/>
      <c r="AJ868" s="14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</row>
    <row r="869" spans="1:47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14"/>
      <c r="AJ869" s="14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</row>
    <row r="870" spans="1:47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14"/>
      <c r="AJ870" s="14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</row>
    <row r="871" spans="1:47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14"/>
      <c r="AJ871" s="14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</row>
    <row r="872" spans="1:47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14"/>
      <c r="AJ872" s="14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</row>
    <row r="873" spans="1:47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14"/>
      <c r="AJ873" s="14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</row>
    <row r="874" spans="1:47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14"/>
      <c r="AJ874" s="14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</row>
    <row r="875" spans="1:47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14"/>
      <c r="AJ875" s="14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</row>
    <row r="876" spans="1:47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14"/>
      <c r="AJ876" s="14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</row>
    <row r="877" spans="1:47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14"/>
      <c r="AJ877" s="14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</row>
    <row r="878" spans="1:47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14"/>
      <c r="AJ878" s="14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</row>
    <row r="879" spans="1:47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14"/>
      <c r="AJ879" s="14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</row>
    <row r="880" spans="1:47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14"/>
      <c r="AJ880" s="14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</row>
    <row r="881" spans="1:47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14"/>
      <c r="AJ881" s="14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</row>
    <row r="882" spans="1:47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14"/>
      <c r="AJ882" s="14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</row>
    <row r="883" spans="1:47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14"/>
      <c r="AJ883" s="14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</row>
    <row r="884" spans="1:47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14"/>
      <c r="AJ884" s="14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</row>
    <row r="885" spans="1:47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14"/>
      <c r="AJ885" s="14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</row>
    <row r="886" spans="1:47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14"/>
      <c r="AJ886" s="14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</row>
    <row r="887" spans="1:47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14"/>
      <c r="AJ887" s="14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</row>
    <row r="888" spans="1:47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14"/>
      <c r="AJ888" s="14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</row>
    <row r="889" spans="1:47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14"/>
      <c r="AJ889" s="14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</row>
    <row r="890" spans="1:47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14"/>
      <c r="AJ890" s="14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</row>
    <row r="891" spans="1:47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14"/>
      <c r="AJ891" s="14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</row>
    <row r="892" spans="1:47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14"/>
      <c r="AJ892" s="14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</row>
    <row r="893" spans="1:47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14"/>
      <c r="AJ893" s="14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</row>
    <row r="894" spans="1:47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14"/>
      <c r="AJ894" s="14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</row>
    <row r="895" spans="1:47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14"/>
      <c r="AJ895" s="14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</row>
    <row r="896" spans="1:47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14"/>
      <c r="AJ896" s="14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</row>
    <row r="897" spans="1:47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14"/>
      <c r="AJ897" s="14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</row>
    <row r="898" spans="1:47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14"/>
      <c r="AJ898" s="14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</row>
    <row r="899" spans="1:47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14"/>
      <c r="AJ899" s="14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</row>
    <row r="900" spans="1:47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14"/>
      <c r="AJ900" s="14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</row>
    <row r="901" spans="1:47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14"/>
      <c r="AJ901" s="14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</row>
    <row r="902" spans="1:47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14"/>
      <c r="AJ902" s="14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</row>
    <row r="903" spans="1:47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14"/>
      <c r="AJ903" s="14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</row>
    <row r="904" spans="1:47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14"/>
      <c r="AJ904" s="14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</row>
    <row r="905" spans="1:47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14"/>
      <c r="AJ905" s="14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</row>
    <row r="906" spans="1:47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14"/>
      <c r="AJ906" s="14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</row>
    <row r="907" spans="1:47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14"/>
      <c r="AJ907" s="14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</row>
    <row r="908" spans="1:47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14"/>
      <c r="AJ908" s="14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</row>
    <row r="909" spans="1:47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14"/>
      <c r="AJ909" s="14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</row>
    <row r="910" spans="1:47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14"/>
      <c r="AJ910" s="14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</row>
    <row r="911" spans="1:47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14"/>
      <c r="AJ911" s="14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</row>
    <row r="912" spans="1:47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14"/>
      <c r="AJ912" s="14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</row>
    <row r="913" spans="1:47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14"/>
      <c r="AJ913" s="14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</row>
    <row r="914" spans="1:47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14"/>
      <c r="AJ914" s="14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</row>
    <row r="915" spans="1:47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14"/>
      <c r="AJ915" s="14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</row>
    <row r="916" spans="1:47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14"/>
      <c r="AJ916" s="14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</row>
    <row r="917" spans="1:47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14"/>
      <c r="AJ917" s="14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</row>
    <row r="918" spans="1:47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14"/>
      <c r="AJ918" s="14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</row>
    <row r="919" spans="1:47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14"/>
      <c r="AJ919" s="14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</row>
    <row r="920" spans="1:47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14"/>
      <c r="AJ920" s="14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</row>
    <row r="921" spans="1:47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14"/>
      <c r="AJ921" s="14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</row>
    <row r="922" spans="1:47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14"/>
      <c r="AJ922" s="14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</row>
    <row r="923" spans="1:47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14"/>
      <c r="AJ923" s="14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</row>
    <row r="924" spans="1:47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14"/>
      <c r="AJ924" s="14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</row>
    <row r="925" spans="1:47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14"/>
      <c r="AJ925" s="14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</row>
    <row r="926" spans="1:47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14"/>
      <c r="AJ926" s="14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</row>
    <row r="927" spans="1:47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14"/>
      <c r="AJ927" s="14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</row>
    <row r="928" spans="1:47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14"/>
      <c r="AJ928" s="14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</row>
    <row r="929" spans="1:47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14"/>
      <c r="AJ929" s="14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</row>
    <row r="930" spans="1:47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14"/>
      <c r="AJ930" s="14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</row>
    <row r="931" spans="1:47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14"/>
      <c r="AJ931" s="14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</row>
    <row r="932" spans="1:47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14"/>
      <c r="AJ932" s="14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</row>
    <row r="933" spans="1:47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14"/>
      <c r="AJ933" s="14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</row>
    <row r="934" spans="1:47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14"/>
      <c r="AJ934" s="14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</row>
    <row r="935" spans="1:47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14"/>
      <c r="AJ935" s="14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</row>
    <row r="936" spans="1:47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14"/>
      <c r="AJ936" s="14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</row>
    <row r="937" spans="1:47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14"/>
      <c r="AJ937" s="14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</row>
    <row r="938" spans="1:47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14"/>
      <c r="AJ938" s="14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</row>
    <row r="939" spans="1:47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14"/>
      <c r="AJ939" s="14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</row>
    <row r="940" spans="1:47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14"/>
      <c r="AJ940" s="14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</row>
    <row r="941" spans="1:47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14"/>
      <c r="AJ941" s="14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</row>
    <row r="942" spans="1:47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14"/>
      <c r="AJ942" s="14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</row>
    <row r="943" spans="1:47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14"/>
      <c r="AJ943" s="14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</row>
    <row r="944" spans="1:47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14"/>
      <c r="AJ944" s="14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</row>
    <row r="945" spans="1:47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14"/>
      <c r="AJ945" s="14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</row>
    <row r="946" spans="1:47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14"/>
      <c r="AJ946" s="14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</row>
    <row r="947" spans="1:47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14"/>
      <c r="AJ947" s="14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</row>
    <row r="948" spans="1:47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14"/>
      <c r="AJ948" s="14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</row>
    <row r="949" spans="1:47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14"/>
      <c r="AJ949" s="14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</row>
    <row r="950" spans="1:47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14"/>
      <c r="AJ950" s="14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</row>
    <row r="951" spans="1:47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14"/>
      <c r="AJ951" s="14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</row>
    <row r="952" spans="1:47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14"/>
      <c r="AJ952" s="14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</row>
    <row r="953" spans="1:47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14"/>
      <c r="AJ953" s="14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</row>
    <row r="954" spans="1:47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14"/>
      <c r="AJ954" s="14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</row>
    <row r="955" spans="1:47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14"/>
      <c r="AJ955" s="14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</row>
    <row r="956" spans="1:47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14"/>
      <c r="AJ956" s="14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</row>
    <row r="957" spans="1:47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14"/>
      <c r="AJ957" s="14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</row>
    <row r="958" spans="1:47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14"/>
      <c r="AJ958" s="14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</row>
    <row r="959" spans="1:47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14"/>
      <c r="AJ959" s="14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</row>
    <row r="960" spans="1:47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14"/>
      <c r="AJ960" s="14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</row>
    <row r="961" spans="1:47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14"/>
      <c r="AJ961" s="14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</row>
    <row r="962" spans="1:47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14"/>
      <c r="AJ962" s="14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</row>
    <row r="963" spans="1:47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14"/>
      <c r="AJ963" s="14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</row>
    <row r="964" spans="1:47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14"/>
      <c r="AJ964" s="14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</row>
    <row r="965" spans="1:47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14"/>
      <c r="AJ965" s="14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</row>
    <row r="966" spans="1:47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14"/>
      <c r="AJ966" s="14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</row>
    <row r="967" spans="1:47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14"/>
      <c r="AJ967" s="14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</row>
    <row r="968" spans="1:47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14"/>
      <c r="AJ968" s="14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</row>
    <row r="969" spans="1:47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14"/>
      <c r="AJ969" s="14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</row>
    <row r="970" spans="1:47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14"/>
      <c r="AJ970" s="14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</row>
    <row r="971" spans="1:47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14"/>
      <c r="AJ971" s="14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</row>
    <row r="972" spans="1:47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14"/>
      <c r="AJ972" s="14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</row>
    <row r="973" spans="1:47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14"/>
      <c r="AJ973" s="14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</row>
    <row r="974" spans="1:47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14"/>
      <c r="AJ974" s="14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</row>
    <row r="975" spans="1:47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14"/>
      <c r="AJ975" s="14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</row>
    <row r="976" spans="1:47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14"/>
      <c r="AJ976" s="14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</row>
    <row r="977" spans="1:47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14"/>
      <c r="AJ977" s="14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</row>
    <row r="978" spans="1:47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14"/>
      <c r="AJ978" s="14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</row>
    <row r="979" spans="1:47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14"/>
      <c r="AJ979" s="14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</row>
    <row r="980" spans="1:47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14"/>
      <c r="AJ980" s="14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</row>
    <row r="981" spans="1:47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14"/>
      <c r="AJ981" s="14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</row>
    <row r="982" spans="1:47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14"/>
      <c r="AJ982" s="14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</row>
    <row r="983" spans="1:47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14"/>
      <c r="AJ983" s="14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</row>
    <row r="984" spans="1:47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14"/>
      <c r="AJ984" s="14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</row>
    <row r="985" spans="1:47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14"/>
      <c r="AJ985" s="14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</row>
    <row r="986" spans="1:47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14"/>
      <c r="AJ986" s="14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</row>
    <row r="987" spans="1:47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14"/>
      <c r="AJ987" s="14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</row>
    <row r="988" spans="1:47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14"/>
      <c r="AJ988" s="14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</row>
    <row r="989" spans="1:47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14"/>
      <c r="AJ989" s="14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</row>
    <row r="990" spans="1:47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14"/>
      <c r="AJ990" s="14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</row>
  </sheetData>
  <mergeCells count="2">
    <mergeCell ref="AC7:AG7"/>
    <mergeCell ref="B4:L5"/>
  </mergeCells>
  <pageMargins left="0.7" right="0.7" top="0.75" bottom="0.75" header="0" footer="0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794A-875E-4FEE-8913-E3A74043D5C4}">
  <sheetPr codeName="Sheet25"/>
  <dimension ref="A1:BJ989"/>
  <sheetViews>
    <sheetView topLeftCell="A2" zoomScale="85" zoomScaleNormal="85" workbookViewId="0">
      <selection activeCell="R28" sqref="R28"/>
    </sheetView>
  </sheetViews>
  <sheetFormatPr defaultColWidth="12.625" defaultRowHeight="15" customHeight="1" x14ac:dyDescent="0.2"/>
  <cols>
    <col min="1" max="1" width="8.125" style="486" customWidth="1"/>
    <col min="2" max="2" width="1.625" style="486" customWidth="1"/>
    <col min="3" max="3" width="10.125" style="486" customWidth="1"/>
    <col min="4" max="4" width="1.125" style="486" customWidth="1"/>
    <col min="5" max="5" width="12.125" style="486" customWidth="1"/>
    <col min="6" max="6" width="2.125" style="486" customWidth="1"/>
    <col min="7" max="8" width="13.125" style="486" customWidth="1"/>
    <col min="9" max="9" width="9.875" style="486" customWidth="1"/>
    <col min="10" max="10" width="13.625" style="486" customWidth="1"/>
    <col min="11" max="11" width="18.625" style="486" customWidth="1"/>
    <col min="12" max="12" width="16.375" style="486" customWidth="1"/>
    <col min="13" max="13" width="1.5" style="486" customWidth="1"/>
    <col min="14" max="14" width="8" style="486" customWidth="1"/>
    <col min="15" max="15" width="1.375" style="486" customWidth="1"/>
    <col min="16" max="16" width="8" style="486" customWidth="1"/>
    <col min="17" max="17" width="1.5" style="486" customWidth="1"/>
    <col min="18" max="18" width="10.875" style="486" customWidth="1"/>
    <col min="19" max="19" width="1.5" style="486" customWidth="1"/>
    <col min="20" max="20" width="11.5" style="486" customWidth="1"/>
    <col min="21" max="21" width="11.125" style="486" customWidth="1"/>
    <col min="22" max="22" width="10.875" style="486" customWidth="1"/>
    <col min="23" max="23" width="14.875" style="486" customWidth="1"/>
    <col min="24" max="24" width="15.375" style="486" customWidth="1"/>
    <col min="25" max="25" width="15.5" style="486" customWidth="1"/>
    <col min="26" max="26" width="1.375" style="486" customWidth="1"/>
    <col min="27" max="28" width="1.625" style="486" customWidth="1"/>
    <col min="29" max="29" width="21.375" style="486" customWidth="1"/>
    <col min="30" max="30" width="1.125" style="486" customWidth="1"/>
    <col min="31" max="32" width="14.125" style="486" customWidth="1"/>
    <col min="33" max="33" width="14" style="486" customWidth="1"/>
    <col min="34" max="34" width="2.625" style="486" customWidth="1"/>
    <col min="35" max="35" width="14.5" style="486" customWidth="1"/>
    <col min="36" max="36" width="25" style="486" customWidth="1"/>
    <col min="37" max="47" width="8" style="486" customWidth="1"/>
    <col min="48" max="16384" width="12.625" style="486"/>
  </cols>
  <sheetData>
    <row r="1" spans="1:62" ht="14.25" customHeight="1" x14ac:dyDescent="0.2">
      <c r="A1" s="1"/>
      <c r="B1" s="1"/>
      <c r="C1" s="1"/>
      <c r="D1" s="1"/>
      <c r="E1" s="1"/>
      <c r="F1" s="1"/>
      <c r="G1" s="18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 t="s">
        <v>532</v>
      </c>
      <c r="Z1" s="1"/>
      <c r="AA1" s="1"/>
      <c r="AB1" s="1"/>
      <c r="AC1" s="1"/>
      <c r="AD1" s="1"/>
      <c r="AE1" s="1"/>
      <c r="AF1" s="1"/>
      <c r="AG1" s="1"/>
      <c r="AH1" s="1"/>
      <c r="AI1" s="189"/>
      <c r="AJ1" s="189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</row>
    <row r="2" spans="1:62" ht="48.75" customHeight="1" x14ac:dyDescent="0.2">
      <c r="A2" s="1"/>
      <c r="B2" s="1"/>
      <c r="C2" s="1"/>
      <c r="D2" s="1"/>
      <c r="E2" s="1"/>
      <c r="F2" s="1"/>
      <c r="G2" s="188"/>
      <c r="H2" s="190"/>
      <c r="I2" s="1"/>
      <c r="J2" s="158"/>
      <c r="K2" s="158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 t="s">
        <v>533</v>
      </c>
      <c r="Z2" s="1"/>
      <c r="AA2" s="1"/>
      <c r="AB2" s="1"/>
      <c r="AC2" s="1"/>
      <c r="AD2" s="1"/>
      <c r="AE2" s="1"/>
      <c r="AF2" s="1"/>
      <c r="AG2" s="1"/>
      <c r="AH2" s="1"/>
      <c r="AI2" s="189"/>
      <c r="AJ2" s="189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</row>
    <row r="3" spans="1:62" ht="35.25" customHeight="1" x14ac:dyDescent="0.2">
      <c r="A3" s="1"/>
      <c r="B3" s="1"/>
      <c r="C3" s="1"/>
      <c r="D3" s="1"/>
      <c r="E3" s="1"/>
      <c r="F3" s="1"/>
      <c r="G3" s="188"/>
      <c r="H3" s="190"/>
      <c r="I3" s="1"/>
      <c r="J3" s="1"/>
      <c r="K3" s="158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 t="s">
        <v>534</v>
      </c>
      <c r="Z3" s="1"/>
      <c r="AA3" s="1"/>
      <c r="AB3" s="1"/>
      <c r="AC3" s="1"/>
      <c r="AD3" s="1"/>
      <c r="AE3" s="1"/>
      <c r="AF3" s="1"/>
      <c r="AG3" s="1"/>
      <c r="AH3" s="1"/>
      <c r="AI3" s="189"/>
      <c r="AJ3" s="189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</row>
    <row r="4" spans="1:62" ht="15" customHeight="1" x14ac:dyDescent="0.25">
      <c r="A4" s="2"/>
      <c r="B4" s="632" t="s">
        <v>387</v>
      </c>
      <c r="C4" s="632"/>
      <c r="D4" s="632"/>
      <c r="E4" s="632"/>
      <c r="F4" s="632"/>
      <c r="G4" s="632"/>
      <c r="H4" s="632"/>
      <c r="I4" s="632"/>
      <c r="J4" s="632"/>
      <c r="K4" s="632"/>
      <c r="L4" s="632"/>
      <c r="M4" s="2"/>
      <c r="N4" s="2"/>
      <c r="O4" s="2"/>
      <c r="P4" s="2" t="s">
        <v>580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191"/>
      <c r="AJ4" s="191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</row>
    <row r="5" spans="1:62" ht="15" customHeight="1" x14ac:dyDescent="0.25">
      <c r="A5" s="2"/>
      <c r="B5" s="632"/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71"/>
      <c r="AJ5" s="271"/>
      <c r="AK5" s="271"/>
      <c r="AL5" s="271"/>
      <c r="AM5" s="271"/>
      <c r="AN5" s="271"/>
      <c r="AO5" s="271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</row>
    <row r="6" spans="1:62" ht="14.25" customHeight="1" x14ac:dyDescent="0.2">
      <c r="A6" s="3"/>
      <c r="B6" s="3"/>
      <c r="C6" s="3" t="s">
        <v>386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268"/>
      <c r="AJ6" s="268"/>
      <c r="AK6" s="268"/>
      <c r="AL6" s="268"/>
      <c r="AM6" s="268"/>
      <c r="AN6" s="268"/>
      <c r="AO6" s="268"/>
      <c r="AP6" s="3"/>
      <c r="AQ6" s="3"/>
      <c r="AR6" s="3"/>
      <c r="AS6" s="3"/>
      <c r="AT6" s="3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</row>
    <row r="7" spans="1:62" ht="37.5" customHeight="1" x14ac:dyDescent="0.25">
      <c r="A7" s="3"/>
      <c r="B7" s="80"/>
      <c r="C7" s="159" t="s">
        <v>231</v>
      </c>
      <c r="D7" s="160"/>
      <c r="E7" s="160"/>
      <c r="F7" s="160"/>
      <c r="G7" s="160"/>
      <c r="H7" s="160"/>
      <c r="I7" s="160"/>
      <c r="J7" s="160"/>
      <c r="K7" s="160"/>
      <c r="L7" s="160"/>
      <c r="M7" s="80"/>
      <c r="N7" s="3"/>
      <c r="O7" s="80"/>
      <c r="P7" s="159" t="s">
        <v>358</v>
      </c>
      <c r="Q7" s="160"/>
      <c r="R7" s="160"/>
      <c r="S7" s="160"/>
      <c r="T7" s="160"/>
      <c r="U7" s="160"/>
      <c r="V7" s="160"/>
      <c r="W7" s="160"/>
      <c r="X7" s="160"/>
      <c r="Y7" s="160"/>
      <c r="Z7" s="80"/>
      <c r="AA7" s="3"/>
      <c r="AB7" s="192"/>
      <c r="AC7" s="635" t="s">
        <v>567</v>
      </c>
      <c r="AD7" s="636"/>
      <c r="AE7" s="636"/>
      <c r="AF7" s="636"/>
      <c r="AG7" s="634"/>
      <c r="AH7" s="193"/>
      <c r="AI7" s="14" t="s">
        <v>232</v>
      </c>
      <c r="AJ7" s="14" t="s">
        <v>233</v>
      </c>
      <c r="AK7" s="14"/>
      <c r="AL7" s="14"/>
      <c r="AM7" s="14"/>
      <c r="AN7" s="14"/>
      <c r="AO7" s="14"/>
      <c r="AP7" s="14"/>
      <c r="AQ7" s="14"/>
      <c r="AR7" s="14"/>
      <c r="AS7" s="14"/>
      <c r="AT7" s="3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</row>
    <row r="8" spans="1:62" ht="16.5" customHeight="1" x14ac:dyDescent="0.2">
      <c r="A8" s="3"/>
      <c r="B8" s="161"/>
      <c r="C8" s="162" t="s">
        <v>234</v>
      </c>
      <c r="D8" s="162"/>
      <c r="E8" s="163" t="s">
        <v>235</v>
      </c>
      <c r="F8" s="79"/>
      <c r="G8" s="163" t="s">
        <v>236</v>
      </c>
      <c r="H8" s="163" t="s">
        <v>237</v>
      </c>
      <c r="I8" s="163" t="s">
        <v>238</v>
      </c>
      <c r="J8" s="163" t="s">
        <v>239</v>
      </c>
      <c r="K8" s="251" t="s">
        <v>357</v>
      </c>
      <c r="L8" s="163" t="s">
        <v>178</v>
      </c>
      <c r="M8" s="80"/>
      <c r="N8" s="3"/>
      <c r="O8" s="161"/>
      <c r="P8" s="162" t="s">
        <v>234</v>
      </c>
      <c r="Q8" s="162"/>
      <c r="R8" s="163" t="s">
        <v>235</v>
      </c>
      <c r="S8" s="79"/>
      <c r="T8" s="163" t="s">
        <v>236</v>
      </c>
      <c r="U8" s="163" t="s">
        <v>237</v>
      </c>
      <c r="V8" s="163" t="s">
        <v>238</v>
      </c>
      <c r="W8" s="163" t="s">
        <v>239</v>
      </c>
      <c r="X8" s="251" t="s">
        <v>357</v>
      </c>
      <c r="Y8" s="163" t="s">
        <v>178</v>
      </c>
      <c r="Z8" s="80"/>
      <c r="AA8" s="3"/>
      <c r="AB8" s="192"/>
      <c r="AC8" s="194" t="s">
        <v>250</v>
      </c>
      <c r="AD8" s="195"/>
      <c r="AE8" s="194" t="s">
        <v>239</v>
      </c>
      <c r="AF8" s="194" t="s">
        <v>178</v>
      </c>
      <c r="AG8" s="194" t="s">
        <v>240</v>
      </c>
      <c r="AH8" s="192"/>
      <c r="AI8" s="304">
        <f>'Decision Tree'!N35</f>
        <v>14063.654769903998</v>
      </c>
      <c r="AJ8" s="304">
        <f>'Decision Tree'!N36</f>
        <v>4907.2569351040001</v>
      </c>
      <c r="AK8" s="14" t="s">
        <v>365</v>
      </c>
      <c r="AL8" s="14"/>
      <c r="AM8" s="14"/>
      <c r="AN8" s="14"/>
      <c r="AO8" s="14"/>
      <c r="AP8" s="14"/>
      <c r="AQ8" s="14"/>
      <c r="AR8" s="14"/>
      <c r="AS8" s="14"/>
      <c r="AT8" s="3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</row>
    <row r="9" spans="1:62" ht="5.25" customHeight="1" x14ac:dyDescent="0.2">
      <c r="A9" s="3"/>
      <c r="B9" s="80"/>
      <c r="C9" s="80"/>
      <c r="D9" s="80"/>
      <c r="E9" s="80"/>
      <c r="F9" s="80"/>
      <c r="G9" s="111"/>
      <c r="H9" s="111"/>
      <c r="I9" s="111"/>
      <c r="J9" s="111"/>
      <c r="K9" s="111"/>
      <c r="L9" s="111"/>
      <c r="M9" s="80"/>
      <c r="N9" s="3"/>
      <c r="O9" s="80"/>
      <c r="P9" s="80"/>
      <c r="Q9" s="80"/>
      <c r="R9" s="80"/>
      <c r="S9" s="80"/>
      <c r="T9" s="111"/>
      <c r="U9" s="111"/>
      <c r="V9" s="111"/>
      <c r="W9" s="111"/>
      <c r="X9" s="111"/>
      <c r="Y9" s="111"/>
      <c r="Z9" s="80"/>
      <c r="AA9" s="3"/>
      <c r="AB9" s="192"/>
      <c r="AC9" s="192"/>
      <c r="AD9" s="192"/>
      <c r="AE9" s="192"/>
      <c r="AF9" s="192"/>
      <c r="AG9" s="192"/>
      <c r="AH9" s="192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3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</row>
    <row r="10" spans="1:62" ht="15.75" customHeight="1" x14ac:dyDescent="0.2">
      <c r="A10" s="3"/>
      <c r="B10" s="80"/>
      <c r="C10" s="119" t="s">
        <v>435</v>
      </c>
      <c r="D10" s="80"/>
      <c r="E10" s="80"/>
      <c r="F10" s="80"/>
      <c r="G10" s="119">
        <f>cohortsize</f>
        <v>100</v>
      </c>
      <c r="H10" s="119">
        <v>0</v>
      </c>
      <c r="I10" s="80"/>
      <c r="J10" s="80"/>
      <c r="K10" s="80"/>
      <c r="L10" s="80"/>
      <c r="M10" s="80"/>
      <c r="N10" s="3"/>
      <c r="O10" s="80"/>
      <c r="P10" s="119" t="s">
        <v>435</v>
      </c>
      <c r="Q10" s="80"/>
      <c r="R10" s="80"/>
      <c r="S10" s="80"/>
      <c r="T10" s="119">
        <f>cohortsize</f>
        <v>100</v>
      </c>
      <c r="U10" s="119"/>
      <c r="V10" s="80"/>
      <c r="W10" s="80"/>
      <c r="X10" s="80"/>
      <c r="Y10" s="80"/>
      <c r="Z10" s="80"/>
      <c r="AA10" s="3"/>
      <c r="AB10" s="192"/>
      <c r="AC10" s="196" t="s">
        <v>251</v>
      </c>
      <c r="AD10" s="192"/>
      <c r="AE10" s="197">
        <f>J420</f>
        <v>83857.116128155467</v>
      </c>
      <c r="AF10" s="214">
        <f>L420</f>
        <v>3.2816082764945391</v>
      </c>
      <c r="AG10" s="214">
        <f>K420</f>
        <v>4.9775609253305078</v>
      </c>
      <c r="AH10" s="192"/>
      <c r="AI10" s="441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3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</row>
    <row r="11" spans="1:62" ht="14.25" customHeight="1" x14ac:dyDescent="0.2">
      <c r="A11" s="637" t="s">
        <v>542</v>
      </c>
      <c r="B11" s="80"/>
      <c r="C11" s="166">
        <v>0</v>
      </c>
      <c r="D11" s="165"/>
      <c r="E11" s="198">
        <v>0</v>
      </c>
      <c r="F11" s="199"/>
      <c r="G11" s="214">
        <f>G10*AI13</f>
        <v>81.2</v>
      </c>
      <c r="H11" s="501">
        <f>G10-G11</f>
        <v>18.799999999999997</v>
      </c>
      <c r="I11" s="514">
        <f t="shared" ref="I11:I120" si="0">SUM(G11:H11)</f>
        <v>100</v>
      </c>
      <c r="J11" s="170">
        <f>(AI8*G10)</f>
        <v>1406365.4769903999</v>
      </c>
      <c r="K11" s="255">
        <f t="shared" ref="K11:K74" si="1">G11</f>
        <v>81.2</v>
      </c>
      <c r="L11" s="200">
        <f>(G11*AI11)</f>
        <v>47.731433723076925</v>
      </c>
      <c r="M11" s="80"/>
      <c r="N11" s="3"/>
      <c r="O11" s="80"/>
      <c r="P11" s="166">
        <v>0</v>
      </c>
      <c r="Q11" s="165"/>
      <c r="R11" s="198">
        <v>0</v>
      </c>
      <c r="S11" s="199"/>
      <c r="T11" s="214">
        <f>T10*AJ13</f>
        <v>76.5</v>
      </c>
      <c r="U11" s="501">
        <f>T10-T11</f>
        <v>23.5</v>
      </c>
      <c r="V11" s="514">
        <f t="shared" ref="V11:V119" si="2">SUM(T11:U11)</f>
        <v>100</v>
      </c>
      <c r="W11" s="170">
        <f>(AJ8*T10)</f>
        <v>490725.69351040001</v>
      </c>
      <c r="X11" s="255">
        <f>T11</f>
        <v>76.5</v>
      </c>
      <c r="Y11" s="200">
        <f>T11*AJ11</f>
        <v>42.575118750000001</v>
      </c>
      <c r="Z11" s="80"/>
      <c r="AA11" s="3"/>
      <c r="AB11" s="192"/>
      <c r="AC11" s="196" t="s">
        <v>252</v>
      </c>
      <c r="AD11" s="192"/>
      <c r="AE11" s="201">
        <f>J422</f>
        <v>8385711.6128155468</v>
      </c>
      <c r="AF11" s="219">
        <f>L422</f>
        <v>328.16082764945389</v>
      </c>
      <c r="AG11" s="219">
        <f>K422</f>
        <v>497.75609253305078</v>
      </c>
      <c r="AH11" s="192"/>
      <c r="AI11" s="306">
        <f>'Decision Tree'!O35</f>
        <v>0.58782553846153851</v>
      </c>
      <c r="AJ11" s="306">
        <f>'Decision Tree'!O36</f>
        <v>0.55653750000000002</v>
      </c>
      <c r="AK11" s="14" t="s">
        <v>366</v>
      </c>
      <c r="AL11" s="14"/>
      <c r="AM11" s="14"/>
      <c r="AN11" s="14"/>
      <c r="AO11" s="14"/>
      <c r="AP11" s="14"/>
      <c r="AQ11" s="14"/>
      <c r="AR11" s="14"/>
      <c r="AS11" s="14"/>
      <c r="AT11" s="3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</row>
    <row r="12" spans="1:62" ht="14.25" customHeight="1" x14ac:dyDescent="0.2">
      <c r="A12" s="637"/>
      <c r="B12" s="80"/>
      <c r="C12" s="173">
        <v>1</v>
      </c>
      <c r="D12" s="165"/>
      <c r="E12" s="174">
        <v>3.0373181993401666E-2</v>
      </c>
      <c r="F12" s="502"/>
      <c r="G12" s="219">
        <f t="shared" ref="G12:G43" si="3">$G$10-H12</f>
        <v>78.733697622135793</v>
      </c>
      <c r="H12" s="500">
        <f t="shared" ref="H12:H43" si="4">H11+(G11*E12)</f>
        <v>21.266302377864214</v>
      </c>
      <c r="I12" s="515">
        <f>SUM(G12:H12)</f>
        <v>100</v>
      </c>
      <c r="J12" s="153">
        <f>(G12*Parameters!B41)/(1+cDR)^'Markov Model_b (2)'!cycle</f>
        <v>677373.7714973666</v>
      </c>
      <c r="K12" s="178">
        <f t="shared" si="1"/>
        <v>78.733697622135793</v>
      </c>
      <c r="L12" s="202">
        <f>(G12*(uPostT))/(1+oDR)^'Markov Model_b (2)'!cycle</f>
        <v>59.688389219773775</v>
      </c>
      <c r="M12" s="80"/>
      <c r="N12" s="3"/>
      <c r="O12" s="80"/>
      <c r="P12" s="173">
        <v>1</v>
      </c>
      <c r="Q12" s="165"/>
      <c r="R12" s="174">
        <v>3.0373181993401666E-2</v>
      </c>
      <c r="S12" s="502"/>
      <c r="T12" s="219">
        <f>$T$10-U12</f>
        <v>74.176451577504764</v>
      </c>
      <c r="U12" s="500">
        <f t="shared" ref="U12:U43" si="5">U11+(T11*R12)</f>
        <v>25.823548422495229</v>
      </c>
      <c r="V12" s="515">
        <f t="shared" si="2"/>
        <v>100</v>
      </c>
      <c r="W12" s="153">
        <f>(T12*Parameters!$B$41)/(1+cDR)^'Markov Model_b (2)'!cycle2</f>
        <v>638166.17634911998</v>
      </c>
      <c r="X12" s="178">
        <f>T12</f>
        <v>74.176451577504764</v>
      </c>
      <c r="Y12" s="202">
        <f>(T12*(uPostT))/(1+oDR)^'Markov Model_b (2)'!cycle</f>
        <v>56.233519400402614</v>
      </c>
      <c r="Z12" s="80"/>
      <c r="AA12" s="3"/>
      <c r="AB12" s="192"/>
      <c r="AC12" s="273" t="s">
        <v>369</v>
      </c>
      <c r="AD12" s="192"/>
      <c r="AE12" s="201">
        <f>W420</f>
        <v>70660.948978284257</v>
      </c>
      <c r="AF12" s="219">
        <f>Y420</f>
        <v>3.0657330079751506</v>
      </c>
      <c r="AG12" s="219">
        <f>X420</f>
        <v>4.6894508717707328</v>
      </c>
      <c r="AH12" s="192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3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</row>
    <row r="13" spans="1:62" ht="14.25" customHeight="1" x14ac:dyDescent="0.2">
      <c r="A13" s="637"/>
      <c r="B13" s="80"/>
      <c r="C13" s="173">
        <v>2</v>
      </c>
      <c r="D13" s="165"/>
      <c r="E13" s="174">
        <v>2.9185165326540474E-2</v>
      </c>
      <c r="F13" s="502"/>
      <c r="G13" s="219">
        <f t="shared" si="3"/>
        <v>76.435841640263902</v>
      </c>
      <c r="H13" s="249">
        <f t="shared" si="4"/>
        <v>23.564158359736094</v>
      </c>
      <c r="I13" s="515">
        <f t="shared" si="0"/>
        <v>100</v>
      </c>
      <c r="J13" s="153">
        <f>(G13*Parameters!B41)/(1+cDR)^'Markov Model_b (2)'!cycle</f>
        <v>655984.22495272045</v>
      </c>
      <c r="K13" s="178">
        <f t="shared" si="1"/>
        <v>76.435841640263902</v>
      </c>
      <c r="L13" s="202">
        <f>(G13*(uPostT))/(1+oDR)^'Markov Model_b (2)'!cycle</f>
        <v>57.801869039720472</v>
      </c>
      <c r="M13" s="80"/>
      <c r="N13" s="3"/>
      <c r="O13" s="80"/>
      <c r="P13" s="173">
        <v>2</v>
      </c>
      <c r="Q13" s="165"/>
      <c r="R13" s="174">
        <v>2.9185165326540474E-2</v>
      </c>
      <c r="S13" s="502"/>
      <c r="T13" s="219">
        <f t="shared" ref="T13:T120" si="6">$T$10-U13</f>
        <v>72.01159957487917</v>
      </c>
      <c r="U13" s="249">
        <f t="shared" si="5"/>
        <v>27.98840042512083</v>
      </c>
      <c r="V13" s="515">
        <f t="shared" si="2"/>
        <v>100</v>
      </c>
      <c r="W13" s="153">
        <f>(T13*Parameters!$B$41)/(1+cDR)^'Markov Model_b (2)'!cycle2</f>
        <v>618014.69469067873</v>
      </c>
      <c r="X13" s="178">
        <f t="shared" ref="X13:X119" si="7">T13</f>
        <v>72.01159957487917</v>
      </c>
      <c r="Y13" s="202">
        <f>(T13*(uPostT))/(1+oDR)^'Markov Model_b (2)'!cycle</f>
        <v>54.456194353923841</v>
      </c>
      <c r="Z13" s="80"/>
      <c r="AA13" s="3"/>
      <c r="AB13" s="192"/>
      <c r="AC13" s="273" t="s">
        <v>370</v>
      </c>
      <c r="AD13" s="192"/>
      <c r="AE13" s="201">
        <f>W422</f>
        <v>7066094.8978284262</v>
      </c>
      <c r="AF13" s="219">
        <f>Y422</f>
        <v>306.57330079751506</v>
      </c>
      <c r="AG13" s="219">
        <f>X422</f>
        <v>468.94508717707328</v>
      </c>
      <c r="AH13" s="192"/>
      <c r="AI13" s="305">
        <f>'Decision Tree'!N41</f>
        <v>0.81200000000000006</v>
      </c>
      <c r="AJ13" s="305">
        <f>'Decision Tree'!N42</f>
        <v>0.76500000000000001</v>
      </c>
      <c r="AK13" s="14" t="s">
        <v>367</v>
      </c>
      <c r="AL13" s="14"/>
      <c r="AM13" s="14"/>
      <c r="AN13" s="14"/>
      <c r="AO13" s="14"/>
      <c r="AP13" s="14"/>
      <c r="AQ13" s="14"/>
      <c r="AR13" s="14"/>
      <c r="AS13" s="14"/>
      <c r="AT13" s="3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</row>
    <row r="14" spans="1:62" ht="14.25" customHeight="1" x14ac:dyDescent="0.2">
      <c r="A14" s="637"/>
      <c r="B14" s="80"/>
      <c r="C14" s="173">
        <v>3</v>
      </c>
      <c r="D14" s="165"/>
      <c r="E14" s="174">
        <v>2.8042941872942651E-2</v>
      </c>
      <c r="F14" s="502"/>
      <c r="G14" s="219">
        <f>$G$10-H14</f>
        <v>74.292355776136532</v>
      </c>
      <c r="H14" s="249">
        <f>H13+(G13*E14)</f>
        <v>25.707644223863465</v>
      </c>
      <c r="I14" s="515">
        <f t="shared" si="0"/>
        <v>100</v>
      </c>
      <c r="J14" s="153">
        <f>(G14*Parameters!$B$41)/(1+cDR)^'Markov Model_b (2)'!cycle</f>
        <v>636017.53415344493</v>
      </c>
      <c r="K14" s="178">
        <f t="shared" si="1"/>
        <v>74.292355776136532</v>
      </c>
      <c r="L14" s="202">
        <f>(G14*(uPostT))/(1+oDR)^'Markov Model_b (2)'!cycle</f>
        <v>56.040832504830078</v>
      </c>
      <c r="M14" s="80"/>
      <c r="N14" s="3"/>
      <c r="O14" s="80"/>
      <c r="P14" s="173">
        <v>3</v>
      </c>
      <c r="Q14" s="165"/>
      <c r="R14" s="174">
        <v>2.8042941872942651E-2</v>
      </c>
      <c r="S14" s="502"/>
      <c r="T14" s="219">
        <f t="shared" si="6"/>
        <v>69.99218247382322</v>
      </c>
      <c r="U14" s="249">
        <f t="shared" si="5"/>
        <v>30.007817526176787</v>
      </c>
      <c r="V14" s="515">
        <f t="shared" si="2"/>
        <v>100</v>
      </c>
      <c r="W14" s="153">
        <f>(T14*Parameters!$B$41)/(1+cDR)^'Markov Model_b (2)'!cycle2</f>
        <v>599203.71136377531</v>
      </c>
      <c r="X14" s="178">
        <f t="shared" si="7"/>
        <v>69.99218247382322</v>
      </c>
      <c r="Y14" s="202">
        <f>(T14*(uPostT))/(1+oDR)^'Markov Model_b (2)'!cycle</f>
        <v>52.797089736693373</v>
      </c>
      <c r="Z14" s="80"/>
      <c r="AA14" s="3"/>
      <c r="AB14" s="192"/>
      <c r="AC14" s="192"/>
      <c r="AD14" s="192"/>
      <c r="AE14" s="192"/>
      <c r="AF14" s="192"/>
      <c r="AG14" s="192"/>
      <c r="AH14" s="192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3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</row>
    <row r="15" spans="1:62" ht="14.25" customHeight="1" x14ac:dyDescent="0.2">
      <c r="A15" s="637"/>
      <c r="B15" s="80"/>
      <c r="C15" s="173">
        <v>4</v>
      </c>
      <c r="D15" s="165"/>
      <c r="E15" s="174">
        <v>2.694479881328149E-2</v>
      </c>
      <c r="F15" s="502"/>
      <c r="G15" s="219">
        <f t="shared" si="3"/>
        <v>72.2905631963838</v>
      </c>
      <c r="H15" s="249">
        <f t="shared" si="4"/>
        <v>27.709436803616196</v>
      </c>
      <c r="I15" s="515">
        <f t="shared" si="0"/>
        <v>100</v>
      </c>
      <c r="J15" s="153">
        <f>(G15*Parameters!$B$41)/(1+cDR)^'Markov Model_b (2)'!cycle</f>
        <v>617355.302057878</v>
      </c>
      <c r="K15" s="178">
        <f t="shared" si="1"/>
        <v>72.2905631963838</v>
      </c>
      <c r="L15" s="202">
        <f>(G15*(uPostT))/(1+oDR)^'Markov Model_b (2)'!cycle</f>
        <v>54.394836456517332</v>
      </c>
      <c r="M15" s="80"/>
      <c r="N15" s="3"/>
      <c r="O15" s="80"/>
      <c r="P15" s="173">
        <v>4</v>
      </c>
      <c r="Q15" s="165"/>
      <c r="R15" s="174">
        <v>2.694479881328149E-2</v>
      </c>
      <c r="S15" s="502"/>
      <c r="T15" s="219">
        <f t="shared" si="6"/>
        <v>68.106257198563554</v>
      </c>
      <c r="U15" s="249">
        <f t="shared" si="5"/>
        <v>31.893742801436439</v>
      </c>
      <c r="V15" s="515">
        <f t="shared" si="2"/>
        <v>100</v>
      </c>
      <c r="W15" s="153">
        <f>(T15*Parameters!$B$41)/(1+cDR)^'Markov Model_b (2)'!cycle2</f>
        <v>581621.68235748354</v>
      </c>
      <c r="X15" s="178">
        <f t="shared" si="7"/>
        <v>68.106257198563554</v>
      </c>
      <c r="Y15" s="202">
        <f>(T15*(uPostT))/(1+oDR)^'Markov Model_b (2)'!cycle</f>
        <v>51.246366858664722</v>
      </c>
      <c r="Z15" s="80"/>
      <c r="AA15" s="3"/>
      <c r="AB15" s="192"/>
      <c r="AC15" s="427" t="s">
        <v>253</v>
      </c>
      <c r="AD15" s="192"/>
      <c r="AE15" s="596">
        <f>K425</f>
        <v>61128.665828091434</v>
      </c>
      <c r="AF15" s="428" t="s">
        <v>568</v>
      </c>
      <c r="AG15" s="192"/>
      <c r="AH15" s="192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3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</row>
    <row r="16" spans="1:62" ht="14.25" customHeight="1" x14ac:dyDescent="0.2">
      <c r="A16" s="637"/>
      <c r="B16" s="80"/>
      <c r="C16" s="173">
        <v>5</v>
      </c>
      <c r="D16" s="165"/>
      <c r="E16" s="174">
        <v>2.5889083312734429E-2</v>
      </c>
      <c r="F16" s="502"/>
      <c r="G16" s="219">
        <f t="shared" si="3"/>
        <v>70.419026783068134</v>
      </c>
      <c r="H16" s="249">
        <f t="shared" si="4"/>
        <v>29.58097321693187</v>
      </c>
      <c r="I16" s="515">
        <f t="shared" si="0"/>
        <v>100</v>
      </c>
      <c r="J16" s="153">
        <f>(G16*Parameters!$B$41)/(1+cDR)^'Markov Model_b (2)'!cycle</f>
        <v>599890.80891133239</v>
      </c>
      <c r="K16" s="178">
        <f t="shared" si="1"/>
        <v>70.419026783068134</v>
      </c>
      <c r="L16" s="202">
        <f>(G16*(uPostT))/(1+oDR)^'Markov Model_b (2)'!cycle</f>
        <v>52.854467834126673</v>
      </c>
      <c r="M16" s="80"/>
      <c r="N16" s="3"/>
      <c r="O16" s="80"/>
      <c r="P16" s="173">
        <v>5</v>
      </c>
      <c r="Q16" s="165"/>
      <c r="R16" s="174">
        <v>2.5889083312734429E-2</v>
      </c>
      <c r="S16" s="502"/>
      <c r="T16" s="219">
        <f t="shared" si="6"/>
        <v>66.343048631831437</v>
      </c>
      <c r="U16" s="249">
        <f t="shared" si="5"/>
        <v>33.656951368168571</v>
      </c>
      <c r="V16" s="515">
        <f t="shared" si="2"/>
        <v>100</v>
      </c>
      <c r="W16" s="153">
        <f>(T16*Parameters!$B$41)/(1+cDR)^'Markov Model_b (2)'!cycle2</f>
        <v>565168.06504577491</v>
      </c>
      <c r="X16" s="178">
        <f t="shared" si="7"/>
        <v>66.343048631831437</v>
      </c>
      <c r="Y16" s="202">
        <f>(T16*(uPostT))/(1+oDR)^'Markov Model_b (2)'!cycle</f>
        <v>49.795157503826239</v>
      </c>
      <c r="Z16" s="80"/>
      <c r="AA16" s="3"/>
      <c r="AB16" s="192"/>
      <c r="AC16" s="196"/>
      <c r="AD16" s="192"/>
      <c r="AE16" s="192"/>
      <c r="AF16" s="203"/>
      <c r="AG16" s="192"/>
      <c r="AH16" s="192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3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</row>
    <row r="17" spans="1:60" ht="14.25" customHeight="1" x14ac:dyDescent="0.2">
      <c r="A17" s="637"/>
      <c r="B17" s="80"/>
      <c r="C17" s="173">
        <v>6</v>
      </c>
      <c r="D17" s="165"/>
      <c r="E17" s="174">
        <v>2.48742007441628E-2</v>
      </c>
      <c r="F17" s="502"/>
      <c r="G17" s="219">
        <f t="shared" si="3"/>
        <v>68.667409774657514</v>
      </c>
      <c r="H17" s="249">
        <f t="shared" si="4"/>
        <v>31.332590225342482</v>
      </c>
      <c r="I17" s="515">
        <f t="shared" si="0"/>
        <v>100</v>
      </c>
      <c r="J17" s="153">
        <f>(G17*Parameters!$B$41)/(1+cDR)^'Markov Model_b (2)'!cycle</f>
        <v>583527.69110885484</v>
      </c>
      <c r="K17" s="178">
        <f t="shared" si="1"/>
        <v>68.667409774657514</v>
      </c>
      <c r="L17" s="202">
        <f>(G17*(uPostT))/(1+oDR)^'Markov Model_b (2)'!cycle</f>
        <v>51.411227123186755</v>
      </c>
      <c r="M17" s="80"/>
      <c r="N17" s="3"/>
      <c r="O17" s="80"/>
      <c r="P17" s="173">
        <v>6</v>
      </c>
      <c r="Q17" s="165"/>
      <c r="R17" s="174">
        <v>2.48742007441628E-2</v>
      </c>
      <c r="S17" s="502"/>
      <c r="T17" s="219">
        <f t="shared" si="6"/>
        <v>64.692818322183498</v>
      </c>
      <c r="U17" s="249">
        <f t="shared" si="5"/>
        <v>35.307181677816502</v>
      </c>
      <c r="V17" s="515">
        <f t="shared" si="2"/>
        <v>100</v>
      </c>
      <c r="W17" s="153">
        <f>(T17*Parameters!$B$41)/(1+cDR)^'Markov Model_b (2)'!cycle2</f>
        <v>549752.07352004177</v>
      </c>
      <c r="X17" s="178">
        <f>T17</f>
        <v>64.692818322183498</v>
      </c>
      <c r="Y17" s="202">
        <f>(T17*(uPostT))/(1+oDR)^'Markov Model_b (2)'!cycle</f>
        <v>48.435454124677179</v>
      </c>
      <c r="Z17" s="80"/>
      <c r="AA17" s="3"/>
      <c r="AB17" s="3"/>
      <c r="AC17" s="3"/>
      <c r="AD17" s="29"/>
      <c r="AE17" s="442"/>
      <c r="AF17" s="3"/>
      <c r="AG17" s="3"/>
      <c r="AH17" s="3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3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</row>
    <row r="18" spans="1:60" ht="14.25" customHeight="1" x14ac:dyDescent="0.2">
      <c r="A18" s="637"/>
      <c r="B18" s="80"/>
      <c r="C18" s="173">
        <v>7</v>
      </c>
      <c r="D18" s="165"/>
      <c r="E18" s="174">
        <v>2.3898612936932295E-2</v>
      </c>
      <c r="F18" s="502"/>
      <c r="G18" s="219">
        <f t="shared" si="3"/>
        <v>67.026353927071256</v>
      </c>
      <c r="H18" s="249">
        <f t="shared" si="4"/>
        <v>32.973646072928744</v>
      </c>
      <c r="I18" s="515">
        <f t="shared" si="0"/>
        <v>100</v>
      </c>
      <c r="J18" s="153">
        <f>(G18*Parameters!$B$41)/(1+cDR)^'Markov Model_b (2)'!cycle</f>
        <v>568178.78707698232</v>
      </c>
      <c r="K18" s="178">
        <f t="shared" si="1"/>
        <v>67.026353927071256</v>
      </c>
      <c r="L18" s="202">
        <f>(G18*(uPostT))/(1+oDR)^'Markov Model_b (2)'!cycle</f>
        <v>50.057426539208983</v>
      </c>
      <c r="M18" s="80"/>
      <c r="N18" s="3"/>
      <c r="O18" s="80"/>
      <c r="P18" s="173">
        <v>7</v>
      </c>
      <c r="Q18" s="165"/>
      <c r="R18" s="174">
        <v>2.3898612936932295E-2</v>
      </c>
      <c r="S18" s="502"/>
      <c r="T18" s="219">
        <f t="shared" si="6"/>
        <v>63.146749697302354</v>
      </c>
      <c r="U18" s="249">
        <f t="shared" si="5"/>
        <v>36.853250302697646</v>
      </c>
      <c r="V18" s="515">
        <f t="shared" si="2"/>
        <v>100</v>
      </c>
      <c r="W18" s="153">
        <f>(T18*Parameters!$B$41)/(1+cDR)^'Markov Model_b (2)'!cycle2</f>
        <v>535291.59127326543</v>
      </c>
      <c r="X18" s="178">
        <f t="shared" si="7"/>
        <v>63.146749697302354</v>
      </c>
      <c r="Y18" s="202">
        <f>(T18*(uPostT))/(1+oDR)^'Markov Model_b (2)'!cycle</f>
        <v>47.160013919328662</v>
      </c>
      <c r="Z18" s="80"/>
      <c r="AA18" s="3"/>
      <c r="AB18" s="3"/>
      <c r="AC18" s="297"/>
      <c r="AD18" s="523"/>
      <c r="AE18" s="524"/>
      <c r="AF18" s="3"/>
      <c r="AG18" s="3"/>
      <c r="AH18" s="3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3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</row>
    <row r="19" spans="1:60" ht="14.25" customHeight="1" x14ac:dyDescent="0.25">
      <c r="A19" s="637"/>
      <c r="B19" s="80"/>
      <c r="C19" s="173">
        <v>8</v>
      </c>
      <c r="D19" s="165"/>
      <c r="E19" s="174">
        <v>2.2960836453611355E-2</v>
      </c>
      <c r="F19" s="502"/>
      <c r="G19" s="219">
        <f t="shared" si="3"/>
        <v>65.487372776469897</v>
      </c>
      <c r="H19" s="249">
        <f t="shared" si="4"/>
        <v>34.512627223530096</v>
      </c>
      <c r="I19" s="515">
        <f t="shared" si="0"/>
        <v>100</v>
      </c>
      <c r="J19" s="153">
        <f>(G19*Parameters!$B$41)/(1+cDR)^'Markov Model_b (2)'!cycle</f>
        <v>553765.12700678967</v>
      </c>
      <c r="K19" s="178">
        <f t="shared" si="1"/>
        <v>65.487372776469897</v>
      </c>
      <c r="L19" s="202">
        <f>(G19*(uPostT))/(1+oDR)^'Markov Model_b (2)'!cycle</f>
        <v>48.786100902896294</v>
      </c>
      <c r="M19" s="80"/>
      <c r="N19" s="3"/>
      <c r="O19" s="80"/>
      <c r="P19" s="173">
        <v>8</v>
      </c>
      <c r="Q19" s="165"/>
      <c r="R19" s="174">
        <v>2.2960836453611355E-2</v>
      </c>
      <c r="S19" s="502"/>
      <c r="T19" s="219">
        <f t="shared" si="6"/>
        <v>61.696847504925465</v>
      </c>
      <c r="U19" s="249">
        <f t="shared" si="5"/>
        <v>38.303152495074535</v>
      </c>
      <c r="V19" s="515">
        <f t="shared" si="2"/>
        <v>100</v>
      </c>
      <c r="W19" s="153">
        <f>(T19*Parameters!$B$41)/(1+cDR)^'Markov Model_b (2)'!cycle2</f>
        <v>521712.21940910607</v>
      </c>
      <c r="X19" s="178">
        <f t="shared" si="7"/>
        <v>61.696847504925465</v>
      </c>
      <c r="Y19" s="202">
        <f>(T19*(uPostT))/(1+oDR)^'Markov Model_b (2)'!cycle</f>
        <v>45.962274865413384</v>
      </c>
      <c r="Z19" s="80"/>
      <c r="AA19" s="3"/>
      <c r="AB19" s="3"/>
      <c r="AC19" s="297"/>
      <c r="AD19" s="523"/>
      <c r="AE19" s="297"/>
      <c r="AF19" s="3"/>
      <c r="AG19" s="3"/>
      <c r="AH19" s="3"/>
      <c r="AI19" s="14"/>
      <c r="AJ19" s="307"/>
      <c r="AK19" s="14"/>
      <c r="AL19" s="14"/>
      <c r="AM19" s="14"/>
      <c r="AN19" s="14"/>
      <c r="AO19" s="14"/>
      <c r="AP19" s="14"/>
      <c r="AQ19" s="14"/>
      <c r="AR19" s="14"/>
      <c r="AS19" s="14"/>
      <c r="AT19" s="3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</row>
    <row r="20" spans="1:60" ht="14.25" customHeight="1" x14ac:dyDescent="0.2">
      <c r="A20" s="637"/>
      <c r="B20" s="80"/>
      <c r="C20" s="173">
        <v>9</v>
      </c>
      <c r="D20" s="165"/>
      <c r="E20" s="174">
        <v>2.2059440896469829E-2</v>
      </c>
      <c r="F20" s="502"/>
      <c r="G20" s="219">
        <f t="shared" si="3"/>
        <v>64.042757947242279</v>
      </c>
      <c r="H20" s="249">
        <f t="shared" si="4"/>
        <v>35.957242052757721</v>
      </c>
      <c r="I20" s="515">
        <f t="shared" si="0"/>
        <v>100</v>
      </c>
      <c r="J20" s="153">
        <f>(G20*Parameters!$B$41)/(1+cDR)^'Markov Model_b (2)'!cycle</f>
        <v>540215.0467515809</v>
      </c>
      <c r="K20" s="178">
        <f t="shared" si="1"/>
        <v>64.042757947242279</v>
      </c>
      <c r="L20" s="202">
        <f>(G20*(uPostT))/(1+oDR)^'Markov Model_b (2)'!cycle</f>
        <v>47.590929469785181</v>
      </c>
      <c r="M20" s="80"/>
      <c r="N20" s="3"/>
      <c r="O20" s="80"/>
      <c r="P20" s="173">
        <v>9</v>
      </c>
      <c r="Q20" s="165"/>
      <c r="R20" s="174">
        <v>2.2059440896469829E-2</v>
      </c>
      <c r="S20" s="502"/>
      <c r="T20" s="219">
        <f t="shared" si="6"/>
        <v>60.335849543892053</v>
      </c>
      <c r="U20" s="249">
        <f t="shared" si="5"/>
        <v>39.664150456107947</v>
      </c>
      <c r="V20" s="515">
        <f t="shared" si="2"/>
        <v>100</v>
      </c>
      <c r="W20" s="153">
        <f>(T20*Parameters!$B$41)/(1+cDR)^'Markov Model_b (2)'!cycle2</f>
        <v>508946.44182876783</v>
      </c>
      <c r="X20" s="178">
        <f t="shared" si="7"/>
        <v>60.335849543892053</v>
      </c>
      <c r="Y20" s="202">
        <f>(T20*(uPostT))/(1+oDR)^'Markov Model_b (2)'!cycle</f>
        <v>44.836282074366579</v>
      </c>
      <c r="Z20" s="80"/>
      <c r="AA20" s="3"/>
      <c r="AB20" s="3"/>
      <c r="AC20" s="297"/>
      <c r="AD20" s="523"/>
      <c r="AE20" s="297"/>
      <c r="AF20" s="3"/>
      <c r="AG20" s="3"/>
      <c r="AH20" s="3"/>
      <c r="AI20" s="268"/>
      <c r="AJ20" s="268"/>
      <c r="AK20" s="268"/>
      <c r="AL20" s="268"/>
      <c r="AM20" s="268"/>
      <c r="AN20" s="268"/>
      <c r="AO20" s="268"/>
      <c r="AP20" s="3"/>
      <c r="AQ20" s="3"/>
      <c r="AR20" s="3"/>
      <c r="AS20" s="3"/>
      <c r="AT20" s="3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</row>
    <row r="21" spans="1:60" ht="14.25" customHeight="1" x14ac:dyDescent="0.2">
      <c r="A21" s="637"/>
      <c r="B21" s="80"/>
      <c r="C21" s="173">
        <v>10</v>
      </c>
      <c r="D21" s="165"/>
      <c r="E21" s="174">
        <v>2.119304724540283E-2</v>
      </c>
      <c r="F21" s="502"/>
      <c r="G21" s="219">
        <f t="shared" si="3"/>
        <v>62.685496752340477</v>
      </c>
      <c r="H21" s="249">
        <f t="shared" si="4"/>
        <v>37.314503247659523</v>
      </c>
      <c r="I21" s="515">
        <f t="shared" si="0"/>
        <v>100</v>
      </c>
      <c r="J21" s="153">
        <f>(G21*Parameters!$B$41)/(1+cDR)^'Markov Model_b (2)'!cycle</f>
        <v>527463.40912256436</v>
      </c>
      <c r="K21" s="178">
        <f t="shared" si="1"/>
        <v>62.685496752340477</v>
      </c>
      <c r="L21" s="202">
        <f>(G21*(uPostT))/(1+oDR)^'Markov Model_b (2)'!cycle</f>
        <v>46.466167234991921</v>
      </c>
      <c r="M21" s="80"/>
      <c r="N21" s="3"/>
      <c r="O21" s="80"/>
      <c r="P21" s="173">
        <v>10</v>
      </c>
      <c r="Q21" s="165"/>
      <c r="R21" s="174">
        <v>2.119304724540283E-2</v>
      </c>
      <c r="S21" s="502"/>
      <c r="T21" s="219">
        <f t="shared" si="6"/>
        <v>59.057149033916829</v>
      </c>
      <c r="U21" s="249">
        <f t="shared" si="5"/>
        <v>40.942850966083171</v>
      </c>
      <c r="V21" s="515">
        <f t="shared" si="2"/>
        <v>100</v>
      </c>
      <c r="W21" s="153">
        <f>(T21*Parameters!$B$41)/(1+cDR)^'Markov Model_b (2)'!cycle2</f>
        <v>496932.89159946027</v>
      </c>
      <c r="X21" s="178">
        <f t="shared" si="7"/>
        <v>59.057149033916829</v>
      </c>
      <c r="Y21" s="202">
        <f>(T21*(uPostT))/(1+oDR)^'Markov Model_b (2)'!cycle</f>
        <v>43.776623072375386</v>
      </c>
      <c r="Z21" s="80"/>
      <c r="AA21" s="3"/>
      <c r="AB21" s="3"/>
      <c r="AC21" s="297"/>
      <c r="AD21" s="523"/>
      <c r="AE21" s="297"/>
      <c r="AF21" s="3"/>
      <c r="AG21" s="3"/>
      <c r="AH21" s="3"/>
      <c r="AI21" s="268"/>
      <c r="AJ21" s="268"/>
      <c r="AK21" s="268"/>
      <c r="AL21" s="268"/>
      <c r="AM21" s="268"/>
      <c r="AN21" s="268"/>
      <c r="AO21" s="268"/>
      <c r="AP21" s="3"/>
      <c r="AQ21" s="3"/>
      <c r="AR21" s="3"/>
      <c r="AS21" s="3"/>
      <c r="AT21" s="3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</row>
    <row r="22" spans="1:60" ht="14.25" customHeight="1" x14ac:dyDescent="0.2">
      <c r="A22" s="637"/>
      <c r="B22" s="80"/>
      <c r="C22" s="173">
        <v>11</v>
      </c>
      <c r="D22" s="165"/>
      <c r="E22" s="174">
        <v>2.0360326228659686E-2</v>
      </c>
      <c r="F22" s="502"/>
      <c r="G22" s="219">
        <f t="shared" si="3"/>
        <v>61.409199588657238</v>
      </c>
      <c r="H22" s="249">
        <f t="shared" si="4"/>
        <v>38.590800411342762</v>
      </c>
      <c r="I22" s="515">
        <f t="shared" si="0"/>
        <v>100</v>
      </c>
      <c r="J22" s="153">
        <f>(G22*Parameters!$B$41)/(1+cDR)^'Markov Model_b (2)'!cycle</f>
        <v>515450.91827101872</v>
      </c>
      <c r="K22" s="178">
        <f t="shared" si="1"/>
        <v>61.409199588657238</v>
      </c>
      <c r="L22" s="202">
        <f>(G22*(uPostT))/(1+oDR)^'Markov Model_b (2)'!cycle</f>
        <v>45.406584450366111</v>
      </c>
      <c r="M22" s="80"/>
      <c r="N22" s="3"/>
      <c r="O22" s="80"/>
      <c r="P22" s="173">
        <v>11</v>
      </c>
      <c r="Q22" s="165"/>
      <c r="R22" s="174">
        <v>2.0360326228659686E-2</v>
      </c>
      <c r="S22" s="502"/>
      <c r="T22" s="219">
        <f t="shared" si="6"/>
        <v>57.854726213451706</v>
      </c>
      <c r="U22" s="249">
        <f t="shared" si="5"/>
        <v>42.145273786548294</v>
      </c>
      <c r="V22" s="515">
        <f t="shared" si="2"/>
        <v>100</v>
      </c>
      <c r="W22" s="153">
        <f>(T22*Parameters!$B$41)/(1+cDR)^'Markov Model_b (2)'!cycle2</f>
        <v>485615.70502134145</v>
      </c>
      <c r="X22" s="178">
        <f t="shared" si="7"/>
        <v>57.854726213451706</v>
      </c>
      <c r="Y22" s="202">
        <f>(T22*(uPostT))/(1+oDR)^'Markov Model_b (2)'!cycle</f>
        <v>42.77837081838679</v>
      </c>
      <c r="Z22" s="80"/>
      <c r="AA22" s="3"/>
      <c r="AB22" s="3"/>
      <c r="AC22" s="14"/>
      <c r="AD22" s="525"/>
      <c r="AE22" s="14"/>
      <c r="AF22" s="3"/>
      <c r="AG22" s="3"/>
      <c r="AH22" s="3"/>
      <c r="AI22" s="268"/>
      <c r="AJ22" s="268"/>
      <c r="AK22" s="268"/>
      <c r="AL22" s="268"/>
      <c r="AM22" s="268"/>
      <c r="AN22" s="268"/>
      <c r="AO22" s="268"/>
      <c r="AP22" s="3"/>
      <c r="AQ22" s="3"/>
      <c r="AR22" s="3"/>
      <c r="AS22" s="3"/>
      <c r="AT22" s="3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</row>
    <row r="23" spans="1:60" ht="14.25" customHeight="1" x14ac:dyDescent="0.2">
      <c r="A23" s="637"/>
      <c r="B23" s="80"/>
      <c r="C23" s="173">
        <v>12</v>
      </c>
      <c r="D23" s="504"/>
      <c r="E23" s="174">
        <v>1.9559996727496309E-2</v>
      </c>
      <c r="F23" s="505"/>
      <c r="G23" s="219">
        <f t="shared" si="3"/>
        <v>60.208035845664938</v>
      </c>
      <c r="H23" s="249">
        <f t="shared" si="4"/>
        <v>39.791964154335062</v>
      </c>
      <c r="I23" s="516">
        <f t="shared" si="0"/>
        <v>100</v>
      </c>
      <c r="J23" s="180">
        <f>(G23*Parameters!$B$41)/(1+cDR)^'Markov Model_b (2)'!cycle</f>
        <v>504123.51491461351</v>
      </c>
      <c r="K23" s="176">
        <f t="shared" si="1"/>
        <v>60.208035845664938</v>
      </c>
      <c r="L23" s="202">
        <f>(G23*(uPostT))/(1+oDR)^'Markov Model_b (2)'!cycle</f>
        <v>44.40741327392535</v>
      </c>
      <c r="M23" s="80"/>
      <c r="N23" s="3"/>
      <c r="O23" s="80"/>
      <c r="P23" s="173">
        <v>12</v>
      </c>
      <c r="Q23" s="504"/>
      <c r="R23" s="174">
        <v>1.9559996727496309E-2</v>
      </c>
      <c r="S23" s="505"/>
      <c r="T23" s="219">
        <f t="shared" si="6"/>
        <v>56.723087958046392</v>
      </c>
      <c r="U23" s="249">
        <f t="shared" si="5"/>
        <v>43.276912041953608</v>
      </c>
      <c r="V23" s="516">
        <f t="shared" si="2"/>
        <v>100</v>
      </c>
      <c r="W23" s="180">
        <f>(T23*Parameters!$B$41)/(1+cDR)^'Markov Model_b (2)'!cycle2</f>
        <v>474943.95185921091</v>
      </c>
      <c r="X23" s="176">
        <f t="shared" si="7"/>
        <v>56.723087958046392</v>
      </c>
      <c r="Y23" s="202">
        <f>(T23*(uPostT))/(1+oDR)^'Markov Model_b (2)'!cycle</f>
        <v>41.837033441567598</v>
      </c>
      <c r="Z23" s="80"/>
      <c r="AA23" s="3"/>
      <c r="AB23" s="3"/>
      <c r="AC23" s="14">
        <v>0</v>
      </c>
      <c r="AD23" s="525"/>
      <c r="AE23" s="526"/>
      <c r="AF23" s="3"/>
      <c r="AG23" s="3"/>
      <c r="AH23" s="3"/>
      <c r="AI23" s="268"/>
      <c r="AJ23" s="268"/>
      <c r="AK23" s="268"/>
      <c r="AL23" s="268"/>
      <c r="AM23" s="268"/>
      <c r="AN23" s="268"/>
      <c r="AO23" s="268"/>
      <c r="AP23" s="3"/>
      <c r="AQ23" s="3"/>
      <c r="AR23" s="3"/>
      <c r="AS23" s="3"/>
      <c r="AT23" s="3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</row>
    <row r="24" spans="1:60" ht="14.25" customHeight="1" x14ac:dyDescent="0.25">
      <c r="A24" s="637" t="s">
        <v>543</v>
      </c>
      <c r="B24" s="80"/>
      <c r="C24" s="506">
        <v>13</v>
      </c>
      <c r="D24" s="506"/>
      <c r="E24" s="507">
        <v>1.8790824215674573E-2</v>
      </c>
      <c r="F24" s="508"/>
      <c r="G24" s="509">
        <f t="shared" si="3"/>
        <v>59.076677227718015</v>
      </c>
      <c r="H24" s="510">
        <f t="shared" si="4"/>
        <v>40.923322772281985</v>
      </c>
      <c r="I24" s="517">
        <f t="shared" si="0"/>
        <v>100</v>
      </c>
      <c r="J24" s="511">
        <f>(G24*0)/(1+cDR)^'Markov Model_b (2)'!cycle</f>
        <v>0</v>
      </c>
      <c r="K24" s="512">
        <f t="shared" si="1"/>
        <v>59.076677227718015</v>
      </c>
      <c r="L24" s="513">
        <f>(G24*(uPostT))/(1+oDR)^'Markov Model_b (2)'!cycle</f>
        <v>43.464300625658062</v>
      </c>
      <c r="M24" s="80"/>
      <c r="N24" s="3"/>
      <c r="O24" s="80"/>
      <c r="P24" s="506">
        <v>13</v>
      </c>
      <c r="Q24" s="506"/>
      <c r="R24" s="507">
        <v>1.8790824215674573E-2</v>
      </c>
      <c r="S24" s="508"/>
      <c r="T24" s="509">
        <f t="shared" si="6"/>
        <v>55.657214383256495</v>
      </c>
      <c r="U24" s="510">
        <f t="shared" si="5"/>
        <v>44.342785616743505</v>
      </c>
      <c r="V24" s="517">
        <f t="shared" si="2"/>
        <v>100</v>
      </c>
      <c r="W24" s="511">
        <f>(T24*0)/(1+cDR)^'Markov Model_b (2)'!cycle2</f>
        <v>0</v>
      </c>
      <c r="X24" s="512">
        <f t="shared" si="7"/>
        <v>55.657214383256495</v>
      </c>
      <c r="Y24" s="513">
        <f>(T24*(uPostT))/(1+oDR)^'Markov Model_b (2)'!cycle</f>
        <v>40.948509825897055</v>
      </c>
      <c r="Z24" s="80"/>
      <c r="AA24" s="3"/>
      <c r="AB24" s="3"/>
      <c r="AC24" s="14">
        <v>12</v>
      </c>
      <c r="AD24" s="525"/>
      <c r="AE24" s="525"/>
      <c r="AF24" s="3"/>
      <c r="AG24" s="3"/>
      <c r="AH24" s="3"/>
      <c r="AI24" s="268"/>
      <c r="AJ24" s="268"/>
      <c r="AK24" s="268"/>
      <c r="AL24" s="268"/>
      <c r="AM24" s="268"/>
      <c r="AN24" s="268"/>
      <c r="AO24" s="268"/>
      <c r="AP24" s="3"/>
      <c r="AQ24" s="3"/>
      <c r="AR24" s="3"/>
      <c r="AS24" s="3"/>
      <c r="AT24" s="3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</row>
    <row r="25" spans="1:60" ht="14.25" customHeight="1" x14ac:dyDescent="0.2">
      <c r="A25" s="637"/>
      <c r="B25" s="80"/>
      <c r="C25" s="173">
        <v>14</v>
      </c>
      <c r="D25" s="165"/>
      <c r="E25" s="174">
        <v>1.8051619234516147E-2</v>
      </c>
      <c r="F25" s="502"/>
      <c r="G25" s="219">
        <f t="shared" si="3"/>
        <v>58.010247544762841</v>
      </c>
      <c r="H25" s="249">
        <f t="shared" si="4"/>
        <v>41.989752455237159</v>
      </c>
      <c r="I25" s="515">
        <f t="shared" si="0"/>
        <v>100</v>
      </c>
      <c r="J25" s="153">
        <f>(G25*0)/(1+cDR)^'Markov Model_b (2)'!cycle</f>
        <v>0</v>
      </c>
      <c r="K25" s="178">
        <f t="shared" si="1"/>
        <v>58.010247544762841</v>
      </c>
      <c r="L25" s="202">
        <f>(G25*(uPostT))/(1+oDR)^'Markov Model_b (2)'!cycle</f>
        <v>42.573266454333321</v>
      </c>
      <c r="M25" s="80"/>
      <c r="N25" s="3"/>
      <c r="O25" s="80"/>
      <c r="P25" s="173">
        <v>14</v>
      </c>
      <c r="Q25" s="165"/>
      <c r="R25" s="174">
        <v>1.8051619234516147E-2</v>
      </c>
      <c r="S25" s="502"/>
      <c r="T25" s="219">
        <f t="shared" si="6"/>
        <v>54.652511541556116</v>
      </c>
      <c r="U25" s="249">
        <f t="shared" si="5"/>
        <v>45.347488458443884</v>
      </c>
      <c r="V25" s="515">
        <f t="shared" si="2"/>
        <v>100</v>
      </c>
      <c r="W25" s="153">
        <f>(T25*0)/(1+cDR)^'Markov Model_b (2)'!cycle2</f>
        <v>0</v>
      </c>
      <c r="X25" s="178">
        <f t="shared" si="7"/>
        <v>54.652511541556116</v>
      </c>
      <c r="Y25" s="202">
        <f>(T25*(uPostT))/(1+oDR)^'Markov Model_b (2)'!cycle</f>
        <v>40.109050292567716</v>
      </c>
      <c r="Z25" s="80"/>
      <c r="AA25" s="3"/>
      <c r="AB25" s="3"/>
      <c r="AC25" s="14">
        <v>13</v>
      </c>
      <c r="AD25" s="525"/>
      <c r="AE25" s="14"/>
      <c r="AF25" s="3"/>
      <c r="AG25" s="3"/>
      <c r="AH25" s="3"/>
      <c r="AI25" s="268"/>
      <c r="AJ25" s="268"/>
      <c r="AK25" s="268"/>
      <c r="AL25" s="268"/>
      <c r="AM25" s="268"/>
      <c r="AN25" s="268"/>
      <c r="AO25" s="268"/>
      <c r="AP25" s="3"/>
      <c r="AQ25" s="3"/>
      <c r="AR25" s="3"/>
      <c r="AS25" s="3"/>
      <c r="AT25" s="3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</row>
    <row r="26" spans="1:60" ht="14.25" customHeight="1" x14ac:dyDescent="0.2">
      <c r="A26" s="637"/>
      <c r="B26" s="80"/>
      <c r="C26" s="173">
        <v>15</v>
      </c>
      <c r="D26" s="165"/>
      <c r="E26" s="174">
        <v>1.7341235904053898E-2</v>
      </c>
      <c r="F26" s="502"/>
      <c r="G26" s="219">
        <f t="shared" si="3"/>
        <v>57.004278157236541</v>
      </c>
      <c r="H26" s="249">
        <f t="shared" si="4"/>
        <v>42.995721842763459</v>
      </c>
      <c r="I26" s="515">
        <f t="shared" si="0"/>
        <v>100</v>
      </c>
      <c r="J26" s="153">
        <f>(G26*0)/(1+cDR)^'Markov Model_b (2)'!cycle</f>
        <v>0</v>
      </c>
      <c r="K26" s="178">
        <f t="shared" si="1"/>
        <v>57.004278157236541</v>
      </c>
      <c r="L26" s="202">
        <f>(G26*(uPostT))/(1+oDR)^'Markov Model_b (2)'!cycle</f>
        <v>41.730666730715797</v>
      </c>
      <c r="M26" s="80"/>
      <c r="N26" s="3"/>
      <c r="O26" s="80"/>
      <c r="P26" s="173">
        <v>15</v>
      </c>
      <c r="Q26" s="165"/>
      <c r="R26" s="174">
        <v>1.7341235904053898E-2</v>
      </c>
      <c r="S26" s="502"/>
      <c r="T26" s="219">
        <f t="shared" si="6"/>
        <v>53.70476944616496</v>
      </c>
      <c r="U26" s="249">
        <f t="shared" si="5"/>
        <v>46.29523055383504</v>
      </c>
      <c r="V26" s="515">
        <f t="shared" si="2"/>
        <v>100</v>
      </c>
      <c r="W26" s="153">
        <f>(T26*0)/(1+cDR)^'Markov Model_b (2)'!cycle2</f>
        <v>0</v>
      </c>
      <c r="X26" s="178">
        <f t="shared" si="7"/>
        <v>53.70476944616496</v>
      </c>
      <c r="Y26" s="202">
        <f>(T26*(uPostT))/(1+oDR)^'Markov Model_b (2)'!cycle</f>
        <v>39.315221735218685</v>
      </c>
      <c r="Z26" s="80"/>
      <c r="AA26" s="3"/>
      <c r="AB26" s="3"/>
      <c r="AC26" s="14">
        <v>14</v>
      </c>
      <c r="AD26" s="525"/>
      <c r="AE26" s="14"/>
      <c r="AF26" s="3"/>
      <c r="AG26" s="3"/>
      <c r="AH26" s="3"/>
      <c r="AI26" s="268"/>
      <c r="AJ26" s="268"/>
      <c r="AK26" s="268"/>
      <c r="AL26" s="268"/>
      <c r="AM26" s="268"/>
      <c r="AN26" s="268"/>
      <c r="AO26" s="268"/>
      <c r="AP26" s="3"/>
      <c r="AQ26" s="3"/>
      <c r="AR26" s="3"/>
      <c r="AS26" s="3"/>
      <c r="AT26" s="3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</row>
    <row r="27" spans="1:60" ht="14.25" customHeight="1" x14ac:dyDescent="0.2">
      <c r="A27" s="637"/>
      <c r="B27" s="80"/>
      <c r="C27" s="173">
        <v>16</v>
      </c>
      <c r="D27" s="165"/>
      <c r="E27" s="174">
        <v>1.665857047065189E-2</v>
      </c>
      <c r="F27" s="502"/>
      <c r="G27" s="219">
        <f t="shared" si="3"/>
        <v>56.054668372425574</v>
      </c>
      <c r="H27" s="249">
        <f t="shared" si="4"/>
        <v>43.945331627574426</v>
      </c>
      <c r="I27" s="515">
        <f t="shared" si="0"/>
        <v>100</v>
      </c>
      <c r="J27" s="153">
        <f>(G27*0)/(1+cDR)^'Markov Model_b (2)'!cycle</f>
        <v>0</v>
      </c>
      <c r="K27" s="178">
        <f t="shared" si="1"/>
        <v>56.054668372425574</v>
      </c>
      <c r="L27" s="202">
        <f>(G27*(uPostT))/(1+oDR)^'Markov Model_b (2)'!cycle</f>
        <v>40.933160576752989</v>
      </c>
      <c r="M27" s="80"/>
      <c r="N27" s="3"/>
      <c r="O27" s="80"/>
      <c r="P27" s="173">
        <v>16</v>
      </c>
      <c r="Q27" s="165"/>
      <c r="R27" s="174">
        <v>1.665857047065189E-2</v>
      </c>
      <c r="S27" s="502"/>
      <c r="T27" s="219">
        <f t="shared" si="6"/>
        <v>52.810124759735906</v>
      </c>
      <c r="U27" s="249">
        <f t="shared" si="5"/>
        <v>47.189875240264094</v>
      </c>
      <c r="V27" s="515">
        <f t="shared" si="2"/>
        <v>100</v>
      </c>
      <c r="W27" s="153">
        <f>(T27*0)/(1+cDR)^'Markov Model_b (2)'!cycle2</f>
        <v>0</v>
      </c>
      <c r="X27" s="178">
        <f t="shared" si="7"/>
        <v>52.810124759735906</v>
      </c>
      <c r="Y27" s="202">
        <f>(T27*(uPostT))/(1+oDR)^'Markov Model_b (2)'!cycle</f>
        <v>38.563876651743875</v>
      </c>
      <c r="Z27" s="80"/>
      <c r="AA27" s="3"/>
      <c r="AB27" s="3"/>
      <c r="AC27" s="14">
        <v>15</v>
      </c>
      <c r="AD27" s="525"/>
      <c r="AE27" s="14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</row>
    <row r="28" spans="1:60" ht="14.25" customHeight="1" x14ac:dyDescent="0.2">
      <c r="A28" s="637"/>
      <c r="B28" s="80"/>
      <c r="C28" s="173">
        <v>17</v>
      </c>
      <c r="D28" s="165"/>
      <c r="E28" s="174">
        <v>1.6002559891328927E-2</v>
      </c>
      <c r="F28" s="502"/>
      <c r="G28" s="219">
        <f t="shared" si="3"/>
        <v>55.157650184607256</v>
      </c>
      <c r="H28" s="249">
        <f t="shared" si="4"/>
        <v>44.842349815392744</v>
      </c>
      <c r="I28" s="515">
        <f t="shared" si="0"/>
        <v>100</v>
      </c>
      <c r="J28" s="153">
        <f>(G28*0)/(1+cDR)^'Markov Model_b (2)'!cycle</f>
        <v>0</v>
      </c>
      <c r="K28" s="178">
        <f t="shared" si="1"/>
        <v>55.157650184607256</v>
      </c>
      <c r="L28" s="202">
        <f>(G28*(uPostT))/(1+oDR)^'Markov Model_b (2)'!cycle</f>
        <v>40.177681020530798</v>
      </c>
      <c r="M28" s="80"/>
      <c r="N28" s="3"/>
      <c r="O28" s="80"/>
      <c r="P28" s="173">
        <v>17</v>
      </c>
      <c r="Q28" s="165"/>
      <c r="R28" s="174">
        <v>1.6002559891328927E-2</v>
      </c>
      <c r="S28" s="502"/>
      <c r="T28" s="219">
        <f t="shared" si="6"/>
        <v>51.965027575399681</v>
      </c>
      <c r="U28" s="249">
        <f t="shared" si="5"/>
        <v>48.034972424600319</v>
      </c>
      <c r="V28" s="515">
        <f t="shared" si="2"/>
        <v>100</v>
      </c>
      <c r="W28" s="153">
        <f>(T28*0)/(1+cDR)^'Markov Model_b (2)'!cycle2</f>
        <v>0</v>
      </c>
      <c r="X28" s="178">
        <f t="shared" si="7"/>
        <v>51.965027575399681</v>
      </c>
      <c r="Y28" s="202">
        <f>(T28*(uPostT))/(1+oDR)^'Markov Model_b (2)'!cycle</f>
        <v>37.852125592002523</v>
      </c>
      <c r="Z28" s="80"/>
      <c r="AA28" s="3"/>
      <c r="AB28" s="3"/>
      <c r="AC28" s="14">
        <v>16</v>
      </c>
      <c r="AD28" s="525"/>
      <c r="AE28" s="14"/>
      <c r="AF28" s="3"/>
      <c r="AG28" s="3"/>
      <c r="AH28" s="3"/>
      <c r="AI28" s="14"/>
      <c r="AJ28" s="14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</row>
    <row r="29" spans="1:60" ht="14.25" customHeight="1" x14ac:dyDescent="0.2">
      <c r="A29" s="637"/>
      <c r="B29" s="80"/>
      <c r="C29" s="173">
        <v>18</v>
      </c>
      <c r="D29" s="165"/>
      <c r="E29" s="174">
        <v>1.5372180454884199E-2</v>
      </c>
      <c r="F29" s="502"/>
      <c r="G29" s="219">
        <f t="shared" si="3"/>
        <v>54.309756832502096</v>
      </c>
      <c r="H29" s="249">
        <f t="shared" si="4"/>
        <v>45.690243167497904</v>
      </c>
      <c r="I29" s="515">
        <f t="shared" si="0"/>
        <v>100</v>
      </c>
      <c r="J29" s="153">
        <f>(G29*0)/(1+cDR)^'Markov Model_b (2)'!cycle</f>
        <v>0</v>
      </c>
      <c r="K29" s="178">
        <f t="shared" si="1"/>
        <v>54.309756832502096</v>
      </c>
      <c r="L29" s="202">
        <f>(G29*(uPostT))/(1+oDR)^'Markov Model_b (2)'!cycle</f>
        <v>39.461408935286201</v>
      </c>
      <c r="M29" s="80"/>
      <c r="N29" s="3"/>
      <c r="O29" s="80"/>
      <c r="P29" s="173">
        <v>18</v>
      </c>
      <c r="Q29" s="165"/>
      <c r="R29" s="174">
        <v>1.5372180454884199E-2</v>
      </c>
      <c r="S29" s="502"/>
      <c r="T29" s="219">
        <f t="shared" si="6"/>
        <v>51.166211794167602</v>
      </c>
      <c r="U29" s="249">
        <f t="shared" si="5"/>
        <v>48.833788205832398</v>
      </c>
      <c r="V29" s="515">
        <f t="shared" si="2"/>
        <v>100</v>
      </c>
      <c r="W29" s="153">
        <f>(T29*0)/(1+cDR)^'Markov Model_b (2)'!cycle2</f>
        <v>0</v>
      </c>
      <c r="X29" s="178">
        <f t="shared" si="7"/>
        <v>51.166211794167602</v>
      </c>
      <c r="Y29" s="202">
        <f>(T29*(uPostT))/(1+oDR)^'Markov Model_b (2)'!cycle</f>
        <v>37.177312605288094</v>
      </c>
      <c r="Z29" s="80"/>
      <c r="AA29" s="3"/>
      <c r="AB29" s="3"/>
      <c r="AC29" s="14">
        <v>17</v>
      </c>
      <c r="AD29" s="525"/>
      <c r="AE29" s="14"/>
      <c r="AF29" s="3"/>
      <c r="AG29" s="3"/>
      <c r="AH29" s="3"/>
      <c r="AI29" s="14"/>
      <c r="AJ29" s="14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</row>
    <row r="30" spans="1:60" ht="14.25" customHeight="1" x14ac:dyDescent="0.2">
      <c r="A30" s="637"/>
      <c r="B30" s="80"/>
      <c r="C30" s="173">
        <v>19</v>
      </c>
      <c r="D30" s="165"/>
      <c r="E30" s="174">
        <v>1.4766446439807179E-2</v>
      </c>
      <c r="F30" s="502"/>
      <c r="G30" s="219">
        <f t="shared" si="3"/>
        <v>53.507794717076003</v>
      </c>
      <c r="H30" s="249">
        <f t="shared" si="4"/>
        <v>46.492205282923997</v>
      </c>
      <c r="I30" s="515">
        <f t="shared" si="0"/>
        <v>100</v>
      </c>
      <c r="J30" s="153">
        <f>(G30*0)/(1+cDR)^'Markov Model_b (2)'!cycle</f>
        <v>0</v>
      </c>
      <c r="K30" s="178">
        <f t="shared" si="1"/>
        <v>53.507794717076003</v>
      </c>
      <c r="L30" s="202">
        <f>(G30*(uPostT))/(1+oDR)^'Markov Model_b (2)'!cycle</f>
        <v>38.781749779355586</v>
      </c>
      <c r="M30" s="80"/>
      <c r="N30" s="3"/>
      <c r="O30" s="80"/>
      <c r="P30" s="173">
        <v>19</v>
      </c>
      <c r="Q30" s="165"/>
      <c r="R30" s="174">
        <v>1.4766446439807179E-2</v>
      </c>
      <c r="S30" s="502"/>
      <c r="T30" s="219">
        <f t="shared" si="6"/>
        <v>50.410668668181195</v>
      </c>
      <c r="U30" s="249">
        <f t="shared" si="5"/>
        <v>49.589331331818805</v>
      </c>
      <c r="V30" s="515">
        <f t="shared" si="2"/>
        <v>100</v>
      </c>
      <c r="W30" s="153">
        <f>(T30*0)/(1+cDR)^'Markov Model_b (2)'!cycle2</f>
        <v>0</v>
      </c>
      <c r="X30" s="178">
        <f t="shared" si="7"/>
        <v>50.410668668181195</v>
      </c>
      <c r="Y30" s="202">
        <f>(T30*(uPostT))/(1+oDR)^'Markov Model_b (2)'!cycle</f>
        <v>36.536993326609618</v>
      </c>
      <c r="Z30" s="80"/>
      <c r="AA30" s="3"/>
      <c r="AB30" s="3"/>
      <c r="AC30" s="14">
        <v>18</v>
      </c>
      <c r="AD30" s="525"/>
      <c r="AE30" s="14"/>
      <c r="AF30" s="3"/>
      <c r="AG30" s="3"/>
      <c r="AH30" s="3"/>
      <c r="AI30" s="14"/>
      <c r="AJ30" s="14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</row>
    <row r="31" spans="1:60" ht="14.25" customHeight="1" x14ac:dyDescent="0.2">
      <c r="A31" s="637"/>
      <c r="B31" s="80"/>
      <c r="C31" s="173">
        <v>20</v>
      </c>
      <c r="D31" s="165"/>
      <c r="E31" s="174">
        <v>1.4184408808851745E-2</v>
      </c>
      <c r="F31" s="502"/>
      <c r="G31" s="219">
        <f t="shared" si="3"/>
        <v>52.748818282348878</v>
      </c>
      <c r="H31" s="249">
        <f t="shared" si="4"/>
        <v>47.251181717651122</v>
      </c>
      <c r="I31" s="515">
        <f t="shared" si="0"/>
        <v>100</v>
      </c>
      <c r="J31" s="153">
        <f>(G31*0)/(1+cDR)^'Markov Model_b (2)'!cycle</f>
        <v>0</v>
      </c>
      <c r="K31" s="178">
        <f t="shared" si="1"/>
        <v>52.748818282348878</v>
      </c>
      <c r="L31" s="202">
        <f>(G31*(uPostT))/(1+oDR)^'Markov Model_b (2)'!cycle</f>
        <v>38.136312804152226</v>
      </c>
      <c r="M31" s="80"/>
      <c r="N31" s="3"/>
      <c r="O31" s="80"/>
      <c r="P31" s="173">
        <v>20</v>
      </c>
      <c r="Q31" s="165"/>
      <c r="R31" s="174">
        <v>1.4184408808851745E-2</v>
      </c>
      <c r="S31" s="502"/>
      <c r="T31" s="219">
        <f t="shared" si="6"/>
        <v>49.695623135464139</v>
      </c>
      <c r="U31" s="249">
        <f t="shared" si="5"/>
        <v>50.304376864535861</v>
      </c>
      <c r="V31" s="515">
        <f t="shared" si="2"/>
        <v>100</v>
      </c>
      <c r="W31" s="153">
        <f>(T31*0)/(1+cDR)^'Markov Model_b (2)'!cycle2</f>
        <v>0</v>
      </c>
      <c r="X31" s="178">
        <f t="shared" si="7"/>
        <v>49.695623135464139</v>
      </c>
      <c r="Y31" s="202">
        <f>(T31*(uPostT))/(1+oDR)^'Markov Model_b (2)'!cycle</f>
        <v>35.928915388148326</v>
      </c>
      <c r="Z31" s="80"/>
      <c r="AA31" s="3"/>
      <c r="AB31" s="3"/>
      <c r="AC31" s="14">
        <v>19</v>
      </c>
      <c r="AD31" s="525"/>
      <c r="AE31" s="14"/>
      <c r="AF31" s="3"/>
      <c r="AG31" s="3"/>
      <c r="AH31" s="3"/>
      <c r="AI31" s="14"/>
      <c r="AJ31" s="14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</row>
    <row r="32" spans="1:60" ht="14.25" customHeight="1" x14ac:dyDescent="0.2">
      <c r="A32" s="637"/>
      <c r="B32" s="80"/>
      <c r="C32" s="173">
        <v>21</v>
      </c>
      <c r="D32" s="165"/>
      <c r="E32" s="174">
        <v>1.3625153940063695E-2</v>
      </c>
      <c r="F32" s="502"/>
      <c r="G32" s="219">
        <f t="shared" si="3"/>
        <v>52.03010751309543</v>
      </c>
      <c r="H32" s="249">
        <f t="shared" si="4"/>
        <v>47.96989248690457</v>
      </c>
      <c r="I32" s="515">
        <f t="shared" si="0"/>
        <v>100</v>
      </c>
      <c r="J32" s="153">
        <f>(G32*0)/(1+cDR)^'Markov Model_b (2)'!cycle</f>
        <v>0</v>
      </c>
      <c r="K32" s="178">
        <f t="shared" si="1"/>
        <v>52.03010751309543</v>
      </c>
      <c r="L32" s="202">
        <f>(G32*(uPostT))/(1+oDR)^'Markov Model_b (2)'!cycle</f>
        <v>37.522892440388262</v>
      </c>
      <c r="M32" s="80"/>
      <c r="N32" s="3"/>
      <c r="O32" s="80"/>
      <c r="P32" s="173">
        <v>21</v>
      </c>
      <c r="Q32" s="165"/>
      <c r="R32" s="174">
        <v>1.3625153940063695E-2</v>
      </c>
      <c r="S32" s="502"/>
      <c r="T32" s="219">
        <f t="shared" si="6"/>
        <v>49.018512620096047</v>
      </c>
      <c r="U32" s="249">
        <f t="shared" si="5"/>
        <v>50.981487379903953</v>
      </c>
      <c r="V32" s="515">
        <f t="shared" si="2"/>
        <v>100</v>
      </c>
      <c r="W32" s="153">
        <f>(T32*0)/(1+cDR)^'Markov Model_b (2)'!cycle2</f>
        <v>0</v>
      </c>
      <c r="X32" s="178">
        <f t="shared" si="7"/>
        <v>49.018512620096047</v>
      </c>
      <c r="Y32" s="202">
        <f>(T32*(uPostT))/(1+oDR)^'Markov Model_b (2)'!cycle</f>
        <v>35.35100088287809</v>
      </c>
      <c r="Z32" s="80"/>
      <c r="AA32" s="3"/>
      <c r="AB32" s="3"/>
      <c r="AC32" s="14">
        <v>20</v>
      </c>
      <c r="AD32" s="525"/>
      <c r="AE32" s="14"/>
      <c r="AF32" s="3"/>
      <c r="AG32" s="3"/>
      <c r="AH32" s="3"/>
      <c r="AI32" s="14"/>
      <c r="AJ32" s="14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</row>
    <row r="33" spans="1:60" ht="14.25" customHeight="1" x14ac:dyDescent="0.2">
      <c r="A33" s="637"/>
      <c r="B33" s="80"/>
      <c r="C33" s="173">
        <v>22</v>
      </c>
      <c r="D33" s="165"/>
      <c r="E33" s="174">
        <v>1.3087802393958126E-2</v>
      </c>
      <c r="F33" s="502"/>
      <c r="G33" s="219">
        <f t="shared" si="3"/>
        <v>51.349147747427644</v>
      </c>
      <c r="H33" s="249">
        <f t="shared" si="4"/>
        <v>48.650852252572356</v>
      </c>
      <c r="I33" s="515">
        <f t="shared" si="0"/>
        <v>100</v>
      </c>
      <c r="J33" s="153">
        <f>(G33*0)/(1+cDR)^'Markov Model_b (2)'!cycle</f>
        <v>0</v>
      </c>
      <c r="K33" s="178">
        <f t="shared" si="1"/>
        <v>51.349147747427644</v>
      </c>
      <c r="L33" s="202">
        <f>(G33*(uPostT))/(1+oDR)^'Markov Model_b (2)'!cycle</f>
        <v>36.939451609854089</v>
      </c>
      <c r="M33" s="80"/>
      <c r="N33" s="3"/>
      <c r="O33" s="80"/>
      <c r="P33" s="173">
        <v>22</v>
      </c>
      <c r="Q33" s="165"/>
      <c r="R33" s="174">
        <v>1.3087802393958126E-2</v>
      </c>
      <c r="S33" s="502"/>
      <c r="T33" s="219">
        <f t="shared" si="6"/>
        <v>48.376968013278486</v>
      </c>
      <c r="U33" s="249">
        <f t="shared" si="5"/>
        <v>51.623031986721514</v>
      </c>
      <c r="V33" s="515">
        <f t="shared" si="2"/>
        <v>100</v>
      </c>
      <c r="W33" s="153">
        <f>(T33*0)/(1+cDR)^'Markov Model_b (2)'!cycle2</f>
        <v>0</v>
      </c>
      <c r="X33" s="178">
        <f t="shared" si="7"/>
        <v>48.376968013278486</v>
      </c>
      <c r="Y33" s="202">
        <f>(T33*(uPostT))/(1+oDR)^'Markov Model_b (2)'!cycle</f>
        <v>34.801330642288633</v>
      </c>
      <c r="Z33" s="80"/>
      <c r="AA33" s="3"/>
      <c r="AB33" s="3"/>
      <c r="AC33" s="14">
        <v>21</v>
      </c>
      <c r="AD33" s="525"/>
      <c r="AE33" s="14"/>
      <c r="AF33" s="3"/>
      <c r="AG33" s="3"/>
      <c r="AH33" s="3"/>
      <c r="AI33" s="14"/>
      <c r="AJ33" s="14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</row>
    <row r="34" spans="1:60" ht="14.25" customHeight="1" x14ac:dyDescent="0.25">
      <c r="A34" s="637"/>
      <c r="B34" s="80"/>
      <c r="C34" s="173">
        <v>23</v>
      </c>
      <c r="D34" s="165"/>
      <c r="E34" s="174">
        <v>1.2571507716485297E-2</v>
      </c>
      <c r="F34" s="502"/>
      <c r="G34" s="219">
        <f t="shared" si="3"/>
        <v>50.703611540285912</v>
      </c>
      <c r="H34" s="249">
        <f t="shared" si="4"/>
        <v>49.296388459714088</v>
      </c>
      <c r="I34" s="515">
        <f t="shared" si="0"/>
        <v>100</v>
      </c>
      <c r="J34" s="153">
        <f>(G34*0)/(1+cDR)^'Markov Model_b (2)'!cycle</f>
        <v>0</v>
      </c>
      <c r="K34" s="178">
        <f t="shared" si="1"/>
        <v>50.703611540285912</v>
      </c>
      <c r="L34" s="202">
        <f>(G34*(uPostT))/(1+oDR)^'Markov Model_b (2)'!cycle</f>
        <v>36.384106742042967</v>
      </c>
      <c r="M34" s="80"/>
      <c r="N34" s="3"/>
      <c r="O34" s="80"/>
      <c r="P34" s="173">
        <v>23</v>
      </c>
      <c r="Q34" s="165"/>
      <c r="R34" s="174">
        <v>1.2571507716485297E-2</v>
      </c>
      <c r="S34" s="502"/>
      <c r="T34" s="219">
        <f t="shared" si="6"/>
        <v>47.768796586599393</v>
      </c>
      <c r="U34" s="249">
        <f t="shared" si="5"/>
        <v>52.231203413400607</v>
      </c>
      <c r="V34" s="515">
        <f t="shared" si="2"/>
        <v>100</v>
      </c>
      <c r="W34" s="153">
        <f>(T34*0)/(1+cDR)^'Markov Model_b (2)'!cycle2</f>
        <v>0</v>
      </c>
      <c r="X34" s="178">
        <f t="shared" si="7"/>
        <v>47.768796586599393</v>
      </c>
      <c r="Y34" s="202">
        <f>(T34*(uPostT))/(1+oDR)^'Markov Model_b (2)'!cycle</f>
        <v>34.278130120274454</v>
      </c>
      <c r="Z34" s="80"/>
      <c r="AA34" s="3"/>
      <c r="AB34" s="3"/>
      <c r="AC34" s="14">
        <v>22</v>
      </c>
      <c r="AD34" s="525"/>
      <c r="AE34" s="14"/>
      <c r="AF34" s="3"/>
      <c r="AG34" s="3"/>
      <c r="AH34" s="3"/>
      <c r="AI34" s="14"/>
      <c r="AJ34" s="204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</row>
    <row r="35" spans="1:60" ht="14.25" customHeight="1" x14ac:dyDescent="0.2">
      <c r="A35" s="637"/>
      <c r="B35" s="80"/>
      <c r="C35" s="173">
        <v>24</v>
      </c>
      <c r="D35" s="504"/>
      <c r="E35" s="174">
        <v>1.2075455277349323E-2</v>
      </c>
      <c r="F35" s="505"/>
      <c r="G35" s="219">
        <f t="shared" si="3"/>
        <v>50.091342346731096</v>
      </c>
      <c r="H35" s="249">
        <f t="shared" si="4"/>
        <v>49.908657653268904</v>
      </c>
      <c r="I35" s="516">
        <f t="shared" si="0"/>
        <v>100</v>
      </c>
      <c r="J35" s="180">
        <f>(G35*0)/(1+cDR)^'Markov Model_b (2)'!cycle</f>
        <v>0</v>
      </c>
      <c r="K35" s="176">
        <f t="shared" si="1"/>
        <v>50.091342346731096</v>
      </c>
      <c r="L35" s="202">
        <f>(G35*(uPostT))/(1+oDR)^'Markov Model_b (2)'!cycle</f>
        <v>35.855114302516832</v>
      </c>
      <c r="M35" s="80"/>
      <c r="N35" s="3"/>
      <c r="O35" s="80"/>
      <c r="P35" s="173">
        <v>24</v>
      </c>
      <c r="Q35" s="504"/>
      <c r="R35" s="174">
        <v>1.2075455277349323E-2</v>
      </c>
      <c r="S35" s="505"/>
      <c r="T35" s="219">
        <f t="shared" si="6"/>
        <v>47.191966619765118</v>
      </c>
      <c r="U35" s="249">
        <f t="shared" si="5"/>
        <v>52.808033380234882</v>
      </c>
      <c r="V35" s="516">
        <f t="shared" si="2"/>
        <v>100</v>
      </c>
      <c r="W35" s="180">
        <f>(T35*0)/(1+cDR)^'Markov Model_b (2)'!cycle2</f>
        <v>0</v>
      </c>
      <c r="X35" s="176">
        <f t="shared" si="7"/>
        <v>47.191966619765118</v>
      </c>
      <c r="Y35" s="202">
        <f>(T35*(uPostT))/(1+oDR)^'Markov Model_b (2)'!cycle</f>
        <v>33.77975670126277</v>
      </c>
      <c r="Z35" s="80"/>
      <c r="AA35" s="3"/>
      <c r="AB35" s="3"/>
      <c r="AC35" s="14">
        <v>23</v>
      </c>
      <c r="AD35" s="14"/>
      <c r="AE35" s="14"/>
      <c r="AF35" s="3"/>
      <c r="AG35" s="3"/>
      <c r="AH35" s="3"/>
      <c r="AI35" s="14"/>
      <c r="AJ35" s="14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</row>
    <row r="36" spans="1:60" ht="14.25" customHeight="1" x14ac:dyDescent="0.25">
      <c r="A36" s="637" t="s">
        <v>544</v>
      </c>
      <c r="B36" s="80"/>
      <c r="C36" s="506">
        <v>25</v>
      </c>
      <c r="D36" s="506"/>
      <c r="E36" s="507">
        <v>1.1598861143187311E-2</v>
      </c>
      <c r="F36" s="508"/>
      <c r="G36" s="509">
        <f t="shared" si="3"/>
        <v>49.510339822375506</v>
      </c>
      <c r="H36" s="510">
        <f t="shared" si="4"/>
        <v>50.489660177624494</v>
      </c>
      <c r="I36" s="517">
        <f t="shared" si="0"/>
        <v>100</v>
      </c>
      <c r="J36" s="511">
        <f>(G36*0)/(1+cDR)^'Markov Model_b (2)'!cycle</f>
        <v>0</v>
      </c>
      <c r="K36" s="512">
        <f t="shared" si="1"/>
        <v>49.510339822375506</v>
      </c>
      <c r="L36" s="513">
        <f>(G36*(uPostT))/(1+oDR)^'Markov Model_b (2)'!cycle</f>
        <v>35.350858663789353</v>
      </c>
      <c r="M36" s="80"/>
      <c r="N36" s="3"/>
      <c r="O36" s="80"/>
      <c r="P36" s="506">
        <v>25</v>
      </c>
      <c r="Q36" s="506"/>
      <c r="R36" s="507">
        <v>1.1598861143187311E-2</v>
      </c>
      <c r="S36" s="508"/>
      <c r="T36" s="509">
        <f t="shared" si="6"/>
        <v>46.644593551868532</v>
      </c>
      <c r="U36" s="510">
        <f t="shared" si="5"/>
        <v>53.355406448131468</v>
      </c>
      <c r="V36" s="517">
        <f t="shared" si="2"/>
        <v>100</v>
      </c>
      <c r="W36" s="511">
        <f>(T36*0)/(1+cDR)^'Markov Model_b (2)'!cycle2</f>
        <v>0</v>
      </c>
      <c r="X36" s="512">
        <f t="shared" si="7"/>
        <v>46.644593551868532</v>
      </c>
      <c r="Y36" s="513">
        <f>(T36*(uPostT))/(1+oDR)^'Markov Model_b (2)'!cycle</f>
        <v>33.304688273151292</v>
      </c>
      <c r="Z36" s="80"/>
      <c r="AA36" s="3"/>
      <c r="AB36" s="3"/>
      <c r="AC36" s="14">
        <v>24</v>
      </c>
      <c r="AD36" s="14"/>
      <c r="AE36" s="14"/>
      <c r="AF36" s="3"/>
      <c r="AG36" s="3"/>
      <c r="AH36" s="3"/>
      <c r="AI36" s="14"/>
      <c r="AJ36" s="14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</row>
    <row r="37" spans="1:60" ht="14.25" customHeight="1" x14ac:dyDescent="0.2">
      <c r="A37" s="637"/>
      <c r="B37" s="80"/>
      <c r="C37" s="173">
        <v>26</v>
      </c>
      <c r="D37" s="165"/>
      <c r="E37" s="174">
        <v>1.1140970985081267E-2</v>
      </c>
      <c r="F37" s="502"/>
      <c r="G37" s="219">
        <f t="shared" si="3"/>
        <v>48.958746562952911</v>
      </c>
      <c r="H37" s="249">
        <f t="shared" si="4"/>
        <v>51.041253437047089</v>
      </c>
      <c r="I37" s="515">
        <f t="shared" si="0"/>
        <v>100</v>
      </c>
      <c r="J37" s="153">
        <f>(G37*0)/(1+cDR)^'Markov Model_b (2)'!cycle</f>
        <v>0</v>
      </c>
      <c r="K37" s="178">
        <f t="shared" si="1"/>
        <v>48.958746562952911</v>
      </c>
      <c r="L37" s="202">
        <f>(G37*(uPostT))/(1+oDR)^'Markov Model_b (2)'!cycle</f>
        <v>34.869841170192885</v>
      </c>
      <c r="M37" s="80"/>
      <c r="N37" s="3"/>
      <c r="O37" s="80"/>
      <c r="P37" s="173">
        <v>26</v>
      </c>
      <c r="Q37" s="165"/>
      <c r="R37" s="174">
        <v>1.1140970985081267E-2</v>
      </c>
      <c r="S37" s="502"/>
      <c r="T37" s="219">
        <f t="shared" si="6"/>
        <v>46.124927488496255</v>
      </c>
      <c r="U37" s="249">
        <f t="shared" si="5"/>
        <v>53.875072511503745</v>
      </c>
      <c r="V37" s="515">
        <f t="shared" si="2"/>
        <v>100</v>
      </c>
      <c r="W37" s="153">
        <f>(T37*0)/(1+cDR)^'Markov Model_b (2)'!cycle2</f>
        <v>0</v>
      </c>
      <c r="X37" s="178">
        <f t="shared" si="7"/>
        <v>46.124927488496255</v>
      </c>
      <c r="Y37" s="202">
        <f>(T37*(uPostT))/(1+oDR)^'Markov Model_b (2)'!cycle</f>
        <v>32.851512925120133</v>
      </c>
      <c r="Z37" s="80"/>
      <c r="AA37" s="3"/>
      <c r="AB37" s="3"/>
      <c r="AC37" s="14">
        <v>25</v>
      </c>
      <c r="AD37" s="14"/>
      <c r="AE37" s="14"/>
      <c r="AF37" s="3"/>
      <c r="AG37" s="3"/>
      <c r="AH37" s="3"/>
      <c r="AI37" s="14"/>
      <c r="AJ37" s="14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</row>
    <row r="38" spans="1:60" ht="14.25" customHeight="1" x14ac:dyDescent="0.2">
      <c r="A38" s="637"/>
      <c r="B38" s="80"/>
      <c r="C38" s="173">
        <v>27</v>
      </c>
      <c r="D38" s="165"/>
      <c r="E38" s="174">
        <v>1.0701059019815884E-2</v>
      </c>
      <c r="F38" s="502"/>
      <c r="G38" s="219">
        <f t="shared" si="3"/>
        <v>48.434836126446541</v>
      </c>
      <c r="H38" s="249">
        <f t="shared" si="4"/>
        <v>51.565163873553459</v>
      </c>
      <c r="I38" s="515">
        <f t="shared" si="0"/>
        <v>100</v>
      </c>
      <c r="J38" s="153">
        <f>(G38*0)/(1+cDR)^'Markov Model_b (2)'!cycle</f>
        <v>0</v>
      </c>
      <c r="K38" s="178">
        <f t="shared" si="1"/>
        <v>48.434836126446541</v>
      </c>
      <c r="L38" s="202">
        <f>(G38*(uPostT))/(1+oDR)^'Markov Model_b (2)'!cycle</f>
        <v>34.410670266153666</v>
      </c>
      <c r="M38" s="80"/>
      <c r="N38" s="3"/>
      <c r="O38" s="80"/>
      <c r="P38" s="173">
        <v>27</v>
      </c>
      <c r="Q38" s="165"/>
      <c r="R38" s="174">
        <v>1.0701059019815884E-2</v>
      </c>
      <c r="S38" s="502"/>
      <c r="T38" s="219">
        <f t="shared" si="6"/>
        <v>45.63134191715713</v>
      </c>
      <c r="U38" s="249">
        <f t="shared" si="5"/>
        <v>54.36865808284287</v>
      </c>
      <c r="V38" s="515">
        <f t="shared" si="2"/>
        <v>100</v>
      </c>
      <c r="W38" s="153">
        <f>(T38*0)/(1+cDR)^'Markov Model_b (2)'!cycle2</f>
        <v>0</v>
      </c>
      <c r="X38" s="178">
        <f t="shared" si="7"/>
        <v>45.63134191715713</v>
      </c>
      <c r="Y38" s="202">
        <f>(T38*(uPostT))/(1+oDR)^'Markov Model_b (2)'!cycle</f>
        <v>32.418919647299937</v>
      </c>
      <c r="Z38" s="80"/>
      <c r="AA38" s="3"/>
      <c r="AB38" s="3"/>
      <c r="AC38" s="14">
        <v>26</v>
      </c>
      <c r="AD38" s="14"/>
      <c r="AE38" s="14"/>
      <c r="AF38" s="3"/>
      <c r="AG38" s="3"/>
      <c r="AH38" s="3"/>
      <c r="AI38" s="14"/>
      <c r="AJ38" s="14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</row>
    <row r="39" spans="1:60" ht="14.25" customHeight="1" x14ac:dyDescent="0.2">
      <c r="A39" s="637"/>
      <c r="B39" s="80"/>
      <c r="C39" s="173">
        <v>28</v>
      </c>
      <c r="D39" s="165"/>
      <c r="E39" s="174">
        <v>1.0278426984274724E-2</v>
      </c>
      <c r="F39" s="502"/>
      <c r="G39" s="219">
        <f t="shared" si="3"/>
        <v>47.93700219982555</v>
      </c>
      <c r="H39" s="249">
        <f t="shared" si="4"/>
        <v>52.06299780017445</v>
      </c>
      <c r="I39" s="515">
        <f t="shared" si="0"/>
        <v>100</v>
      </c>
      <c r="J39" s="153">
        <f>(G39*0)/(1+cDR)^'Markov Model_b (2)'!cycle</f>
        <v>0</v>
      </c>
      <c r="K39" s="178">
        <f t="shared" si="1"/>
        <v>47.93700219982555</v>
      </c>
      <c r="L39" s="202">
        <f>(G39*(uPostT))/(1+oDR)^'Markov Model_b (2)'!cycle</f>
        <v>33.972052572910783</v>
      </c>
      <c r="M39" s="80"/>
      <c r="N39" s="3"/>
      <c r="O39" s="80"/>
      <c r="P39" s="173">
        <v>28</v>
      </c>
      <c r="Q39" s="165"/>
      <c r="R39" s="174">
        <v>1.0278426984274724E-2</v>
      </c>
      <c r="S39" s="502"/>
      <c r="T39" s="219">
        <f t="shared" si="6"/>
        <v>45.162323501067156</v>
      </c>
      <c r="U39" s="249">
        <f t="shared" si="5"/>
        <v>54.837676498932844</v>
      </c>
      <c r="V39" s="515">
        <f t="shared" si="2"/>
        <v>100</v>
      </c>
      <c r="W39" s="153">
        <f>(T39*0)/(1+cDR)^'Markov Model_b (2)'!cycle2</f>
        <v>0</v>
      </c>
      <c r="X39" s="178">
        <f t="shared" si="7"/>
        <v>45.162323501067156</v>
      </c>
      <c r="Y39" s="202">
        <f>(T39*(uPostT))/(1+oDR)^'Markov Model_b (2)'!cycle</f>
        <v>32.005689923986125</v>
      </c>
      <c r="Z39" s="80"/>
      <c r="AA39" s="3"/>
      <c r="AB39" s="3"/>
      <c r="AC39" s="14">
        <v>27</v>
      </c>
      <c r="AD39" s="14"/>
      <c r="AE39" s="14"/>
      <c r="AF39" s="3"/>
      <c r="AG39" s="3"/>
      <c r="AH39" s="3"/>
      <c r="AI39" s="14"/>
      <c r="AJ39" s="14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</row>
    <row r="40" spans="1:60" ht="14.25" customHeight="1" x14ac:dyDescent="0.2">
      <c r="A40" s="637"/>
      <c r="B40" s="80"/>
      <c r="C40" s="173">
        <v>29</v>
      </c>
      <c r="D40" s="165"/>
      <c r="E40" s="174">
        <v>9.8724031423285119E-3</v>
      </c>
      <c r="F40" s="502"/>
      <c r="G40" s="219">
        <f t="shared" si="3"/>
        <v>47.463748788674181</v>
      </c>
      <c r="H40" s="249">
        <f t="shared" si="4"/>
        <v>52.536251211325819</v>
      </c>
      <c r="I40" s="515">
        <f t="shared" si="0"/>
        <v>100</v>
      </c>
      <c r="J40" s="153">
        <f>(G40*0)/(1+cDR)^'Markov Model_b (2)'!cycle</f>
        <v>0</v>
      </c>
      <c r="K40" s="178">
        <f t="shared" si="1"/>
        <v>47.463748788674181</v>
      </c>
      <c r="L40" s="202">
        <f>(G40*(uPostT))/(1+oDR)^'Markov Model_b (2)'!cycle</f>
        <v>33.552784812307848</v>
      </c>
      <c r="M40" s="80"/>
      <c r="N40" s="3"/>
      <c r="O40" s="80"/>
      <c r="P40" s="173">
        <v>29</v>
      </c>
      <c r="Q40" s="165"/>
      <c r="R40" s="174">
        <v>9.8724031423285119E-3</v>
      </c>
      <c r="S40" s="502"/>
      <c r="T40" s="219">
        <f t="shared" si="6"/>
        <v>44.716462836620366</v>
      </c>
      <c r="U40" s="249">
        <f t="shared" si="5"/>
        <v>55.283537163379634</v>
      </c>
      <c r="V40" s="515">
        <f t="shared" si="2"/>
        <v>100</v>
      </c>
      <c r="W40" s="153">
        <f>(T40*0)/(1+cDR)^'Markov Model_b (2)'!cycle2</f>
        <v>0</v>
      </c>
      <c r="X40" s="178">
        <f t="shared" si="7"/>
        <v>44.716462836620366</v>
      </c>
      <c r="Y40" s="202">
        <f>(T40*(uPostT))/(1+oDR)^'Markov Model_b (2)'!cycle</f>
        <v>31.610690124895932</v>
      </c>
      <c r="Z40" s="80"/>
      <c r="AA40" s="3"/>
      <c r="AB40" s="3"/>
      <c r="AC40" s="14">
        <v>28</v>
      </c>
      <c r="AD40" s="14"/>
      <c r="AE40" s="14"/>
      <c r="AF40" s="3"/>
      <c r="AG40" s="3"/>
      <c r="AH40" s="3"/>
      <c r="AI40" s="14"/>
      <c r="AJ40" s="14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</row>
    <row r="41" spans="1:60" ht="14.25" customHeight="1" x14ac:dyDescent="0.2">
      <c r="A41" s="637"/>
      <c r="B41" s="80"/>
      <c r="C41" s="173">
        <v>30</v>
      </c>
      <c r="D41" s="165"/>
      <c r="E41" s="174">
        <v>9.4823413235499698E-3</v>
      </c>
      <c r="F41" s="502"/>
      <c r="G41" s="219">
        <f t="shared" si="3"/>
        <v>47.013681322164743</v>
      </c>
      <c r="H41" s="249">
        <f t="shared" si="4"/>
        <v>52.986318677835257</v>
      </c>
      <c r="I41" s="515">
        <f t="shared" si="0"/>
        <v>100</v>
      </c>
      <c r="J41" s="153">
        <f>(G41*0)/(1+cDR)^'Markov Model_b (2)'!cycle</f>
        <v>0</v>
      </c>
      <c r="K41" s="178">
        <f t="shared" si="1"/>
        <v>47.013681322164743</v>
      </c>
      <c r="L41" s="202">
        <f>(G41*(uPostT))/(1+oDR)^'Markov Model_b (2)'!cycle</f>
        <v>33.151746488141583</v>
      </c>
      <c r="M41" s="80"/>
      <c r="N41" s="3"/>
      <c r="O41" s="80"/>
      <c r="P41" s="173">
        <v>30</v>
      </c>
      <c r="Q41" s="165"/>
      <c r="R41" s="174">
        <v>9.4823413235499698E-3</v>
      </c>
      <c r="S41" s="502"/>
      <c r="T41" s="219">
        <f t="shared" si="6"/>
        <v>44.292446073221697</v>
      </c>
      <c r="U41" s="249">
        <f t="shared" si="5"/>
        <v>55.707553926778303</v>
      </c>
      <c r="V41" s="515">
        <f t="shared" si="2"/>
        <v>100</v>
      </c>
      <c r="W41" s="153">
        <f>(T41*0)/(1+cDR)^'Markov Model_b (2)'!cycle2</f>
        <v>0</v>
      </c>
      <c r="X41" s="178">
        <f t="shared" si="7"/>
        <v>44.292446073221697</v>
      </c>
      <c r="Y41" s="202">
        <f>(T41*(uPostT))/(1+oDR)^'Markov Model_b (2)'!cycle</f>
        <v>31.232864610133376</v>
      </c>
      <c r="Z41" s="80"/>
      <c r="AA41" s="3"/>
      <c r="AB41" s="3"/>
      <c r="AC41" s="14">
        <v>29</v>
      </c>
      <c r="AD41" s="14"/>
      <c r="AE41" s="14"/>
      <c r="AF41" s="3"/>
      <c r="AG41" s="3"/>
      <c r="AH41" s="3"/>
      <c r="AI41" s="14"/>
      <c r="AJ41" s="14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</row>
    <row r="42" spans="1:60" ht="14.25" customHeight="1" x14ac:dyDescent="0.2">
      <c r="A42" s="637"/>
      <c r="B42" s="80"/>
      <c r="C42" s="173">
        <v>31</v>
      </c>
      <c r="D42" s="165"/>
      <c r="E42" s="174">
        <v>9.1076199930661961E-3</v>
      </c>
      <c r="F42" s="502"/>
      <c r="G42" s="219">
        <f t="shared" si="3"/>
        <v>46.58549857820735</v>
      </c>
      <c r="H42" s="249">
        <f t="shared" si="4"/>
        <v>53.41450142179265</v>
      </c>
      <c r="I42" s="515">
        <f t="shared" si="0"/>
        <v>100</v>
      </c>
      <c r="J42" s="153">
        <f>(G42*0)/(1+cDR)^'Markov Model_b (2)'!cycle</f>
        <v>0</v>
      </c>
      <c r="K42" s="178">
        <f t="shared" si="1"/>
        <v>46.58549857820735</v>
      </c>
      <c r="L42" s="202">
        <f>(G42*(uPostT))/(1+oDR)^'Markov Model_b (2)'!cycle</f>
        <v>32.767893245906357</v>
      </c>
      <c r="M42" s="80"/>
      <c r="N42" s="3"/>
      <c r="O42" s="80"/>
      <c r="P42" s="173">
        <v>31</v>
      </c>
      <c r="Q42" s="165"/>
      <c r="R42" s="174">
        <v>9.1076199930661961E-3</v>
      </c>
      <c r="S42" s="502"/>
      <c r="T42" s="219">
        <f t="shared" si="6"/>
        <v>43.889047305823418</v>
      </c>
      <c r="U42" s="249">
        <f t="shared" si="5"/>
        <v>56.110952694176582</v>
      </c>
      <c r="V42" s="515">
        <f t="shared" si="2"/>
        <v>100</v>
      </c>
      <c r="W42" s="153">
        <f>(T42*0)/(1+cDR)^'Markov Model_b (2)'!cycle2</f>
        <v>0</v>
      </c>
      <c r="X42" s="178">
        <f t="shared" si="7"/>
        <v>43.889047305823418</v>
      </c>
      <c r="Y42" s="202">
        <f>(T42*(uPostT))/(1+oDR)^'Markov Model_b (2)'!cycle</f>
        <v>30.871229474283691</v>
      </c>
      <c r="Z42" s="80"/>
      <c r="AA42" s="3"/>
      <c r="AB42" s="3"/>
      <c r="AC42" s="14">
        <v>30</v>
      </c>
      <c r="AD42" s="14"/>
      <c r="AE42" s="14"/>
      <c r="AF42" s="3"/>
      <c r="AG42" s="3"/>
      <c r="AH42" s="3"/>
      <c r="AI42" s="14"/>
      <c r="AJ42" s="14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</row>
    <row r="43" spans="1:60" ht="14.25" customHeight="1" x14ac:dyDescent="0.2">
      <c r="A43" s="637"/>
      <c r="B43" s="80"/>
      <c r="C43" s="173">
        <v>32</v>
      </c>
      <c r="D43" s="165"/>
      <c r="E43" s="174">
        <v>8.7476413518472462E-3</v>
      </c>
      <c r="F43" s="502"/>
      <c r="G43" s="219">
        <f t="shared" si="3"/>
        <v>46.177985344448203</v>
      </c>
      <c r="H43" s="249">
        <f t="shared" si="4"/>
        <v>53.822014655551797</v>
      </c>
      <c r="I43" s="515">
        <f t="shared" si="0"/>
        <v>100</v>
      </c>
      <c r="J43" s="153">
        <f>(G43*0)/(1+cDR)^'Markov Model_b (2)'!cycle</f>
        <v>0</v>
      </c>
      <c r="K43" s="178">
        <f t="shared" si="1"/>
        <v>46.177985344448203</v>
      </c>
      <c r="L43" s="202">
        <f>(G43*(uPostT))/(1+oDR)^'Markov Model_b (2)'!cycle</f>
        <v>32.400250840833458</v>
      </c>
      <c r="M43" s="80"/>
      <c r="N43" s="3"/>
      <c r="O43" s="80"/>
      <c r="P43" s="173">
        <v>32</v>
      </c>
      <c r="Q43" s="165"/>
      <c r="R43" s="174">
        <v>8.7476413518472462E-3</v>
      </c>
      <c r="S43" s="502"/>
      <c r="T43" s="219">
        <f t="shared" si="6"/>
        <v>43.505121660717819</v>
      </c>
      <c r="U43" s="249">
        <f t="shared" si="5"/>
        <v>56.494878339282181</v>
      </c>
      <c r="V43" s="515">
        <f t="shared" si="2"/>
        <v>100</v>
      </c>
      <c r="W43" s="153">
        <f>(T43*0)/(1+cDR)^'Markov Model_b (2)'!cycle2</f>
        <v>0</v>
      </c>
      <c r="X43" s="178">
        <f t="shared" si="7"/>
        <v>43.505121660717819</v>
      </c>
      <c r="Y43" s="202">
        <f>(T43*(uPostT))/(1+oDR)^'Markov Model_b (2)'!cycle</f>
        <v>30.524866863593097</v>
      </c>
      <c r="Z43" s="80"/>
      <c r="AA43" s="3"/>
      <c r="AB43" s="3"/>
      <c r="AC43" s="14">
        <v>31</v>
      </c>
      <c r="AD43" s="14"/>
      <c r="AE43" s="14"/>
      <c r="AF43" s="3"/>
      <c r="AG43" s="3"/>
      <c r="AH43" s="3"/>
      <c r="AI43" s="14"/>
      <c r="AJ43" s="14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</row>
    <row r="44" spans="1:60" ht="14.25" customHeight="1" x14ac:dyDescent="0.2">
      <c r="A44" s="637"/>
      <c r="B44" s="80"/>
      <c r="C44" s="173">
        <v>33</v>
      </c>
      <c r="D44" s="165"/>
      <c r="E44" s="174">
        <v>8.401830466712501E-3</v>
      </c>
      <c r="F44" s="502"/>
      <c r="G44" s="219">
        <f t="shared" ref="G44:G70" si="8">$G$10-H44</f>
        <v>45.790005740289814</v>
      </c>
      <c r="H44" s="249">
        <f t="shared" ref="H44:H62" si="9">H43+(G43*E44)</f>
        <v>54.209994259710186</v>
      </c>
      <c r="I44" s="515">
        <f t="shared" si="0"/>
        <v>100</v>
      </c>
      <c r="J44" s="153">
        <f>(G44*0)/(1+cDR)^'Markov Model_b (2)'!cycle</f>
        <v>0</v>
      </c>
      <c r="K44" s="178">
        <f t="shared" si="1"/>
        <v>45.790005740289814</v>
      </c>
      <c r="L44" s="202">
        <f>(G44*(uPostT))/(1+oDR)^'Markov Model_b (2)'!cycle</f>
        <v>32.047909652059666</v>
      </c>
      <c r="M44" s="80"/>
      <c r="N44" s="3"/>
      <c r="O44" s="80"/>
      <c r="P44" s="173">
        <v>33</v>
      </c>
      <c r="Q44" s="165"/>
      <c r="R44" s="174">
        <v>8.401830466712501E-3</v>
      </c>
      <c r="S44" s="502"/>
      <c r="T44" s="219">
        <f t="shared" si="6"/>
        <v>43.139599004090769</v>
      </c>
      <c r="U44" s="249">
        <f t="shared" ref="U44:U62" si="10">U43+(T43*R44)</f>
        <v>56.860400995909231</v>
      </c>
      <c r="V44" s="515">
        <f t="shared" si="2"/>
        <v>100</v>
      </c>
      <c r="W44" s="153">
        <f>(T44*0)/(1+cDR)^'Markov Model_b (2)'!cycle2</f>
        <v>0</v>
      </c>
      <c r="X44" s="178">
        <f t="shared" si="7"/>
        <v>43.139599004090769</v>
      </c>
      <c r="Y44" s="202">
        <f>(T44*(uPostT))/(1+oDR)^'Markov Model_b (2)'!cycle</f>
        <v>30.192919807667046</v>
      </c>
      <c r="Z44" s="80"/>
      <c r="AA44" s="3"/>
      <c r="AB44" s="3"/>
      <c r="AC44" s="14">
        <v>32</v>
      </c>
      <c r="AD44" s="14"/>
      <c r="AE44" s="14"/>
      <c r="AF44" s="3"/>
      <c r="AG44" s="3"/>
      <c r="AH44" s="3"/>
      <c r="AI44" s="14"/>
      <c r="AJ44" s="14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</row>
    <row r="45" spans="1:60" ht="14.25" customHeight="1" x14ac:dyDescent="0.2">
      <c r="A45" s="637"/>
      <c r="B45" s="80"/>
      <c r="C45" s="173">
        <v>34</v>
      </c>
      <c r="D45" s="165"/>
      <c r="E45" s="174">
        <v>8.0696344293341715E-3</v>
      </c>
      <c r="F45" s="502"/>
      <c r="G45" s="219">
        <f t="shared" si="8"/>
        <v>45.420497133448563</v>
      </c>
      <c r="H45" s="249">
        <f t="shared" si="9"/>
        <v>54.579502866551437</v>
      </c>
      <c r="I45" s="515">
        <f t="shared" si="0"/>
        <v>100</v>
      </c>
      <c r="J45" s="153">
        <f>(G45*0)/(1+cDR)^'Markov Model_b (2)'!cycle</f>
        <v>0</v>
      </c>
      <c r="K45" s="178">
        <f t="shared" si="1"/>
        <v>45.420497133448563</v>
      </c>
      <c r="L45" s="202">
        <f>(G45*(uPostT))/(1+oDR)^'Markov Model_b (2)'!cycle</f>
        <v>31.710019687723918</v>
      </c>
      <c r="M45" s="80"/>
      <c r="N45" s="3"/>
      <c r="O45" s="80"/>
      <c r="P45" s="173">
        <v>34</v>
      </c>
      <c r="Q45" s="165"/>
      <c r="R45" s="174">
        <v>8.0696344293341715E-3</v>
      </c>
      <c r="S45" s="502"/>
      <c r="T45" s="219">
        <f t="shared" si="6"/>
        <v>42.791478210699687</v>
      </c>
      <c r="U45" s="249">
        <f t="shared" si="10"/>
        <v>57.208521789300313</v>
      </c>
      <c r="V45" s="515">
        <f t="shared" si="2"/>
        <v>100</v>
      </c>
      <c r="W45" s="153">
        <f>(T45*0)/(1+cDR)^'Markov Model_b (2)'!cycle2</f>
        <v>0</v>
      </c>
      <c r="X45" s="178">
        <f t="shared" si="7"/>
        <v>42.791478210699687</v>
      </c>
      <c r="Y45" s="202">
        <f>(T45*(uPostT))/(1+oDR)^'Markov Model_b (2)'!cycle</f>
        <v>29.874587513680773</v>
      </c>
      <c r="Z45" s="80"/>
      <c r="AA45" s="3"/>
      <c r="AB45" s="3"/>
      <c r="AC45" s="14">
        <v>33</v>
      </c>
      <c r="AD45" s="14"/>
      <c r="AE45" s="14"/>
      <c r="AF45" s="3"/>
      <c r="AG45" s="3"/>
      <c r="AH45" s="3"/>
      <c r="AI45" s="14"/>
      <c r="AJ45" s="14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</row>
    <row r="46" spans="1:60" ht="14.25" customHeight="1" x14ac:dyDescent="0.2">
      <c r="A46" s="637"/>
      <c r="B46" s="80"/>
      <c r="C46" s="173">
        <v>35</v>
      </c>
      <c r="D46" s="165"/>
      <c r="E46" s="174">
        <v>7.7505215435073049E-3</v>
      </c>
      <c r="F46" s="502"/>
      <c r="G46" s="219">
        <f t="shared" si="8"/>
        <v>45.068464591898959</v>
      </c>
      <c r="H46" s="249">
        <f t="shared" si="9"/>
        <v>54.931535408101041</v>
      </c>
      <c r="I46" s="515">
        <f t="shared" si="0"/>
        <v>100</v>
      </c>
      <c r="J46" s="153">
        <f>(G46*0)/(1+cDR)^'Markov Model_b (2)'!cycle</f>
        <v>0</v>
      </c>
      <c r="K46" s="178">
        <f t="shared" si="1"/>
        <v>45.068464591898959</v>
      </c>
      <c r="L46" s="202">
        <f>(G46*(uPostT))/(1+oDR)^'Markov Model_b (2)'!cycle</f>
        <v>31.385786031909401</v>
      </c>
      <c r="M46" s="80"/>
      <c r="N46" s="3"/>
      <c r="O46" s="80"/>
      <c r="P46" s="173">
        <v>35</v>
      </c>
      <c r="Q46" s="165"/>
      <c r="R46" s="174">
        <v>7.7505215435073049E-3</v>
      </c>
      <c r="S46" s="502"/>
      <c r="T46" s="219">
        <f t="shared" si="6"/>
        <v>42.459821936949133</v>
      </c>
      <c r="U46" s="249">
        <f t="shared" si="10"/>
        <v>57.540178063050867</v>
      </c>
      <c r="V46" s="515">
        <f t="shared" si="2"/>
        <v>100</v>
      </c>
      <c r="W46" s="153">
        <f>(T46*0)/(1+cDR)^'Markov Model_b (2)'!cycle2</f>
        <v>0</v>
      </c>
      <c r="X46" s="178">
        <f t="shared" si="7"/>
        <v>42.459821936949133</v>
      </c>
      <c r="Y46" s="202">
        <f>(T46*(uPostT))/(1+oDR)^'Markov Model_b (2)'!cycle</f>
        <v>29.569121076860448</v>
      </c>
      <c r="Z46" s="80"/>
      <c r="AA46" s="3"/>
      <c r="AB46" s="3"/>
      <c r="AC46" s="14">
        <v>34</v>
      </c>
      <c r="AD46" s="14"/>
      <c r="AE46" s="14"/>
      <c r="AF46" s="3"/>
      <c r="AG46" s="3"/>
      <c r="AH46" s="3"/>
      <c r="AI46" s="14"/>
      <c r="AJ46" s="14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</row>
    <row r="47" spans="1:60" ht="14.25" customHeight="1" x14ac:dyDescent="0.2">
      <c r="A47" s="637"/>
      <c r="B47" s="80"/>
      <c r="C47" s="173">
        <v>36</v>
      </c>
      <c r="D47" s="504"/>
      <c r="E47" s="174">
        <v>7.4439805399517667E-3</v>
      </c>
      <c r="F47" s="505"/>
      <c r="G47" s="219">
        <f t="shared" si="8"/>
        <v>44.732975818511356</v>
      </c>
      <c r="H47" s="249">
        <f t="shared" si="9"/>
        <v>55.267024181488644</v>
      </c>
      <c r="I47" s="516">
        <f t="shared" si="0"/>
        <v>100</v>
      </c>
      <c r="J47" s="180">
        <f>(G47*0)/(1+cDR)^'Markov Model_b (2)'!cycle</f>
        <v>0</v>
      </c>
      <c r="K47" s="176">
        <f t="shared" si="1"/>
        <v>44.732975818511356</v>
      </c>
      <c r="L47" s="202">
        <f>(G47*(uPostT))/(1+oDR)^'Markov Model_b (2)'!cycle</f>
        <v>31.074464689732437</v>
      </c>
      <c r="M47" s="80"/>
      <c r="N47" s="3"/>
      <c r="O47" s="80"/>
      <c r="P47" s="173">
        <v>36</v>
      </c>
      <c r="Q47" s="504"/>
      <c r="R47" s="174">
        <v>7.4439805399517667E-3</v>
      </c>
      <c r="S47" s="505"/>
      <c r="T47" s="219">
        <f t="shared" si="6"/>
        <v>42.143751848720669</v>
      </c>
      <c r="U47" s="249">
        <f t="shared" si="10"/>
        <v>57.856248151279331</v>
      </c>
      <c r="V47" s="516">
        <f t="shared" si="2"/>
        <v>100</v>
      </c>
      <c r="W47" s="180">
        <f>(T47*0)/(1+cDR)^'Markov Model_b (2)'!cycle2</f>
        <v>0</v>
      </c>
      <c r="X47" s="176">
        <f t="shared" si="7"/>
        <v>42.143751848720669</v>
      </c>
      <c r="Y47" s="202">
        <f>(T47*(uPostT))/(1+oDR)^'Markov Model_b (2)'!cycle</f>
        <v>29.275819566065657</v>
      </c>
      <c r="Z47" s="80"/>
      <c r="AA47" s="3"/>
      <c r="AB47" s="3"/>
      <c r="AC47" s="14">
        <v>35</v>
      </c>
      <c r="AD47" s="14"/>
      <c r="AE47" s="14"/>
      <c r="AF47" s="3"/>
      <c r="AG47" s="3"/>
      <c r="AH47" s="3"/>
      <c r="AI47" s="14"/>
      <c r="AJ47" s="14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</row>
    <row r="48" spans="1:60" ht="14.25" customHeight="1" x14ac:dyDescent="0.25">
      <c r="A48" s="637" t="s">
        <v>545</v>
      </c>
      <c r="B48" s="80"/>
      <c r="C48" s="506">
        <v>37</v>
      </c>
      <c r="D48" s="506"/>
      <c r="E48" s="507">
        <v>7.1495198179214459E-3</v>
      </c>
      <c r="F48" s="508"/>
      <c r="G48" s="509">
        <f t="shared" si="8"/>
        <v>44.413156521382305</v>
      </c>
      <c r="H48" s="510">
        <f t="shared" si="9"/>
        <v>55.586843478617695</v>
      </c>
      <c r="I48" s="517">
        <f t="shared" si="0"/>
        <v>100</v>
      </c>
      <c r="J48" s="511">
        <f>(G48*0)/(1+cDR)^'Markov Model_b (2)'!cycle</f>
        <v>0</v>
      </c>
      <c r="K48" s="512">
        <f t="shared" si="1"/>
        <v>44.413156521382305</v>
      </c>
      <c r="L48" s="513">
        <f>(G48*(uPostT))/(1+oDR)^'Markov Model_b (2)'!cycle</f>
        <v>30.775358791622843</v>
      </c>
      <c r="M48" s="80"/>
      <c r="N48" s="3"/>
      <c r="O48" s="80"/>
      <c r="P48" s="506">
        <v>37</v>
      </c>
      <c r="Q48" s="506"/>
      <c r="R48" s="507">
        <v>7.1495198179214459E-3</v>
      </c>
      <c r="S48" s="508"/>
      <c r="T48" s="509">
        <f t="shared" si="6"/>
        <v>41.842444259676675</v>
      </c>
      <c r="U48" s="510">
        <f t="shared" si="10"/>
        <v>58.157555740323325</v>
      </c>
      <c r="V48" s="517">
        <f t="shared" si="2"/>
        <v>100</v>
      </c>
      <c r="W48" s="511">
        <f>(T48*0)/(1+cDR)^'Markov Model_b (2)'!cycle2</f>
        <v>0</v>
      </c>
      <c r="X48" s="512">
        <f t="shared" si="7"/>
        <v>41.842444259676675</v>
      </c>
      <c r="Y48" s="513">
        <f>(T48*(uPostT))/(1+oDR)^'Markov Model_b (2)'!cycle</f>
        <v>28.994026447772747</v>
      </c>
      <c r="Z48" s="80"/>
      <c r="AA48" s="3"/>
      <c r="AB48" s="3"/>
      <c r="AC48" s="14">
        <v>36</v>
      </c>
      <c r="AD48" s="14"/>
      <c r="AE48" s="14"/>
      <c r="AF48" s="3"/>
      <c r="AG48" s="3"/>
      <c r="AH48" s="3"/>
      <c r="AI48" s="14"/>
      <c r="AJ48" s="14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</row>
    <row r="49" spans="1:60" ht="14.25" customHeight="1" x14ac:dyDescent="0.2">
      <c r="A49" s="637"/>
      <c r="B49" s="80"/>
      <c r="C49" s="173">
        <v>38</v>
      </c>
      <c r="D49" s="165"/>
      <c r="E49" s="174">
        <v>6.8666667128759462E-3</v>
      </c>
      <c r="F49" s="502"/>
      <c r="G49" s="219">
        <f t="shared" si="8"/>
        <v>44.108186177883184</v>
      </c>
      <c r="H49" s="249">
        <f t="shared" si="9"/>
        <v>55.891813822116816</v>
      </c>
      <c r="I49" s="515">
        <f t="shared" si="0"/>
        <v>100</v>
      </c>
      <c r="J49" s="153">
        <f>(G49*0)/(1+cDR)^'Markov Model_b (2)'!cycle</f>
        <v>0</v>
      </c>
      <c r="K49" s="178">
        <f t="shared" si="1"/>
        <v>44.108186177883184</v>
      </c>
      <c r="L49" s="202">
        <f>(G49*(uPostT))/(1+oDR)^'Markov Model_b (2)'!cycle</f>
        <v>30.487815122026529</v>
      </c>
      <c r="M49" s="80"/>
      <c r="N49" s="3"/>
      <c r="O49" s="80"/>
      <c r="P49" s="173">
        <v>38</v>
      </c>
      <c r="Q49" s="165"/>
      <c r="R49" s="174">
        <v>6.8666667128759462E-3</v>
      </c>
      <c r="S49" s="502"/>
      <c r="T49" s="219">
        <f t="shared" si="6"/>
        <v>41.555126140493385</v>
      </c>
      <c r="U49" s="249">
        <f t="shared" si="10"/>
        <v>58.444873859506615</v>
      </c>
      <c r="V49" s="515">
        <f t="shared" si="2"/>
        <v>100</v>
      </c>
      <c r="W49" s="153">
        <f>(T49*0)/(1+cDR)^'Markov Model_b (2)'!cycle2</f>
        <v>0</v>
      </c>
      <c r="X49" s="178">
        <f t="shared" si="7"/>
        <v>41.555126140493385</v>
      </c>
      <c r="Y49" s="202">
        <f>(T49*(uPostT))/(1+oDR)^'Markov Model_b (2)'!cycle</f>
        <v>28.723126315702331</v>
      </c>
      <c r="Z49" s="80"/>
      <c r="AA49" s="3"/>
      <c r="AB49" s="3"/>
      <c r="AC49" s="14">
        <v>37</v>
      </c>
      <c r="AD49" s="14"/>
      <c r="AE49" s="14"/>
      <c r="AF49" s="3"/>
      <c r="AG49" s="3"/>
      <c r="AH49" s="3"/>
      <c r="AI49" s="14"/>
      <c r="AJ49" s="14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</row>
    <row r="50" spans="1:60" ht="14.25" customHeight="1" x14ac:dyDescent="0.2">
      <c r="A50" s="637"/>
      <c r="B50" s="80"/>
      <c r="C50" s="173">
        <v>39</v>
      </c>
      <c r="D50" s="165"/>
      <c r="E50" s="174">
        <v>6.594966789505663E-3</v>
      </c>
      <c r="F50" s="502"/>
      <c r="G50" s="219">
        <f t="shared" si="8"/>
        <v>43.817294154894711</v>
      </c>
      <c r="H50" s="249">
        <f t="shared" si="9"/>
        <v>56.182705845105289</v>
      </c>
      <c r="I50" s="515">
        <f t="shared" si="0"/>
        <v>100</v>
      </c>
      <c r="J50" s="153">
        <f>(G50*0)/(1+cDR)^'Markov Model_b (2)'!cycle</f>
        <v>0</v>
      </c>
      <c r="K50" s="178">
        <f t="shared" si="1"/>
        <v>43.817294154894711</v>
      </c>
      <c r="L50" s="202">
        <f>(G50*(uPostT))/(1+oDR)^'Markov Model_b (2)'!cycle</f>
        <v>30.211220941458532</v>
      </c>
      <c r="M50" s="80"/>
      <c r="N50" s="3"/>
      <c r="O50" s="80"/>
      <c r="P50" s="173">
        <v>39</v>
      </c>
      <c r="Q50" s="165"/>
      <c r="R50" s="174">
        <v>6.594966789505663E-3</v>
      </c>
      <c r="S50" s="502"/>
      <c r="T50" s="219">
        <f t="shared" si="6"/>
        <v>41.28107146366311</v>
      </c>
      <c r="U50" s="249">
        <f t="shared" si="10"/>
        <v>58.71892853633689</v>
      </c>
      <c r="V50" s="515">
        <f t="shared" si="2"/>
        <v>100</v>
      </c>
      <c r="W50" s="153">
        <f>(T50*0)/(1+cDR)^'Markov Model_b (2)'!cycle2</f>
        <v>0</v>
      </c>
      <c r="X50" s="178">
        <f t="shared" si="7"/>
        <v>41.28107146366311</v>
      </c>
      <c r="Y50" s="202">
        <f>(T50*(uPostT))/(1+oDR)^'Markov Model_b (2)'!cycle</f>
        <v>28.462541896817452</v>
      </c>
      <c r="Z50" s="80"/>
      <c r="AA50" s="3"/>
      <c r="AB50" s="3"/>
      <c r="AC50" s="14">
        <v>38</v>
      </c>
      <c r="AD50" s="14"/>
      <c r="AE50" s="14"/>
      <c r="AF50" s="3"/>
      <c r="AG50" s="3"/>
      <c r="AH50" s="3"/>
      <c r="AI50" s="14"/>
      <c r="AJ50" s="14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</row>
    <row r="51" spans="1:60" ht="14.25" customHeight="1" x14ac:dyDescent="0.2">
      <c r="A51" s="637"/>
      <c r="B51" s="80"/>
      <c r="C51" s="173">
        <v>40</v>
      </c>
      <c r="D51" s="165"/>
      <c r="E51" s="174">
        <v>6.3339831593727247E-3</v>
      </c>
      <c r="F51" s="502"/>
      <c r="G51" s="219">
        <f t="shared" si="8"/>
        <v>43.539756151628325</v>
      </c>
      <c r="H51" s="249">
        <f t="shared" si="9"/>
        <v>56.460243848371675</v>
      </c>
      <c r="I51" s="515">
        <f t="shared" si="0"/>
        <v>100</v>
      </c>
      <c r="J51" s="153">
        <f>(G51*0)/(1+cDR)^'Markov Model_b (2)'!cycle</f>
        <v>0</v>
      </c>
      <c r="K51" s="178">
        <f t="shared" si="1"/>
        <v>43.539756151628325</v>
      </c>
      <c r="L51" s="202">
        <f>(G51*(uPostT))/(1+oDR)^'Markov Model_b (2)'!cycle</f>
        <v>29.945001074105974</v>
      </c>
      <c r="M51" s="80"/>
      <c r="N51" s="3"/>
      <c r="O51" s="80"/>
      <c r="P51" s="173">
        <v>40</v>
      </c>
      <c r="Q51" s="165"/>
      <c r="R51" s="174">
        <v>6.3339831593727247E-3</v>
      </c>
      <c r="S51" s="502"/>
      <c r="T51" s="219">
        <f t="shared" si="6"/>
        <v>41.019597852211405</v>
      </c>
      <c r="U51" s="249">
        <f t="shared" si="10"/>
        <v>58.980402147788595</v>
      </c>
      <c r="V51" s="515">
        <f t="shared" si="2"/>
        <v>100</v>
      </c>
      <c r="W51" s="153">
        <f>(T51*0)/(1+cDR)^'Markov Model_b (2)'!cycle2</f>
        <v>0</v>
      </c>
      <c r="X51" s="178">
        <f t="shared" si="7"/>
        <v>41.019597852211405</v>
      </c>
      <c r="Y51" s="202">
        <f>(T51*(uPostT))/(1+oDR)^'Markov Model_b (2)'!cycle</f>
        <v>28.211731307501314</v>
      </c>
      <c r="Z51" s="80"/>
      <c r="AA51" s="3"/>
      <c r="AB51" s="3"/>
      <c r="AC51" s="14">
        <v>39</v>
      </c>
      <c r="AD51" s="14"/>
      <c r="AE51" s="14"/>
      <c r="AF51" s="3"/>
      <c r="AG51" s="3"/>
      <c r="AH51" s="3"/>
      <c r="AI51" s="14"/>
      <c r="AJ51" s="14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</row>
    <row r="52" spans="1:60" ht="14.25" customHeight="1" x14ac:dyDescent="0.2">
      <c r="A52" s="637"/>
      <c r="B52" s="80"/>
      <c r="C52" s="173">
        <v>41</v>
      </c>
      <c r="D52" s="165"/>
      <c r="E52" s="174">
        <v>6.0832958224664724E-3</v>
      </c>
      <c r="F52" s="502"/>
      <c r="G52" s="219">
        <f t="shared" si="8"/>
        <v>43.274890934919917</v>
      </c>
      <c r="H52" s="249">
        <f t="shared" si="9"/>
        <v>56.725109065080083</v>
      </c>
      <c r="I52" s="515">
        <f t="shared" si="0"/>
        <v>100</v>
      </c>
      <c r="J52" s="153">
        <f>(G52*0)/(1+cDR)^'Markov Model_b (2)'!cycle</f>
        <v>0</v>
      </c>
      <c r="K52" s="178">
        <f t="shared" si="1"/>
        <v>43.274890934919917</v>
      </c>
      <c r="L52" s="202">
        <f>(G52*(uPostT))/(1+oDR)^'Markov Model_b (2)'!cycle</f>
        <v>29.688615236077926</v>
      </c>
      <c r="M52" s="80"/>
      <c r="N52" s="3"/>
      <c r="O52" s="80"/>
      <c r="P52" s="173">
        <v>41</v>
      </c>
      <c r="Q52" s="165"/>
      <c r="R52" s="174">
        <v>6.0832958224664724E-3</v>
      </c>
      <c r="S52" s="502"/>
      <c r="T52" s="219">
        <f t="shared" si="6"/>
        <v>40.770063503957793</v>
      </c>
      <c r="U52" s="249">
        <f t="shared" si="10"/>
        <v>59.229936496042207</v>
      </c>
      <c r="V52" s="515">
        <f t="shared" si="2"/>
        <v>100</v>
      </c>
      <c r="W52" s="153">
        <f>(T52*0)/(1+cDR)^'Markov Model_b (2)'!cycle2</f>
        <v>0</v>
      </c>
      <c r="X52" s="178">
        <f t="shared" si="7"/>
        <v>40.770063503957793</v>
      </c>
      <c r="Y52" s="202">
        <f>(T52*(uPostT))/(1+oDR)^'Markov Model_b (2)'!cycle</f>
        <v>27.970185536452714</v>
      </c>
      <c r="Z52" s="80"/>
      <c r="AA52" s="3"/>
      <c r="AB52" s="3"/>
      <c r="AC52" s="14">
        <v>40</v>
      </c>
      <c r="AD52" s="14"/>
      <c r="AE52" s="14"/>
      <c r="AF52" s="3"/>
      <c r="AG52" s="3"/>
      <c r="AH52" s="3"/>
      <c r="AI52" s="14"/>
      <c r="AJ52" s="14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</row>
    <row r="53" spans="1:60" ht="14.25" customHeight="1" x14ac:dyDescent="0.2">
      <c r="A53" s="637"/>
      <c r="B53" s="80"/>
      <c r="C53" s="173">
        <v>42</v>
      </c>
      <c r="D53" s="165"/>
      <c r="E53" s="174">
        <v>5.8425010319574922E-3</v>
      </c>
      <c r="F53" s="502"/>
      <c r="G53" s="219">
        <f t="shared" si="8"/>
        <v>43.022057339974801</v>
      </c>
      <c r="H53" s="249">
        <f t="shared" si="9"/>
        <v>56.977942660025199</v>
      </c>
      <c r="I53" s="515">
        <f t="shared" si="0"/>
        <v>100</v>
      </c>
      <c r="J53" s="153">
        <f>(G53*0)/(1+cDR)^'Markov Model_b (2)'!cycle</f>
        <v>0</v>
      </c>
      <c r="K53" s="178">
        <f t="shared" si="1"/>
        <v>43.022057339974801</v>
      </c>
      <c r="L53" s="202">
        <f>(G53*(uPostT))/(1+oDR)^'Markov Model_b (2)'!cycle</f>
        <v>29.441555581968828</v>
      </c>
      <c r="M53" s="80"/>
      <c r="N53" s="3"/>
      <c r="O53" s="80"/>
      <c r="P53" s="173">
        <v>42</v>
      </c>
      <c r="Q53" s="165"/>
      <c r="R53" s="174">
        <v>5.8425010319574922E-3</v>
      </c>
      <c r="S53" s="502"/>
      <c r="T53" s="219">
        <f t="shared" si="6"/>
        <v>40.531864365862944</v>
      </c>
      <c r="U53" s="249">
        <f t="shared" si="10"/>
        <v>59.468135634137056</v>
      </c>
      <c r="V53" s="515">
        <f t="shared" si="2"/>
        <v>100</v>
      </c>
      <c r="W53" s="153">
        <f>(T53*0)/(1+cDR)^'Markov Model_b (2)'!cycle2</f>
        <v>0</v>
      </c>
      <c r="X53" s="178">
        <f t="shared" si="7"/>
        <v>40.531864365862944</v>
      </c>
      <c r="Y53" s="202">
        <f>(T53*(uPostT))/(1+oDR)^'Markov Model_b (2)'!cycle</f>
        <v>27.737426133258804</v>
      </c>
      <c r="Z53" s="80"/>
      <c r="AA53" s="3"/>
      <c r="AB53" s="3"/>
      <c r="AC53" s="14">
        <v>41</v>
      </c>
      <c r="AD53" s="14"/>
      <c r="AE53" s="14"/>
      <c r="AF53" s="3"/>
      <c r="AG53" s="3"/>
      <c r="AH53" s="3"/>
      <c r="AI53" s="14"/>
      <c r="AJ53" s="14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</row>
    <row r="54" spans="1:60" ht="14.25" customHeight="1" x14ac:dyDescent="0.2">
      <c r="A54" s="637"/>
      <c r="B54" s="80"/>
      <c r="C54" s="173">
        <v>43</v>
      </c>
      <c r="D54" s="165"/>
      <c r="E54" s="174">
        <v>5.6112106814604212E-3</v>
      </c>
      <c r="F54" s="502"/>
      <c r="G54" s="219">
        <f t="shared" si="8"/>
        <v>42.780651512290333</v>
      </c>
      <c r="H54" s="249">
        <f t="shared" si="9"/>
        <v>57.219348487709667</v>
      </c>
      <c r="I54" s="515">
        <f t="shared" si="0"/>
        <v>100</v>
      </c>
      <c r="J54" s="153">
        <f>(G54*0)/(1+cDR)^'Markov Model_b (2)'!cycle</f>
        <v>0</v>
      </c>
      <c r="K54" s="178">
        <f t="shared" si="1"/>
        <v>42.780651512290333</v>
      </c>
      <c r="L54" s="202">
        <f>(G54*(uPostT))/(1+oDR)^'Markov Model_b (2)'!cycle</f>
        <v>29.203344449684273</v>
      </c>
      <c r="M54" s="80"/>
      <c r="N54" s="3"/>
      <c r="O54" s="80"/>
      <c r="P54" s="173">
        <v>43</v>
      </c>
      <c r="Q54" s="165"/>
      <c r="R54" s="174">
        <v>5.6112106814604212E-3</v>
      </c>
      <c r="S54" s="502"/>
      <c r="T54" s="219">
        <f t="shared" si="6"/>
        <v>40.304431535593707</v>
      </c>
      <c r="U54" s="249">
        <f t="shared" si="10"/>
        <v>59.695568464406293</v>
      </c>
      <c r="V54" s="515">
        <f t="shared" si="2"/>
        <v>100</v>
      </c>
      <c r="W54" s="153">
        <f>(T54*0)/(1+cDR)^'Markov Model_b (2)'!cycle2</f>
        <v>0</v>
      </c>
      <c r="X54" s="178">
        <f t="shared" si="7"/>
        <v>40.304431535593707</v>
      </c>
      <c r="Y54" s="202">
        <f>(T54*(uPostT))/(1+oDR)^'Markov Model_b (2)'!cycle</f>
        <v>27.51300308375426</v>
      </c>
      <c r="Z54" s="80"/>
      <c r="AA54" s="3"/>
      <c r="AB54" s="3"/>
      <c r="AC54" s="14">
        <v>42</v>
      </c>
      <c r="AD54" s="14"/>
      <c r="AE54" s="14"/>
      <c r="AF54" s="3"/>
      <c r="AG54" s="3"/>
      <c r="AH54" s="3"/>
      <c r="AI54" s="14"/>
      <c r="AJ54" s="14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</row>
    <row r="55" spans="1:60" ht="14.25" customHeight="1" x14ac:dyDescent="0.2">
      <c r="A55" s="637"/>
      <c r="B55" s="80"/>
      <c r="C55" s="173">
        <v>44</v>
      </c>
      <c r="D55" s="165"/>
      <c r="E55" s="174">
        <v>5.3890517141200744E-3</v>
      </c>
      <c r="F55" s="502"/>
      <c r="G55" s="219">
        <f t="shared" si="8"/>
        <v>42.550104368926853</v>
      </c>
      <c r="H55" s="249">
        <f t="shared" si="9"/>
        <v>57.449895631073147</v>
      </c>
      <c r="I55" s="515">
        <f t="shared" si="0"/>
        <v>100</v>
      </c>
      <c r="J55" s="153">
        <f>(G55*0)/(1+cDR)^'Markov Model_b (2)'!cycle</f>
        <v>0</v>
      </c>
      <c r="K55" s="178">
        <f t="shared" si="1"/>
        <v>42.550104368926853</v>
      </c>
      <c r="L55" s="202">
        <f>(G55*(uPostT))/(1+oDR)^'Markov Model_b (2)'!cycle</f>
        <v>28.973532285505897</v>
      </c>
      <c r="M55" s="80"/>
      <c r="N55" s="3"/>
      <c r="O55" s="80"/>
      <c r="P55" s="173">
        <v>44</v>
      </c>
      <c r="Q55" s="165"/>
      <c r="R55" s="174">
        <v>5.3890517141200744E-3</v>
      </c>
      <c r="S55" s="502"/>
      <c r="T55" s="219">
        <f t="shared" si="6"/>
        <v>40.08722886974018</v>
      </c>
      <c r="U55" s="249">
        <f t="shared" si="10"/>
        <v>59.91277113025982</v>
      </c>
      <c r="V55" s="515">
        <f t="shared" si="2"/>
        <v>100</v>
      </c>
      <c r="W55" s="153">
        <f>(T55*0)/(1+cDR)^'Markov Model_b (2)'!cycle2</f>
        <v>0</v>
      </c>
      <c r="X55" s="178">
        <f t="shared" si="7"/>
        <v>40.08722886974018</v>
      </c>
      <c r="Y55" s="202">
        <f>(T55*(uPostT))/(1+oDR)^'Markov Model_b (2)'!cycle</f>
        <v>27.296492855187189</v>
      </c>
      <c r="Z55" s="80"/>
      <c r="AA55" s="3"/>
      <c r="AB55" s="3"/>
      <c r="AC55" s="14">
        <v>43</v>
      </c>
      <c r="AD55" s="14"/>
      <c r="AE55" s="14"/>
      <c r="AF55" s="3"/>
      <c r="AG55" s="3"/>
      <c r="AH55" s="3"/>
      <c r="AI55" s="14"/>
      <c r="AJ55" s="14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</row>
    <row r="56" spans="1:60" ht="14.25" customHeight="1" x14ac:dyDescent="0.2">
      <c r="A56" s="637"/>
      <c r="B56" s="80"/>
      <c r="C56" s="173">
        <v>45</v>
      </c>
      <c r="D56" s="165"/>
      <c r="E56" s="174">
        <v>5.1756655528386597E-3</v>
      </c>
      <c r="F56" s="502"/>
      <c r="G56" s="219">
        <f t="shared" si="8"/>
        <v>42.329879259474907</v>
      </c>
      <c r="H56" s="249">
        <f t="shared" si="9"/>
        <v>57.670120740525093</v>
      </c>
      <c r="I56" s="515">
        <f t="shared" si="0"/>
        <v>100</v>
      </c>
      <c r="J56" s="153">
        <f>(G56*0)/(1+cDR)^'Markov Model_b (2)'!cycle</f>
        <v>0</v>
      </c>
      <c r="K56" s="178">
        <f t="shared" si="1"/>
        <v>42.329879259474907</v>
      </c>
      <c r="L56" s="202">
        <f>(G56*(uPostT))/(1+oDR)^'Markov Model_b (2)'!cycle</f>
        <v>28.751695733178792</v>
      </c>
      <c r="M56" s="80"/>
      <c r="N56" s="3"/>
      <c r="O56" s="80"/>
      <c r="P56" s="173">
        <v>45</v>
      </c>
      <c r="Q56" s="165"/>
      <c r="R56" s="174">
        <v>5.1756655528386597E-3</v>
      </c>
      <c r="S56" s="502"/>
      <c r="T56" s="219">
        <f t="shared" si="6"/>
        <v>39.879750780170305</v>
      </c>
      <c r="U56" s="249">
        <f t="shared" si="10"/>
        <v>60.120249219829695</v>
      </c>
      <c r="V56" s="515">
        <f t="shared" si="2"/>
        <v>100</v>
      </c>
      <c r="W56" s="153">
        <f>(T56*0)/(1+cDR)^'Markov Model_b (2)'!cycle2</f>
        <v>0</v>
      </c>
      <c r="X56" s="178">
        <f t="shared" si="7"/>
        <v>39.879750780170305</v>
      </c>
      <c r="Y56" s="202">
        <f>(T56*(uPostT))/(1+oDR)^'Markov Model_b (2)'!cycle</f>
        <v>27.087496595913507</v>
      </c>
      <c r="Z56" s="80"/>
      <c r="AA56" s="3"/>
      <c r="AB56" s="3"/>
      <c r="AC56" s="14">
        <v>44</v>
      </c>
      <c r="AD56" s="14"/>
      <c r="AE56" s="14"/>
      <c r="AF56" s="3"/>
      <c r="AG56" s="3"/>
      <c r="AH56" s="3"/>
      <c r="AI56" s="14"/>
      <c r="AJ56" s="14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</row>
    <row r="57" spans="1:60" ht="14.25" customHeight="1" x14ac:dyDescent="0.2">
      <c r="A57" s="637"/>
      <c r="B57" s="80"/>
      <c r="C57" s="173">
        <v>46</v>
      </c>
      <c r="D57" s="165"/>
      <c r="E57" s="174">
        <v>4.9707075509936027E-3</v>
      </c>
      <c r="F57" s="502"/>
      <c r="G57" s="219">
        <f t="shared" si="8"/>
        <v>42.119469809007185</v>
      </c>
      <c r="H57" s="249">
        <f t="shared" si="9"/>
        <v>57.880530190992815</v>
      </c>
      <c r="I57" s="515">
        <f t="shared" si="0"/>
        <v>100</v>
      </c>
      <c r="J57" s="153">
        <f>(G57*0)/(1+cDR)^'Markov Model_b (2)'!cycle</f>
        <v>0</v>
      </c>
      <c r="K57" s="178">
        <f t="shared" si="1"/>
        <v>42.119469809007185</v>
      </c>
      <c r="L57" s="202">
        <f>(G57*(uPostT))/(1+oDR)^'Markov Model_b (2)'!cycle</f>
        <v>28.537435872412985</v>
      </c>
      <c r="M57" s="80"/>
      <c r="N57" s="3"/>
      <c r="O57" s="80"/>
      <c r="P57" s="173">
        <v>46</v>
      </c>
      <c r="Q57" s="165"/>
      <c r="R57" s="174">
        <v>4.9707075509936027E-3</v>
      </c>
      <c r="S57" s="502"/>
      <c r="T57" s="219">
        <f t="shared" si="6"/>
        <v>39.681520201835568</v>
      </c>
      <c r="U57" s="249">
        <f t="shared" si="10"/>
        <v>60.318479798164432</v>
      </c>
      <c r="V57" s="515">
        <f t="shared" si="2"/>
        <v>100</v>
      </c>
      <c r="W57" s="153">
        <f>(T57*0)/(1+cDR)^'Markov Model_b (2)'!cycle2</f>
        <v>0</v>
      </c>
      <c r="X57" s="178">
        <f t="shared" si="7"/>
        <v>39.681520201835568</v>
      </c>
      <c r="Y57" s="202">
        <f>(T57*(uPostT))/(1+oDR)^'Markov Model_b (2)'!cycle</f>
        <v>26.88563847585705</v>
      </c>
      <c r="Z57" s="80"/>
      <c r="AA57" s="3"/>
      <c r="AB57" s="3"/>
      <c r="AC57" s="14">
        <v>45</v>
      </c>
      <c r="AD57" s="14"/>
      <c r="AE57" s="14"/>
      <c r="AF57" s="3"/>
      <c r="AG57" s="3"/>
      <c r="AH57" s="3"/>
      <c r="AI57" s="14"/>
      <c r="AJ57" s="14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</row>
    <row r="58" spans="1:60" ht="14.25" customHeight="1" x14ac:dyDescent="0.2">
      <c r="A58" s="637"/>
      <c r="B58" s="80"/>
      <c r="C58" s="173">
        <v>47</v>
      </c>
      <c r="D58" s="165"/>
      <c r="E58" s="174">
        <v>4.7738464629886179E-3</v>
      </c>
      <c r="F58" s="502"/>
      <c r="G58" s="219">
        <f t="shared" si="8"/>
        <v>41.918397927036501</v>
      </c>
      <c r="H58" s="249">
        <f t="shared" si="9"/>
        <v>58.081602072963499</v>
      </c>
      <c r="I58" s="515">
        <f t="shared" si="0"/>
        <v>100</v>
      </c>
      <c r="J58" s="153">
        <f>(G58*0)/(1+cDR)^'Markov Model_b (2)'!cycle</f>
        <v>0</v>
      </c>
      <c r="K58" s="178">
        <f t="shared" si="1"/>
        <v>41.918397927036501</v>
      </c>
      <c r="L58" s="202">
        <f>(G58*(uPostT))/(1+oDR)^'Markov Model_b (2)'!cycle</f>
        <v>28.330376593626639</v>
      </c>
      <c r="M58" s="80"/>
      <c r="N58" s="3"/>
      <c r="O58" s="80"/>
      <c r="P58" s="173">
        <v>47</v>
      </c>
      <c r="Q58" s="165"/>
      <c r="R58" s="174">
        <v>4.7738464629886179E-3</v>
      </c>
      <c r="S58" s="502"/>
      <c r="T58" s="219">
        <f t="shared" si="6"/>
        <v>39.492086716974022</v>
      </c>
      <c r="U58" s="249">
        <f t="shared" si="10"/>
        <v>60.507913283025978</v>
      </c>
      <c r="V58" s="515">
        <f t="shared" si="2"/>
        <v>100</v>
      </c>
      <c r="W58" s="153">
        <f>(T58*0)/(1+cDR)^'Markov Model_b (2)'!cycle2</f>
        <v>0</v>
      </c>
      <c r="X58" s="178">
        <f t="shared" si="7"/>
        <v>39.492086716974022</v>
      </c>
      <c r="Y58" s="202">
        <f>(T58*(uPostT))/(1+oDR)^'Markov Model_b (2)'!cycle</f>
        <v>26.690564155325575</v>
      </c>
      <c r="Z58" s="80"/>
      <c r="AA58" s="3"/>
      <c r="AB58" s="3"/>
      <c r="AC58" s="14">
        <v>46</v>
      </c>
      <c r="AD58" s="14"/>
      <c r="AE58" s="14"/>
      <c r="AF58" s="3"/>
      <c r="AG58" s="3"/>
      <c r="AH58" s="3"/>
      <c r="AI58" s="14"/>
      <c r="AJ58" s="14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</row>
    <row r="59" spans="1:60" ht="14.25" customHeight="1" x14ac:dyDescent="0.2">
      <c r="A59" s="637"/>
      <c r="B59" s="80"/>
      <c r="C59" s="173">
        <v>48</v>
      </c>
      <c r="D59" s="504"/>
      <c r="E59" s="174">
        <v>4.5847639340007573E-3</v>
      </c>
      <c r="F59" s="505"/>
      <c r="G59" s="219">
        <f t="shared" si="8"/>
        <v>41.726211968049533</v>
      </c>
      <c r="H59" s="249">
        <f t="shared" si="9"/>
        <v>58.273788031950467</v>
      </c>
      <c r="I59" s="516">
        <f t="shared" si="0"/>
        <v>100</v>
      </c>
      <c r="J59" s="180">
        <f>(G59*0)/(1+cDR)^'Markov Model_b (2)'!cycle</f>
        <v>0</v>
      </c>
      <c r="K59" s="176">
        <f t="shared" si="1"/>
        <v>41.726211968049533</v>
      </c>
      <c r="L59" s="202">
        <f>(G59*(uPostT))/(1+oDR)^'Markov Model_b (2)'!cycle</f>
        <v>28.13016309704091</v>
      </c>
      <c r="M59" s="80"/>
      <c r="N59" s="3"/>
      <c r="O59" s="80"/>
      <c r="P59" s="173">
        <v>48</v>
      </c>
      <c r="Q59" s="504"/>
      <c r="R59" s="174">
        <v>4.5847639340007573E-3</v>
      </c>
      <c r="S59" s="505"/>
      <c r="T59" s="219">
        <f t="shared" si="6"/>
        <v>39.311024822115606</v>
      </c>
      <c r="U59" s="249">
        <f t="shared" si="10"/>
        <v>60.688975177884394</v>
      </c>
      <c r="V59" s="516">
        <f t="shared" si="2"/>
        <v>100</v>
      </c>
      <c r="W59" s="180">
        <f>(T59*0)/(1+cDR)^'Markov Model_b (2)'!cycle2</f>
        <v>0</v>
      </c>
      <c r="X59" s="176">
        <f t="shared" si="7"/>
        <v>39.311024822115606</v>
      </c>
      <c r="Y59" s="202">
        <f>(T59*(uPostT))/(1+oDR)^'Markov Model_b (2)'!cycle</f>
        <v>26.501939370980644</v>
      </c>
      <c r="Z59" s="80"/>
      <c r="AA59" s="3"/>
      <c r="AB59" s="3"/>
      <c r="AC59" s="14">
        <v>47</v>
      </c>
      <c r="AD59" s="14"/>
      <c r="AE59" s="14"/>
      <c r="AF59" s="3"/>
      <c r="AG59" s="3"/>
      <c r="AH59" s="3"/>
      <c r="AI59" s="14"/>
      <c r="AJ59" s="14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</row>
    <row r="60" spans="1:60" ht="14.25" customHeight="1" x14ac:dyDescent="0.25">
      <c r="A60" s="637" t="s">
        <v>546</v>
      </c>
      <c r="B60" s="80"/>
      <c r="C60" s="506">
        <v>49</v>
      </c>
      <c r="D60" s="506"/>
      <c r="E60" s="507">
        <v>4.4031540083111498E-3</v>
      </c>
      <c r="F60" s="508"/>
      <c r="G60" s="509">
        <f t="shared" si="8"/>
        <v>41.542485030570774</v>
      </c>
      <c r="H60" s="510">
        <f t="shared" si="9"/>
        <v>58.457514969429226</v>
      </c>
      <c r="I60" s="517">
        <f t="shared" si="0"/>
        <v>100</v>
      </c>
      <c r="J60" s="511">
        <f>(G60*0)/(1+cDR)^'Markov Model_b (2)'!cycle</f>
        <v>0</v>
      </c>
      <c r="K60" s="512">
        <f t="shared" si="1"/>
        <v>41.542485030570774</v>
      </c>
      <c r="L60" s="513">
        <f>(G60*(uPostT))/(1+oDR)^'Markov Model_b (2)'!cycle</f>
        <v>27.936460505382279</v>
      </c>
      <c r="M60" s="80"/>
      <c r="N60" s="3"/>
      <c r="O60" s="80"/>
      <c r="P60" s="506">
        <v>49</v>
      </c>
      <c r="Q60" s="506"/>
      <c r="R60" s="507">
        <v>4.4031540083111498E-3</v>
      </c>
      <c r="S60" s="508"/>
      <c r="T60" s="509">
        <f t="shared" si="6"/>
        <v>39.137932325599287</v>
      </c>
      <c r="U60" s="510">
        <f t="shared" si="10"/>
        <v>60.862067674400713</v>
      </c>
      <c r="V60" s="517">
        <f t="shared" si="2"/>
        <v>100</v>
      </c>
      <c r="W60" s="511">
        <f>(T60*0)/(1+cDR)^'Markov Model_b (2)'!cycle2</f>
        <v>0</v>
      </c>
      <c r="X60" s="512">
        <f t="shared" si="7"/>
        <v>39.137932325599287</v>
      </c>
      <c r="Y60" s="513">
        <f>(T60*(uPostT))/(1+oDR)^'Markov Model_b (2)'!cycle</f>
        <v>26.319448628839197</v>
      </c>
      <c r="Z60" s="80"/>
      <c r="AA60" s="3"/>
      <c r="AB60" s="3"/>
      <c r="AC60" s="14">
        <v>48</v>
      </c>
      <c r="AD60" s="14"/>
      <c r="AE60" s="14"/>
      <c r="AF60" s="3"/>
      <c r="AG60" s="3"/>
      <c r="AH60" s="3"/>
      <c r="AI60" s="14"/>
      <c r="AJ60" s="14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</row>
    <row r="61" spans="1:60" ht="14.25" customHeight="1" x14ac:dyDescent="0.2">
      <c r="A61" s="637"/>
      <c r="B61" s="80"/>
      <c r="C61" s="173">
        <v>50</v>
      </c>
      <c r="D61" s="165"/>
      <c r="E61" s="174">
        <v>4.2287226555974833E-3</v>
      </c>
      <c r="F61" s="502"/>
      <c r="G61" s="219">
        <f t="shared" si="8"/>
        <v>41.366813382952181</v>
      </c>
      <c r="H61" s="249">
        <f t="shared" si="9"/>
        <v>58.633186617047819</v>
      </c>
      <c r="I61" s="516">
        <f t="shared" si="0"/>
        <v>100</v>
      </c>
      <c r="J61" s="153">
        <f>(G61*0)/(1+cDR)^'Markov Model_b (2)'!cycle</f>
        <v>0</v>
      </c>
      <c r="K61" s="178">
        <f t="shared" si="1"/>
        <v>41.366813382952181</v>
      </c>
      <c r="L61" s="202">
        <f>(G61*(uPostT))/(1+oDR)^'Markov Model_b (2)'!cycle</f>
        <v>27.748952580474775</v>
      </c>
      <c r="M61" s="80"/>
      <c r="N61" s="3"/>
      <c r="O61" s="80"/>
      <c r="P61" s="173">
        <v>50</v>
      </c>
      <c r="Q61" s="165"/>
      <c r="R61" s="174">
        <v>4.2287226555974833E-3</v>
      </c>
      <c r="S61" s="502"/>
      <c r="T61" s="219">
        <f t="shared" si="6"/>
        <v>38.972428864480783</v>
      </c>
      <c r="U61" s="249">
        <f t="shared" si="10"/>
        <v>61.027571135519217</v>
      </c>
      <c r="V61" s="516">
        <f t="shared" si="2"/>
        <v>100</v>
      </c>
      <c r="W61" s="153">
        <f>(T61*0)/(1+cDR)^'Markov Model_b (2)'!cycle2</f>
        <v>0</v>
      </c>
      <c r="X61" s="178">
        <f t="shared" si="7"/>
        <v>38.972428864480783</v>
      </c>
      <c r="Y61" s="202">
        <f>(T61*(uPostT))/(1+oDR)^'Markov Model_b (2)'!cycle</f>
        <v>26.14279399515171</v>
      </c>
      <c r="Z61" s="80"/>
      <c r="AA61" s="3"/>
      <c r="AB61" s="3"/>
      <c r="AC61" s="14">
        <v>49</v>
      </c>
      <c r="AD61" s="14"/>
      <c r="AE61" s="14"/>
      <c r="AF61" s="3"/>
      <c r="AG61" s="3"/>
      <c r="AH61" s="3"/>
      <c r="AI61" s="14"/>
      <c r="AJ61" s="14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</row>
    <row r="62" spans="1:60" ht="14.25" customHeight="1" x14ac:dyDescent="0.2">
      <c r="A62" s="637"/>
      <c r="B62" s="80"/>
      <c r="C62" s="173">
        <v>51</v>
      </c>
      <c r="D62" s="165"/>
      <c r="E62" s="174">
        <v>4.0611873146051414E-3</v>
      </c>
      <c r="F62" s="502"/>
      <c r="G62" s="219">
        <f t="shared" si="8"/>
        <v>41.198815005195698</v>
      </c>
      <c r="H62" s="249">
        <f t="shared" si="9"/>
        <v>58.801184994804302</v>
      </c>
      <c r="I62" s="516">
        <f t="shared" si="0"/>
        <v>100</v>
      </c>
      <c r="J62" s="153">
        <f>(G62*0)/(1+cDR)^'Markov Model_b (2)'!cycle</f>
        <v>0</v>
      </c>
      <c r="K62" s="178">
        <f t="shared" si="1"/>
        <v>41.198815005195698</v>
      </c>
      <c r="L62" s="202">
        <f>(G62*(uPostT))/(1+oDR)^'Markov Model_b (2)'!cycle</f>
        <v>27.567340534924067</v>
      </c>
      <c r="M62" s="80"/>
      <c r="N62" s="3"/>
      <c r="O62" s="80"/>
      <c r="P62" s="173">
        <v>51</v>
      </c>
      <c r="Q62" s="165"/>
      <c r="R62" s="174">
        <v>4.0611873146051414E-3</v>
      </c>
      <c r="S62" s="502"/>
      <c r="T62" s="219">
        <f t="shared" si="6"/>
        <v>38.814154530757001</v>
      </c>
      <c r="U62" s="249">
        <f t="shared" si="10"/>
        <v>61.185845469242999</v>
      </c>
      <c r="V62" s="516">
        <f t="shared" si="2"/>
        <v>100</v>
      </c>
      <c r="W62" s="153">
        <f>(T62*0)/(1+cDR)^'Markov Model_b (2)'!cycle2</f>
        <v>0</v>
      </c>
      <c r="X62" s="178">
        <f t="shared" si="7"/>
        <v>38.814154530757001</v>
      </c>
      <c r="Y62" s="202">
        <f>(T62*(uPostT))/(1+oDR)^'Markov Model_b (2)'!cycle</f>
        <v>25.971693976868096</v>
      </c>
      <c r="Z62" s="80"/>
      <c r="AA62" s="3"/>
      <c r="AB62" s="3"/>
      <c r="AC62" s="14">
        <v>50</v>
      </c>
      <c r="AD62" s="14"/>
      <c r="AE62" s="14"/>
      <c r="AF62" s="3"/>
      <c r="AG62" s="3"/>
      <c r="AH62" s="3"/>
      <c r="AI62" s="14"/>
      <c r="AJ62" s="14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</row>
    <row r="63" spans="1:60" ht="14.25" customHeight="1" x14ac:dyDescent="0.2">
      <c r="A63" s="637"/>
      <c r="B63" s="80"/>
      <c r="C63" s="173">
        <v>52</v>
      </c>
      <c r="D63" s="165"/>
      <c r="E63" s="174">
        <v>3.9002764536127943E-3</v>
      </c>
      <c r="F63" s="502"/>
      <c r="G63" s="219">
        <f t="shared" si="8"/>
        <v>41.038128237114186</v>
      </c>
      <c r="H63" s="249">
        <f t="shared" ref="H63:H76" si="11">H62+(G62*E63)</f>
        <v>58.961871762885814</v>
      </c>
      <c r="I63" s="516">
        <f t="shared" si="0"/>
        <v>100</v>
      </c>
      <c r="J63" s="153">
        <f>(G63*0)/(1+cDR)^'Markov Model_b (2)'!cycle</f>
        <v>0</v>
      </c>
      <c r="K63" s="178">
        <f t="shared" si="1"/>
        <v>41.038128237114186</v>
      </c>
      <c r="L63" s="202">
        <f>(G63*(uPostT))/(1+oDR)^'Markov Model_b (2)'!cycle</f>
        <v>27.391341930919676</v>
      </c>
      <c r="M63" s="80"/>
      <c r="N63" s="3"/>
      <c r="O63" s="80"/>
      <c r="P63" s="173">
        <v>52</v>
      </c>
      <c r="Q63" s="165"/>
      <c r="R63" s="174">
        <v>3.9002764536127943E-3</v>
      </c>
      <c r="S63" s="502"/>
      <c r="T63" s="219">
        <f t="shared" si="6"/>
        <v>38.662768597773798</v>
      </c>
      <c r="U63" s="249">
        <f t="shared" ref="U63:U118" si="12">U62+(T62*R63)</f>
        <v>61.337231402226202</v>
      </c>
      <c r="V63" s="516">
        <f t="shared" si="2"/>
        <v>100</v>
      </c>
      <c r="W63" s="153">
        <f>(T63*0)/(1+cDR)^'Markov Model_b (2)'!cycle2</f>
        <v>0</v>
      </c>
      <c r="X63" s="178">
        <f t="shared" si="7"/>
        <v>38.662768597773798</v>
      </c>
      <c r="Y63" s="202">
        <f>(T63*(uPostT))/(1+oDR)^'Markov Model_b (2)'!cycle</f>
        <v>25.805882484179229</v>
      </c>
      <c r="Z63" s="80"/>
      <c r="AA63" s="3"/>
      <c r="AB63" s="3"/>
      <c r="AC63" s="14">
        <v>51</v>
      </c>
      <c r="AD63" s="14"/>
      <c r="AE63" s="14"/>
      <c r="AF63" s="3"/>
      <c r="AG63" s="3"/>
      <c r="AH63" s="3"/>
      <c r="AI63" s="14"/>
      <c r="AJ63" s="14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</row>
    <row r="64" spans="1:60" ht="14.25" customHeight="1" x14ac:dyDescent="0.2">
      <c r="A64" s="637"/>
      <c r="B64" s="80"/>
      <c r="C64" s="173">
        <v>53</v>
      </c>
      <c r="D64" s="165"/>
      <c r="E64" s="174">
        <v>3.7457291471252319E-3</v>
      </c>
      <c r="F64" s="502"/>
      <c r="G64" s="219">
        <f t="shared" si="8"/>
        <v>40.884410524032965</v>
      </c>
      <c r="H64" s="249">
        <f t="shared" si="11"/>
        <v>59.115589475967035</v>
      </c>
      <c r="I64" s="516">
        <f t="shared" si="0"/>
        <v>100</v>
      </c>
      <c r="J64" s="153">
        <f>(G64*0)/(1+cDR)^'Markov Model_b (2)'!cycle</f>
        <v>0</v>
      </c>
      <c r="K64" s="178">
        <f t="shared" si="1"/>
        <v>40.884410524032965</v>
      </c>
      <c r="L64" s="202">
        <f>(G64*(uPostT))/(1+oDR)^'Markov Model_b (2)'!cycle</f>
        <v>27.220689658922851</v>
      </c>
      <c r="M64" s="80"/>
      <c r="N64" s="3"/>
      <c r="O64" s="80"/>
      <c r="P64" s="173">
        <v>53</v>
      </c>
      <c r="Q64" s="165"/>
      <c r="R64" s="174">
        <v>3.7457291471252319E-3</v>
      </c>
      <c r="S64" s="502"/>
      <c r="T64" s="219">
        <f t="shared" si="6"/>
        <v>38.517948338528562</v>
      </c>
      <c r="U64" s="249">
        <f t="shared" si="12"/>
        <v>61.482051661471438</v>
      </c>
      <c r="V64" s="516">
        <f t="shared" si="2"/>
        <v>100</v>
      </c>
      <c r="W64" s="153">
        <f>(T64*0)/(1+cDR)^'Markov Model_b (2)'!cycle2</f>
        <v>0</v>
      </c>
      <c r="X64" s="178">
        <f t="shared" si="7"/>
        <v>38.517948338528562</v>
      </c>
      <c r="Y64" s="202">
        <f>(T64*(uPostT))/(1+oDR)^'Markov Model_b (2)'!cycle</f>
        <v>25.645107868320153</v>
      </c>
      <c r="Z64" s="80"/>
      <c r="AA64" s="3"/>
      <c r="AB64" s="3"/>
      <c r="AC64" s="14">
        <v>52</v>
      </c>
      <c r="AD64" s="14"/>
      <c r="AE64" s="14"/>
      <c r="AF64" s="3"/>
      <c r="AG64" s="3"/>
      <c r="AH64" s="3"/>
      <c r="AI64" s="14"/>
      <c r="AJ64" s="14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</row>
    <row r="65" spans="1:60" ht="14.25" customHeight="1" x14ac:dyDescent="0.2">
      <c r="A65" s="637"/>
      <c r="B65" s="80"/>
      <c r="C65" s="173">
        <v>54</v>
      </c>
      <c r="D65" s="165"/>
      <c r="E65" s="174">
        <v>3.5972946682486517E-3</v>
      </c>
      <c r="F65" s="502"/>
      <c r="G65" s="219">
        <f t="shared" si="8"/>
        <v>40.737337252040369</v>
      </c>
      <c r="H65" s="249">
        <f t="shared" si="11"/>
        <v>59.262662747959631</v>
      </c>
      <c r="I65" s="516">
        <f t="shared" si="0"/>
        <v>100</v>
      </c>
      <c r="J65" s="153">
        <f>(G65*0)/(1+cDR)^'Markov Model_b (2)'!cycle</f>
        <v>0</v>
      </c>
      <c r="K65" s="178">
        <f t="shared" si="1"/>
        <v>40.737337252040369</v>
      </c>
      <c r="L65" s="202">
        <f>(G65*(uPostT))/(1+oDR)^'Markov Model_b (2)'!cycle</f>
        <v>27.05513098967258</v>
      </c>
      <c r="M65" s="80"/>
      <c r="N65" s="3"/>
      <c r="O65" s="80"/>
      <c r="P65" s="173">
        <v>54</v>
      </c>
      <c r="Q65" s="165"/>
      <c r="R65" s="174">
        <v>3.5972946682486517E-3</v>
      </c>
      <c r="S65" s="502"/>
      <c r="T65" s="219">
        <f t="shared" si="6"/>
        <v>38.379387928338495</v>
      </c>
      <c r="U65" s="249">
        <f t="shared" si="12"/>
        <v>61.620612071661505</v>
      </c>
      <c r="V65" s="516">
        <f t="shared" si="2"/>
        <v>100</v>
      </c>
      <c r="W65" s="153">
        <f>(T65*0)/(1+cDR)^'Markov Model_b (2)'!cycle2</f>
        <v>0</v>
      </c>
      <c r="X65" s="178">
        <f t="shared" si="7"/>
        <v>38.379387928338495</v>
      </c>
      <c r="Y65" s="202">
        <f>(T65*(uPostT))/(1+oDR)^'Markov Model_b (2)'!cycle</f>
        <v>25.489132028447671</v>
      </c>
      <c r="Z65" s="80"/>
      <c r="AA65" s="3"/>
      <c r="AB65" s="3"/>
      <c r="AC65" s="14">
        <v>53</v>
      </c>
      <c r="AD65" s="14"/>
      <c r="AE65" s="14"/>
      <c r="AF65" s="3"/>
      <c r="AG65" s="3"/>
      <c r="AH65" s="3"/>
      <c r="AI65" s="14"/>
      <c r="AJ65" s="14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</row>
    <row r="66" spans="1:60" ht="14.25" customHeight="1" x14ac:dyDescent="0.2">
      <c r="A66" s="637"/>
      <c r="B66" s="80"/>
      <c r="C66" s="173">
        <v>55</v>
      </c>
      <c r="D66" s="165"/>
      <c r="E66" s="174">
        <v>3.4547320962093897E-3</v>
      </c>
      <c r="F66" s="502"/>
      <c r="G66" s="219">
        <f t="shared" si="8"/>
        <v>40.596600665521642</v>
      </c>
      <c r="H66" s="249">
        <f t="shared" si="11"/>
        <v>59.403399334478358</v>
      </c>
      <c r="I66" s="516">
        <f t="shared" si="0"/>
        <v>100</v>
      </c>
      <c r="J66" s="153">
        <f>(G66*0)/(1+cDR)^'Markov Model_b (2)'!cycle</f>
        <v>0</v>
      </c>
      <c r="K66" s="178">
        <f t="shared" si="1"/>
        <v>40.596600665521642</v>
      </c>
      <c r="L66" s="202">
        <f>(G66*(uPostT))/(1+oDR)^'Markov Model_b (2)'!cycle</f>
        <v>26.894426693541558</v>
      </c>
      <c r="M66" s="80"/>
      <c r="N66" s="3"/>
      <c r="O66" s="80"/>
      <c r="P66" s="173">
        <v>55</v>
      </c>
      <c r="Q66" s="165"/>
      <c r="R66" s="174">
        <v>3.4547320962093897E-3</v>
      </c>
      <c r="S66" s="502"/>
      <c r="T66" s="219">
        <f t="shared" si="6"/>
        <v>38.246797425029591</v>
      </c>
      <c r="U66" s="249">
        <f t="shared" si="12"/>
        <v>61.753202574970409</v>
      </c>
      <c r="V66" s="516">
        <f t="shared" si="2"/>
        <v>100</v>
      </c>
      <c r="W66" s="153">
        <f>(T66*0)/(1+cDR)^'Markov Model_b (2)'!cycle2</f>
        <v>0</v>
      </c>
      <c r="X66" s="178">
        <f t="shared" si="7"/>
        <v>38.246797425029591</v>
      </c>
      <c r="Y66" s="202">
        <f>(T66*(uPostT))/(1+oDR)^'Markov Model_b (2)'!cycle</f>
        <v>25.337729581969548</v>
      </c>
      <c r="Z66" s="80"/>
      <c r="AA66" s="3"/>
      <c r="AB66" s="3"/>
      <c r="AC66" s="14">
        <v>54</v>
      </c>
      <c r="AD66" s="14"/>
      <c r="AE66" s="14"/>
      <c r="AF66" s="3"/>
      <c r="AG66" s="3"/>
      <c r="AH66" s="3"/>
      <c r="AI66" s="14"/>
      <c r="AJ66" s="14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</row>
    <row r="67" spans="1:60" ht="14.25" customHeight="1" x14ac:dyDescent="0.2">
      <c r="A67" s="637"/>
      <c r="B67" s="80"/>
      <c r="C67" s="173">
        <v>56</v>
      </c>
      <c r="D67" s="165"/>
      <c r="E67" s="174">
        <v>3.3178099384910675E-3</v>
      </c>
      <c r="F67" s="502"/>
      <c r="G67" s="219">
        <f t="shared" si="8"/>
        <v>40.461908860364623</v>
      </c>
      <c r="H67" s="249">
        <f t="shared" si="11"/>
        <v>59.538091139635377</v>
      </c>
      <c r="I67" s="516">
        <f t="shared" si="0"/>
        <v>100</v>
      </c>
      <c r="J67" s="153">
        <f>(G67*0)/(1+cDR)^'Markov Model_b (2)'!cycle</f>
        <v>0</v>
      </c>
      <c r="K67" s="178">
        <f t="shared" si="1"/>
        <v>40.461908860364623</v>
      </c>
      <c r="L67" s="202">
        <f>(G67*(uPostT))/(1+oDR)^'Markov Model_b (2)'!cycle</f>
        <v>26.738350221813178</v>
      </c>
      <c r="M67" s="80"/>
      <c r="N67" s="3"/>
      <c r="O67" s="80"/>
      <c r="P67" s="173">
        <v>56</v>
      </c>
      <c r="Q67" s="165"/>
      <c r="R67" s="174">
        <v>3.3178099384910675E-3</v>
      </c>
      <c r="S67" s="502"/>
      <c r="T67" s="219">
        <f t="shared" si="6"/>
        <v>38.119901820417375</v>
      </c>
      <c r="U67" s="249">
        <f t="shared" si="12"/>
        <v>61.880098179582625</v>
      </c>
      <c r="V67" s="516">
        <f t="shared" si="2"/>
        <v>100</v>
      </c>
      <c r="W67" s="153">
        <f>(T67*0)/(1+cDR)^'Markov Model_b (2)'!cycle2</f>
        <v>0</v>
      </c>
      <c r="X67" s="178">
        <f t="shared" si="7"/>
        <v>38.119901820417375</v>
      </c>
      <c r="Y67" s="202">
        <f>(T67*(uPostT))/(1+oDR)^'Markov Model_b (2)'!cycle</f>
        <v>25.190687093210666</v>
      </c>
      <c r="Z67" s="80"/>
      <c r="AA67" s="3"/>
      <c r="AB67" s="3"/>
      <c r="AC67" s="14">
        <v>55</v>
      </c>
      <c r="AD67" s="14"/>
      <c r="AE67" s="14"/>
      <c r="AF67" s="3"/>
      <c r="AG67" s="3"/>
      <c r="AH67" s="3"/>
      <c r="AI67" s="14"/>
      <c r="AJ67" s="14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</row>
    <row r="68" spans="1:60" ht="14.25" customHeight="1" x14ac:dyDescent="0.2">
      <c r="A68" s="637"/>
      <c r="B68" s="80"/>
      <c r="C68" s="173">
        <v>57</v>
      </c>
      <c r="D68" s="165"/>
      <c r="E68" s="174">
        <v>3.1863057670961092E-3</v>
      </c>
      <c r="F68" s="502"/>
      <c r="G68" s="219">
        <f t="shared" si="8"/>
        <v>40.33298484681513</v>
      </c>
      <c r="H68" s="249">
        <f t="shared" si="11"/>
        <v>59.66701515318487</v>
      </c>
      <c r="I68" s="516">
        <f t="shared" si="0"/>
        <v>100</v>
      </c>
      <c r="J68" s="153">
        <f>(G68*0)/(1+cDR)^'Markov Model_b (2)'!cycle</f>
        <v>0</v>
      </c>
      <c r="K68" s="178">
        <f t="shared" si="1"/>
        <v>40.33298484681513</v>
      </c>
      <c r="L68" s="202">
        <f>(G68*(uPostT))/(1+oDR)^'Markov Model_b (2)'!cycle</f>
        <v>26.586686944936439</v>
      </c>
      <c r="M68" s="80"/>
      <c r="N68" s="3"/>
      <c r="O68" s="80"/>
      <c r="P68" s="173">
        <v>57</v>
      </c>
      <c r="Q68" s="165"/>
      <c r="R68" s="174">
        <v>3.1863057670961092E-3</v>
      </c>
      <c r="S68" s="502"/>
      <c r="T68" s="219">
        <f t="shared" si="6"/>
        <v>37.998440157405845</v>
      </c>
      <c r="U68" s="249">
        <f t="shared" si="12"/>
        <v>62.001559842594155</v>
      </c>
      <c r="V68" s="516">
        <f t="shared" si="2"/>
        <v>100</v>
      </c>
      <c r="W68" s="153">
        <f>(T68*0)/(1+cDR)^'Markov Model_b (2)'!cycle2</f>
        <v>0</v>
      </c>
      <c r="X68" s="178">
        <f t="shared" si="7"/>
        <v>37.998440157405845</v>
      </c>
      <c r="Y68" s="202">
        <f>(T68*(uPostT))/(1+oDR)^'Markov Model_b (2)'!cycle</f>
        <v>25.047802355759057</v>
      </c>
      <c r="Z68" s="80"/>
      <c r="AA68" s="3"/>
      <c r="AB68" s="3"/>
      <c r="AC68" s="14">
        <v>56</v>
      </c>
      <c r="AD68" s="14"/>
      <c r="AE68" s="14"/>
      <c r="AF68" s="3"/>
      <c r="AG68" s="3"/>
      <c r="AH68" s="3"/>
      <c r="AI68" s="14"/>
      <c r="AJ68" s="14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</row>
    <row r="69" spans="1:60" ht="14.25" customHeight="1" x14ac:dyDescent="0.2">
      <c r="A69" s="637"/>
      <c r="B69" s="80"/>
      <c r="C69" s="173">
        <v>58</v>
      </c>
      <c r="D69" s="165"/>
      <c r="E69" s="174">
        <v>3.0600058684202569E-3</v>
      </c>
      <c r="F69" s="502"/>
      <c r="G69" s="219">
        <f t="shared" si="8"/>
        <v>40.209565676492971</v>
      </c>
      <c r="H69" s="249">
        <f t="shared" si="11"/>
        <v>59.790434323507029</v>
      </c>
      <c r="I69" s="516">
        <f t="shared" si="0"/>
        <v>100</v>
      </c>
      <c r="J69" s="153">
        <f>(G69*0)/(1+cDR)^'Markov Model_b (2)'!cycle</f>
        <v>0</v>
      </c>
      <c r="K69" s="178">
        <f t="shared" si="1"/>
        <v>40.209565676492971</v>
      </c>
      <c r="L69" s="202">
        <f>(G69*(uPostT))/(1+oDR)^'Markov Model_b (2)'!cycle</f>
        <v>26.439233443254945</v>
      </c>
      <c r="M69" s="80"/>
      <c r="N69" s="3"/>
      <c r="O69" s="80"/>
      <c r="P69" s="173">
        <v>58</v>
      </c>
      <c r="Q69" s="165"/>
      <c r="R69" s="174">
        <v>3.0600058684202569E-3</v>
      </c>
      <c r="S69" s="502"/>
      <c r="T69" s="219">
        <f t="shared" si="6"/>
        <v>37.88216470753337</v>
      </c>
      <c r="U69" s="249">
        <f t="shared" si="12"/>
        <v>62.11783529246663</v>
      </c>
      <c r="V69" s="516">
        <f t="shared" si="2"/>
        <v>100</v>
      </c>
      <c r="W69" s="153">
        <f>(T69*0)/(1+cDR)^'Markov Model_b (2)'!cycle2</f>
        <v>0</v>
      </c>
      <c r="X69" s="178">
        <f t="shared" si="7"/>
        <v>37.88216470753337</v>
      </c>
      <c r="Y69" s="202">
        <f>(T69*(uPostT))/(1+oDR)^'Markov Model_b (2)'!cycle</f>
        <v>24.908883724248785</v>
      </c>
      <c r="Z69" s="80"/>
      <c r="AA69" s="3"/>
      <c r="AB69" s="3"/>
      <c r="AC69" s="14">
        <v>57</v>
      </c>
      <c r="AD69" s="14"/>
      <c r="AE69" s="14"/>
      <c r="AF69" s="3"/>
      <c r="AG69" s="3"/>
      <c r="AH69" s="3"/>
      <c r="AI69" s="14"/>
      <c r="AJ69" s="14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</row>
    <row r="70" spans="1:60" ht="14.25" customHeight="1" x14ac:dyDescent="0.2">
      <c r="A70" s="637"/>
      <c r="B70" s="80"/>
      <c r="C70" s="173">
        <v>59</v>
      </c>
      <c r="D70" s="165"/>
      <c r="E70" s="174">
        <v>2.9387049062846726E-3</v>
      </c>
      <c r="F70" s="502"/>
      <c r="G70" s="219">
        <f t="shared" si="8"/>
        <v>40.091401628559886</v>
      </c>
      <c r="H70" s="249">
        <f t="shared" si="11"/>
        <v>59.908598371440114</v>
      </c>
      <c r="I70" s="516">
        <f t="shared" si="0"/>
        <v>100</v>
      </c>
      <c r="J70" s="153">
        <f>(G70*0)/(1+cDR)^'Markov Model_b (2)'!cycle</f>
        <v>0</v>
      </c>
      <c r="K70" s="178">
        <f t="shared" si="1"/>
        <v>40.091401628559886</v>
      </c>
      <c r="L70" s="202">
        <f>(G70*(uPostT))/(1+oDR)^'Markov Model_b (2)'!cycle</f>
        <v>26.295796846101592</v>
      </c>
      <c r="M70" s="80"/>
      <c r="N70" s="3"/>
      <c r="O70" s="80"/>
      <c r="P70" s="173">
        <v>59</v>
      </c>
      <c r="Q70" s="165"/>
      <c r="R70" s="174">
        <v>2.9387049062846726E-3</v>
      </c>
      <c r="S70" s="502"/>
      <c r="T70" s="219">
        <f t="shared" si="6"/>
        <v>37.77084020424666</v>
      </c>
      <c r="U70" s="249">
        <f t="shared" si="12"/>
        <v>62.22915979575334</v>
      </c>
      <c r="V70" s="516">
        <f t="shared" si="2"/>
        <v>100</v>
      </c>
      <c r="W70" s="153">
        <f>(T70*0)/(1+cDR)^'Markov Model_b (2)'!cycle2</f>
        <v>0</v>
      </c>
      <c r="X70" s="178">
        <f t="shared" si="7"/>
        <v>37.77084020424666</v>
      </c>
      <c r="Y70" s="202">
        <f>(T70*(uPostT))/(1+oDR)^'Markov Model_b (2)'!cycle</f>
        <v>24.77374949170899</v>
      </c>
      <c r="Z70" s="80"/>
      <c r="AA70" s="3"/>
      <c r="AB70" s="3"/>
      <c r="AC70" s="14">
        <v>58</v>
      </c>
      <c r="AD70" s="14"/>
      <c r="AE70" s="14"/>
      <c r="AF70" s="3"/>
      <c r="AG70" s="3"/>
      <c r="AH70" s="3"/>
      <c r="AI70" s="14"/>
      <c r="AJ70" s="14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</row>
    <row r="71" spans="1:60" ht="14.25" customHeight="1" x14ac:dyDescent="0.2">
      <c r="A71" s="637"/>
      <c r="B71" s="80"/>
      <c r="C71" s="173">
        <v>60</v>
      </c>
      <c r="D71" s="504"/>
      <c r="E71" s="174">
        <v>2.8222055976403482E-3</v>
      </c>
      <c r="F71" s="505"/>
      <c r="G71" s="219">
        <f t="shared" ref="G71:G134" si="13">$G$10-H71</f>
        <v>39.97825545046652</v>
      </c>
      <c r="H71" s="249">
        <f t="shared" si="11"/>
        <v>60.02174454953348</v>
      </c>
      <c r="I71" s="516">
        <f t="shared" si="0"/>
        <v>100</v>
      </c>
      <c r="J71" s="180">
        <f>(G71*0)/(1+cDR)^'Markov Model_b (2)'!cycle</f>
        <v>0</v>
      </c>
      <c r="K71" s="176">
        <f t="shared" si="1"/>
        <v>39.97825545046652</v>
      </c>
      <c r="L71" s="202">
        <f>(G71*(uPostT))/(1+oDR)^'Markov Model_b (2)'!cycle</f>
        <v>26.156194215509341</v>
      </c>
      <c r="M71" s="80"/>
      <c r="N71" s="3"/>
      <c r="O71" s="80"/>
      <c r="P71" s="173">
        <v>60</v>
      </c>
      <c r="Q71" s="504"/>
      <c r="R71" s="174">
        <v>2.8222055976403482E-3</v>
      </c>
      <c r="S71" s="505"/>
      <c r="T71" s="219">
        <f t="shared" si="6"/>
        <v>37.664243127594659</v>
      </c>
      <c r="U71" s="249">
        <f t="shared" si="12"/>
        <v>62.335756872405341</v>
      </c>
      <c r="V71" s="516">
        <f t="shared" si="2"/>
        <v>100</v>
      </c>
      <c r="W71" s="180">
        <f>(T71*0)/(1+cDR)^'Markov Model_b (2)'!cycle2</f>
        <v>0</v>
      </c>
      <c r="X71" s="176">
        <f t="shared" si="7"/>
        <v>37.664243127594659</v>
      </c>
      <c r="Y71" s="202">
        <f>(T71*(uPostT))/(1+oDR)^'Markov Model_b (2)'!cycle</f>
        <v>24.642227308946588</v>
      </c>
      <c r="Z71" s="80"/>
      <c r="AA71" s="3"/>
      <c r="AB71" s="3"/>
      <c r="AC71" s="14">
        <v>59</v>
      </c>
      <c r="AD71" s="14"/>
      <c r="AE71" s="14"/>
      <c r="AF71" s="3"/>
      <c r="AG71" s="3"/>
      <c r="AH71" s="3"/>
      <c r="AI71" s="14"/>
      <c r="AJ71" s="14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</row>
    <row r="72" spans="1:60" ht="14.25" customHeight="1" x14ac:dyDescent="0.25">
      <c r="A72" s="637" t="s">
        <v>547</v>
      </c>
      <c r="B72" s="80"/>
      <c r="C72" s="506">
        <v>61</v>
      </c>
      <c r="D72" s="506"/>
      <c r="E72" s="507">
        <v>8.1766718395870353E-4</v>
      </c>
      <c r="F72" s="508"/>
      <c r="G72" s="509">
        <f t="shared" si="13"/>
        <v>39.945566542912758</v>
      </c>
      <c r="H72" s="510">
        <f t="shared" si="11"/>
        <v>60.054433457087242</v>
      </c>
      <c r="I72" s="518">
        <f t="shared" si="0"/>
        <v>100</v>
      </c>
      <c r="J72" s="511">
        <f>(G72*0)/(1+cDR)^'Markov Model_b (2)'!cycle</f>
        <v>0</v>
      </c>
      <c r="K72" s="512">
        <f t="shared" si="1"/>
        <v>39.945566542912758</v>
      </c>
      <c r="L72" s="513">
        <f>(G72*(uPostT))/(1+oDR)^'Markov Model_b (2)'!cycle</f>
        <v>26.069633071164155</v>
      </c>
      <c r="M72" s="80"/>
      <c r="N72" s="3"/>
      <c r="O72" s="80"/>
      <c r="P72" s="506">
        <v>61</v>
      </c>
      <c r="Q72" s="506"/>
      <c r="R72" s="507">
        <v>8.1766718395870353E-4</v>
      </c>
      <c r="S72" s="508"/>
      <c r="T72" s="509">
        <f t="shared" si="6"/>
        <v>37.633446311980585</v>
      </c>
      <c r="U72" s="510">
        <f t="shared" si="12"/>
        <v>62.366553688019415</v>
      </c>
      <c r="V72" s="518">
        <f t="shared" si="2"/>
        <v>100</v>
      </c>
      <c r="W72" s="511">
        <f>(T72*0)/(1+cDR)^'Markov Model_b (2)'!cycle2</f>
        <v>0</v>
      </c>
      <c r="X72" s="512">
        <f t="shared" si="7"/>
        <v>37.633446311980585</v>
      </c>
      <c r="Y72" s="513">
        <f>(T72*(uPostT))/(1+oDR)^'Markov Model_b (2)'!cycle</f>
        <v>24.560676477143549</v>
      </c>
      <c r="Z72" s="80"/>
      <c r="AA72" s="3"/>
      <c r="AB72" s="3"/>
      <c r="AC72" s="14">
        <v>60</v>
      </c>
      <c r="AD72" s="14"/>
      <c r="AE72" s="14"/>
      <c r="AF72" s="3"/>
      <c r="AG72" s="3"/>
      <c r="AH72" s="3"/>
      <c r="AI72" s="14"/>
      <c r="AJ72" s="14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</row>
    <row r="73" spans="1:60" ht="14.25" customHeight="1" x14ac:dyDescent="0.2">
      <c r="A73" s="637"/>
      <c r="B73" s="80"/>
      <c r="C73" s="173">
        <v>62</v>
      </c>
      <c r="D73" s="165"/>
      <c r="E73" s="174">
        <v>8.1766718395870353E-4</v>
      </c>
      <c r="F73" s="502"/>
      <c r="G73" s="219">
        <f t="shared" si="13"/>
        <v>39.912904364005982</v>
      </c>
      <c r="H73" s="249">
        <f t="shared" si="11"/>
        <v>60.087095635994018</v>
      </c>
      <c r="I73" s="516">
        <f t="shared" si="0"/>
        <v>100</v>
      </c>
      <c r="J73" s="153">
        <f>(G73*0)/(1+cDR)^'Markov Model_b (2)'!cycle</f>
        <v>0</v>
      </c>
      <c r="K73" s="178">
        <f t="shared" si="1"/>
        <v>39.912904364005982</v>
      </c>
      <c r="L73" s="202">
        <f>(G73*(uPostT))/(1+oDR)^'Markov Model_b (2)'!cycle</f>
        <v>25.983358391724718</v>
      </c>
      <c r="M73" s="80"/>
      <c r="N73" s="3"/>
      <c r="O73" s="80"/>
      <c r="P73" s="173">
        <v>62</v>
      </c>
      <c r="Q73" s="165"/>
      <c r="R73" s="174">
        <v>8.1766718395870353E-4</v>
      </c>
      <c r="S73" s="502"/>
      <c r="T73" s="219">
        <f t="shared" si="6"/>
        <v>37.602674677912006</v>
      </c>
      <c r="U73" s="249">
        <f t="shared" si="12"/>
        <v>62.397325322087994</v>
      </c>
      <c r="V73" s="516">
        <f t="shared" si="2"/>
        <v>100</v>
      </c>
      <c r="W73" s="153">
        <f>(T73*0)/(1+cDR)^'Markov Model_b (2)'!cycle2</f>
        <v>0</v>
      </c>
      <c r="X73" s="178">
        <f t="shared" si="7"/>
        <v>37.602674677912006</v>
      </c>
      <c r="Y73" s="202">
        <f>(T73*(uPostT))/(1+oDR)^'Markov Model_b (2)'!cycle</f>
        <v>24.479395529149496</v>
      </c>
      <c r="Z73" s="80"/>
      <c r="AA73" s="3"/>
      <c r="AB73" s="3"/>
      <c r="AC73" s="14">
        <v>61</v>
      </c>
      <c r="AD73" s="14"/>
      <c r="AE73" s="14"/>
      <c r="AF73" s="3"/>
      <c r="AG73" s="3"/>
      <c r="AH73" s="3"/>
      <c r="AI73" s="14"/>
      <c r="AJ73" s="14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</row>
    <row r="74" spans="1:60" ht="14.25" customHeight="1" x14ac:dyDescent="0.2">
      <c r="A74" s="637"/>
      <c r="B74" s="80"/>
      <c r="C74" s="173">
        <v>63</v>
      </c>
      <c r="D74" s="165"/>
      <c r="E74" s="174">
        <v>8.1766718395870353E-4</v>
      </c>
      <c r="F74" s="502"/>
      <c r="G74" s="219">
        <f t="shared" si="13"/>
        <v>39.880268891891049</v>
      </c>
      <c r="H74" s="249">
        <f t="shared" si="11"/>
        <v>60.119731108108951</v>
      </c>
      <c r="I74" s="516">
        <f t="shared" si="0"/>
        <v>100</v>
      </c>
      <c r="J74" s="153">
        <f>(G74*0)/(1+cDR)^'Markov Model_b (2)'!cycle</f>
        <v>0</v>
      </c>
      <c r="K74" s="178">
        <f t="shared" si="1"/>
        <v>39.880268891891049</v>
      </c>
      <c r="L74" s="202">
        <f>(G74*(uPostT))/(1+oDR)^'Markov Model_b (2)'!cycle</f>
        <v>25.897369229165854</v>
      </c>
      <c r="M74" s="80"/>
      <c r="N74" s="3"/>
      <c r="O74" s="80"/>
      <c r="P74" s="173">
        <v>63</v>
      </c>
      <c r="Q74" s="165"/>
      <c r="R74" s="174">
        <v>8.1766718395870353E-4</v>
      </c>
      <c r="S74" s="502"/>
      <c r="T74" s="219">
        <f t="shared" si="6"/>
        <v>37.571928204798802</v>
      </c>
      <c r="U74" s="249">
        <f t="shared" si="12"/>
        <v>62.428071795201198</v>
      </c>
      <c r="V74" s="516">
        <f t="shared" si="2"/>
        <v>100</v>
      </c>
      <c r="W74" s="153">
        <f>(T74*0)/(1+cDR)^'Markov Model_b (2)'!cycle2</f>
        <v>0</v>
      </c>
      <c r="X74" s="178">
        <f t="shared" si="7"/>
        <v>37.571928204798802</v>
      </c>
      <c r="Y74" s="202">
        <f>(T74*(uPostT))/(1+oDR)^'Markov Model_b (2)'!cycle</f>
        <v>24.398383571812637</v>
      </c>
      <c r="Z74" s="80"/>
      <c r="AA74" s="3"/>
      <c r="AB74" s="3"/>
      <c r="AC74" s="14">
        <v>62</v>
      </c>
      <c r="AD74" s="14"/>
      <c r="AE74" s="14"/>
      <c r="AF74" s="3"/>
      <c r="AG74" s="3"/>
      <c r="AH74" s="3"/>
      <c r="AI74" s="14"/>
      <c r="AJ74" s="14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</row>
    <row r="75" spans="1:60" ht="14.25" customHeight="1" x14ac:dyDescent="0.2">
      <c r="A75" s="637"/>
      <c r="B75" s="80"/>
      <c r="C75" s="173">
        <v>64</v>
      </c>
      <c r="D75" s="165"/>
      <c r="E75" s="174">
        <v>8.1766718395870353E-4</v>
      </c>
      <c r="F75" s="502"/>
      <c r="G75" s="219">
        <f t="shared" si="13"/>
        <v>39.8476601047307</v>
      </c>
      <c r="H75" s="249">
        <f t="shared" si="11"/>
        <v>60.1523398952693</v>
      </c>
      <c r="I75" s="516">
        <f t="shared" si="0"/>
        <v>100</v>
      </c>
      <c r="J75" s="153">
        <f>(G75*0)/(1+cDR)^'Markov Model_b (2)'!cycle</f>
        <v>0</v>
      </c>
      <c r="K75" s="178">
        <f t="shared" ref="K75:K177" si="14">G75</f>
        <v>39.8476601047307</v>
      </c>
      <c r="L75" s="202">
        <f>(G75*(uPostT))/(1+oDR)^'Markov Model_b (2)'!cycle</f>
        <v>25.811664638599801</v>
      </c>
      <c r="M75" s="80"/>
      <c r="N75" s="3"/>
      <c r="O75" s="80"/>
      <c r="P75" s="173">
        <v>64</v>
      </c>
      <c r="Q75" s="165"/>
      <c r="R75" s="174">
        <v>8.1766718395870353E-4</v>
      </c>
      <c r="S75" s="502"/>
      <c r="T75" s="219">
        <f t="shared" si="6"/>
        <v>37.541206872067683</v>
      </c>
      <c r="U75" s="249">
        <f t="shared" si="12"/>
        <v>62.458793127932317</v>
      </c>
      <c r="V75" s="516">
        <f t="shared" si="2"/>
        <v>100</v>
      </c>
      <c r="W75" s="153">
        <f>(T75*0)/(1+cDR)^'Markov Model_b (2)'!cycle2</f>
        <v>0</v>
      </c>
      <c r="X75" s="178">
        <f t="shared" si="7"/>
        <v>37.541206872067683</v>
      </c>
      <c r="Y75" s="202">
        <f>(T75*(uPostT))/(1+oDR)^'Markov Model_b (2)'!cycle</f>
        <v>24.317639714936981</v>
      </c>
      <c r="Z75" s="80"/>
      <c r="AA75" s="3"/>
      <c r="AB75" s="3"/>
      <c r="AC75" s="14">
        <v>63</v>
      </c>
      <c r="AD75" s="14"/>
      <c r="AE75" s="14"/>
      <c r="AF75" s="3"/>
      <c r="AG75" s="3"/>
      <c r="AH75" s="3"/>
      <c r="AI75" s="14"/>
      <c r="AJ75" s="14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</row>
    <row r="76" spans="1:60" ht="14.25" customHeight="1" x14ac:dyDescent="0.2">
      <c r="A76" s="637"/>
      <c r="B76" s="80"/>
      <c r="C76" s="173">
        <v>65</v>
      </c>
      <c r="D76" s="165"/>
      <c r="E76" s="174">
        <v>8.1766718395870353E-4</v>
      </c>
      <c r="F76" s="502"/>
      <c r="G76" s="219">
        <f t="shared" si="13"/>
        <v>39.815077980705524</v>
      </c>
      <c r="H76" s="249">
        <f t="shared" si="11"/>
        <v>60.184922019294476</v>
      </c>
      <c r="I76" s="516">
        <f t="shared" si="0"/>
        <v>100</v>
      </c>
      <c r="J76" s="153">
        <f>(G76*0)/(1+cDR)^'Markov Model_b (2)'!cycle</f>
        <v>0</v>
      </c>
      <c r="K76" s="178">
        <f t="shared" si="14"/>
        <v>39.815077980705524</v>
      </c>
      <c r="L76" s="202">
        <f>(G76*(uPostT))/(1+oDR)^'Markov Model_b (2)'!cycle</f>
        <v>25.726243678265803</v>
      </c>
      <c r="M76" s="80"/>
      <c r="N76" s="3"/>
      <c r="O76" s="80"/>
      <c r="P76" s="173">
        <v>65</v>
      </c>
      <c r="Q76" s="165"/>
      <c r="R76" s="174">
        <v>8.1766718395870353E-4</v>
      </c>
      <c r="S76" s="502"/>
      <c r="T76" s="219">
        <f t="shared" si="6"/>
        <v>37.510510659162186</v>
      </c>
      <c r="U76" s="249">
        <f t="shared" si="12"/>
        <v>62.489489340837814</v>
      </c>
      <c r="V76" s="516">
        <f t="shared" si="2"/>
        <v>100</v>
      </c>
      <c r="W76" s="153">
        <f>(T76*0)/(1+cDR)^'Markov Model_b (2)'!cycle2</f>
        <v>0</v>
      </c>
      <c r="X76" s="178">
        <f t="shared" si="7"/>
        <v>37.510510659162186</v>
      </c>
      <c r="Y76" s="202">
        <f>(T76*(uPostT))/(1+oDR)^'Markov Model_b (2)'!cycle</f>
        <v>24.237163071272562</v>
      </c>
      <c r="Z76" s="80"/>
      <c r="AA76" s="3"/>
      <c r="AB76" s="3"/>
      <c r="AC76" s="14">
        <v>64</v>
      </c>
      <c r="AD76" s="14"/>
      <c r="AE76" s="14"/>
      <c r="AF76" s="3"/>
      <c r="AG76" s="3"/>
      <c r="AH76" s="3"/>
      <c r="AI76" s="14"/>
      <c r="AJ76" s="14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</row>
    <row r="77" spans="1:60" ht="14.25" customHeight="1" x14ac:dyDescent="0.2">
      <c r="A77" s="637"/>
      <c r="B77" s="80"/>
      <c r="C77" s="173">
        <v>66</v>
      </c>
      <c r="D77" s="165"/>
      <c r="E77" s="174">
        <v>8.1766718395870353E-4</v>
      </c>
      <c r="F77" s="502"/>
      <c r="G77" s="219">
        <f t="shared" si="13"/>
        <v>39.782522498013947</v>
      </c>
      <c r="H77" s="249">
        <f t="shared" ref="H77:H119" si="15">H76+(G76*E77)</f>
        <v>60.217477501986053</v>
      </c>
      <c r="I77" s="516">
        <f t="shared" si="0"/>
        <v>100</v>
      </c>
      <c r="J77" s="153">
        <f>(G77*0)/(1+cDR)^'Markov Model_b (2)'!cycle</f>
        <v>0</v>
      </c>
      <c r="K77" s="178">
        <f t="shared" si="14"/>
        <v>39.782522498013947</v>
      </c>
      <c r="L77" s="202">
        <f>(G77*(uPostT))/(1+oDR)^'Markov Model_b (2)'!cycle</f>
        <v>25.641105409519767</v>
      </c>
      <c r="M77" s="80"/>
      <c r="N77" s="3"/>
      <c r="O77" s="80"/>
      <c r="P77" s="173">
        <v>66</v>
      </c>
      <c r="Q77" s="165"/>
      <c r="R77" s="174">
        <v>8.1766718395870353E-4</v>
      </c>
      <c r="S77" s="502"/>
      <c r="T77" s="219">
        <f t="shared" si="6"/>
        <v>37.479839545542653</v>
      </c>
      <c r="U77" s="249">
        <f t="shared" si="12"/>
        <v>62.520160454457347</v>
      </c>
      <c r="V77" s="516">
        <f t="shared" si="2"/>
        <v>100</v>
      </c>
      <c r="W77" s="153">
        <f>(T77*0)/(1+cDR)^'Markov Model_b (2)'!cycle2</f>
        <v>0</v>
      </c>
      <c r="X77" s="178">
        <f t="shared" si="7"/>
        <v>37.479839545542653</v>
      </c>
      <c r="Y77" s="202">
        <f>(T77*(uPostT))/(1+oDR)^'Markov Model_b (2)'!cycle</f>
        <v>24.156952756505664</v>
      </c>
      <c r="Z77" s="80"/>
      <c r="AA77" s="3"/>
      <c r="AB77" s="3"/>
      <c r="AC77" s="14">
        <v>65</v>
      </c>
      <c r="AD77" s="14"/>
      <c r="AE77" s="14"/>
      <c r="AF77" s="3"/>
      <c r="AG77" s="3"/>
      <c r="AH77" s="3"/>
      <c r="AI77" s="14"/>
      <c r="AJ77" s="14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</row>
    <row r="78" spans="1:60" ht="14.25" customHeight="1" x14ac:dyDescent="0.25">
      <c r="A78" s="637"/>
      <c r="B78" s="80"/>
      <c r="C78" s="173">
        <v>67</v>
      </c>
      <c r="D78" s="165"/>
      <c r="E78" s="174">
        <v>8.1766718395870353E-4</v>
      </c>
      <c r="F78" s="502"/>
      <c r="G78" s="219">
        <f t="shared" si="13"/>
        <v>39.749993634872219</v>
      </c>
      <c r="H78" s="249">
        <f t="shared" si="15"/>
        <v>60.250006365127781</v>
      </c>
      <c r="I78" s="516">
        <f t="shared" si="0"/>
        <v>100</v>
      </c>
      <c r="J78" s="153">
        <f>(G78*0)/(1+cDR)^'Markov Model_b (2)'!cycle</f>
        <v>0</v>
      </c>
      <c r="K78" s="178">
        <f t="shared" si="14"/>
        <v>39.749993634872219</v>
      </c>
      <c r="L78" s="202">
        <f>(G78*(uPostT))/(1+oDR)^'Markov Model_b (2)'!cycle</f>
        <v>25.556248896823917</v>
      </c>
      <c r="M78" s="80"/>
      <c r="N78" s="3"/>
      <c r="O78" s="80"/>
      <c r="P78" s="173">
        <v>67</v>
      </c>
      <c r="Q78" s="165"/>
      <c r="R78" s="174">
        <v>8.1766718395870353E-4</v>
      </c>
      <c r="S78" s="502"/>
      <c r="T78" s="219">
        <f t="shared" si="6"/>
        <v>37.449193510686229</v>
      </c>
      <c r="U78" s="249">
        <f t="shared" si="12"/>
        <v>62.550806489313771</v>
      </c>
      <c r="V78" s="516">
        <f t="shared" si="2"/>
        <v>100</v>
      </c>
      <c r="W78" s="153">
        <f>(T78*0)/(1+cDR)^'Markov Model_b (2)'!cycle2</f>
        <v>0</v>
      </c>
      <c r="X78" s="178">
        <f t="shared" si="7"/>
        <v>37.449193510686229</v>
      </c>
      <c r="Y78" s="202">
        <f>(T78*(uPostT))/(1+oDR)^'Markov Model_b (2)'!cycle</f>
        <v>24.077007889249114</v>
      </c>
      <c r="Z78" s="80"/>
      <c r="AA78" s="3"/>
      <c r="AB78" s="3"/>
      <c r="AC78" s="14">
        <v>66</v>
      </c>
      <c r="AD78" s="14"/>
      <c r="AE78" s="14"/>
      <c r="AF78" s="3"/>
      <c r="AG78" s="3"/>
      <c r="AH78" s="3"/>
      <c r="AI78" s="204"/>
      <c r="AJ78" s="14"/>
      <c r="AK78" s="3"/>
      <c r="AL78" s="3"/>
      <c r="AM78" s="3"/>
      <c r="AN78" s="3"/>
      <c r="AO78" s="3"/>
      <c r="AP78" s="3"/>
      <c r="AQ78" s="3"/>
      <c r="AR78" s="3"/>
      <c r="AS78" s="3"/>
      <c r="AT78" s="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</row>
    <row r="79" spans="1:60" ht="14.25" customHeight="1" x14ac:dyDescent="0.2">
      <c r="A79" s="637"/>
      <c r="B79" s="80"/>
      <c r="C79" s="173">
        <v>68</v>
      </c>
      <c r="D79" s="165"/>
      <c r="E79" s="174">
        <v>8.1766718395870353E-4</v>
      </c>
      <c r="F79" s="502"/>
      <c r="G79" s="219">
        <f t="shared" si="13"/>
        <v>39.71749136951442</v>
      </c>
      <c r="H79" s="249">
        <f t="shared" si="15"/>
        <v>60.28250863048558</v>
      </c>
      <c r="I79" s="516">
        <f t="shared" si="0"/>
        <v>100</v>
      </c>
      <c r="J79" s="153">
        <f>(G79*0)/(1+cDR)^'Markov Model_b (2)'!cycle</f>
        <v>0</v>
      </c>
      <c r="K79" s="178">
        <f t="shared" si="14"/>
        <v>39.71749136951442</v>
      </c>
      <c r="L79" s="202">
        <f>(G79*(uPostT))/(1+oDR)^'Markov Model_b (2)'!cycle</f>
        <v>25.471673207736565</v>
      </c>
      <c r="M79" s="80"/>
      <c r="N79" s="3"/>
      <c r="O79" s="80"/>
      <c r="P79" s="173">
        <v>68</v>
      </c>
      <c r="Q79" s="165"/>
      <c r="R79" s="174">
        <v>8.1766718395870353E-4</v>
      </c>
      <c r="S79" s="502"/>
      <c r="T79" s="219">
        <f t="shared" si="6"/>
        <v>37.41857253408682</v>
      </c>
      <c r="U79" s="249">
        <f t="shared" si="12"/>
        <v>62.58142746591318</v>
      </c>
      <c r="V79" s="516">
        <f t="shared" si="2"/>
        <v>100</v>
      </c>
      <c r="W79" s="153">
        <f>(T79*0)/(1+cDR)^'Markov Model_b (2)'!cycle2</f>
        <v>0</v>
      </c>
      <c r="X79" s="178">
        <f t="shared" si="7"/>
        <v>37.41857253408682</v>
      </c>
      <c r="Y79" s="202">
        <f>(T79*(uPostT))/(1+oDR)^'Markov Model_b (2)'!cycle</f>
        <v>23.997327591032573</v>
      </c>
      <c r="Z79" s="80"/>
      <c r="AA79" s="3"/>
      <c r="AB79" s="3"/>
      <c r="AC79" s="14">
        <v>67</v>
      </c>
      <c r="AD79" s="14"/>
      <c r="AE79" s="14"/>
      <c r="AF79" s="3"/>
      <c r="AG79" s="3"/>
      <c r="AH79" s="3"/>
      <c r="AI79" s="14"/>
      <c r="AJ79" s="14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</row>
    <row r="80" spans="1:60" ht="14.25" customHeight="1" x14ac:dyDescent="0.2">
      <c r="A80" s="637"/>
      <c r="B80" s="80"/>
      <c r="C80" s="173">
        <v>69</v>
      </c>
      <c r="D80" s="165"/>
      <c r="E80" s="174">
        <v>8.1766718395870353E-4</v>
      </c>
      <c r="F80" s="502"/>
      <c r="G80" s="219">
        <f t="shared" si="13"/>
        <v>39.685015680192407</v>
      </c>
      <c r="H80" s="249">
        <f t="shared" si="15"/>
        <v>60.314984319807593</v>
      </c>
      <c r="I80" s="516">
        <f t="shared" si="0"/>
        <v>100</v>
      </c>
      <c r="J80" s="153">
        <f>(G80*0)/(1+cDR)^'Markov Model_b (2)'!cycle</f>
        <v>0</v>
      </c>
      <c r="K80" s="178">
        <f t="shared" si="14"/>
        <v>39.685015680192407</v>
      </c>
      <c r="L80" s="202">
        <f>(G80*(uPostT))/(1+oDR)^'Markov Model_b (2)'!cycle</f>
        <v>25.387377412901827</v>
      </c>
      <c r="M80" s="80"/>
      <c r="N80" s="3"/>
      <c r="O80" s="80"/>
      <c r="P80" s="173">
        <v>69</v>
      </c>
      <c r="Q80" s="165"/>
      <c r="R80" s="174">
        <v>8.1766718395870353E-4</v>
      </c>
      <c r="S80" s="502"/>
      <c r="T80" s="219">
        <f t="shared" si="6"/>
        <v>37.387976595255118</v>
      </c>
      <c r="U80" s="249">
        <f t="shared" si="12"/>
        <v>62.612023404744882</v>
      </c>
      <c r="V80" s="516">
        <f t="shared" si="2"/>
        <v>100</v>
      </c>
      <c r="W80" s="153">
        <f>(T80*0)/(1+cDR)^'Markov Model_b (2)'!cycle2</f>
        <v>0</v>
      </c>
      <c r="X80" s="178">
        <f t="shared" si="7"/>
        <v>37.387976595255118</v>
      </c>
      <c r="Y80" s="202">
        <f>(T80*(uPostT))/(1+oDR)^'Markov Model_b (2)'!cycle</f>
        <v>23.917910986292945</v>
      </c>
      <c r="Z80" s="80"/>
      <c r="AA80" s="3"/>
      <c r="AB80" s="3"/>
      <c r="AC80" s="14">
        <v>68</v>
      </c>
      <c r="AD80" s="14"/>
      <c r="AE80" s="14"/>
      <c r="AF80" s="3"/>
      <c r="AG80" s="3"/>
      <c r="AH80" s="3"/>
      <c r="AI80" s="14"/>
      <c r="AJ80" s="14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</row>
    <row r="81" spans="1:60" ht="14.25" customHeight="1" x14ac:dyDescent="0.2">
      <c r="A81" s="637"/>
      <c r="B81" s="80"/>
      <c r="C81" s="173">
        <v>70</v>
      </c>
      <c r="D81" s="165"/>
      <c r="E81" s="174">
        <v>8.1766718395870353E-4</v>
      </c>
      <c r="F81" s="502"/>
      <c r="G81" s="219">
        <f t="shared" si="13"/>
        <v>39.65256654517583</v>
      </c>
      <c r="H81" s="249">
        <f t="shared" si="15"/>
        <v>60.34743345482417</v>
      </c>
      <c r="I81" s="516">
        <f t="shared" si="0"/>
        <v>100</v>
      </c>
      <c r="J81" s="153">
        <f>(G81*0)/(1+cDR)^'Markov Model_b (2)'!cycle</f>
        <v>0</v>
      </c>
      <c r="K81" s="178">
        <f t="shared" si="14"/>
        <v>39.65256654517583</v>
      </c>
      <c r="L81" s="202">
        <f>(G81*(uPostT))/(1+oDR)^'Markov Model_b (2)'!cycle</f>
        <v>25.303360586039428</v>
      </c>
      <c r="M81" s="80"/>
      <c r="N81" s="3"/>
      <c r="O81" s="80"/>
      <c r="P81" s="173">
        <v>70</v>
      </c>
      <c r="Q81" s="165"/>
      <c r="R81" s="174">
        <v>8.1766718395870353E-4</v>
      </c>
      <c r="S81" s="502"/>
      <c r="T81" s="219">
        <f t="shared" si="6"/>
        <v>37.35740567371856</v>
      </c>
      <c r="U81" s="249">
        <f t="shared" si="12"/>
        <v>62.64259432628144</v>
      </c>
      <c r="V81" s="516">
        <f t="shared" si="2"/>
        <v>100</v>
      </c>
      <c r="W81" s="153">
        <f>(T81*0)/(1+cDR)^'Markov Model_b (2)'!cycle2</f>
        <v>0</v>
      </c>
      <c r="X81" s="178">
        <f t="shared" si="7"/>
        <v>37.35740567371856</v>
      </c>
      <c r="Y81" s="202">
        <f>(T81*(uPostT))/(1+oDR)^'Markov Model_b (2)'!cycle</f>
        <v>23.838757202364704</v>
      </c>
      <c r="Z81" s="80"/>
      <c r="AA81" s="3"/>
      <c r="AB81" s="3"/>
      <c r="AC81" s="14">
        <v>69</v>
      </c>
      <c r="AD81" s="14"/>
      <c r="AE81" s="14"/>
      <c r="AF81" s="3"/>
      <c r="AG81" s="3"/>
      <c r="AH81" s="3"/>
      <c r="AI81" s="14"/>
      <c r="AJ81" s="14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</row>
    <row r="82" spans="1:60" ht="14.25" customHeight="1" x14ac:dyDescent="0.2">
      <c r="A82" s="637"/>
      <c r="B82" s="80"/>
      <c r="C82" s="173">
        <v>71</v>
      </c>
      <c r="D82" s="165"/>
      <c r="E82" s="174">
        <v>8.1766718395870353E-4</v>
      </c>
      <c r="F82" s="502"/>
      <c r="G82" s="219">
        <f t="shared" si="13"/>
        <v>39.620143942752101</v>
      </c>
      <c r="H82" s="249">
        <f t="shared" si="15"/>
        <v>60.379856057247899</v>
      </c>
      <c r="I82" s="516">
        <f t="shared" si="0"/>
        <v>100</v>
      </c>
      <c r="J82" s="153">
        <f>(G82*0)/(1+cDR)^'Markov Model_b (2)'!cycle</f>
        <v>0</v>
      </c>
      <c r="K82" s="178">
        <f t="shared" si="14"/>
        <v>39.620143942752101</v>
      </c>
      <c r="L82" s="202">
        <f>(G82*(uPostT))/(1+oDR)^'Markov Model_b (2)'!cycle</f>
        <v>25.219621803934515</v>
      </c>
      <c r="M82" s="80"/>
      <c r="N82" s="3"/>
      <c r="O82" s="80"/>
      <c r="P82" s="173">
        <v>71</v>
      </c>
      <c r="Q82" s="165"/>
      <c r="R82" s="174">
        <v>8.1766718395870353E-4</v>
      </c>
      <c r="S82" s="502"/>
      <c r="T82" s="219">
        <f t="shared" si="6"/>
        <v>37.326859749021331</v>
      </c>
      <c r="U82" s="249">
        <f t="shared" si="12"/>
        <v>62.673140250978669</v>
      </c>
      <c r="V82" s="516">
        <f t="shared" si="2"/>
        <v>100</v>
      </c>
      <c r="W82" s="153">
        <f>(T82*0)/(1+cDR)^'Markov Model_b (2)'!cycle2</f>
        <v>0</v>
      </c>
      <c r="X82" s="178">
        <f t="shared" si="7"/>
        <v>37.326859749021331</v>
      </c>
      <c r="Y82" s="202">
        <f>(T82*(uPostT))/(1+oDR)^'Markov Model_b (2)'!cycle</f>
        <v>23.759865369470301</v>
      </c>
      <c r="Z82" s="80"/>
      <c r="AA82" s="3"/>
      <c r="AB82" s="3"/>
      <c r="AC82" s="14">
        <v>70</v>
      </c>
      <c r="AD82" s="14"/>
      <c r="AE82" s="14"/>
      <c r="AF82" s="3"/>
      <c r="AG82" s="3"/>
      <c r="AH82" s="3"/>
      <c r="AI82" s="14"/>
      <c r="AJ82" s="14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</row>
    <row r="83" spans="1:60" ht="14.25" customHeight="1" x14ac:dyDescent="0.2">
      <c r="A83" s="637"/>
      <c r="B83" s="80"/>
      <c r="C83" s="173">
        <v>72</v>
      </c>
      <c r="D83" s="504"/>
      <c r="E83" s="174">
        <v>8.1766718395870353E-4</v>
      </c>
      <c r="F83" s="505"/>
      <c r="G83" s="219">
        <f t="shared" si="13"/>
        <v>39.587747851226389</v>
      </c>
      <c r="H83" s="249">
        <f t="shared" si="15"/>
        <v>60.412252148773611</v>
      </c>
      <c r="I83" s="516">
        <f t="shared" si="0"/>
        <v>100</v>
      </c>
      <c r="J83" s="180">
        <f>(G83*0)/(1+cDR)^'Markov Model_b (2)'!cycle</f>
        <v>0</v>
      </c>
      <c r="K83" s="176">
        <f t="shared" si="14"/>
        <v>39.587747851226389</v>
      </c>
      <c r="L83" s="202">
        <f>(G83*(uPostT))/(1+oDR)^'Markov Model_b (2)'!cycle</f>
        <v>25.136160146427518</v>
      </c>
      <c r="M83" s="80"/>
      <c r="N83" s="3"/>
      <c r="O83" s="80"/>
      <c r="P83" s="173">
        <v>72</v>
      </c>
      <c r="Q83" s="504"/>
      <c r="R83" s="174">
        <v>8.1766718395870353E-4</v>
      </c>
      <c r="S83" s="505"/>
      <c r="T83" s="219">
        <f t="shared" si="6"/>
        <v>37.296338800724328</v>
      </c>
      <c r="U83" s="249">
        <f t="shared" si="12"/>
        <v>62.703661199275672</v>
      </c>
      <c r="V83" s="516">
        <f t="shared" si="2"/>
        <v>100</v>
      </c>
      <c r="W83" s="180">
        <f>(T83*0)/(1+cDR)^'Markov Model_b (2)'!cycle2</f>
        <v>0</v>
      </c>
      <c r="X83" s="176">
        <f t="shared" si="7"/>
        <v>37.296338800724328</v>
      </c>
      <c r="Y83" s="202">
        <f>(T83*(uPostT))/(1+oDR)^'Markov Model_b (2)'!cycle</f>
        <v>23.681234620710629</v>
      </c>
      <c r="Z83" s="80"/>
      <c r="AA83" s="3"/>
      <c r="AB83" s="3"/>
      <c r="AC83" s="14">
        <v>71</v>
      </c>
      <c r="AD83" s="14"/>
      <c r="AE83" s="14"/>
      <c r="AF83" s="3"/>
      <c r="AG83" s="3"/>
      <c r="AH83" s="3"/>
      <c r="AI83" s="14"/>
      <c r="AJ83" s="14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</row>
    <row r="84" spans="1:60" ht="14.25" customHeight="1" x14ac:dyDescent="0.25">
      <c r="A84" s="637" t="s">
        <v>548</v>
      </c>
      <c r="B84" s="80"/>
      <c r="C84" s="506">
        <v>73</v>
      </c>
      <c r="D84" s="506"/>
      <c r="E84" s="507">
        <v>8.7646270854724317E-4</v>
      </c>
      <c r="F84" s="508"/>
      <c r="G84" s="509">
        <f t="shared" si="13"/>
        <v>39.553050666519418</v>
      </c>
      <c r="H84" s="510">
        <f t="shared" si="15"/>
        <v>60.446949333480582</v>
      </c>
      <c r="I84" s="518">
        <f t="shared" si="0"/>
        <v>100</v>
      </c>
      <c r="J84" s="511">
        <f>(G84*0)/(1+cDR)^'Markov Model_b (2)'!cycle</f>
        <v>0</v>
      </c>
      <c r="K84" s="512">
        <f t="shared" si="14"/>
        <v>39.553050666519418</v>
      </c>
      <c r="L84" s="513">
        <f>(G84*(uPostT))/(1+oDR)^'Markov Model_b (2)'!cycle</f>
        <v>25.051500488202596</v>
      </c>
      <c r="M84" s="80"/>
      <c r="N84" s="3"/>
      <c r="O84" s="80"/>
      <c r="P84" s="506">
        <v>73</v>
      </c>
      <c r="Q84" s="506"/>
      <c r="R84" s="507">
        <v>8.7646270854724317E-4</v>
      </c>
      <c r="S84" s="508"/>
      <c r="T84" s="509">
        <f t="shared" si="6"/>
        <v>37.263649950600147</v>
      </c>
      <c r="U84" s="510">
        <f t="shared" si="12"/>
        <v>62.736350049399853</v>
      </c>
      <c r="V84" s="518">
        <f t="shared" si="2"/>
        <v>100</v>
      </c>
      <c r="W84" s="511">
        <f>(T84*0)/(1+cDR)^'Markov Model_b (2)'!cycle2</f>
        <v>0</v>
      </c>
      <c r="X84" s="512">
        <f t="shared" si="7"/>
        <v>37.263649950600147</v>
      </c>
      <c r="Y84" s="513">
        <f>(T84*(uPostT))/(1+oDR)^'Markov Model_b (2)'!cycle</f>
        <v>23.601475213639119</v>
      </c>
      <c r="Z84" s="80"/>
      <c r="AA84" s="3"/>
      <c r="AB84" s="3"/>
      <c r="AC84" s="14">
        <v>72</v>
      </c>
      <c r="AD84" s="14"/>
      <c r="AE84" s="14"/>
      <c r="AF84" s="3"/>
      <c r="AG84" s="3"/>
      <c r="AH84" s="3"/>
      <c r="AI84" s="14"/>
      <c r="AJ84" s="14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</row>
    <row r="85" spans="1:60" ht="14.25" customHeight="1" x14ac:dyDescent="0.2">
      <c r="A85" s="637"/>
      <c r="B85" s="80"/>
      <c r="C85" s="173">
        <v>74</v>
      </c>
      <c r="D85" s="165"/>
      <c r="E85" s="174">
        <v>8.7646270854724317E-4</v>
      </c>
      <c r="F85" s="502"/>
      <c r="G85" s="219">
        <f t="shared" si="13"/>
        <v>39.518383892600937</v>
      </c>
      <c r="H85" s="249">
        <f t="shared" si="15"/>
        <v>60.481616107399063</v>
      </c>
      <c r="I85" s="516">
        <f t="shared" si="0"/>
        <v>100</v>
      </c>
      <c r="J85" s="153">
        <f>(G85*0)/(1+cDR)^'Markov Model_b (2)'!cycle</f>
        <v>0</v>
      </c>
      <c r="K85" s="178">
        <f t="shared" si="14"/>
        <v>39.518383892600937</v>
      </c>
      <c r="L85" s="202">
        <f>(G85*(uPostT))/(1+oDR)^'Markov Model_b (2)'!cycle</f>
        <v>24.967125967313255</v>
      </c>
      <c r="M85" s="80"/>
      <c r="N85" s="3"/>
      <c r="O85" s="80"/>
      <c r="P85" s="173">
        <v>74</v>
      </c>
      <c r="Q85" s="165"/>
      <c r="R85" s="174">
        <v>8.7646270854724317E-4</v>
      </c>
      <c r="S85" s="502"/>
      <c r="T85" s="219">
        <f t="shared" si="6"/>
        <v>37.230989751034087</v>
      </c>
      <c r="U85" s="249">
        <f t="shared" si="12"/>
        <v>62.769010248965913</v>
      </c>
      <c r="V85" s="516">
        <f t="shared" si="2"/>
        <v>100</v>
      </c>
      <c r="W85" s="153">
        <f>(T85*0)/(1+cDR)^'Markov Model_b (2)'!cycle2</f>
        <v>0</v>
      </c>
      <c r="X85" s="178">
        <f t="shared" si="7"/>
        <v>37.230989751034087</v>
      </c>
      <c r="Y85" s="202">
        <f>(T85*(uPostT))/(1+oDR)^'Markov Model_b (2)'!cycle</f>
        <v>23.521984439648541</v>
      </c>
      <c r="Z85" s="80"/>
      <c r="AA85" s="3"/>
      <c r="AB85" s="3"/>
      <c r="AC85" s="14">
        <v>73</v>
      </c>
      <c r="AD85" s="14"/>
      <c r="AE85" s="14"/>
      <c r="AF85" s="3"/>
      <c r="AG85" s="3"/>
      <c r="AH85" s="3"/>
      <c r="AI85" s="14"/>
      <c r="AJ85" s="14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</row>
    <row r="86" spans="1:60" ht="14.25" customHeight="1" x14ac:dyDescent="0.2">
      <c r="A86" s="637"/>
      <c r="B86" s="80"/>
      <c r="C86" s="173">
        <v>75</v>
      </c>
      <c r="D86" s="165"/>
      <c r="E86" s="174">
        <v>8.7646270854724317E-4</v>
      </c>
      <c r="F86" s="502"/>
      <c r="G86" s="219">
        <f t="shared" si="13"/>
        <v>39.483747502817018</v>
      </c>
      <c r="H86" s="249">
        <f t="shared" si="15"/>
        <v>60.516252497182982</v>
      </c>
      <c r="I86" s="516">
        <f t="shared" si="0"/>
        <v>100</v>
      </c>
      <c r="J86" s="153">
        <f>(G86*0)/(1+cDR)^'Markov Model_b (2)'!cycle</f>
        <v>0</v>
      </c>
      <c r="K86" s="178">
        <f t="shared" si="14"/>
        <v>39.483747502817018</v>
      </c>
      <c r="L86" s="202">
        <f>(G86*(uPostT))/(1+oDR)^'Markov Model_b (2)'!cycle</f>
        <v>24.883035623404794</v>
      </c>
      <c r="M86" s="80"/>
      <c r="N86" s="3"/>
      <c r="O86" s="80"/>
      <c r="P86" s="173">
        <v>75</v>
      </c>
      <c r="Q86" s="165"/>
      <c r="R86" s="174">
        <v>8.7646270854724317E-4</v>
      </c>
      <c r="S86" s="502"/>
      <c r="T86" s="219">
        <f t="shared" si="6"/>
        <v>37.198358176915001</v>
      </c>
      <c r="U86" s="249">
        <f t="shared" si="12"/>
        <v>62.801641823084999</v>
      </c>
      <c r="V86" s="516">
        <f t="shared" si="2"/>
        <v>100</v>
      </c>
      <c r="W86" s="153">
        <f>(T86*0)/(1+cDR)^'Markov Model_b (2)'!cycle2</f>
        <v>0</v>
      </c>
      <c r="X86" s="178">
        <f t="shared" si="7"/>
        <v>37.198358176915001</v>
      </c>
      <c r="Y86" s="202">
        <f>(T86*(uPostT))/(1+oDR)^'Markov Model_b (2)'!cycle</f>
        <v>23.442761393971235</v>
      </c>
      <c r="Z86" s="80"/>
      <c r="AA86" s="3"/>
      <c r="AB86" s="3"/>
      <c r="AC86" s="14">
        <v>74</v>
      </c>
      <c r="AD86" s="14"/>
      <c r="AE86" s="14"/>
      <c r="AF86" s="3"/>
      <c r="AG86" s="3"/>
      <c r="AH86" s="3"/>
      <c r="AI86" s="14"/>
      <c r="AJ86" s="14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</row>
    <row r="87" spans="1:60" ht="14.25" customHeight="1" x14ac:dyDescent="0.2">
      <c r="A87" s="637"/>
      <c r="B87" s="80"/>
      <c r="C87" s="173">
        <v>76</v>
      </c>
      <c r="D87" s="165"/>
      <c r="E87" s="174">
        <v>8.7646270854724317E-4</v>
      </c>
      <c r="F87" s="502"/>
      <c r="G87" s="219">
        <f t="shared" si="13"/>
        <v>39.4491414705371</v>
      </c>
      <c r="H87" s="249">
        <f t="shared" si="15"/>
        <v>60.5508585294629</v>
      </c>
      <c r="I87" s="516">
        <f t="shared" si="0"/>
        <v>100</v>
      </c>
      <c r="J87" s="153">
        <f>(G87*0)/(1+cDR)^'Markov Model_b (2)'!cycle</f>
        <v>0</v>
      </c>
      <c r="K87" s="178">
        <f t="shared" si="14"/>
        <v>39.4491414705371</v>
      </c>
      <c r="L87" s="202">
        <f>(G87*(uPostT))/(1+oDR)^'Markov Model_b (2)'!cycle</f>
        <v>24.799228499357032</v>
      </c>
      <c r="M87" s="80"/>
      <c r="N87" s="3"/>
      <c r="O87" s="80"/>
      <c r="P87" s="173">
        <v>76</v>
      </c>
      <c r="Q87" s="165"/>
      <c r="R87" s="174">
        <v>8.7646270854724317E-4</v>
      </c>
      <c r="S87" s="502"/>
      <c r="T87" s="219">
        <f t="shared" si="6"/>
        <v>37.165755203153751</v>
      </c>
      <c r="U87" s="249">
        <f t="shared" si="12"/>
        <v>62.834244796846249</v>
      </c>
      <c r="V87" s="516">
        <f t="shared" si="2"/>
        <v>100</v>
      </c>
      <c r="W87" s="153">
        <f>(T87*0)/(1+cDR)^'Markov Model_b (2)'!cycle2</f>
        <v>0</v>
      </c>
      <c r="X87" s="178">
        <f t="shared" si="7"/>
        <v>37.165755203153751</v>
      </c>
      <c r="Y87" s="202">
        <f>(T87*(uPostT))/(1+oDR)^'Markov Model_b (2)'!cycle</f>
        <v>23.363805174886831</v>
      </c>
      <c r="Z87" s="80"/>
      <c r="AA87" s="3"/>
      <c r="AB87" s="3"/>
      <c r="AC87" s="14">
        <v>75</v>
      </c>
      <c r="AD87" s="14"/>
      <c r="AE87" s="14"/>
      <c r="AF87" s="3"/>
      <c r="AG87" s="3"/>
      <c r="AH87" s="3"/>
      <c r="AI87" s="14"/>
      <c r="AJ87" s="14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</row>
    <row r="88" spans="1:60" ht="14.25" customHeight="1" x14ac:dyDescent="0.2">
      <c r="A88" s="637"/>
      <c r="B88" s="80"/>
      <c r="C88" s="173">
        <v>77</v>
      </c>
      <c r="D88" s="165"/>
      <c r="E88" s="174">
        <v>8.7646270854724317E-4</v>
      </c>
      <c r="F88" s="502"/>
      <c r="G88" s="219">
        <f t="shared" si="13"/>
        <v>39.414565769153967</v>
      </c>
      <c r="H88" s="249">
        <f t="shared" si="15"/>
        <v>60.585434230846033</v>
      </c>
      <c r="I88" s="516">
        <f t="shared" si="0"/>
        <v>100</v>
      </c>
      <c r="J88" s="153">
        <f>(G88*0)/(1+cDR)^'Markov Model_b (2)'!cycle</f>
        <v>0</v>
      </c>
      <c r="K88" s="178">
        <f t="shared" si="14"/>
        <v>39.414565769153967</v>
      </c>
      <c r="L88" s="202">
        <f>(G88*(uPostT))/(1+oDR)^'Markov Model_b (2)'!cycle</f>
        <v>24.715703641273414</v>
      </c>
      <c r="M88" s="80"/>
      <c r="N88" s="3"/>
      <c r="O88" s="80"/>
      <c r="P88" s="173">
        <v>77</v>
      </c>
      <c r="Q88" s="165"/>
      <c r="R88" s="174">
        <v>8.7646270854724317E-4</v>
      </c>
      <c r="S88" s="502"/>
      <c r="T88" s="219">
        <f t="shared" si="6"/>
        <v>37.133180804683192</v>
      </c>
      <c r="U88" s="249">
        <f t="shared" si="12"/>
        <v>62.866819195316808</v>
      </c>
      <c r="V88" s="516">
        <f t="shared" si="2"/>
        <v>100</v>
      </c>
      <c r="W88" s="153">
        <f>(T88*0)/(1+cDR)^'Markov Model_b (2)'!cycle2</f>
        <v>0</v>
      </c>
      <c r="X88" s="178">
        <f t="shared" si="7"/>
        <v>37.133180804683192</v>
      </c>
      <c r="Y88" s="202">
        <f>(T88*(uPostT))/(1+oDR)^'Markov Model_b (2)'!cycle</f>
        <v>23.285114883711998</v>
      </c>
      <c r="Z88" s="80"/>
      <c r="AA88" s="3"/>
      <c r="AB88" s="3"/>
      <c r="AC88" s="14">
        <v>76</v>
      </c>
      <c r="AD88" s="14"/>
      <c r="AE88" s="14"/>
      <c r="AF88" s="3"/>
      <c r="AG88" s="3"/>
      <c r="AH88" s="3"/>
      <c r="AI88" s="14"/>
      <c r="AJ88" s="14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</row>
    <row r="89" spans="1:60" ht="14.25" customHeight="1" x14ac:dyDescent="0.2">
      <c r="A89" s="637"/>
      <c r="B89" s="80"/>
      <c r="C89" s="173">
        <v>78</v>
      </c>
      <c r="D89" s="165"/>
      <c r="E89" s="174">
        <v>8.7646270854724317E-4</v>
      </c>
      <c r="F89" s="502"/>
      <c r="G89" s="219">
        <f t="shared" si="13"/>
        <v>39.38002037208372</v>
      </c>
      <c r="H89" s="249">
        <f t="shared" si="15"/>
        <v>60.61997962791628</v>
      </c>
      <c r="I89" s="516">
        <f t="shared" si="0"/>
        <v>100</v>
      </c>
      <c r="J89" s="153">
        <f>(G89*0)/(1+cDR)^'Markov Model_b (2)'!cycle</f>
        <v>0</v>
      </c>
      <c r="K89" s="178">
        <f t="shared" si="14"/>
        <v>39.38002037208372</v>
      </c>
      <c r="L89" s="202">
        <f>(G89*(uPostT))/(1+oDR)^'Markov Model_b (2)'!cycle</f>
        <v>24.632460098470165</v>
      </c>
      <c r="M89" s="80"/>
      <c r="N89" s="3"/>
      <c r="O89" s="80"/>
      <c r="P89" s="173">
        <v>78</v>
      </c>
      <c r="Q89" s="165"/>
      <c r="R89" s="174">
        <v>8.7646270854724317E-4</v>
      </c>
      <c r="S89" s="502"/>
      <c r="T89" s="219">
        <f t="shared" si="6"/>
        <v>37.100634956458144</v>
      </c>
      <c r="U89" s="249">
        <f t="shared" si="12"/>
        <v>62.899365043541856</v>
      </c>
      <c r="V89" s="516">
        <f t="shared" si="2"/>
        <v>100</v>
      </c>
      <c r="W89" s="153">
        <f>(T89*0)/(1+cDR)^'Markov Model_b (2)'!cycle2</f>
        <v>0</v>
      </c>
      <c r="X89" s="178">
        <f t="shared" si="7"/>
        <v>37.100634956458144</v>
      </c>
      <c r="Y89" s="202">
        <f>(T89*(uPostT))/(1+oDR)^'Markov Model_b (2)'!cycle</f>
        <v>23.206689624790219</v>
      </c>
      <c r="Z89" s="80"/>
      <c r="AA89" s="3"/>
      <c r="AB89" s="3"/>
      <c r="AC89" s="14">
        <v>77</v>
      </c>
      <c r="AD89" s="14"/>
      <c r="AE89" s="14"/>
      <c r="AF89" s="3"/>
      <c r="AG89" s="3"/>
      <c r="AH89" s="3"/>
      <c r="AI89" s="14"/>
      <c r="AJ89" s="14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</row>
    <row r="90" spans="1:60" ht="14.25" customHeight="1" x14ac:dyDescent="0.2">
      <c r="A90" s="637"/>
      <c r="B90" s="80"/>
      <c r="C90" s="173">
        <v>79</v>
      </c>
      <c r="D90" s="165"/>
      <c r="E90" s="174">
        <v>8.7646270854724317E-4</v>
      </c>
      <c r="F90" s="502"/>
      <c r="G90" s="219">
        <f t="shared" si="13"/>
        <v>39.345505252765761</v>
      </c>
      <c r="H90" s="249">
        <f t="shared" si="15"/>
        <v>60.654494747234239</v>
      </c>
      <c r="I90" s="516">
        <f t="shared" si="0"/>
        <v>100</v>
      </c>
      <c r="J90" s="153">
        <f>(G90*0)/(1+cDR)^'Markov Model_b (2)'!cycle</f>
        <v>0</v>
      </c>
      <c r="K90" s="178">
        <f t="shared" si="14"/>
        <v>39.345505252765761</v>
      </c>
      <c r="L90" s="202">
        <f>(G90*(uPostT))/(1+oDR)^'Markov Model_b (2)'!cycle</f>
        <v>24.549496923465419</v>
      </c>
      <c r="M90" s="80"/>
      <c r="N90" s="3"/>
      <c r="O90" s="80"/>
      <c r="P90" s="173">
        <v>79</v>
      </c>
      <c r="Q90" s="165"/>
      <c r="R90" s="174">
        <v>8.7646270854724317E-4</v>
      </c>
      <c r="S90" s="502"/>
      <c r="T90" s="219">
        <f t="shared" si="6"/>
        <v>37.068117633455387</v>
      </c>
      <c r="U90" s="249">
        <f t="shared" si="12"/>
        <v>62.931882366544613</v>
      </c>
      <c r="V90" s="516">
        <f t="shared" si="2"/>
        <v>100</v>
      </c>
      <c r="W90" s="153">
        <f>(T90*0)/(1+cDR)^'Markov Model_b (2)'!cycle2</f>
        <v>0</v>
      </c>
      <c r="X90" s="178">
        <f t="shared" si="7"/>
        <v>37.068117633455387</v>
      </c>
      <c r="Y90" s="202">
        <f>(T90*(uPostT))/(1+oDR)^'Markov Model_b (2)'!cycle</f>
        <v>23.128528505481558</v>
      </c>
      <c r="Z90" s="80"/>
      <c r="AA90" s="3"/>
      <c r="AB90" s="3"/>
      <c r="AC90" s="14">
        <v>78</v>
      </c>
      <c r="AD90" s="14"/>
      <c r="AE90" s="14"/>
      <c r="AF90" s="3"/>
      <c r="AG90" s="3"/>
      <c r="AH90" s="3"/>
      <c r="AI90" s="14"/>
      <c r="AJ90" s="14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</row>
    <row r="91" spans="1:60" ht="14.25" customHeight="1" x14ac:dyDescent="0.2">
      <c r="A91" s="637"/>
      <c r="B91" s="80"/>
      <c r="C91" s="173">
        <v>80</v>
      </c>
      <c r="D91" s="165"/>
      <c r="E91" s="174">
        <v>8.7646270854724317E-4</v>
      </c>
      <c r="F91" s="502"/>
      <c r="G91" s="219">
        <f t="shared" si="13"/>
        <v>39.311020384662761</v>
      </c>
      <c r="H91" s="249">
        <f t="shared" si="15"/>
        <v>60.688979615337239</v>
      </c>
      <c r="I91" s="516">
        <f t="shared" si="0"/>
        <v>100</v>
      </c>
      <c r="J91" s="153">
        <f>(G91*0)/(1+cDR)^'Markov Model_b (2)'!cycle</f>
        <v>0</v>
      </c>
      <c r="K91" s="178">
        <f t="shared" si="14"/>
        <v>39.311020384662761</v>
      </c>
      <c r="L91" s="202">
        <f>(G91*(uPostT))/(1+oDR)^'Markov Model_b (2)'!cycle</f>
        <v>24.466813171968479</v>
      </c>
      <c r="M91" s="80"/>
      <c r="N91" s="3"/>
      <c r="O91" s="80"/>
      <c r="P91" s="173">
        <v>80</v>
      </c>
      <c r="Q91" s="165"/>
      <c r="R91" s="174">
        <v>8.7646270854724317E-4</v>
      </c>
      <c r="S91" s="502"/>
      <c r="T91" s="219">
        <f t="shared" si="6"/>
        <v>37.035628810673622</v>
      </c>
      <c r="U91" s="249">
        <f t="shared" si="12"/>
        <v>62.964371189326378</v>
      </c>
      <c r="V91" s="516">
        <f t="shared" si="2"/>
        <v>100</v>
      </c>
      <c r="W91" s="153">
        <f>(T91*0)/(1+cDR)^'Markov Model_b (2)'!cycle2</f>
        <v>0</v>
      </c>
      <c r="X91" s="178">
        <f t="shared" si="7"/>
        <v>37.035628810673622</v>
      </c>
      <c r="Y91" s="202">
        <f>(T91*(uPostT))/(1+oDR)^'Markov Model_b (2)'!cycle</f>
        <v>23.050630636152547</v>
      </c>
      <c r="Z91" s="80"/>
      <c r="AA91" s="3"/>
      <c r="AB91" s="3"/>
      <c r="AC91" s="14">
        <v>79</v>
      </c>
      <c r="AD91" s="14"/>
      <c r="AE91" s="14"/>
      <c r="AF91" s="3"/>
      <c r="AG91" s="3"/>
      <c r="AH91" s="3"/>
      <c r="AI91" s="14"/>
      <c r="AJ91" s="14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</row>
    <row r="92" spans="1:60" ht="14.25" customHeight="1" x14ac:dyDescent="0.2">
      <c r="A92" s="637"/>
      <c r="B92" s="80"/>
      <c r="C92" s="173">
        <v>81</v>
      </c>
      <c r="D92" s="165"/>
      <c r="E92" s="174">
        <v>8.7646270854724317E-4</v>
      </c>
      <c r="F92" s="502"/>
      <c r="G92" s="219">
        <f t="shared" si="13"/>
        <v>39.276565741260661</v>
      </c>
      <c r="H92" s="249">
        <f t="shared" si="15"/>
        <v>60.723434258739339</v>
      </c>
      <c r="I92" s="516">
        <f t="shared" si="0"/>
        <v>100</v>
      </c>
      <c r="J92" s="153">
        <f>(G92*0)/(1+cDR)^'Markov Model_b (2)'!cycle</f>
        <v>0</v>
      </c>
      <c r="K92" s="178">
        <f t="shared" si="14"/>
        <v>39.276565741260661</v>
      </c>
      <c r="L92" s="202">
        <f>(G92*(uPostT))/(1+oDR)^'Markov Model_b (2)'!cycle</f>
        <v>24.384407902869089</v>
      </c>
      <c r="M92" s="80"/>
      <c r="N92" s="3"/>
      <c r="O92" s="80"/>
      <c r="P92" s="173">
        <v>81</v>
      </c>
      <c r="Q92" s="165"/>
      <c r="R92" s="174">
        <v>8.7646270854724317E-4</v>
      </c>
      <c r="S92" s="502"/>
      <c r="T92" s="219">
        <f t="shared" si="6"/>
        <v>37.00316846313347</v>
      </c>
      <c r="U92" s="249">
        <f t="shared" si="12"/>
        <v>62.99683153686653</v>
      </c>
      <c r="V92" s="516">
        <f t="shared" si="2"/>
        <v>100</v>
      </c>
      <c r="W92" s="153">
        <f>(T92*0)/(1+cDR)^'Markov Model_b (2)'!cycle2</f>
        <v>0</v>
      </c>
      <c r="X92" s="178">
        <f t="shared" si="7"/>
        <v>37.00316846313347</v>
      </c>
      <c r="Y92" s="202">
        <f>(T92*(uPostT))/(1+oDR)^'Markov Model_b (2)'!cycle</f>
        <v>22.972995130166051</v>
      </c>
      <c r="Z92" s="80"/>
      <c r="AA92" s="3"/>
      <c r="AB92" s="3"/>
      <c r="AC92" s="14">
        <v>80</v>
      </c>
      <c r="AD92" s="14"/>
      <c r="AE92" s="14"/>
      <c r="AF92" s="3"/>
      <c r="AG92" s="3"/>
      <c r="AH92" s="3"/>
      <c r="AI92" s="14"/>
      <c r="AJ92" s="14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</row>
    <row r="93" spans="1:60" ht="14.25" customHeight="1" x14ac:dyDescent="0.2">
      <c r="A93" s="637"/>
      <c r="B93" s="80"/>
      <c r="C93" s="173">
        <v>82</v>
      </c>
      <c r="D93" s="165"/>
      <c r="E93" s="174">
        <v>8.7646270854724317E-4</v>
      </c>
      <c r="F93" s="502"/>
      <c r="G93" s="219">
        <f t="shared" si="13"/>
        <v>39.242141296068645</v>
      </c>
      <c r="H93" s="249">
        <f t="shared" si="15"/>
        <v>60.757858703931355</v>
      </c>
      <c r="I93" s="516">
        <f t="shared" si="0"/>
        <v>100</v>
      </c>
      <c r="J93" s="153">
        <f>(G93*0)/(1+cDR)^'Markov Model_b (2)'!cycle</f>
        <v>0</v>
      </c>
      <c r="K93" s="178">
        <f t="shared" si="14"/>
        <v>39.242141296068645</v>
      </c>
      <c r="L93" s="202">
        <f>(G93*(uPostT))/(1+oDR)^'Markov Model_b (2)'!cycle</f>
        <v>24.302280178226649</v>
      </c>
      <c r="M93" s="80"/>
      <c r="N93" s="3"/>
      <c r="O93" s="80"/>
      <c r="P93" s="173">
        <v>82</v>
      </c>
      <c r="Q93" s="165"/>
      <c r="R93" s="174">
        <v>8.7646270854724317E-4</v>
      </c>
      <c r="S93" s="502"/>
      <c r="T93" s="219">
        <f t="shared" si="6"/>
        <v>36.970736565877445</v>
      </c>
      <c r="U93" s="249">
        <f t="shared" si="12"/>
        <v>63.029263434122555</v>
      </c>
      <c r="V93" s="516">
        <f t="shared" si="2"/>
        <v>100</v>
      </c>
      <c r="W93" s="153">
        <f>(T93*0)/(1+cDR)^'Markov Model_b (2)'!cycle2</f>
        <v>0</v>
      </c>
      <c r="X93" s="178">
        <f t="shared" si="7"/>
        <v>36.970736565877445</v>
      </c>
      <c r="Y93" s="202">
        <f>(T93*(uPostT))/(1+oDR)^'Markov Model_b (2)'!cycle</f>
        <v>22.895621103871147</v>
      </c>
      <c r="Z93" s="80"/>
      <c r="AA93" s="3"/>
      <c r="AB93" s="3"/>
      <c r="AC93" s="14">
        <v>81</v>
      </c>
      <c r="AD93" s="14"/>
      <c r="AE93" s="14"/>
      <c r="AF93" s="3"/>
      <c r="AG93" s="3"/>
      <c r="AH93" s="3"/>
      <c r="AI93" s="14"/>
      <c r="AJ93" s="14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</row>
    <row r="94" spans="1:60" ht="14.25" customHeight="1" x14ac:dyDescent="0.2">
      <c r="A94" s="637"/>
      <c r="B94" s="80"/>
      <c r="C94" s="173">
        <v>83</v>
      </c>
      <c r="D94" s="504"/>
      <c r="E94" s="174">
        <v>8.7646270854724317E-4</v>
      </c>
      <c r="F94" s="505"/>
      <c r="G94" s="219">
        <f t="shared" si="13"/>
        <v>39.207747022619102</v>
      </c>
      <c r="H94" s="249">
        <f t="shared" si="15"/>
        <v>60.792252977380898</v>
      </c>
      <c r="I94" s="516">
        <f t="shared" si="0"/>
        <v>100</v>
      </c>
      <c r="J94" s="180">
        <f>(G94*0)/(1+cDR)^'Markov Model_b (2)'!cycle</f>
        <v>0</v>
      </c>
      <c r="K94" s="176">
        <f t="shared" si="14"/>
        <v>39.207747022619102</v>
      </c>
      <c r="L94" s="202">
        <f>(G94*(uPostT))/(1+oDR)^'Markov Model_b (2)'!cycle</f>
        <v>24.220429063259623</v>
      </c>
      <c r="M94" s="80"/>
      <c r="N94" s="3"/>
      <c r="O94" s="80"/>
      <c r="P94" s="173">
        <v>83</v>
      </c>
      <c r="Q94" s="504"/>
      <c r="R94" s="174">
        <v>8.7646270854724317E-4</v>
      </c>
      <c r="S94" s="505"/>
      <c r="T94" s="219">
        <f t="shared" si="6"/>
        <v>36.938333093969931</v>
      </c>
      <c r="U94" s="249">
        <f t="shared" si="12"/>
        <v>63.061666906030069</v>
      </c>
      <c r="V94" s="516">
        <f t="shared" si="2"/>
        <v>100</v>
      </c>
      <c r="W94" s="180">
        <f>(T94*0)/(1+cDR)^'Markov Model_b (2)'!cycle2</f>
        <v>0</v>
      </c>
      <c r="X94" s="176">
        <f t="shared" si="7"/>
        <v>36.938333093969931</v>
      </c>
      <c r="Y94" s="202">
        <f>(T94*(uPostT))/(1+oDR)^'Markov Model_b (2)'!cycle</f>
        <v>22.818507676593093</v>
      </c>
      <c r="Z94" s="80"/>
      <c r="AA94" s="3"/>
      <c r="AB94" s="3"/>
      <c r="AC94" s="14">
        <v>82</v>
      </c>
      <c r="AD94" s="14"/>
      <c r="AE94" s="14"/>
      <c r="AF94" s="3"/>
      <c r="AG94" s="3"/>
      <c r="AH94" s="3"/>
      <c r="AI94" s="14"/>
      <c r="AJ94" s="14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</row>
    <row r="95" spans="1:60" ht="14.25" customHeight="1" x14ac:dyDescent="0.25">
      <c r="A95" s="637" t="s">
        <v>549</v>
      </c>
      <c r="B95" s="80"/>
      <c r="C95" s="506">
        <v>84</v>
      </c>
      <c r="D95" s="506"/>
      <c r="E95" s="507">
        <v>8.7646270854724317E-4</v>
      </c>
      <c r="F95" s="508"/>
      <c r="G95" s="509">
        <f t="shared" si="13"/>
        <v>39.173382894467622</v>
      </c>
      <c r="H95" s="510">
        <f t="shared" si="15"/>
        <v>60.826617105532378</v>
      </c>
      <c r="I95" s="518">
        <f t="shared" si="0"/>
        <v>100</v>
      </c>
      <c r="J95" s="511">
        <f>(G95*0)/(1+cDR)^'Markov Model_b (2)'!cycle</f>
        <v>0</v>
      </c>
      <c r="K95" s="512">
        <f t="shared" si="14"/>
        <v>39.173382894467622</v>
      </c>
      <c r="L95" s="513">
        <f>(G95*(uPostT))/(1+oDR)^'Markov Model_b (2)'!cycle</f>
        <v>24.138853626334825</v>
      </c>
      <c r="M95" s="80"/>
      <c r="N95" s="3"/>
      <c r="O95" s="80"/>
      <c r="P95" s="506">
        <v>84</v>
      </c>
      <c r="Q95" s="506"/>
      <c r="R95" s="507">
        <v>8.7646270854724317E-4</v>
      </c>
      <c r="S95" s="508"/>
      <c r="T95" s="509">
        <f t="shared" si="6"/>
        <v>36.905958022497167</v>
      </c>
      <c r="U95" s="510">
        <f t="shared" si="12"/>
        <v>63.094041977502833</v>
      </c>
      <c r="V95" s="518">
        <f t="shared" si="2"/>
        <v>100</v>
      </c>
      <c r="W95" s="511">
        <f>(T95*0)/(1+cDR)^'Markov Model_b (2)'!cycle2</f>
        <v>0</v>
      </c>
      <c r="X95" s="512">
        <f t="shared" si="7"/>
        <v>36.905958022497167</v>
      </c>
      <c r="Y95" s="513">
        <f>(T95*(uPostT))/(1+oDR)^'Markov Model_b (2)'!cycle</f>
        <v>22.741653970623304</v>
      </c>
      <c r="Z95" s="80"/>
      <c r="AA95" s="3"/>
      <c r="AB95" s="3"/>
      <c r="AC95" s="14">
        <v>83</v>
      </c>
      <c r="AD95" s="14"/>
      <c r="AE95" s="14"/>
      <c r="AF95" s="3"/>
      <c r="AG95" s="3"/>
      <c r="AH95" s="3"/>
      <c r="AI95" s="14"/>
      <c r="AJ95" s="14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</row>
    <row r="96" spans="1:60" ht="14.25" customHeight="1" x14ac:dyDescent="0.2">
      <c r="A96" s="637"/>
      <c r="B96" s="80"/>
      <c r="C96" s="173">
        <v>85</v>
      </c>
      <c r="D96" s="165"/>
      <c r="E96" s="174">
        <v>9.3655925876645618E-4</v>
      </c>
      <c r="F96" s="502"/>
      <c r="G96" s="219">
        <f t="shared" si="13"/>
        <v>39.136694700020605</v>
      </c>
      <c r="H96" s="249">
        <f t="shared" si="15"/>
        <v>60.863305299979395</v>
      </c>
      <c r="I96" s="516">
        <f t="shared" si="0"/>
        <v>100</v>
      </c>
      <c r="J96" s="153">
        <f>(G96*0)/(1+cDR)^'Markov Model_b (2)'!cycle</f>
        <v>0</v>
      </c>
      <c r="K96" s="178">
        <f t="shared" si="14"/>
        <v>39.136694700020605</v>
      </c>
      <c r="L96" s="202">
        <f>(G96*(uPostT))/(1+oDR)^'Markov Model_b (2)'!cycle</f>
        <v>24.056105894738227</v>
      </c>
      <c r="M96" s="80"/>
      <c r="N96" s="3"/>
      <c r="O96" s="80"/>
      <c r="P96" s="173">
        <v>85</v>
      </c>
      <c r="Q96" s="165"/>
      <c r="R96" s="174">
        <v>9.3655925876645618E-4</v>
      </c>
      <c r="S96" s="502"/>
      <c r="T96" s="219">
        <f t="shared" si="6"/>
        <v>36.871393405807552</v>
      </c>
      <c r="U96" s="249">
        <f t="shared" si="12"/>
        <v>63.128606594192448</v>
      </c>
      <c r="V96" s="516">
        <f t="shared" si="2"/>
        <v>100</v>
      </c>
      <c r="W96" s="153">
        <f>(T96*0)/(1+cDR)^'Markov Model_b (2)'!cycle2</f>
        <v>0</v>
      </c>
      <c r="X96" s="178">
        <f t="shared" si="7"/>
        <v>36.871393405807552</v>
      </c>
      <c r="Y96" s="202">
        <f>(T96*(uPostT))/(1+oDR)^'Markov Model_b (2)'!cycle</f>
        <v>22.663695824476264</v>
      </c>
      <c r="Z96" s="80"/>
      <c r="AA96" s="3"/>
      <c r="AB96" s="3"/>
      <c r="AC96" s="14">
        <v>84</v>
      </c>
      <c r="AD96" s="14"/>
      <c r="AE96" s="14"/>
      <c r="AF96" s="3"/>
      <c r="AG96" s="3"/>
      <c r="AH96" s="3"/>
      <c r="AI96" s="14"/>
      <c r="AJ96" s="14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</row>
    <row r="97" spans="1:60" ht="14.25" customHeight="1" x14ac:dyDescent="0.2">
      <c r="A97" s="637"/>
      <c r="B97" s="80"/>
      <c r="C97" s="173">
        <v>86</v>
      </c>
      <c r="D97" s="165"/>
      <c r="E97" s="174">
        <v>9.3655925876645618E-4</v>
      </c>
      <c r="F97" s="502"/>
      <c r="G97" s="219">
        <f t="shared" si="13"/>
        <v>39.100040866241784</v>
      </c>
      <c r="H97" s="249">
        <f t="shared" si="15"/>
        <v>60.899959133758216</v>
      </c>
      <c r="I97" s="516">
        <f t="shared" si="0"/>
        <v>100</v>
      </c>
      <c r="J97" s="153">
        <f>(G97*0)/(1+cDR)^'Markov Model_b (2)'!cycle</f>
        <v>0</v>
      </c>
      <c r="K97" s="178">
        <f t="shared" si="14"/>
        <v>39.100040866241784</v>
      </c>
      <c r="L97" s="202">
        <f>(G97*(uPostT))/(1+oDR)^'Markov Model_b (2)'!cycle</f>
        <v>23.973641821478953</v>
      </c>
      <c r="M97" s="80"/>
      <c r="N97" s="3"/>
      <c r="O97" s="80"/>
      <c r="P97" s="173">
        <v>86</v>
      </c>
      <c r="Q97" s="165"/>
      <c r="R97" s="174">
        <v>9.3655925876645618E-4</v>
      </c>
      <c r="S97" s="502"/>
      <c r="T97" s="219">
        <f t="shared" si="6"/>
        <v>36.836861160929722</v>
      </c>
      <c r="U97" s="249">
        <f t="shared" si="12"/>
        <v>63.163138839070278</v>
      </c>
      <c r="V97" s="516">
        <f t="shared" si="2"/>
        <v>100</v>
      </c>
      <c r="W97" s="153">
        <f>(T97*0)/(1+cDR)^'Markov Model_b (2)'!cycle2</f>
        <v>0</v>
      </c>
      <c r="X97" s="178">
        <f t="shared" si="7"/>
        <v>36.836861160929722</v>
      </c>
      <c r="Y97" s="202">
        <f>(T97*(uPostT))/(1+oDR)^'Markov Model_b (2)'!cycle</f>
        <v>22.586004918018943</v>
      </c>
      <c r="Z97" s="80"/>
      <c r="AA97" s="3"/>
      <c r="AB97" s="3"/>
      <c r="AC97" s="14">
        <v>85</v>
      </c>
      <c r="AD97" s="14"/>
      <c r="AE97" s="14"/>
      <c r="AF97" s="3"/>
      <c r="AG97" s="3"/>
      <c r="AH97" s="3"/>
      <c r="AI97" s="14"/>
      <c r="AJ97" s="14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</row>
    <row r="98" spans="1:60" ht="14.25" customHeight="1" x14ac:dyDescent="0.2">
      <c r="A98" s="637"/>
      <c r="B98" s="80"/>
      <c r="C98" s="173">
        <v>87</v>
      </c>
      <c r="D98" s="165"/>
      <c r="E98" s="174">
        <v>9.3655925876645618E-4</v>
      </c>
      <c r="F98" s="502"/>
      <c r="G98" s="219">
        <f t="shared" si="13"/>
        <v>39.063421360950358</v>
      </c>
      <c r="H98" s="249">
        <f t="shared" si="15"/>
        <v>60.936578639049642</v>
      </c>
      <c r="I98" s="516">
        <f t="shared" si="0"/>
        <v>100</v>
      </c>
      <c r="J98" s="153">
        <f>(G98*0)/(1+cDR)^'Markov Model_b (2)'!cycle</f>
        <v>0</v>
      </c>
      <c r="K98" s="178">
        <f t="shared" si="14"/>
        <v>39.063421360950358</v>
      </c>
      <c r="L98" s="202">
        <f>(G98*(uPostT))/(1+oDR)^'Markov Model_b (2)'!cycle</f>
        <v>23.891460434179248</v>
      </c>
      <c r="M98" s="80"/>
      <c r="N98" s="3"/>
      <c r="O98" s="80"/>
      <c r="P98" s="173">
        <v>87</v>
      </c>
      <c r="Q98" s="165"/>
      <c r="R98" s="174">
        <v>9.3655925876645618E-4</v>
      </c>
      <c r="S98" s="502"/>
      <c r="T98" s="219">
        <f t="shared" si="6"/>
        <v>36.802361257545556</v>
      </c>
      <c r="U98" s="249">
        <f t="shared" si="12"/>
        <v>63.197638742454444</v>
      </c>
      <c r="V98" s="516">
        <f t="shared" si="2"/>
        <v>100</v>
      </c>
      <c r="W98" s="153">
        <f>(T98*0)/(1+cDR)^'Markov Model_b (2)'!cycle2</f>
        <v>0</v>
      </c>
      <c r="X98" s="178">
        <f t="shared" si="7"/>
        <v>36.802361257545556</v>
      </c>
      <c r="Y98" s="202">
        <f>(T98*(uPostT))/(1+oDR)^'Markov Model_b (2)'!cycle</f>
        <v>22.508580335156534</v>
      </c>
      <c r="Z98" s="80"/>
      <c r="AA98" s="3"/>
      <c r="AB98" s="3"/>
      <c r="AC98" s="14">
        <v>86</v>
      </c>
      <c r="AD98" s="14"/>
      <c r="AE98" s="14"/>
      <c r="AF98" s="3"/>
      <c r="AG98" s="3"/>
      <c r="AH98" s="3"/>
      <c r="AI98" s="14"/>
      <c r="AJ98" s="14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</row>
    <row r="99" spans="1:60" ht="14.25" customHeight="1" x14ac:dyDescent="0.2">
      <c r="A99" s="637"/>
      <c r="B99" s="80"/>
      <c r="C99" s="173">
        <v>88</v>
      </c>
      <c r="D99" s="165"/>
      <c r="E99" s="174">
        <v>9.3655925876645618E-4</v>
      </c>
      <c r="F99" s="502"/>
      <c r="G99" s="219">
        <f t="shared" si="13"/>
        <v>39.026836151995667</v>
      </c>
      <c r="H99" s="249">
        <f t="shared" si="15"/>
        <v>60.973163848004333</v>
      </c>
      <c r="I99" s="516">
        <f t="shared" si="0"/>
        <v>100</v>
      </c>
      <c r="J99" s="153">
        <f>(G99*0)/(1+cDR)^'Markov Model_b (2)'!cycle</f>
        <v>0</v>
      </c>
      <c r="K99" s="178">
        <f t="shared" si="14"/>
        <v>39.026836151995667</v>
      </c>
      <c r="L99" s="202">
        <f>(G99*(uPostT))/(1+oDR)^'Markov Model_b (2)'!cycle</f>
        <v>23.809560763794682</v>
      </c>
      <c r="M99" s="80"/>
      <c r="N99" s="3"/>
      <c r="O99" s="80"/>
      <c r="P99" s="173">
        <v>88</v>
      </c>
      <c r="Q99" s="165"/>
      <c r="R99" s="174">
        <v>9.3655925876645618E-4</v>
      </c>
      <c r="S99" s="502"/>
      <c r="T99" s="219">
        <f t="shared" si="6"/>
        <v>36.767893665365335</v>
      </c>
      <c r="U99" s="249">
        <f t="shared" si="12"/>
        <v>63.232106334634665</v>
      </c>
      <c r="V99" s="516">
        <f t="shared" si="2"/>
        <v>100</v>
      </c>
      <c r="W99" s="153">
        <f>(T99*0)/(1+cDR)^'Markov Model_b (2)'!cycle2</f>
        <v>0</v>
      </c>
      <c r="X99" s="178">
        <f t="shared" si="7"/>
        <v>36.767893665365335</v>
      </c>
      <c r="Y99" s="202">
        <f>(T99*(uPostT))/(1+oDR)^'Markov Model_b (2)'!cycle</f>
        <v>22.431421162934619</v>
      </c>
      <c r="Z99" s="80"/>
      <c r="AA99" s="3"/>
      <c r="AB99" s="3"/>
      <c r="AC99" s="14">
        <v>87</v>
      </c>
      <c r="AD99" s="14"/>
      <c r="AE99" s="14"/>
      <c r="AF99" s="3"/>
      <c r="AG99" s="3"/>
      <c r="AH99" s="3"/>
      <c r="AI99" s="14"/>
      <c r="AJ99" s="14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</row>
    <row r="100" spans="1:60" ht="14.25" customHeight="1" x14ac:dyDescent="0.2">
      <c r="A100" s="637"/>
      <c r="B100" s="80"/>
      <c r="C100" s="173">
        <v>89</v>
      </c>
      <c r="D100" s="165"/>
      <c r="E100" s="174">
        <v>9.3655925876645618E-4</v>
      </c>
      <c r="F100" s="502"/>
      <c r="G100" s="219">
        <f t="shared" si="13"/>
        <v>38.990285207257152</v>
      </c>
      <c r="H100" s="249">
        <f t="shared" si="15"/>
        <v>61.009714792742848</v>
      </c>
      <c r="I100" s="516">
        <f t="shared" si="0"/>
        <v>100</v>
      </c>
      <c r="J100" s="153">
        <f>(G100*0)/(1+cDR)^'Markov Model_b (2)'!cycle</f>
        <v>0</v>
      </c>
      <c r="K100" s="178">
        <f t="shared" si="14"/>
        <v>38.990285207257152</v>
      </c>
      <c r="L100" s="202">
        <f>(G100*(uPostT))/(1+oDR)^'Markov Model_b (2)'!cycle</f>
        <v>23.727941844602675</v>
      </c>
      <c r="M100" s="80"/>
      <c r="N100" s="3"/>
      <c r="O100" s="80"/>
      <c r="P100" s="173">
        <v>89</v>
      </c>
      <c r="Q100" s="165"/>
      <c r="R100" s="174">
        <v>9.3655925876645618E-4</v>
      </c>
      <c r="S100" s="502"/>
      <c r="T100" s="219">
        <f t="shared" si="6"/>
        <v>36.733458354127698</v>
      </c>
      <c r="U100" s="249">
        <f t="shared" si="12"/>
        <v>63.266541645872302</v>
      </c>
      <c r="V100" s="516">
        <f t="shared" si="2"/>
        <v>100</v>
      </c>
      <c r="W100" s="153">
        <f>(T100*0)/(1+cDR)^'Markov Model_b (2)'!cycle2</f>
        <v>0</v>
      </c>
      <c r="X100" s="178">
        <f t="shared" si="7"/>
        <v>36.733458354127698</v>
      </c>
      <c r="Y100" s="202">
        <f>(T100*(uPostT))/(1+oDR)^'Markov Model_b (2)'!cycle</f>
        <v>22.354526491528361</v>
      </c>
      <c r="Z100" s="80"/>
      <c r="AA100" s="3"/>
      <c r="AB100" s="3"/>
      <c r="AC100" s="14">
        <v>88</v>
      </c>
      <c r="AD100" s="14"/>
      <c r="AE100" s="14"/>
      <c r="AF100" s="3"/>
      <c r="AG100" s="3"/>
      <c r="AH100" s="3"/>
      <c r="AI100" s="14"/>
      <c r="AJ100" s="14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</row>
    <row r="101" spans="1:60" ht="14.25" customHeight="1" x14ac:dyDescent="0.2">
      <c r="A101" s="637"/>
      <c r="B101" s="80"/>
      <c r="C101" s="173">
        <v>90</v>
      </c>
      <c r="D101" s="165"/>
      <c r="E101" s="174">
        <v>9.3655925876645618E-4</v>
      </c>
      <c r="F101" s="502"/>
      <c r="G101" s="219">
        <f t="shared" si="13"/>
        <v>38.953768494644351</v>
      </c>
      <c r="H101" s="249">
        <f t="shared" si="15"/>
        <v>61.046231505355649</v>
      </c>
      <c r="I101" s="516">
        <f t="shared" si="0"/>
        <v>100</v>
      </c>
      <c r="J101" s="153">
        <f>(G101*0)/(1+cDR)^'Markov Model_b (2)'!cycle</f>
        <v>0</v>
      </c>
      <c r="K101" s="178">
        <f t="shared" si="14"/>
        <v>38.953768494644351</v>
      </c>
      <c r="L101" s="202">
        <f>(G101*(uPostT))/(1+oDR)^'Markov Model_b (2)'!cycle</f>
        <v>23.646602714191161</v>
      </c>
      <c r="M101" s="80"/>
      <c r="N101" s="3"/>
      <c r="O101" s="80"/>
      <c r="P101" s="173">
        <v>90</v>
      </c>
      <c r="Q101" s="165"/>
      <c r="R101" s="174">
        <v>9.3655925876645618E-4</v>
      </c>
      <c r="S101" s="502"/>
      <c r="T101" s="219">
        <f t="shared" si="6"/>
        <v>36.699055293599628</v>
      </c>
      <c r="U101" s="249">
        <f t="shared" si="12"/>
        <v>63.300944706400372</v>
      </c>
      <c r="V101" s="516">
        <f t="shared" si="2"/>
        <v>100</v>
      </c>
      <c r="W101" s="153">
        <f>(T101*0)/(1+cDR)^'Markov Model_b (2)'!cycle2</f>
        <v>0</v>
      </c>
      <c r="X101" s="178">
        <f t="shared" si="7"/>
        <v>36.699055293599628</v>
      </c>
      <c r="Y101" s="202">
        <f>(T101*(uPostT))/(1+oDR)^'Markov Model_b (2)'!cycle</f>
        <v>22.2778954142318</v>
      </c>
      <c r="Z101" s="80"/>
      <c r="AA101" s="3"/>
      <c r="AB101" s="3"/>
      <c r="AC101" s="14">
        <v>89</v>
      </c>
      <c r="AD101" s="14"/>
      <c r="AE101" s="14"/>
      <c r="AF101" s="3"/>
      <c r="AG101" s="3"/>
      <c r="AH101" s="3"/>
      <c r="AI101" s="14"/>
      <c r="AJ101" s="14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</row>
    <row r="102" spans="1:60" ht="14.25" customHeight="1" x14ac:dyDescent="0.2">
      <c r="A102" s="637"/>
      <c r="B102" s="80"/>
      <c r="C102" s="173">
        <v>91</v>
      </c>
      <c r="D102" s="165"/>
      <c r="E102" s="174">
        <v>9.3655925876645618E-4</v>
      </c>
      <c r="F102" s="502"/>
      <c r="G102" s="219">
        <f t="shared" si="13"/>
        <v>38.91728598209685</v>
      </c>
      <c r="H102" s="249">
        <f t="shared" si="15"/>
        <v>61.08271401790315</v>
      </c>
      <c r="I102" s="516">
        <f t="shared" si="0"/>
        <v>100</v>
      </c>
      <c r="J102" s="153">
        <f>(G102*0)/(1+cDR)^'Markov Model_b (2)'!cycle</f>
        <v>0</v>
      </c>
      <c r="K102" s="178">
        <f t="shared" si="14"/>
        <v>38.91728598209685</v>
      </c>
      <c r="L102" s="202">
        <f>(G102*(uPostT))/(1+oDR)^'Markov Model_b (2)'!cycle</f>
        <v>23.565542413447204</v>
      </c>
      <c r="M102" s="80"/>
      <c r="N102" s="3"/>
      <c r="O102" s="80"/>
      <c r="P102" s="173">
        <v>91</v>
      </c>
      <c r="Q102" s="165"/>
      <c r="R102" s="174">
        <v>9.3655925876645618E-4</v>
      </c>
      <c r="S102" s="502"/>
      <c r="T102" s="219">
        <f t="shared" si="6"/>
        <v>36.664684453576427</v>
      </c>
      <c r="U102" s="249">
        <f t="shared" si="12"/>
        <v>63.335315546423573</v>
      </c>
      <c r="V102" s="516">
        <f t="shared" si="2"/>
        <v>100</v>
      </c>
      <c r="W102" s="153">
        <f>(T102*0)/(1+cDR)^'Markov Model_b (2)'!cycle2</f>
        <v>0</v>
      </c>
      <c r="X102" s="178">
        <f t="shared" si="7"/>
        <v>36.664684453576427</v>
      </c>
      <c r="Y102" s="202">
        <f>(T102*(uPostT))/(1+oDR)^'Markov Model_b (2)'!cycle</f>
        <v>22.201527027447156</v>
      </c>
      <c r="Z102" s="80"/>
      <c r="AA102" s="3"/>
      <c r="AB102" s="3"/>
      <c r="AC102" s="14">
        <v>90</v>
      </c>
      <c r="AD102" s="14"/>
      <c r="AE102" s="14"/>
      <c r="AF102" s="3"/>
      <c r="AG102" s="3"/>
      <c r="AH102" s="3"/>
      <c r="AI102" s="14"/>
      <c r="AJ102" s="14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</row>
    <row r="103" spans="1:60" ht="14.25" customHeight="1" x14ac:dyDescent="0.2">
      <c r="A103" s="637"/>
      <c r="B103" s="80"/>
      <c r="C103" s="173">
        <v>92</v>
      </c>
      <c r="D103" s="165"/>
      <c r="E103" s="174">
        <v>9.3655925876645618E-4</v>
      </c>
      <c r="F103" s="502"/>
      <c r="G103" s="219">
        <f t="shared" si="13"/>
        <v>38.880837637584257</v>
      </c>
      <c r="H103" s="249">
        <f t="shared" si="15"/>
        <v>61.119162362415743</v>
      </c>
      <c r="I103" s="516">
        <f t="shared" si="0"/>
        <v>100</v>
      </c>
      <c r="J103" s="153">
        <f>(G103*0)/(1+cDR)^'Markov Model_b (2)'!cycle</f>
        <v>0</v>
      </c>
      <c r="K103" s="178">
        <f t="shared" si="14"/>
        <v>38.880837637584257</v>
      </c>
      <c r="L103" s="202">
        <f>(G103*(uPostT))/(1+oDR)^'Markov Model_b (2)'!cycle</f>
        <v>23.484759986545676</v>
      </c>
      <c r="M103" s="80"/>
      <c r="N103" s="3"/>
      <c r="O103" s="80"/>
      <c r="P103" s="173">
        <v>92</v>
      </c>
      <c r="Q103" s="165"/>
      <c r="R103" s="174">
        <v>9.3655925876645618E-4</v>
      </c>
      <c r="S103" s="502"/>
      <c r="T103" s="219">
        <f t="shared" si="6"/>
        <v>36.630345803881681</v>
      </c>
      <c r="U103" s="249">
        <f t="shared" si="12"/>
        <v>63.369654196118319</v>
      </c>
      <c r="V103" s="516">
        <f t="shared" si="2"/>
        <v>100</v>
      </c>
      <c r="W103" s="153">
        <f>(T103*0)/(1+cDR)^'Markov Model_b (2)'!cycle2</f>
        <v>0</v>
      </c>
      <c r="X103" s="178">
        <f t="shared" si="7"/>
        <v>36.630345803881681</v>
      </c>
      <c r="Y103" s="202">
        <f>(T103*(uPostT))/(1+oDR)^'Markov Model_b (2)'!cycle</f>
        <v>22.125420430674165</v>
      </c>
      <c r="Z103" s="80"/>
      <c r="AA103" s="3"/>
      <c r="AB103" s="3"/>
      <c r="AC103" s="14">
        <v>91</v>
      </c>
      <c r="AD103" s="14"/>
      <c r="AE103" s="14"/>
      <c r="AF103" s="3"/>
      <c r="AG103" s="3"/>
      <c r="AH103" s="3"/>
      <c r="AI103" s="14"/>
      <c r="AJ103" s="14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</row>
    <row r="104" spans="1:60" ht="14.25" customHeight="1" x14ac:dyDescent="0.2">
      <c r="A104" s="637"/>
      <c r="B104" s="80"/>
      <c r="C104" s="173">
        <v>93</v>
      </c>
      <c r="D104" s="165"/>
      <c r="E104" s="174">
        <v>9.3655925876645618E-4</v>
      </c>
      <c r="F104" s="502"/>
      <c r="G104" s="219">
        <f t="shared" si="13"/>
        <v>38.844423429106179</v>
      </c>
      <c r="H104" s="249">
        <f t="shared" si="15"/>
        <v>61.155576570893821</v>
      </c>
      <c r="I104" s="516">
        <f t="shared" si="0"/>
        <v>100</v>
      </c>
      <c r="J104" s="153">
        <f>(G104*0)/(1+cDR)^'Markov Model_b (2)'!cycle</f>
        <v>0</v>
      </c>
      <c r="K104" s="178">
        <f t="shared" si="14"/>
        <v>38.844423429106179</v>
      </c>
      <c r="L104" s="202">
        <f>(G104*(uPostT))/(1+oDR)^'Markov Model_b (2)'!cycle</f>
        <v>23.404254480938015</v>
      </c>
      <c r="M104" s="80"/>
      <c r="N104" s="3"/>
      <c r="O104" s="80"/>
      <c r="P104" s="173">
        <v>93</v>
      </c>
      <c r="Q104" s="165"/>
      <c r="R104" s="174">
        <v>9.3655925876645618E-4</v>
      </c>
      <c r="S104" s="502"/>
      <c r="T104" s="219">
        <f t="shared" si="6"/>
        <v>36.596039314367239</v>
      </c>
      <c r="U104" s="249">
        <f t="shared" si="12"/>
        <v>63.403960685632761</v>
      </c>
      <c r="V104" s="516">
        <f t="shared" si="2"/>
        <v>100</v>
      </c>
      <c r="W104" s="153">
        <f>(T104*0)/(1+cDR)^'Markov Model_b (2)'!cycle2</f>
        <v>0</v>
      </c>
      <c r="X104" s="178">
        <f t="shared" si="7"/>
        <v>36.596039314367239</v>
      </c>
      <c r="Y104" s="202">
        <f>(T104*(uPostT))/(1+oDR)^'Markov Model_b (2)'!cycle</f>
        <v>22.049574726499461</v>
      </c>
      <c r="Z104" s="80"/>
      <c r="AA104" s="3"/>
      <c r="AB104" s="3"/>
      <c r="AC104" s="14">
        <v>92</v>
      </c>
      <c r="AD104" s="14"/>
      <c r="AE104" s="14"/>
      <c r="AF104" s="3"/>
      <c r="AG104" s="3"/>
      <c r="AH104" s="3"/>
      <c r="AI104" s="14"/>
      <c r="AJ104" s="14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</row>
    <row r="105" spans="1:60" ht="14.25" customHeight="1" x14ac:dyDescent="0.2">
      <c r="A105" s="637"/>
      <c r="B105" s="80"/>
      <c r="C105" s="173">
        <v>94</v>
      </c>
      <c r="D105" s="165"/>
      <c r="E105" s="174">
        <v>9.3655925876645618E-4</v>
      </c>
      <c r="F105" s="502"/>
      <c r="G105" s="219">
        <f t="shared" si="13"/>
        <v>38.808043324692207</v>
      </c>
      <c r="H105" s="249">
        <f t="shared" si="15"/>
        <v>61.191956675307793</v>
      </c>
      <c r="I105" s="516">
        <f t="shared" si="0"/>
        <v>100</v>
      </c>
      <c r="J105" s="153">
        <f>(G105*0)/(1+cDR)^'Markov Model_b (2)'!cycle</f>
        <v>0</v>
      </c>
      <c r="K105" s="178">
        <f t="shared" si="14"/>
        <v>38.808043324692207</v>
      </c>
      <c r="L105" s="202">
        <f>(G105*(uPostT))/(1+oDR)^'Markov Model_b (2)'!cycle</f>
        <v>23.324024947341023</v>
      </c>
      <c r="M105" s="80"/>
      <c r="N105" s="3"/>
      <c r="O105" s="80"/>
      <c r="P105" s="173">
        <v>94</v>
      </c>
      <c r="Q105" s="165"/>
      <c r="R105" s="174">
        <v>9.3655925876645618E-4</v>
      </c>
      <c r="S105" s="502"/>
      <c r="T105" s="219">
        <f t="shared" si="6"/>
        <v>36.561764954913187</v>
      </c>
      <c r="U105" s="249">
        <f t="shared" si="12"/>
        <v>63.438235045086813</v>
      </c>
      <c r="V105" s="516">
        <f t="shared" si="2"/>
        <v>100</v>
      </c>
      <c r="W105" s="153">
        <f>(T105*0)/(1+cDR)^'Markov Model_b (2)'!cycle2</f>
        <v>0</v>
      </c>
      <c r="X105" s="178">
        <f t="shared" si="7"/>
        <v>36.561764954913187</v>
      </c>
      <c r="Y105" s="202">
        <f>(T105*(uPostT))/(1+oDR)^'Markov Model_b (2)'!cycle</f>
        <v>21.973989020586039</v>
      </c>
      <c r="Z105" s="80"/>
      <c r="AA105" s="3"/>
      <c r="AB105" s="3"/>
      <c r="AC105" s="14">
        <v>93</v>
      </c>
      <c r="AD105" s="14"/>
      <c r="AE105" s="14"/>
      <c r="AF105" s="3"/>
      <c r="AG105" s="3"/>
      <c r="AH105" s="3"/>
      <c r="AI105" s="14"/>
      <c r="AJ105" s="14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</row>
    <row r="106" spans="1:60" ht="14.25" customHeight="1" x14ac:dyDescent="0.2">
      <c r="A106" s="637"/>
      <c r="B106" s="80"/>
      <c r="C106" s="173">
        <v>95</v>
      </c>
      <c r="D106" s="165"/>
      <c r="E106" s="174">
        <v>9.3655925876645618E-4</v>
      </c>
      <c r="F106" s="502"/>
      <c r="G106" s="219">
        <f t="shared" si="13"/>
        <v>38.771697292401853</v>
      </c>
      <c r="H106" s="249">
        <f t="shared" si="15"/>
        <v>61.228302707598147</v>
      </c>
      <c r="I106" s="516">
        <f t="shared" si="0"/>
        <v>100</v>
      </c>
      <c r="J106" s="153">
        <f>(G106*0)/(1+cDR)^'Markov Model_b (2)'!cycle</f>
        <v>0</v>
      </c>
      <c r="K106" s="178">
        <f t="shared" si="14"/>
        <v>38.771697292401853</v>
      </c>
      <c r="L106" s="202">
        <f>(G106*(uPostT))/(1+oDR)^'Markov Model_b (2)'!cycle</f>
        <v>23.244070439725576</v>
      </c>
      <c r="M106" s="80"/>
      <c r="N106" s="3"/>
      <c r="O106" s="80"/>
      <c r="P106" s="173">
        <v>95</v>
      </c>
      <c r="Q106" s="165"/>
      <c r="R106" s="174">
        <v>9.3655925876645618E-4</v>
      </c>
      <c r="S106" s="502"/>
      <c r="T106" s="219">
        <f t="shared" si="6"/>
        <v>36.52752269542782</v>
      </c>
      <c r="U106" s="249">
        <f t="shared" si="12"/>
        <v>63.47247730457218</v>
      </c>
      <c r="V106" s="516">
        <f t="shared" si="2"/>
        <v>100</v>
      </c>
      <c r="W106" s="153">
        <f>(T106*0)/(1+cDR)^'Markov Model_b (2)'!cycle2</f>
        <v>0</v>
      </c>
      <c r="X106" s="178">
        <f t="shared" si="7"/>
        <v>36.52752269542782</v>
      </c>
      <c r="Y106" s="202">
        <f>(T106*(uPostT))/(1+oDR)^'Markov Model_b (2)'!cycle</f>
        <v>21.898662421662621</v>
      </c>
      <c r="Z106" s="80"/>
      <c r="AA106" s="3"/>
      <c r="AB106" s="3"/>
      <c r="AC106" s="14">
        <v>94</v>
      </c>
      <c r="AD106" s="14"/>
      <c r="AE106" s="14"/>
      <c r="AF106" s="3"/>
      <c r="AG106" s="3"/>
      <c r="AH106" s="3"/>
      <c r="AI106" s="14"/>
      <c r="AJ106" s="14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</row>
    <row r="107" spans="1:60" ht="14.25" customHeight="1" x14ac:dyDescent="0.2">
      <c r="A107" s="637"/>
      <c r="B107" s="80"/>
      <c r="C107" s="173">
        <v>96</v>
      </c>
      <c r="D107" s="504"/>
      <c r="E107" s="174">
        <v>9.3655925876645618E-4</v>
      </c>
      <c r="F107" s="505"/>
      <c r="G107" s="219">
        <f t="shared" si="13"/>
        <v>38.735385300324566</v>
      </c>
      <c r="H107" s="249">
        <f t="shared" si="15"/>
        <v>61.264614699675434</v>
      </c>
      <c r="I107" s="516">
        <f t="shared" si="0"/>
        <v>100</v>
      </c>
      <c r="J107" s="180">
        <f>(G107*0)/(1+cDR)^'Markov Model_b (2)'!cycle</f>
        <v>0</v>
      </c>
      <c r="K107" s="176">
        <f t="shared" si="14"/>
        <v>38.735385300324566</v>
      </c>
      <c r="L107" s="202">
        <f>(G107*(uPostT))/(1+oDR)^'Markov Model_b (2)'!cycle</f>
        <v>23.164390015305568</v>
      </c>
      <c r="M107" s="80"/>
      <c r="N107" s="3"/>
      <c r="O107" s="80"/>
      <c r="P107" s="173">
        <v>96</v>
      </c>
      <c r="Q107" s="504"/>
      <c r="R107" s="174">
        <v>9.3655925876645618E-4</v>
      </c>
      <c r="S107" s="505"/>
      <c r="T107" s="219">
        <f t="shared" si="6"/>
        <v>36.493312505847612</v>
      </c>
      <c r="U107" s="249">
        <f t="shared" si="12"/>
        <v>63.506687494152388</v>
      </c>
      <c r="V107" s="516">
        <f t="shared" si="2"/>
        <v>100</v>
      </c>
      <c r="W107" s="180">
        <f>(T107*0)/(1+cDR)^'Markov Model_b (2)'!cycle2</f>
        <v>0</v>
      </c>
      <c r="X107" s="176">
        <f t="shared" si="7"/>
        <v>36.493312505847612</v>
      </c>
      <c r="Y107" s="202">
        <f>(T107*(uPostT))/(1+oDR)^'Markov Model_b (2)'!cycle</f>
        <v>21.823594041513225</v>
      </c>
      <c r="Z107" s="80"/>
      <c r="AA107" s="3"/>
      <c r="AB107" s="3"/>
      <c r="AC107" s="14">
        <v>95</v>
      </c>
      <c r="AD107" s="14"/>
      <c r="AE107" s="14"/>
      <c r="AF107" s="3"/>
      <c r="AG107" s="3"/>
      <c r="AH107" s="3"/>
      <c r="AI107" s="14"/>
      <c r="AJ107" s="14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</row>
    <row r="108" spans="1:60" ht="14.25" customHeight="1" x14ac:dyDescent="0.25">
      <c r="A108" s="637" t="s">
        <v>550</v>
      </c>
      <c r="B108" s="80"/>
      <c r="C108" s="506">
        <v>97</v>
      </c>
      <c r="D108" s="506"/>
      <c r="E108" s="507">
        <v>9.9897044497332388E-4</v>
      </c>
      <c r="F108" s="508"/>
      <c r="G108" s="509">
        <f t="shared" si="13"/>
        <v>38.696689795234889</v>
      </c>
      <c r="H108" s="510">
        <f t="shared" si="15"/>
        <v>61.303310204765111</v>
      </c>
      <c r="I108" s="518">
        <f t="shared" si="0"/>
        <v>100</v>
      </c>
      <c r="J108" s="511">
        <f>(G108*0)/(1+cDR)^'Markov Model_b (2)'!cycle</f>
        <v>0</v>
      </c>
      <c r="K108" s="512">
        <f t="shared" si="14"/>
        <v>38.696689795234889</v>
      </c>
      <c r="L108" s="513">
        <f>(G108*(uPostT))/(1+oDR)^'Markov Model_b (2)'!cycle</f>
        <v>23.08354062274757</v>
      </c>
      <c r="M108" s="80"/>
      <c r="N108" s="3"/>
      <c r="O108" s="80"/>
      <c r="P108" s="506">
        <v>97</v>
      </c>
      <c r="Q108" s="506"/>
      <c r="R108" s="507">
        <v>9.9897044497332388E-4</v>
      </c>
      <c r="S108" s="508"/>
      <c r="T108" s="509">
        <f t="shared" si="6"/>
        <v>36.456856765215093</v>
      </c>
      <c r="U108" s="510">
        <f t="shared" si="12"/>
        <v>63.543143234784907</v>
      </c>
      <c r="V108" s="518">
        <f t="shared" si="2"/>
        <v>100</v>
      </c>
      <c r="W108" s="511">
        <f>(T108*0)/(1+cDR)^'Markov Model_b (2)'!cycle2</f>
        <v>0</v>
      </c>
      <c r="X108" s="512">
        <f t="shared" si="7"/>
        <v>36.456856765215093</v>
      </c>
      <c r="Y108" s="513">
        <f>(T108*(uPostT))/(1+oDR)^'Markov Model_b (2)'!cycle</f>
        <v>21.747424355174719</v>
      </c>
      <c r="Z108" s="80"/>
      <c r="AA108" s="3"/>
      <c r="AB108" s="3"/>
      <c r="AC108" s="14">
        <v>96</v>
      </c>
      <c r="AD108" s="14"/>
      <c r="AE108" s="14"/>
      <c r="AF108" s="3"/>
      <c r="AG108" s="3"/>
      <c r="AH108" s="3"/>
      <c r="AI108" s="14"/>
      <c r="AJ108" s="14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</row>
    <row r="109" spans="1:60" ht="14.25" customHeight="1" x14ac:dyDescent="0.2">
      <c r="A109" s="637"/>
      <c r="B109" s="80"/>
      <c r="C109" s="173">
        <v>98</v>
      </c>
      <c r="D109" s="165"/>
      <c r="E109" s="174">
        <v>9.9897044497332388E-4</v>
      </c>
      <c r="F109" s="502"/>
      <c r="G109" s="219">
        <f t="shared" si="13"/>
        <v>38.658032945811151</v>
      </c>
      <c r="H109" s="249">
        <f t="shared" si="15"/>
        <v>61.341967054188849</v>
      </c>
      <c r="I109" s="516">
        <f t="shared" si="0"/>
        <v>100</v>
      </c>
      <c r="J109" s="153">
        <f>(G109*0)/(1+cDR)^'Markov Model_b (2)'!cycle</f>
        <v>0</v>
      </c>
      <c r="K109" s="178">
        <f t="shared" si="14"/>
        <v>38.658032945811151</v>
      </c>
      <c r="L109" s="202">
        <f>(G109*(uPostT))/(1+oDR)^'Markov Model_b (2)'!cycle</f>
        <v>23.002973414364202</v>
      </c>
      <c r="M109" s="80"/>
      <c r="N109" s="3"/>
      <c r="O109" s="80"/>
      <c r="P109" s="173">
        <v>98</v>
      </c>
      <c r="Q109" s="165"/>
      <c r="R109" s="174">
        <v>9.9897044497332388E-4</v>
      </c>
      <c r="S109" s="502"/>
      <c r="T109" s="219">
        <f t="shared" si="6"/>
        <v>36.420437442790018</v>
      </c>
      <c r="U109" s="249">
        <f t="shared" si="12"/>
        <v>63.579562557209982</v>
      </c>
      <c r="V109" s="516">
        <f t="shared" si="2"/>
        <v>100</v>
      </c>
      <c r="W109" s="153">
        <f>(T109*0)/(1+cDR)^'Markov Model_b (2)'!cycle2</f>
        <v>0</v>
      </c>
      <c r="X109" s="178">
        <f t="shared" si="7"/>
        <v>36.420437442790018</v>
      </c>
      <c r="Y109" s="202">
        <f>(T109*(uPostT))/(1+oDR)^'Markov Model_b (2)'!cycle</f>
        <v>21.671520519690386</v>
      </c>
      <c r="Z109" s="80"/>
      <c r="AA109" s="3"/>
      <c r="AB109" s="3"/>
      <c r="AC109" s="14">
        <v>97</v>
      </c>
      <c r="AD109" s="14"/>
      <c r="AE109" s="14"/>
      <c r="AF109" s="3"/>
      <c r="AG109" s="3"/>
      <c r="AH109" s="3"/>
      <c r="AI109" s="14"/>
      <c r="AJ109" s="14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</row>
    <row r="110" spans="1:60" ht="14.25" customHeight="1" x14ac:dyDescent="0.2">
      <c r="A110" s="637"/>
      <c r="B110" s="80"/>
      <c r="C110" s="173">
        <v>99</v>
      </c>
      <c r="D110" s="165"/>
      <c r="E110" s="174">
        <v>9.9897044497332388E-4</v>
      </c>
      <c r="F110" s="502"/>
      <c r="G110" s="219">
        <f t="shared" si="13"/>
        <v>38.619414713437479</v>
      </c>
      <c r="H110" s="249">
        <f t="shared" si="15"/>
        <v>61.380585286562521</v>
      </c>
      <c r="I110" s="516">
        <f t="shared" si="0"/>
        <v>100</v>
      </c>
      <c r="J110" s="153">
        <f>(G110*0)/(1+cDR)^'Markov Model_b (2)'!cycle</f>
        <v>0</v>
      </c>
      <c r="K110" s="178">
        <f t="shared" si="14"/>
        <v>38.619414713437479</v>
      </c>
      <c r="L110" s="202">
        <f>(G110*(uPostT))/(1+oDR)^'Markov Model_b (2)'!cycle</f>
        <v>22.922687405263588</v>
      </c>
      <c r="M110" s="80"/>
      <c r="N110" s="3"/>
      <c r="O110" s="80"/>
      <c r="P110" s="173">
        <v>99</v>
      </c>
      <c r="Q110" s="165"/>
      <c r="R110" s="174">
        <v>9.9897044497332388E-4</v>
      </c>
      <c r="S110" s="502"/>
      <c r="T110" s="219">
        <f t="shared" si="6"/>
        <v>36.384054502191674</v>
      </c>
      <c r="U110" s="249">
        <f t="shared" si="12"/>
        <v>63.615945497808326</v>
      </c>
      <c r="V110" s="516">
        <f t="shared" si="2"/>
        <v>100</v>
      </c>
      <c r="W110" s="153">
        <f>(T110*0)/(1+cDR)^'Markov Model_b (2)'!cycle2</f>
        <v>0</v>
      </c>
      <c r="X110" s="178">
        <f t="shared" si="7"/>
        <v>36.384054502191674</v>
      </c>
      <c r="Y110" s="202">
        <f>(T110*(uPostT))/(1+oDR)^'Markov Model_b (2)'!cycle</f>
        <v>21.595881607175645</v>
      </c>
      <c r="Z110" s="80"/>
      <c r="AA110" s="3"/>
      <c r="AB110" s="3"/>
      <c r="AC110" s="14">
        <v>98</v>
      </c>
      <c r="AD110" s="14"/>
      <c r="AE110" s="14"/>
      <c r="AF110" s="3"/>
      <c r="AG110" s="3"/>
      <c r="AH110" s="3"/>
      <c r="AI110" s="14"/>
      <c r="AJ110" s="14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</row>
    <row r="111" spans="1:60" ht="14.25" customHeight="1" x14ac:dyDescent="0.2">
      <c r="A111" s="637"/>
      <c r="B111" s="80"/>
      <c r="C111" s="173">
        <v>100</v>
      </c>
      <c r="D111" s="165"/>
      <c r="E111" s="174">
        <v>9.9897044497332388E-4</v>
      </c>
      <c r="F111" s="502"/>
      <c r="G111" s="219">
        <f t="shared" si="13"/>
        <v>38.580835059536589</v>
      </c>
      <c r="H111" s="249">
        <f t="shared" si="15"/>
        <v>61.419164940463411</v>
      </c>
      <c r="I111" s="516">
        <f t="shared" si="0"/>
        <v>100</v>
      </c>
      <c r="J111" s="153">
        <f>(G111*0)/(1+cDR)^'Markov Model_b (2)'!cycle</f>
        <v>0</v>
      </c>
      <c r="K111" s="178">
        <f t="shared" si="14"/>
        <v>38.580835059536589</v>
      </c>
      <c r="L111" s="202">
        <f>(G111*(uPostT))/(1+oDR)^'Markov Model_b (2)'!cycle</f>
        <v>22.842681613991385</v>
      </c>
      <c r="M111" s="80"/>
      <c r="N111" s="3"/>
      <c r="O111" s="80"/>
      <c r="P111" s="173">
        <v>100</v>
      </c>
      <c r="Q111" s="165"/>
      <c r="R111" s="174">
        <v>9.9897044497332388E-4</v>
      </c>
      <c r="S111" s="502"/>
      <c r="T111" s="219">
        <f t="shared" si="6"/>
        <v>36.347707907075687</v>
      </c>
      <c r="U111" s="249">
        <f t="shared" si="12"/>
        <v>63.652292092924313</v>
      </c>
      <c r="V111" s="516">
        <f t="shared" si="2"/>
        <v>100</v>
      </c>
      <c r="W111" s="153">
        <f>(T111*0)/(1+cDR)^'Markov Model_b (2)'!cycle2</f>
        <v>0</v>
      </c>
      <c r="X111" s="178">
        <f t="shared" si="7"/>
        <v>36.347707907075687</v>
      </c>
      <c r="Y111" s="202">
        <f>(T111*(uPostT))/(1+oDR)^'Markov Model_b (2)'!cycle</f>
        <v>21.520506692984473</v>
      </c>
      <c r="Z111" s="80"/>
      <c r="AA111" s="3"/>
      <c r="AB111" s="3"/>
      <c r="AC111" s="14">
        <v>99</v>
      </c>
      <c r="AD111" s="14"/>
      <c r="AE111" s="14"/>
      <c r="AF111" s="3"/>
      <c r="AG111" s="3"/>
      <c r="AH111" s="3"/>
      <c r="AI111" s="14"/>
      <c r="AJ111" s="14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</row>
    <row r="112" spans="1:60" ht="14.25" customHeight="1" x14ac:dyDescent="0.2">
      <c r="A112" s="637"/>
      <c r="B112" s="80"/>
      <c r="C112" s="173">
        <v>101</v>
      </c>
      <c r="D112" s="165"/>
      <c r="E112" s="174">
        <v>9.9897044497332388E-4</v>
      </c>
      <c r="F112" s="502"/>
      <c r="G112" s="219">
        <f t="shared" si="13"/>
        <v>38.542293945569725</v>
      </c>
      <c r="H112" s="249">
        <f t="shared" si="15"/>
        <v>61.457706054430275</v>
      </c>
      <c r="I112" s="516">
        <f t="shared" si="0"/>
        <v>100</v>
      </c>
      <c r="J112" s="153">
        <f>(G112*0)/(1+cDR)^'Markov Model_b (2)'!cycle</f>
        <v>0</v>
      </c>
      <c r="K112" s="178">
        <f t="shared" si="14"/>
        <v>38.542293945569725</v>
      </c>
      <c r="L112" s="202">
        <f>(G112*(uPostT))/(1+oDR)^'Markov Model_b (2)'!cycle</f>
        <v>22.762955062518778</v>
      </c>
      <c r="M112" s="80"/>
      <c r="N112" s="3"/>
      <c r="O112" s="80"/>
      <c r="P112" s="173">
        <v>101</v>
      </c>
      <c r="Q112" s="165"/>
      <c r="R112" s="174">
        <v>9.9897044497332388E-4</v>
      </c>
      <c r="S112" s="502"/>
      <c r="T112" s="219">
        <f t="shared" si="6"/>
        <v>36.311397621133999</v>
      </c>
      <c r="U112" s="249">
        <f t="shared" si="12"/>
        <v>63.688602378866001</v>
      </c>
      <c r="V112" s="516">
        <f t="shared" si="2"/>
        <v>100</v>
      </c>
      <c r="W112" s="153">
        <f>(T112*0)/(1+cDR)^'Markov Model_b (2)'!cycle2</f>
        <v>0</v>
      </c>
      <c r="X112" s="178">
        <f t="shared" si="7"/>
        <v>36.311397621133999</v>
      </c>
      <c r="Y112" s="202">
        <f>(T112*(uPostT))/(1+oDR)^'Markov Model_b (2)'!cycle</f>
        <v>21.445394855698083</v>
      </c>
      <c r="Z112" s="80"/>
      <c r="AA112" s="3"/>
      <c r="AB112" s="3"/>
      <c r="AC112" s="14">
        <v>100</v>
      </c>
      <c r="AD112" s="14"/>
      <c r="AE112" s="14"/>
      <c r="AF112" s="3"/>
      <c r="AG112" s="3"/>
      <c r="AH112" s="3"/>
      <c r="AI112" s="14"/>
      <c r="AJ112" s="14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</row>
    <row r="113" spans="1:60" ht="14.25" customHeight="1" x14ac:dyDescent="0.2">
      <c r="A113" s="637"/>
      <c r="B113" s="80"/>
      <c r="C113" s="173">
        <v>102</v>
      </c>
      <c r="D113" s="165"/>
      <c r="E113" s="174">
        <v>9.9897044497332388E-4</v>
      </c>
      <c r="F113" s="502"/>
      <c r="G113" s="219">
        <f t="shared" si="13"/>
        <v>38.503791333036624</v>
      </c>
      <c r="H113" s="249">
        <f t="shared" si="15"/>
        <v>61.496208666963376</v>
      </c>
      <c r="I113" s="516">
        <f t="shared" si="0"/>
        <v>100</v>
      </c>
      <c r="J113" s="153">
        <f>(G113*0)/(1+cDR)^'Markov Model_b (2)'!cycle</f>
        <v>0</v>
      </c>
      <c r="K113" s="178">
        <f t="shared" si="14"/>
        <v>38.503791333036624</v>
      </c>
      <c r="L113" s="202">
        <f>(G113*(uPostT))/(1+oDR)^'Markov Model_b (2)'!cycle</f>
        <v>22.683506776230494</v>
      </c>
      <c r="M113" s="80"/>
      <c r="N113" s="3"/>
      <c r="O113" s="80"/>
      <c r="P113" s="173">
        <v>102</v>
      </c>
      <c r="Q113" s="165"/>
      <c r="R113" s="174">
        <v>9.9897044497332388E-4</v>
      </c>
      <c r="S113" s="502"/>
      <c r="T113" s="219">
        <f t="shared" si="6"/>
        <v>36.275123608094809</v>
      </c>
      <c r="U113" s="249">
        <f t="shared" si="12"/>
        <v>63.724876391905191</v>
      </c>
      <c r="V113" s="516">
        <f t="shared" si="2"/>
        <v>100</v>
      </c>
      <c r="W113" s="153">
        <f>(T113*0)/(1+cDR)^'Markov Model_b (2)'!cycle2</f>
        <v>0</v>
      </c>
      <c r="X113" s="178">
        <f t="shared" si="7"/>
        <v>36.275123608094809</v>
      </c>
      <c r="Y113" s="202">
        <f>(T113*(uPostT))/(1+oDR)^'Markov Model_b (2)'!cycle</f>
        <v>21.370545177113684</v>
      </c>
      <c r="Z113" s="80"/>
      <c r="AA113" s="3"/>
      <c r="AB113" s="3"/>
      <c r="AC113" s="14">
        <v>101</v>
      </c>
      <c r="AD113" s="14"/>
      <c r="AE113" s="14"/>
      <c r="AF113" s="3"/>
      <c r="AG113" s="3"/>
      <c r="AH113" s="3"/>
      <c r="AI113" s="14"/>
      <c r="AJ113" s="14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</row>
    <row r="114" spans="1:60" ht="14.25" customHeight="1" x14ac:dyDescent="0.2">
      <c r="A114" s="637"/>
      <c r="B114" s="80"/>
      <c r="C114" s="173">
        <v>103</v>
      </c>
      <c r="D114" s="165"/>
      <c r="E114" s="174">
        <v>9.9897044497332388E-4</v>
      </c>
      <c r="F114" s="502"/>
      <c r="G114" s="219">
        <f t="shared" si="13"/>
        <v>38.465327183475502</v>
      </c>
      <c r="H114" s="249">
        <f t="shared" si="15"/>
        <v>61.534672816524498</v>
      </c>
      <c r="I114" s="516">
        <f t="shared" si="0"/>
        <v>100</v>
      </c>
      <c r="J114" s="153">
        <f>(G114*0)/(1+cDR)^'Markov Model_b (2)'!cycle</f>
        <v>0</v>
      </c>
      <c r="K114" s="178">
        <f t="shared" si="14"/>
        <v>38.465327183475502</v>
      </c>
      <c r="L114" s="202">
        <f>(G114*(uPostT))/(1+oDR)^'Markov Model_b (2)'!cycle</f>
        <v>22.604335783912905</v>
      </c>
      <c r="M114" s="80"/>
      <c r="N114" s="3"/>
      <c r="O114" s="80"/>
      <c r="P114" s="173">
        <v>103</v>
      </c>
      <c r="Q114" s="165"/>
      <c r="R114" s="174">
        <v>9.9897044497332388E-4</v>
      </c>
      <c r="S114" s="502"/>
      <c r="T114" s="219">
        <f t="shared" si="6"/>
        <v>36.23888583172257</v>
      </c>
      <c r="U114" s="249">
        <f t="shared" si="12"/>
        <v>63.76111416827743</v>
      </c>
      <c r="V114" s="516">
        <f t="shared" si="2"/>
        <v>100</v>
      </c>
      <c r="W114" s="153">
        <f>(T114*0)/(1+cDR)^'Markov Model_b (2)'!cycle2</f>
        <v>0</v>
      </c>
      <c r="X114" s="178">
        <f t="shared" si="7"/>
        <v>36.23888583172257</v>
      </c>
      <c r="Y114" s="202">
        <f>(T114*(uPostT))/(1+oDR)^'Markov Model_b (2)'!cycle</f>
        <v>21.295956742233191</v>
      </c>
      <c r="Z114" s="80"/>
      <c r="AA114" s="3"/>
      <c r="AB114" s="3"/>
      <c r="AC114" s="14">
        <v>102</v>
      </c>
      <c r="AD114" s="14"/>
      <c r="AE114" s="14"/>
      <c r="AF114" s="3"/>
      <c r="AG114" s="3"/>
      <c r="AH114" s="3"/>
      <c r="AI114" s="14"/>
      <c r="AJ114" s="14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</row>
    <row r="115" spans="1:60" ht="14.25" customHeight="1" x14ac:dyDescent="0.2">
      <c r="A115" s="637"/>
      <c r="B115" s="80"/>
      <c r="C115" s="173">
        <v>104</v>
      </c>
      <c r="D115" s="165"/>
      <c r="E115" s="174">
        <v>9.9897044497332388E-4</v>
      </c>
      <c r="F115" s="502"/>
      <c r="G115" s="219">
        <f t="shared" si="13"/>
        <v>38.426901458462979</v>
      </c>
      <c r="H115" s="249">
        <f t="shared" si="15"/>
        <v>61.573098541537021</v>
      </c>
      <c r="I115" s="516">
        <f t="shared" si="0"/>
        <v>100</v>
      </c>
      <c r="J115" s="153">
        <f>(G115*0)/(1+cDR)^'Markov Model_b (2)'!cycle</f>
        <v>0</v>
      </c>
      <c r="K115" s="178">
        <f t="shared" si="14"/>
        <v>38.426901458462979</v>
      </c>
      <c r="L115" s="202">
        <f>(G115*(uPostT))/(1+oDR)^'Markov Model_b (2)'!cycle</f>
        <v>22.525441117742165</v>
      </c>
      <c r="M115" s="80"/>
      <c r="N115" s="3"/>
      <c r="O115" s="80"/>
      <c r="P115" s="173">
        <v>104</v>
      </c>
      <c r="Q115" s="165"/>
      <c r="R115" s="174">
        <v>9.9897044497332388E-4</v>
      </c>
      <c r="S115" s="502"/>
      <c r="T115" s="219">
        <f t="shared" si="6"/>
        <v>36.202684255817914</v>
      </c>
      <c r="U115" s="249">
        <f t="shared" si="12"/>
        <v>63.797315744182086</v>
      </c>
      <c r="V115" s="516">
        <f t="shared" si="2"/>
        <v>100</v>
      </c>
      <c r="W115" s="153">
        <f>(T115*0)/(1+cDR)^'Markov Model_b (2)'!cycle2</f>
        <v>0</v>
      </c>
      <c r="X115" s="178">
        <f t="shared" si="7"/>
        <v>36.202684255817914</v>
      </c>
      <c r="Y115" s="202">
        <f>(T115*(uPostT))/(1+oDR)^'Markov Model_b (2)'!cycle</f>
        <v>21.221628639252142</v>
      </c>
      <c r="Z115" s="80"/>
      <c r="AA115" s="3"/>
      <c r="AB115" s="3"/>
      <c r="AC115" s="14">
        <v>103</v>
      </c>
      <c r="AD115" s="14"/>
      <c r="AE115" s="14"/>
      <c r="AF115" s="3"/>
      <c r="AG115" s="3"/>
      <c r="AH115" s="3"/>
      <c r="AI115" s="14"/>
      <c r="AJ115" s="14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</row>
    <row r="116" spans="1:60" ht="14.25" customHeight="1" x14ac:dyDescent="0.2">
      <c r="A116" s="637"/>
      <c r="B116" s="80"/>
      <c r="C116" s="173">
        <v>105</v>
      </c>
      <c r="D116" s="165"/>
      <c r="E116" s="174">
        <v>9.9897044497332388E-4</v>
      </c>
      <c r="F116" s="502"/>
      <c r="G116" s="219">
        <f t="shared" si="13"/>
        <v>38.388514119614072</v>
      </c>
      <c r="H116" s="249">
        <f t="shared" si="15"/>
        <v>61.611485880385928</v>
      </c>
      <c r="I116" s="516">
        <f t="shared" si="0"/>
        <v>100</v>
      </c>
      <c r="J116" s="153">
        <f>(G116*0)/(1+cDR)^'Markov Model_b (2)'!cycle</f>
        <v>0</v>
      </c>
      <c r="K116" s="178">
        <f t="shared" si="14"/>
        <v>38.388514119614072</v>
      </c>
      <c r="L116" s="202">
        <f>(G116*(uPostT))/(1+oDR)^'Markov Model_b (2)'!cycle</f>
        <v>22.446821813272379</v>
      </c>
      <c r="M116" s="80"/>
      <c r="N116" s="3"/>
      <c r="O116" s="80"/>
      <c r="P116" s="173">
        <v>105</v>
      </c>
      <c r="Q116" s="165"/>
      <c r="R116" s="174">
        <v>9.9897044497332388E-4</v>
      </c>
      <c r="S116" s="502"/>
      <c r="T116" s="219">
        <f t="shared" si="6"/>
        <v>36.166518844217649</v>
      </c>
      <c r="U116" s="249">
        <f t="shared" si="12"/>
        <v>63.833481155782351</v>
      </c>
      <c r="V116" s="516">
        <f t="shared" si="2"/>
        <v>100</v>
      </c>
      <c r="W116" s="153">
        <f>(T116*0)/(1+cDR)^'Markov Model_b (2)'!cycle2</f>
        <v>0</v>
      </c>
      <c r="X116" s="178">
        <f t="shared" si="7"/>
        <v>36.166518844217649</v>
      </c>
      <c r="Y116" s="202">
        <f>(T116*(uPostT))/(1+oDR)^'Markov Model_b (2)'!cycle</f>
        <v>21.14755995954846</v>
      </c>
      <c r="Z116" s="80"/>
      <c r="AA116" s="3"/>
      <c r="AB116" s="3"/>
      <c r="AC116" s="14">
        <v>104</v>
      </c>
      <c r="AD116" s="14"/>
      <c r="AE116" s="14"/>
      <c r="AF116" s="3"/>
      <c r="AG116" s="3"/>
      <c r="AH116" s="3"/>
      <c r="AI116" s="14"/>
      <c r="AJ116" s="14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</row>
    <row r="117" spans="1:60" ht="14.25" customHeight="1" x14ac:dyDescent="0.2">
      <c r="A117" s="637"/>
      <c r="B117" s="80"/>
      <c r="C117" s="173">
        <v>106</v>
      </c>
      <c r="D117" s="165"/>
      <c r="E117" s="174">
        <v>9.9897044497332388E-4</v>
      </c>
      <c r="F117" s="502"/>
      <c r="G117" s="219">
        <f t="shared" si="13"/>
        <v>38.350165128582134</v>
      </c>
      <c r="H117" s="249">
        <f t="shared" si="15"/>
        <v>61.649834871417866</v>
      </c>
      <c r="I117" s="516">
        <f t="shared" si="0"/>
        <v>100</v>
      </c>
      <c r="J117" s="153">
        <f>(G117*0)/(1+cDR)^'Markov Model_b (2)'!cycle</f>
        <v>0</v>
      </c>
      <c r="K117" s="178">
        <f t="shared" si="14"/>
        <v>38.350165128582134</v>
      </c>
      <c r="L117" s="202">
        <f>(G117*(uPostT))/(1+oDR)^'Markov Model_b (2)'!cycle</f>
        <v>22.368476909423777</v>
      </c>
      <c r="M117" s="80"/>
      <c r="N117" s="3"/>
      <c r="O117" s="80"/>
      <c r="P117" s="173">
        <v>106</v>
      </c>
      <c r="Q117" s="165"/>
      <c r="R117" s="174">
        <v>9.9897044497332388E-4</v>
      </c>
      <c r="S117" s="502"/>
      <c r="T117" s="219">
        <f t="shared" si="6"/>
        <v>36.130389560794704</v>
      </c>
      <c r="U117" s="249">
        <f t="shared" si="12"/>
        <v>63.869610439205296</v>
      </c>
      <c r="V117" s="516">
        <f t="shared" si="2"/>
        <v>100</v>
      </c>
      <c r="W117" s="153">
        <f>(T117*0)/(1+cDR)^'Markov Model_b (2)'!cycle2</f>
        <v>0</v>
      </c>
      <c r="X117" s="178">
        <f t="shared" si="7"/>
        <v>36.130389560794704</v>
      </c>
      <c r="Y117" s="202">
        <f>(T117*(uPostT))/(1+oDR)^'Markov Model_b (2)'!cycle</f>
        <v>21.073749797671393</v>
      </c>
      <c r="Z117" s="80"/>
      <c r="AA117" s="3"/>
      <c r="AB117" s="3"/>
      <c r="AC117" s="14">
        <v>105</v>
      </c>
      <c r="AD117" s="14"/>
      <c r="AE117" s="14"/>
      <c r="AF117" s="3"/>
      <c r="AG117" s="3"/>
      <c r="AH117" s="3"/>
      <c r="AI117" s="14"/>
      <c r="AJ117" s="14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</row>
    <row r="118" spans="1:60" ht="14.25" customHeight="1" x14ac:dyDescent="0.2">
      <c r="A118" s="637"/>
      <c r="B118" s="80"/>
      <c r="C118" s="173">
        <v>107</v>
      </c>
      <c r="D118" s="165"/>
      <c r="E118" s="174">
        <v>9.9897044497332388E-4</v>
      </c>
      <c r="F118" s="502"/>
      <c r="G118" s="219">
        <f t="shared" si="13"/>
        <v>38.311854447058835</v>
      </c>
      <c r="H118" s="249">
        <f t="shared" si="15"/>
        <v>61.688145552941165</v>
      </c>
      <c r="I118" s="516">
        <f t="shared" si="0"/>
        <v>100</v>
      </c>
      <c r="J118" s="153">
        <f>(G118*0)/(1+cDR)^'Markov Model_b (2)'!cycle</f>
        <v>0</v>
      </c>
      <c r="K118" s="178">
        <f t="shared" si="14"/>
        <v>38.311854447058835</v>
      </c>
      <c r="L118" s="202">
        <f>(G118*(uPostT))/(1+oDR)^'Markov Model_b (2)'!cycle</f>
        <v>22.290405448471017</v>
      </c>
      <c r="M118" s="80"/>
      <c r="N118" s="3"/>
      <c r="O118" s="80"/>
      <c r="P118" s="173">
        <v>107</v>
      </c>
      <c r="Q118" s="165"/>
      <c r="R118" s="174">
        <v>9.9897044497332388E-4</v>
      </c>
      <c r="S118" s="502"/>
      <c r="T118" s="219">
        <f t="shared" si="6"/>
        <v>36.0942963694581</v>
      </c>
      <c r="U118" s="249">
        <f t="shared" si="12"/>
        <v>63.9057036305419</v>
      </c>
      <c r="V118" s="516">
        <f t="shared" si="2"/>
        <v>100</v>
      </c>
      <c r="W118" s="153">
        <f>(T118*0)/(1+cDR)^'Markov Model_b (2)'!cycle2</f>
        <v>0</v>
      </c>
      <c r="X118" s="178">
        <f t="shared" si="7"/>
        <v>36.0942963694581</v>
      </c>
      <c r="Y118" s="202">
        <f>(T118*(uPostT))/(1+oDR)^'Markov Model_b (2)'!cycle</f>
        <v>21.00019725133043</v>
      </c>
      <c r="Z118" s="80"/>
      <c r="AA118" s="3"/>
      <c r="AB118" s="3"/>
      <c r="AC118" s="14">
        <v>106</v>
      </c>
      <c r="AD118" s="14"/>
      <c r="AE118" s="14"/>
      <c r="AF118" s="3"/>
      <c r="AG118" s="3"/>
      <c r="AH118" s="3"/>
      <c r="AI118" s="14"/>
      <c r="AJ118" s="14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</row>
    <row r="119" spans="1:60" ht="14.25" customHeight="1" x14ac:dyDescent="0.2">
      <c r="A119" s="519"/>
      <c r="B119" s="417"/>
      <c r="C119" s="173">
        <v>108</v>
      </c>
      <c r="D119" s="504"/>
      <c r="E119" s="174">
        <v>9.9897044497332388E-4</v>
      </c>
      <c r="F119" s="505"/>
      <c r="G119" s="219">
        <f t="shared" si="13"/>
        <v>38.273582036774101</v>
      </c>
      <c r="H119" s="249">
        <f t="shared" si="15"/>
        <v>61.726417963225899</v>
      </c>
      <c r="I119" s="516">
        <f t="shared" si="0"/>
        <v>100</v>
      </c>
      <c r="J119" s="180">
        <f>(G119*0)/(1+cDR)^'Markov Model_b (2)'!cycle</f>
        <v>0</v>
      </c>
      <c r="K119" s="176">
        <f t="shared" si="14"/>
        <v>38.273582036774101</v>
      </c>
      <c r="L119" s="202">
        <f>(G119*(uPostT))/(1+oDR)^'Markov Model_b (2)'!cycle</f>
        <v>22.212606476031446</v>
      </c>
      <c r="M119" s="80"/>
      <c r="N119" s="3"/>
      <c r="O119" s="417"/>
      <c r="P119" s="173">
        <v>108</v>
      </c>
      <c r="Q119" s="504"/>
      <c r="R119" s="174">
        <v>9.9897044497332388E-4</v>
      </c>
      <c r="S119" s="505"/>
      <c r="T119" s="219">
        <f t="shared" si="6"/>
        <v>36.0582392341529</v>
      </c>
      <c r="U119" s="249">
        <f>U118+(T118*R119)</f>
        <v>63.9417607658471</v>
      </c>
      <c r="V119" s="516">
        <f t="shared" si="2"/>
        <v>100</v>
      </c>
      <c r="W119" s="180">
        <f>(T119*0)/(1+cDR)^'Markov Model_b (2)'!cycle2</f>
        <v>0</v>
      </c>
      <c r="X119" s="176">
        <f t="shared" si="7"/>
        <v>36.0582392341529</v>
      </c>
      <c r="Y119" s="202">
        <f>(T119*(uPostT))/(1+oDR)^'Markov Model_b (2)'!cycle</f>
        <v>20.926901421384279</v>
      </c>
      <c r="Z119" s="80"/>
      <c r="AA119" s="3"/>
      <c r="AB119" s="3"/>
      <c r="AC119" s="14">
        <v>107</v>
      </c>
      <c r="AD119" s="14"/>
      <c r="AE119" s="14"/>
      <c r="AF119" s="3"/>
      <c r="AG119" s="3"/>
      <c r="AH119" s="3"/>
      <c r="AI119" s="14"/>
      <c r="AJ119" s="14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</row>
    <row r="120" spans="1:60" ht="14.25" customHeight="1" x14ac:dyDescent="0.25">
      <c r="A120" s="637" t="s">
        <v>551</v>
      </c>
      <c r="B120" s="417"/>
      <c r="C120" s="506">
        <v>109</v>
      </c>
      <c r="D120" s="506"/>
      <c r="E120" s="507">
        <v>9.9897044497332388E-4</v>
      </c>
      <c r="F120" s="508"/>
      <c r="G120" s="509">
        <f t="shared" si="13"/>
        <v>38.082411150384104</v>
      </c>
      <c r="H120" s="510">
        <f>H119+(G119*E120*'life-tables-test'!$C$66)</f>
        <v>61.917588849615896</v>
      </c>
      <c r="I120" s="518">
        <f t="shared" si="0"/>
        <v>100</v>
      </c>
      <c r="J120" s="511">
        <f>(G120*0)/(1+cDR)^'Markov Model_b (2)'!cycle</f>
        <v>0</v>
      </c>
      <c r="K120" s="512">
        <f t="shared" si="14"/>
        <v>38.082411150384104</v>
      </c>
      <c r="L120" s="513">
        <f>(G120*(uPostT))/(1+oDR)^'Markov Model_b (2)'!cycle</f>
        <v>22.046541435565636</v>
      </c>
      <c r="M120" s="80"/>
      <c r="N120" s="3"/>
      <c r="O120" s="80"/>
      <c r="P120" s="506">
        <v>109</v>
      </c>
      <c r="Q120" s="506"/>
      <c r="R120" s="507">
        <v>9.9897044497332388E-4</v>
      </c>
      <c r="S120" s="508"/>
      <c r="T120" s="509">
        <f t="shared" si="6"/>
        <v>35.878133657689418</v>
      </c>
      <c r="U120" s="510">
        <f>U119+(T119*R120*'life-tables-test'!$C$66)</f>
        <v>64.121866342310582</v>
      </c>
      <c r="V120" s="518">
        <f t="shared" ref="V120:V183" si="16">SUM(T120:U120)</f>
        <v>100</v>
      </c>
      <c r="W120" s="511">
        <f>(T120*0)/(1+cDR)^'Markov Model_b (2)'!cycle2</f>
        <v>0</v>
      </c>
      <c r="X120" s="512">
        <f t="shared" ref="X120:X183" si="17">T120</f>
        <v>35.878133657689418</v>
      </c>
      <c r="Y120" s="513">
        <f>(T120*(uPostT))/(1+oDR)^'Markov Model_b (2)'!cycle</f>
        <v>20.770448519960212</v>
      </c>
      <c r="Z120" s="80"/>
      <c r="AA120" s="3"/>
      <c r="AB120" s="3"/>
      <c r="AC120" s="14">
        <v>108</v>
      </c>
      <c r="AD120" s="14"/>
      <c r="AE120" s="14"/>
      <c r="AF120" s="3"/>
      <c r="AG120" s="3"/>
      <c r="AH120" s="3"/>
      <c r="AI120" s="14"/>
      <c r="AJ120" s="14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</row>
    <row r="121" spans="1:60" ht="14.25" customHeight="1" x14ac:dyDescent="0.2">
      <c r="A121" s="637"/>
      <c r="B121" s="417"/>
      <c r="C121" s="173">
        <v>110</v>
      </c>
      <c r="D121" s="165"/>
      <c r="E121" s="174">
        <v>1.0653873256510904E-3</v>
      </c>
      <c r="F121" s="502"/>
      <c r="G121" s="219">
        <f t="shared" si="13"/>
        <v>37.87954855953484</v>
      </c>
      <c r="H121" s="249">
        <f>H120+(G120*E121*'life-tables-test'!$C$66)</f>
        <v>62.12045144046516</v>
      </c>
      <c r="I121" s="516">
        <f t="shared" ref="I121:I184" si="18">SUM(G121:H121)</f>
        <v>100</v>
      </c>
      <c r="J121" s="153">
        <f>(G121*0)/(1+cDR)^'Markov Model_b (2)'!cycle</f>
        <v>0</v>
      </c>
      <c r="K121" s="178">
        <f t="shared" si="14"/>
        <v>37.87954855953484</v>
      </c>
      <c r="L121" s="202">
        <f>(G121*(uPostT))/(1+oDR)^'Markov Model_b (2)'!cycle</f>
        <v>21.874414869292945</v>
      </c>
      <c r="M121" s="80"/>
      <c r="N121" s="3"/>
      <c r="O121" s="80"/>
      <c r="P121" s="173">
        <v>110</v>
      </c>
      <c r="Q121" s="165"/>
      <c r="R121" s="174">
        <v>1.0653873256510904E-3</v>
      </c>
      <c r="S121" s="502"/>
      <c r="T121" s="219">
        <f t="shared" ref="T121:T184" si="19">$T$10-U121</f>
        <v>35.687013113354823</v>
      </c>
      <c r="U121" s="249">
        <f>U120+(T120*R121*'life-tables-test'!$C$66)</f>
        <v>64.312986886645177</v>
      </c>
      <c r="V121" s="516">
        <f t="shared" si="16"/>
        <v>100</v>
      </c>
      <c r="W121" s="153">
        <f>(T121*0)/(1+cDR)^'Markov Model_b (2)'!cycle2</f>
        <v>0</v>
      </c>
      <c r="X121" s="178">
        <f t="shared" si="17"/>
        <v>35.687013113354823</v>
      </c>
      <c r="Y121" s="202">
        <f>(T121*(uPostT))/(1+oDR)^'Markov Model_b (2)'!cycle</f>
        <v>20.608284944592466</v>
      </c>
      <c r="Z121" s="80"/>
      <c r="AA121" s="3"/>
      <c r="AB121" s="3"/>
      <c r="AC121" s="14">
        <v>109</v>
      </c>
      <c r="AD121" s="14"/>
      <c r="AE121" s="14"/>
      <c r="AF121" s="3"/>
      <c r="AG121" s="3"/>
      <c r="AH121" s="3"/>
      <c r="AI121" s="14"/>
      <c r="AJ121" s="14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</row>
    <row r="122" spans="1:60" ht="14.25" customHeight="1" x14ac:dyDescent="0.2">
      <c r="A122" s="637"/>
      <c r="B122" s="417"/>
      <c r="C122" s="173">
        <v>112</v>
      </c>
      <c r="D122" s="165"/>
      <c r="E122" s="174">
        <v>1.0653873256510904E-3</v>
      </c>
      <c r="F122" s="502"/>
      <c r="G122" s="219">
        <f t="shared" si="13"/>
        <v>37.677766604851271</v>
      </c>
      <c r="H122" s="249">
        <f>H121+(G121*E122*'life-tables-test'!$C$66)</f>
        <v>62.322233395148729</v>
      </c>
      <c r="I122" s="516">
        <f t="shared" si="18"/>
        <v>100</v>
      </c>
      <c r="J122" s="153">
        <f>(G122*0)/(1+cDR)^'Markov Model_b (2)'!cycle</f>
        <v>0</v>
      </c>
      <c r="K122" s="178">
        <f t="shared" si="14"/>
        <v>37.677766604851271</v>
      </c>
      <c r="L122" s="202">
        <f>(G122*(uPostT))/(1+oDR)^'Markov Model_b (2)'!cycle</f>
        <v>21.649508396096092</v>
      </c>
      <c r="M122" s="80"/>
      <c r="N122" s="3"/>
      <c r="O122" s="80"/>
      <c r="P122" s="173">
        <v>112</v>
      </c>
      <c r="Q122" s="165"/>
      <c r="R122" s="174">
        <v>1.0653873256510904E-3</v>
      </c>
      <c r="S122" s="502"/>
      <c r="T122" s="219">
        <f t="shared" si="19"/>
        <v>35.496910656048257</v>
      </c>
      <c r="U122" s="249">
        <f>U121+(T121*R122*'life-tables-test'!$C$66)</f>
        <v>64.503089343951743</v>
      </c>
      <c r="V122" s="516">
        <f t="shared" si="16"/>
        <v>100</v>
      </c>
      <c r="W122" s="153">
        <f>(T122*0)/(1+cDR)^'Markov Model_b (2)'!cycle2</f>
        <v>0</v>
      </c>
      <c r="X122" s="178">
        <f t="shared" si="17"/>
        <v>35.496910656048257</v>
      </c>
      <c r="Y122" s="202">
        <f>(T122*(uPostT))/(1+oDR)^'Markov Model_b (2)'!cycle</f>
        <v>20.396396456913159</v>
      </c>
      <c r="Z122" s="80"/>
      <c r="AA122" s="252"/>
      <c r="AB122" s="252"/>
      <c r="AC122" s="14">
        <v>110</v>
      </c>
      <c r="AD122" s="254"/>
      <c r="AE122" s="254"/>
      <c r="AF122" s="252"/>
      <c r="AG122" s="252"/>
      <c r="AH122" s="252"/>
      <c r="AI122" s="254"/>
      <c r="AJ122" s="254"/>
      <c r="AK122" s="252"/>
      <c r="AL122" s="252"/>
      <c r="AM122" s="252"/>
      <c r="AN122" s="252"/>
      <c r="AO122" s="252"/>
      <c r="AP122" s="252"/>
      <c r="AQ122" s="252"/>
      <c r="AR122" s="252"/>
      <c r="AS122" s="252"/>
      <c r="AT122" s="3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</row>
    <row r="123" spans="1:60" ht="14.25" customHeight="1" x14ac:dyDescent="0.2">
      <c r="A123" s="637"/>
      <c r="B123" s="417"/>
      <c r="C123" s="173">
        <v>113</v>
      </c>
      <c r="D123" s="165"/>
      <c r="E123" s="174">
        <v>1.0653873256510904E-3</v>
      </c>
      <c r="F123" s="502"/>
      <c r="G123" s="219">
        <f t="shared" si="13"/>
        <v>37.47705952985303</v>
      </c>
      <c r="H123" s="249">
        <f>H122+(G122*E123*'life-tables-test'!$C$66)</f>
        <v>62.52294047014697</v>
      </c>
      <c r="I123" s="516">
        <f t="shared" si="18"/>
        <v>100</v>
      </c>
      <c r="J123" s="153">
        <f>(G123*0)/(1+cDR)^'Markov Model_b (2)'!cycle</f>
        <v>0</v>
      </c>
      <c r="K123" s="178">
        <f t="shared" si="14"/>
        <v>37.47705952985303</v>
      </c>
      <c r="L123" s="202">
        <f>(G123*(uPostT))/(1+oDR)^'Markov Model_b (2)'!cycle</f>
        <v>21.480481632755318</v>
      </c>
      <c r="M123" s="80"/>
      <c r="N123" s="3"/>
      <c r="O123" s="80"/>
      <c r="P123" s="173">
        <v>113</v>
      </c>
      <c r="Q123" s="165"/>
      <c r="R123" s="174">
        <v>1.0653873256510904E-3</v>
      </c>
      <c r="S123" s="502"/>
      <c r="T123" s="219">
        <f t="shared" si="19"/>
        <v>35.307820862484647</v>
      </c>
      <c r="U123" s="249">
        <f>U122+(T122*R123*'life-tables-test'!$C$66)</f>
        <v>64.692179137515353</v>
      </c>
      <c r="V123" s="516">
        <f t="shared" si="16"/>
        <v>100</v>
      </c>
      <c r="W123" s="153">
        <f>(T123*0)/(1+cDR)^'Markov Model_b (2)'!cycle2</f>
        <v>0</v>
      </c>
      <c r="X123" s="178">
        <f t="shared" si="17"/>
        <v>35.307820862484647</v>
      </c>
      <c r="Y123" s="202">
        <f>(T123*(uPostT))/(1+oDR)^'Markov Model_b (2)'!cycle</f>
        <v>20.237153262386453</v>
      </c>
      <c r="Z123" s="80"/>
      <c r="AA123" s="3"/>
      <c r="AB123" s="3"/>
      <c r="AC123" s="14">
        <v>111</v>
      </c>
      <c r="AD123" s="14"/>
      <c r="AE123" s="14"/>
      <c r="AF123" s="3"/>
      <c r="AG123" s="3"/>
      <c r="AH123" s="3"/>
      <c r="AI123" s="14"/>
      <c r="AJ123" s="14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</row>
    <row r="124" spans="1:60" ht="14.25" customHeight="1" x14ac:dyDescent="0.2">
      <c r="A124" s="637"/>
      <c r="B124" s="417"/>
      <c r="C124" s="173">
        <v>114</v>
      </c>
      <c r="D124" s="165"/>
      <c r="E124" s="174">
        <v>1.0653873256510904E-3</v>
      </c>
      <c r="F124" s="502"/>
      <c r="G124" s="219">
        <f t="shared" si="13"/>
        <v>37.277421608724147</v>
      </c>
      <c r="H124" s="249">
        <f>H123+(G123*E124*'life-tables-test'!$C$66)</f>
        <v>62.722578391275853</v>
      </c>
      <c r="I124" s="516">
        <f t="shared" si="18"/>
        <v>100</v>
      </c>
      <c r="J124" s="153">
        <f>(G124*0)/(1+cDR)^'Markov Model_b (2)'!cycle</f>
        <v>0</v>
      </c>
      <c r="K124" s="178">
        <f t="shared" si="14"/>
        <v>37.277421608724147</v>
      </c>
      <c r="L124" s="202">
        <f>(G124*(uPostT))/(1+oDR)^'Markov Model_b (2)'!cycle</f>
        <v>21.312774532023166</v>
      </c>
      <c r="M124" s="80"/>
      <c r="N124" s="3"/>
      <c r="O124" s="80"/>
      <c r="P124" s="173">
        <v>114</v>
      </c>
      <c r="Q124" s="165"/>
      <c r="R124" s="174">
        <v>1.0653873256510904E-3</v>
      </c>
      <c r="S124" s="502"/>
      <c r="T124" s="219">
        <f t="shared" si="19"/>
        <v>35.119738338268391</v>
      </c>
      <c r="U124" s="249">
        <f>U123+(T123*R124*'life-tables-test'!$C$66)</f>
        <v>64.880261661731609</v>
      </c>
      <c r="V124" s="516">
        <f t="shared" si="16"/>
        <v>100</v>
      </c>
      <c r="W124" s="153">
        <f>(T124*0)/(1+cDR)^'Markov Model_b (2)'!cycle2</f>
        <v>0</v>
      </c>
      <c r="X124" s="178">
        <f t="shared" si="17"/>
        <v>35.119738338268391</v>
      </c>
      <c r="Y124" s="202">
        <f>(T124*(uPostT))/(1+oDR)^'Markov Model_b (2)'!cycle</f>
        <v>20.07915334605628</v>
      </c>
      <c r="Z124" s="80"/>
      <c r="AA124" s="252"/>
      <c r="AB124" s="252"/>
      <c r="AC124" s="14">
        <v>112</v>
      </c>
      <c r="AD124" s="254"/>
      <c r="AE124" s="254"/>
      <c r="AF124" s="252"/>
      <c r="AG124" s="252"/>
      <c r="AH124" s="252"/>
      <c r="AI124" s="254"/>
      <c r="AJ124" s="254"/>
      <c r="AK124" s="252"/>
      <c r="AL124" s="252"/>
      <c r="AM124" s="252"/>
      <c r="AN124" s="252"/>
      <c r="AO124" s="252"/>
      <c r="AP124" s="252"/>
      <c r="AQ124" s="252"/>
      <c r="AR124" s="252"/>
      <c r="AS124" s="252"/>
      <c r="AT124" s="3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</row>
    <row r="125" spans="1:60" ht="16.5" customHeight="1" x14ac:dyDescent="0.2">
      <c r="A125" s="637"/>
      <c r="B125" s="417"/>
      <c r="C125" s="173">
        <v>115</v>
      </c>
      <c r="D125" s="165"/>
      <c r="E125" s="174">
        <v>1.0653873256510904E-3</v>
      </c>
      <c r="F125" s="502"/>
      <c r="G125" s="219">
        <f t="shared" si="13"/>
        <v>37.078847146149712</v>
      </c>
      <c r="H125" s="249">
        <f>H124+(G124*E125*'life-tables-test'!$C$66)</f>
        <v>62.921152853850288</v>
      </c>
      <c r="I125" s="516">
        <f t="shared" si="18"/>
        <v>100</v>
      </c>
      <c r="J125" s="153">
        <f>(G125*0)/(1+cDR)^'Markov Model_b (2)'!cycle</f>
        <v>0</v>
      </c>
      <c r="K125" s="178">
        <f t="shared" si="14"/>
        <v>37.078847146149712</v>
      </c>
      <c r="L125" s="202">
        <f>(G125*(uPostT))/(1+oDR)^'Markov Model_b (2)'!cycle</f>
        <v>21.146376790741932</v>
      </c>
      <c r="M125" s="80"/>
      <c r="N125" s="3"/>
      <c r="O125" s="80"/>
      <c r="P125" s="173">
        <v>115</v>
      </c>
      <c r="Q125" s="165"/>
      <c r="R125" s="174">
        <v>1.0653873256510904E-3</v>
      </c>
      <c r="S125" s="502"/>
      <c r="T125" s="219">
        <f t="shared" si="19"/>
        <v>34.932657717739517</v>
      </c>
      <c r="U125" s="249">
        <f>U124+(T124*R125*'life-tables-test'!$C$66)</f>
        <v>65.067342282260483</v>
      </c>
      <c r="V125" s="516">
        <f t="shared" si="16"/>
        <v>100</v>
      </c>
      <c r="W125" s="153">
        <f>(T125*0)/(1+cDR)^'Markov Model_b (2)'!cycle2</f>
        <v>0</v>
      </c>
      <c r="X125" s="178">
        <f t="shared" si="17"/>
        <v>34.932657717739517</v>
      </c>
      <c r="Y125" s="202">
        <f>(T125*(uPostT))/(1+oDR)^'Markov Model_b (2)'!cycle</f>
        <v>19.922387001129994</v>
      </c>
      <c r="Z125" s="80"/>
      <c r="AA125" s="3"/>
      <c r="AB125" s="3"/>
      <c r="AC125" s="14">
        <v>113</v>
      </c>
      <c r="AD125" s="14"/>
      <c r="AE125" s="14"/>
      <c r="AF125" s="3"/>
      <c r="AG125" s="3"/>
      <c r="AH125" s="3"/>
      <c r="AI125" s="14"/>
      <c r="AJ125" s="14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</row>
    <row r="126" spans="1:60" ht="14.25" customHeight="1" x14ac:dyDescent="0.2">
      <c r="A126" s="637"/>
      <c r="B126" s="417"/>
      <c r="C126" s="173">
        <v>116</v>
      </c>
      <c r="D126" s="165"/>
      <c r="E126" s="174">
        <v>1.0653873256510904E-3</v>
      </c>
      <c r="F126" s="502"/>
      <c r="G126" s="219">
        <f t="shared" si="13"/>
        <v>36.881330477153405</v>
      </c>
      <c r="H126" s="249">
        <f>H125+(G125*E126*'life-tables-test'!$C$66)</f>
        <v>63.118669522846595</v>
      </c>
      <c r="I126" s="516">
        <f t="shared" si="18"/>
        <v>100</v>
      </c>
      <c r="J126" s="153">
        <f>(G126*0)/(1+cDR)^'Markov Model_b (2)'!cycle</f>
        <v>0</v>
      </c>
      <c r="K126" s="178">
        <f t="shared" si="14"/>
        <v>36.881330477153405</v>
      </c>
      <c r="L126" s="202">
        <f>(G126*(uPostT))/(1+oDR)^'Markov Model_b (2)'!cycle</f>
        <v>20.981278186194952</v>
      </c>
      <c r="M126" s="80"/>
      <c r="N126" s="3"/>
      <c r="O126" s="80"/>
      <c r="P126" s="173">
        <v>116</v>
      </c>
      <c r="Q126" s="165"/>
      <c r="R126" s="174">
        <v>1.0653873256510904E-3</v>
      </c>
      <c r="S126" s="502"/>
      <c r="T126" s="219">
        <f t="shared" si="19"/>
        <v>34.746573663820584</v>
      </c>
      <c r="U126" s="249">
        <f>U125+(T125*R126*'life-tables-test'!$C$66)</f>
        <v>65.253426336179416</v>
      </c>
      <c r="V126" s="516">
        <f t="shared" si="16"/>
        <v>100</v>
      </c>
      <c r="W126" s="153">
        <f>(T126*0)/(1+cDR)^'Markov Model_b (2)'!cycle2</f>
        <v>0</v>
      </c>
      <c r="X126" s="178">
        <f t="shared" si="17"/>
        <v>34.746573663820584</v>
      </c>
      <c r="Y126" s="202">
        <f>(T126*(uPostT))/(1+oDR)^'Markov Model_b (2)'!cycle</f>
        <v>19.766844596599896</v>
      </c>
      <c r="Z126" s="80"/>
      <c r="AA126" s="3"/>
      <c r="AB126" s="3"/>
      <c r="AC126" s="14">
        <v>114</v>
      </c>
      <c r="AD126" s="14"/>
      <c r="AE126" s="14"/>
      <c r="AF126" s="3"/>
      <c r="AG126" s="3"/>
      <c r="AH126" s="3"/>
      <c r="AI126" s="14"/>
      <c r="AJ126" s="14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</row>
    <row r="127" spans="1:60" ht="14.25" customHeight="1" x14ac:dyDescent="0.2">
      <c r="A127" s="637"/>
      <c r="B127" s="417"/>
      <c r="C127" s="173">
        <v>117</v>
      </c>
      <c r="D127" s="165"/>
      <c r="E127" s="174">
        <v>1.0653873256510904E-3</v>
      </c>
      <c r="F127" s="502"/>
      <c r="G127" s="219">
        <f t="shared" si="13"/>
        <v>36.68486596693586</v>
      </c>
      <c r="H127" s="249">
        <f>H126+(G126*E127*'life-tables-test'!$C$66)</f>
        <v>63.31513403306414</v>
      </c>
      <c r="I127" s="516">
        <f t="shared" si="18"/>
        <v>100</v>
      </c>
      <c r="J127" s="153">
        <f>(G127*0)/(1+cDR)^'Markov Model_b (2)'!cycle</f>
        <v>0</v>
      </c>
      <c r="K127" s="178">
        <f t="shared" si="14"/>
        <v>36.68486596693586</v>
      </c>
      <c r="L127" s="202">
        <f>(G127*(uPostT))/(1+oDR)^'Markov Model_b (2)'!cycle</f>
        <v>20.817468575478593</v>
      </c>
      <c r="M127" s="80"/>
      <c r="N127" s="3"/>
      <c r="O127" s="80"/>
      <c r="P127" s="173">
        <v>117</v>
      </c>
      <c r="Q127" s="165"/>
      <c r="R127" s="174">
        <v>1.0653873256510904E-3</v>
      </c>
      <c r="S127" s="502"/>
      <c r="T127" s="219">
        <f t="shared" si="19"/>
        <v>34.561480867864404</v>
      </c>
      <c r="U127" s="249">
        <f>U126+(T126*R127*'life-tables-test'!$C$66)</f>
        <v>65.438519132135596</v>
      </c>
      <c r="V127" s="516">
        <f t="shared" si="16"/>
        <v>100</v>
      </c>
      <c r="W127" s="153">
        <f>(T127*0)/(1+cDR)^'Markov Model_b (2)'!cycle2</f>
        <v>0</v>
      </c>
      <c r="X127" s="178">
        <f t="shared" si="17"/>
        <v>34.561480867864404</v>
      </c>
      <c r="Y127" s="202">
        <f>(T127*(uPostT))/(1+oDR)^'Markov Model_b (2)'!cycle</f>
        <v>19.612516576651604</v>
      </c>
      <c r="Z127" s="80"/>
      <c r="AA127" s="3"/>
      <c r="AB127" s="3"/>
      <c r="AC127" s="14">
        <v>115</v>
      </c>
      <c r="AD127" s="14"/>
      <c r="AE127" s="14"/>
      <c r="AF127" s="3"/>
      <c r="AG127" s="3"/>
      <c r="AH127" s="3"/>
      <c r="AI127" s="14"/>
      <c r="AJ127" s="14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</row>
    <row r="128" spans="1:60" ht="14.25" customHeight="1" x14ac:dyDescent="0.2">
      <c r="A128" s="637"/>
      <c r="B128" s="417"/>
      <c r="C128" s="173">
        <v>118</v>
      </c>
      <c r="D128" s="165"/>
      <c r="E128" s="174">
        <v>1.0653873256510904E-3</v>
      </c>
      <c r="F128" s="502"/>
      <c r="G128" s="219">
        <f t="shared" si="13"/>
        <v>36.48944801071395</v>
      </c>
      <c r="H128" s="249">
        <f>H127+(G127*E128*'life-tables-test'!$C$66)</f>
        <v>63.51055198928605</v>
      </c>
      <c r="I128" s="516">
        <f t="shared" si="18"/>
        <v>100</v>
      </c>
      <c r="J128" s="153">
        <f>(G128*0)/(1+cDR)^'Markov Model_b (2)'!cycle</f>
        <v>0</v>
      </c>
      <c r="K128" s="178">
        <f t="shared" si="14"/>
        <v>36.48944801071395</v>
      </c>
      <c r="L128" s="202">
        <f>(G128*(uPostT))/(1+oDR)^'Markov Model_b (2)'!cycle</f>
        <v>20.654937894879129</v>
      </c>
      <c r="M128" s="80"/>
      <c r="N128" s="3"/>
      <c r="O128" s="80"/>
      <c r="P128" s="173">
        <v>118</v>
      </c>
      <c r="Q128" s="165"/>
      <c r="R128" s="174">
        <v>1.0653873256510904E-3</v>
      </c>
      <c r="S128" s="502"/>
      <c r="T128" s="219">
        <f t="shared" si="19"/>
        <v>34.37737404950262</v>
      </c>
      <c r="U128" s="249">
        <f>U127+(T127*R128*'life-tables-test'!$C$66)</f>
        <v>65.62262595049738</v>
      </c>
      <c r="V128" s="516">
        <f t="shared" si="16"/>
        <v>100</v>
      </c>
      <c r="W128" s="153">
        <f>(T128*0)/(1+cDR)^'Markov Model_b (2)'!cycle2</f>
        <v>0</v>
      </c>
      <c r="X128" s="178">
        <f t="shared" si="17"/>
        <v>34.37737404950262</v>
      </c>
      <c r="Y128" s="202">
        <f>(T128*(uPostT))/(1+oDR)^'Markov Model_b (2)'!cycle</f>
        <v>19.459393460076981</v>
      </c>
      <c r="Z128" s="80"/>
      <c r="AA128" s="3"/>
      <c r="AB128" s="3"/>
      <c r="AC128" s="14">
        <v>116</v>
      </c>
      <c r="AD128" s="14"/>
      <c r="AE128" s="14"/>
      <c r="AF128" s="3"/>
      <c r="AG128" s="3"/>
      <c r="AH128" s="3"/>
      <c r="AI128" s="14"/>
      <c r="AJ128" s="14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</row>
    <row r="129" spans="1:60" ht="14.25" customHeight="1" x14ac:dyDescent="0.2">
      <c r="A129" s="637"/>
      <c r="B129" s="417"/>
      <c r="C129" s="173">
        <v>119</v>
      </c>
      <c r="D129" s="165"/>
      <c r="E129" s="174">
        <v>1.0653873256510904E-3</v>
      </c>
      <c r="F129" s="502"/>
      <c r="G129" s="219">
        <f t="shared" si="13"/>
        <v>36.295071033560852</v>
      </c>
      <c r="H129" s="249">
        <f>H128+(G128*E129*'life-tables-test'!$C$66)</f>
        <v>63.704928966439148</v>
      </c>
      <c r="I129" s="516">
        <f t="shared" si="18"/>
        <v>100</v>
      </c>
      <c r="J129" s="153">
        <f>(G129*0)/(1+cDR)^'Markov Model_b (2)'!cycle</f>
        <v>0</v>
      </c>
      <c r="K129" s="178">
        <f t="shared" si="14"/>
        <v>36.295071033560852</v>
      </c>
      <c r="L129" s="202">
        <f>(G129*(uPostT))/(1+oDR)^'Markov Model_b (2)'!cycle</f>
        <v>20.49367615925442</v>
      </c>
      <c r="M129" s="80"/>
      <c r="N129" s="3"/>
      <c r="O129" s="80"/>
      <c r="P129" s="173">
        <v>119</v>
      </c>
      <c r="Q129" s="165"/>
      <c r="R129" s="174">
        <v>1.0653873256510904E-3</v>
      </c>
      <c r="S129" s="502"/>
      <c r="T129" s="219">
        <f t="shared" si="19"/>
        <v>34.19424795649509</v>
      </c>
      <c r="U129" s="249">
        <f>U128+(T128*R129*'life-tables-test'!$C$66)</f>
        <v>65.80575204350491</v>
      </c>
      <c r="V129" s="516">
        <f t="shared" si="16"/>
        <v>100</v>
      </c>
      <c r="W129" s="153">
        <f>(T129*0)/(1+cDR)^'Markov Model_b (2)'!cycle2</f>
        <v>0</v>
      </c>
      <c r="X129" s="178">
        <f t="shared" si="17"/>
        <v>34.19424795649509</v>
      </c>
      <c r="Y129" s="202">
        <f>(T129*(uPostT))/(1+oDR)^'Markov Model_b (2)'!cycle</f>
        <v>19.307465839691638</v>
      </c>
      <c r="Z129" s="80"/>
      <c r="AA129" s="3"/>
      <c r="AB129" s="3"/>
      <c r="AC129" s="14">
        <v>117</v>
      </c>
      <c r="AD129" s="14"/>
      <c r="AE129" s="14"/>
      <c r="AF129" s="3"/>
      <c r="AG129" s="3"/>
      <c r="AH129" s="3"/>
      <c r="AI129" s="14"/>
      <c r="AJ129" s="14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</row>
    <row r="130" spans="1:60" ht="14.25" customHeight="1" x14ac:dyDescent="0.2">
      <c r="A130" s="637"/>
      <c r="B130" s="417"/>
      <c r="C130" s="173">
        <v>120</v>
      </c>
      <c r="D130" s="165"/>
      <c r="E130" s="174">
        <v>1.0653873256510904E-3</v>
      </c>
      <c r="F130" s="502"/>
      <c r="G130" s="219">
        <f t="shared" si="13"/>
        <v>36.101729490247045</v>
      </c>
      <c r="H130" s="249">
        <f>H129+(G129*E130*'life-tables-test'!$C$66)</f>
        <v>63.898270509752955</v>
      </c>
      <c r="I130" s="516">
        <f t="shared" si="18"/>
        <v>100</v>
      </c>
      <c r="J130" s="153">
        <f>(G130*0)/(1+cDR)^'Markov Model_b (2)'!cycle</f>
        <v>0</v>
      </c>
      <c r="K130" s="178">
        <f t="shared" si="14"/>
        <v>36.101729490247045</v>
      </c>
      <c r="L130" s="202">
        <f>(G130*(uPostT))/(1+oDR)^'Markov Model_b (2)'!cycle</f>
        <v>20.333673461420531</v>
      </c>
      <c r="M130" s="80"/>
      <c r="N130" s="3"/>
      <c r="O130" s="80"/>
      <c r="P130" s="173">
        <v>120</v>
      </c>
      <c r="Q130" s="165"/>
      <c r="R130" s="174">
        <v>1.0653873256510904E-3</v>
      </c>
      <c r="S130" s="502"/>
      <c r="T130" s="219">
        <f t="shared" si="19"/>
        <v>34.012097364579986</v>
      </c>
      <c r="U130" s="249">
        <f>U129+(T129*R130*'life-tables-test'!$C$66)</f>
        <v>65.987902635420014</v>
      </c>
      <c r="V130" s="516">
        <f t="shared" si="16"/>
        <v>100</v>
      </c>
      <c r="W130" s="153">
        <f>(T130*0)/(1+cDR)^'Markov Model_b (2)'!cycle2</f>
        <v>0</v>
      </c>
      <c r="X130" s="178">
        <f t="shared" si="17"/>
        <v>34.012097364579986</v>
      </c>
      <c r="Y130" s="202">
        <f>(T130*(uPostT))/(1+oDR)^'Markov Model_b (2)'!cycle</f>
        <v>19.156724381757002</v>
      </c>
      <c r="Z130" s="80"/>
      <c r="AA130" s="3"/>
      <c r="AB130" s="3"/>
      <c r="AC130" s="14">
        <v>118</v>
      </c>
      <c r="AD130" s="14"/>
      <c r="AE130" s="14"/>
      <c r="AF130" s="3"/>
      <c r="AG130" s="3"/>
      <c r="AH130" s="3"/>
      <c r="AI130" s="14"/>
      <c r="AJ130" s="14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</row>
    <row r="131" spans="1:60" ht="14.25" customHeight="1" x14ac:dyDescent="0.2">
      <c r="A131" s="519"/>
      <c r="B131" s="417"/>
      <c r="C131" s="173">
        <v>121</v>
      </c>
      <c r="D131" s="504"/>
      <c r="E131" s="174">
        <v>1.0653873256510904E-3</v>
      </c>
      <c r="F131" s="505"/>
      <c r="G131" s="219">
        <f t="shared" si="13"/>
        <v>35.909417865082077</v>
      </c>
      <c r="H131" s="249">
        <f>H130+(G130*E131*'life-tables-test'!$C$66)</f>
        <v>64.090582134917923</v>
      </c>
      <c r="I131" s="516">
        <f t="shared" si="18"/>
        <v>100</v>
      </c>
      <c r="J131" s="180">
        <f>(G131*0)/(1+cDR)^'Markov Model_b (2)'!cycle</f>
        <v>0</v>
      </c>
      <c r="K131" s="176">
        <f t="shared" si="14"/>
        <v>35.909417865082077</v>
      </c>
      <c r="L131" s="202">
        <f>(G131*(uPostT))/(1+oDR)^'Markov Model_b (2)'!cycle</f>
        <v>20.174919971543044</v>
      </c>
      <c r="M131" s="80"/>
      <c r="N131" s="3"/>
      <c r="O131" s="80"/>
      <c r="P131" s="173">
        <v>121</v>
      </c>
      <c r="Q131" s="504"/>
      <c r="R131" s="174">
        <v>1.0653873256510904E-3</v>
      </c>
      <c r="S131" s="505"/>
      <c r="T131" s="219">
        <f t="shared" si="19"/>
        <v>33.830917077324813</v>
      </c>
      <c r="U131" s="249">
        <f>U130+(T130*R131*'life-tables-test'!$C$66)</f>
        <v>66.169082922675187</v>
      </c>
      <c r="V131" s="516">
        <f t="shared" si="16"/>
        <v>100</v>
      </c>
      <c r="W131" s="180">
        <f>(T131*0)/(1+cDR)^'Markov Model_b (2)'!cycle2</f>
        <v>0</v>
      </c>
      <c r="X131" s="176">
        <f t="shared" si="17"/>
        <v>33.830917077324813</v>
      </c>
      <c r="Y131" s="202">
        <f>(T131*(uPostT))/(1+oDR)^'Markov Model_b (2)'!cycle</f>
        <v>19.007159825406905</v>
      </c>
      <c r="Z131" s="80"/>
      <c r="AA131" s="3"/>
      <c r="AB131" s="3"/>
      <c r="AC131" s="14">
        <v>119</v>
      </c>
      <c r="AD131" s="14"/>
      <c r="AE131" s="14"/>
      <c r="AF131" s="3"/>
      <c r="AG131" s="3"/>
      <c r="AH131" s="3"/>
      <c r="AI131" s="14"/>
      <c r="AJ131" s="14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</row>
    <row r="132" spans="1:60" ht="14.25" customHeight="1" x14ac:dyDescent="0.25">
      <c r="A132" s="637" t="s">
        <v>552</v>
      </c>
      <c r="B132" s="417"/>
      <c r="C132" s="506">
        <v>122</v>
      </c>
      <c r="D132" s="506"/>
      <c r="E132" s="507">
        <v>1.0653873256510904E-3</v>
      </c>
      <c r="F132" s="508"/>
      <c r="G132" s="509">
        <f t="shared" si="13"/>
        <v>35.718130671757237</v>
      </c>
      <c r="H132" s="510">
        <f>H131+(G131*E132*'life-tables-test'!$C$66)</f>
        <v>64.281869328242763</v>
      </c>
      <c r="I132" s="518">
        <f t="shared" si="18"/>
        <v>100</v>
      </c>
      <c r="J132" s="511">
        <f>(G132*0)/(1+cDR)^'Markov Model_b (2)'!cycle</f>
        <v>0</v>
      </c>
      <c r="K132" s="512">
        <f t="shared" si="14"/>
        <v>35.718130671757237</v>
      </c>
      <c r="L132" s="513">
        <f>(G132*(uPostT))/(1+oDR)^'Markov Model_b (2)'!cycle</f>
        <v>20.017405936533176</v>
      </c>
      <c r="M132" s="80"/>
      <c r="N132" s="3"/>
      <c r="O132" s="80"/>
      <c r="P132" s="506">
        <v>122</v>
      </c>
      <c r="Q132" s="506"/>
      <c r="R132" s="507">
        <v>1.0653873256510904E-3</v>
      </c>
      <c r="S132" s="508"/>
      <c r="T132" s="509">
        <f t="shared" si="19"/>
        <v>33.65070192597814</v>
      </c>
      <c r="U132" s="510">
        <f>U131+(T131*R132*'life-tables-test'!$C$66)</f>
        <v>66.34929807402186</v>
      </c>
      <c r="V132" s="518">
        <f t="shared" si="16"/>
        <v>100</v>
      </c>
      <c r="W132" s="511">
        <f>(T132*0)/(1+cDR)^'Markov Model_b (2)'!cycle2</f>
        <v>0</v>
      </c>
      <c r="X132" s="512">
        <f t="shared" si="17"/>
        <v>33.65070192597814</v>
      </c>
      <c r="Y132" s="513">
        <f>(T132*(uPostT))/(1+oDR)^'Markov Model_b (2)'!cycle</f>
        <v>18.858762982078645</v>
      </c>
      <c r="Z132" s="80"/>
      <c r="AA132" s="3"/>
      <c r="AB132" s="3"/>
      <c r="AC132" s="14">
        <v>120</v>
      </c>
      <c r="AD132" s="14"/>
      <c r="AE132" s="14"/>
      <c r="AF132" s="3"/>
      <c r="AG132" s="3"/>
      <c r="AH132" s="3"/>
      <c r="AI132" s="14"/>
      <c r="AJ132" s="14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</row>
    <row r="133" spans="1:60" ht="14.25" customHeight="1" x14ac:dyDescent="0.2">
      <c r="A133" s="637"/>
      <c r="B133" s="417"/>
      <c r="C133" s="173">
        <v>123</v>
      </c>
      <c r="D133" s="165"/>
      <c r="E133" s="174">
        <v>1.1422318973278722E-3</v>
      </c>
      <c r="F133" s="502"/>
      <c r="G133" s="219">
        <f t="shared" si="13"/>
        <v>35.514138730926206</v>
      </c>
      <c r="H133" s="249">
        <f>H132+(G132*E133*'life-tables-test'!$C$66)</f>
        <v>64.485861269073794</v>
      </c>
      <c r="I133" s="516">
        <f t="shared" si="18"/>
        <v>100</v>
      </c>
      <c r="J133" s="153">
        <f>(G133*0)/(1+cDR)^'Markov Model_b (2)'!cycle</f>
        <v>0</v>
      </c>
      <c r="K133" s="178">
        <f t="shared" si="14"/>
        <v>35.514138730926206</v>
      </c>
      <c r="L133" s="202">
        <f>(G133*(uPostT))/(1+oDR)^'Markov Model_b (2)'!cycle</f>
        <v>19.853449714434745</v>
      </c>
      <c r="M133" s="80"/>
      <c r="N133" s="3"/>
      <c r="O133" s="80"/>
      <c r="P133" s="173">
        <v>123</v>
      </c>
      <c r="Q133" s="165"/>
      <c r="R133" s="174">
        <v>1.1422318973278722E-3</v>
      </c>
      <c r="S133" s="502"/>
      <c r="T133" s="219">
        <f t="shared" si="19"/>
        <v>33.458517400441522</v>
      </c>
      <c r="U133" s="249">
        <f>U132+(T132*R133*'life-tables-test'!$C$66)</f>
        <v>66.541482599558478</v>
      </c>
      <c r="V133" s="516">
        <f t="shared" si="16"/>
        <v>100</v>
      </c>
      <c r="W133" s="153">
        <f>(T133*0)/(1+cDR)^'Markov Model_b (2)'!cycle2</f>
        <v>0</v>
      </c>
      <c r="X133" s="178">
        <f t="shared" si="17"/>
        <v>33.458517400441522</v>
      </c>
      <c r="Y133" s="202">
        <f>(T133*(uPostT))/(1+oDR)^'Markov Model_b (2)'!cycle</f>
        <v>18.704296836875077</v>
      </c>
      <c r="Z133" s="80"/>
      <c r="AA133" s="3"/>
      <c r="AB133" s="3"/>
      <c r="AC133" s="14">
        <v>121</v>
      </c>
      <c r="AD133" s="14"/>
      <c r="AE133" s="14"/>
      <c r="AF133" s="3"/>
      <c r="AG133" s="3"/>
      <c r="AH133" s="3"/>
      <c r="AI133" s="14"/>
      <c r="AJ133" s="14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</row>
    <row r="134" spans="1:60" ht="14.25" customHeight="1" x14ac:dyDescent="0.2">
      <c r="A134" s="637"/>
      <c r="B134" s="417"/>
      <c r="C134" s="173">
        <v>124</v>
      </c>
      <c r="D134" s="165"/>
      <c r="E134" s="174">
        <v>1.1422318973278722E-3</v>
      </c>
      <c r="F134" s="502"/>
      <c r="G134" s="219">
        <f t="shared" si="13"/>
        <v>35.311311820603251</v>
      </c>
      <c r="H134" s="249">
        <f>H133+(G133*E134*'life-tables-test'!$C$66)</f>
        <v>64.688688179396749</v>
      </c>
      <c r="I134" s="516">
        <f t="shared" si="18"/>
        <v>100</v>
      </c>
      <c r="J134" s="153">
        <f>(G134*0)/(1+cDR)^'Markov Model_b (2)'!cycle</f>
        <v>0</v>
      </c>
      <c r="K134" s="178">
        <f t="shared" si="14"/>
        <v>35.311311820603251</v>
      </c>
      <c r="L134" s="202">
        <f>(G134*(uPostT))/(1+oDR)^'Markov Model_b (2)'!cycle</f>
        <v>19.690836405741283</v>
      </c>
      <c r="M134" s="80"/>
      <c r="N134" s="3"/>
      <c r="O134" s="80"/>
      <c r="P134" s="173">
        <v>124</v>
      </c>
      <c r="Q134" s="165"/>
      <c r="R134" s="174">
        <v>1.1422318973278722E-3</v>
      </c>
      <c r="S134" s="502"/>
      <c r="T134" s="219">
        <f t="shared" si="19"/>
        <v>33.267430471381104</v>
      </c>
      <c r="U134" s="249">
        <f>U133+(T133*R134*'life-tables-test'!$C$66)</f>
        <v>66.732569528618896</v>
      </c>
      <c r="V134" s="516">
        <f t="shared" si="16"/>
        <v>100</v>
      </c>
      <c r="W134" s="153">
        <f>(T134*0)/(1+cDR)^'Markov Model_b (2)'!cycle2</f>
        <v>0</v>
      </c>
      <c r="X134" s="178">
        <f t="shared" si="17"/>
        <v>33.267430471381104</v>
      </c>
      <c r="Y134" s="202">
        <f>(T134*(uPostT))/(1+oDR)^'Markov Model_b (2)'!cycle</f>
        <v>18.551095874867077</v>
      </c>
      <c r="Z134" s="80"/>
      <c r="AA134" s="3"/>
      <c r="AB134" s="3"/>
      <c r="AC134" s="14">
        <v>122</v>
      </c>
      <c r="AD134" s="14"/>
      <c r="AE134" s="14"/>
      <c r="AF134" s="3"/>
      <c r="AG134" s="3"/>
      <c r="AH134" s="3"/>
      <c r="AI134" s="14"/>
      <c r="AJ134" s="14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</row>
    <row r="135" spans="1:60" ht="14.25" customHeight="1" x14ac:dyDescent="0.2">
      <c r="A135" s="637"/>
      <c r="B135" s="417"/>
      <c r="C135" s="173">
        <v>125</v>
      </c>
      <c r="D135" s="165"/>
      <c r="E135" s="174">
        <v>1.1422318973278722E-3</v>
      </c>
      <c r="F135" s="502"/>
      <c r="G135" s="219">
        <f t="shared" ref="G135:G198" si="20">$G$10-H135</f>
        <v>35.109643287113329</v>
      </c>
      <c r="H135" s="249">
        <f>H134+(G134*E135*'life-tables-test'!$C$66)</f>
        <v>64.890356712886671</v>
      </c>
      <c r="I135" s="516">
        <f t="shared" si="18"/>
        <v>100</v>
      </c>
      <c r="J135" s="153">
        <f>(G135*0)/(1+cDR)^'Markov Model_b (2)'!cycle</f>
        <v>0</v>
      </c>
      <c r="K135" s="178">
        <f t="shared" si="14"/>
        <v>35.109643287113329</v>
      </c>
      <c r="L135" s="202">
        <f>(G135*(uPostT))/(1+oDR)^'Markov Model_b (2)'!cycle</f>
        <v>19.529555011075079</v>
      </c>
      <c r="M135" s="80"/>
      <c r="N135" s="3"/>
      <c r="O135" s="80"/>
      <c r="P135" s="173">
        <v>125</v>
      </c>
      <c r="Q135" s="165"/>
      <c r="R135" s="174">
        <v>1.1422318973278722E-3</v>
      </c>
      <c r="S135" s="502"/>
      <c r="T135" s="219">
        <f t="shared" si="19"/>
        <v>33.077434870248354</v>
      </c>
      <c r="U135" s="249">
        <f>U134+(T134*R135*'life-tables-test'!$C$66)</f>
        <v>66.922565129751646</v>
      </c>
      <c r="V135" s="516">
        <f t="shared" si="16"/>
        <v>100</v>
      </c>
      <c r="W135" s="153">
        <f>(T135*0)/(1+cDR)^'Markov Model_b (2)'!cycle2</f>
        <v>0</v>
      </c>
      <c r="X135" s="178">
        <f t="shared" si="17"/>
        <v>33.077434870248354</v>
      </c>
      <c r="Y135" s="202">
        <f>(T135*(uPostT))/(1+oDR)^'Markov Model_b (2)'!cycle</f>
        <v>18.399149733340415</v>
      </c>
      <c r="Z135" s="80"/>
      <c r="AA135" s="3"/>
      <c r="AB135" s="3"/>
      <c r="AC135" s="14">
        <v>123</v>
      </c>
      <c r="AD135" s="14"/>
      <c r="AE135" s="14"/>
      <c r="AF135" s="3"/>
      <c r="AG135" s="3"/>
      <c r="AH135" s="3"/>
      <c r="AI135" s="14"/>
      <c r="AJ135" s="14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</row>
    <row r="136" spans="1:60" ht="14.25" customHeight="1" x14ac:dyDescent="0.2">
      <c r="A136" s="637"/>
      <c r="B136" s="417"/>
      <c r="C136" s="173">
        <v>126</v>
      </c>
      <c r="D136" s="165"/>
      <c r="E136" s="174">
        <v>1.1422318973278722E-3</v>
      </c>
      <c r="F136" s="502"/>
      <c r="G136" s="219">
        <f t="shared" si="20"/>
        <v>34.909126514781605</v>
      </c>
      <c r="H136" s="249">
        <f>H135+(G135*E136*'life-tables-test'!$C$66)</f>
        <v>65.090873485218395</v>
      </c>
      <c r="I136" s="516">
        <f t="shared" si="18"/>
        <v>100</v>
      </c>
      <c r="J136" s="153">
        <f>(G136*0)/(1+cDR)^'Markov Model_b (2)'!cycle</f>
        <v>0</v>
      </c>
      <c r="K136" s="178">
        <f t="shared" si="14"/>
        <v>34.909126514781605</v>
      </c>
      <c r="L136" s="202">
        <f>(G136*(uPostT))/(1+oDR)^'Markov Model_b (2)'!cycle</f>
        <v>19.369594621150856</v>
      </c>
      <c r="M136" s="80"/>
      <c r="N136" s="3"/>
      <c r="O136" s="80"/>
      <c r="P136" s="173">
        <v>126</v>
      </c>
      <c r="Q136" s="165"/>
      <c r="R136" s="174">
        <v>1.1422318973278722E-3</v>
      </c>
      <c r="S136" s="502"/>
      <c r="T136" s="219">
        <f t="shared" si="19"/>
        <v>32.888524364295435</v>
      </c>
      <c r="U136" s="249">
        <f>U135+(T135*R136*'life-tables-test'!$C$66)</f>
        <v>67.111475635704565</v>
      </c>
      <c r="V136" s="516">
        <f t="shared" si="16"/>
        <v>100</v>
      </c>
      <c r="W136" s="153">
        <f>(T136*0)/(1+cDR)^'Markov Model_b (2)'!cycle2</f>
        <v>0</v>
      </c>
      <c r="X136" s="178">
        <f t="shared" si="17"/>
        <v>32.888524364295435</v>
      </c>
      <c r="Y136" s="202">
        <f>(T136*(uPostT))/(1+oDR)^'Markov Model_b (2)'!cycle</f>
        <v>18.248448134458606</v>
      </c>
      <c r="Z136" s="80"/>
      <c r="AA136" s="3"/>
      <c r="AB136" s="3"/>
      <c r="AC136" s="14">
        <v>124</v>
      </c>
      <c r="AD136" s="14"/>
      <c r="AE136" s="14"/>
      <c r="AF136" s="3"/>
      <c r="AG136" s="3"/>
      <c r="AH136" s="3"/>
      <c r="AI136" s="14"/>
      <c r="AJ136" s="14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</row>
    <row r="137" spans="1:60" ht="14.25" customHeight="1" x14ac:dyDescent="0.2">
      <c r="A137" s="637"/>
      <c r="B137" s="417"/>
      <c r="C137" s="173">
        <v>127</v>
      </c>
      <c r="D137" s="165"/>
      <c r="E137" s="174">
        <v>1.1422318973278722E-3</v>
      </c>
      <c r="F137" s="502"/>
      <c r="G137" s="219">
        <f t="shared" si="20"/>
        <v>34.70975492571641</v>
      </c>
      <c r="H137" s="249">
        <f>H136+(G136*E137*'life-tables-test'!$C$66)</f>
        <v>65.29024507428359</v>
      </c>
      <c r="I137" s="516">
        <f t="shared" si="18"/>
        <v>100</v>
      </c>
      <c r="J137" s="153">
        <f>(G137*0)/(1+cDR)^'Markov Model_b (2)'!cycle</f>
        <v>0</v>
      </c>
      <c r="K137" s="178">
        <f t="shared" si="14"/>
        <v>34.70975492571641</v>
      </c>
      <c r="L137" s="202">
        <f>(G137*(uPostT))/(1+oDR)^'Markov Model_b (2)'!cycle</f>
        <v>19.210944416037822</v>
      </c>
      <c r="M137" s="80"/>
      <c r="N137" s="3"/>
      <c r="O137" s="80"/>
      <c r="P137" s="173">
        <v>127</v>
      </c>
      <c r="Q137" s="165"/>
      <c r="R137" s="174">
        <v>1.1422318973278722E-3</v>
      </c>
      <c r="S137" s="502"/>
      <c r="T137" s="219">
        <f t="shared" si="19"/>
        <v>32.700692756370714</v>
      </c>
      <c r="U137" s="249">
        <f>U136+(T136*R137*'life-tables-test'!$C$66)</f>
        <v>67.299307243629286</v>
      </c>
      <c r="V137" s="516">
        <f t="shared" si="16"/>
        <v>100</v>
      </c>
      <c r="W137" s="153">
        <f>(T137*0)/(1+cDR)^'Markov Model_b (2)'!cycle2</f>
        <v>0</v>
      </c>
      <c r="X137" s="178">
        <f t="shared" si="17"/>
        <v>32.700692756370714</v>
      </c>
      <c r="Y137" s="202">
        <f>(T137*(uPostT))/(1+oDR)^'Markov Model_b (2)'!cycle</f>
        <v>18.098980884567631</v>
      </c>
      <c r="Z137" s="80"/>
      <c r="AA137" s="3"/>
      <c r="AB137" s="3"/>
      <c r="AC137" s="14">
        <v>125</v>
      </c>
      <c r="AD137" s="14"/>
      <c r="AE137" s="14"/>
      <c r="AF137" s="3"/>
      <c r="AG137" s="3"/>
      <c r="AH137" s="3"/>
      <c r="AI137" s="14"/>
      <c r="AJ137" s="14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</row>
    <row r="138" spans="1:60" ht="14.25" customHeight="1" x14ac:dyDescent="0.2">
      <c r="A138" s="637"/>
      <c r="B138" s="417"/>
      <c r="C138" s="173">
        <v>128</v>
      </c>
      <c r="D138" s="165"/>
      <c r="E138" s="174">
        <v>1.1422318973278722E-3</v>
      </c>
      <c r="F138" s="502"/>
      <c r="G138" s="219">
        <f t="shared" si="20"/>
        <v>34.511521979593482</v>
      </c>
      <c r="H138" s="249">
        <f>H137+(G137*E138*'life-tables-test'!$C$66)</f>
        <v>65.488478020406518</v>
      </c>
      <c r="I138" s="516">
        <f t="shared" si="18"/>
        <v>100</v>
      </c>
      <c r="J138" s="153">
        <f>(G138*0)/(1+cDR)^'Markov Model_b (2)'!cycle</f>
        <v>0</v>
      </c>
      <c r="K138" s="178">
        <f t="shared" si="14"/>
        <v>34.511521979593482</v>
      </c>
      <c r="L138" s="202">
        <f>(G138*(uPostT))/(1+oDR)^'Markov Model_b (2)'!cycle</f>
        <v>19.053593664427794</v>
      </c>
      <c r="M138" s="80"/>
      <c r="N138" s="3"/>
      <c r="O138" s="80"/>
      <c r="P138" s="173">
        <v>128</v>
      </c>
      <c r="Q138" s="165"/>
      <c r="R138" s="174">
        <v>1.1422318973278722E-3</v>
      </c>
      <c r="S138" s="502"/>
      <c r="T138" s="219">
        <f t="shared" si="19"/>
        <v>32.513933884715485</v>
      </c>
      <c r="U138" s="249">
        <f>U137+(T137*R138*'life-tables-test'!$C$66)</f>
        <v>67.486066115284515</v>
      </c>
      <c r="V138" s="516">
        <f t="shared" si="16"/>
        <v>100</v>
      </c>
      <c r="W138" s="153">
        <f>(T138*0)/(1+cDR)^'Markov Model_b (2)'!cycle2</f>
        <v>0</v>
      </c>
      <c r="X138" s="178">
        <f t="shared" si="17"/>
        <v>32.513933884715485</v>
      </c>
      <c r="Y138" s="202">
        <f>(T138*(uPostT))/(1+oDR)^'Markov Model_b (2)'!cycle</f>
        <v>17.950737873506455</v>
      </c>
      <c r="Z138" s="80"/>
      <c r="AA138" s="3"/>
      <c r="AB138" s="3"/>
      <c r="AC138" s="14">
        <v>126</v>
      </c>
      <c r="AD138" s="14"/>
      <c r="AE138" s="14"/>
      <c r="AF138" s="3"/>
      <c r="AG138" s="3"/>
      <c r="AH138" s="3"/>
      <c r="AI138" s="14"/>
      <c r="AJ138" s="14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</row>
    <row r="139" spans="1:60" ht="14.25" customHeight="1" x14ac:dyDescent="0.2">
      <c r="A139" s="637"/>
      <c r="B139" s="417"/>
      <c r="C139" s="173">
        <v>129</v>
      </c>
      <c r="D139" s="165"/>
      <c r="E139" s="174">
        <v>1.1422318973278722E-3</v>
      </c>
      <c r="F139" s="502"/>
      <c r="G139" s="219">
        <f t="shared" si="20"/>
        <v>34.31442117344136</v>
      </c>
      <c r="H139" s="249">
        <f>H138+(G138*E139*'life-tables-test'!$C$66)</f>
        <v>65.68557882655864</v>
      </c>
      <c r="I139" s="516">
        <f t="shared" si="18"/>
        <v>100</v>
      </c>
      <c r="J139" s="153">
        <f>(G139*0)/(1+cDR)^'Markov Model_b (2)'!cycle</f>
        <v>0</v>
      </c>
      <c r="K139" s="178">
        <f t="shared" si="14"/>
        <v>34.31442117344136</v>
      </c>
      <c r="L139" s="202">
        <f>(G139*(uPostT))/(1+oDR)^'Markov Model_b (2)'!cycle</f>
        <v>18.897531722909353</v>
      </c>
      <c r="M139" s="80"/>
      <c r="N139" s="3"/>
      <c r="O139" s="80"/>
      <c r="P139" s="173">
        <v>129</v>
      </c>
      <c r="Q139" s="165"/>
      <c r="R139" s="174">
        <v>1.1422318973278722E-3</v>
      </c>
      <c r="S139" s="502"/>
      <c r="T139" s="219">
        <f t="shared" si="19"/>
        <v>32.328241622761823</v>
      </c>
      <c r="U139" s="249">
        <f>U138+(T138*R139*'life-tables-test'!$C$66)</f>
        <v>67.671758377238177</v>
      </c>
      <c r="V139" s="516">
        <f t="shared" si="16"/>
        <v>100</v>
      </c>
      <c r="W139" s="153">
        <f>(T139*0)/(1+cDR)^'Markov Model_b (2)'!cycle2</f>
        <v>0</v>
      </c>
      <c r="X139" s="178">
        <f t="shared" si="17"/>
        <v>32.328241622761823</v>
      </c>
      <c r="Y139" s="202">
        <f>(T139*(uPostT))/(1+oDR)^'Markov Model_b (2)'!cycle</f>
        <v>17.803709073923191</v>
      </c>
      <c r="Z139" s="80"/>
      <c r="AA139" s="3"/>
      <c r="AB139" s="3"/>
      <c r="AC139" s="14">
        <v>127</v>
      </c>
      <c r="AD139" s="14"/>
      <c r="AE139" s="14"/>
      <c r="AF139" s="3"/>
      <c r="AG139" s="3"/>
      <c r="AH139" s="3"/>
      <c r="AI139" s="14"/>
      <c r="AJ139" s="14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</row>
    <row r="140" spans="1:60" ht="14.25" customHeight="1" x14ac:dyDescent="0.2">
      <c r="A140" s="637"/>
      <c r="B140" s="417"/>
      <c r="C140" s="173">
        <v>130</v>
      </c>
      <c r="D140" s="165"/>
      <c r="E140" s="174">
        <v>1.1422318973278722E-3</v>
      </c>
      <c r="F140" s="502"/>
      <c r="G140" s="219">
        <f t="shared" si="20"/>
        <v>34.118446041428129</v>
      </c>
      <c r="H140" s="249">
        <f>H139+(G139*E140*'life-tables-test'!$C$66)</f>
        <v>65.881553958571871</v>
      </c>
      <c r="I140" s="516">
        <f t="shared" si="18"/>
        <v>100</v>
      </c>
      <c r="J140" s="153">
        <f>(G140*0)/(1+cDR)^'Markov Model_b (2)'!cycle</f>
        <v>0</v>
      </c>
      <c r="K140" s="178">
        <f t="shared" si="14"/>
        <v>34.118446041428129</v>
      </c>
      <c r="L140" s="202">
        <f>(G140*(uPostT))/(1+oDR)^'Markov Model_b (2)'!cycle</f>
        <v>18.742748035247875</v>
      </c>
      <c r="M140" s="80"/>
      <c r="N140" s="3"/>
      <c r="O140" s="80"/>
      <c r="P140" s="173">
        <v>130</v>
      </c>
      <c r="Q140" s="165"/>
      <c r="R140" s="174">
        <v>1.1422318973278722E-3</v>
      </c>
      <c r="S140" s="502"/>
      <c r="T140" s="219">
        <f t="shared" si="19"/>
        <v>32.143609878931613</v>
      </c>
      <c r="U140" s="249">
        <f>U139+(T139*R140*'life-tables-test'!$C$66)</f>
        <v>67.856390121068387</v>
      </c>
      <c r="V140" s="516">
        <f t="shared" si="16"/>
        <v>100</v>
      </c>
      <c r="W140" s="153">
        <f>(T140*0)/(1+cDR)^'Markov Model_b (2)'!cycle2</f>
        <v>0</v>
      </c>
      <c r="X140" s="178">
        <f t="shared" si="17"/>
        <v>32.143609878931613</v>
      </c>
      <c r="Y140" s="202">
        <f>(T140*(uPostT))/(1+oDR)^'Markov Model_b (2)'!cycle</f>
        <v>17.657884540596797</v>
      </c>
      <c r="Z140" s="80"/>
      <c r="AA140" s="3"/>
      <c r="AB140" s="3"/>
      <c r="AC140" s="14">
        <v>128</v>
      </c>
      <c r="AD140" s="14"/>
      <c r="AE140" s="14"/>
      <c r="AF140" s="3"/>
      <c r="AG140" s="3"/>
      <c r="AH140" s="3"/>
      <c r="AI140" s="14"/>
      <c r="AJ140" s="14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</row>
    <row r="141" spans="1:60" ht="14.25" customHeight="1" x14ac:dyDescent="0.2">
      <c r="A141" s="637"/>
      <c r="B141" s="417"/>
      <c r="C141" s="173">
        <v>131</v>
      </c>
      <c r="D141" s="165"/>
      <c r="E141" s="174">
        <v>1.1422318973278722E-3</v>
      </c>
      <c r="F141" s="502"/>
      <c r="G141" s="219">
        <f t="shared" si="20"/>
        <v>33.923590154649233</v>
      </c>
      <c r="H141" s="249">
        <f>H140+(G140*E141*'life-tables-test'!$C$66)</f>
        <v>66.076409845350767</v>
      </c>
      <c r="I141" s="516">
        <f t="shared" si="18"/>
        <v>100</v>
      </c>
      <c r="J141" s="153">
        <f>(G141*0)/(1+cDR)^'Markov Model_b (2)'!cycle</f>
        <v>0</v>
      </c>
      <c r="K141" s="178">
        <f t="shared" si="14"/>
        <v>33.923590154649233</v>
      </c>
      <c r="L141" s="202">
        <f>(G141*(uPostT))/(1+oDR)^'Markov Model_b (2)'!cycle</f>
        <v>18.589232131671498</v>
      </c>
      <c r="M141" s="80"/>
      <c r="N141" s="3"/>
      <c r="O141" s="80"/>
      <c r="P141" s="173">
        <v>131</v>
      </c>
      <c r="Q141" s="165"/>
      <c r="R141" s="174">
        <v>1.1422318973278722E-3</v>
      </c>
      <c r="S141" s="502"/>
      <c r="T141" s="219">
        <f t="shared" si="19"/>
        <v>31.960032596436719</v>
      </c>
      <c r="U141" s="249">
        <f>U140+(T140*R141*'life-tables-test'!$C$66)</f>
        <v>68.039967403563281</v>
      </c>
      <c r="V141" s="516">
        <f t="shared" si="16"/>
        <v>100</v>
      </c>
      <c r="W141" s="153">
        <f>(T141*0)/(1+cDR)^'Markov Model_b (2)'!cycle2</f>
        <v>0</v>
      </c>
      <c r="X141" s="178">
        <f t="shared" si="17"/>
        <v>31.960032596436719</v>
      </c>
      <c r="Y141" s="202">
        <f>(T141*(uPostT))/(1+oDR)^'Markov Model_b (2)'!cycle</f>
        <v>17.513254409764372</v>
      </c>
      <c r="Z141" s="80"/>
      <c r="AA141" s="3"/>
      <c r="AB141" s="3"/>
      <c r="AC141" s="14">
        <v>129</v>
      </c>
      <c r="AD141" s="14"/>
      <c r="AE141" s="14"/>
      <c r="AF141" s="3"/>
      <c r="AG141" s="3"/>
      <c r="AH141" s="3"/>
      <c r="AI141" s="14"/>
      <c r="AJ141" s="14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</row>
    <row r="142" spans="1:60" ht="14.25" customHeight="1" x14ac:dyDescent="0.2">
      <c r="A142" s="637"/>
      <c r="B142" s="417"/>
      <c r="C142" s="173">
        <v>132</v>
      </c>
      <c r="D142" s="165"/>
      <c r="E142" s="174">
        <v>1.1422318973278722E-3</v>
      </c>
      <c r="F142" s="502"/>
      <c r="G142" s="219">
        <f t="shared" si="20"/>
        <v>33.729847120916645</v>
      </c>
      <c r="H142" s="249">
        <f>H141+(G141*E142*'life-tables-test'!$C$66)</f>
        <v>66.270152879083355</v>
      </c>
      <c r="I142" s="516">
        <f t="shared" si="18"/>
        <v>100</v>
      </c>
      <c r="J142" s="153">
        <f>(G142*0)/(1+cDR)^'Markov Model_b (2)'!cycle</f>
        <v>0</v>
      </c>
      <c r="K142" s="178">
        <f t="shared" si="14"/>
        <v>33.729847120916645</v>
      </c>
      <c r="L142" s="202">
        <f>(G142*(uPostT))/(1+oDR)^'Markov Model_b (2)'!cycle</f>
        <v>18.43697362816296</v>
      </c>
      <c r="M142" s="80"/>
      <c r="N142" s="3"/>
      <c r="O142" s="80"/>
      <c r="P142" s="173">
        <v>132</v>
      </c>
      <c r="Q142" s="165"/>
      <c r="R142" s="174">
        <v>1.1422318973278722E-3</v>
      </c>
      <c r="S142" s="502"/>
      <c r="T142" s="219">
        <f t="shared" si="19"/>
        <v>31.777503753080282</v>
      </c>
      <c r="U142" s="249">
        <f>U141+(T141*R142*'life-tables-test'!$C$66)</f>
        <v>68.222496246919718</v>
      </c>
      <c r="V142" s="516">
        <f t="shared" si="16"/>
        <v>100</v>
      </c>
      <c r="W142" s="153">
        <f>(T142*0)/(1+cDR)^'Markov Model_b (2)'!cycle2</f>
        <v>0</v>
      </c>
      <c r="X142" s="178">
        <f t="shared" si="17"/>
        <v>31.777503753080282</v>
      </c>
      <c r="Y142" s="202">
        <f>(T142*(uPostT))/(1+oDR)^'Markov Model_b (2)'!cycle</f>
        <v>17.369808898453989</v>
      </c>
      <c r="Z142" s="80"/>
      <c r="AA142" s="3"/>
      <c r="AB142" s="3"/>
      <c r="AC142" s="14">
        <v>130</v>
      </c>
      <c r="AD142" s="14"/>
      <c r="AE142" s="14"/>
      <c r="AF142" s="3"/>
      <c r="AG142" s="3"/>
      <c r="AH142" s="3"/>
      <c r="AI142" s="14"/>
      <c r="AJ142" s="14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</row>
    <row r="143" spans="1:60" ht="14.25" customHeight="1" x14ac:dyDescent="0.2">
      <c r="A143" s="519"/>
      <c r="B143" s="417"/>
      <c r="C143" s="173">
        <v>133</v>
      </c>
      <c r="D143" s="504"/>
      <c r="E143" s="174">
        <v>1.1422318973278722E-3</v>
      </c>
      <c r="F143" s="505"/>
      <c r="G143" s="219">
        <f t="shared" si="20"/>
        <v>33.537210584549129</v>
      </c>
      <c r="H143" s="249">
        <f>H142+(G142*E143*'life-tables-test'!$C$66)</f>
        <v>66.462789415450871</v>
      </c>
      <c r="I143" s="516">
        <f t="shared" si="18"/>
        <v>100</v>
      </c>
      <c r="J143" s="180">
        <f>(G143*0)/(1+cDR)^'Markov Model_b (2)'!cycle</f>
        <v>0</v>
      </c>
      <c r="K143" s="176">
        <f t="shared" si="14"/>
        <v>33.537210584549129</v>
      </c>
      <c r="L143" s="202">
        <f>(G143*(uPostT))/(1+oDR)^'Markov Model_b (2)'!cycle</f>
        <v>18.285962225757164</v>
      </c>
      <c r="M143" s="80"/>
      <c r="N143" s="3"/>
      <c r="O143" s="80"/>
      <c r="P143" s="173">
        <v>133</v>
      </c>
      <c r="Q143" s="504"/>
      <c r="R143" s="174">
        <v>1.1422318973278722E-3</v>
      </c>
      <c r="S143" s="505"/>
      <c r="T143" s="219">
        <f t="shared" si="19"/>
        <v>31.596017361059154</v>
      </c>
      <c r="U143" s="249">
        <f>U142+(T142*R143*'life-tables-test'!$C$66)</f>
        <v>68.403982638940846</v>
      </c>
      <c r="V143" s="516">
        <f t="shared" si="16"/>
        <v>100</v>
      </c>
      <c r="W143" s="180">
        <f>(T143*0)/(1+cDR)^'Markov Model_b (2)'!cycle2</f>
        <v>0</v>
      </c>
      <c r="X143" s="176">
        <f t="shared" si="17"/>
        <v>31.596017361059154</v>
      </c>
      <c r="Y143" s="202">
        <f>(T143*(uPostT))/(1+oDR)^'Markov Model_b (2)'!cycle</f>
        <v>17.227538303822911</v>
      </c>
      <c r="Z143" s="80"/>
      <c r="AA143" s="3"/>
      <c r="AB143" s="3"/>
      <c r="AC143" s="14">
        <v>131</v>
      </c>
      <c r="AD143" s="14"/>
      <c r="AE143" s="14"/>
      <c r="AF143" s="3"/>
      <c r="AG143" s="3"/>
      <c r="AH143" s="3"/>
      <c r="AI143" s="14"/>
      <c r="AJ143" s="14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</row>
    <row r="144" spans="1:60" ht="14.25" customHeight="1" x14ac:dyDescent="0.25">
      <c r="A144" s="637" t="s">
        <v>553</v>
      </c>
      <c r="B144" s="417"/>
      <c r="C144" s="506">
        <v>134</v>
      </c>
      <c r="D144" s="506"/>
      <c r="E144" s="507">
        <v>1.1422318973278722E-3</v>
      </c>
      <c r="F144" s="508"/>
      <c r="G144" s="509">
        <f t="shared" si="20"/>
        <v>33.345674226163766</v>
      </c>
      <c r="H144" s="510">
        <f>H143+(G143*E144*'life-tables-test'!$C$66)</f>
        <v>66.654325773836234</v>
      </c>
      <c r="I144" s="518">
        <f t="shared" si="18"/>
        <v>100</v>
      </c>
      <c r="J144" s="511">
        <f>(G144*0)/(1+cDR)^'Markov Model_b (2)'!cycle</f>
        <v>0</v>
      </c>
      <c r="K144" s="512">
        <f t="shared" si="14"/>
        <v>33.345674226163766</v>
      </c>
      <c r="L144" s="513">
        <f>(G144*(uPostT))/(1+oDR)^'Markov Model_b (2)'!cycle</f>
        <v>18.136187709844599</v>
      </c>
      <c r="M144" s="80"/>
      <c r="N144" s="3"/>
      <c r="O144" s="80"/>
      <c r="P144" s="506">
        <v>134</v>
      </c>
      <c r="Q144" s="506"/>
      <c r="R144" s="507">
        <v>1.1422318973278722E-3</v>
      </c>
      <c r="S144" s="508"/>
      <c r="T144" s="509">
        <f t="shared" si="19"/>
        <v>31.415567466767513</v>
      </c>
      <c r="U144" s="510">
        <f>U143+(T143*R144*'life-tables-test'!$C$66)</f>
        <v>68.584432533232487</v>
      </c>
      <c r="V144" s="518">
        <f t="shared" si="16"/>
        <v>100</v>
      </c>
      <c r="W144" s="511">
        <f>(T144*0)/(1+cDR)^'Markov Model_b (2)'!cycle2</f>
        <v>0</v>
      </c>
      <c r="X144" s="512">
        <f t="shared" si="17"/>
        <v>31.415567466767513</v>
      </c>
      <c r="Y144" s="513">
        <f>(T144*(uPostT))/(1+oDR)^'Markov Model_b (2)'!cycle</f>
        <v>17.086433002501334</v>
      </c>
      <c r="Z144" s="80"/>
      <c r="AA144" s="3"/>
      <c r="AB144" s="3"/>
      <c r="AC144" s="14">
        <v>132</v>
      </c>
      <c r="AD144" s="14"/>
      <c r="AE144" s="14"/>
      <c r="AF144" s="3"/>
      <c r="AG144" s="3"/>
      <c r="AH144" s="3"/>
      <c r="AI144" s="14"/>
      <c r="AJ144" s="14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</row>
    <row r="145" spans="1:60" ht="14.25" customHeight="1" x14ac:dyDescent="0.2">
      <c r="A145" s="637"/>
      <c r="B145" s="417"/>
      <c r="C145" s="173">
        <v>135</v>
      </c>
      <c r="D145" s="165"/>
      <c r="E145" s="174">
        <v>1.226574259157398E-3</v>
      </c>
      <c r="F145" s="502"/>
      <c r="G145" s="219">
        <f t="shared" si="20"/>
        <v>33.141169497863459</v>
      </c>
      <c r="H145" s="249">
        <f>H144+(G144*E145*'life-tables-test'!$C$66)</f>
        <v>66.858830502136541</v>
      </c>
      <c r="I145" s="516">
        <f t="shared" si="18"/>
        <v>100</v>
      </c>
      <c r="J145" s="153">
        <f>(G145*0)/(1+cDR)^'Markov Model_b (2)'!cycle</f>
        <v>0</v>
      </c>
      <c r="K145" s="178">
        <f t="shared" si="14"/>
        <v>33.141169497863459</v>
      </c>
      <c r="L145" s="202">
        <f>(G145*(uPostT))/(1+oDR)^'Markov Model_b (2)'!cycle</f>
        <v>17.980010777879187</v>
      </c>
      <c r="M145" s="80"/>
      <c r="N145" s="3"/>
      <c r="O145" s="80"/>
      <c r="P145" s="173">
        <v>135</v>
      </c>
      <c r="Q145" s="165"/>
      <c r="R145" s="174">
        <v>1.226574259157398E-3</v>
      </c>
      <c r="S145" s="502"/>
      <c r="T145" s="219">
        <f t="shared" si="19"/>
        <v>31.222899834809709</v>
      </c>
      <c r="U145" s="249">
        <f>U144+(T144*R145*'life-tables-test'!$C$66)</f>
        <v>68.777100165190291</v>
      </c>
      <c r="V145" s="516">
        <f t="shared" si="16"/>
        <v>100</v>
      </c>
      <c r="W145" s="153">
        <f>(T145*0)/(1+cDR)^'Markov Model_b (2)'!cycle2</f>
        <v>0</v>
      </c>
      <c r="X145" s="178">
        <f t="shared" si="17"/>
        <v>31.222899834809709</v>
      </c>
      <c r="Y145" s="202">
        <f>(T145*(uPostT))/(1+oDR)^'Markov Model_b (2)'!cycle</f>
        <v>16.939295868322098</v>
      </c>
      <c r="Z145" s="80"/>
      <c r="AA145" s="3"/>
      <c r="AB145" s="3"/>
      <c r="AC145" s="14">
        <v>133</v>
      </c>
      <c r="AD145" s="14"/>
      <c r="AE145" s="14"/>
      <c r="AF145" s="3"/>
      <c r="AG145" s="3"/>
      <c r="AH145" s="3"/>
      <c r="AI145" s="14"/>
      <c r="AJ145" s="14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</row>
    <row r="146" spans="1:60" ht="14.25" customHeight="1" x14ac:dyDescent="0.2">
      <c r="A146" s="637"/>
      <c r="B146" s="417"/>
      <c r="C146" s="173">
        <v>136</v>
      </c>
      <c r="D146" s="165"/>
      <c r="E146" s="174">
        <v>1.226574259157398E-3</v>
      </c>
      <c r="F146" s="502"/>
      <c r="G146" s="219">
        <f t="shared" si="20"/>
        <v>32.937918970741194</v>
      </c>
      <c r="H146" s="249">
        <f>H145+(G145*E146*'life-tables-test'!$C$66)</f>
        <v>67.062081029258806</v>
      </c>
      <c r="I146" s="516">
        <f t="shared" si="18"/>
        <v>100</v>
      </c>
      <c r="J146" s="153">
        <f>(G146*0)/(1+cDR)^'Markov Model_b (2)'!cycle</f>
        <v>0</v>
      </c>
      <c r="K146" s="178">
        <f t="shared" si="14"/>
        <v>32.937918970741194</v>
      </c>
      <c r="L146" s="202">
        <f>(G146*(uPostT))/(1+oDR)^'Markov Model_b (2)'!cycle</f>
        <v>17.825178739034001</v>
      </c>
      <c r="M146" s="80"/>
      <c r="N146" s="3"/>
      <c r="O146" s="80"/>
      <c r="P146" s="173">
        <v>136</v>
      </c>
      <c r="Q146" s="165"/>
      <c r="R146" s="174">
        <v>1.226574259157398E-3</v>
      </c>
      <c r="S146" s="502"/>
      <c r="T146" s="219">
        <f t="shared" si="19"/>
        <v>31.031413808641574</v>
      </c>
      <c r="U146" s="249">
        <f>U145+(T145*R146*'life-tables-test'!$C$66)</f>
        <v>68.968586191358426</v>
      </c>
      <c r="V146" s="516">
        <f t="shared" si="16"/>
        <v>100</v>
      </c>
      <c r="W146" s="153">
        <f>(T146*0)/(1+cDR)^'Markov Model_b (2)'!cycle2</f>
        <v>0</v>
      </c>
      <c r="X146" s="178">
        <f t="shared" si="17"/>
        <v>31.031413808641574</v>
      </c>
      <c r="Y146" s="202">
        <f>(T146*(uPostT))/(1+oDR)^'Markov Model_b (2)'!cycle</f>
        <v>16.793425782464261</v>
      </c>
      <c r="Z146" s="80"/>
      <c r="AA146" s="3"/>
      <c r="AB146" s="3"/>
      <c r="AC146" s="14">
        <v>134</v>
      </c>
      <c r="AD146" s="14"/>
      <c r="AE146" s="14"/>
      <c r="AF146" s="3"/>
      <c r="AG146" s="3"/>
      <c r="AH146" s="3"/>
      <c r="AI146" s="14"/>
      <c r="AJ146" s="14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</row>
    <row r="147" spans="1:60" ht="14.25" customHeight="1" x14ac:dyDescent="0.2">
      <c r="A147" s="637"/>
      <c r="B147" s="417"/>
      <c r="C147" s="173">
        <v>137</v>
      </c>
      <c r="D147" s="165"/>
      <c r="E147" s="174">
        <v>1.226574259157398E-3</v>
      </c>
      <c r="F147" s="502"/>
      <c r="G147" s="219">
        <f t="shared" si="20"/>
        <v>32.735914952942579</v>
      </c>
      <c r="H147" s="249">
        <f>H146+(G146*E147*'life-tables-test'!$C$66)</f>
        <v>67.264085047057421</v>
      </c>
      <c r="I147" s="516">
        <f t="shared" si="18"/>
        <v>100</v>
      </c>
      <c r="J147" s="153">
        <f>(G147*0)/(1+cDR)^'Markov Model_b (2)'!cycle</f>
        <v>0</v>
      </c>
      <c r="K147" s="178">
        <f t="shared" si="14"/>
        <v>32.735914952942579</v>
      </c>
      <c r="L147" s="202">
        <f>(G147*(uPostT))/(1+oDR)^'Markov Model_b (2)'!cycle</f>
        <v>17.671680011973173</v>
      </c>
      <c r="M147" s="80"/>
      <c r="N147" s="3"/>
      <c r="O147" s="80"/>
      <c r="P147" s="173">
        <v>137</v>
      </c>
      <c r="Q147" s="165"/>
      <c r="R147" s="174">
        <v>1.226574259157398E-3</v>
      </c>
      <c r="S147" s="502"/>
      <c r="T147" s="219">
        <f t="shared" si="19"/>
        <v>30.841102141626862</v>
      </c>
      <c r="U147" s="249">
        <f>U146+(T146*R147*'life-tables-test'!$C$66)</f>
        <v>69.158897858373138</v>
      </c>
      <c r="V147" s="516">
        <f t="shared" si="16"/>
        <v>100</v>
      </c>
      <c r="W147" s="153">
        <f>(T147*0)/(1+cDR)^'Markov Model_b (2)'!cycle2</f>
        <v>0</v>
      </c>
      <c r="X147" s="178">
        <f t="shared" si="17"/>
        <v>30.841102141626862</v>
      </c>
      <c r="Y147" s="202">
        <f>(T147*(uPostT))/(1+oDR)^'Markov Model_b (2)'!cycle</f>
        <v>16.648811833940204</v>
      </c>
      <c r="Z147" s="80"/>
      <c r="AA147" s="3"/>
      <c r="AB147" s="3"/>
      <c r="AC147" s="14">
        <v>135</v>
      </c>
      <c r="AD147" s="14"/>
      <c r="AE147" s="14"/>
      <c r="AF147" s="3"/>
      <c r="AG147" s="3"/>
      <c r="AH147" s="3"/>
      <c r="AI147" s="14"/>
      <c r="AJ147" s="14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</row>
    <row r="148" spans="1:60" ht="14.25" customHeight="1" x14ac:dyDescent="0.2">
      <c r="A148" s="637"/>
      <c r="B148" s="417"/>
      <c r="C148" s="173">
        <v>138</v>
      </c>
      <c r="D148" s="165"/>
      <c r="E148" s="174">
        <v>1.226574259157398E-3</v>
      </c>
      <c r="F148" s="502"/>
      <c r="G148" s="219">
        <f t="shared" si="20"/>
        <v>32.535149799786353</v>
      </c>
      <c r="H148" s="249">
        <f>H147+(G147*E148*'life-tables-test'!$C$66)</f>
        <v>67.464850200213647</v>
      </c>
      <c r="I148" s="516">
        <f t="shared" si="18"/>
        <v>100</v>
      </c>
      <c r="J148" s="153">
        <f>(G148*0)/(1+cDR)^'Markov Model_b (2)'!cycle</f>
        <v>0</v>
      </c>
      <c r="K148" s="178">
        <f t="shared" si="14"/>
        <v>32.535149799786353</v>
      </c>
      <c r="L148" s="202">
        <f>(G148*(uPostT))/(1+oDR)^'Markov Model_b (2)'!cycle</f>
        <v>17.519503115091684</v>
      </c>
      <c r="M148" s="80"/>
      <c r="N148" s="3"/>
      <c r="O148" s="80"/>
      <c r="P148" s="173">
        <v>138</v>
      </c>
      <c r="Q148" s="165"/>
      <c r="R148" s="174">
        <v>1.226574259157398E-3</v>
      </c>
      <c r="S148" s="502"/>
      <c r="T148" s="219">
        <f t="shared" si="19"/>
        <v>30.651957631572046</v>
      </c>
      <c r="U148" s="249">
        <f>U147+(T147*R148*'life-tables-test'!$C$66)</f>
        <v>69.348042368427954</v>
      </c>
      <c r="V148" s="516">
        <f t="shared" si="16"/>
        <v>100</v>
      </c>
      <c r="W148" s="153">
        <f>(T148*0)/(1+cDR)^'Markov Model_b (2)'!cycle2</f>
        <v>0</v>
      </c>
      <c r="X148" s="178">
        <f t="shared" si="17"/>
        <v>30.651957631572046</v>
      </c>
      <c r="Y148" s="202">
        <f>(T148*(uPostT))/(1+oDR)^'Markov Model_b (2)'!cycle</f>
        <v>16.505443205720574</v>
      </c>
      <c r="Z148" s="80"/>
      <c r="AA148" s="3"/>
      <c r="AB148" s="3"/>
      <c r="AC148" s="14">
        <v>136</v>
      </c>
      <c r="AD148" s="14"/>
      <c r="AE148" s="14"/>
      <c r="AF148" s="3"/>
      <c r="AG148" s="3"/>
      <c r="AH148" s="3"/>
      <c r="AI148" s="14"/>
      <c r="AJ148" s="14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</row>
    <row r="149" spans="1:60" ht="14.25" customHeight="1" x14ac:dyDescent="0.2">
      <c r="A149" s="637"/>
      <c r="B149" s="417"/>
      <c r="C149" s="173">
        <v>139</v>
      </c>
      <c r="D149" s="165"/>
      <c r="E149" s="174">
        <v>1.226574259157398E-3</v>
      </c>
      <c r="F149" s="502"/>
      <c r="G149" s="219">
        <f t="shared" si="20"/>
        <v>32.33561591347511</v>
      </c>
      <c r="H149" s="249">
        <f>H148+(G148*E149*'life-tables-test'!$C$66)</f>
        <v>67.66438408652489</v>
      </c>
      <c r="I149" s="516">
        <f t="shared" si="18"/>
        <v>100</v>
      </c>
      <c r="J149" s="153">
        <f>(G149*0)/(1+cDR)^'Markov Model_b (2)'!cycle</f>
        <v>0</v>
      </c>
      <c r="K149" s="178">
        <f t="shared" si="14"/>
        <v>32.33561591347511</v>
      </c>
      <c r="L149" s="202">
        <f>(G149*(uPostT))/(1+oDR)^'Markov Model_b (2)'!cycle</f>
        <v>17.368636665656549</v>
      </c>
      <c r="M149" s="80"/>
      <c r="N149" s="3"/>
      <c r="O149" s="80"/>
      <c r="P149" s="173">
        <v>139</v>
      </c>
      <c r="Q149" s="165"/>
      <c r="R149" s="174">
        <v>1.226574259157398E-3</v>
      </c>
      <c r="S149" s="502"/>
      <c r="T149" s="219">
        <f t="shared" si="19"/>
        <v>30.463973120453701</v>
      </c>
      <c r="U149" s="249">
        <f>U148+(T148*R149*'life-tables-test'!$C$66)</f>
        <v>69.536026879546299</v>
      </c>
      <c r="V149" s="516">
        <f t="shared" si="16"/>
        <v>100</v>
      </c>
      <c r="W149" s="153">
        <f>(T149*0)/(1+cDR)^'Markov Model_b (2)'!cycle2</f>
        <v>0</v>
      </c>
      <c r="X149" s="178">
        <f t="shared" si="17"/>
        <v>30.463973120453701</v>
      </c>
      <c r="Y149" s="202">
        <f>(T149*(uPostT))/(1+oDR)^'Markov Model_b (2)'!cycle</f>
        <v>16.363309173925163</v>
      </c>
      <c r="Z149" s="80"/>
      <c r="AA149" s="3"/>
      <c r="AB149" s="3"/>
      <c r="AC149" s="14">
        <v>137</v>
      </c>
      <c r="AD149" s="14"/>
      <c r="AE149" s="14"/>
      <c r="AF149" s="3"/>
      <c r="AG149" s="3"/>
      <c r="AH149" s="3"/>
      <c r="AI149" s="14"/>
      <c r="AJ149" s="14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</row>
    <row r="150" spans="1:60" ht="14.25" customHeight="1" x14ac:dyDescent="0.2">
      <c r="A150" s="637"/>
      <c r="B150" s="417"/>
      <c r="C150" s="173">
        <v>140</v>
      </c>
      <c r="D150" s="165"/>
      <c r="E150" s="174">
        <v>1.226574259157398E-3</v>
      </c>
      <c r="F150" s="502"/>
      <c r="G150" s="219">
        <f t="shared" si="20"/>
        <v>32.137305742807769</v>
      </c>
      <c r="H150" s="249">
        <f>H149+(G149*E150*'life-tables-test'!$C$66)</f>
        <v>67.862694257192231</v>
      </c>
      <c r="I150" s="516">
        <f t="shared" si="18"/>
        <v>100</v>
      </c>
      <c r="J150" s="153">
        <f>(G150*0)/(1+cDR)^'Markov Model_b (2)'!cycle</f>
        <v>0</v>
      </c>
      <c r="K150" s="178">
        <f t="shared" si="14"/>
        <v>32.137305742807769</v>
      </c>
      <c r="L150" s="202">
        <f>(G150*(uPostT))/(1+oDR)^'Markov Model_b (2)'!cycle</f>
        <v>17.2190693789554</v>
      </c>
      <c r="M150" s="80"/>
      <c r="N150" s="3"/>
      <c r="O150" s="80"/>
      <c r="P150" s="173">
        <v>140</v>
      </c>
      <c r="Q150" s="165"/>
      <c r="R150" s="174">
        <v>1.226574259157398E-3</v>
      </c>
      <c r="S150" s="502"/>
      <c r="T150" s="219">
        <f t="shared" si="19"/>
        <v>30.277141494147642</v>
      </c>
      <c r="U150" s="249">
        <f>U149+(T149*R150*'life-tables-test'!$C$66)</f>
        <v>69.722858505852358</v>
      </c>
      <c r="V150" s="516">
        <f t="shared" si="16"/>
        <v>100</v>
      </c>
      <c r="W150" s="153">
        <f>(T150*0)/(1+cDR)^'Markov Model_b (2)'!cycle2</f>
        <v>0</v>
      </c>
      <c r="X150" s="178">
        <f t="shared" si="17"/>
        <v>30.277141494147642</v>
      </c>
      <c r="Y150" s="202">
        <f>(T150*(uPostT))/(1+oDR)^'Markov Model_b (2)'!cycle</f>
        <v>16.222399107020752</v>
      </c>
      <c r="Z150" s="80"/>
      <c r="AA150" s="3"/>
      <c r="AB150" s="3"/>
      <c r="AC150" s="14">
        <v>138</v>
      </c>
      <c r="AD150" s="14"/>
      <c r="AE150" s="14"/>
      <c r="AF150" s="3"/>
      <c r="AG150" s="3"/>
      <c r="AH150" s="3"/>
      <c r="AI150" s="14"/>
      <c r="AJ150" s="14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</row>
    <row r="151" spans="1:60" ht="14.25" customHeight="1" x14ac:dyDescent="0.2">
      <c r="A151" s="637"/>
      <c r="B151" s="417"/>
      <c r="C151" s="173">
        <v>141</v>
      </c>
      <c r="D151" s="165"/>
      <c r="E151" s="174">
        <v>1.226574259157398E-3</v>
      </c>
      <c r="F151" s="502"/>
      <c r="G151" s="219">
        <f t="shared" si="20"/>
        <v>31.940211782893769</v>
      </c>
      <c r="H151" s="249">
        <f>H150+(G150*E151*'life-tables-test'!$C$66)</f>
        <v>68.059788217106231</v>
      </c>
      <c r="I151" s="516">
        <f t="shared" si="18"/>
        <v>100</v>
      </c>
      <c r="J151" s="153">
        <f>(G151*0)/(1+cDR)^'Markov Model_b (2)'!cycle</f>
        <v>0</v>
      </c>
      <c r="K151" s="178">
        <f t="shared" si="14"/>
        <v>31.940211782893769</v>
      </c>
      <c r="L151" s="202">
        <f>(G151*(uPostT))/(1+oDR)^'Markov Model_b (2)'!cycle</f>
        <v>17.070790067452407</v>
      </c>
      <c r="M151" s="80"/>
      <c r="N151" s="3"/>
      <c r="O151" s="80"/>
      <c r="P151" s="173">
        <v>141</v>
      </c>
      <c r="Q151" s="165"/>
      <c r="R151" s="174">
        <v>1.226574259157398E-3</v>
      </c>
      <c r="S151" s="502"/>
      <c r="T151" s="219">
        <f t="shared" si="19"/>
        <v>30.091455682159705</v>
      </c>
      <c r="U151" s="249">
        <f>U150+(T150*R151*'life-tables-test'!$C$66)</f>
        <v>69.908544317840295</v>
      </c>
      <c r="V151" s="516">
        <f t="shared" si="16"/>
        <v>100</v>
      </c>
      <c r="W151" s="153">
        <f>(T151*0)/(1+cDR)^'Markov Model_b (2)'!cycle2</f>
        <v>0</v>
      </c>
      <c r="X151" s="178">
        <f t="shared" si="17"/>
        <v>30.091455682159705</v>
      </c>
      <c r="Y151" s="202">
        <f>(T151*(uPostT))/(1+oDR)^'Markov Model_b (2)'!cycle</f>
        <v>16.082702465025939</v>
      </c>
      <c r="Z151" s="80"/>
      <c r="AA151" s="3"/>
      <c r="AB151" s="3"/>
      <c r="AC151" s="14">
        <v>139</v>
      </c>
      <c r="AD151" s="14"/>
      <c r="AE151" s="14"/>
      <c r="AF151" s="3"/>
      <c r="AG151" s="3"/>
      <c r="AH151" s="3"/>
      <c r="AI151" s="14"/>
      <c r="AJ151" s="14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</row>
    <row r="152" spans="1:60" ht="14.25" customHeight="1" x14ac:dyDescent="0.2">
      <c r="A152" s="637"/>
      <c r="B152" s="417"/>
      <c r="C152" s="173">
        <v>142</v>
      </c>
      <c r="D152" s="165"/>
      <c r="E152" s="174">
        <v>1.226574259157398E-3</v>
      </c>
      <c r="F152" s="502"/>
      <c r="G152" s="219">
        <f t="shared" si="20"/>
        <v>31.744326574869106</v>
      </c>
      <c r="H152" s="249">
        <f>H151+(G151*E152*'life-tables-test'!$C$66)</f>
        <v>68.255673425130894</v>
      </c>
      <c r="I152" s="516">
        <f t="shared" si="18"/>
        <v>100</v>
      </c>
      <c r="J152" s="153">
        <f>(G152*0)/(1+cDR)^'Markov Model_b (2)'!cycle</f>
        <v>0</v>
      </c>
      <c r="K152" s="178">
        <f t="shared" si="14"/>
        <v>31.744326574869106</v>
      </c>
      <c r="L152" s="202">
        <f>(G152*(uPostT))/(1+oDR)^'Markov Model_b (2)'!cycle</f>
        <v>16.923787639951449</v>
      </c>
      <c r="M152" s="80"/>
      <c r="N152" s="3"/>
      <c r="O152" s="80"/>
      <c r="P152" s="173">
        <v>142</v>
      </c>
      <c r="Q152" s="165"/>
      <c r="R152" s="174">
        <v>1.226574259157398E-3</v>
      </c>
      <c r="S152" s="502"/>
      <c r="T152" s="219">
        <f t="shared" si="19"/>
        <v>29.906908657358144</v>
      </c>
      <c r="U152" s="249">
        <f>U151+(T151*R152*'life-tables-test'!$C$66)</f>
        <v>70.093091342641856</v>
      </c>
      <c r="V152" s="516">
        <f t="shared" si="16"/>
        <v>100</v>
      </c>
      <c r="W152" s="153">
        <f>(T152*0)/(1+cDR)^'Markov Model_b (2)'!cycle2</f>
        <v>0</v>
      </c>
      <c r="X152" s="178">
        <f t="shared" si="17"/>
        <v>29.906908657358144</v>
      </c>
      <c r="Y152" s="202">
        <f>(T152*(uPostT))/(1+oDR)^'Markov Model_b (2)'!cycle</f>
        <v>15.944208798722698</v>
      </c>
      <c r="Z152" s="80"/>
      <c r="AA152" s="3"/>
      <c r="AB152" s="3"/>
      <c r="AC152" s="14">
        <v>140</v>
      </c>
      <c r="AD152" s="14"/>
      <c r="AE152" s="14"/>
      <c r="AF152" s="3"/>
      <c r="AG152" s="3"/>
      <c r="AH152" s="3"/>
      <c r="AI152" s="14"/>
      <c r="AJ152" s="14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</row>
    <row r="153" spans="1:60" ht="14.25" customHeight="1" x14ac:dyDescent="0.2">
      <c r="A153" s="637"/>
      <c r="B153" s="417"/>
      <c r="C153" s="173">
        <v>143</v>
      </c>
      <c r="D153" s="165"/>
      <c r="E153" s="174">
        <v>1.226574259157398E-3</v>
      </c>
      <c r="F153" s="502"/>
      <c r="G153" s="219">
        <f t="shared" si="20"/>
        <v>31.549642705614005</v>
      </c>
      <c r="H153" s="249">
        <f>H152+(G152*E153*'life-tables-test'!$C$66)</f>
        <v>68.450357294385995</v>
      </c>
      <c r="I153" s="516">
        <f t="shared" si="18"/>
        <v>100</v>
      </c>
      <c r="J153" s="153">
        <f>(G153*0)/(1+cDR)^'Markov Model_b (2)'!cycle</f>
        <v>0</v>
      </c>
      <c r="K153" s="178">
        <f t="shared" si="14"/>
        <v>31.549642705614005</v>
      </c>
      <c r="L153" s="202">
        <f>(G153*(uPostT))/(1+oDR)^'Markov Model_b (2)'!cycle</f>
        <v>16.778051100766483</v>
      </c>
      <c r="M153" s="80"/>
      <c r="N153" s="3"/>
      <c r="O153" s="80"/>
      <c r="P153" s="173">
        <v>143</v>
      </c>
      <c r="Q153" s="165"/>
      <c r="R153" s="174">
        <v>1.226574259157398E-3</v>
      </c>
      <c r="S153" s="502"/>
      <c r="T153" s="219">
        <f t="shared" si="19"/>
        <v>29.723493435707709</v>
      </c>
      <c r="U153" s="249">
        <f>U152+(T152*R153*'life-tables-test'!$C$66)</f>
        <v>70.276506564292291</v>
      </c>
      <c r="V153" s="516">
        <f t="shared" si="16"/>
        <v>100</v>
      </c>
      <c r="W153" s="153">
        <f>(T153*0)/(1+cDR)^'Markov Model_b (2)'!cycle2</f>
        <v>0</v>
      </c>
      <c r="X153" s="178">
        <f t="shared" si="17"/>
        <v>29.723493435707709</v>
      </c>
      <c r="Y153" s="202">
        <f>(T153*(uPostT))/(1+oDR)^'Markov Model_b (2)'!cycle</f>
        <v>15.806907748874794</v>
      </c>
      <c r="Z153" s="80"/>
      <c r="AA153" s="3"/>
      <c r="AB153" s="3"/>
      <c r="AC153" s="14">
        <v>141</v>
      </c>
      <c r="AD153" s="14"/>
      <c r="AE153" s="14"/>
      <c r="AF153" s="3"/>
      <c r="AG153" s="3"/>
      <c r="AH153" s="3"/>
      <c r="AI153" s="14"/>
      <c r="AJ153" s="14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</row>
    <row r="154" spans="1:60" ht="14.25" customHeight="1" x14ac:dyDescent="0.2">
      <c r="A154" s="637"/>
      <c r="B154" s="417"/>
      <c r="C154" s="173">
        <v>144</v>
      </c>
      <c r="D154" s="165"/>
      <c r="E154" s="174">
        <v>1.226574259157398E-3</v>
      </c>
      <c r="F154" s="502"/>
      <c r="G154" s="219">
        <f t="shared" si="20"/>
        <v>31.356152807472412</v>
      </c>
      <c r="H154" s="249">
        <f>H153+(G153*E154*'life-tables-test'!$C$66)</f>
        <v>68.643847192527588</v>
      </c>
      <c r="I154" s="516">
        <f t="shared" si="18"/>
        <v>100</v>
      </c>
      <c r="J154" s="153">
        <f>(G154*0)/(1+cDR)^'Markov Model_b (2)'!cycle</f>
        <v>0</v>
      </c>
      <c r="K154" s="178">
        <f t="shared" si="14"/>
        <v>31.356152807472412</v>
      </c>
      <c r="L154" s="202">
        <f>(G154*(uPostT))/(1+oDR)^'Markov Model_b (2)'!cycle</f>
        <v>16.633569548899096</v>
      </c>
      <c r="M154" s="80"/>
      <c r="N154" s="3"/>
      <c r="O154" s="80"/>
      <c r="P154" s="173">
        <v>144</v>
      </c>
      <c r="Q154" s="165"/>
      <c r="R154" s="174">
        <v>1.226574259157398E-3</v>
      </c>
      <c r="S154" s="502"/>
      <c r="T154" s="219">
        <f t="shared" si="19"/>
        <v>29.541203076005345</v>
      </c>
      <c r="U154" s="249">
        <f>U153+(T153*R154*'life-tables-test'!$C$66)</f>
        <v>70.458796923994655</v>
      </c>
      <c r="V154" s="516">
        <f t="shared" si="16"/>
        <v>100</v>
      </c>
      <c r="W154" s="153">
        <f>(T154*0)/(1+cDR)^'Markov Model_b (2)'!cycle2</f>
        <v>0</v>
      </c>
      <c r="X154" s="178">
        <f t="shared" si="17"/>
        <v>29.541203076005345</v>
      </c>
      <c r="Y154" s="202">
        <f>(T154*(uPostT))/(1+oDR)^'Markov Model_b (2)'!cycle</f>
        <v>15.670789045452931</v>
      </c>
      <c r="Z154" s="80"/>
      <c r="AA154" s="3"/>
      <c r="AB154" s="3"/>
      <c r="AC154" s="14">
        <v>142</v>
      </c>
      <c r="AD154" s="14"/>
      <c r="AE154" s="14"/>
      <c r="AF154" s="3"/>
      <c r="AG154" s="3"/>
      <c r="AH154" s="3"/>
      <c r="AI154" s="14"/>
      <c r="AJ154" s="14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</row>
    <row r="155" spans="1:60" ht="14.25" customHeight="1" x14ac:dyDescent="0.2">
      <c r="A155" s="519"/>
      <c r="B155" s="417"/>
      <c r="C155" s="173">
        <v>145</v>
      </c>
      <c r="D155" s="504"/>
      <c r="E155" s="174">
        <v>1.226574259157398E-3</v>
      </c>
      <c r="F155" s="505"/>
      <c r="G155" s="219">
        <f t="shared" si="20"/>
        <v>31.163849557973151</v>
      </c>
      <c r="H155" s="249">
        <f>H154+(G154*E155*'life-tables-test'!$C$66)</f>
        <v>68.836150442026849</v>
      </c>
      <c r="I155" s="516">
        <f t="shared" si="18"/>
        <v>100</v>
      </c>
      <c r="J155" s="180">
        <f>(G155*0)/(1+cDR)^'Markov Model_b (2)'!cycle</f>
        <v>0</v>
      </c>
      <c r="K155" s="176">
        <f t="shared" si="14"/>
        <v>31.163849557973151</v>
      </c>
      <c r="L155" s="202">
        <f>(G155*(uPostT))/(1+oDR)^'Markov Model_b (2)'!cycle</f>
        <v>16.49033217722312</v>
      </c>
      <c r="M155" s="80"/>
      <c r="N155" s="3"/>
      <c r="O155" s="80"/>
      <c r="P155" s="173">
        <v>145</v>
      </c>
      <c r="Q155" s="504"/>
      <c r="R155" s="174">
        <v>1.226574259157398E-3</v>
      </c>
      <c r="S155" s="505"/>
      <c r="T155" s="219">
        <f t="shared" si="19"/>
        <v>29.360030679617495</v>
      </c>
      <c r="U155" s="249">
        <f>U154+(T154*R155*'life-tables-test'!$C$66)</f>
        <v>70.639969320382505</v>
      </c>
      <c r="V155" s="516">
        <f t="shared" si="16"/>
        <v>100</v>
      </c>
      <c r="W155" s="180">
        <f>(T155*0)/(1+cDR)^'Markov Model_b (2)'!cycle2</f>
        <v>0</v>
      </c>
      <c r="X155" s="176">
        <f t="shared" si="17"/>
        <v>29.360030679617495</v>
      </c>
      <c r="Y155" s="202">
        <f>(T155*(uPostT))/(1+oDR)^'Markov Model_b (2)'!cycle</f>
        <v>15.535842506866574</v>
      </c>
      <c r="Z155" s="80"/>
      <c r="AA155" s="3"/>
      <c r="AB155" s="3"/>
      <c r="AC155" s="14">
        <v>143</v>
      </c>
      <c r="AD155" s="14"/>
      <c r="AE155" s="14"/>
      <c r="AF155" s="3"/>
      <c r="AG155" s="3"/>
      <c r="AH155" s="3"/>
      <c r="AI155" s="14"/>
      <c r="AJ155" s="14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</row>
    <row r="156" spans="1:60" ht="14.25" customHeight="1" x14ac:dyDescent="0.25">
      <c r="A156" s="637" t="s">
        <v>554</v>
      </c>
      <c r="B156" s="417"/>
      <c r="C156" s="506">
        <v>146</v>
      </c>
      <c r="D156" s="506"/>
      <c r="E156" s="507">
        <v>1.226574259157398E-3</v>
      </c>
      <c r="F156" s="508"/>
      <c r="G156" s="509">
        <f t="shared" si="20"/>
        <v>30.972725679552838</v>
      </c>
      <c r="H156" s="510">
        <f>H155+(G155*E156*'life-tables-test'!$C$66)</f>
        <v>69.027274320447162</v>
      </c>
      <c r="I156" s="518">
        <f t="shared" si="18"/>
        <v>100</v>
      </c>
      <c r="J156" s="511">
        <f>(G156*0)/(1+cDR)^'Markov Model_b (2)'!cycle</f>
        <v>0</v>
      </c>
      <c r="K156" s="512">
        <f t="shared" si="14"/>
        <v>30.972725679552838</v>
      </c>
      <c r="L156" s="513">
        <f>(G156*(uPostT))/(1+oDR)^'Markov Model_b (2)'!cycle</f>
        <v>16.348328271676245</v>
      </c>
      <c r="M156" s="80"/>
      <c r="N156" s="3"/>
      <c r="O156" s="80"/>
      <c r="P156" s="506">
        <v>146</v>
      </c>
      <c r="Q156" s="506"/>
      <c r="R156" s="507">
        <v>1.226574259157398E-3</v>
      </c>
      <c r="S156" s="508"/>
      <c r="T156" s="509">
        <f t="shared" si="19"/>
        <v>29.179969390219043</v>
      </c>
      <c r="U156" s="510">
        <f>U155+(T155*R156*'life-tables-test'!$C$66)</f>
        <v>70.820030609780957</v>
      </c>
      <c r="V156" s="518">
        <f t="shared" si="16"/>
        <v>100</v>
      </c>
      <c r="W156" s="511">
        <f>(T156*0)/(1+cDR)^'Markov Model_b (2)'!cycle2</f>
        <v>0</v>
      </c>
      <c r="X156" s="512">
        <f t="shared" si="17"/>
        <v>29.179969390219043</v>
      </c>
      <c r="Y156" s="513">
        <f>(T156*(uPostT))/(1+oDR)^'Markov Model_b (2)'!cycle</f>
        <v>15.402058039202336</v>
      </c>
      <c r="Z156" s="80"/>
      <c r="AA156" s="3"/>
      <c r="AB156" s="3"/>
      <c r="AC156" s="14">
        <v>144</v>
      </c>
      <c r="AD156" s="14"/>
      <c r="AE156" s="14"/>
      <c r="AF156" s="3"/>
      <c r="AG156" s="3"/>
      <c r="AH156" s="3"/>
      <c r="AI156" s="14"/>
      <c r="AJ156" s="14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</row>
    <row r="157" spans="1:60" ht="14.25" customHeight="1" x14ac:dyDescent="0.2">
      <c r="A157" s="637"/>
      <c r="B157" s="417"/>
      <c r="C157" s="173">
        <v>147</v>
      </c>
      <c r="D157" s="165"/>
      <c r="E157" s="174">
        <v>1.3237621699756508E-3</v>
      </c>
      <c r="F157" s="502"/>
      <c r="G157" s="219">
        <f t="shared" si="20"/>
        <v>30.767723066774707</v>
      </c>
      <c r="H157" s="249">
        <f>H156+(G156*E157*'life-tables-test'!$C$66)</f>
        <v>69.232276933225293</v>
      </c>
      <c r="I157" s="516">
        <f t="shared" si="18"/>
        <v>100</v>
      </c>
      <c r="J157" s="153">
        <f>(G157*0)/(1+cDR)^'Markov Model_b (2)'!cycle</f>
        <v>0</v>
      </c>
      <c r="K157" s="178">
        <f t="shared" si="14"/>
        <v>30.767723066774707</v>
      </c>
      <c r="L157" s="202">
        <f>(G157*(uPostT))/(1+oDR)^'Markov Model_b (2)'!cycle</f>
        <v>16.199622722328481</v>
      </c>
      <c r="M157" s="80"/>
      <c r="N157" s="3"/>
      <c r="O157" s="80"/>
      <c r="P157" s="173">
        <v>147</v>
      </c>
      <c r="Q157" s="165"/>
      <c r="R157" s="174">
        <v>1.3237621699756508E-3</v>
      </c>
      <c r="S157" s="502"/>
      <c r="T157" s="219">
        <f t="shared" si="19"/>
        <v>28.986832692219949</v>
      </c>
      <c r="U157" s="249">
        <f>U156+(T156*R157*'life-tables-test'!$C$66)</f>
        <v>71.013167307780051</v>
      </c>
      <c r="V157" s="516">
        <f t="shared" si="16"/>
        <v>100</v>
      </c>
      <c r="W157" s="153">
        <f>(T157*0)/(1+cDR)^'Markov Model_b (2)'!cycle2</f>
        <v>0</v>
      </c>
      <c r="X157" s="178">
        <f t="shared" si="17"/>
        <v>28.986832692219949</v>
      </c>
      <c r="Y157" s="202">
        <f>(T157*(uPostT))/(1+oDR)^'Markov Model_b (2)'!cycle</f>
        <v>15.2619598307651</v>
      </c>
      <c r="Z157" s="80"/>
      <c r="AA157" s="3"/>
      <c r="AB157" s="3"/>
      <c r="AC157" s="14">
        <v>145</v>
      </c>
      <c r="AD157" s="14"/>
      <c r="AE157" s="14"/>
      <c r="AF157" s="3"/>
      <c r="AG157" s="3"/>
      <c r="AH157" s="3"/>
      <c r="AI157" s="14"/>
      <c r="AJ157" s="14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</row>
    <row r="158" spans="1:60" ht="14.25" customHeight="1" x14ac:dyDescent="0.2">
      <c r="A158" s="637"/>
      <c r="B158" s="417"/>
      <c r="C158" s="173">
        <v>148</v>
      </c>
      <c r="D158" s="165"/>
      <c r="E158" s="174">
        <v>1.3237621699756508E-3</v>
      </c>
      <c r="F158" s="502"/>
      <c r="G158" s="219">
        <f t="shared" si="20"/>
        <v>30.564077327514283</v>
      </c>
      <c r="H158" s="249">
        <f>H157+(G157*E158*'life-tables-test'!$C$66)</f>
        <v>69.435922672485717</v>
      </c>
      <c r="I158" s="516">
        <f t="shared" si="18"/>
        <v>100</v>
      </c>
      <c r="J158" s="153">
        <f>(G158*0)/(1+cDR)^'Markov Model_b (2)'!cycle</f>
        <v>0</v>
      </c>
      <c r="K158" s="178">
        <f t="shared" si="14"/>
        <v>30.564077327514283</v>
      </c>
      <c r="L158" s="202">
        <f>(G158*(uPostT))/(1+oDR)^'Markov Model_b (2)'!cycle</f>
        <v>16.052269809167079</v>
      </c>
      <c r="M158" s="80"/>
      <c r="N158" s="3"/>
      <c r="O158" s="80"/>
      <c r="P158" s="173">
        <v>148</v>
      </c>
      <c r="Q158" s="165"/>
      <c r="R158" s="174">
        <v>1.3237621699756508E-3</v>
      </c>
      <c r="S158" s="502"/>
      <c r="T158" s="219">
        <f t="shared" si="19"/>
        <v>28.794974329493073</v>
      </c>
      <c r="U158" s="249">
        <f>U157+(T157*R158*'life-tables-test'!$C$66)</f>
        <v>71.205025670506927</v>
      </c>
      <c r="V158" s="516">
        <f t="shared" si="16"/>
        <v>100</v>
      </c>
      <c r="W158" s="153">
        <f>(T158*0)/(1+cDR)^'Markov Model_b (2)'!cycle2</f>
        <v>0</v>
      </c>
      <c r="X158" s="178">
        <f t="shared" si="17"/>
        <v>28.794974329493073</v>
      </c>
      <c r="Y158" s="202">
        <f>(T158*(uPostT))/(1+oDR)^'Markov Model_b (2)'!cycle</f>
        <v>15.12313596553299</v>
      </c>
      <c r="Z158" s="80"/>
      <c r="AA158" s="3"/>
      <c r="AB158" s="3"/>
      <c r="AC158" s="14">
        <v>146</v>
      </c>
      <c r="AD158" s="14"/>
      <c r="AE158" s="14"/>
      <c r="AF158" s="3"/>
      <c r="AG158" s="3"/>
      <c r="AH158" s="3"/>
      <c r="AI158" s="14"/>
      <c r="AJ158" s="14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</row>
    <row r="159" spans="1:60" ht="14.25" customHeight="1" x14ac:dyDescent="0.2">
      <c r="A159" s="637"/>
      <c r="B159" s="417"/>
      <c r="C159" s="173">
        <v>149</v>
      </c>
      <c r="D159" s="165"/>
      <c r="E159" s="174">
        <v>1.3237621699756508E-3</v>
      </c>
      <c r="F159" s="502"/>
      <c r="G159" s="219">
        <f t="shared" si="20"/>
        <v>30.361779480882419</v>
      </c>
      <c r="H159" s="249">
        <f>H158+(G158*E159*'life-tables-test'!$C$66)</f>
        <v>69.638220519117581</v>
      </c>
      <c r="I159" s="516">
        <f t="shared" si="18"/>
        <v>100</v>
      </c>
      <c r="J159" s="153">
        <f>(G159*0)/(1+cDR)^'Markov Model_b (2)'!cycle</f>
        <v>0</v>
      </c>
      <c r="K159" s="178">
        <f t="shared" si="14"/>
        <v>30.361779480882419</v>
      </c>
      <c r="L159" s="202">
        <f>(G159*(uPostT))/(1+oDR)^'Markov Model_b (2)'!cycle</f>
        <v>15.906257228517703</v>
      </c>
      <c r="M159" s="80"/>
      <c r="N159" s="3"/>
      <c r="O159" s="80"/>
      <c r="P159" s="173">
        <v>149</v>
      </c>
      <c r="Q159" s="165"/>
      <c r="R159" s="174">
        <v>1.3237621699756508E-3</v>
      </c>
      <c r="S159" s="502"/>
      <c r="T159" s="219">
        <f t="shared" si="19"/>
        <v>28.604385840979063</v>
      </c>
      <c r="U159" s="249">
        <f>U158+(T158*R159*'life-tables-test'!$C$66)</f>
        <v>71.395614159020937</v>
      </c>
      <c r="V159" s="516">
        <f t="shared" si="16"/>
        <v>100</v>
      </c>
      <c r="W159" s="153">
        <f>(T159*0)/(1+cDR)^'Markov Model_b (2)'!cycle2</f>
        <v>0</v>
      </c>
      <c r="X159" s="178">
        <f t="shared" si="17"/>
        <v>28.604385840979063</v>
      </c>
      <c r="Y159" s="202">
        <f>(T159*(uPostT))/(1+oDR)^'Markov Model_b (2)'!cycle</f>
        <v>14.985574851990167</v>
      </c>
      <c r="Z159" s="80"/>
      <c r="AA159" s="3"/>
      <c r="AB159" s="3"/>
      <c r="AC159" s="14">
        <v>147</v>
      </c>
      <c r="AD159" s="14"/>
      <c r="AE159" s="14"/>
      <c r="AF159" s="3"/>
      <c r="AG159" s="3"/>
      <c r="AH159" s="3"/>
      <c r="AI159" s="14"/>
      <c r="AJ159" s="14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</row>
    <row r="160" spans="1:60" ht="14.25" customHeight="1" x14ac:dyDescent="0.2">
      <c r="A160" s="637"/>
      <c r="B160" s="417"/>
      <c r="C160" s="173">
        <v>150</v>
      </c>
      <c r="D160" s="165"/>
      <c r="E160" s="174">
        <v>1.3237621699756508E-3</v>
      </c>
      <c r="F160" s="502"/>
      <c r="G160" s="219">
        <f t="shared" si="20"/>
        <v>30.160820605432747</v>
      </c>
      <c r="H160" s="249">
        <f>H159+(G159*E160*'life-tables-test'!$C$66)</f>
        <v>69.839179394567253</v>
      </c>
      <c r="I160" s="516">
        <f t="shared" si="18"/>
        <v>100</v>
      </c>
      <c r="J160" s="153">
        <f>(G160*0)/(1+cDR)^'Markov Model_b (2)'!cycle</f>
        <v>0</v>
      </c>
      <c r="K160" s="178">
        <f t="shared" si="14"/>
        <v>30.160820605432747</v>
      </c>
      <c r="L160" s="202">
        <f>(G160*(uPostT))/(1+oDR)^'Markov Model_b (2)'!cycle</f>
        <v>15.761572788621088</v>
      </c>
      <c r="M160" s="80"/>
      <c r="N160" s="3"/>
      <c r="O160" s="80"/>
      <c r="P160" s="173">
        <v>150</v>
      </c>
      <c r="Q160" s="165"/>
      <c r="R160" s="174">
        <v>1.3237621699756508E-3</v>
      </c>
      <c r="S160" s="502"/>
      <c r="T160" s="219">
        <f t="shared" si="19"/>
        <v>28.41505882162069</v>
      </c>
      <c r="U160" s="249">
        <f>U159+(T159*R160*'life-tables-test'!$C$66)</f>
        <v>71.58494117837931</v>
      </c>
      <c r="V160" s="516">
        <f t="shared" si="16"/>
        <v>100</v>
      </c>
      <c r="W160" s="153">
        <f>(T160*0)/(1+cDR)^'Markov Model_b (2)'!cycle2</f>
        <v>0</v>
      </c>
      <c r="X160" s="178">
        <f t="shared" si="17"/>
        <v>28.41505882162069</v>
      </c>
      <c r="Y160" s="202">
        <f>(T160*(uPostT))/(1+oDR)^'Markov Model_b (2)'!cycle</f>
        <v>14.849265004058012</v>
      </c>
      <c r="Z160" s="80"/>
      <c r="AA160" s="3"/>
      <c r="AB160" s="3"/>
      <c r="AC160" s="14">
        <v>148</v>
      </c>
      <c r="AD160" s="14"/>
      <c r="AE160" s="14"/>
      <c r="AF160" s="3"/>
      <c r="AG160" s="3"/>
      <c r="AH160" s="3"/>
      <c r="AI160" s="14"/>
      <c r="AJ160" s="14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</row>
    <row r="161" spans="1:58" ht="14.25" customHeight="1" x14ac:dyDescent="0.2">
      <c r="A161" s="637"/>
      <c r="B161" s="417"/>
      <c r="C161" s="173">
        <v>151</v>
      </c>
      <c r="D161" s="165"/>
      <c r="E161" s="174">
        <v>1.3237621699756508E-3</v>
      </c>
      <c r="F161" s="502"/>
      <c r="G161" s="219">
        <f t="shared" si="20"/>
        <v>29.961191838768272</v>
      </c>
      <c r="H161" s="249">
        <f>H160+(G160*E161*'life-tables-test'!$C$66)</f>
        <v>70.038808161231728</v>
      </c>
      <c r="I161" s="516">
        <f t="shared" si="18"/>
        <v>100</v>
      </c>
      <c r="J161" s="153">
        <f>(G161*0)/(1+cDR)^'Markov Model_b (2)'!cycle</f>
        <v>0</v>
      </c>
      <c r="K161" s="178">
        <f t="shared" si="14"/>
        <v>29.961191838768272</v>
      </c>
      <c r="L161" s="202">
        <f>(G161*(uPostT))/(1+oDR)^'Markov Model_b (2)'!cycle</f>
        <v>15.618204408615075</v>
      </c>
      <c r="M161" s="80"/>
      <c r="N161" s="3"/>
      <c r="O161" s="80"/>
      <c r="P161" s="173">
        <v>151</v>
      </c>
      <c r="Q161" s="165"/>
      <c r="R161" s="174">
        <v>1.3237621699756508E-3</v>
      </c>
      <c r="S161" s="502"/>
      <c r="T161" s="219">
        <f t="shared" si="19"/>
        <v>28.226984921992212</v>
      </c>
      <c r="U161" s="249">
        <f>U160+(T160*R161*'life-tables-test'!$C$66)</f>
        <v>71.773015078007788</v>
      </c>
      <c r="V161" s="516">
        <f t="shared" si="16"/>
        <v>100</v>
      </c>
      <c r="W161" s="153">
        <f>(T161*0)/(1+cDR)^'Markov Model_b (2)'!cycle2</f>
        <v>0</v>
      </c>
      <c r="X161" s="178">
        <f t="shared" si="17"/>
        <v>28.226984921992212</v>
      </c>
      <c r="Y161" s="202">
        <f>(T161*(uPostT))/(1+oDR)^'Markov Model_b (2)'!cycle</f>
        <v>14.71419504013609</v>
      </c>
      <c r="Z161" s="80"/>
      <c r="AA161" s="3"/>
      <c r="AB161" s="3"/>
      <c r="AC161" s="14">
        <v>149</v>
      </c>
      <c r="AD161" s="14"/>
      <c r="AE161" s="14"/>
      <c r="AF161" s="3"/>
      <c r="AG161" s="3"/>
      <c r="AH161" s="3"/>
      <c r="AI161" s="14"/>
      <c r="AJ161" s="14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</row>
    <row r="162" spans="1:58" ht="14.25" customHeight="1" x14ac:dyDescent="0.2">
      <c r="A162" s="637"/>
      <c r="B162" s="417"/>
      <c r="C162" s="173">
        <v>152</v>
      </c>
      <c r="D162" s="165"/>
      <c r="E162" s="174">
        <v>1.3237621699756508E-3</v>
      </c>
      <c r="F162" s="502"/>
      <c r="G162" s="219">
        <f t="shared" si="20"/>
        <v>29.762884377150556</v>
      </c>
      <c r="H162" s="249">
        <f>H161+(G161*E162*'life-tables-test'!$C$66)</f>
        <v>70.237115622849444</v>
      </c>
      <c r="I162" s="516">
        <f t="shared" si="18"/>
        <v>100</v>
      </c>
      <c r="J162" s="153">
        <f>(G162*0)/(1+cDR)^'Markov Model_b (2)'!cycle</f>
        <v>0</v>
      </c>
      <c r="K162" s="178">
        <f t="shared" si="14"/>
        <v>29.762884377150556</v>
      </c>
      <c r="L162" s="202">
        <f>(G162*(uPostT))/(1+oDR)^'Markov Model_b (2)'!cycle</f>
        <v>15.476140117525906</v>
      </c>
      <c r="M162" s="80"/>
      <c r="N162" s="3"/>
      <c r="O162" s="80"/>
      <c r="P162" s="173">
        <v>152</v>
      </c>
      <c r="Q162" s="165"/>
      <c r="R162" s="174">
        <v>1.3237621699756508E-3</v>
      </c>
      <c r="S162" s="502"/>
      <c r="T162" s="219">
        <f t="shared" si="19"/>
        <v>28.040155847931175</v>
      </c>
      <c r="U162" s="249">
        <f>U161+(T161*R162*'life-tables-test'!$C$66)</f>
        <v>71.959844152068825</v>
      </c>
      <c r="V162" s="516">
        <f t="shared" si="16"/>
        <v>100</v>
      </c>
      <c r="W162" s="153">
        <f>(T162*0)/(1+cDR)^'Markov Model_b (2)'!cycle2</f>
        <v>0</v>
      </c>
      <c r="X162" s="178">
        <f t="shared" si="17"/>
        <v>28.040155847931175</v>
      </c>
      <c r="Y162" s="202">
        <f>(T162*(uPostT))/(1+oDR)^'Markov Model_b (2)'!cycle</f>
        <v>14.580353682151831</v>
      </c>
      <c r="Z162" s="80"/>
      <c r="AA162" s="3"/>
      <c r="AB162" s="3"/>
      <c r="AC162" s="14">
        <v>150</v>
      </c>
      <c r="AD162" s="14"/>
      <c r="AE162" s="14"/>
      <c r="AF162" s="3"/>
      <c r="AG162" s="3"/>
      <c r="AH162" s="3"/>
      <c r="AI162" s="14"/>
      <c r="AJ162" s="14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</row>
    <row r="163" spans="1:58" ht="14.25" customHeight="1" x14ac:dyDescent="0.2">
      <c r="A163" s="637"/>
      <c r="B163" s="417"/>
      <c r="C163" s="173">
        <v>153</v>
      </c>
      <c r="D163" s="165"/>
      <c r="E163" s="174">
        <v>1.3237621699756508E-3</v>
      </c>
      <c r="F163" s="502"/>
      <c r="G163" s="219">
        <f t="shared" si="20"/>
        <v>29.565889475111405</v>
      </c>
      <c r="H163" s="249">
        <f>H162+(G162*E163*'life-tables-test'!$C$66)</f>
        <v>70.434110524888595</v>
      </c>
      <c r="I163" s="516">
        <f t="shared" si="18"/>
        <v>100</v>
      </c>
      <c r="J163" s="153">
        <f>(G163*0)/(1+cDR)^'Markov Model_b (2)'!cycle</f>
        <v>0</v>
      </c>
      <c r="K163" s="178">
        <f t="shared" si="14"/>
        <v>29.565889475111405</v>
      </c>
      <c r="L163" s="202">
        <f>(G163*(uPostT))/(1+oDR)^'Markov Model_b (2)'!cycle</f>
        <v>15.335368053268619</v>
      </c>
      <c r="M163" s="80"/>
      <c r="N163" s="3"/>
      <c r="O163" s="80"/>
      <c r="P163" s="173">
        <v>153</v>
      </c>
      <c r="Q163" s="165"/>
      <c r="R163" s="174">
        <v>1.3237621699756508E-3</v>
      </c>
      <c r="S163" s="502"/>
      <c r="T163" s="219">
        <f t="shared" si="19"/>
        <v>27.854563360172605</v>
      </c>
      <c r="U163" s="249">
        <f>U162+(T162*R163*'life-tables-test'!$C$66)</f>
        <v>72.145436639827395</v>
      </c>
      <c r="V163" s="516">
        <f t="shared" si="16"/>
        <v>100</v>
      </c>
      <c r="W163" s="153">
        <f>(T163*0)/(1+cDR)^'Markov Model_b (2)'!cycle2</f>
        <v>0</v>
      </c>
      <c r="X163" s="178">
        <f t="shared" si="17"/>
        <v>27.854563360172605</v>
      </c>
      <c r="Y163" s="202">
        <f>(T163*(uPostT))/(1+oDR)^'Markov Model_b (2)'!cycle</f>
        <v>14.447729754618791</v>
      </c>
      <c r="Z163" s="80"/>
      <c r="AA163" s="3"/>
      <c r="AB163" s="3"/>
      <c r="AC163" s="14">
        <v>151</v>
      </c>
      <c r="AD163" s="14"/>
      <c r="AE163" s="14"/>
      <c r="AF163" s="3"/>
      <c r="AG163" s="3"/>
      <c r="AH163" s="3"/>
      <c r="AI163" s="14"/>
      <c r="AJ163" s="14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</row>
    <row r="164" spans="1:58" ht="14.25" customHeight="1" x14ac:dyDescent="0.2">
      <c r="A164" s="637"/>
      <c r="B164" s="417"/>
      <c r="C164" s="173">
        <v>154</v>
      </c>
      <c r="D164" s="165"/>
      <c r="E164" s="174">
        <v>1.3237621699756508E-3</v>
      </c>
      <c r="F164" s="502"/>
      <c r="G164" s="219">
        <f t="shared" si="20"/>
        <v>29.370198445067231</v>
      </c>
      <c r="H164" s="249">
        <f>H163+(G163*E164*'life-tables-test'!$C$66)</f>
        <v>70.629801554932769</v>
      </c>
      <c r="I164" s="516">
        <f t="shared" si="18"/>
        <v>100</v>
      </c>
      <c r="J164" s="153">
        <f>(G164*0)/(1+cDR)^'Markov Model_b (2)'!cycle</f>
        <v>0</v>
      </c>
      <c r="K164" s="178">
        <f t="shared" si="14"/>
        <v>29.370198445067231</v>
      </c>
      <c r="L164" s="202">
        <f>(G164*(uPostT))/(1+oDR)^'Markov Model_b (2)'!cycle</f>
        <v>15.195876461656628</v>
      </c>
      <c r="M164" s="80"/>
      <c r="N164" s="3"/>
      <c r="O164" s="80"/>
      <c r="P164" s="173">
        <v>154</v>
      </c>
      <c r="Q164" s="165"/>
      <c r="R164" s="174">
        <v>1.3237621699756508E-3</v>
      </c>
      <c r="S164" s="502"/>
      <c r="T164" s="219">
        <f t="shared" si="19"/>
        <v>27.670199273985673</v>
      </c>
      <c r="U164" s="249">
        <f>U163+(T163*R164*'life-tables-test'!$C$66)</f>
        <v>72.329800726014327</v>
      </c>
      <c r="V164" s="516">
        <f t="shared" si="16"/>
        <v>100</v>
      </c>
      <c r="W164" s="153">
        <f>(T164*0)/(1+cDR)^'Markov Model_b (2)'!cycle2</f>
        <v>0</v>
      </c>
      <c r="X164" s="178">
        <f t="shared" si="17"/>
        <v>27.670199273985673</v>
      </c>
      <c r="Y164" s="202">
        <f>(T164*(uPostT))/(1+oDR)^'Markov Model_b (2)'!cycle</f>
        <v>14.316312183703552</v>
      </c>
      <c r="Z164" s="80"/>
      <c r="AA164" s="3"/>
      <c r="AB164" s="3"/>
      <c r="AC164" s="14">
        <v>152</v>
      </c>
      <c r="AD164" s="14"/>
      <c r="AE164" s="14"/>
      <c r="AF164" s="3"/>
      <c r="AG164" s="3"/>
      <c r="AH164" s="3"/>
      <c r="AI164" s="14"/>
      <c r="AJ164" s="14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</row>
    <row r="165" spans="1:58" ht="14.25" customHeight="1" x14ac:dyDescent="0.2">
      <c r="A165" s="637"/>
      <c r="B165" s="417"/>
      <c r="C165" s="173">
        <v>155</v>
      </c>
      <c r="D165" s="165"/>
      <c r="E165" s="174">
        <v>1.3237621699756508E-3</v>
      </c>
      <c r="F165" s="502"/>
      <c r="G165" s="219">
        <f t="shared" si="20"/>
        <v>29.175802656935943</v>
      </c>
      <c r="H165" s="249">
        <f>H164+(G164*E165*'life-tables-test'!$C$66)</f>
        <v>70.824197343064057</v>
      </c>
      <c r="I165" s="516">
        <f t="shared" si="18"/>
        <v>100</v>
      </c>
      <c r="J165" s="153">
        <f>(G165*0)/(1+cDR)^'Markov Model_b (2)'!cycle</f>
        <v>0</v>
      </c>
      <c r="K165" s="178">
        <f t="shared" si="14"/>
        <v>29.175802656935943</v>
      </c>
      <c r="L165" s="202">
        <f>(G165*(uPostT))/(1+oDR)^'Markov Model_b (2)'!cycle</f>
        <v>15.057653695420253</v>
      </c>
      <c r="M165" s="80"/>
      <c r="N165" s="3"/>
      <c r="O165" s="80"/>
      <c r="P165" s="173">
        <v>155</v>
      </c>
      <c r="Q165" s="165"/>
      <c r="R165" s="174">
        <v>1.3237621699756508E-3</v>
      </c>
      <c r="S165" s="502"/>
      <c r="T165" s="219">
        <f t="shared" si="19"/>
        <v>27.487055458812719</v>
      </c>
      <c r="U165" s="249">
        <f>U164+(T164*R165*'life-tables-test'!$C$66)</f>
        <v>72.512944541187281</v>
      </c>
      <c r="V165" s="516">
        <f t="shared" si="16"/>
        <v>100</v>
      </c>
      <c r="W165" s="153">
        <f>(T165*0)/(1+cDR)^'Markov Model_b (2)'!cycle2</f>
        <v>0</v>
      </c>
      <c r="X165" s="178">
        <f t="shared" si="17"/>
        <v>27.487055458812719</v>
      </c>
      <c r="Y165" s="202">
        <f>(T165*(uPostT))/(1+oDR)^'Markov Model_b (2)'!cycle</f>
        <v>14.186089996301057</v>
      </c>
      <c r="Z165" s="80"/>
      <c r="AA165" s="3"/>
      <c r="AB165" s="3"/>
      <c r="AC165" s="14">
        <v>153</v>
      </c>
      <c r="AD165" s="14"/>
      <c r="AE165" s="14"/>
      <c r="AF165" s="3"/>
      <c r="AG165" s="3"/>
      <c r="AH165" s="3"/>
      <c r="AI165" s="14"/>
      <c r="AJ165" s="14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</row>
    <row r="166" spans="1:58" ht="14.25" customHeight="1" x14ac:dyDescent="0.2">
      <c r="A166" s="637"/>
      <c r="B166" s="417"/>
      <c r="C166" s="173">
        <v>156</v>
      </c>
      <c r="D166" s="165"/>
      <c r="E166" s="174">
        <v>1.3237621699756508E-3</v>
      </c>
      <c r="F166" s="502"/>
      <c r="G166" s="219">
        <f t="shared" si="20"/>
        <v>28.982693537756305</v>
      </c>
      <c r="H166" s="249">
        <f>H165+(G165*E166*'life-tables-test'!$C$66)</f>
        <v>71.017306462243695</v>
      </c>
      <c r="I166" s="516">
        <f t="shared" si="18"/>
        <v>100</v>
      </c>
      <c r="J166" s="153">
        <f>(G166*0)/(1+cDR)^'Markov Model_b (2)'!cycle</f>
        <v>0</v>
      </c>
      <c r="K166" s="178">
        <f t="shared" si="14"/>
        <v>28.982693537756305</v>
      </c>
      <c r="L166" s="202">
        <f>(G166*(uPostT))/(1+oDR)^'Markov Model_b (2)'!cycle</f>
        <v>14.920688213234209</v>
      </c>
      <c r="M166" s="80"/>
      <c r="N166" s="3"/>
      <c r="O166" s="80"/>
      <c r="P166" s="173">
        <v>156</v>
      </c>
      <c r="Q166" s="165"/>
      <c r="R166" s="174">
        <v>1.3237621699756508E-3</v>
      </c>
      <c r="S166" s="502"/>
      <c r="T166" s="219">
        <f t="shared" si="19"/>
        <v>27.305123837910728</v>
      </c>
      <c r="U166" s="249">
        <f>U165+(T165*R166*'life-tables-test'!$C$66)</f>
        <v>72.694876162089272</v>
      </c>
      <c r="V166" s="516">
        <f t="shared" si="16"/>
        <v>100</v>
      </c>
      <c r="W166" s="153">
        <f>(T166*0)/(1+cDR)^'Markov Model_b (2)'!cycle2</f>
        <v>0</v>
      </c>
      <c r="X166" s="178">
        <f t="shared" si="17"/>
        <v>27.305123837910728</v>
      </c>
      <c r="Y166" s="202">
        <f>(T166*(uPostT))/(1+oDR)^'Markov Model_b (2)'!cycle</f>
        <v>14.057052319118398</v>
      </c>
      <c r="Z166" s="80"/>
      <c r="AA166" s="3"/>
      <c r="AB166" s="3"/>
      <c r="AC166" s="14">
        <v>154</v>
      </c>
      <c r="AD166" s="14"/>
      <c r="AE166" s="14"/>
      <c r="AF166" s="3"/>
      <c r="AG166" s="3"/>
      <c r="AH166" s="3"/>
      <c r="AI166" s="14"/>
      <c r="AJ166" s="14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</row>
    <row r="167" spans="1:58" ht="14.25" customHeight="1" x14ac:dyDescent="0.2">
      <c r="A167" s="519"/>
      <c r="B167" s="417"/>
      <c r="C167" s="173">
        <v>157</v>
      </c>
      <c r="D167" s="504"/>
      <c r="E167" s="174">
        <v>1.3237621699756508E-3</v>
      </c>
      <c r="F167" s="505"/>
      <c r="G167" s="219">
        <f t="shared" si="20"/>
        <v>28.790862571309901</v>
      </c>
      <c r="H167" s="249">
        <f>H166+(G166*E167*'life-tables-test'!$C$66)</f>
        <v>71.209137428690099</v>
      </c>
      <c r="I167" s="516">
        <f t="shared" si="18"/>
        <v>100</v>
      </c>
      <c r="J167" s="180">
        <f>(G167*0)/(1+cDR)^'Markov Model_b (2)'!cycle</f>
        <v>0</v>
      </c>
      <c r="K167" s="176">
        <f t="shared" si="14"/>
        <v>28.790862571309901</v>
      </c>
      <c r="L167" s="202">
        <f>(G167*(uPostT))/(1+oDR)^'Markov Model_b (2)'!cycle</f>
        <v>14.784968578753917</v>
      </c>
      <c r="M167" s="80"/>
      <c r="N167" s="3"/>
      <c r="O167" s="80"/>
      <c r="P167" s="173">
        <v>157</v>
      </c>
      <c r="Q167" s="504"/>
      <c r="R167" s="174">
        <v>1.3237621699756508E-3</v>
      </c>
      <c r="S167" s="505"/>
      <c r="T167" s="219">
        <f t="shared" si="19"/>
        <v>27.124396387995091</v>
      </c>
      <c r="U167" s="249">
        <f>U166+(T166*R167*'life-tables-test'!$C$66)</f>
        <v>72.875603612004909</v>
      </c>
      <c r="V167" s="516">
        <f t="shared" si="16"/>
        <v>100</v>
      </c>
      <c r="W167" s="180">
        <f>(T167*0)/(1+cDR)^'Markov Model_b (2)'!cycle2</f>
        <v>0</v>
      </c>
      <c r="X167" s="176">
        <f t="shared" si="17"/>
        <v>27.124396387995091</v>
      </c>
      <c r="Y167" s="202">
        <f>(T167*(uPostT))/(1+oDR)^'Markov Model_b (2)'!cycle</f>
        <v>13.92918837776689</v>
      </c>
      <c r="Z167" s="80"/>
      <c r="AA167" s="3"/>
      <c r="AB167" s="3"/>
      <c r="AC167" s="14">
        <v>155</v>
      </c>
      <c r="AD167" s="14"/>
      <c r="AE167" s="14"/>
      <c r="AF167" s="3"/>
      <c r="AG167" s="3"/>
      <c r="AH167" s="3"/>
      <c r="AI167" s="14"/>
      <c r="AJ167" s="14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</row>
    <row r="168" spans="1:58" ht="14.25" customHeight="1" x14ac:dyDescent="0.25">
      <c r="A168" s="637" t="s">
        <v>555</v>
      </c>
      <c r="B168" s="417"/>
      <c r="C168" s="506">
        <v>158</v>
      </c>
      <c r="D168" s="506"/>
      <c r="E168" s="507">
        <v>1.3237621699756508E-3</v>
      </c>
      <c r="F168" s="508"/>
      <c r="G168" s="509">
        <f t="shared" si="20"/>
        <v>28.60030129774556</v>
      </c>
      <c r="H168" s="510">
        <f>H167+(G167*E168*'life-tables-test'!$C$66)</f>
        <v>71.39969870225444</v>
      </c>
      <c r="I168" s="518">
        <f t="shared" si="18"/>
        <v>100</v>
      </c>
      <c r="J168" s="511">
        <f>(G168*0)/(1+cDR)^'Markov Model_b (2)'!cycle</f>
        <v>0</v>
      </c>
      <c r="K168" s="512">
        <f t="shared" si="14"/>
        <v>28.60030129774556</v>
      </c>
      <c r="L168" s="513">
        <f>(G168*(uPostT))/(1+oDR)^'Markov Model_b (2)'!cycle</f>
        <v>14.650483459660601</v>
      </c>
      <c r="M168" s="80"/>
      <c r="N168" s="3"/>
      <c r="O168" s="80"/>
      <c r="P168" s="506">
        <v>158</v>
      </c>
      <c r="Q168" s="506"/>
      <c r="R168" s="507">
        <v>1.3237621699756508E-3</v>
      </c>
      <c r="S168" s="508"/>
      <c r="T168" s="509">
        <f t="shared" si="19"/>
        <v>26.944865138885831</v>
      </c>
      <c r="U168" s="510">
        <f>U167+(T167*R168*'life-tables-test'!$C$66)</f>
        <v>73.055134861114169</v>
      </c>
      <c r="V168" s="518">
        <f t="shared" si="16"/>
        <v>100</v>
      </c>
      <c r="W168" s="511">
        <f>(T168*0)/(1+cDR)^'Markov Model_b (2)'!cycle2</f>
        <v>0</v>
      </c>
      <c r="X168" s="512">
        <f t="shared" si="17"/>
        <v>26.944865138885831</v>
      </c>
      <c r="Y168" s="513">
        <f>(T168*(uPostT))/(1+oDR)^'Markov Model_b (2)'!cycle</f>
        <v>13.802487495862476</v>
      </c>
      <c r="Z168" s="80"/>
      <c r="AA168" s="3"/>
      <c r="AB168" s="3"/>
      <c r="AC168" s="14">
        <v>156</v>
      </c>
      <c r="AD168" s="14"/>
      <c r="AE168" s="14"/>
      <c r="AF168" s="3"/>
      <c r="AG168" s="3"/>
      <c r="AH168" s="3"/>
      <c r="AI168" s="14"/>
      <c r="AJ168" s="14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</row>
    <row r="169" spans="1:58" ht="14.25" customHeight="1" x14ac:dyDescent="0.2">
      <c r="A169" s="637"/>
      <c r="B169" s="417"/>
      <c r="C169" s="173">
        <v>159</v>
      </c>
      <c r="D169" s="165"/>
      <c r="E169" s="174">
        <v>1.4362919947250585E-3</v>
      </c>
      <c r="F169" s="502"/>
      <c r="G169" s="219">
        <f t="shared" si="20"/>
        <v>28.39490937874217</v>
      </c>
      <c r="H169" s="249">
        <f>H168+(G168*E169*'life-tables-test'!$C$66)</f>
        <v>71.60509062125783</v>
      </c>
      <c r="I169" s="516">
        <f t="shared" si="18"/>
        <v>100</v>
      </c>
      <c r="J169" s="153">
        <f>(G169*0)/(1+cDR)^'Markov Model_b (2)'!cycle</f>
        <v>0</v>
      </c>
      <c r="K169" s="178">
        <f t="shared" si="14"/>
        <v>28.39490937874217</v>
      </c>
      <c r="L169" s="202">
        <f>(G169*(uPostT))/(1+oDR)^'Markov Model_b (2)'!cycle</f>
        <v>14.508999101347419</v>
      </c>
      <c r="M169" s="80"/>
      <c r="N169" s="3"/>
      <c r="O169" s="80"/>
      <c r="P169" s="173">
        <v>159</v>
      </c>
      <c r="Q169" s="165"/>
      <c r="R169" s="174">
        <v>1.4362919947250585E-3</v>
      </c>
      <c r="S169" s="502"/>
      <c r="T169" s="219">
        <f t="shared" si="19"/>
        <v>26.751361668396186</v>
      </c>
      <c r="U169" s="249">
        <f>U168+(T168*R169*'life-tables-test'!$C$66)</f>
        <v>73.248638331603814</v>
      </c>
      <c r="V169" s="516">
        <f t="shared" si="16"/>
        <v>100</v>
      </c>
      <c r="W169" s="153">
        <f>(T169*0)/(1+cDR)^'Markov Model_b (2)'!cycle2</f>
        <v>0</v>
      </c>
      <c r="X169" s="178">
        <f t="shared" si="17"/>
        <v>26.751361668396186</v>
      </c>
      <c r="Y169" s="202">
        <f>(T169*(uPostT))/(1+oDR)^'Markov Model_b (2)'!cycle</f>
        <v>13.669192503116683</v>
      </c>
      <c r="Z169" s="80"/>
      <c r="AA169" s="3"/>
      <c r="AB169" s="3"/>
      <c r="AC169" s="14">
        <v>157</v>
      </c>
      <c r="AD169" s="14"/>
      <c r="AE169" s="14"/>
      <c r="AF169" s="3"/>
      <c r="AG169" s="3"/>
      <c r="AH169" s="3"/>
      <c r="AI169" s="14"/>
      <c r="AJ169" s="14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</row>
    <row r="170" spans="1:58" ht="14.25" customHeight="1" x14ac:dyDescent="0.2">
      <c r="A170" s="637"/>
      <c r="B170" s="417"/>
      <c r="C170" s="173">
        <v>160</v>
      </c>
      <c r="D170" s="165"/>
      <c r="E170" s="174">
        <v>1.4362919947250585E-3</v>
      </c>
      <c r="F170" s="502"/>
      <c r="G170" s="219">
        <f t="shared" si="20"/>
        <v>28.190992473584018</v>
      </c>
      <c r="H170" s="249">
        <f>H169+(G169*E170*'life-tables-test'!$C$66)</f>
        <v>71.809007526415982</v>
      </c>
      <c r="I170" s="516">
        <f t="shared" si="18"/>
        <v>100</v>
      </c>
      <c r="J170" s="153">
        <f>(G170*0)/(1+cDR)^'Markov Model_b (2)'!cycle</f>
        <v>0</v>
      </c>
      <c r="K170" s="178">
        <f t="shared" si="14"/>
        <v>28.190992473584018</v>
      </c>
      <c r="L170" s="202">
        <f>(G170*(uPostT))/(1+oDR)^'Markov Model_b (2)'!cycle</f>
        <v>14.368881102288006</v>
      </c>
      <c r="M170" s="80"/>
      <c r="N170" s="3"/>
      <c r="O170" s="80"/>
      <c r="P170" s="173">
        <v>160</v>
      </c>
      <c r="Q170" s="165"/>
      <c r="R170" s="174">
        <v>1.4362919947250585E-3</v>
      </c>
      <c r="S170" s="502"/>
      <c r="T170" s="219">
        <f t="shared" si="19"/>
        <v>26.559247835334631</v>
      </c>
      <c r="U170" s="249">
        <f>U169+(T169*R170*'life-tables-test'!$C$66)</f>
        <v>73.440752164665369</v>
      </c>
      <c r="V170" s="516">
        <f t="shared" si="16"/>
        <v>100</v>
      </c>
      <c r="W170" s="153">
        <f>(T170*0)/(1+cDR)^'Markov Model_b (2)'!cycle2</f>
        <v>0</v>
      </c>
      <c r="X170" s="178">
        <f t="shared" si="17"/>
        <v>26.559247835334631</v>
      </c>
      <c r="Y170" s="202">
        <f>(T170*(uPostT))/(1+oDR)^'Markov Model_b (2)'!cycle</f>
        <v>13.537184782327953</v>
      </c>
      <c r="Z170" s="80"/>
      <c r="AA170" s="3"/>
      <c r="AB170" s="3"/>
      <c r="AC170" s="14">
        <v>158</v>
      </c>
      <c r="AD170" s="14"/>
      <c r="AE170" s="14"/>
      <c r="AF170" s="3"/>
      <c r="AG170" s="3"/>
      <c r="AH170" s="3"/>
      <c r="AI170" s="14"/>
      <c r="AJ170" s="14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</row>
    <row r="171" spans="1:58" ht="14.25" customHeight="1" x14ac:dyDescent="0.2">
      <c r="A171" s="637"/>
      <c r="B171" s="417"/>
      <c r="C171" s="173">
        <v>161</v>
      </c>
      <c r="D171" s="165"/>
      <c r="E171" s="174">
        <v>1.4362919947250585E-3</v>
      </c>
      <c r="F171" s="502"/>
      <c r="G171" s="219">
        <f t="shared" si="20"/>
        <v>27.988539989518202</v>
      </c>
      <c r="H171" s="249">
        <f>H170+(G170*E171*'life-tables-test'!$C$66)</f>
        <v>72.011460010481798</v>
      </c>
      <c r="I171" s="516">
        <f t="shared" si="18"/>
        <v>100</v>
      </c>
      <c r="J171" s="153">
        <f>(G171*0)/(1+cDR)^'Markov Model_b (2)'!cycle</f>
        <v>0</v>
      </c>
      <c r="K171" s="178">
        <f t="shared" si="14"/>
        <v>27.988539989518202</v>
      </c>
      <c r="L171" s="202">
        <f>(G171*(uPostT))/(1+oDR)^'Markov Model_b (2)'!cycle</f>
        <v>14.230116267118348</v>
      </c>
      <c r="M171" s="80"/>
      <c r="N171" s="3"/>
      <c r="O171" s="80"/>
      <c r="P171" s="173">
        <v>161</v>
      </c>
      <c r="Q171" s="165"/>
      <c r="R171" s="174">
        <v>1.4362919947250585E-3</v>
      </c>
      <c r="S171" s="502"/>
      <c r="T171" s="219">
        <f t="shared" si="19"/>
        <v>26.368513660075578</v>
      </c>
      <c r="U171" s="249">
        <f>U170+(T170*R171*'life-tables-test'!$C$66)</f>
        <v>73.631486339924422</v>
      </c>
      <c r="V171" s="516">
        <f t="shared" si="16"/>
        <v>100</v>
      </c>
      <c r="W171" s="153">
        <f>(T171*0)/(1+cDR)^'Markov Model_b (2)'!cycle2</f>
        <v>0</v>
      </c>
      <c r="X171" s="178">
        <f t="shared" si="17"/>
        <v>26.368513660075578</v>
      </c>
      <c r="Y171" s="202">
        <f>(T171*(uPostT))/(1+oDR)^'Markov Model_b (2)'!cycle</f>
        <v>13.406451901903335</v>
      </c>
      <c r="Z171" s="80"/>
      <c r="AA171" s="3"/>
      <c r="AB171" s="3"/>
      <c r="AC171" s="14">
        <v>159</v>
      </c>
      <c r="AD171" s="14"/>
      <c r="AE171" s="14"/>
      <c r="AF171" s="3"/>
      <c r="AG171" s="3"/>
      <c r="AH171" s="3"/>
      <c r="AI171" s="14"/>
      <c r="AJ171" s="14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</row>
    <row r="172" spans="1:58" ht="14.25" customHeight="1" x14ac:dyDescent="0.2">
      <c r="A172" s="637"/>
      <c r="B172" s="417"/>
      <c r="C172" s="173">
        <v>162</v>
      </c>
      <c r="D172" s="165"/>
      <c r="E172" s="174">
        <v>1.4362919947250585E-3</v>
      </c>
      <c r="F172" s="502"/>
      <c r="G172" s="219">
        <f t="shared" si="20"/>
        <v>27.787541409863266</v>
      </c>
      <c r="H172" s="249">
        <f>H171+(G171*E172*'life-tables-test'!$C$66)</f>
        <v>72.212458590136734</v>
      </c>
      <c r="I172" s="516">
        <f t="shared" si="18"/>
        <v>100</v>
      </c>
      <c r="J172" s="153">
        <f>(G172*0)/(1+cDR)^'Markov Model_b (2)'!cycle</f>
        <v>0</v>
      </c>
      <c r="K172" s="178">
        <f t="shared" si="14"/>
        <v>27.787541409863266</v>
      </c>
      <c r="L172" s="202">
        <f>(G172*(uPostT))/(1+oDR)^'Markov Model_b (2)'!cycle</f>
        <v>14.092691527906242</v>
      </c>
      <c r="M172" s="80"/>
      <c r="N172" s="3"/>
      <c r="O172" s="80"/>
      <c r="P172" s="173">
        <v>162</v>
      </c>
      <c r="Q172" s="165"/>
      <c r="R172" s="174">
        <v>1.4362919947250585E-3</v>
      </c>
      <c r="S172" s="502"/>
      <c r="T172" s="219">
        <f t="shared" si="19"/>
        <v>26.17914923466175</v>
      </c>
      <c r="U172" s="249">
        <f>U171+(T171*R172*'life-tables-test'!$C$66)</f>
        <v>73.82085076533825</v>
      </c>
      <c r="V172" s="516">
        <f t="shared" si="16"/>
        <v>100</v>
      </c>
      <c r="W172" s="153">
        <f>(T172*0)/(1+cDR)^'Markov Model_b (2)'!cycle2</f>
        <v>0</v>
      </c>
      <c r="X172" s="178">
        <f t="shared" si="17"/>
        <v>26.17914923466175</v>
      </c>
      <c r="Y172" s="202">
        <f>(T172*(uPostT))/(1+oDR)^'Markov Model_b (2)'!cycle</f>
        <v>13.27698155030572</v>
      </c>
      <c r="Z172" s="80"/>
      <c r="AA172" s="3"/>
      <c r="AB172" s="3"/>
      <c r="AC172" s="14">
        <v>160</v>
      </c>
      <c r="AD172" s="14"/>
      <c r="AE172" s="14"/>
      <c r="AF172" s="3"/>
      <c r="AG172" s="3"/>
      <c r="AH172" s="3"/>
      <c r="AI172" s="14"/>
      <c r="AJ172" s="14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</row>
    <row r="173" spans="1:58" ht="14.25" customHeight="1" x14ac:dyDescent="0.2">
      <c r="A173" s="637"/>
      <c r="B173" s="417"/>
      <c r="C173" s="173">
        <v>163</v>
      </c>
      <c r="D173" s="165"/>
      <c r="E173" s="174">
        <v>1.4362919947250585E-3</v>
      </c>
      <c r="F173" s="502"/>
      <c r="G173" s="219">
        <f t="shared" si="20"/>
        <v>27.587986293462876</v>
      </c>
      <c r="H173" s="249">
        <f>H172+(G172*E173*'life-tables-test'!$C$66)</f>
        <v>72.412013706537124</v>
      </c>
      <c r="I173" s="516">
        <f t="shared" si="18"/>
        <v>100</v>
      </c>
      <c r="J173" s="153">
        <f>(G173*0)/(1+cDR)^'Markov Model_b (2)'!cycle</f>
        <v>0</v>
      </c>
      <c r="K173" s="178">
        <f t="shared" si="14"/>
        <v>27.587986293462876</v>
      </c>
      <c r="L173" s="202">
        <f>(G173*(uPostT))/(1+oDR)^'Markov Model_b (2)'!cycle</f>
        <v>13.956593942920634</v>
      </c>
      <c r="M173" s="80"/>
      <c r="N173" s="3"/>
      <c r="O173" s="80"/>
      <c r="P173" s="173">
        <v>163</v>
      </c>
      <c r="Q173" s="165"/>
      <c r="R173" s="174">
        <v>1.4362919947250585E-3</v>
      </c>
      <c r="S173" s="502"/>
      <c r="T173" s="219">
        <f t="shared" si="19"/>
        <v>25.991144722289462</v>
      </c>
      <c r="U173" s="249">
        <f>U172+(T172*R173*'life-tables-test'!$C$66)</f>
        <v>74.008855277710538</v>
      </c>
      <c r="V173" s="516">
        <f t="shared" si="16"/>
        <v>100</v>
      </c>
      <c r="W173" s="153">
        <f>(T173*0)/(1+cDR)^'Markov Model_b (2)'!cycle2</f>
        <v>0</v>
      </c>
      <c r="X173" s="178">
        <f t="shared" si="17"/>
        <v>25.991144722289462</v>
      </c>
      <c r="Y173" s="202">
        <f>(T173*(uPostT))/(1+oDR)^'Markov Model_b (2)'!cycle</f>
        <v>13.148761534894403</v>
      </c>
      <c r="Z173" s="80"/>
      <c r="AA173" s="3"/>
      <c r="AB173" s="3"/>
      <c r="AC173" s="14">
        <v>161</v>
      </c>
      <c r="AD173" s="14"/>
      <c r="AE173" s="14"/>
      <c r="AF173" s="3"/>
      <c r="AG173" s="3"/>
      <c r="AH173" s="3"/>
      <c r="AI173" s="14"/>
      <c r="AJ173" s="14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</row>
    <row r="174" spans="1:58" ht="14.25" customHeight="1" x14ac:dyDescent="0.2">
      <c r="A174" s="637"/>
      <c r="B174" s="417"/>
      <c r="C174" s="173">
        <v>164</v>
      </c>
      <c r="D174" s="165"/>
      <c r="E174" s="174">
        <v>1.4362919947250585E-3</v>
      </c>
      <c r="F174" s="502"/>
      <c r="G174" s="219">
        <f t="shared" si="20"/>
        <v>27.389864274143449</v>
      </c>
      <c r="H174" s="249">
        <f>H173+(G173*E174*'life-tables-test'!$C$66)</f>
        <v>72.610135725856551</v>
      </c>
      <c r="I174" s="516">
        <f t="shared" si="18"/>
        <v>100</v>
      </c>
      <c r="J174" s="153">
        <f>(G174*0)/(1+cDR)^'Markov Model_b (2)'!cycle</f>
        <v>0</v>
      </c>
      <c r="K174" s="178">
        <f t="shared" si="14"/>
        <v>27.389864274143449</v>
      </c>
      <c r="L174" s="202">
        <f>(G174*(uPostT))/(1+oDR)^'Markov Model_b (2)'!cycle</f>
        <v>13.821810695412871</v>
      </c>
      <c r="M174" s="80"/>
      <c r="N174" s="3"/>
      <c r="O174" s="80"/>
      <c r="P174" s="173">
        <v>164</v>
      </c>
      <c r="Q174" s="165"/>
      <c r="R174" s="174">
        <v>1.4362919947250585E-3</v>
      </c>
      <c r="S174" s="502"/>
      <c r="T174" s="219">
        <f t="shared" si="19"/>
        <v>25.804490356797643</v>
      </c>
      <c r="U174" s="249">
        <f>U173+(T173*R174*'life-tables-test'!$C$66)</f>
        <v>74.195509643202357</v>
      </c>
      <c r="V174" s="516">
        <f t="shared" si="16"/>
        <v>100</v>
      </c>
      <c r="W174" s="153">
        <f>(T174*0)/(1+cDR)^'Markov Model_b (2)'!cycle2</f>
        <v>0</v>
      </c>
      <c r="X174" s="178">
        <f t="shared" si="17"/>
        <v>25.804490356797643</v>
      </c>
      <c r="Y174" s="202">
        <f>(T174*(uPostT))/(1+oDR)^'Markov Model_b (2)'!cycle</f>
        <v>13.021779780776873</v>
      </c>
      <c r="Z174" s="80"/>
      <c r="AA174" s="3"/>
      <c r="AB174" s="3"/>
      <c r="AC174" s="14">
        <v>162</v>
      </c>
      <c r="AD174" s="14"/>
      <c r="AE174" s="14"/>
      <c r="AF174" s="3"/>
      <c r="AG174" s="3"/>
      <c r="AH174" s="3"/>
      <c r="AI174" s="14"/>
      <c r="AJ174" s="14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</row>
    <row r="175" spans="1:58" ht="14.25" customHeight="1" x14ac:dyDescent="0.2">
      <c r="A175" s="637"/>
      <c r="B175" s="417"/>
      <c r="C175" s="173">
        <v>165</v>
      </c>
      <c r="D175" s="165"/>
      <c r="E175" s="174">
        <v>1.4362919947250585E-3</v>
      </c>
      <c r="F175" s="502"/>
      <c r="G175" s="219">
        <f t="shared" si="20"/>
        <v>27.193165060175659</v>
      </c>
      <c r="H175" s="249">
        <f>H174+(G174*E175*'life-tables-test'!$C$66)</f>
        <v>72.806834939824341</v>
      </c>
      <c r="I175" s="516">
        <f t="shared" si="18"/>
        <v>100</v>
      </c>
      <c r="J175" s="153">
        <f>(G175*0)/(1+cDR)^'Markov Model_b (2)'!cycle</f>
        <v>0</v>
      </c>
      <c r="K175" s="178">
        <f t="shared" si="14"/>
        <v>27.193165060175659</v>
      </c>
      <c r="L175" s="202">
        <f>(G175*(uPostT))/(1+oDR)^'Markov Model_b (2)'!cycle</f>
        <v>13.688329092409715</v>
      </c>
      <c r="M175" s="80"/>
      <c r="N175" s="3"/>
      <c r="O175" s="80"/>
      <c r="P175" s="173">
        <v>165</v>
      </c>
      <c r="Q175" s="165"/>
      <c r="R175" s="174">
        <v>1.4362919947250585E-3</v>
      </c>
      <c r="S175" s="502"/>
      <c r="T175" s="219">
        <f t="shared" si="19"/>
        <v>25.619176442160494</v>
      </c>
      <c r="U175" s="249">
        <f>U174+(T174*R175*'life-tables-test'!$C$66)</f>
        <v>74.380823557839506</v>
      </c>
      <c r="V175" s="516">
        <f t="shared" si="16"/>
        <v>100</v>
      </c>
      <c r="W175" s="153">
        <f>(T175*0)/(1+cDR)^'Markov Model_b (2)'!cycle2</f>
        <v>0</v>
      </c>
      <c r="X175" s="178">
        <f t="shared" si="17"/>
        <v>25.619176442160494</v>
      </c>
      <c r="Y175" s="202">
        <f>(T175*(uPostT))/(1+oDR)^'Markov Model_b (2)'!cycle</f>
        <v>12.896024329671677</v>
      </c>
      <c r="Z175" s="80"/>
      <c r="AA175" s="3"/>
      <c r="AB175" s="3"/>
      <c r="AC175" s="14">
        <v>163</v>
      </c>
      <c r="AD175" s="14"/>
      <c r="AE175" s="14"/>
      <c r="AF175" s="3"/>
      <c r="AG175" s="3"/>
      <c r="AH175" s="3"/>
      <c r="AI175" s="14"/>
      <c r="AJ175" s="14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</row>
    <row r="176" spans="1:58" ht="14.25" customHeight="1" x14ac:dyDescent="0.2">
      <c r="A176" s="637"/>
      <c r="B176" s="417"/>
      <c r="C176" s="173">
        <v>166</v>
      </c>
      <c r="D176" s="165"/>
      <c r="E176" s="174">
        <v>1.4362919947250585E-3</v>
      </c>
      <c r="F176" s="502"/>
      <c r="G176" s="219">
        <f t="shared" si="20"/>
        <v>26.997878433739828</v>
      </c>
      <c r="H176" s="249">
        <f>H175+(G175*E176*'life-tables-test'!$C$66)</f>
        <v>73.002121566260172</v>
      </c>
      <c r="I176" s="516">
        <f t="shared" si="18"/>
        <v>100</v>
      </c>
      <c r="J176" s="153">
        <f>(G176*0)/(1+cDR)^'Markov Model_b (2)'!cycle</f>
        <v>0</v>
      </c>
      <c r="K176" s="178">
        <f t="shared" si="14"/>
        <v>26.997878433739828</v>
      </c>
      <c r="L176" s="202">
        <f>(G176*(uPostT))/(1+oDR)^'Markov Model_b (2)'!cycle</f>
        <v>13.556136563517976</v>
      </c>
      <c r="M176" s="80"/>
      <c r="N176" s="3"/>
      <c r="O176" s="80"/>
      <c r="P176" s="173">
        <v>166</v>
      </c>
      <c r="Q176" s="165"/>
      <c r="R176" s="174">
        <v>1.4362919947250585E-3</v>
      </c>
      <c r="S176" s="502"/>
      <c r="T176" s="219">
        <f t="shared" si="19"/>
        <v>25.43519335198387</v>
      </c>
      <c r="U176" s="249">
        <f>U175+(T175*R176*'life-tables-test'!$C$66)</f>
        <v>74.56480664801613</v>
      </c>
      <c r="V176" s="516">
        <f t="shared" si="16"/>
        <v>100</v>
      </c>
      <c r="W176" s="153">
        <f>(T176*0)/(1+cDR)^'Markov Model_b (2)'!cycle2</f>
        <v>0</v>
      </c>
      <c r="X176" s="178">
        <f t="shared" si="17"/>
        <v>25.43519335198387</v>
      </c>
      <c r="Y176" s="202">
        <f>(T176*(uPostT))/(1+oDR)^'Markov Model_b (2)'!cycle</f>
        <v>12.771483338782289</v>
      </c>
      <c r="Z176" s="80"/>
      <c r="AA176" s="3"/>
      <c r="AB176" s="3"/>
      <c r="AC176" s="14">
        <v>164</v>
      </c>
      <c r="AD176" s="14"/>
      <c r="AE176" s="14"/>
      <c r="AF176" s="3"/>
      <c r="AG176" s="3"/>
      <c r="AH176" s="3"/>
      <c r="AI176" s="14"/>
      <c r="AJ176" s="14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</row>
    <row r="177" spans="1:58" ht="14.25" customHeight="1" x14ac:dyDescent="0.2">
      <c r="A177" s="637"/>
      <c r="B177" s="417"/>
      <c r="C177" s="173">
        <v>167</v>
      </c>
      <c r="D177" s="165"/>
      <c r="E177" s="174">
        <v>1.4362919947250585E-3</v>
      </c>
      <c r="F177" s="502"/>
      <c r="G177" s="219">
        <f t="shared" si="20"/>
        <v>26.803994250395121</v>
      </c>
      <c r="H177" s="249">
        <f>H176+(G176*E177*'life-tables-test'!$C$66)</f>
        <v>73.196005749604879</v>
      </c>
      <c r="I177" s="516">
        <f t="shared" si="18"/>
        <v>100</v>
      </c>
      <c r="J177" s="153">
        <f>(G177*0)/(1+cDR)^'Markov Model_b (2)'!cycle</f>
        <v>0</v>
      </c>
      <c r="K177" s="178">
        <f t="shared" si="14"/>
        <v>26.803994250395121</v>
      </c>
      <c r="L177" s="202">
        <f>(G177*(uPostT))/(1+oDR)^'Markov Model_b (2)'!cycle</f>
        <v>13.425220659740718</v>
      </c>
      <c r="M177" s="80"/>
      <c r="N177" s="3"/>
      <c r="O177" s="80"/>
      <c r="P177" s="173">
        <v>167</v>
      </c>
      <c r="Q177" s="165"/>
      <c r="R177" s="174">
        <v>1.4362919947250585E-3</v>
      </c>
      <c r="S177" s="502"/>
      <c r="T177" s="219">
        <f t="shared" si="19"/>
        <v>25.252531529005182</v>
      </c>
      <c r="U177" s="249">
        <f>U176+(T176*R177*'life-tables-test'!$C$66)</f>
        <v>74.747468470994818</v>
      </c>
      <c r="V177" s="516">
        <f t="shared" si="16"/>
        <v>100</v>
      </c>
      <c r="W177" s="153">
        <f>(T177*0)/(1+cDR)^'Markov Model_b (2)'!cycle2</f>
        <v>0</v>
      </c>
      <c r="X177" s="178">
        <f t="shared" si="17"/>
        <v>25.252531529005182</v>
      </c>
      <c r="Y177" s="202">
        <f>(T177*(uPostT))/(1+oDR)^'Markov Model_b (2)'!cycle</f>
        <v>12.648145079681797</v>
      </c>
      <c r="Z177" s="80"/>
      <c r="AA177" s="3"/>
      <c r="AB177" s="3"/>
      <c r="AC177" s="14">
        <v>165</v>
      </c>
      <c r="AD177" s="14"/>
      <c r="AE177" s="14"/>
      <c r="AF177" s="3"/>
      <c r="AG177" s="3"/>
      <c r="AH177" s="3"/>
      <c r="AI177" s="14"/>
      <c r="AJ177" s="14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</row>
    <row r="178" spans="1:58" ht="14.25" customHeight="1" x14ac:dyDescent="0.2">
      <c r="A178" s="637"/>
      <c r="B178" s="417"/>
      <c r="C178" s="173">
        <v>168</v>
      </c>
      <c r="D178" s="165"/>
      <c r="E178" s="174">
        <v>1.4362919947250585E-3</v>
      </c>
      <c r="F178" s="502"/>
      <c r="G178" s="219">
        <f t="shared" si="20"/>
        <v>26.61150243855262</v>
      </c>
      <c r="H178" s="249">
        <f>H177+(G177*E178*'life-tables-test'!$C$66)</f>
        <v>73.38849756144738</v>
      </c>
      <c r="I178" s="516">
        <f t="shared" si="18"/>
        <v>100</v>
      </c>
      <c r="J178" s="153">
        <f>(G178*0)/(1+cDR)^'Markov Model_b (2)'!cycle</f>
        <v>0</v>
      </c>
      <c r="K178" s="178">
        <f t="shared" ref="K178:K241" si="21">G178</f>
        <v>26.61150243855262</v>
      </c>
      <c r="L178" s="202">
        <f>(G178*(uPostT))/(1+oDR)^'Markov Model_b (2)'!cycle</f>
        <v>13.295569052304939</v>
      </c>
      <c r="M178" s="80"/>
      <c r="N178" s="3"/>
      <c r="O178" s="80"/>
      <c r="P178" s="173">
        <v>168</v>
      </c>
      <c r="Q178" s="165"/>
      <c r="R178" s="174">
        <v>1.4362919947250585E-3</v>
      </c>
      <c r="S178" s="502"/>
      <c r="T178" s="219">
        <f t="shared" si="19"/>
        <v>25.07118148459692</v>
      </c>
      <c r="U178" s="249">
        <f>U177+(T177*R178*'life-tables-test'!$C$66)</f>
        <v>74.92881851540308</v>
      </c>
      <c r="V178" s="516">
        <f t="shared" si="16"/>
        <v>100</v>
      </c>
      <c r="W178" s="153">
        <f>(T178*0)/(1+cDR)^'Markov Model_b (2)'!cycle2</f>
        <v>0</v>
      </c>
      <c r="X178" s="178">
        <f t="shared" si="17"/>
        <v>25.07118148459692</v>
      </c>
      <c r="Y178" s="202">
        <f>(T178*(uPostT))/(1+oDR)^'Markov Model_b (2)'!cycle</f>
        <v>12.525997937208437</v>
      </c>
      <c r="Z178" s="80"/>
      <c r="AA178" s="3"/>
      <c r="AB178" s="3"/>
      <c r="AC178" s="14">
        <v>166</v>
      </c>
      <c r="AD178" s="14"/>
      <c r="AE178" s="14"/>
      <c r="AF178" s="3"/>
      <c r="AG178" s="3"/>
      <c r="AH178" s="3"/>
      <c r="AI178" s="14"/>
      <c r="AJ178" s="14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</row>
    <row r="179" spans="1:58" ht="14.25" customHeight="1" x14ac:dyDescent="0.2">
      <c r="A179" s="519"/>
      <c r="B179" s="417"/>
      <c r="C179" s="173">
        <v>169</v>
      </c>
      <c r="D179" s="504"/>
      <c r="E179" s="174">
        <v>1.4362919947250585E-3</v>
      </c>
      <c r="F179" s="505"/>
      <c r="G179" s="219">
        <f t="shared" si="20"/>
        <v>26.420392998952124</v>
      </c>
      <c r="H179" s="249">
        <f>H178+(G178*E179*'life-tables-test'!$C$66)</f>
        <v>73.579607001047876</v>
      </c>
      <c r="I179" s="516">
        <f t="shared" si="18"/>
        <v>100</v>
      </c>
      <c r="J179" s="180">
        <f>(G179*0)/(1+cDR)^'Markov Model_b (2)'!cycle</f>
        <v>0</v>
      </c>
      <c r="K179" s="176">
        <f t="shared" si="21"/>
        <v>26.420392998952124</v>
      </c>
      <c r="L179" s="202">
        <f>(G179*(uPostT))/(1+oDR)^'Markov Model_b (2)'!cycle</f>
        <v>13.167169531500489</v>
      </c>
      <c r="M179" s="80"/>
      <c r="N179" s="3"/>
      <c r="O179" s="80"/>
      <c r="P179" s="173">
        <v>169</v>
      </c>
      <c r="Q179" s="504"/>
      <c r="R179" s="174">
        <v>1.4362919947250585E-3</v>
      </c>
      <c r="S179" s="505"/>
      <c r="T179" s="219">
        <f t="shared" si="19"/>
        <v>24.891133798273785</v>
      </c>
      <c r="U179" s="249">
        <f>U178+(T178*R179*'life-tables-test'!$C$66)</f>
        <v>75.108866201726215</v>
      </c>
      <c r="V179" s="516">
        <f t="shared" si="16"/>
        <v>100</v>
      </c>
      <c r="W179" s="180">
        <f>(T179*0)/(1+cDR)^'Markov Model_b (2)'!cycle2</f>
        <v>0</v>
      </c>
      <c r="X179" s="176">
        <f t="shared" si="17"/>
        <v>24.891133798273785</v>
      </c>
      <c r="Y179" s="202">
        <f>(T179*(uPostT))/(1+oDR)^'Markov Model_b (2)'!cycle</f>
        <v>12.405030408371728</v>
      </c>
      <c r="Z179" s="80"/>
      <c r="AA179" s="3"/>
      <c r="AB179" s="3"/>
      <c r="AC179" s="14">
        <v>167</v>
      </c>
      <c r="AD179" s="14"/>
      <c r="AE179" s="14"/>
      <c r="AF179" s="3"/>
      <c r="AG179" s="3"/>
      <c r="AH179" s="3"/>
      <c r="AI179" s="14"/>
      <c r="AJ179" s="14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</row>
    <row r="180" spans="1:58" ht="14.25" customHeight="1" x14ac:dyDescent="0.25">
      <c r="A180" s="637" t="s">
        <v>556</v>
      </c>
      <c r="B180" s="417"/>
      <c r="C180" s="506">
        <v>170</v>
      </c>
      <c r="D180" s="506"/>
      <c r="E180" s="507">
        <v>1.4362919947250585E-3</v>
      </c>
      <c r="F180" s="508"/>
      <c r="G180" s="509">
        <f t="shared" si="20"/>
        <v>26.230656004142702</v>
      </c>
      <c r="H180" s="510">
        <f>H179+(G179*E180*'life-tables-test'!$C$66)</f>
        <v>73.769343995857298</v>
      </c>
      <c r="I180" s="518">
        <f t="shared" si="18"/>
        <v>100</v>
      </c>
      <c r="J180" s="511">
        <f>(G180*0)/(1+cDR)^'Markov Model_b (2)'!cycle</f>
        <v>0</v>
      </c>
      <c r="K180" s="512">
        <f t="shared" si="21"/>
        <v>26.230656004142702</v>
      </c>
      <c r="L180" s="513">
        <f>(G180*(uPostT))/(1+oDR)^'Markov Model_b (2)'!cycle</f>
        <v>13.040010005530258</v>
      </c>
      <c r="M180" s="80"/>
      <c r="N180" s="3"/>
      <c r="O180" s="80"/>
      <c r="P180" s="506">
        <v>170</v>
      </c>
      <c r="Q180" s="506"/>
      <c r="R180" s="507">
        <v>1.4362919947250585E-3</v>
      </c>
      <c r="S180" s="508"/>
      <c r="T180" s="509">
        <f t="shared" si="19"/>
        <v>24.712379117203326</v>
      </c>
      <c r="U180" s="510">
        <f>U179+(T179*R180*'life-tables-test'!$C$66)</f>
        <v>75.287620882796674</v>
      </c>
      <c r="V180" s="518">
        <f t="shared" si="16"/>
        <v>100</v>
      </c>
      <c r="W180" s="511">
        <f>(T180*0)/(1+cDR)^'Markov Model_b (2)'!cycle2</f>
        <v>0</v>
      </c>
      <c r="X180" s="512">
        <f t="shared" si="17"/>
        <v>24.712379117203326</v>
      </c>
      <c r="Y180" s="513">
        <f>(T180*(uPostT))/(1+oDR)^'Markov Model_b (2)'!cycle</f>
        <v>12.285231101269229</v>
      </c>
      <c r="Z180" s="80"/>
      <c r="AA180" s="3"/>
      <c r="AB180" s="3"/>
      <c r="AC180" s="14">
        <v>168</v>
      </c>
      <c r="AD180" s="14"/>
      <c r="AE180" s="14"/>
      <c r="AF180" s="3"/>
      <c r="AG180" s="3"/>
      <c r="AH180" s="3"/>
      <c r="AI180" s="14"/>
      <c r="AJ180" s="14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</row>
    <row r="181" spans="1:58" ht="14.25" customHeight="1" x14ac:dyDescent="0.2">
      <c r="A181" s="637"/>
      <c r="B181" s="417"/>
      <c r="C181" s="173">
        <v>171</v>
      </c>
      <c r="D181" s="165"/>
      <c r="E181" s="174">
        <v>1.5487919527160665E-3</v>
      </c>
      <c r="F181" s="502"/>
      <c r="G181" s="219">
        <f t="shared" si="20"/>
        <v>26.027526859474307</v>
      </c>
      <c r="H181" s="249">
        <f>H180+(G180*E181*'life-tables-test'!$C$66)</f>
        <v>73.972473140525693</v>
      </c>
      <c r="I181" s="516">
        <f t="shared" si="18"/>
        <v>100</v>
      </c>
      <c r="J181" s="153">
        <f>(G181*0)/(1+cDR)^'Markov Model_b (2)'!cycle</f>
        <v>0</v>
      </c>
      <c r="K181" s="178">
        <f t="shared" si="21"/>
        <v>26.027526859474307</v>
      </c>
      <c r="L181" s="202">
        <f>(G181*(uPostT))/(1+oDR)^'Markov Model_b (2)'!cycle</f>
        <v>12.906761788260098</v>
      </c>
      <c r="M181" s="80"/>
      <c r="N181" s="3"/>
      <c r="O181" s="80"/>
      <c r="P181" s="173">
        <v>171</v>
      </c>
      <c r="Q181" s="165"/>
      <c r="R181" s="174">
        <v>1.5487919527160665E-3</v>
      </c>
      <c r="S181" s="502"/>
      <c r="T181" s="219">
        <f t="shared" si="19"/>
        <v>24.521007447657368</v>
      </c>
      <c r="U181" s="249">
        <f>U180+(T180*R181*'life-tables-test'!$C$66)</f>
        <v>75.478992552342632</v>
      </c>
      <c r="V181" s="516">
        <f t="shared" si="16"/>
        <v>100</v>
      </c>
      <c r="W181" s="153">
        <f>(T181*0)/(1+cDR)^'Markov Model_b (2)'!cycle2</f>
        <v>0</v>
      </c>
      <c r="X181" s="178">
        <f t="shared" si="17"/>
        <v>24.521007447657368</v>
      </c>
      <c r="Y181" s="202">
        <f>(T181*(uPostT))/(1+oDR)^'Markov Model_b (2)'!cycle</f>
        <v>12.159695527116927</v>
      </c>
      <c r="Z181" s="80"/>
      <c r="AA181" s="3"/>
      <c r="AB181" s="3"/>
      <c r="AC181" s="14">
        <v>169</v>
      </c>
      <c r="AD181" s="14"/>
      <c r="AE181" s="14"/>
      <c r="AF181" s="3"/>
      <c r="AG181" s="3"/>
      <c r="AH181" s="3"/>
      <c r="AI181" s="14"/>
      <c r="AJ181" s="14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</row>
    <row r="182" spans="1:58" ht="14.25" customHeight="1" x14ac:dyDescent="0.2">
      <c r="A182" s="637"/>
      <c r="B182" s="417"/>
      <c r="C182" s="173">
        <v>172</v>
      </c>
      <c r="D182" s="165"/>
      <c r="E182" s="174">
        <v>1.5487919527160665E-3</v>
      </c>
      <c r="F182" s="502"/>
      <c r="G182" s="219">
        <f t="shared" si="20"/>
        <v>25.825970738729026</v>
      </c>
      <c r="H182" s="249">
        <f>H181+(G181*E182*'life-tables-test'!$C$66)</f>
        <v>74.174029261270974</v>
      </c>
      <c r="I182" s="516">
        <f t="shared" si="18"/>
        <v>100</v>
      </c>
      <c r="J182" s="153">
        <f>(G182*0)/(1+cDR)^'Markov Model_b (2)'!cycle</f>
        <v>0</v>
      </c>
      <c r="K182" s="178">
        <f t="shared" si="21"/>
        <v>25.825970738729026</v>
      </c>
      <c r="L182" s="202">
        <f>(G182*(uPostT))/(1+oDR)^'Markov Model_b (2)'!cycle</f>
        <v>12.774875156402686</v>
      </c>
      <c r="M182" s="80"/>
      <c r="N182" s="3"/>
      <c r="O182" s="80"/>
      <c r="P182" s="173">
        <v>172</v>
      </c>
      <c r="Q182" s="165"/>
      <c r="R182" s="174">
        <v>1.5487919527160665E-3</v>
      </c>
      <c r="S182" s="502"/>
      <c r="T182" s="219">
        <f t="shared" si="19"/>
        <v>24.331117752620258</v>
      </c>
      <c r="U182" s="249">
        <f>U181+(T181*R182*'life-tables-test'!$C$66)</f>
        <v>75.668882247379742</v>
      </c>
      <c r="V182" s="516">
        <f t="shared" si="16"/>
        <v>100</v>
      </c>
      <c r="W182" s="153">
        <f>(T182*0)/(1+cDR)^'Markov Model_b (2)'!cycle2</f>
        <v>0</v>
      </c>
      <c r="X182" s="178">
        <f t="shared" si="17"/>
        <v>24.331117752620258</v>
      </c>
      <c r="Y182" s="202">
        <f>(T182*(uPostT))/(1+oDR)^'Markov Model_b (2)'!cycle</f>
        <v>12.035442727399049</v>
      </c>
      <c r="Z182" s="80"/>
      <c r="AA182" s="3"/>
      <c r="AB182" s="3"/>
      <c r="AC182" s="14">
        <v>170</v>
      </c>
      <c r="AD182" s="14"/>
      <c r="AE182" s="14"/>
      <c r="AF182" s="3"/>
      <c r="AG182" s="3"/>
      <c r="AH182" s="3"/>
      <c r="AI182" s="14"/>
      <c r="AJ182" s="14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</row>
    <row r="183" spans="1:58" ht="14.25" customHeight="1" x14ac:dyDescent="0.2">
      <c r="A183" s="637"/>
      <c r="B183" s="417"/>
      <c r="C183" s="173">
        <v>173</v>
      </c>
      <c r="D183" s="165"/>
      <c r="E183" s="174">
        <v>1.5487919527160665E-3</v>
      </c>
      <c r="F183" s="502"/>
      <c r="G183" s="219">
        <f t="shared" si="20"/>
        <v>25.625975460472901</v>
      </c>
      <c r="H183" s="249">
        <f>H182+(G182*E183*'life-tables-test'!$C$66)</f>
        <v>74.374024539527099</v>
      </c>
      <c r="I183" s="516">
        <f t="shared" si="18"/>
        <v>100</v>
      </c>
      <c r="J183" s="153">
        <f>(G183*0)/(1+cDR)^'Markov Model_b (2)'!cycle</f>
        <v>0</v>
      </c>
      <c r="K183" s="178">
        <f t="shared" si="21"/>
        <v>25.625975460472901</v>
      </c>
      <c r="L183" s="202">
        <f>(G183*(uPostT))/(1+oDR)^'Markov Model_b (2)'!cycle</f>
        <v>12.644336196714953</v>
      </c>
      <c r="M183" s="80"/>
      <c r="N183" s="3"/>
      <c r="O183" s="80"/>
      <c r="P183" s="173">
        <v>173</v>
      </c>
      <c r="Q183" s="165"/>
      <c r="R183" s="174">
        <v>1.5487919527160665E-3</v>
      </c>
      <c r="S183" s="502"/>
      <c r="T183" s="219">
        <f t="shared" si="19"/>
        <v>24.142698555741035</v>
      </c>
      <c r="U183" s="249">
        <f>U182+(T182*R183*'life-tables-test'!$C$66)</f>
        <v>75.857301444258965</v>
      </c>
      <c r="V183" s="516">
        <f t="shared" si="16"/>
        <v>100</v>
      </c>
      <c r="W183" s="153">
        <f>(T183*0)/(1+cDR)^'Markov Model_b (2)'!cycle2</f>
        <v>0</v>
      </c>
      <c r="X183" s="178">
        <f t="shared" si="17"/>
        <v>24.142698555741035</v>
      </c>
      <c r="Y183" s="202">
        <f>(T183*(uPostT))/(1+oDR)^'Markov Model_b (2)'!cycle</f>
        <v>11.912459594195706</v>
      </c>
      <c r="Z183" s="80"/>
      <c r="AA183" s="3"/>
      <c r="AB183" s="3"/>
      <c r="AC183" s="14">
        <v>171</v>
      </c>
      <c r="AD183" s="14"/>
      <c r="AE183" s="14"/>
      <c r="AF183" s="3"/>
      <c r="AG183" s="3"/>
      <c r="AH183" s="3"/>
      <c r="AI183" s="14"/>
      <c r="AJ183" s="14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</row>
    <row r="184" spans="1:58" ht="14.25" customHeight="1" x14ac:dyDescent="0.2">
      <c r="A184" s="637"/>
      <c r="B184" s="417"/>
      <c r="C184" s="173">
        <v>174</v>
      </c>
      <c r="D184" s="165"/>
      <c r="E184" s="174">
        <v>1.5487919527160665E-3</v>
      </c>
      <c r="F184" s="502"/>
      <c r="G184" s="219">
        <f t="shared" si="20"/>
        <v>25.427528937604507</v>
      </c>
      <c r="H184" s="249">
        <f>H183+(G183*E184*'life-tables-test'!$C$66)</f>
        <v>74.572471062395493</v>
      </c>
      <c r="I184" s="516">
        <f t="shared" si="18"/>
        <v>100</v>
      </c>
      <c r="J184" s="153">
        <f>(G184*0)/(1+cDR)^'Markov Model_b (2)'!cycle</f>
        <v>0</v>
      </c>
      <c r="K184" s="178">
        <f t="shared" si="21"/>
        <v>25.427528937604507</v>
      </c>
      <c r="L184" s="202">
        <f>(G184*(uPostT))/(1+oDR)^'Markov Model_b (2)'!cycle</f>
        <v>12.515131138125103</v>
      </c>
      <c r="M184" s="80"/>
      <c r="N184" s="3"/>
      <c r="O184" s="80"/>
      <c r="P184" s="173">
        <v>174</v>
      </c>
      <c r="Q184" s="165"/>
      <c r="R184" s="174">
        <v>1.5487919527160665E-3</v>
      </c>
      <c r="S184" s="502"/>
      <c r="T184" s="219">
        <f t="shared" si="19"/>
        <v>23.955738469541132</v>
      </c>
      <c r="U184" s="249">
        <f>U183+(T183*R184*'life-tables-test'!$C$66)</f>
        <v>76.044261530458868</v>
      </c>
      <c r="V184" s="516">
        <f t="shared" ref="V184:V247" si="22">SUM(T184:U184)</f>
        <v>100</v>
      </c>
      <c r="W184" s="153">
        <f>(T184*0)/(1+cDR)^'Markov Model_b (2)'!cycle2</f>
        <v>0</v>
      </c>
      <c r="X184" s="178">
        <f t="shared" ref="X184:X247" si="23">T184</f>
        <v>23.955738469541132</v>
      </c>
      <c r="Y184" s="202">
        <f>(T184*(uPostT))/(1+oDR)^'Markov Model_b (2)'!cycle</f>
        <v>11.790733153529162</v>
      </c>
      <c r="Z184" s="80"/>
      <c r="AA184" s="3"/>
      <c r="AB184" s="3"/>
      <c r="AC184" s="14">
        <v>172</v>
      </c>
      <c r="AD184" s="14"/>
      <c r="AE184" s="14"/>
      <c r="AF184" s="3"/>
      <c r="AG184" s="3"/>
      <c r="AH184" s="3"/>
      <c r="AI184" s="14"/>
      <c r="AJ184" s="14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</row>
    <row r="185" spans="1:58" ht="14.25" customHeight="1" x14ac:dyDescent="0.2">
      <c r="A185" s="637"/>
      <c r="B185" s="417"/>
      <c r="C185" s="173">
        <v>175</v>
      </c>
      <c r="D185" s="165"/>
      <c r="E185" s="174">
        <v>1.5487919527160665E-3</v>
      </c>
      <c r="F185" s="502"/>
      <c r="G185" s="219">
        <f t="shared" si="20"/>
        <v>25.23061917662443</v>
      </c>
      <c r="H185" s="249">
        <f>H184+(G184*E185*'life-tables-test'!$C$66)</f>
        <v>74.76938082337557</v>
      </c>
      <c r="I185" s="516">
        <f t="shared" ref="I185:I248" si="24">SUM(G185:H185)</f>
        <v>100</v>
      </c>
      <c r="J185" s="153">
        <f>(G185*0)/(1+cDR)^'Markov Model_b (2)'!cycle</f>
        <v>0</v>
      </c>
      <c r="K185" s="178">
        <f t="shared" si="21"/>
        <v>25.23061917662443</v>
      </c>
      <c r="L185" s="202">
        <f>(G185*(uPostT))/(1+oDR)^'Markov Model_b (2)'!cycle</f>
        <v>12.387246350279835</v>
      </c>
      <c r="M185" s="80"/>
      <c r="N185" s="3"/>
      <c r="O185" s="80"/>
      <c r="P185" s="173">
        <v>175</v>
      </c>
      <c r="Q185" s="165"/>
      <c r="R185" s="174">
        <v>1.5487919527160665E-3</v>
      </c>
      <c r="S185" s="502"/>
      <c r="T185" s="219">
        <f t="shared" ref="T185:T248" si="25">$T$10-U185</f>
        <v>23.770226194726149</v>
      </c>
      <c r="U185" s="249">
        <f>U184+(T184*R185*'life-tables-test'!$C$66)</f>
        <v>76.229773805273851</v>
      </c>
      <c r="V185" s="516">
        <f t="shared" si="22"/>
        <v>100</v>
      </c>
      <c r="W185" s="153">
        <f>(T185*0)/(1+cDR)^'Markov Model_b (2)'!cycle2</f>
        <v>0</v>
      </c>
      <c r="X185" s="178">
        <f t="shared" si="23"/>
        <v>23.770226194726149</v>
      </c>
      <c r="Y185" s="202">
        <f>(T185*(uPostT))/(1+oDR)^'Markov Model_b (2)'!cycle</f>
        <v>11.670250563995131</v>
      </c>
      <c r="Z185" s="80"/>
      <c r="AA185" s="3"/>
      <c r="AB185" s="3"/>
      <c r="AC185" s="14">
        <v>173</v>
      </c>
      <c r="AD185" s="14"/>
      <c r="AE185" s="14"/>
      <c r="AF185" s="3"/>
      <c r="AG185" s="3"/>
      <c r="AH185" s="3"/>
      <c r="AI185" s="14"/>
      <c r="AJ185" s="14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</row>
    <row r="186" spans="1:58" ht="14.25" customHeight="1" x14ac:dyDescent="0.2">
      <c r="A186" s="637"/>
      <c r="B186" s="417"/>
      <c r="C186" s="173">
        <v>176</v>
      </c>
      <c r="D186" s="165"/>
      <c r="E186" s="174">
        <v>1.5487919527160665E-3</v>
      </c>
      <c r="F186" s="502"/>
      <c r="G186" s="219">
        <f t="shared" si="20"/>
        <v>25.03523427691043</v>
      </c>
      <c r="H186" s="249">
        <f>H185+(G185*E186*'life-tables-test'!$C$66)</f>
        <v>74.96476572308957</v>
      </c>
      <c r="I186" s="516">
        <f t="shared" si="24"/>
        <v>100</v>
      </c>
      <c r="J186" s="153">
        <f>(G186*0)/(1+cDR)^'Markov Model_b (2)'!cycle</f>
        <v>0</v>
      </c>
      <c r="K186" s="178">
        <f t="shared" si="21"/>
        <v>25.03523427691043</v>
      </c>
      <c r="L186" s="202">
        <f>(G186*(uPostT))/(1+oDR)^'Markov Model_b (2)'!cycle</f>
        <v>12.26066834210644</v>
      </c>
      <c r="M186" s="80"/>
      <c r="N186" s="3"/>
      <c r="O186" s="80"/>
      <c r="P186" s="173">
        <v>176</v>
      </c>
      <c r="Q186" s="165"/>
      <c r="R186" s="174">
        <v>1.5487919527160665E-3</v>
      </c>
      <c r="S186" s="502"/>
      <c r="T186" s="219">
        <f t="shared" si="25"/>
        <v>23.586150519502993</v>
      </c>
      <c r="U186" s="249">
        <f>U185+(T185*R186*'life-tables-test'!$C$66)</f>
        <v>76.413849480497007</v>
      </c>
      <c r="V186" s="516">
        <f t="shared" si="22"/>
        <v>100</v>
      </c>
      <c r="W186" s="153">
        <f>(T186*0)/(1+cDR)^'Markov Model_b (2)'!cycle2</f>
        <v>0</v>
      </c>
      <c r="X186" s="178">
        <f t="shared" si="23"/>
        <v>23.586150519502993</v>
      </c>
      <c r="Y186" s="202">
        <f>(T186*(uPostT))/(1+oDR)^'Markov Model_b (2)'!cycle</f>
        <v>11.550999115408132</v>
      </c>
      <c r="Z186" s="80"/>
      <c r="AA186" s="3"/>
      <c r="AB186" s="3"/>
      <c r="AC186" s="14">
        <v>174</v>
      </c>
      <c r="AD186" s="14"/>
      <c r="AE186" s="14"/>
      <c r="AF186" s="3"/>
      <c r="AG186" s="3"/>
      <c r="AH186" s="3"/>
      <c r="AI186" s="14"/>
      <c r="AJ186" s="14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</row>
    <row r="187" spans="1:58" ht="14.25" customHeight="1" x14ac:dyDescent="0.2">
      <c r="A187" s="637"/>
      <c r="B187" s="417"/>
      <c r="C187" s="173">
        <v>177</v>
      </c>
      <c r="D187" s="165"/>
      <c r="E187" s="174">
        <v>1.5487919527160665E-3</v>
      </c>
      <c r="F187" s="502"/>
      <c r="G187" s="219">
        <f t="shared" si="20"/>
        <v>24.841362429998227</v>
      </c>
      <c r="H187" s="249">
        <f>H186+(G186*E187*'life-tables-test'!$C$66)</f>
        <v>75.158637570001773</v>
      </c>
      <c r="I187" s="516">
        <f t="shared" si="24"/>
        <v>100</v>
      </c>
      <c r="J187" s="153">
        <f>(G187*0)/(1+cDR)^'Markov Model_b (2)'!cycle</f>
        <v>0</v>
      </c>
      <c r="K187" s="178">
        <f t="shared" si="21"/>
        <v>24.841362429998227</v>
      </c>
      <c r="L187" s="202">
        <f>(G187*(uPostT))/(1+oDR)^'Markov Model_b (2)'!cycle</f>
        <v>12.135383760389594</v>
      </c>
      <c r="M187" s="80"/>
      <c r="N187" s="3"/>
      <c r="O187" s="80"/>
      <c r="P187" s="173">
        <v>177</v>
      </c>
      <c r="Q187" s="165"/>
      <c r="R187" s="174">
        <v>1.5487919527160665E-3</v>
      </c>
      <c r="S187" s="502"/>
      <c r="T187" s="219">
        <f t="shared" si="25"/>
        <v>23.403500318902218</v>
      </c>
      <c r="U187" s="249">
        <f>U186+(T186*R187*'life-tables-test'!$C$66)</f>
        <v>76.596499681097782</v>
      </c>
      <c r="V187" s="516">
        <f t="shared" si="22"/>
        <v>100</v>
      </c>
      <c r="W187" s="153">
        <f>(T187*0)/(1+cDR)^'Markov Model_b (2)'!cycle2</f>
        <v>0</v>
      </c>
      <c r="X187" s="178">
        <f t="shared" si="23"/>
        <v>23.403500318902218</v>
      </c>
      <c r="Y187" s="202">
        <f>(T187*(uPostT))/(1+oDR)^'Markov Model_b (2)'!cycle</f>
        <v>11.432966227460613</v>
      </c>
      <c r="Z187" s="80"/>
      <c r="AA187" s="3"/>
      <c r="AB187" s="3"/>
      <c r="AC187" s="14">
        <v>175</v>
      </c>
      <c r="AD187" s="14"/>
      <c r="AE187" s="14"/>
      <c r="AF187" s="3"/>
      <c r="AG187" s="3"/>
      <c r="AH187" s="3"/>
      <c r="AI187" s="14"/>
      <c r="AJ187" s="14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</row>
    <row r="188" spans="1:58" ht="14.25" customHeight="1" x14ac:dyDescent="0.2">
      <c r="A188" s="637"/>
      <c r="B188" s="417"/>
      <c r="C188" s="173">
        <v>178</v>
      </c>
      <c r="D188" s="165"/>
      <c r="E188" s="174">
        <v>1.5487919527160665E-3</v>
      </c>
      <c r="F188" s="502"/>
      <c r="G188" s="219">
        <f t="shared" si="20"/>
        <v>24.648991918867807</v>
      </c>
      <c r="H188" s="249">
        <f>H187+(G187*E188*'life-tables-test'!$C$66)</f>
        <v>75.351008081132193</v>
      </c>
      <c r="I188" s="516">
        <f t="shared" si="24"/>
        <v>100</v>
      </c>
      <c r="J188" s="153">
        <f>(G188*0)/(1+cDR)^'Markov Model_b (2)'!cycle</f>
        <v>0</v>
      </c>
      <c r="K188" s="178">
        <f t="shared" si="21"/>
        <v>24.648991918867807</v>
      </c>
      <c r="L188" s="202">
        <f>(G188*(uPostT))/(1+oDR)^'Markov Model_b (2)'!cycle</f>
        <v>12.011379388362624</v>
      </c>
      <c r="M188" s="80"/>
      <c r="N188" s="3"/>
      <c r="O188" s="80"/>
      <c r="P188" s="173">
        <v>178</v>
      </c>
      <c r="Q188" s="165"/>
      <c r="R188" s="174">
        <v>1.5487919527160665E-3</v>
      </c>
      <c r="S188" s="502"/>
      <c r="T188" s="219">
        <f t="shared" si="25"/>
        <v>23.222264554105706</v>
      </c>
      <c r="U188" s="249">
        <f>U187+(T187*R188*'life-tables-test'!$C$66)</f>
        <v>76.777735445894294</v>
      </c>
      <c r="V188" s="516">
        <f t="shared" si="22"/>
        <v>100</v>
      </c>
      <c r="W188" s="153">
        <f>(T188*0)/(1+cDR)^'Markov Model_b (2)'!cycle2</f>
        <v>0</v>
      </c>
      <c r="X188" s="178">
        <f t="shared" si="23"/>
        <v>23.222264554105706</v>
      </c>
      <c r="Y188" s="202">
        <f>(T188*(uPostT))/(1+oDR)^'Markov Model_b (2)'!cycle</f>
        <v>11.316139448395797</v>
      </c>
      <c r="Z188" s="80"/>
      <c r="AA188" s="3"/>
      <c r="AB188" s="3"/>
      <c r="AC188" s="14">
        <v>176</v>
      </c>
      <c r="AD188" s="14"/>
      <c r="AE188" s="14"/>
      <c r="AF188" s="3"/>
      <c r="AG188" s="3"/>
      <c r="AH188" s="3"/>
      <c r="AI188" s="14"/>
      <c r="AJ188" s="14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</row>
    <row r="189" spans="1:58" ht="14.25" customHeight="1" x14ac:dyDescent="0.2">
      <c r="A189" s="637"/>
      <c r="B189" s="417"/>
      <c r="C189" s="173">
        <v>179</v>
      </c>
      <c r="D189" s="165"/>
      <c r="E189" s="174">
        <v>1.5487919527160665E-3</v>
      </c>
      <c r="F189" s="502"/>
      <c r="G189" s="219">
        <f t="shared" si="20"/>
        <v>24.458111117235276</v>
      </c>
      <c r="H189" s="249">
        <f>H188+(G188*E189*'life-tables-test'!$C$66)</f>
        <v>75.541888882764724</v>
      </c>
      <c r="I189" s="516">
        <f t="shared" si="24"/>
        <v>100</v>
      </c>
      <c r="J189" s="153">
        <f>(G189*0)/(1+cDR)^'Markov Model_b (2)'!cycle</f>
        <v>0</v>
      </c>
      <c r="K189" s="178">
        <f t="shared" si="21"/>
        <v>24.458111117235276</v>
      </c>
      <c r="L189" s="202">
        <f>(G189*(uPostT))/(1+oDR)^'Markov Model_b (2)'!cycle</f>
        <v>11.888642144313261</v>
      </c>
      <c r="M189" s="80"/>
      <c r="N189" s="3"/>
      <c r="O189" s="80"/>
      <c r="P189" s="173">
        <v>179</v>
      </c>
      <c r="Q189" s="165"/>
      <c r="R189" s="174">
        <v>1.5487919527160665E-3</v>
      </c>
      <c r="S189" s="502"/>
      <c r="T189" s="219">
        <f t="shared" si="25"/>
        <v>23.042432271779489</v>
      </c>
      <c r="U189" s="249">
        <f>U188+(T188*R189*'life-tables-test'!$C$66)</f>
        <v>76.957567728220511</v>
      </c>
      <c r="V189" s="516">
        <f t="shared" si="22"/>
        <v>100</v>
      </c>
      <c r="W189" s="153">
        <f>(T189*0)/(1+cDR)^'Markov Model_b (2)'!cycle2</f>
        <v>0</v>
      </c>
      <c r="X189" s="178">
        <f t="shared" si="23"/>
        <v>23.042432271779489</v>
      </c>
      <c r="Y189" s="202">
        <f>(T189*(uPostT))/(1+oDR)^'Markov Model_b (2)'!cycle</f>
        <v>11.200506453694119</v>
      </c>
      <c r="Z189" s="80"/>
      <c r="AA189" s="3"/>
      <c r="AB189" s="3"/>
      <c r="AC189" s="14">
        <v>177</v>
      </c>
      <c r="AD189" s="14"/>
      <c r="AE189" s="14"/>
      <c r="AF189" s="3"/>
      <c r="AG189" s="3"/>
      <c r="AH189" s="3"/>
      <c r="AI189" s="14"/>
      <c r="AJ189" s="14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</row>
    <row r="190" spans="1:58" ht="14.25" customHeight="1" x14ac:dyDescent="0.2">
      <c r="A190" s="637"/>
      <c r="B190" s="417"/>
      <c r="C190" s="173">
        <v>180</v>
      </c>
      <c r="D190" s="165"/>
      <c r="E190" s="174">
        <v>1.5487919527160665E-3</v>
      </c>
      <c r="F190" s="502"/>
      <c r="G190" s="219">
        <f t="shared" si="20"/>
        <v>24.268708488850223</v>
      </c>
      <c r="H190" s="249">
        <f>H189+(G189*E190*'life-tables-test'!$C$66)</f>
        <v>75.731291511149777</v>
      </c>
      <c r="I190" s="516">
        <f t="shared" si="24"/>
        <v>100</v>
      </c>
      <c r="J190" s="153">
        <f>(G190*0)/(1+cDR)^'Markov Model_b (2)'!cycle</f>
        <v>0</v>
      </c>
      <c r="K190" s="178">
        <f t="shared" si="21"/>
        <v>24.268708488850223</v>
      </c>
      <c r="L190" s="202">
        <f>(G190*(uPostT))/(1+oDR)^'Markov Model_b (2)'!cycle</f>
        <v>11.767159080203582</v>
      </c>
      <c r="M190" s="80"/>
      <c r="N190" s="3"/>
      <c r="O190" s="80"/>
      <c r="P190" s="173">
        <v>180</v>
      </c>
      <c r="Q190" s="165"/>
      <c r="R190" s="174">
        <v>1.5487919527160665E-3</v>
      </c>
      <c r="S190" s="502"/>
      <c r="T190" s="219">
        <f t="shared" si="25"/>
        <v>22.863992603411802</v>
      </c>
      <c r="U190" s="249">
        <f>U189+(T189*R190*'life-tables-test'!$C$66)</f>
        <v>77.136007396588198</v>
      </c>
      <c r="V190" s="516">
        <f t="shared" si="22"/>
        <v>100</v>
      </c>
      <c r="W190" s="153">
        <f>(T190*0)/(1+cDR)^'Markov Model_b (2)'!cycle2</f>
        <v>0</v>
      </c>
      <c r="X190" s="178">
        <f t="shared" si="23"/>
        <v>22.863992603411802</v>
      </c>
      <c r="Y190" s="202">
        <f>(T190*(uPostT))/(1+oDR)^'Markov Model_b (2)'!cycle</f>
        <v>11.086055044773058</v>
      </c>
      <c r="Z190" s="80"/>
      <c r="AA190" s="3"/>
      <c r="AB190" s="3"/>
      <c r="AC190" s="14">
        <v>178</v>
      </c>
      <c r="AD190" s="14"/>
      <c r="AE190" s="14"/>
      <c r="AF190" s="3"/>
      <c r="AG190" s="3"/>
      <c r="AH190" s="3"/>
      <c r="AI190" s="14"/>
      <c r="AJ190" s="14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</row>
    <row r="191" spans="1:58" ht="14.25" customHeight="1" x14ac:dyDescent="0.2">
      <c r="A191" s="519"/>
      <c r="B191" s="417"/>
      <c r="C191" s="173">
        <v>181</v>
      </c>
      <c r="D191" s="504"/>
      <c r="E191" s="174">
        <v>1.5487919527160665E-3</v>
      </c>
      <c r="F191" s="505"/>
      <c r="G191" s="219">
        <f t="shared" si="20"/>
        <v>24.080772586798503</v>
      </c>
      <c r="H191" s="249">
        <f>H190+(G190*E191*'life-tables-test'!$C$66)</f>
        <v>75.919227413201497</v>
      </c>
      <c r="I191" s="516">
        <f t="shared" si="24"/>
        <v>100</v>
      </c>
      <c r="J191" s="180">
        <f>(G191*0)/(1+cDR)^'Markov Model_b (2)'!cycle</f>
        <v>0</v>
      </c>
      <c r="K191" s="176">
        <f t="shared" si="21"/>
        <v>24.080772586798503</v>
      </c>
      <c r="L191" s="202">
        <f>(G191*(uPostT))/(1+oDR)^'Markov Model_b (2)'!cycle</f>
        <v>11.646917380304076</v>
      </c>
      <c r="M191" s="80"/>
      <c r="N191" s="3"/>
      <c r="O191" s="80"/>
      <c r="P191" s="173">
        <v>181</v>
      </c>
      <c r="Q191" s="504"/>
      <c r="R191" s="174">
        <v>1.5487919527160665E-3</v>
      </c>
      <c r="S191" s="505"/>
      <c r="T191" s="219">
        <f t="shared" si="25"/>
        <v>22.686934764656186</v>
      </c>
      <c r="U191" s="249">
        <f>U190+(T190*R191*'life-tables-test'!$C$66)</f>
        <v>77.313065235343814</v>
      </c>
      <c r="V191" s="516">
        <f t="shared" si="22"/>
        <v>100</v>
      </c>
      <c r="W191" s="180">
        <f>(T191*0)/(1+cDR)^'Markov Model_b (2)'!cycle2</f>
        <v>0</v>
      </c>
      <c r="X191" s="176">
        <f t="shared" si="23"/>
        <v>22.686934764656186</v>
      </c>
      <c r="Y191" s="202">
        <f>(T191*(uPostT))/(1+oDR)^'Markov Model_b (2)'!cycle</f>
        <v>10.97277314770025</v>
      </c>
      <c r="Z191" s="80"/>
      <c r="AA191" s="3"/>
      <c r="AB191" s="3"/>
      <c r="AC191" s="14">
        <v>179</v>
      </c>
      <c r="AD191" s="14"/>
      <c r="AE191" s="14"/>
      <c r="AF191" s="3"/>
      <c r="AG191" s="3"/>
      <c r="AH191" s="3"/>
      <c r="AI191" s="14"/>
      <c r="AJ191" s="14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</row>
    <row r="192" spans="1:58" ht="14.25" customHeight="1" x14ac:dyDescent="0.25">
      <c r="A192" s="637" t="s">
        <v>557</v>
      </c>
      <c r="B192" s="417"/>
      <c r="C192" s="506">
        <v>182</v>
      </c>
      <c r="D192" s="506"/>
      <c r="E192" s="507">
        <v>1.5487919527160665E-3</v>
      </c>
      <c r="F192" s="508"/>
      <c r="G192" s="509">
        <f t="shared" si="20"/>
        <v>23.894292052810414</v>
      </c>
      <c r="H192" s="510">
        <f>H191+(G191*E192*'life-tables-test'!$C$66)</f>
        <v>76.105707947189586</v>
      </c>
      <c r="I192" s="518">
        <f t="shared" si="24"/>
        <v>100</v>
      </c>
      <c r="J192" s="511">
        <f>(G192*0)/(1+cDR)^'Markov Model_b (2)'!cycle</f>
        <v>0</v>
      </c>
      <c r="K192" s="512">
        <f t="shared" si="21"/>
        <v>23.894292052810414</v>
      </c>
      <c r="L192" s="513">
        <f>(G192*(uPostT))/(1+oDR)^'Markov Model_b (2)'!cycle</f>
        <v>11.527904359841658</v>
      </c>
      <c r="M192" s="80"/>
      <c r="N192" s="3"/>
      <c r="O192" s="80"/>
      <c r="P192" s="506">
        <v>182</v>
      </c>
      <c r="Q192" s="506"/>
      <c r="R192" s="507">
        <v>1.5487919527160665E-3</v>
      </c>
      <c r="S192" s="508"/>
      <c r="T192" s="509">
        <f t="shared" si="25"/>
        <v>22.511248054679712</v>
      </c>
      <c r="U192" s="510">
        <f>U191+(T191*R192*'life-tables-test'!$C$66)</f>
        <v>77.488751945320288</v>
      </c>
      <c r="V192" s="518">
        <f t="shared" si="22"/>
        <v>100</v>
      </c>
      <c r="W192" s="511">
        <f>(T192*0)/(1+cDR)^'Markov Model_b (2)'!cycle2</f>
        <v>0</v>
      </c>
      <c r="X192" s="512">
        <f t="shared" si="23"/>
        <v>22.511248054679712</v>
      </c>
      <c r="Y192" s="513">
        <f>(T192*(uPostT))/(1+oDR)^'Markov Model_b (2)'!cycle</f>
        <v>10.860648811919766</v>
      </c>
      <c r="Z192" s="80"/>
      <c r="AA192" s="3"/>
      <c r="AB192" s="3"/>
      <c r="AC192" s="14">
        <v>180</v>
      </c>
      <c r="AD192" s="14"/>
      <c r="AE192" s="14"/>
      <c r="AF192" s="3"/>
      <c r="AG192" s="3"/>
      <c r="AH192" s="3"/>
      <c r="AI192" s="14"/>
      <c r="AJ192" s="14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</row>
    <row r="193" spans="1:58" ht="14.25" customHeight="1" x14ac:dyDescent="0.2">
      <c r="A193" s="637"/>
      <c r="B193" s="417"/>
      <c r="C193" s="173">
        <v>183</v>
      </c>
      <c r="D193" s="165"/>
      <c r="E193" s="174">
        <v>1.7090569820643609E-3</v>
      </c>
      <c r="F193" s="502"/>
      <c r="G193" s="219">
        <f t="shared" si="20"/>
        <v>23.690108519488717</v>
      </c>
      <c r="H193" s="249">
        <f>H192+(G192*E193*'life-tables-test'!$C$66)</f>
        <v>76.309891480511283</v>
      </c>
      <c r="I193" s="516">
        <f t="shared" si="24"/>
        <v>100</v>
      </c>
      <c r="J193" s="153">
        <f>(G193*0)/(1+cDR)^'Markov Model_b (2)'!cycle</f>
        <v>0</v>
      </c>
      <c r="K193" s="178">
        <f t="shared" si="21"/>
        <v>23.690108519488717</v>
      </c>
      <c r="L193" s="202">
        <f>(G193*(uPostT))/(1+oDR)^'Markov Model_b (2)'!cycle</f>
        <v>11.40089290041683</v>
      </c>
      <c r="M193" s="80"/>
      <c r="N193" s="3"/>
      <c r="O193" s="80"/>
      <c r="P193" s="173">
        <v>183</v>
      </c>
      <c r="Q193" s="165"/>
      <c r="R193" s="174">
        <v>1.7090569820643609E-3</v>
      </c>
      <c r="S193" s="502"/>
      <c r="T193" s="219">
        <f t="shared" si="25"/>
        <v>22.31888302636554</v>
      </c>
      <c r="U193" s="249">
        <f>U192+(T192*R193*'life-tables-test'!$C$66)</f>
        <v>77.68111697363446</v>
      </c>
      <c r="V193" s="516">
        <f t="shared" si="22"/>
        <v>100</v>
      </c>
      <c r="W193" s="153">
        <f>(T193*0)/(1+cDR)^'Markov Model_b (2)'!cycle2</f>
        <v>0</v>
      </c>
      <c r="X193" s="178">
        <f t="shared" si="23"/>
        <v>22.31888302636554</v>
      </c>
      <c r="Y193" s="202">
        <f>(T193*(uPostT))/(1+oDR)^'Markov Model_b (2)'!cycle</f>
        <v>10.740989001008437</v>
      </c>
      <c r="Z193" s="80"/>
      <c r="AA193" s="3"/>
      <c r="AB193" s="3"/>
      <c r="AC193" s="14">
        <v>181</v>
      </c>
      <c r="AD193" s="14"/>
      <c r="AE193" s="14"/>
      <c r="AF193" s="3"/>
      <c r="AG193" s="3"/>
      <c r="AH193" s="3"/>
      <c r="AI193" s="14"/>
      <c r="AJ193" s="14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</row>
    <row r="194" spans="1:58" ht="14.25" customHeight="1" x14ac:dyDescent="0.2">
      <c r="A194" s="637"/>
      <c r="B194" s="417"/>
      <c r="C194" s="173">
        <v>184</v>
      </c>
      <c r="D194" s="165"/>
      <c r="E194" s="174">
        <v>1.7090569820643609E-3</v>
      </c>
      <c r="F194" s="502"/>
      <c r="G194" s="219">
        <f t="shared" si="20"/>
        <v>23.487669792633241</v>
      </c>
      <c r="H194" s="249">
        <f>H193+(G193*E194*'life-tables-test'!$C$66)</f>
        <v>76.512330207366759</v>
      </c>
      <c r="I194" s="516">
        <f t="shared" si="24"/>
        <v>100</v>
      </c>
      <c r="J194" s="153">
        <f>(G194*0)/(1+cDR)^'Markov Model_b (2)'!cycle</f>
        <v>0</v>
      </c>
      <c r="K194" s="178">
        <f t="shared" si="21"/>
        <v>23.487669792633241</v>
      </c>
      <c r="L194" s="202">
        <f>(G194*(uPostT))/(1+oDR)^'Markov Model_b (2)'!cycle</f>
        <v>11.275280820299953</v>
      </c>
      <c r="M194" s="80"/>
      <c r="N194" s="3"/>
      <c r="O194" s="80"/>
      <c r="P194" s="173">
        <v>184</v>
      </c>
      <c r="Q194" s="165"/>
      <c r="R194" s="174">
        <v>1.7090569820643609E-3</v>
      </c>
      <c r="S194" s="502"/>
      <c r="T194" s="219">
        <f t="shared" si="25"/>
        <v>22.128161812025098</v>
      </c>
      <c r="U194" s="249">
        <f>U193+(T193*R194*'life-tables-test'!$C$66)</f>
        <v>77.871838187974902</v>
      </c>
      <c r="V194" s="516">
        <f t="shared" si="22"/>
        <v>100</v>
      </c>
      <c r="W194" s="153">
        <f>(T194*0)/(1+cDR)^'Markov Model_b (2)'!cycle2</f>
        <v>0</v>
      </c>
      <c r="X194" s="178">
        <f t="shared" si="23"/>
        <v>22.128161812025098</v>
      </c>
      <c r="Y194" s="202">
        <f>(T194*(uPostT))/(1+oDR)^'Markov Model_b (2)'!cycle</f>
        <v>10.622647570849065</v>
      </c>
      <c r="Z194" s="80"/>
      <c r="AA194" s="3"/>
      <c r="AB194" s="3"/>
      <c r="AC194" s="14">
        <v>182</v>
      </c>
      <c r="AD194" s="14"/>
      <c r="AE194" s="14"/>
      <c r="AF194" s="3"/>
      <c r="AG194" s="3"/>
      <c r="AH194" s="3"/>
      <c r="AI194" s="14"/>
      <c r="AJ194" s="14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</row>
    <row r="195" spans="1:58" ht="14.25" customHeight="1" x14ac:dyDescent="0.2">
      <c r="A195" s="637"/>
      <c r="B195" s="417"/>
      <c r="C195" s="173">
        <v>185</v>
      </c>
      <c r="D195" s="165"/>
      <c r="E195" s="174">
        <v>1.7090569820643609E-3</v>
      </c>
      <c r="F195" s="502"/>
      <c r="G195" s="219">
        <f t="shared" si="20"/>
        <v>23.28696096237563</v>
      </c>
      <c r="H195" s="249">
        <f>H194+(G194*E195*'life-tables-test'!$C$66)</f>
        <v>76.71303903762437</v>
      </c>
      <c r="I195" s="516">
        <f t="shared" si="24"/>
        <v>100</v>
      </c>
      <c r="J195" s="153">
        <f>(G195*0)/(1+cDR)^'Markov Model_b (2)'!cycle</f>
        <v>0</v>
      </c>
      <c r="K195" s="178">
        <f t="shared" si="21"/>
        <v>23.28696096237563</v>
      </c>
      <c r="L195" s="202">
        <f>(G195*(uPostT))/(1+oDR)^'Markov Model_b (2)'!cycle</f>
        <v>11.151052701492869</v>
      </c>
      <c r="M195" s="80"/>
      <c r="N195" s="3"/>
      <c r="O195" s="80"/>
      <c r="P195" s="173">
        <v>185</v>
      </c>
      <c r="Q195" s="165"/>
      <c r="R195" s="174">
        <v>1.7090569820643609E-3</v>
      </c>
      <c r="S195" s="502"/>
      <c r="T195" s="219">
        <f t="shared" si="25"/>
        <v>21.939070364799647</v>
      </c>
      <c r="U195" s="249">
        <f>U194+(T194*R195*'life-tables-test'!$C$66)</f>
        <v>78.060929635200353</v>
      </c>
      <c r="V195" s="516">
        <f t="shared" si="22"/>
        <v>100</v>
      </c>
      <c r="W195" s="153">
        <f>(T195*0)/(1+cDR)^'Markov Model_b (2)'!cycle2</f>
        <v>0</v>
      </c>
      <c r="X195" s="178">
        <f t="shared" si="23"/>
        <v>21.939070364799647</v>
      </c>
      <c r="Y195" s="202">
        <f>(T195*(uPostT))/(1+oDR)^'Markov Model_b (2)'!cycle</f>
        <v>10.505609995864562</v>
      </c>
      <c r="Z195" s="80"/>
      <c r="AA195" s="3"/>
      <c r="AB195" s="3"/>
      <c r="AC195" s="14">
        <v>183</v>
      </c>
      <c r="AD195" s="14"/>
      <c r="AE195" s="14"/>
      <c r="AF195" s="3"/>
      <c r="AG195" s="3"/>
      <c r="AH195" s="3"/>
      <c r="AI195" s="14"/>
      <c r="AJ195" s="14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</row>
    <row r="196" spans="1:58" ht="14.25" customHeight="1" x14ac:dyDescent="0.2">
      <c r="A196" s="637"/>
      <c r="B196" s="417"/>
      <c r="C196" s="173">
        <v>186</v>
      </c>
      <c r="D196" s="165"/>
      <c r="E196" s="174">
        <v>1.7090569820643609E-3</v>
      </c>
      <c r="F196" s="502"/>
      <c r="G196" s="219">
        <f t="shared" si="20"/>
        <v>23.087967246256582</v>
      </c>
      <c r="H196" s="249">
        <f>H195+(G195*E196*'life-tables-test'!$C$66)</f>
        <v>76.912032753743418</v>
      </c>
      <c r="I196" s="516">
        <f t="shared" si="24"/>
        <v>100</v>
      </c>
      <c r="J196" s="153">
        <f>(G196*0)/(1+cDR)^'Markov Model_b (2)'!cycle</f>
        <v>0</v>
      </c>
      <c r="K196" s="178">
        <f t="shared" si="21"/>
        <v>23.087967246256582</v>
      </c>
      <c r="L196" s="202">
        <f>(G196*(uPostT))/(1+oDR)^'Markov Model_b (2)'!cycle</f>
        <v>11.028193295868926</v>
      </c>
      <c r="M196" s="80"/>
      <c r="N196" s="3"/>
      <c r="O196" s="80"/>
      <c r="P196" s="173">
        <v>186</v>
      </c>
      <c r="Q196" s="165"/>
      <c r="R196" s="174">
        <v>1.7090569820643609E-3</v>
      </c>
      <c r="S196" s="502"/>
      <c r="T196" s="219">
        <f t="shared" si="25"/>
        <v>21.751594757864837</v>
      </c>
      <c r="U196" s="249">
        <f>U195+(T195*R196*'life-tables-test'!$C$66)</f>
        <v>78.248405242135163</v>
      </c>
      <c r="V196" s="516">
        <f t="shared" si="22"/>
        <v>100</v>
      </c>
      <c r="W196" s="153">
        <f>(T196*0)/(1+cDR)^'Markov Model_b (2)'!cycle2</f>
        <v>0</v>
      </c>
      <c r="X196" s="178">
        <f t="shared" si="23"/>
        <v>21.751594757864837</v>
      </c>
      <c r="Y196" s="202">
        <f>(T196*(uPostT))/(1+oDR)^'Markov Model_b (2)'!cycle</f>
        <v>10.389861910516883</v>
      </c>
      <c r="Z196" s="80"/>
      <c r="AA196" s="3"/>
      <c r="AB196" s="3"/>
      <c r="AC196" s="14">
        <v>184</v>
      </c>
      <c r="AD196" s="14"/>
      <c r="AE196" s="14"/>
      <c r="AF196" s="3"/>
      <c r="AG196" s="3"/>
      <c r="AH196" s="3"/>
      <c r="AI196" s="14"/>
      <c r="AJ196" s="14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</row>
    <row r="197" spans="1:58" ht="14.25" customHeight="1" x14ac:dyDescent="0.2">
      <c r="A197" s="637"/>
      <c r="B197" s="417"/>
      <c r="C197" s="173">
        <v>187</v>
      </c>
      <c r="D197" s="165"/>
      <c r="E197" s="174">
        <v>1.7090569820643609E-3</v>
      </c>
      <c r="F197" s="502"/>
      <c r="G197" s="219">
        <f t="shared" si="20"/>
        <v>22.890673988137138</v>
      </c>
      <c r="H197" s="249">
        <f>H196+(G196*E197*'life-tables-test'!$C$66)</f>
        <v>77.109326011862862</v>
      </c>
      <c r="I197" s="516">
        <f t="shared" si="24"/>
        <v>100</v>
      </c>
      <c r="J197" s="153">
        <f>(G197*0)/(1+cDR)^'Markov Model_b (2)'!cycle</f>
        <v>0</v>
      </c>
      <c r="K197" s="178">
        <f t="shared" si="21"/>
        <v>22.890673988137138</v>
      </c>
      <c r="L197" s="202">
        <f>(G197*(uPostT))/(1+oDR)^'Markov Model_b (2)'!cycle</f>
        <v>10.90668752330137</v>
      </c>
      <c r="M197" s="80"/>
      <c r="N197" s="3"/>
      <c r="O197" s="80"/>
      <c r="P197" s="173">
        <v>187</v>
      </c>
      <c r="Q197" s="165"/>
      <c r="R197" s="174">
        <v>1.7090569820643609E-3</v>
      </c>
      <c r="S197" s="502"/>
      <c r="T197" s="219">
        <f t="shared" si="25"/>
        <v>21.565721183405017</v>
      </c>
      <c r="U197" s="249">
        <f>U196+(T196*R197*'life-tables-test'!$C$66)</f>
        <v>78.434278816594983</v>
      </c>
      <c r="V197" s="516">
        <f t="shared" si="22"/>
        <v>100</v>
      </c>
      <c r="W197" s="153">
        <f>(T197*0)/(1+cDR)^'Markov Model_b (2)'!cycle2</f>
        <v>0</v>
      </c>
      <c r="X197" s="178">
        <f t="shared" si="23"/>
        <v>21.565721183405017</v>
      </c>
      <c r="Y197" s="202">
        <f>(T197*(uPostT))/(1+oDR)^'Markov Model_b (2)'!cycle</f>
        <v>10.275389107543756</v>
      </c>
      <c r="Z197" s="80"/>
      <c r="AA197" s="3"/>
      <c r="AB197" s="3"/>
      <c r="AC197" s="14">
        <v>185</v>
      </c>
      <c r="AD197" s="14"/>
      <c r="AE197" s="14"/>
      <c r="AF197" s="3"/>
      <c r="AG197" s="3"/>
      <c r="AH197" s="3"/>
      <c r="AI197" s="14"/>
      <c r="AJ197" s="14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</row>
    <row r="198" spans="1:58" ht="14.25" customHeight="1" x14ac:dyDescent="0.2">
      <c r="A198" s="637"/>
      <c r="B198" s="417"/>
      <c r="C198" s="173">
        <v>188</v>
      </c>
      <c r="D198" s="165"/>
      <c r="E198" s="174">
        <v>1.7090569820643609E-3</v>
      </c>
      <c r="F198" s="502"/>
      <c r="G198" s="219">
        <f t="shared" si="20"/>
        <v>22.695066657119213</v>
      </c>
      <c r="H198" s="249">
        <f>H197+(G197*E198*'life-tables-test'!$C$66)</f>
        <v>77.304933342880787</v>
      </c>
      <c r="I198" s="516">
        <f t="shared" si="24"/>
        <v>100</v>
      </c>
      <c r="J198" s="153">
        <f>(G198*0)/(1+cDR)^'Markov Model_b (2)'!cycle</f>
        <v>0</v>
      </c>
      <c r="K198" s="178">
        <f t="shared" si="21"/>
        <v>22.695066657119213</v>
      </c>
      <c r="L198" s="202">
        <f>(G198*(uPostT))/(1+oDR)^'Markov Model_b (2)'!cycle</f>
        <v>10.786520469812375</v>
      </c>
      <c r="M198" s="80"/>
      <c r="N198" s="3"/>
      <c r="O198" s="80"/>
      <c r="P198" s="173">
        <v>188</v>
      </c>
      <c r="Q198" s="165"/>
      <c r="R198" s="174">
        <v>1.7090569820643609E-3</v>
      </c>
      <c r="S198" s="502"/>
      <c r="T198" s="219">
        <f t="shared" si="25"/>
        <v>21.381435951596259</v>
      </c>
      <c r="U198" s="249">
        <f>U197+(T197*R198*'life-tables-test'!$C$66)</f>
        <v>78.618564048403741</v>
      </c>
      <c r="V198" s="516">
        <f t="shared" si="22"/>
        <v>100</v>
      </c>
      <c r="W198" s="153">
        <f>(T198*0)/(1+cDR)^'Markov Model_b (2)'!cycle2</f>
        <v>0</v>
      </c>
      <c r="X198" s="178">
        <f t="shared" si="23"/>
        <v>21.381435951596259</v>
      </c>
      <c r="Y198" s="202">
        <f>(T198*(uPostT))/(1+oDR)^'Markov Model_b (2)'!cycle</f>
        <v>10.162177536214839</v>
      </c>
      <c r="Z198" s="80"/>
      <c r="AA198" s="3"/>
      <c r="AB198" s="3"/>
      <c r="AC198" s="14">
        <v>186</v>
      </c>
      <c r="AD198" s="14"/>
      <c r="AE198" s="14"/>
      <c r="AF198" s="3"/>
      <c r="AG198" s="3"/>
      <c r="AH198" s="3"/>
      <c r="AI198" s="14"/>
      <c r="AJ198" s="14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</row>
    <row r="199" spans="1:58" ht="14.25" customHeight="1" x14ac:dyDescent="0.2">
      <c r="A199" s="637"/>
      <c r="B199" s="417"/>
      <c r="C199" s="173">
        <v>189</v>
      </c>
      <c r="D199" s="165"/>
      <c r="E199" s="174">
        <v>1.7090569820643609E-3</v>
      </c>
      <c r="F199" s="502"/>
      <c r="G199" s="219">
        <f t="shared" ref="G199:G262" si="26">$G$10-H199</f>
        <v>22.501130846475391</v>
      </c>
      <c r="H199" s="249">
        <f>H198+(G198*E199*'life-tables-test'!$C$66)</f>
        <v>77.498869153524609</v>
      </c>
      <c r="I199" s="516">
        <f t="shared" si="24"/>
        <v>100</v>
      </c>
      <c r="J199" s="153">
        <f>(G199*0)/(1+cDR)^'Markov Model_b (2)'!cycle</f>
        <v>0</v>
      </c>
      <c r="K199" s="178">
        <f t="shared" si="21"/>
        <v>22.501130846475391</v>
      </c>
      <c r="L199" s="202">
        <f>(G199*(uPostT))/(1+oDR)^'Markov Model_b (2)'!cycle</f>
        <v>10.667677385742458</v>
      </c>
      <c r="M199" s="80"/>
      <c r="N199" s="3"/>
      <c r="O199" s="80"/>
      <c r="P199" s="173">
        <v>189</v>
      </c>
      <c r="Q199" s="165"/>
      <c r="R199" s="174">
        <v>1.7090569820643609E-3</v>
      </c>
      <c r="S199" s="502"/>
      <c r="T199" s="219">
        <f t="shared" si="25"/>
        <v>21.198725489598075</v>
      </c>
      <c r="U199" s="249">
        <f>U198+(T198*R199*'life-tables-test'!$C$66)</f>
        <v>78.801274510401925</v>
      </c>
      <c r="V199" s="516">
        <f t="shared" si="22"/>
        <v>100</v>
      </c>
      <c r="W199" s="153">
        <f>(T199*0)/(1+cDR)^'Markov Model_b (2)'!cycle2</f>
        <v>0</v>
      </c>
      <c r="X199" s="178">
        <f t="shared" si="23"/>
        <v>21.198725489598075</v>
      </c>
      <c r="Y199" s="202">
        <f>(T199*(uPostT))/(1+oDR)^'Markov Model_b (2)'!cycle</f>
        <v>10.050213300607096</v>
      </c>
      <c r="Z199" s="80"/>
      <c r="AA199" s="3"/>
      <c r="AB199" s="3"/>
      <c r="AC199" s="14">
        <v>187</v>
      </c>
      <c r="AD199" s="14"/>
      <c r="AE199" s="14"/>
      <c r="AF199" s="3"/>
      <c r="AG199" s="3"/>
      <c r="AH199" s="3"/>
      <c r="AI199" s="14"/>
      <c r="AJ199" s="14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</row>
    <row r="200" spans="1:58" ht="14.25" customHeight="1" x14ac:dyDescent="0.2">
      <c r="A200" s="637"/>
      <c r="B200" s="417"/>
      <c r="C200" s="173">
        <v>190</v>
      </c>
      <c r="D200" s="165"/>
      <c r="E200" s="174">
        <v>1.7090569820643609E-3</v>
      </c>
      <c r="F200" s="502"/>
      <c r="G200" s="219">
        <f t="shared" si="26"/>
        <v>22.308852272587828</v>
      </c>
      <c r="H200" s="249">
        <f>H199+(G199*E200*'life-tables-test'!$C$66)</f>
        <v>77.691147727412172</v>
      </c>
      <c r="I200" s="516">
        <f t="shared" si="24"/>
        <v>100</v>
      </c>
      <c r="J200" s="153">
        <f>(G200*0)/(1+cDR)^'Markov Model_b (2)'!cycle</f>
        <v>0</v>
      </c>
      <c r="K200" s="178">
        <f t="shared" si="21"/>
        <v>22.308852272587828</v>
      </c>
      <c r="L200" s="202">
        <f>(G200*(uPostT))/(1+oDR)^'Markov Model_b (2)'!cycle</f>
        <v>10.550143683940043</v>
      </c>
      <c r="M200" s="80"/>
      <c r="N200" s="3"/>
      <c r="O200" s="80"/>
      <c r="P200" s="173">
        <v>190</v>
      </c>
      <c r="Q200" s="165"/>
      <c r="R200" s="174">
        <v>1.7090569820643609E-3</v>
      </c>
      <c r="S200" s="502"/>
      <c r="T200" s="219">
        <f t="shared" si="25"/>
        <v>21.017576340553759</v>
      </c>
      <c r="U200" s="249">
        <f>U199+(T199*R200*'life-tables-test'!$C$66)</f>
        <v>78.982423659446241</v>
      </c>
      <c r="V200" s="516">
        <f t="shared" si="22"/>
        <v>100</v>
      </c>
      <c r="W200" s="153">
        <f>(T200*0)/(1+cDR)^'Markov Model_b (2)'!cycle2</f>
        <v>0</v>
      </c>
      <c r="X200" s="178">
        <f t="shared" si="23"/>
        <v>21.017576340553759</v>
      </c>
      <c r="Y200" s="202">
        <f>(T200*(uPostT))/(1+oDR)^'Markov Model_b (2)'!cycle</f>
        <v>9.9394826578991591</v>
      </c>
      <c r="Z200" s="80"/>
      <c r="AA200" s="3"/>
      <c r="AB200" s="3"/>
      <c r="AC200" s="14">
        <v>188</v>
      </c>
      <c r="AD200" s="14"/>
      <c r="AE200" s="14"/>
      <c r="AF200" s="3"/>
      <c r="AG200" s="3"/>
      <c r="AH200" s="3"/>
      <c r="AI200" s="14"/>
      <c r="AJ200" s="14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</row>
    <row r="201" spans="1:58" ht="14.25" customHeight="1" x14ac:dyDescent="0.2">
      <c r="A201" s="637"/>
      <c r="B201" s="417"/>
      <c r="C201" s="173">
        <v>191</v>
      </c>
      <c r="D201" s="165"/>
      <c r="E201" s="174">
        <v>1.7090569820643609E-3</v>
      </c>
      <c r="F201" s="502"/>
      <c r="G201" s="219">
        <f t="shared" si="26"/>
        <v>22.118216773896279</v>
      </c>
      <c r="H201" s="249">
        <f>H200+(G200*E201*'life-tables-test'!$C$66)</f>
        <v>77.881783226103721</v>
      </c>
      <c r="I201" s="516">
        <f t="shared" si="24"/>
        <v>100</v>
      </c>
      <c r="J201" s="153">
        <f>(G201*0)/(1+cDR)^'Markov Model_b (2)'!cycle</f>
        <v>0</v>
      </c>
      <c r="K201" s="178">
        <f t="shared" si="21"/>
        <v>22.118216773896279</v>
      </c>
      <c r="L201" s="202">
        <f>(G201*(uPostT))/(1+oDR)^'Markov Model_b (2)'!cycle</f>
        <v>10.433904937971016</v>
      </c>
      <c r="M201" s="80"/>
      <c r="N201" s="3"/>
      <c r="O201" s="80"/>
      <c r="P201" s="173">
        <v>191</v>
      </c>
      <c r="Q201" s="165"/>
      <c r="R201" s="174">
        <v>1.7090569820643609E-3</v>
      </c>
      <c r="S201" s="502"/>
      <c r="T201" s="219">
        <f t="shared" si="25"/>
        <v>20.837975162599292</v>
      </c>
      <c r="U201" s="249">
        <f>U200+(T200*R201*'life-tables-test'!$C$66)</f>
        <v>79.162024837400708</v>
      </c>
      <c r="V201" s="516">
        <f t="shared" si="22"/>
        <v>100</v>
      </c>
      <c r="W201" s="153">
        <f>(T201*0)/(1+cDR)^'Markov Model_b (2)'!cycle2</f>
        <v>0</v>
      </c>
      <c r="X201" s="178">
        <f t="shared" si="23"/>
        <v>20.837975162599292</v>
      </c>
      <c r="Y201" s="202">
        <f>(T201*(uPostT))/(1+oDR)^'Markov Model_b (2)'!cycle</f>
        <v>9.8299720166845006</v>
      </c>
      <c r="Z201" s="80"/>
      <c r="AA201" s="3"/>
      <c r="AB201" s="3"/>
      <c r="AC201" s="14">
        <v>189</v>
      </c>
      <c r="AD201" s="14"/>
      <c r="AE201" s="14"/>
      <c r="AF201" s="3"/>
      <c r="AG201" s="3"/>
      <c r="AH201" s="3"/>
      <c r="AI201" s="14"/>
      <c r="AJ201" s="14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ht="14.25" customHeight="1" x14ac:dyDescent="0.2">
      <c r="A202" s="637"/>
      <c r="B202" s="417"/>
      <c r="C202" s="173">
        <v>192</v>
      </c>
      <c r="D202" s="165"/>
      <c r="E202" s="174">
        <v>1.7090569820643609E-3</v>
      </c>
      <c r="F202" s="502"/>
      <c r="G202" s="219">
        <f t="shared" si="26"/>
        <v>21.92921030985508</v>
      </c>
      <c r="H202" s="249">
        <f>H201+(G201*E202*'life-tables-test'!$C$66)</f>
        <v>78.07078969014492</v>
      </c>
      <c r="I202" s="516">
        <f t="shared" si="24"/>
        <v>100</v>
      </c>
      <c r="J202" s="153">
        <f>(G202*0)/(1+cDR)^'Markov Model_b (2)'!cycle</f>
        <v>0</v>
      </c>
      <c r="K202" s="178">
        <f t="shared" si="21"/>
        <v>21.92921030985508</v>
      </c>
      <c r="L202" s="202">
        <f>(G202*(uPostT))/(1+oDR)^'Markov Model_b (2)'!cycle</f>
        <v>10.318946880347969</v>
      </c>
      <c r="M202" s="80"/>
      <c r="N202" s="3"/>
      <c r="O202" s="80"/>
      <c r="P202" s="173">
        <v>192</v>
      </c>
      <c r="Q202" s="165"/>
      <c r="R202" s="174">
        <v>1.7090569820643609E-3</v>
      </c>
      <c r="S202" s="502"/>
      <c r="T202" s="219">
        <f t="shared" si="25"/>
        <v>20.659908727880676</v>
      </c>
      <c r="U202" s="249">
        <f>U201+(T201*R202*'life-tables-test'!$C$66)</f>
        <v>79.340091272119324</v>
      </c>
      <c r="V202" s="516">
        <f t="shared" si="22"/>
        <v>100</v>
      </c>
      <c r="W202" s="153">
        <f>(T202*0)/(1+cDR)^'Markov Model_b (2)'!cycle2</f>
        <v>0</v>
      </c>
      <c r="X202" s="178">
        <f t="shared" si="23"/>
        <v>20.659908727880676</v>
      </c>
      <c r="Y202" s="202">
        <f>(T202*(uPostT))/(1+oDR)^'Markov Model_b (2)'!cycle</f>
        <v>9.7216679353031825</v>
      </c>
      <c r="Z202" s="80"/>
      <c r="AA202" s="3"/>
      <c r="AB202" s="3"/>
      <c r="AC202" s="14">
        <v>190</v>
      </c>
      <c r="AD202" s="14"/>
      <c r="AE202" s="14"/>
      <c r="AF202" s="3"/>
      <c r="AG202" s="3"/>
      <c r="AH202" s="3"/>
      <c r="AI202" s="14"/>
      <c r="AJ202" s="14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ht="14.25" customHeight="1" x14ac:dyDescent="0.2">
      <c r="A203" s="519"/>
      <c r="B203" s="417"/>
      <c r="C203" s="173">
        <v>193</v>
      </c>
      <c r="D203" s="504"/>
      <c r="E203" s="174">
        <v>1.7090569820643609E-3</v>
      </c>
      <c r="F203" s="505"/>
      <c r="G203" s="219">
        <f t="shared" si="26"/>
        <v>21.741818959899007</v>
      </c>
      <c r="H203" s="249">
        <f>H202+(G202*E203*'life-tables-test'!$C$66)</f>
        <v>78.258181040100993</v>
      </c>
      <c r="I203" s="516">
        <f t="shared" si="24"/>
        <v>100</v>
      </c>
      <c r="J203" s="180">
        <f>(G203*0)/(1+cDR)^'Markov Model_b (2)'!cycle</f>
        <v>0</v>
      </c>
      <c r="K203" s="176">
        <f t="shared" si="21"/>
        <v>21.741818959899007</v>
      </c>
      <c r="L203" s="202">
        <f>(G203*(uPostT))/(1+oDR)^'Markov Model_b (2)'!cycle</f>
        <v>10.205255400778976</v>
      </c>
      <c r="M203" s="80"/>
      <c r="N203" s="3"/>
      <c r="O203" s="80"/>
      <c r="P203" s="173">
        <v>193</v>
      </c>
      <c r="Q203" s="504"/>
      <c r="R203" s="174">
        <v>1.7090569820643609E-3</v>
      </c>
      <c r="S203" s="505"/>
      <c r="T203" s="219">
        <f t="shared" si="25"/>
        <v>20.483363921579695</v>
      </c>
      <c r="U203" s="249">
        <f>U202+(T202*R203*'life-tables-test'!$C$66)</f>
        <v>79.516636078420305</v>
      </c>
      <c r="V203" s="516">
        <f t="shared" si="22"/>
        <v>100</v>
      </c>
      <c r="W203" s="180">
        <f>(T203*0)/(1+cDR)^'Markov Model_b (2)'!cycle2</f>
        <v>0</v>
      </c>
      <c r="X203" s="176">
        <f t="shared" si="23"/>
        <v>20.483363921579695</v>
      </c>
      <c r="Y203" s="202">
        <f>(T203*(uPostT))/(1+oDR)^'Markov Model_b (2)'!cycle</f>
        <v>9.6145571201919982</v>
      </c>
      <c r="Z203" s="80"/>
      <c r="AA203" s="3"/>
      <c r="AB203" s="3"/>
      <c r="AC203" s="14">
        <v>191</v>
      </c>
      <c r="AD203" s="14"/>
      <c r="AE203" s="14"/>
      <c r="AF203" s="3"/>
      <c r="AG203" s="3"/>
      <c r="AH203" s="3"/>
      <c r="AI203" s="14"/>
      <c r="AJ203" s="14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  <row r="204" spans="1:58" ht="14.25" customHeight="1" x14ac:dyDescent="0.25">
      <c r="A204" s="637" t="s">
        <v>558</v>
      </c>
      <c r="B204" s="417"/>
      <c r="C204" s="506">
        <v>194</v>
      </c>
      <c r="D204" s="506"/>
      <c r="E204" s="507">
        <v>1.7090569820643609E-3</v>
      </c>
      <c r="F204" s="508"/>
      <c r="G204" s="509">
        <f t="shared" si="26"/>
        <v>21.556028922418037</v>
      </c>
      <c r="H204" s="510">
        <f>H203+(G203*E204*'life-tables-test'!$C$66)</f>
        <v>78.443971077581963</v>
      </c>
      <c r="I204" s="518">
        <f t="shared" si="24"/>
        <v>100</v>
      </c>
      <c r="J204" s="511">
        <f>(G204*0)/(1+cDR)^'Markov Model_b (2)'!cycle</f>
        <v>0</v>
      </c>
      <c r="K204" s="512">
        <f t="shared" si="21"/>
        <v>21.556028922418037</v>
      </c>
      <c r="L204" s="513">
        <f>(G204*(uPostT))/(1+oDR)^'Markov Model_b (2)'!cycle</f>
        <v>10.09281654443563</v>
      </c>
      <c r="M204" s="80"/>
      <c r="N204" s="3"/>
      <c r="O204" s="80"/>
      <c r="P204" s="506">
        <v>194</v>
      </c>
      <c r="Q204" s="506"/>
      <c r="R204" s="507">
        <v>1.7090569820643609E-3</v>
      </c>
      <c r="S204" s="508"/>
      <c r="T204" s="509">
        <f t="shared" si="25"/>
        <v>20.308327740947988</v>
      </c>
      <c r="U204" s="510">
        <f>U203+(T203*R204*'life-tables-test'!$C$66)</f>
        <v>79.691672259052012</v>
      </c>
      <c r="V204" s="518">
        <f t="shared" si="22"/>
        <v>100</v>
      </c>
      <c r="W204" s="511">
        <f>(T204*0)/(1+cDR)^'Markov Model_b (2)'!cycle2</f>
        <v>0</v>
      </c>
      <c r="X204" s="512">
        <f t="shared" si="23"/>
        <v>20.308327740947988</v>
      </c>
      <c r="Y204" s="513">
        <f>(T204*(uPostT))/(1+oDR)^'Markov Model_b (2)'!cycle</f>
        <v>9.5086264242527623</v>
      </c>
      <c r="Z204" s="80"/>
      <c r="AA204" s="3"/>
      <c r="AB204" s="3"/>
      <c r="AC204" s="14">
        <v>192</v>
      </c>
      <c r="AD204" s="14"/>
      <c r="AE204" s="14"/>
      <c r="AF204" s="3"/>
      <c r="AG204" s="3"/>
      <c r="AH204" s="3"/>
      <c r="AI204" s="14"/>
      <c r="AJ204" s="14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</row>
    <row r="205" spans="1:58" ht="14.25" customHeight="1" x14ac:dyDescent="0.2">
      <c r="A205" s="637"/>
      <c r="B205" s="417"/>
      <c r="C205" s="173">
        <v>195</v>
      </c>
      <c r="D205" s="165"/>
      <c r="E205" s="174">
        <v>1.8607590427197618E-3</v>
      </c>
      <c r="F205" s="502"/>
      <c r="G205" s="219">
        <f t="shared" si="26"/>
        <v>21.355476043705451</v>
      </c>
      <c r="H205" s="249">
        <f>H204+(G204*E205*'life-tables-test'!$C$66)</f>
        <v>78.644523956294549</v>
      </c>
      <c r="I205" s="516">
        <f t="shared" si="24"/>
        <v>100</v>
      </c>
      <c r="J205" s="153">
        <f>(G205*0)/(1+cDR)^'Markov Model_b (2)'!cycle</f>
        <v>0</v>
      </c>
      <c r="K205" s="178">
        <f t="shared" si="21"/>
        <v>21.355476043705451</v>
      </c>
      <c r="L205" s="202">
        <f>(G205*(uPostT))/(1+oDR)^'Markov Model_b (2)'!cycle</f>
        <v>9.9739800959379394</v>
      </c>
      <c r="M205" s="80"/>
      <c r="N205" s="3"/>
      <c r="O205" s="80"/>
      <c r="P205" s="173">
        <v>195</v>
      </c>
      <c r="Q205" s="165"/>
      <c r="R205" s="174">
        <v>1.8607590427197618E-3</v>
      </c>
      <c r="S205" s="502"/>
      <c r="T205" s="219">
        <f t="shared" si="25"/>
        <v>20.119383218515566</v>
      </c>
      <c r="U205" s="249">
        <f>U204+(T204*R205*'life-tables-test'!$C$66)</f>
        <v>79.880616781484434</v>
      </c>
      <c r="V205" s="516">
        <f t="shared" si="22"/>
        <v>100</v>
      </c>
      <c r="W205" s="153">
        <f>(T205*0)/(1+cDR)^'Markov Model_b (2)'!cycle2</f>
        <v>0</v>
      </c>
      <c r="X205" s="178">
        <f t="shared" si="23"/>
        <v>20.119383218515566</v>
      </c>
      <c r="Y205" s="202">
        <f>(T205*(uPostT))/(1+oDR)^'Markov Model_b (2)'!cycle</f>
        <v>9.3966684401385567</v>
      </c>
      <c r="Z205" s="80"/>
      <c r="AA205" s="3"/>
      <c r="AB205" s="3"/>
      <c r="AC205" s="14">
        <v>193</v>
      </c>
      <c r="AD205" s="14"/>
      <c r="AE205" s="14"/>
      <c r="AF205" s="3"/>
      <c r="AG205" s="3"/>
      <c r="AH205" s="3"/>
      <c r="AI205" s="14"/>
      <c r="AJ205" s="14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</row>
    <row r="206" spans="1:58" ht="14.25" customHeight="1" x14ac:dyDescent="0.2">
      <c r="A206" s="637"/>
      <c r="B206" s="417"/>
      <c r="C206" s="173">
        <v>196</v>
      </c>
      <c r="D206" s="165"/>
      <c r="E206" s="174">
        <v>1.8607590427197618E-3</v>
      </c>
      <c r="F206" s="502"/>
      <c r="G206" s="219">
        <f t="shared" si="26"/>
        <v>21.156789067905905</v>
      </c>
      <c r="H206" s="249">
        <f>H205+(G205*E206*'life-tables-test'!$C$66)</f>
        <v>78.843210932094095</v>
      </c>
      <c r="I206" s="516">
        <f t="shared" si="24"/>
        <v>100</v>
      </c>
      <c r="J206" s="153">
        <f>(G206*0)/(1+cDR)^'Markov Model_b (2)'!cycle</f>
        <v>0</v>
      </c>
      <c r="K206" s="178">
        <f t="shared" si="21"/>
        <v>21.156789067905905</v>
      </c>
      <c r="L206" s="202">
        <f>(G206*(uPostT))/(1+oDR)^'Markov Model_b (2)'!cycle</f>
        <v>9.8565428704846116</v>
      </c>
      <c r="M206" s="80"/>
      <c r="N206" s="3"/>
      <c r="O206" s="80"/>
      <c r="P206" s="173">
        <v>196</v>
      </c>
      <c r="Q206" s="165"/>
      <c r="R206" s="174">
        <v>1.8607590427197618E-3</v>
      </c>
      <c r="S206" s="502"/>
      <c r="T206" s="219">
        <f t="shared" si="25"/>
        <v>19.932196597226579</v>
      </c>
      <c r="U206" s="249">
        <f>U205+(T205*R206*'life-tables-test'!$C$66)</f>
        <v>80.067803402773421</v>
      </c>
      <c r="V206" s="516">
        <f t="shared" si="22"/>
        <v>100</v>
      </c>
      <c r="W206" s="153">
        <f>(T206*0)/(1+cDR)^'Markov Model_b (2)'!cycle2</f>
        <v>0</v>
      </c>
      <c r="X206" s="178">
        <f t="shared" si="23"/>
        <v>19.932196597226579</v>
      </c>
      <c r="Y206" s="202">
        <f>(T206*(uPostT))/(1+oDR)^'Markov Model_b (2)'!cycle</f>
        <v>9.2860286895575257</v>
      </c>
      <c r="Z206" s="80"/>
      <c r="AA206" s="3"/>
      <c r="AB206" s="3"/>
      <c r="AC206" s="14">
        <v>194</v>
      </c>
      <c r="AD206" s="14"/>
      <c r="AE206" s="14"/>
      <c r="AF206" s="3"/>
      <c r="AG206" s="3"/>
      <c r="AH206" s="3"/>
      <c r="AI206" s="14"/>
      <c r="AJ206" s="14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</row>
    <row r="207" spans="1:58" ht="14.25" customHeight="1" x14ac:dyDescent="0.2">
      <c r="A207" s="637"/>
      <c r="B207" s="417"/>
      <c r="C207" s="173">
        <v>197</v>
      </c>
      <c r="D207" s="165"/>
      <c r="E207" s="174">
        <v>1.8607590427197618E-3</v>
      </c>
      <c r="F207" s="502"/>
      <c r="G207" s="219">
        <f t="shared" si="26"/>
        <v>20.959950635040798</v>
      </c>
      <c r="H207" s="249">
        <f>H206+(G206*E207*'life-tables-test'!$C$66)</f>
        <v>79.040049364959202</v>
      </c>
      <c r="I207" s="516">
        <f t="shared" si="24"/>
        <v>100</v>
      </c>
      <c r="J207" s="153">
        <f>(G207*0)/(1+cDR)^'Markov Model_b (2)'!cycle</f>
        <v>0</v>
      </c>
      <c r="K207" s="178">
        <f t="shared" si="21"/>
        <v>20.959950635040798</v>
      </c>
      <c r="L207" s="202">
        <f>(G207*(uPostT))/(1+oDR)^'Markov Model_b (2)'!cycle</f>
        <v>9.7404883931207618</v>
      </c>
      <c r="M207" s="80"/>
      <c r="N207" s="3"/>
      <c r="O207" s="80"/>
      <c r="P207" s="173">
        <v>197</v>
      </c>
      <c r="Q207" s="165"/>
      <c r="R207" s="174">
        <v>1.8607590427197618E-3</v>
      </c>
      <c r="S207" s="502"/>
      <c r="T207" s="219">
        <f t="shared" si="25"/>
        <v>19.746751521928786</v>
      </c>
      <c r="U207" s="249">
        <f>U206+(T206*R207*'life-tables-test'!$C$66)</f>
        <v>80.253248478071214</v>
      </c>
      <c r="V207" s="516">
        <f t="shared" si="22"/>
        <v>100</v>
      </c>
      <c r="W207" s="153">
        <f>(T207*0)/(1+cDR)^'Markov Model_b (2)'!cycle2</f>
        <v>0</v>
      </c>
      <c r="X207" s="178">
        <f t="shared" si="23"/>
        <v>19.746751521928786</v>
      </c>
      <c r="Y207" s="202">
        <f>(T207*(uPostT))/(1+oDR)^'Markov Model_b (2)'!cycle</f>
        <v>9.1766916511543908</v>
      </c>
      <c r="Z207" s="80"/>
      <c r="AA207" s="3"/>
      <c r="AB207" s="3"/>
      <c r="AC207" s="14">
        <v>195</v>
      </c>
      <c r="AD207" s="14"/>
      <c r="AE207" s="14"/>
      <c r="AF207" s="3"/>
      <c r="AG207" s="3"/>
      <c r="AH207" s="3"/>
      <c r="AI207" s="14"/>
      <c r="AJ207" s="14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</row>
    <row r="208" spans="1:58" ht="14.25" customHeight="1" x14ac:dyDescent="0.2">
      <c r="A208" s="637"/>
      <c r="B208" s="417"/>
      <c r="C208" s="173">
        <v>198</v>
      </c>
      <c r="D208" s="165"/>
      <c r="E208" s="174">
        <v>1.8607590427197618E-3</v>
      </c>
      <c r="F208" s="502"/>
      <c r="G208" s="219">
        <f t="shared" si="26"/>
        <v>20.764943546645242</v>
      </c>
      <c r="H208" s="249">
        <f>H207+(G207*E208*'life-tables-test'!$C$66)</f>
        <v>79.235056453354758</v>
      </c>
      <c r="I208" s="516">
        <f t="shared" si="24"/>
        <v>100</v>
      </c>
      <c r="J208" s="153">
        <f>(G208*0)/(1+cDR)^'Markov Model_b (2)'!cycle</f>
        <v>0</v>
      </c>
      <c r="K208" s="178">
        <f t="shared" si="21"/>
        <v>20.764943546645242</v>
      </c>
      <c r="L208" s="202">
        <f>(G208*(uPostT))/(1+oDR)^'Markov Model_b (2)'!cycle</f>
        <v>9.6258003828735497</v>
      </c>
      <c r="M208" s="80"/>
      <c r="N208" s="3"/>
      <c r="O208" s="80"/>
      <c r="P208" s="173">
        <v>198</v>
      </c>
      <c r="Q208" s="165"/>
      <c r="R208" s="174">
        <v>1.8607590427197618E-3</v>
      </c>
      <c r="S208" s="502"/>
      <c r="T208" s="219">
        <f t="shared" si="25"/>
        <v>19.563031789634934</v>
      </c>
      <c r="U208" s="249">
        <f>U207+(T207*R208*'life-tables-test'!$C$66)</f>
        <v>80.436968210365066</v>
      </c>
      <c r="V208" s="516">
        <f t="shared" si="22"/>
        <v>100</v>
      </c>
      <c r="W208" s="153">
        <f>(T208*0)/(1+cDR)^'Markov Model_b (2)'!cycle2</f>
        <v>0</v>
      </c>
      <c r="X208" s="178">
        <f t="shared" si="23"/>
        <v>19.563031789634934</v>
      </c>
      <c r="Y208" s="202">
        <f>(T208*(uPostT))/(1+oDR)^'Markov Model_b (2)'!cycle</f>
        <v>9.0686419863278882</v>
      </c>
      <c r="Z208" s="80"/>
      <c r="AA208" s="3"/>
      <c r="AB208" s="3"/>
      <c r="AC208" s="14">
        <v>196</v>
      </c>
      <c r="AD208" s="14"/>
      <c r="AE208" s="14"/>
      <c r="AF208" s="3"/>
      <c r="AG208" s="3"/>
      <c r="AH208" s="3"/>
      <c r="AI208" s="14"/>
      <c r="AJ208" s="14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</row>
    <row r="209" spans="1:58" ht="14.25" customHeight="1" x14ac:dyDescent="0.2">
      <c r="A209" s="637"/>
      <c r="B209" s="417"/>
      <c r="C209" s="173">
        <v>199</v>
      </c>
      <c r="D209" s="165"/>
      <c r="E209" s="174">
        <v>1.8607590427197618E-3</v>
      </c>
      <c r="F209" s="502"/>
      <c r="G209" s="219">
        <f t="shared" si="26"/>
        <v>20.571750764265317</v>
      </c>
      <c r="H209" s="249">
        <f>H208+(G208*E209*'life-tables-test'!$C$66)</f>
        <v>79.428249235734683</v>
      </c>
      <c r="I209" s="516">
        <f t="shared" si="24"/>
        <v>100</v>
      </c>
      <c r="J209" s="153">
        <f>(G209*0)/(1+cDR)^'Markov Model_b (2)'!cycle</f>
        <v>0</v>
      </c>
      <c r="K209" s="178">
        <f t="shared" si="21"/>
        <v>20.571750764265317</v>
      </c>
      <c r="L209" s="202">
        <f>(G209*(uPostT))/(1+oDR)^'Markov Model_b (2)'!cycle</f>
        <v>9.5124627504681456</v>
      </c>
      <c r="M209" s="80"/>
      <c r="N209" s="3"/>
      <c r="O209" s="80"/>
      <c r="P209" s="173">
        <v>199</v>
      </c>
      <c r="Q209" s="165"/>
      <c r="R209" s="174">
        <v>1.8607590427197618E-3</v>
      </c>
      <c r="S209" s="502"/>
      <c r="T209" s="219">
        <f t="shared" si="25"/>
        <v>19.381021348107041</v>
      </c>
      <c r="U209" s="249">
        <f>U208+(T208*R209*'life-tables-test'!$C$66)</f>
        <v>80.618978651892959</v>
      </c>
      <c r="V209" s="516">
        <f t="shared" si="22"/>
        <v>100</v>
      </c>
      <c r="W209" s="153">
        <f>(T209*0)/(1+cDR)^'Markov Model_b (2)'!cycle2</f>
        <v>0</v>
      </c>
      <c r="X209" s="178">
        <f t="shared" si="23"/>
        <v>19.381021348107041</v>
      </c>
      <c r="Y209" s="202">
        <f>(T209*(uPostT))/(1+oDR)^'Markov Model_b (2)'!cycle</f>
        <v>8.9618645370789505</v>
      </c>
      <c r="Z209" s="80"/>
      <c r="AA209" s="3"/>
      <c r="AB209" s="3"/>
      <c r="AC209" s="14">
        <v>197</v>
      </c>
      <c r="AD209" s="14"/>
      <c r="AE209" s="14"/>
      <c r="AF209" s="3"/>
      <c r="AG209" s="3"/>
      <c r="AH209" s="3"/>
      <c r="AI209" s="14"/>
      <c r="AJ209" s="14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</row>
    <row r="210" spans="1:58" ht="14.25" customHeight="1" x14ac:dyDescent="0.2">
      <c r="A210" s="637"/>
      <c r="B210" s="417"/>
      <c r="C210" s="173">
        <v>200</v>
      </c>
      <c r="D210" s="165"/>
      <c r="E210" s="174">
        <v>1.8607590427197618E-3</v>
      </c>
      <c r="F210" s="502"/>
      <c r="G210" s="219">
        <f t="shared" si="26"/>
        <v>20.380355407969404</v>
      </c>
      <c r="H210" s="249">
        <f>H209+(G209*E210*'life-tables-test'!$C$66)</f>
        <v>79.619644592030596</v>
      </c>
      <c r="I210" s="516">
        <f t="shared" si="24"/>
        <v>100</v>
      </c>
      <c r="J210" s="153">
        <f>(G210*0)/(1+cDR)^'Markov Model_b (2)'!cycle</f>
        <v>0</v>
      </c>
      <c r="K210" s="178">
        <f t="shared" si="21"/>
        <v>20.380355407969404</v>
      </c>
      <c r="L210" s="202">
        <f>(G210*(uPostT))/(1+oDR)^'Markov Model_b (2)'!cycle</f>
        <v>9.400459596070629</v>
      </c>
      <c r="M210" s="80"/>
      <c r="N210" s="3"/>
      <c r="O210" s="80"/>
      <c r="P210" s="173">
        <v>200</v>
      </c>
      <c r="Q210" s="165"/>
      <c r="R210" s="174">
        <v>1.8607590427197618E-3</v>
      </c>
      <c r="S210" s="502"/>
      <c r="T210" s="219">
        <f t="shared" si="25"/>
        <v>19.200704294453871</v>
      </c>
      <c r="U210" s="249">
        <f>U209+(T209*R210*'life-tables-test'!$C$66)</f>
        <v>80.799295705546129</v>
      </c>
      <c r="V210" s="516">
        <f t="shared" si="22"/>
        <v>100</v>
      </c>
      <c r="W210" s="153">
        <f>(T210*0)/(1+cDR)^'Markov Model_b (2)'!cycle2</f>
        <v>0</v>
      </c>
      <c r="X210" s="178">
        <f t="shared" si="23"/>
        <v>19.200704294453871</v>
      </c>
      <c r="Y210" s="202">
        <f>(T210*(uPostT))/(1+oDR)^'Markov Model_b (2)'!cycle</f>
        <v>8.8563443238842456</v>
      </c>
      <c r="Z210" s="80"/>
      <c r="AA210" s="3"/>
      <c r="AB210" s="3"/>
      <c r="AC210" s="14">
        <v>198</v>
      </c>
      <c r="AD210" s="14"/>
      <c r="AE210" s="14"/>
      <c r="AF210" s="3"/>
      <c r="AG210" s="3"/>
      <c r="AH210" s="3"/>
      <c r="AI210" s="14"/>
      <c r="AJ210" s="14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</row>
    <row r="211" spans="1:58" ht="14.25" customHeight="1" x14ac:dyDescent="0.2">
      <c r="A211" s="637"/>
      <c r="B211" s="417"/>
      <c r="C211" s="173">
        <v>201</v>
      </c>
      <c r="D211" s="165"/>
      <c r="E211" s="174">
        <v>1.8607590427197618E-3</v>
      </c>
      <c r="F211" s="502"/>
      <c r="G211" s="219">
        <f t="shared" si="26"/>
        <v>20.190740754873289</v>
      </c>
      <c r="H211" s="249">
        <f>H210+(G210*E211*'life-tables-test'!$C$66)</f>
        <v>79.809259245126711</v>
      </c>
      <c r="I211" s="516">
        <f t="shared" si="24"/>
        <v>100</v>
      </c>
      <c r="J211" s="153">
        <f>(G211*0)/(1+cDR)^'Markov Model_b (2)'!cycle</f>
        <v>0</v>
      </c>
      <c r="K211" s="178">
        <f t="shared" si="21"/>
        <v>20.190740754873289</v>
      </c>
      <c r="L211" s="202">
        <f>(G211*(uPostT))/(1+oDR)^'Markov Model_b (2)'!cycle</f>
        <v>9.2897752070574313</v>
      </c>
      <c r="M211" s="80"/>
      <c r="N211" s="3"/>
      <c r="O211" s="80"/>
      <c r="P211" s="173">
        <v>201</v>
      </c>
      <c r="Q211" s="165"/>
      <c r="R211" s="174">
        <v>1.8607590427197618E-3</v>
      </c>
      <c r="S211" s="502"/>
      <c r="T211" s="219">
        <f t="shared" si="25"/>
        <v>19.0220648737414</v>
      </c>
      <c r="U211" s="249">
        <f>U210+(T210*R211*'life-tables-test'!$C$66)</f>
        <v>80.9779351262586</v>
      </c>
      <c r="V211" s="516">
        <f t="shared" si="22"/>
        <v>100</v>
      </c>
      <c r="W211" s="153">
        <f>(T211*0)/(1+cDR)^'Markov Model_b (2)'!cycle2</f>
        <v>0</v>
      </c>
      <c r="X211" s="178">
        <f t="shared" si="23"/>
        <v>19.0220648737414</v>
      </c>
      <c r="Y211" s="202">
        <f>(T211*(uPostT))/(1+oDR)^'Markov Model_b (2)'!cycle</f>
        <v>8.7520665435947187</v>
      </c>
      <c r="Z211" s="80"/>
      <c r="AA211" s="3"/>
      <c r="AB211" s="3"/>
      <c r="AC211" s="14">
        <v>199</v>
      </c>
      <c r="AD211" s="14"/>
      <c r="AE211" s="14"/>
      <c r="AF211" s="3"/>
      <c r="AG211" s="3"/>
      <c r="AH211" s="3"/>
      <c r="AI211" s="14"/>
      <c r="AJ211" s="14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</row>
    <row r="212" spans="1:58" ht="14.25" customHeight="1" x14ac:dyDescent="0.2">
      <c r="A212" s="637"/>
      <c r="B212" s="417"/>
      <c r="C212" s="173">
        <v>202</v>
      </c>
      <c r="D212" s="165"/>
      <c r="E212" s="174">
        <v>1.8607590427197618E-3</v>
      </c>
      <c r="F212" s="502"/>
      <c r="G212" s="219">
        <f t="shared" si="26"/>
        <v>20.002890237679082</v>
      </c>
      <c r="H212" s="249">
        <f>H211+(G211*E212*'life-tables-test'!$C$66)</f>
        <v>79.997109762320918</v>
      </c>
      <c r="I212" s="516">
        <f t="shared" si="24"/>
        <v>100</v>
      </c>
      <c r="J212" s="153">
        <f>(G212*0)/(1+cDR)^'Markov Model_b (2)'!cycle</f>
        <v>0</v>
      </c>
      <c r="K212" s="178">
        <f t="shared" si="21"/>
        <v>20.002890237679082</v>
      </c>
      <c r="L212" s="202">
        <f>(G212*(uPostT))/(1+oDR)^'Markov Model_b (2)'!cycle</f>
        <v>9.1803940558110728</v>
      </c>
      <c r="M212" s="80"/>
      <c r="N212" s="3"/>
      <c r="O212" s="80"/>
      <c r="P212" s="173">
        <v>202</v>
      </c>
      <c r="Q212" s="165"/>
      <c r="R212" s="174">
        <v>1.8607590427197618E-3</v>
      </c>
      <c r="S212" s="502"/>
      <c r="T212" s="219">
        <f t="shared" si="25"/>
        <v>18.845087477616318</v>
      </c>
      <c r="U212" s="249">
        <f>U211+(T211*R212*'life-tables-test'!$C$66)</f>
        <v>81.154912522383682</v>
      </c>
      <c r="V212" s="516">
        <f t="shared" si="22"/>
        <v>100</v>
      </c>
      <c r="W212" s="153">
        <f>(T212*0)/(1+cDR)^'Markov Model_b (2)'!cycle2</f>
        <v>0</v>
      </c>
      <c r="X212" s="178">
        <f t="shared" si="23"/>
        <v>18.845087477616318</v>
      </c>
      <c r="Y212" s="202">
        <f>(T212*(uPostT))/(1+oDR)^'Markov Model_b (2)'!cycle</f>
        <v>8.6490165673589274</v>
      </c>
      <c r="Z212" s="80"/>
      <c r="AA212" s="3"/>
      <c r="AB212" s="3"/>
      <c r="AC212" s="14">
        <v>200</v>
      </c>
      <c r="AD212" s="14"/>
      <c r="AE212" s="14"/>
      <c r="AF212" s="3"/>
      <c r="AG212" s="3"/>
      <c r="AH212" s="3"/>
      <c r="AI212" s="14"/>
      <c r="AJ212" s="14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</row>
    <row r="213" spans="1:58" ht="14.25" customHeight="1" x14ac:dyDescent="0.2">
      <c r="A213" s="637"/>
      <c r="B213" s="417"/>
      <c r="C213" s="173">
        <v>203</v>
      </c>
      <c r="D213" s="165"/>
      <c r="E213" s="174">
        <v>1.8607590427197618E-3</v>
      </c>
      <c r="F213" s="502"/>
      <c r="G213" s="219">
        <f t="shared" si="26"/>
        <v>19.816787443227625</v>
      </c>
      <c r="H213" s="249">
        <f>H212+(G212*E213*'life-tables-test'!$C$66)</f>
        <v>80.183212556772375</v>
      </c>
      <c r="I213" s="516">
        <f t="shared" si="24"/>
        <v>100</v>
      </c>
      <c r="J213" s="153">
        <f>(G213*0)/(1+cDR)^'Markov Model_b (2)'!cycle</f>
        <v>0</v>
      </c>
      <c r="K213" s="178">
        <f t="shared" si="21"/>
        <v>19.816787443227625</v>
      </c>
      <c r="L213" s="202">
        <f>(G213*(uPostT))/(1+oDR)^'Markov Model_b (2)'!cycle</f>
        <v>9.072300797541816</v>
      </c>
      <c r="M213" s="80"/>
      <c r="N213" s="3"/>
      <c r="O213" s="80"/>
      <c r="P213" s="173">
        <v>203</v>
      </c>
      <c r="Q213" s="165"/>
      <c r="R213" s="174">
        <v>1.8607590427197618E-3</v>
      </c>
      <c r="S213" s="502"/>
      <c r="T213" s="219">
        <f t="shared" si="25"/>
        <v>18.669756642942218</v>
      </c>
      <c r="U213" s="249">
        <f>U212+(T212*R213*'life-tables-test'!$C$66)</f>
        <v>81.330243357057782</v>
      </c>
      <c r="V213" s="516">
        <f t="shared" si="22"/>
        <v>100</v>
      </c>
      <c r="W213" s="153">
        <f>(T213*0)/(1+cDR)^'Markov Model_b (2)'!cycle2</f>
        <v>0</v>
      </c>
      <c r="X213" s="178">
        <f t="shared" si="23"/>
        <v>18.669756642942218</v>
      </c>
      <c r="Y213" s="202">
        <f>(T213*(uPostT))/(1+oDR)^'Markov Model_b (2)'!cycle</f>
        <v>8.5471799385707712</v>
      </c>
      <c r="Z213" s="80"/>
      <c r="AA213" s="3"/>
      <c r="AB213" s="3"/>
      <c r="AC213" s="14">
        <v>201</v>
      </c>
      <c r="AD213" s="14"/>
      <c r="AE213" s="14"/>
      <c r="AF213" s="3"/>
      <c r="AG213" s="3"/>
      <c r="AH213" s="3"/>
      <c r="AI213" s="14"/>
      <c r="AJ213" s="14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</row>
    <row r="214" spans="1:58" ht="14.25" customHeight="1" x14ac:dyDescent="0.2">
      <c r="A214" s="637"/>
      <c r="B214" s="417"/>
      <c r="C214" s="173">
        <v>204</v>
      </c>
      <c r="D214" s="165"/>
      <c r="E214" s="174">
        <v>1.8607590427197618E-3</v>
      </c>
      <c r="F214" s="502"/>
      <c r="G214" s="219">
        <f t="shared" si="26"/>
        <v>19.632416111064416</v>
      </c>
      <c r="H214" s="249">
        <f>H213+(G213*E214*'life-tables-test'!$C$66)</f>
        <v>80.367583888935584</v>
      </c>
      <c r="I214" s="516">
        <f t="shared" si="24"/>
        <v>100</v>
      </c>
      <c r="J214" s="153">
        <f>(G214*0)/(1+cDR)^'Markov Model_b (2)'!cycle</f>
        <v>0</v>
      </c>
      <c r="K214" s="178">
        <f t="shared" si="21"/>
        <v>19.632416111064416</v>
      </c>
      <c r="L214" s="202">
        <f>(G214*(uPostT))/(1+oDR)^'Markov Model_b (2)'!cycle</f>
        <v>8.9654802681349786</v>
      </c>
      <c r="M214" s="80"/>
      <c r="N214" s="3"/>
      <c r="O214" s="80"/>
      <c r="P214" s="173">
        <v>204</v>
      </c>
      <c r="Q214" s="165"/>
      <c r="R214" s="174">
        <v>1.8607590427197618E-3</v>
      </c>
      <c r="S214" s="502"/>
      <c r="T214" s="219">
        <f t="shared" si="25"/>
        <v>18.496057050448556</v>
      </c>
      <c r="U214" s="249">
        <f>U213+(T213*R214*'life-tables-test'!$C$66)</f>
        <v>81.503942949551444</v>
      </c>
      <c r="V214" s="516">
        <f t="shared" si="22"/>
        <v>100</v>
      </c>
      <c r="W214" s="153">
        <f>(T214*0)/(1+cDR)^'Markov Model_b (2)'!cycle2</f>
        <v>0</v>
      </c>
      <c r="X214" s="178">
        <f t="shared" si="23"/>
        <v>18.496057050448556</v>
      </c>
      <c r="Y214" s="202">
        <f>(T214*(uPostT))/(1+oDR)^'Markov Model_b (2)'!cycle</f>
        <v>8.4465423708414225</v>
      </c>
      <c r="Z214" s="80"/>
      <c r="AA214" s="3"/>
      <c r="AB214" s="3"/>
      <c r="AC214" s="14">
        <v>202</v>
      </c>
      <c r="AD214" s="14"/>
      <c r="AE214" s="14"/>
      <c r="AF214" s="3"/>
      <c r="AG214" s="3"/>
      <c r="AH214" s="3"/>
      <c r="AI214" s="14"/>
      <c r="AJ214" s="14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</row>
    <row r="215" spans="1:58" ht="14.25" customHeight="1" x14ac:dyDescent="0.2">
      <c r="A215" s="519"/>
      <c r="B215" s="417"/>
      <c r="C215" s="173">
        <v>205</v>
      </c>
      <c r="D215" s="504"/>
      <c r="E215" s="174">
        <v>1.8607590427197618E-3</v>
      </c>
      <c r="F215" s="505"/>
      <c r="G215" s="219">
        <f t="shared" si="26"/>
        <v>19.449760132018909</v>
      </c>
      <c r="H215" s="249">
        <f>H214+(G214*E215*'life-tables-test'!$C$66)</f>
        <v>80.550239867981091</v>
      </c>
      <c r="I215" s="516">
        <f t="shared" si="24"/>
        <v>100</v>
      </c>
      <c r="J215" s="180">
        <f>(G215*0)/(1+cDR)^'Markov Model_b (2)'!cycle</f>
        <v>0</v>
      </c>
      <c r="K215" s="176">
        <f t="shared" si="21"/>
        <v>19.449760132018909</v>
      </c>
      <c r="L215" s="202">
        <f>(G215*(uPostT))/(1+oDR)^'Markov Model_b (2)'!cycle</f>
        <v>8.8599174820236257</v>
      </c>
      <c r="M215" s="80"/>
      <c r="N215" s="3"/>
      <c r="O215" s="80"/>
      <c r="P215" s="173">
        <v>205</v>
      </c>
      <c r="Q215" s="504"/>
      <c r="R215" s="174">
        <v>1.8607590427197618E-3</v>
      </c>
      <c r="S215" s="505"/>
      <c r="T215" s="219">
        <f t="shared" si="25"/>
        <v>18.323973523392141</v>
      </c>
      <c r="U215" s="249">
        <f>U214+(T214*R215*'life-tables-test'!$C$66)</f>
        <v>81.676026476607859</v>
      </c>
      <c r="V215" s="516">
        <f t="shared" si="22"/>
        <v>100</v>
      </c>
      <c r="W215" s="180">
        <f>(T215*0)/(1+cDR)^'Markov Model_b (2)'!cycle2</f>
        <v>0</v>
      </c>
      <c r="X215" s="176">
        <f t="shared" si="23"/>
        <v>18.323973523392141</v>
      </c>
      <c r="Y215" s="202">
        <f>(T215*(uPostT))/(1+oDR)^'Markov Model_b (2)'!cycle</f>
        <v>8.3470897459951399</v>
      </c>
      <c r="Z215" s="80"/>
      <c r="AA215" s="3"/>
      <c r="AB215" s="3"/>
      <c r="AC215" s="14">
        <v>203</v>
      </c>
      <c r="AD215" s="14"/>
      <c r="AE215" s="14"/>
      <c r="AF215" s="3"/>
      <c r="AG215" s="3"/>
      <c r="AH215" s="3"/>
      <c r="AI215" s="14"/>
      <c r="AJ215" s="14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</row>
    <row r="216" spans="1:58" ht="14.25" customHeight="1" x14ac:dyDescent="0.25">
      <c r="A216" s="637" t="s">
        <v>559</v>
      </c>
      <c r="B216" s="417"/>
      <c r="C216" s="506">
        <v>206</v>
      </c>
      <c r="D216" s="506"/>
      <c r="E216" s="507">
        <v>1.8607590427197618E-3</v>
      </c>
      <c r="F216" s="508"/>
      <c r="G216" s="509">
        <f t="shared" si="26"/>
        <v>19.268803546796988</v>
      </c>
      <c r="H216" s="510">
        <f>H215+(G215*E216*'life-tables-test'!$C$66)</f>
        <v>80.731196453203012</v>
      </c>
      <c r="I216" s="518">
        <f t="shared" si="24"/>
        <v>100</v>
      </c>
      <c r="J216" s="511">
        <f>(G216*0)/(1+cDR)^'Markov Model_b (2)'!cycle</f>
        <v>0</v>
      </c>
      <c r="K216" s="512">
        <f t="shared" si="21"/>
        <v>19.268803546796988</v>
      </c>
      <c r="L216" s="513">
        <f>(G216*(uPostT))/(1+oDR)^'Markov Model_b (2)'!cycle</f>
        <v>8.7555976300862817</v>
      </c>
      <c r="M216" s="80"/>
      <c r="N216" s="3"/>
      <c r="O216" s="80"/>
      <c r="P216" s="506">
        <v>206</v>
      </c>
      <c r="Q216" s="506"/>
      <c r="R216" s="507">
        <v>1.8607590427197618E-3</v>
      </c>
      <c r="S216" s="508"/>
      <c r="T216" s="509">
        <f t="shared" si="25"/>
        <v>18.153491026231094</v>
      </c>
      <c r="U216" s="510">
        <f>U215+(T215*R216*'life-tables-test'!$C$66)</f>
        <v>81.846508973768906</v>
      </c>
      <c r="V216" s="518">
        <f t="shared" si="22"/>
        <v>100</v>
      </c>
      <c r="W216" s="511">
        <f>(T216*0)/(1+cDR)^'Markov Model_b (2)'!cycle2</f>
        <v>0</v>
      </c>
      <c r="X216" s="512">
        <f t="shared" si="23"/>
        <v>18.153491026231094</v>
      </c>
      <c r="Y216" s="513">
        <f>(T216*(uPostT))/(1+oDR)^'Markov Model_b (2)'!cycle</f>
        <v>8.2488081120886498</v>
      </c>
      <c r="Z216" s="80"/>
      <c r="AA216" s="3"/>
      <c r="AB216" s="3"/>
      <c r="AC216" s="14">
        <v>204</v>
      </c>
      <c r="AD216" s="14"/>
      <c r="AE216" s="14"/>
      <c r="AF216" s="3"/>
      <c r="AG216" s="3"/>
      <c r="AH216" s="3"/>
      <c r="AI216" s="14"/>
      <c r="AJ216" s="14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</row>
    <row r="217" spans="1:58" ht="14.25" customHeight="1" x14ac:dyDescent="0.2">
      <c r="A217" s="637"/>
      <c r="B217" s="417"/>
      <c r="C217" s="173">
        <v>207</v>
      </c>
      <c r="D217" s="165"/>
      <c r="E217" s="174">
        <v>2.0388755652031021E-3</v>
      </c>
      <c r="F217" s="502"/>
      <c r="G217" s="219">
        <f t="shared" si="26"/>
        <v>19.072370083185675</v>
      </c>
      <c r="H217" s="249">
        <f>H216+(G216*E217*'life-tables-test'!$C$66)</f>
        <v>80.927629916814325</v>
      </c>
      <c r="I217" s="516">
        <f t="shared" si="24"/>
        <v>100</v>
      </c>
      <c r="J217" s="153">
        <f>(G217*0)/(1+cDR)^'Markov Model_b (2)'!cycle</f>
        <v>0</v>
      </c>
      <c r="K217" s="178">
        <f t="shared" si="21"/>
        <v>19.072370083185675</v>
      </c>
      <c r="L217" s="202">
        <f>(G217*(uPostT))/(1+oDR)^'Markov Model_b (2)'!cycle</f>
        <v>8.6447279399028609</v>
      </c>
      <c r="M217" s="80"/>
      <c r="N217" s="3"/>
      <c r="O217" s="80"/>
      <c r="P217" s="173">
        <v>207</v>
      </c>
      <c r="Q217" s="165"/>
      <c r="R217" s="174">
        <v>2.0388755652031021E-3</v>
      </c>
      <c r="S217" s="502"/>
      <c r="T217" s="219">
        <f t="shared" si="25"/>
        <v>17.968427479848515</v>
      </c>
      <c r="U217" s="249">
        <f>U216+(T216*R217*'life-tables-test'!$C$66)</f>
        <v>82.031572520151485</v>
      </c>
      <c r="V217" s="516">
        <f t="shared" si="22"/>
        <v>100</v>
      </c>
      <c r="W217" s="153">
        <f>(T217*0)/(1+cDR)^'Markov Model_b (2)'!cycle2</f>
        <v>0</v>
      </c>
      <c r="X217" s="178">
        <f t="shared" si="23"/>
        <v>17.968427479848515</v>
      </c>
      <c r="Y217" s="202">
        <f>(T217*(uPostT))/(1+oDR)^'Markov Model_b (2)'!cycle</f>
        <v>8.1443557561892472</v>
      </c>
      <c r="Z217" s="80"/>
      <c r="AA217" s="3"/>
      <c r="AB217" s="3"/>
      <c r="AC217" s="14">
        <v>205</v>
      </c>
      <c r="AD217" s="14"/>
      <c r="AE217" s="14"/>
      <c r="AF217" s="3"/>
      <c r="AG217" s="3"/>
      <c r="AH217" s="3"/>
      <c r="AI217" s="14"/>
      <c r="AJ217" s="14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</row>
    <row r="218" spans="1:58" ht="14.25" customHeight="1" x14ac:dyDescent="0.2">
      <c r="A218" s="637"/>
      <c r="B218" s="417"/>
      <c r="C218" s="173">
        <v>208</v>
      </c>
      <c r="D218" s="165"/>
      <c r="E218" s="174">
        <v>2.0388755652031021E-3</v>
      </c>
      <c r="F218" s="502"/>
      <c r="G218" s="219">
        <f t="shared" si="26"/>
        <v>18.877939136520084</v>
      </c>
      <c r="H218" s="249">
        <f>H217+(G217*E218*'life-tables-test'!$C$66)</f>
        <v>81.122060863479916</v>
      </c>
      <c r="I218" s="516">
        <f t="shared" si="24"/>
        <v>100</v>
      </c>
      <c r="J218" s="153">
        <f>(G218*0)/(1+cDR)^'Markov Model_b (2)'!cycle</f>
        <v>0</v>
      </c>
      <c r="K218" s="178">
        <f t="shared" si="21"/>
        <v>18.877939136520084</v>
      </c>
      <c r="L218" s="202">
        <f>(G218*(uPostT))/(1+oDR)^'Markov Model_b (2)'!cycle</f>
        <v>8.5352621616761866</v>
      </c>
      <c r="M218" s="80"/>
      <c r="N218" s="3"/>
      <c r="O218" s="80"/>
      <c r="P218" s="173">
        <v>208</v>
      </c>
      <c r="Q218" s="165"/>
      <c r="R218" s="174">
        <v>2.0388755652031021E-3</v>
      </c>
      <c r="S218" s="502"/>
      <c r="T218" s="219">
        <f t="shared" si="25"/>
        <v>17.785250541179579</v>
      </c>
      <c r="U218" s="249">
        <f>U217+(T217*R218*'life-tables-test'!$C$66)</f>
        <v>82.214749458820421</v>
      </c>
      <c r="V218" s="516">
        <f t="shared" si="22"/>
        <v>100</v>
      </c>
      <c r="W218" s="153">
        <f>(T218*0)/(1+cDR)^'Markov Model_b (2)'!cycle2</f>
        <v>0</v>
      </c>
      <c r="X218" s="178">
        <f t="shared" si="23"/>
        <v>17.785250541179579</v>
      </c>
      <c r="Y218" s="202">
        <f>(T218*(uPostT))/(1+oDR)^'Markov Model_b (2)'!cycle</f>
        <v>8.0412260513328349</v>
      </c>
      <c r="Z218" s="80"/>
      <c r="AA218" s="3"/>
      <c r="AB218" s="3"/>
      <c r="AC218" s="14">
        <v>206</v>
      </c>
      <c r="AD218" s="14"/>
      <c r="AE218" s="14"/>
      <c r="AF218" s="3"/>
      <c r="AG218" s="3"/>
      <c r="AH218" s="3"/>
      <c r="AI218" s="14"/>
      <c r="AJ218" s="14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</row>
    <row r="219" spans="1:58" ht="14.25" customHeight="1" x14ac:dyDescent="0.2">
      <c r="A219" s="637"/>
      <c r="B219" s="417"/>
      <c r="C219" s="173">
        <v>209</v>
      </c>
      <c r="D219" s="165"/>
      <c r="E219" s="174">
        <v>2.0388755652031021E-3</v>
      </c>
      <c r="F219" s="502"/>
      <c r="G219" s="219">
        <f t="shared" si="26"/>
        <v>18.685490292385879</v>
      </c>
      <c r="H219" s="249">
        <f>H218+(G218*E219*'life-tables-test'!$C$66)</f>
        <v>81.314509707614121</v>
      </c>
      <c r="I219" s="516">
        <f t="shared" si="24"/>
        <v>100</v>
      </c>
      <c r="J219" s="153">
        <f>(G219*0)/(1+cDR)^'Markov Model_b (2)'!cycle</f>
        <v>0</v>
      </c>
      <c r="K219" s="178">
        <f t="shared" si="21"/>
        <v>18.685490292385879</v>
      </c>
      <c r="L219" s="202">
        <f>(G219*(uPostT))/(1+oDR)^'Markov Model_b (2)'!cycle</f>
        <v>8.4271825180608193</v>
      </c>
      <c r="M219" s="80"/>
      <c r="N219" s="3"/>
      <c r="O219" s="80"/>
      <c r="P219" s="173">
        <v>209</v>
      </c>
      <c r="Q219" s="165"/>
      <c r="R219" s="174">
        <v>2.0388755652031021E-3</v>
      </c>
      <c r="S219" s="502"/>
      <c r="T219" s="219">
        <f t="shared" si="25"/>
        <v>17.603940977432444</v>
      </c>
      <c r="U219" s="249">
        <f>U218+(T218*R219*'life-tables-test'!$C$66)</f>
        <v>82.396059022567556</v>
      </c>
      <c r="V219" s="516">
        <f t="shared" si="22"/>
        <v>100</v>
      </c>
      <c r="W219" s="153">
        <f>(T219*0)/(1+cDR)^'Markov Model_b (2)'!cycle2</f>
        <v>0</v>
      </c>
      <c r="X219" s="178">
        <f t="shared" si="23"/>
        <v>17.603940977432444</v>
      </c>
      <c r="Y219" s="202">
        <f>(T219*(uPostT))/(1+oDR)^'Markov Model_b (2)'!cycle</f>
        <v>7.9394022491582543</v>
      </c>
      <c r="Z219" s="80"/>
      <c r="AA219" s="3"/>
      <c r="AB219" s="3"/>
      <c r="AC219" s="14">
        <v>207</v>
      </c>
      <c r="AD219" s="14"/>
      <c r="AE219" s="14"/>
      <c r="AF219" s="3"/>
      <c r="AG219" s="3"/>
      <c r="AH219" s="3"/>
      <c r="AI219" s="14"/>
      <c r="AJ219" s="14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</row>
    <row r="220" spans="1:58" ht="14.25" customHeight="1" x14ac:dyDescent="0.2">
      <c r="A220" s="637"/>
      <c r="B220" s="417"/>
      <c r="C220" s="173">
        <v>210</v>
      </c>
      <c r="D220" s="165"/>
      <c r="E220" s="174">
        <v>2.0388755652031021E-3</v>
      </c>
      <c r="F220" s="502"/>
      <c r="G220" s="219">
        <f t="shared" si="26"/>
        <v>18.495003344480949</v>
      </c>
      <c r="H220" s="249">
        <f>H219+(G219*E220*'life-tables-test'!$C$66)</f>
        <v>81.504996655519051</v>
      </c>
      <c r="I220" s="516">
        <f t="shared" si="24"/>
        <v>100</v>
      </c>
      <c r="J220" s="153">
        <f>(G220*0)/(1+cDR)^'Markov Model_b (2)'!cycle</f>
        <v>0</v>
      </c>
      <c r="K220" s="178">
        <f t="shared" si="21"/>
        <v>18.495003344480949</v>
      </c>
      <c r="L220" s="202">
        <f>(G220*(uPostT))/(1+oDR)^'Markov Model_b (2)'!cycle</f>
        <v>8.320471456820858</v>
      </c>
      <c r="M220" s="80"/>
      <c r="N220" s="3"/>
      <c r="O220" s="80"/>
      <c r="P220" s="173">
        <v>210</v>
      </c>
      <c r="Q220" s="165"/>
      <c r="R220" s="174">
        <v>2.0388755652031021E-3</v>
      </c>
      <c r="S220" s="502"/>
      <c r="T220" s="219">
        <f t="shared" si="25"/>
        <v>17.42447975188162</v>
      </c>
      <c r="U220" s="249">
        <f>U219+(T219*R220*'life-tables-test'!$C$66)</f>
        <v>82.57552024811838</v>
      </c>
      <c r="V220" s="516">
        <f t="shared" si="22"/>
        <v>100</v>
      </c>
      <c r="W220" s="153">
        <f>(T220*0)/(1+cDR)^'Markov Model_b (2)'!cycle2</f>
        <v>0</v>
      </c>
      <c r="X220" s="178">
        <f t="shared" si="23"/>
        <v>17.42447975188162</v>
      </c>
      <c r="Y220" s="202">
        <f>(T220*(uPostT))/(1+oDR)^'Markov Model_b (2)'!cycle</f>
        <v>7.8388678133841552</v>
      </c>
      <c r="Z220" s="80"/>
      <c r="AA220" s="3"/>
      <c r="AB220" s="3"/>
      <c r="AC220" s="14">
        <v>208</v>
      </c>
      <c r="AD220" s="14"/>
      <c r="AE220" s="14"/>
      <c r="AF220" s="3"/>
      <c r="AG220" s="3"/>
      <c r="AH220" s="3"/>
      <c r="AI220" s="14"/>
      <c r="AJ220" s="14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</row>
    <row r="221" spans="1:58" ht="14.25" customHeight="1" x14ac:dyDescent="0.2">
      <c r="A221" s="637"/>
      <c r="B221" s="417"/>
      <c r="C221" s="173">
        <v>211</v>
      </c>
      <c r="D221" s="165"/>
      <c r="E221" s="174">
        <v>2.0388755652031021E-3</v>
      </c>
      <c r="F221" s="502"/>
      <c r="G221" s="219">
        <f t="shared" si="26"/>
        <v>18.306458292493886</v>
      </c>
      <c r="H221" s="249">
        <f>H220+(G220*E221*'life-tables-test'!$C$66)</f>
        <v>81.693541707506114</v>
      </c>
      <c r="I221" s="516">
        <f t="shared" si="24"/>
        <v>100</v>
      </c>
      <c r="J221" s="153">
        <f>(G221*0)/(1+cDR)^'Markov Model_b (2)'!cycle</f>
        <v>0</v>
      </c>
      <c r="K221" s="178">
        <f t="shared" si="21"/>
        <v>18.306458292493886</v>
      </c>
      <c r="L221" s="202">
        <f>(G221*(uPostT))/(1+oDR)^'Markov Model_b (2)'!cycle</f>
        <v>8.2151116479794997</v>
      </c>
      <c r="M221" s="80"/>
      <c r="N221" s="3"/>
      <c r="O221" s="80"/>
      <c r="P221" s="173">
        <v>211</v>
      </c>
      <c r="Q221" s="165"/>
      <c r="R221" s="174">
        <v>2.0388755652031021E-3</v>
      </c>
      <c r="S221" s="502"/>
      <c r="T221" s="219">
        <f t="shared" si="25"/>
        <v>17.246848021869184</v>
      </c>
      <c r="U221" s="249">
        <f>U220+(T220*R221*'life-tables-test'!$C$66)</f>
        <v>82.753151978130816</v>
      </c>
      <c r="V221" s="516">
        <f t="shared" si="22"/>
        <v>100</v>
      </c>
      <c r="W221" s="153">
        <f>(T221*0)/(1+cDR)^'Markov Model_b (2)'!cycle2</f>
        <v>0</v>
      </c>
      <c r="X221" s="178">
        <f t="shared" si="23"/>
        <v>17.246848021869184</v>
      </c>
      <c r="Y221" s="202">
        <f>(T221*(uPostT))/(1+oDR)^'Markov Model_b (2)'!cycle</f>
        <v>7.7396064171235182</v>
      </c>
      <c r="Z221" s="80"/>
      <c r="AA221" s="3"/>
      <c r="AB221" s="3"/>
      <c r="AC221" s="14">
        <v>209</v>
      </c>
      <c r="AD221" s="14"/>
      <c r="AE221" s="14"/>
      <c r="AF221" s="3"/>
      <c r="AG221" s="3"/>
      <c r="AH221" s="3"/>
      <c r="AI221" s="14"/>
      <c r="AJ221" s="14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</row>
    <row r="222" spans="1:58" ht="14.25" customHeight="1" x14ac:dyDescent="0.2">
      <c r="A222" s="637"/>
      <c r="B222" s="417"/>
      <c r="C222" s="173">
        <v>212</v>
      </c>
      <c r="D222" s="165"/>
      <c r="E222" s="174">
        <v>2.0388755652031021E-3</v>
      </c>
      <c r="F222" s="502"/>
      <c r="G222" s="219">
        <f t="shared" si="26"/>
        <v>18.119835340004002</v>
      </c>
      <c r="H222" s="249">
        <f>H221+(G221*E222*'life-tables-test'!$C$66)</f>
        <v>81.880164659995998</v>
      </c>
      <c r="I222" s="516">
        <f t="shared" si="24"/>
        <v>100</v>
      </c>
      <c r="J222" s="153">
        <f>(G222*0)/(1+cDR)^'Markov Model_b (2)'!cycle</f>
        <v>0</v>
      </c>
      <c r="K222" s="178">
        <f t="shared" si="21"/>
        <v>18.119835340004002</v>
      </c>
      <c r="L222" s="202">
        <f>(G222*(uPostT))/(1+oDR)^'Markov Model_b (2)'!cycle</f>
        <v>8.1110859810045817</v>
      </c>
      <c r="M222" s="80"/>
      <c r="N222" s="3"/>
      <c r="O222" s="80"/>
      <c r="P222" s="173">
        <v>212</v>
      </c>
      <c r="Q222" s="165"/>
      <c r="R222" s="174">
        <v>2.0388755652031021E-3</v>
      </c>
      <c r="S222" s="502"/>
      <c r="T222" s="219">
        <f t="shared" si="25"/>
        <v>17.071027136826388</v>
      </c>
      <c r="U222" s="249">
        <f>U221+(T221*R222*'life-tables-test'!$C$66)</f>
        <v>82.928972863173612</v>
      </c>
      <c r="V222" s="516">
        <f t="shared" si="22"/>
        <v>100</v>
      </c>
      <c r="W222" s="153">
        <f>(T222*0)/(1+cDR)^'Markov Model_b (2)'!cycle2</f>
        <v>0</v>
      </c>
      <c r="X222" s="178">
        <f t="shared" si="23"/>
        <v>17.071027136826388</v>
      </c>
      <c r="Y222" s="202">
        <f>(T222*(uPostT))/(1+oDR)^'Markov Model_b (2)'!cycle</f>
        <v>7.64160194023213</v>
      </c>
      <c r="Z222" s="80"/>
      <c r="AA222" s="3"/>
      <c r="AB222" s="3"/>
      <c r="AC222" s="14">
        <v>210</v>
      </c>
      <c r="AD222" s="14"/>
      <c r="AE222" s="14"/>
      <c r="AF222" s="3"/>
      <c r="AG222" s="3"/>
      <c r="AH222" s="3"/>
      <c r="AI222" s="14"/>
      <c r="AJ222" s="14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</row>
    <row r="223" spans="1:58" ht="14.25" customHeight="1" x14ac:dyDescent="0.2">
      <c r="A223" s="637"/>
      <c r="B223" s="417"/>
      <c r="C223" s="173">
        <v>213</v>
      </c>
      <c r="D223" s="165"/>
      <c r="E223" s="174">
        <v>2.0388755652031021E-3</v>
      </c>
      <c r="F223" s="502"/>
      <c r="G223" s="219">
        <f t="shared" si="26"/>
        <v>17.935114892402808</v>
      </c>
      <c r="H223" s="249">
        <f>H222+(G222*E223*'life-tables-test'!$C$66)</f>
        <v>82.064885107597192</v>
      </c>
      <c r="I223" s="516">
        <f t="shared" si="24"/>
        <v>100</v>
      </c>
      <c r="J223" s="153">
        <f>(G223*0)/(1+cDR)^'Markov Model_b (2)'!cycle</f>
        <v>0</v>
      </c>
      <c r="K223" s="178">
        <f t="shared" si="21"/>
        <v>17.935114892402808</v>
      </c>
      <c r="L223" s="202">
        <f>(G223*(uPostT))/(1+oDR)^'Markov Model_b (2)'!cycle</f>
        <v>8.0083775620298461</v>
      </c>
      <c r="M223" s="80"/>
      <c r="N223" s="3"/>
      <c r="O223" s="80"/>
      <c r="P223" s="173">
        <v>213</v>
      </c>
      <c r="Q223" s="165"/>
      <c r="R223" s="174">
        <v>2.0388755652031021E-3</v>
      </c>
      <c r="S223" s="502"/>
      <c r="T223" s="219">
        <f t="shared" si="25"/>
        <v>16.896998636315416</v>
      </c>
      <c r="U223" s="249">
        <f>U222+(T222*R223*'life-tables-test'!$C$66)</f>
        <v>83.103001363684584</v>
      </c>
      <c r="V223" s="516">
        <f t="shared" si="22"/>
        <v>100</v>
      </c>
      <c r="W223" s="153">
        <f>(T223*0)/(1+cDR)^'Markov Model_b (2)'!cycle2</f>
        <v>0</v>
      </c>
      <c r="X223" s="178">
        <f t="shared" si="23"/>
        <v>16.896998636315416</v>
      </c>
      <c r="Y223" s="202">
        <f>(T223*(uPostT))/(1+oDR)^'Markov Model_b (2)'!cycle</f>
        <v>7.5448384666906634</v>
      </c>
      <c r="Z223" s="80"/>
      <c r="AA223" s="3"/>
      <c r="AB223" s="3"/>
      <c r="AC223" s="14">
        <v>211</v>
      </c>
      <c r="AD223" s="14"/>
      <c r="AE223" s="14"/>
      <c r="AF223" s="3"/>
      <c r="AG223" s="3"/>
      <c r="AH223" s="3"/>
      <c r="AI223" s="14"/>
      <c r="AJ223" s="14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</row>
    <row r="224" spans="1:58" ht="14.25" customHeight="1" x14ac:dyDescent="0.2">
      <c r="A224" s="637"/>
      <c r="B224" s="417"/>
      <c r="C224" s="173">
        <v>214</v>
      </c>
      <c r="D224" s="165"/>
      <c r="E224" s="174">
        <v>2.0388755652031021E-3</v>
      </c>
      <c r="F224" s="502"/>
      <c r="G224" s="219">
        <f t="shared" si="26"/>
        <v>17.752277554836652</v>
      </c>
      <c r="H224" s="249">
        <f>H223+(G223*E224*'life-tables-test'!$C$66)</f>
        <v>82.247722445163348</v>
      </c>
      <c r="I224" s="516">
        <f t="shared" si="24"/>
        <v>100</v>
      </c>
      <c r="J224" s="153">
        <f>(G224*0)/(1+cDR)^'Markov Model_b (2)'!cycle</f>
        <v>0</v>
      </c>
      <c r="K224" s="178">
        <f t="shared" si="21"/>
        <v>17.752277554836652</v>
      </c>
      <c r="L224" s="202">
        <f>(G224*(uPostT))/(1+oDR)^'Markov Model_b (2)'!cycle</f>
        <v>7.9069697111113522</v>
      </c>
      <c r="M224" s="80"/>
      <c r="N224" s="3"/>
      <c r="O224" s="80"/>
      <c r="P224" s="173">
        <v>214</v>
      </c>
      <c r="Q224" s="165"/>
      <c r="R224" s="174">
        <v>2.0388755652031021E-3</v>
      </c>
      <c r="S224" s="502"/>
      <c r="T224" s="219">
        <f t="shared" si="25"/>
        <v>16.724744248091142</v>
      </c>
      <c r="U224" s="249">
        <f>U223+(T223*R224*'life-tables-test'!$C$66)</f>
        <v>83.275255751908858</v>
      </c>
      <c r="V224" s="516">
        <f t="shared" si="22"/>
        <v>100</v>
      </c>
      <c r="W224" s="153">
        <f>(T224*0)/(1+cDR)^'Markov Model_b (2)'!cycle2</f>
        <v>0</v>
      </c>
      <c r="X224" s="178">
        <f t="shared" si="23"/>
        <v>16.724744248091142</v>
      </c>
      <c r="Y224" s="202">
        <f>(T224*(uPostT))/(1+oDR)^'Markov Model_b (2)'!cycle</f>
        <v>7.4493002820199141</v>
      </c>
      <c r="Z224" s="80"/>
      <c r="AA224" s="3"/>
      <c r="AB224" s="3"/>
      <c r="AC224" s="14">
        <v>212</v>
      </c>
      <c r="AD224" s="14"/>
      <c r="AE224" s="14"/>
      <c r="AF224" s="3"/>
      <c r="AG224" s="3"/>
      <c r="AH224" s="3"/>
      <c r="AI224" s="14"/>
      <c r="AJ224" s="14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</row>
    <row r="225" spans="1:58" ht="14.25" customHeight="1" x14ac:dyDescent="0.2">
      <c r="A225" s="637"/>
      <c r="B225" s="417"/>
      <c r="C225" s="173">
        <v>215</v>
      </c>
      <c r="D225" s="165"/>
      <c r="E225" s="174">
        <v>2.0388755652031021E-3</v>
      </c>
      <c r="F225" s="502"/>
      <c r="G225" s="219">
        <f t="shared" si="26"/>
        <v>17.571304130170347</v>
      </c>
      <c r="H225" s="249">
        <f>H224+(G224*E225*'life-tables-test'!$C$66)</f>
        <v>82.428695869829653</v>
      </c>
      <c r="I225" s="516">
        <f t="shared" si="24"/>
        <v>100</v>
      </c>
      <c r="J225" s="153">
        <f>(G225*0)/(1+cDR)^'Markov Model_b (2)'!cycle</f>
        <v>0</v>
      </c>
      <c r="K225" s="178">
        <f t="shared" si="21"/>
        <v>17.571304130170347</v>
      </c>
      <c r="L225" s="202">
        <f>(G225*(uPostT))/(1+oDR)^'Markov Model_b (2)'!cycle</f>
        <v>7.806845959518621</v>
      </c>
      <c r="M225" s="80"/>
      <c r="N225" s="3"/>
      <c r="O225" s="80"/>
      <c r="P225" s="173">
        <v>215</v>
      </c>
      <c r="Q225" s="165"/>
      <c r="R225" s="174">
        <v>2.0388755652031021E-3</v>
      </c>
      <c r="S225" s="502"/>
      <c r="T225" s="219">
        <f t="shared" si="25"/>
        <v>16.554245886182628</v>
      </c>
      <c r="U225" s="249">
        <f>U224+(T224*R225*'life-tables-test'!$C$66)</f>
        <v>83.445754113817372</v>
      </c>
      <c r="V225" s="516">
        <f t="shared" si="22"/>
        <v>100</v>
      </c>
      <c r="W225" s="153">
        <f>(T225*0)/(1+cDR)^'Markov Model_b (2)'!cycle2</f>
        <v>0</v>
      </c>
      <c r="X225" s="178">
        <f t="shared" si="23"/>
        <v>16.554245886182628</v>
      </c>
      <c r="Y225" s="202">
        <f>(T225*(uPostT))/(1+oDR)^'Markov Model_b (2)'!cycle</f>
        <v>7.3549718707287388</v>
      </c>
      <c r="Z225" s="80"/>
      <c r="AA225" s="3"/>
      <c r="AB225" s="3"/>
      <c r="AC225" s="14">
        <v>213</v>
      </c>
      <c r="AD225" s="14"/>
      <c r="AE225" s="14"/>
      <c r="AF225" s="3"/>
      <c r="AG225" s="3"/>
      <c r="AH225" s="3"/>
      <c r="AI225" s="14"/>
      <c r="AJ225" s="14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</row>
    <row r="226" spans="1:58" ht="14.25" customHeight="1" x14ac:dyDescent="0.2">
      <c r="A226" s="637"/>
      <c r="B226" s="417"/>
      <c r="C226" s="173">
        <v>216</v>
      </c>
      <c r="D226" s="165"/>
      <c r="E226" s="174">
        <v>2.0388755652031021E-3</v>
      </c>
      <c r="F226" s="502"/>
      <c r="G226" s="219">
        <f t="shared" si="26"/>
        <v>17.392175616971571</v>
      </c>
      <c r="H226" s="249">
        <f>H225+(G225*E226*'life-tables-test'!$C$66)</f>
        <v>82.607824383028429</v>
      </c>
      <c r="I226" s="516">
        <f t="shared" si="24"/>
        <v>100</v>
      </c>
      <c r="J226" s="153">
        <f>(G226*0)/(1+cDR)^'Markov Model_b (2)'!cycle</f>
        <v>0</v>
      </c>
      <c r="K226" s="178">
        <f t="shared" si="21"/>
        <v>17.392175616971571</v>
      </c>
      <c r="L226" s="202">
        <f>(G226*(uPostT))/(1+oDR)^'Markov Model_b (2)'!cycle</f>
        <v>7.7079900470601395</v>
      </c>
      <c r="M226" s="80"/>
      <c r="N226" s="3"/>
      <c r="O226" s="80"/>
      <c r="P226" s="173">
        <v>216</v>
      </c>
      <c r="Q226" s="165"/>
      <c r="R226" s="174">
        <v>2.0388755652031021E-3</v>
      </c>
      <c r="S226" s="502"/>
      <c r="T226" s="219">
        <f t="shared" si="25"/>
        <v>16.38548564899412</v>
      </c>
      <c r="U226" s="249">
        <f>U225+(T225*R226*'life-tables-test'!$C$66)</f>
        <v>83.61451435100588</v>
      </c>
      <c r="V226" s="516">
        <f t="shared" si="22"/>
        <v>100</v>
      </c>
      <c r="W226" s="153">
        <f>(T226*0)/(1+cDR)^'Markov Model_b (2)'!cycle2</f>
        <v>0</v>
      </c>
      <c r="X226" s="178">
        <f t="shared" si="23"/>
        <v>16.38548564899412</v>
      </c>
      <c r="Y226" s="202">
        <f>(T226*(uPostT))/(1+oDR)^'Markov Model_b (2)'!cycle</f>
        <v>7.261837913794329</v>
      </c>
      <c r="Z226" s="80"/>
      <c r="AA226" s="3"/>
      <c r="AB226" s="3"/>
      <c r="AC226" s="14">
        <v>214</v>
      </c>
      <c r="AD226" s="14"/>
      <c r="AE226" s="14"/>
      <c r="AF226" s="3"/>
      <c r="AG226" s="3"/>
      <c r="AH226" s="3"/>
      <c r="AI226" s="14"/>
      <c r="AJ226" s="14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</row>
    <row r="227" spans="1:58" ht="14.25" customHeight="1" x14ac:dyDescent="0.2">
      <c r="A227" s="519"/>
      <c r="B227" s="417"/>
      <c r="C227" s="173">
        <v>217</v>
      </c>
      <c r="D227" s="504"/>
      <c r="E227" s="174">
        <v>2.0388755652031021E-3</v>
      </c>
      <c r="F227" s="505"/>
      <c r="G227" s="219">
        <f t="shared" si="26"/>
        <v>17.214873207515751</v>
      </c>
      <c r="H227" s="249">
        <f>H226+(G226*E227*'life-tables-test'!$C$66)</f>
        <v>82.785126792484249</v>
      </c>
      <c r="I227" s="516">
        <f t="shared" si="24"/>
        <v>100</v>
      </c>
      <c r="J227" s="180">
        <f>(G227*0)/(1+cDR)^'Markov Model_b (2)'!cycle</f>
        <v>0</v>
      </c>
      <c r="K227" s="176">
        <f t="shared" si="21"/>
        <v>17.214873207515751</v>
      </c>
      <c r="L227" s="202">
        <f>(G227*(uPostT))/(1+oDR)^'Markov Model_b (2)'!cycle</f>
        <v>7.6103859194426358</v>
      </c>
      <c r="M227" s="80"/>
      <c r="N227" s="3"/>
      <c r="O227" s="80"/>
      <c r="P227" s="173">
        <v>217</v>
      </c>
      <c r="Q227" s="504"/>
      <c r="R227" s="174">
        <v>2.0388755652031021E-3</v>
      </c>
      <c r="S227" s="505"/>
      <c r="T227" s="219">
        <f t="shared" si="25"/>
        <v>16.218445817425518</v>
      </c>
      <c r="U227" s="249">
        <f>U226+(T226*R227*'life-tables-test'!$C$66)</f>
        <v>83.781554182574482</v>
      </c>
      <c r="V227" s="516">
        <f t="shared" si="22"/>
        <v>100</v>
      </c>
      <c r="W227" s="180">
        <f>(T227*0)/(1+cDR)^'Markov Model_b (2)'!cycle2</f>
        <v>0</v>
      </c>
      <c r="X227" s="176">
        <f t="shared" si="23"/>
        <v>16.218445817425518</v>
      </c>
      <c r="Y227" s="202">
        <f>(T227*(uPostT))/(1+oDR)^'Markov Model_b (2)'!cycle</f>
        <v>7.1698832861743886</v>
      </c>
      <c r="Z227" s="80"/>
      <c r="AA227" s="3"/>
      <c r="AB227" s="3"/>
      <c r="AC227" s="14">
        <v>215</v>
      </c>
      <c r="AD227" s="14"/>
      <c r="AE227" s="14"/>
      <c r="AF227" s="3"/>
      <c r="AG227" s="3"/>
      <c r="AH227" s="3"/>
      <c r="AI227" s="14"/>
      <c r="AJ227" s="14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</row>
    <row r="228" spans="1:58" ht="14.25" customHeight="1" x14ac:dyDescent="0.25">
      <c r="A228" s="637" t="s">
        <v>560</v>
      </c>
      <c r="B228" s="417"/>
      <c r="C228" s="506">
        <v>218</v>
      </c>
      <c r="D228" s="506"/>
      <c r="E228" s="507">
        <v>2.0388755652031021E-3</v>
      </c>
      <c r="F228" s="508"/>
      <c r="G228" s="509">
        <f t="shared" si="26"/>
        <v>17.039378285811381</v>
      </c>
      <c r="H228" s="510">
        <f>H227+(G227*E228*'life-tables-test'!$C$66)</f>
        <v>82.960621714188619</v>
      </c>
      <c r="I228" s="518">
        <f t="shared" si="24"/>
        <v>100</v>
      </c>
      <c r="J228" s="511">
        <f>(G228*0)/(1+cDR)^'Markov Model_b (2)'!cycle</f>
        <v>0</v>
      </c>
      <c r="K228" s="512">
        <f t="shared" si="21"/>
        <v>17.039378285811381</v>
      </c>
      <c r="L228" s="513">
        <f>(G228*(uPostT))/(1+oDR)^'Markov Model_b (2)'!cycle</f>
        <v>7.5140177256638871</v>
      </c>
      <c r="M228" s="80"/>
      <c r="N228" s="3"/>
      <c r="O228" s="80"/>
      <c r="P228" s="506">
        <v>218</v>
      </c>
      <c r="Q228" s="506"/>
      <c r="R228" s="507">
        <v>2.0388755652031021E-3</v>
      </c>
      <c r="S228" s="508"/>
      <c r="T228" s="509">
        <f t="shared" si="25"/>
        <v>16.053108853011921</v>
      </c>
      <c r="U228" s="510">
        <f>U227+(T227*R228*'life-tables-test'!$C$66)</f>
        <v>83.946891146988079</v>
      </c>
      <c r="V228" s="518">
        <f t="shared" si="22"/>
        <v>100</v>
      </c>
      <c r="W228" s="511">
        <f>(T228*0)/(1+cDR)^'Markov Model_b (2)'!cycle2</f>
        <v>0</v>
      </c>
      <c r="X228" s="512">
        <f t="shared" si="23"/>
        <v>16.053108853011921</v>
      </c>
      <c r="Y228" s="513">
        <f>(T228*(uPostT))/(1+oDR)^'Markov Model_b (2)'!cycle</f>
        <v>7.0790930543508157</v>
      </c>
      <c r="Z228" s="80"/>
      <c r="AA228" s="3"/>
      <c r="AB228" s="3"/>
      <c r="AC228" s="14">
        <v>216</v>
      </c>
      <c r="AD228" s="14"/>
      <c r="AE228" s="14"/>
      <c r="AF228" s="3"/>
      <c r="AG228" s="3"/>
      <c r="AH228" s="3"/>
      <c r="AI228" s="14"/>
      <c r="AJ228" s="14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</row>
    <row r="229" spans="1:58" ht="14.25" customHeight="1" x14ac:dyDescent="0.2">
      <c r="A229" s="637"/>
      <c r="B229" s="417"/>
      <c r="C229" s="173">
        <v>219</v>
      </c>
      <c r="D229" s="165"/>
      <c r="E229" s="174">
        <v>2.2221246144455975E-3</v>
      </c>
      <c r="F229" s="502"/>
      <c r="G229" s="219">
        <f t="shared" si="26"/>
        <v>16.850060176292629</v>
      </c>
      <c r="H229" s="249">
        <f>H228+(G228*E229*'life-tables-test'!$C$66)</f>
        <v>83.149939823707371</v>
      </c>
      <c r="I229" s="516">
        <f t="shared" si="24"/>
        <v>100</v>
      </c>
      <c r="J229" s="153">
        <f>(G229*0)/(1+cDR)^'Markov Model_b (2)'!cycle</f>
        <v>0</v>
      </c>
      <c r="K229" s="178">
        <f t="shared" si="21"/>
        <v>16.850060176292629</v>
      </c>
      <c r="L229" s="202">
        <f>(G229*(uPostT))/(1+oDR)^'Markov Model_b (2)'!cycle</f>
        <v>7.4120023012029916</v>
      </c>
      <c r="M229" s="80"/>
      <c r="N229" s="3"/>
      <c r="O229" s="80"/>
      <c r="P229" s="173">
        <v>219</v>
      </c>
      <c r="Q229" s="165"/>
      <c r="R229" s="174">
        <v>2.2221246144455975E-3</v>
      </c>
      <c r="S229" s="502"/>
      <c r="T229" s="219">
        <f t="shared" si="25"/>
        <v>15.874748811408665</v>
      </c>
      <c r="U229" s="249">
        <f>U228+(T228*R229*'life-tables-test'!$C$66)</f>
        <v>84.125251188591335</v>
      </c>
      <c r="V229" s="516">
        <f t="shared" si="22"/>
        <v>100</v>
      </c>
      <c r="W229" s="153">
        <f>(T229*0)/(1+cDR)^'Markov Model_b (2)'!cycle2</f>
        <v>0</v>
      </c>
      <c r="X229" s="178">
        <f t="shared" si="23"/>
        <v>15.874748811408665</v>
      </c>
      <c r="Y229" s="202">
        <f>(T229*(uPostT))/(1+oDR)^'Markov Model_b (2)'!cycle</f>
        <v>6.982982463571771</v>
      </c>
      <c r="Z229" s="80"/>
      <c r="AA229" s="3"/>
      <c r="AB229" s="3"/>
      <c r="AC229" s="14">
        <v>217</v>
      </c>
      <c r="AD229" s="14"/>
      <c r="AE229" s="14"/>
      <c r="AF229" s="3"/>
      <c r="AG229" s="3"/>
      <c r="AH229" s="3"/>
      <c r="AI229" s="14"/>
      <c r="AJ229" s="14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</row>
    <row r="230" spans="1:58" ht="14.25" customHeight="1" x14ac:dyDescent="0.2">
      <c r="A230" s="637"/>
      <c r="B230" s="417"/>
      <c r="C230" s="173">
        <v>220</v>
      </c>
      <c r="D230" s="165"/>
      <c r="E230" s="174">
        <v>2.2221246144455975E-3</v>
      </c>
      <c r="F230" s="502"/>
      <c r="G230" s="219">
        <f t="shared" si="26"/>
        <v>16.662845508929479</v>
      </c>
      <c r="H230" s="249">
        <f>H229+(G229*E230*'life-tables-test'!$C$66)</f>
        <v>83.337154491070521</v>
      </c>
      <c r="I230" s="516">
        <f t="shared" si="24"/>
        <v>100</v>
      </c>
      <c r="J230" s="153">
        <f>(G230*0)/(1+cDR)^'Markov Model_b (2)'!cycle</f>
        <v>0</v>
      </c>
      <c r="K230" s="178">
        <f t="shared" si="21"/>
        <v>16.662845508929479</v>
      </c>
      <c r="L230" s="202">
        <f>(G230*(uPostT))/(1+oDR)^'Markov Model_b (2)'!cycle</f>
        <v>7.3113719076547028</v>
      </c>
      <c r="M230" s="80"/>
      <c r="N230" s="3"/>
      <c r="O230" s="80"/>
      <c r="P230" s="173">
        <v>220</v>
      </c>
      <c r="Q230" s="165"/>
      <c r="R230" s="174">
        <v>2.2221246144455975E-3</v>
      </c>
      <c r="S230" s="502"/>
      <c r="T230" s="219">
        <f t="shared" si="25"/>
        <v>15.698370460998802</v>
      </c>
      <c r="U230" s="249">
        <f>U229+(T229*R230*'life-tables-test'!$C$66)</f>
        <v>84.301629539001198</v>
      </c>
      <c r="V230" s="516">
        <f t="shared" si="22"/>
        <v>100</v>
      </c>
      <c r="W230" s="153">
        <f>(T230*0)/(1+cDR)^'Markov Model_b (2)'!cycle2</f>
        <v>0</v>
      </c>
      <c r="X230" s="178">
        <f t="shared" si="23"/>
        <v>15.698370460998802</v>
      </c>
      <c r="Y230" s="202">
        <f>(T230*(uPostT))/(1+oDR)^'Markov Model_b (2)'!cycle</f>
        <v>6.888176735659898</v>
      </c>
      <c r="Z230" s="80"/>
      <c r="AA230" s="3"/>
      <c r="AB230" s="3"/>
      <c r="AC230" s="14">
        <v>218</v>
      </c>
      <c r="AD230" s="14"/>
      <c r="AE230" s="14"/>
      <c r="AF230" s="3"/>
      <c r="AG230" s="3"/>
      <c r="AH230" s="3"/>
      <c r="AI230" s="14"/>
      <c r="AJ230" s="14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</row>
    <row r="231" spans="1:58" ht="14.25" customHeight="1" x14ac:dyDescent="0.2">
      <c r="A231" s="637"/>
      <c r="B231" s="417"/>
      <c r="C231" s="173">
        <v>221</v>
      </c>
      <c r="D231" s="165"/>
      <c r="E231" s="174">
        <v>2.2221246144455975E-3</v>
      </c>
      <c r="F231" s="502"/>
      <c r="G231" s="219">
        <f t="shared" si="26"/>
        <v>16.477710913168991</v>
      </c>
      <c r="H231" s="249">
        <f>H230+(G230*E231*'life-tables-test'!$C$66)</f>
        <v>83.522289086831009</v>
      </c>
      <c r="I231" s="516">
        <f t="shared" si="24"/>
        <v>100</v>
      </c>
      <c r="J231" s="153">
        <f>(G231*0)/(1+cDR)^'Markov Model_b (2)'!cycle</f>
        <v>0</v>
      </c>
      <c r="K231" s="178">
        <f t="shared" si="21"/>
        <v>16.477710913168991</v>
      </c>
      <c r="L231" s="202">
        <f>(G231*(uPostT))/(1+oDR)^'Markov Model_b (2)'!cycle</f>
        <v>7.2121077408956307</v>
      </c>
      <c r="M231" s="80"/>
      <c r="N231" s="3"/>
      <c r="O231" s="80"/>
      <c r="P231" s="173">
        <v>221</v>
      </c>
      <c r="Q231" s="165"/>
      <c r="R231" s="174">
        <v>2.2221246144455975E-3</v>
      </c>
      <c r="S231" s="502"/>
      <c r="T231" s="219">
        <f t="shared" si="25"/>
        <v>15.523951783958452</v>
      </c>
      <c r="U231" s="249">
        <f>U230+(T230*R231*'life-tables-test'!$C$66)</f>
        <v>84.476048216041548</v>
      </c>
      <c r="V231" s="516">
        <f t="shared" si="22"/>
        <v>100</v>
      </c>
      <c r="W231" s="153">
        <f>(T231*0)/(1+cDR)^'Markov Model_b (2)'!cycle2</f>
        <v>0</v>
      </c>
      <c r="X231" s="178">
        <f t="shared" si="23"/>
        <v>15.523951783958452</v>
      </c>
      <c r="Y231" s="202">
        <f>(T231*(uPostT))/(1+oDR)^'Markov Model_b (2)'!cycle</f>
        <v>6.7946581549078209</v>
      </c>
      <c r="Z231" s="80"/>
      <c r="AA231" s="3"/>
      <c r="AB231" s="3"/>
      <c r="AC231" s="14">
        <v>219</v>
      </c>
      <c r="AD231" s="14"/>
      <c r="AE231" s="14"/>
      <c r="AF231" s="3"/>
      <c r="AG231" s="3"/>
      <c r="AH231" s="3"/>
      <c r="AI231" s="14"/>
      <c r="AJ231" s="14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</row>
    <row r="232" spans="1:58" ht="14.25" customHeight="1" x14ac:dyDescent="0.2">
      <c r="A232" s="637"/>
      <c r="B232" s="417"/>
      <c r="C232" s="173">
        <v>222</v>
      </c>
      <c r="D232" s="165"/>
      <c r="E232" s="174">
        <v>2.2221246144455975E-3</v>
      </c>
      <c r="F232" s="502"/>
      <c r="G232" s="219">
        <f t="shared" si="26"/>
        <v>16.294633278119633</v>
      </c>
      <c r="H232" s="249">
        <f>H231+(G231*E232*'life-tables-test'!$C$66)</f>
        <v>83.705366721880367</v>
      </c>
      <c r="I232" s="516">
        <f t="shared" si="24"/>
        <v>100</v>
      </c>
      <c r="J232" s="153">
        <f>(G232*0)/(1+cDR)^'Markov Model_b (2)'!cycle</f>
        <v>0</v>
      </c>
      <c r="K232" s="178">
        <f t="shared" si="21"/>
        <v>16.294633278119633</v>
      </c>
      <c r="L232" s="202">
        <f>(G232*(uPostT))/(1+oDR)^'Markov Model_b (2)'!cycle</f>
        <v>7.1141912520999941</v>
      </c>
      <c r="M232" s="80"/>
      <c r="N232" s="3"/>
      <c r="O232" s="80"/>
      <c r="P232" s="173">
        <v>222</v>
      </c>
      <c r="Q232" s="165"/>
      <c r="R232" s="174">
        <v>2.2221246144455975E-3</v>
      </c>
      <c r="S232" s="502"/>
      <c r="T232" s="219">
        <f t="shared" si="25"/>
        <v>15.351471007095455</v>
      </c>
      <c r="U232" s="249">
        <f>U231+(T231*R232*'life-tables-test'!$C$66)</f>
        <v>84.648528992904545</v>
      </c>
      <c r="V232" s="516">
        <f t="shared" si="22"/>
        <v>100</v>
      </c>
      <c r="W232" s="153">
        <f>(T232*0)/(1+cDR)^'Markov Model_b (2)'!cycle2</f>
        <v>0</v>
      </c>
      <c r="X232" s="178">
        <f t="shared" si="23"/>
        <v>15.351471007095455</v>
      </c>
      <c r="Y232" s="202">
        <f>(T232*(uPostT))/(1+oDR)^'Markov Model_b (2)'!cycle</f>
        <v>6.7024092461286831</v>
      </c>
      <c r="Z232" s="80"/>
      <c r="AA232" s="3"/>
      <c r="AB232" s="3"/>
      <c r="AC232" s="14">
        <v>220</v>
      </c>
      <c r="AD232" s="14"/>
      <c r="AE232" s="14"/>
      <c r="AF232" s="3"/>
      <c r="AG232" s="3"/>
      <c r="AH232" s="3"/>
      <c r="AI232" s="14"/>
      <c r="AJ232" s="14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</row>
    <row r="233" spans="1:58" ht="14.25" customHeight="1" x14ac:dyDescent="0.2">
      <c r="A233" s="637"/>
      <c r="B233" s="417"/>
      <c r="C233" s="173">
        <v>223</v>
      </c>
      <c r="D233" s="165"/>
      <c r="E233" s="174">
        <v>2.2221246144455975E-3</v>
      </c>
      <c r="F233" s="502"/>
      <c r="G233" s="219">
        <f t="shared" si="26"/>
        <v>16.113589749666261</v>
      </c>
      <c r="H233" s="249">
        <f>H232+(G232*E233*'life-tables-test'!$C$66)</f>
        <v>83.886410250333739</v>
      </c>
      <c r="I233" s="516">
        <f t="shared" si="24"/>
        <v>100</v>
      </c>
      <c r="J233" s="153">
        <f>(G233*0)/(1+cDR)^'Markov Model_b (2)'!cycle</f>
        <v>0</v>
      </c>
      <c r="K233" s="178">
        <f t="shared" si="21"/>
        <v>16.113589749666261</v>
      </c>
      <c r="L233" s="202">
        <f>(G233*(uPostT))/(1+oDR)^'Markov Model_b (2)'!cycle</f>
        <v>7.017604144273486</v>
      </c>
      <c r="M233" s="80"/>
      <c r="N233" s="3"/>
      <c r="O233" s="80"/>
      <c r="P233" s="173">
        <v>223</v>
      </c>
      <c r="Q233" s="165"/>
      <c r="R233" s="174">
        <v>2.2221246144455975E-3</v>
      </c>
      <c r="S233" s="502"/>
      <c r="T233" s="219">
        <f t="shared" si="25"/>
        <v>15.180906599131376</v>
      </c>
      <c r="U233" s="249">
        <f>U232+(T232*R233*'life-tables-test'!$C$66)</f>
        <v>84.819093400868624</v>
      </c>
      <c r="V233" s="516">
        <f t="shared" si="22"/>
        <v>100</v>
      </c>
      <c r="W233" s="153">
        <f>(T233*0)/(1+cDR)^'Markov Model_b (2)'!cycle2</f>
        <v>0</v>
      </c>
      <c r="X233" s="178">
        <f t="shared" si="23"/>
        <v>15.180906599131376</v>
      </c>
      <c r="Y233" s="202">
        <f>(T233*(uPostT))/(1+oDR)^'Markov Model_b (2)'!cycle</f>
        <v>6.6114127713906541</v>
      </c>
      <c r="Z233" s="80"/>
      <c r="AA233" s="3"/>
      <c r="AB233" s="3"/>
      <c r="AC233" s="14">
        <v>221</v>
      </c>
      <c r="AD233" s="14"/>
      <c r="AE233" s="14"/>
      <c r="AF233" s="3"/>
      <c r="AG233" s="3"/>
      <c r="AH233" s="3"/>
      <c r="AI233" s="14"/>
      <c r="AJ233" s="14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</row>
    <row r="234" spans="1:58" ht="14.25" customHeight="1" x14ac:dyDescent="0.2">
      <c r="A234" s="637"/>
      <c r="B234" s="417"/>
      <c r="C234" s="173">
        <v>224</v>
      </c>
      <c r="D234" s="165"/>
      <c r="E234" s="174">
        <v>2.2221246144455975E-3</v>
      </c>
      <c r="F234" s="502"/>
      <c r="G234" s="219">
        <f t="shared" si="26"/>
        <v>15.934557727617204</v>
      </c>
      <c r="H234" s="249">
        <f>H233+(G233*E234*'life-tables-test'!$C$66)</f>
        <v>84.065442272382796</v>
      </c>
      <c r="I234" s="516">
        <f t="shared" si="24"/>
        <v>100</v>
      </c>
      <c r="J234" s="153">
        <f>(G234*0)/(1+cDR)^'Markov Model_b (2)'!cycle</f>
        <v>0</v>
      </c>
      <c r="K234" s="178">
        <f t="shared" si="21"/>
        <v>15.934557727617204</v>
      </c>
      <c r="L234" s="202">
        <f>(G234*(uPostT))/(1+oDR)^'Markov Model_b (2)'!cycle</f>
        <v>6.9223283688342718</v>
      </c>
      <c r="M234" s="80"/>
      <c r="N234" s="3"/>
      <c r="O234" s="80"/>
      <c r="P234" s="173">
        <v>224</v>
      </c>
      <c r="Q234" s="165"/>
      <c r="R234" s="174">
        <v>2.2221246144455975E-3</v>
      </c>
      <c r="S234" s="502"/>
      <c r="T234" s="219">
        <f t="shared" si="25"/>
        <v>15.012237268013735</v>
      </c>
      <c r="U234" s="249">
        <f>U233+(T233*R234*'life-tables-test'!$C$66)</f>
        <v>84.987762731986265</v>
      </c>
      <c r="V234" s="516">
        <f t="shared" si="22"/>
        <v>100</v>
      </c>
      <c r="W234" s="153">
        <f>(T234*0)/(1+cDR)^'Markov Model_b (2)'!cycle2</f>
        <v>0</v>
      </c>
      <c r="X234" s="178">
        <f t="shared" si="23"/>
        <v>15.012237268013735</v>
      </c>
      <c r="Y234" s="202">
        <f>(T234*(uPostT))/(1+oDR)^'Markov Model_b (2)'!cycle</f>
        <v>6.5216517267958301</v>
      </c>
      <c r="Z234" s="80"/>
      <c r="AA234" s="3"/>
      <c r="AB234" s="3"/>
      <c r="AC234" s="14">
        <v>222</v>
      </c>
      <c r="AD234" s="14"/>
      <c r="AE234" s="14"/>
      <c r="AF234" s="3"/>
      <c r="AG234" s="3"/>
      <c r="AH234" s="3"/>
      <c r="AI234" s="14"/>
      <c r="AJ234" s="14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</row>
    <row r="235" spans="1:58" ht="14.25" customHeight="1" x14ac:dyDescent="0.2">
      <c r="A235" s="637"/>
      <c r="B235" s="417"/>
      <c r="C235" s="173">
        <v>225</v>
      </c>
      <c r="D235" s="165"/>
      <c r="E235" s="174">
        <v>2.2221246144455975E-3</v>
      </c>
      <c r="F235" s="502"/>
      <c r="G235" s="219">
        <f t="shared" si="26"/>
        <v>15.757514862882985</v>
      </c>
      <c r="H235" s="249">
        <f>H234+(G234*E235*'life-tables-test'!$C$66)</f>
        <v>84.242485137117015</v>
      </c>
      <c r="I235" s="516">
        <f t="shared" si="24"/>
        <v>100</v>
      </c>
      <c r="J235" s="153">
        <f>(G235*0)/(1+cDR)^'Markov Model_b (2)'!cycle</f>
        <v>0</v>
      </c>
      <c r="K235" s="178">
        <f t="shared" si="21"/>
        <v>15.757514862882985</v>
      </c>
      <c r="L235" s="202">
        <f>(G235*(uPostT))/(1+oDR)^'Markov Model_b (2)'!cycle</f>
        <v>6.828346122240359</v>
      </c>
      <c r="M235" s="80"/>
      <c r="N235" s="3"/>
      <c r="O235" s="80"/>
      <c r="P235" s="173">
        <v>225</v>
      </c>
      <c r="Q235" s="165"/>
      <c r="R235" s="174">
        <v>2.2221246144455975E-3</v>
      </c>
      <c r="S235" s="502"/>
      <c r="T235" s="219">
        <f t="shared" si="25"/>
        <v>14.845441958257979</v>
      </c>
      <c r="U235" s="249">
        <f>U234+(T234*R235*'life-tables-test'!$C$66)</f>
        <v>85.154558041742021</v>
      </c>
      <c r="V235" s="516">
        <f t="shared" si="22"/>
        <v>100</v>
      </c>
      <c r="W235" s="153">
        <f>(T235*0)/(1+cDR)^'Markov Model_b (2)'!cycle2</f>
        <v>0</v>
      </c>
      <c r="X235" s="178">
        <f t="shared" si="23"/>
        <v>14.845441958257979</v>
      </c>
      <c r="Y235" s="202">
        <f>(T235*(uPostT))/(1+oDR)^'Markov Model_b (2)'!cycle</f>
        <v>6.4331093393027992</v>
      </c>
      <c r="Z235" s="80"/>
      <c r="AA235" s="3"/>
      <c r="AB235" s="3"/>
      <c r="AC235" s="14">
        <v>223</v>
      </c>
      <c r="AD235" s="14"/>
      <c r="AE235" s="14"/>
      <c r="AF235" s="3"/>
      <c r="AG235" s="3"/>
      <c r="AH235" s="3"/>
      <c r="AI235" s="14"/>
      <c r="AJ235" s="14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</row>
    <row r="236" spans="1:58" ht="14.25" customHeight="1" x14ac:dyDescent="0.2">
      <c r="A236" s="637"/>
      <c r="B236" s="417"/>
      <c r="C236" s="173">
        <v>226</v>
      </c>
      <c r="D236" s="165"/>
      <c r="E236" s="174">
        <v>2.2221246144455975E-3</v>
      </c>
      <c r="F236" s="502"/>
      <c r="G236" s="219">
        <f t="shared" si="26"/>
        <v>15.582439054686461</v>
      </c>
      <c r="H236" s="249">
        <f>H235+(G235*E236*'life-tables-test'!$C$66)</f>
        <v>84.417560945313539</v>
      </c>
      <c r="I236" s="516">
        <f t="shared" si="24"/>
        <v>100</v>
      </c>
      <c r="J236" s="153">
        <f>(G236*0)/(1+cDR)^'Markov Model_b (2)'!cycle</f>
        <v>0</v>
      </c>
      <c r="K236" s="178">
        <f t="shared" si="21"/>
        <v>15.582439054686461</v>
      </c>
      <c r="L236" s="202">
        <f>(G236*(uPostT))/(1+oDR)^'Markov Model_b (2)'!cycle</f>
        <v>6.7356398426627813</v>
      </c>
      <c r="M236" s="80"/>
      <c r="N236" s="3"/>
      <c r="O236" s="80"/>
      <c r="P236" s="173">
        <v>226</v>
      </c>
      <c r="Q236" s="165"/>
      <c r="R236" s="174">
        <v>2.2221246144455975E-3</v>
      </c>
      <c r="S236" s="502"/>
      <c r="T236" s="219">
        <f t="shared" si="25"/>
        <v>14.68049984831913</v>
      </c>
      <c r="U236" s="249">
        <f>U235+(T235*R236*'life-tables-test'!$C$66)</f>
        <v>85.31950015168087</v>
      </c>
      <c r="V236" s="516">
        <f t="shared" si="22"/>
        <v>100</v>
      </c>
      <c r="W236" s="153">
        <f>(T236*0)/(1+cDR)^'Markov Model_b (2)'!cycle2</f>
        <v>0</v>
      </c>
      <c r="X236" s="178">
        <f t="shared" si="23"/>
        <v>14.68049984831913</v>
      </c>
      <c r="Y236" s="202">
        <f>(T236*(uPostT))/(1+oDR)^'Markov Model_b (2)'!cycle</f>
        <v>6.3457690635923933</v>
      </c>
      <c r="Z236" s="80"/>
      <c r="AA236" s="3"/>
      <c r="AB236" s="3"/>
      <c r="AC236" s="14">
        <v>224</v>
      </c>
      <c r="AD236" s="14"/>
      <c r="AE236" s="14"/>
      <c r="AF236" s="3"/>
      <c r="AG236" s="3"/>
      <c r="AH236" s="3"/>
      <c r="AI236" s="14"/>
      <c r="AJ236" s="14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</row>
    <row r="237" spans="1:58" ht="14.25" customHeight="1" x14ac:dyDescent="0.2">
      <c r="A237" s="637"/>
      <c r="B237" s="417"/>
      <c r="C237" s="173">
        <v>227</v>
      </c>
      <c r="D237" s="165"/>
      <c r="E237" s="174">
        <v>2.2221246144455975E-3</v>
      </c>
      <c r="F237" s="502"/>
      <c r="G237" s="219">
        <f t="shared" si="26"/>
        <v>15.40930844780388</v>
      </c>
      <c r="H237" s="249">
        <f>H236+(G236*E237*'life-tables-test'!$C$66)</f>
        <v>84.59069155219612</v>
      </c>
      <c r="I237" s="516">
        <f t="shared" si="24"/>
        <v>100</v>
      </c>
      <c r="J237" s="153">
        <f>(G237*0)/(1+cDR)^'Markov Model_b (2)'!cycle</f>
        <v>0</v>
      </c>
      <c r="K237" s="178">
        <f t="shared" si="21"/>
        <v>15.40930844780388</v>
      </c>
      <c r="L237" s="202">
        <f>(G237*(uPostT))/(1+oDR)^'Markov Model_b (2)'!cycle</f>
        <v>6.6441922067039174</v>
      </c>
      <c r="M237" s="80"/>
      <c r="N237" s="3"/>
      <c r="O237" s="80"/>
      <c r="P237" s="173">
        <v>227</v>
      </c>
      <c r="Q237" s="165"/>
      <c r="R237" s="174">
        <v>2.2221246144455975E-3</v>
      </c>
      <c r="S237" s="502"/>
      <c r="T237" s="219">
        <f t="shared" si="25"/>
        <v>14.51739034799256</v>
      </c>
      <c r="U237" s="249">
        <f>U236+(T236*R237*'life-tables-test'!$C$66)</f>
        <v>85.48260965200744</v>
      </c>
      <c r="V237" s="516">
        <f t="shared" si="22"/>
        <v>100</v>
      </c>
      <c r="W237" s="153">
        <f>(T237*0)/(1+cDR)^'Markov Model_b (2)'!cycle2</f>
        <v>0</v>
      </c>
      <c r="X237" s="178">
        <f t="shared" si="23"/>
        <v>14.51739034799256</v>
      </c>
      <c r="Y237" s="202">
        <f>(T237*(uPostT))/(1+oDR)^'Markov Model_b (2)'!cycle</f>
        <v>6.2596145789759756</v>
      </c>
      <c r="Z237" s="80"/>
      <c r="AA237" s="3"/>
      <c r="AB237" s="3"/>
      <c r="AC237" s="14">
        <v>225</v>
      </c>
      <c r="AD237" s="14"/>
      <c r="AE237" s="14"/>
      <c r="AF237" s="3"/>
      <c r="AG237" s="3"/>
      <c r="AH237" s="3"/>
      <c r="AI237" s="14"/>
      <c r="AJ237" s="14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</row>
    <row r="238" spans="1:58" ht="14.25" customHeight="1" x14ac:dyDescent="0.2">
      <c r="A238" s="637"/>
      <c r="B238" s="417"/>
      <c r="C238" s="173">
        <v>228</v>
      </c>
      <c r="D238" s="165"/>
      <c r="E238" s="174">
        <v>2.2221246144455975E-3</v>
      </c>
      <c r="F238" s="502"/>
      <c r="G238" s="219">
        <f t="shared" si="26"/>
        <v>15.238101429836632</v>
      </c>
      <c r="H238" s="249">
        <f>H237+(G237*E238*'life-tables-test'!$C$66)</f>
        <v>84.761898570163368</v>
      </c>
      <c r="I238" s="516">
        <f t="shared" si="24"/>
        <v>100</v>
      </c>
      <c r="J238" s="153">
        <f>(G238*0)/(1+cDR)^'Markov Model_b (2)'!cycle</f>
        <v>0</v>
      </c>
      <c r="K238" s="178">
        <f t="shared" si="21"/>
        <v>15.238101429836632</v>
      </c>
      <c r="L238" s="202">
        <f>(G238*(uPostT))/(1+oDR)^'Markov Model_b (2)'!cycle</f>
        <v>6.5539861261603933</v>
      </c>
      <c r="M238" s="80"/>
      <c r="N238" s="3"/>
      <c r="O238" s="80"/>
      <c r="P238" s="173">
        <v>228</v>
      </c>
      <c r="Q238" s="165"/>
      <c r="R238" s="174">
        <v>2.2221246144455975E-3</v>
      </c>
      <c r="S238" s="502"/>
      <c r="T238" s="219">
        <f t="shared" si="25"/>
        <v>14.356093095843619</v>
      </c>
      <c r="U238" s="249">
        <f>U237+(T237*R238*'life-tables-test'!$C$66)</f>
        <v>85.643906904156381</v>
      </c>
      <c r="V238" s="516">
        <f t="shared" si="22"/>
        <v>100</v>
      </c>
      <c r="W238" s="153">
        <f>(T238*0)/(1+cDR)^'Markov Model_b (2)'!cycle2</f>
        <v>0</v>
      </c>
      <c r="X238" s="178">
        <f t="shared" si="23"/>
        <v>14.356093095843619</v>
      </c>
      <c r="Y238" s="202">
        <f>(T238*(uPostT))/(1+oDR)^'Markov Model_b (2)'!cycle</f>
        <v>6.1746297863456876</v>
      </c>
      <c r="Z238" s="80"/>
      <c r="AA238" s="3"/>
      <c r="AB238" s="3"/>
      <c r="AC238" s="14">
        <v>226</v>
      </c>
      <c r="AD238" s="14"/>
      <c r="AE238" s="14"/>
      <c r="AF238" s="3"/>
      <c r="AG238" s="3"/>
      <c r="AH238" s="3"/>
      <c r="AI238" s="14"/>
      <c r="AJ238" s="14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</row>
    <row r="239" spans="1:58" ht="14.25" customHeight="1" x14ac:dyDescent="0.2">
      <c r="A239" s="519"/>
      <c r="B239" s="417"/>
      <c r="C239" s="173">
        <v>229</v>
      </c>
      <c r="D239" s="504"/>
      <c r="E239" s="174">
        <v>2.2221246144455975E-3</v>
      </c>
      <c r="F239" s="505"/>
      <c r="G239" s="219">
        <f t="shared" si="26"/>
        <v>15.06879662851334</v>
      </c>
      <c r="H239" s="249">
        <f>H238+(G238*E239*'life-tables-test'!$C$66)</f>
        <v>84.93120337148666</v>
      </c>
      <c r="I239" s="516">
        <f t="shared" si="24"/>
        <v>100</v>
      </c>
      <c r="J239" s="180">
        <f>(G239*0)/(1+cDR)^'Markov Model_b (2)'!cycle</f>
        <v>0</v>
      </c>
      <c r="K239" s="176">
        <f t="shared" si="21"/>
        <v>15.06879662851334</v>
      </c>
      <c r="L239" s="202">
        <f>(G239*(uPostT))/(1+oDR)^'Markov Model_b (2)'!cycle</f>
        <v>6.4650047448299386</v>
      </c>
      <c r="M239" s="80"/>
      <c r="N239" s="3"/>
      <c r="O239" s="80"/>
      <c r="P239" s="173">
        <v>229</v>
      </c>
      <c r="Q239" s="504"/>
      <c r="R239" s="174">
        <v>2.2221246144455975E-3</v>
      </c>
      <c r="S239" s="505"/>
      <c r="T239" s="219">
        <f t="shared" si="25"/>
        <v>14.19658795666588</v>
      </c>
      <c r="U239" s="249">
        <f>U238+(T238*R239*'life-tables-test'!$C$66)</f>
        <v>85.80341204333412</v>
      </c>
      <c r="V239" s="516">
        <f t="shared" si="22"/>
        <v>100</v>
      </c>
      <c r="W239" s="180">
        <f>(T239*0)/(1+cDR)^'Markov Model_b (2)'!cycle2</f>
        <v>0</v>
      </c>
      <c r="X239" s="176">
        <f t="shared" si="23"/>
        <v>14.19658795666588</v>
      </c>
      <c r="Y239" s="202">
        <f>(T239*(uPostT))/(1+oDR)^'Markov Model_b (2)'!cycle</f>
        <v>6.0907988051661306</v>
      </c>
      <c r="Z239" s="80"/>
      <c r="AA239" s="3"/>
      <c r="AB239" s="3"/>
      <c r="AC239" s="14">
        <v>227</v>
      </c>
      <c r="AD239" s="14"/>
      <c r="AE239" s="14"/>
      <c r="AF239" s="3"/>
      <c r="AG239" s="3"/>
      <c r="AH239" s="3"/>
      <c r="AI239" s="14"/>
      <c r="AJ239" s="14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</row>
    <row r="240" spans="1:58" ht="14.25" customHeight="1" x14ac:dyDescent="0.25">
      <c r="A240" s="637" t="s">
        <v>561</v>
      </c>
      <c r="B240" s="417"/>
      <c r="C240" s="506">
        <v>230</v>
      </c>
      <c r="D240" s="506"/>
      <c r="E240" s="507">
        <v>2.2221246144455975E-3</v>
      </c>
      <c r="F240" s="508"/>
      <c r="G240" s="509">
        <f t="shared" si="26"/>
        <v>14.901372909021873</v>
      </c>
      <c r="H240" s="510">
        <f>H239+(G239*E240*'life-tables-test'!$C$66)</f>
        <v>85.098627090978127</v>
      </c>
      <c r="I240" s="518">
        <f t="shared" si="24"/>
        <v>100</v>
      </c>
      <c r="J240" s="511">
        <f>(G240*0)/(1+cDR)^'Markov Model_b (2)'!cycle</f>
        <v>0</v>
      </c>
      <c r="K240" s="512">
        <f t="shared" si="21"/>
        <v>14.901372909021873</v>
      </c>
      <c r="L240" s="513">
        <f>(G240*(uPostT))/(1+oDR)^'Markov Model_b (2)'!cycle</f>
        <v>6.3772314353615682</v>
      </c>
      <c r="M240" s="80"/>
      <c r="N240" s="3"/>
      <c r="O240" s="80"/>
      <c r="P240" s="506">
        <v>230</v>
      </c>
      <c r="Q240" s="506"/>
      <c r="R240" s="507">
        <v>2.2221246144455975E-3</v>
      </c>
      <c r="S240" s="508"/>
      <c r="T240" s="509">
        <f t="shared" si="25"/>
        <v>14.038855018967638</v>
      </c>
      <c r="U240" s="510">
        <f>U239+(T239*R240*'life-tables-test'!$C$66)</f>
        <v>85.961144981032362</v>
      </c>
      <c r="V240" s="518">
        <f t="shared" si="22"/>
        <v>100</v>
      </c>
      <c r="W240" s="511">
        <f>(T240*0)/(1+cDR)^'Markov Model_b (2)'!cycle2</f>
        <v>0</v>
      </c>
      <c r="X240" s="512">
        <f t="shared" si="23"/>
        <v>14.038855018967638</v>
      </c>
      <c r="Y240" s="513">
        <f>(T240*(uPostT))/(1+oDR)^'Markov Model_b (2)'!cycle</f>
        <v>6.0081059705068904</v>
      </c>
      <c r="Z240" s="80"/>
      <c r="AA240" s="3"/>
      <c r="AB240" s="3"/>
      <c r="AC240" s="14">
        <v>228</v>
      </c>
      <c r="AD240" s="14"/>
      <c r="AE240" s="14"/>
      <c r="AF240" s="3"/>
      <c r="AG240" s="3"/>
      <c r="AH240" s="3"/>
      <c r="AI240" s="14"/>
      <c r="AJ240" s="14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</row>
    <row r="241" spans="1:58" ht="14.25" customHeight="1" x14ac:dyDescent="0.2">
      <c r="A241" s="637"/>
      <c r="B241" s="417"/>
      <c r="C241" s="173">
        <v>231</v>
      </c>
      <c r="D241" s="165"/>
      <c r="E241" s="174">
        <v>2.4529919863351957E-3</v>
      </c>
      <c r="F241" s="502"/>
      <c r="G241" s="219">
        <f t="shared" si="26"/>
        <v>14.718608167365758</v>
      </c>
      <c r="H241" s="249">
        <f>H240+(G240*E241*'life-tables-test'!$C$66)</f>
        <v>85.281391832634242</v>
      </c>
      <c r="I241" s="516">
        <f t="shared" si="24"/>
        <v>100</v>
      </c>
      <c r="J241" s="153">
        <f>(G241*0)/(1+cDR)^'Markov Model_b (2)'!cycle</f>
        <v>0</v>
      </c>
      <c r="K241" s="178">
        <f t="shared" si="21"/>
        <v>14.718608167365758</v>
      </c>
      <c r="L241" s="202">
        <f>(G241*(uPostT))/(1+oDR)^'Markov Model_b (2)'!cycle</f>
        <v>6.2833066806302575</v>
      </c>
      <c r="M241" s="80"/>
      <c r="N241" s="3"/>
      <c r="O241" s="80"/>
      <c r="P241" s="173">
        <v>231</v>
      </c>
      <c r="Q241" s="165"/>
      <c r="R241" s="174">
        <v>2.4529919863351957E-3</v>
      </c>
      <c r="S241" s="502"/>
      <c r="T241" s="219">
        <f t="shared" si="25"/>
        <v>13.866669024673385</v>
      </c>
      <c r="U241" s="249">
        <f>U240+(T240*R241*'life-tables-test'!$C$66)</f>
        <v>86.133330975326615</v>
      </c>
      <c r="V241" s="516">
        <f t="shared" si="22"/>
        <v>100</v>
      </c>
      <c r="W241" s="153">
        <f>(T241*0)/(1+cDR)^'Markov Model_b (2)'!cycle2</f>
        <v>0</v>
      </c>
      <c r="X241" s="178">
        <f t="shared" si="23"/>
        <v>13.866669024673385</v>
      </c>
      <c r="Y241" s="202">
        <f>(T241*(uPostT))/(1+oDR)^'Markov Model_b (2)'!cycle</f>
        <v>5.9196177471454927</v>
      </c>
      <c r="Z241" s="80"/>
      <c r="AA241" s="3"/>
      <c r="AB241" s="3"/>
      <c r="AC241" s="14">
        <v>229</v>
      </c>
      <c r="AD241" s="14"/>
      <c r="AE241" s="14"/>
      <c r="AF241" s="3"/>
      <c r="AG241" s="3"/>
      <c r="AH241" s="3"/>
      <c r="AI241" s="14"/>
      <c r="AJ241" s="14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</row>
    <row r="242" spans="1:58" ht="14.25" customHeight="1" x14ac:dyDescent="0.2">
      <c r="A242" s="637"/>
      <c r="B242" s="417"/>
      <c r="C242" s="173">
        <v>232</v>
      </c>
      <c r="D242" s="165"/>
      <c r="E242" s="174">
        <v>2.4529919863351957E-3</v>
      </c>
      <c r="F242" s="502"/>
      <c r="G242" s="219">
        <f t="shared" si="26"/>
        <v>14.538085027942984</v>
      </c>
      <c r="H242" s="249">
        <f>H241+(G241*E242*'life-tables-test'!$C$66)</f>
        <v>85.461914972057016</v>
      </c>
      <c r="I242" s="516">
        <f t="shared" si="24"/>
        <v>100</v>
      </c>
      <c r="J242" s="153">
        <f>(G242*0)/(1+cDR)^'Markov Model_b (2)'!cycle</f>
        <v>0</v>
      </c>
      <c r="K242" s="178">
        <f t="shared" ref="K242:K305" si="27">G242</f>
        <v>14.538085027942984</v>
      </c>
      <c r="L242" s="202">
        <f>(G242*(uPostT))/(1+oDR)^'Markov Model_b (2)'!cycle</f>
        <v>6.190765262796905</v>
      </c>
      <c r="M242" s="80"/>
      <c r="N242" s="3"/>
      <c r="O242" s="80"/>
      <c r="P242" s="173">
        <v>232</v>
      </c>
      <c r="Q242" s="165"/>
      <c r="R242" s="174">
        <v>2.4529919863351957E-3</v>
      </c>
      <c r="S242" s="502"/>
      <c r="T242" s="219">
        <f t="shared" si="25"/>
        <v>13.696594884699948</v>
      </c>
      <c r="U242" s="249">
        <f>U241+(T241*R242*'life-tables-test'!$C$66)</f>
        <v>86.303405115300052</v>
      </c>
      <c r="V242" s="516">
        <f t="shared" si="22"/>
        <v>100</v>
      </c>
      <c r="W242" s="153">
        <f>(T242*0)/(1+cDR)^'Markov Model_b (2)'!cycle2</f>
        <v>0</v>
      </c>
      <c r="X242" s="178">
        <f t="shared" si="23"/>
        <v>13.696594884699948</v>
      </c>
      <c r="Y242" s="202">
        <f>(T242*(uPostT))/(1+oDR)^'Markov Model_b (2)'!cycle</f>
        <v>5.8324327906891895</v>
      </c>
      <c r="Z242" s="80"/>
      <c r="AA242" s="3"/>
      <c r="AB242" s="3"/>
      <c r="AC242" s="14">
        <v>230</v>
      </c>
      <c r="AD242" s="14"/>
      <c r="AE242" s="14"/>
      <c r="AF242" s="3"/>
      <c r="AG242" s="3"/>
      <c r="AH242" s="3"/>
      <c r="AI242" s="14"/>
      <c r="AJ242" s="14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</row>
    <row r="243" spans="1:58" ht="14.25" customHeight="1" x14ac:dyDescent="0.2">
      <c r="A243" s="637"/>
      <c r="B243" s="417"/>
      <c r="C243" s="173">
        <v>233</v>
      </c>
      <c r="D243" s="165"/>
      <c r="E243" s="174">
        <v>2.4529919863351957E-3</v>
      </c>
      <c r="F243" s="502"/>
      <c r="G243" s="219">
        <f t="shared" si="26"/>
        <v>14.359775997591967</v>
      </c>
      <c r="H243" s="249">
        <f>H242+(G242*E243*'life-tables-test'!$C$66)</f>
        <v>85.640224002408033</v>
      </c>
      <c r="I243" s="516">
        <f t="shared" si="24"/>
        <v>100</v>
      </c>
      <c r="J243" s="153">
        <f>(G243*0)/(1+cDR)^'Markov Model_b (2)'!cycle</f>
        <v>0</v>
      </c>
      <c r="K243" s="178">
        <f t="shared" si="27"/>
        <v>14.359775997591967</v>
      </c>
      <c r="L243" s="202">
        <f>(G243*(uPostT))/(1+oDR)^'Markov Model_b (2)'!cycle</f>
        <v>6.0995868078825852</v>
      </c>
      <c r="M243" s="80"/>
      <c r="N243" s="3"/>
      <c r="O243" s="80"/>
      <c r="P243" s="173">
        <v>233</v>
      </c>
      <c r="Q243" s="165"/>
      <c r="R243" s="174">
        <v>2.4529919863351957E-3</v>
      </c>
      <c r="S243" s="502"/>
      <c r="T243" s="219">
        <f t="shared" si="25"/>
        <v>13.5286066972387</v>
      </c>
      <c r="U243" s="249">
        <f>U242+(T242*R243*'life-tables-test'!$C$66)</f>
        <v>86.4713933027613</v>
      </c>
      <c r="V243" s="516">
        <f t="shared" si="22"/>
        <v>100</v>
      </c>
      <c r="W243" s="153">
        <f>(T243*0)/(1+cDR)^'Markov Model_b (2)'!cycle2</f>
        <v>0</v>
      </c>
      <c r="X243" s="178">
        <f t="shared" si="23"/>
        <v>13.5286066972387</v>
      </c>
      <c r="Y243" s="202">
        <f>(T243*(uPostT))/(1+oDR)^'Markov Model_b (2)'!cycle</f>
        <v>5.7465319064410902</v>
      </c>
      <c r="Z243" s="80"/>
      <c r="AA243" s="3"/>
      <c r="AB243" s="3"/>
      <c r="AC243" s="14">
        <v>231</v>
      </c>
      <c r="AD243" s="14"/>
      <c r="AE243" s="14"/>
      <c r="AF243" s="3"/>
      <c r="AG243" s="3"/>
      <c r="AH243" s="3"/>
      <c r="AI243" s="14"/>
      <c r="AJ243" s="14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</row>
    <row r="244" spans="1:58" ht="14.25" customHeight="1" x14ac:dyDescent="0.2">
      <c r="A244" s="637"/>
      <c r="B244" s="417"/>
      <c r="C244" s="173">
        <v>234</v>
      </c>
      <c r="D244" s="165"/>
      <c r="E244" s="174">
        <v>2.4529919863351957E-3</v>
      </c>
      <c r="F244" s="502"/>
      <c r="G244" s="219">
        <f t="shared" si="26"/>
        <v>14.183653920353663</v>
      </c>
      <c r="H244" s="249">
        <f>H243+(G243*E244*'life-tables-test'!$C$66)</f>
        <v>85.816346079646337</v>
      </c>
      <c r="I244" s="516">
        <f t="shared" si="24"/>
        <v>100</v>
      </c>
      <c r="J244" s="153">
        <f>(G244*0)/(1+cDR)^'Markov Model_b (2)'!cycle</f>
        <v>0</v>
      </c>
      <c r="K244" s="178">
        <f t="shared" si="27"/>
        <v>14.183653920353663</v>
      </c>
      <c r="L244" s="202">
        <f>(G244*(uPostT))/(1+oDR)^'Markov Model_b (2)'!cycle</f>
        <v>6.0097512419791803</v>
      </c>
      <c r="M244" s="80"/>
      <c r="N244" s="3"/>
      <c r="O244" s="80"/>
      <c r="P244" s="173">
        <v>234</v>
      </c>
      <c r="Q244" s="165"/>
      <c r="R244" s="174">
        <v>2.4529919863351957E-3</v>
      </c>
      <c r="S244" s="502"/>
      <c r="T244" s="219">
        <f t="shared" si="25"/>
        <v>13.362678878165667</v>
      </c>
      <c r="U244" s="249">
        <f>U243+(T243*R244*'life-tables-test'!$C$66)</f>
        <v>86.637321121834333</v>
      </c>
      <c r="V244" s="516">
        <f t="shared" si="22"/>
        <v>100</v>
      </c>
      <c r="W244" s="153">
        <f>(T244*0)/(1+cDR)^'Markov Model_b (2)'!cycle2</f>
        <v>0</v>
      </c>
      <c r="X244" s="178">
        <f t="shared" si="23"/>
        <v>13.362678878165667</v>
      </c>
      <c r="Y244" s="202">
        <f>(T244*(uPostT))/(1+oDR)^'Markov Model_b (2)'!cycle</f>
        <v>5.6618961824064771</v>
      </c>
      <c r="Z244" s="80"/>
      <c r="AA244" s="3"/>
      <c r="AB244" s="3"/>
      <c r="AC244" s="14">
        <v>232</v>
      </c>
      <c r="AD244" s="14"/>
      <c r="AE244" s="14"/>
      <c r="AF244" s="3"/>
      <c r="AG244" s="3"/>
      <c r="AH244" s="3"/>
      <c r="AI244" s="14"/>
      <c r="AJ244" s="14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</row>
    <row r="245" spans="1:58" ht="14.25" customHeight="1" x14ac:dyDescent="0.2">
      <c r="A245" s="637"/>
      <c r="B245" s="417"/>
      <c r="C245" s="173">
        <v>235</v>
      </c>
      <c r="D245" s="165"/>
      <c r="E245" s="174">
        <v>2.4529919863351957E-3</v>
      </c>
      <c r="F245" s="502"/>
      <c r="G245" s="219">
        <f t="shared" si="26"/>
        <v>14.009691973335762</v>
      </c>
      <c r="H245" s="249">
        <f>H244+(G244*E245*'life-tables-test'!$C$66)</f>
        <v>85.990308026664238</v>
      </c>
      <c r="I245" s="516">
        <f t="shared" si="24"/>
        <v>100</v>
      </c>
      <c r="J245" s="153">
        <f>(G245*0)/(1+cDR)^'Markov Model_b (2)'!cycle</f>
        <v>0</v>
      </c>
      <c r="K245" s="178">
        <f t="shared" si="27"/>
        <v>14.009691973335762</v>
      </c>
      <c r="L245" s="202">
        <f>(G245*(uPostT))/(1+oDR)^'Markov Model_b (2)'!cycle</f>
        <v>5.9212387868298899</v>
      </c>
      <c r="M245" s="80"/>
      <c r="N245" s="3"/>
      <c r="O245" s="80"/>
      <c r="P245" s="173">
        <v>235</v>
      </c>
      <c r="Q245" s="165"/>
      <c r="R245" s="174">
        <v>2.4529919863351957E-3</v>
      </c>
      <c r="S245" s="502"/>
      <c r="T245" s="219">
        <f t="shared" si="25"/>
        <v>13.198786157145108</v>
      </c>
      <c r="U245" s="249">
        <f>U244+(T244*R245*'life-tables-test'!$C$66)</f>
        <v>86.801213842854892</v>
      </c>
      <c r="V245" s="516">
        <f t="shared" si="22"/>
        <v>100</v>
      </c>
      <c r="W245" s="153">
        <f>(T245*0)/(1+cDR)^'Markov Model_b (2)'!cycle2</f>
        <v>0</v>
      </c>
      <c r="X245" s="178">
        <f t="shared" si="23"/>
        <v>13.198786157145108</v>
      </c>
      <c r="Y245" s="202">
        <f>(T245*(uPostT))/(1+oDR)^'Markov Model_b (2)'!cycle</f>
        <v>5.5785069851291285</v>
      </c>
      <c r="Z245" s="80"/>
      <c r="AA245" s="3"/>
      <c r="AB245" s="3"/>
      <c r="AC245" s="14">
        <v>233</v>
      </c>
      <c r="AD245" s="14"/>
      <c r="AE245" s="14"/>
      <c r="AF245" s="3"/>
      <c r="AG245" s="3"/>
      <c r="AH245" s="3"/>
      <c r="AI245" s="14"/>
      <c r="AJ245" s="14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</row>
    <row r="246" spans="1:58" ht="14.25" customHeight="1" x14ac:dyDescent="0.2">
      <c r="A246" s="637"/>
      <c r="B246" s="417"/>
      <c r="C246" s="173">
        <v>236</v>
      </c>
      <c r="D246" s="165"/>
      <c r="E246" s="174">
        <v>2.4529919863351957E-3</v>
      </c>
      <c r="F246" s="502"/>
      <c r="G246" s="219">
        <f t="shared" si="26"/>
        <v>13.837863662627683</v>
      </c>
      <c r="H246" s="249">
        <f>H245+(G245*E246*'life-tables-test'!$C$66)</f>
        <v>86.162136337372317</v>
      </c>
      <c r="I246" s="516">
        <f t="shared" si="24"/>
        <v>100</v>
      </c>
      <c r="J246" s="153">
        <f>(G246*0)/(1+cDR)^'Markov Model_b (2)'!cycle</f>
        <v>0</v>
      </c>
      <c r="K246" s="178">
        <f t="shared" si="27"/>
        <v>13.837863662627683</v>
      </c>
      <c r="L246" s="202">
        <f>(G246*(uPostT))/(1+oDR)^'Markov Model_b (2)'!cycle</f>
        <v>5.8340299554748505</v>
      </c>
      <c r="M246" s="80"/>
      <c r="N246" s="3"/>
      <c r="O246" s="80"/>
      <c r="P246" s="173">
        <v>236</v>
      </c>
      <c r="Q246" s="165"/>
      <c r="R246" s="174">
        <v>2.4529919863351957E-3</v>
      </c>
      <c r="S246" s="502"/>
      <c r="T246" s="219">
        <f t="shared" si="25"/>
        <v>13.036903573780961</v>
      </c>
      <c r="U246" s="249">
        <f>U245+(T245*R246*'life-tables-test'!$C$66)</f>
        <v>86.963096426219039</v>
      </c>
      <c r="V246" s="516">
        <f t="shared" si="22"/>
        <v>100</v>
      </c>
      <c r="W246" s="153">
        <f>(T246*0)/(1+cDR)^'Markov Model_b (2)'!cycle2</f>
        <v>0</v>
      </c>
      <c r="X246" s="178">
        <f t="shared" si="23"/>
        <v>13.036903573780961</v>
      </c>
      <c r="Y246" s="202">
        <f>(T246*(uPostT))/(1+oDR)^'Markov Model_b (2)'!cycle</f>
        <v>5.4963459555889722</v>
      </c>
      <c r="Z246" s="80"/>
      <c r="AA246" s="3"/>
      <c r="AB246" s="3"/>
      <c r="AC246" s="14">
        <v>234</v>
      </c>
      <c r="AD246" s="14"/>
      <c r="AE246" s="14"/>
      <c r="AF246" s="3"/>
      <c r="AG246" s="3"/>
      <c r="AH246" s="3"/>
      <c r="AI246" s="14"/>
      <c r="AJ246" s="14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</row>
    <row r="247" spans="1:58" ht="14.25" customHeight="1" x14ac:dyDescent="0.2">
      <c r="A247" s="637"/>
      <c r="B247" s="417"/>
      <c r="C247" s="173">
        <v>237</v>
      </c>
      <c r="D247" s="165"/>
      <c r="E247" s="174">
        <v>2.4529919863351957E-3</v>
      </c>
      <c r="F247" s="502"/>
      <c r="G247" s="219">
        <f t="shared" si="26"/>
        <v>13.668142819265555</v>
      </c>
      <c r="H247" s="249">
        <f>H246+(G246*E247*'life-tables-test'!$C$66)</f>
        <v>86.331857180734445</v>
      </c>
      <c r="I247" s="516">
        <f t="shared" si="24"/>
        <v>100</v>
      </c>
      <c r="J247" s="153">
        <f>(G247*0)/(1+cDR)^'Markov Model_b (2)'!cycle</f>
        <v>0</v>
      </c>
      <c r="K247" s="178">
        <f t="shared" si="27"/>
        <v>13.668142819265555</v>
      </c>
      <c r="L247" s="202">
        <f>(G247*(uPostT))/(1+oDR)^'Markov Model_b (2)'!cycle</f>
        <v>5.7481055479608498</v>
      </c>
      <c r="M247" s="80"/>
      <c r="N247" s="3"/>
      <c r="O247" s="80"/>
      <c r="P247" s="173">
        <v>237</v>
      </c>
      <c r="Q247" s="165"/>
      <c r="R247" s="174">
        <v>2.4529919863351957E-3</v>
      </c>
      <c r="S247" s="502"/>
      <c r="T247" s="219">
        <f t="shared" si="25"/>
        <v>12.877006473815413</v>
      </c>
      <c r="U247" s="249">
        <f>U246+(T246*R247*'life-tables-test'!$C$66)</f>
        <v>87.122993526184587</v>
      </c>
      <c r="V247" s="516">
        <f t="shared" si="22"/>
        <v>100</v>
      </c>
      <c r="W247" s="153">
        <f>(T247*0)/(1+cDR)^'Markov Model_b (2)'!cycle2</f>
        <v>0</v>
      </c>
      <c r="X247" s="178">
        <f t="shared" si="23"/>
        <v>12.877006473815413</v>
      </c>
      <c r="Y247" s="202">
        <f>(T247*(uPostT))/(1+oDR)^'Markov Model_b (2)'!cycle</f>
        <v>5.4153950051601418</v>
      </c>
      <c r="Z247" s="80"/>
      <c r="AA247" s="3"/>
      <c r="AB247" s="3"/>
      <c r="AC247" s="14">
        <v>235</v>
      </c>
      <c r="AD247" s="14"/>
      <c r="AE247" s="14"/>
      <c r="AF247" s="3"/>
      <c r="AG247" s="3"/>
      <c r="AH247" s="3"/>
      <c r="AI247" s="14"/>
      <c r="AJ247" s="14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</row>
    <row r="248" spans="1:58" ht="14.25" customHeight="1" x14ac:dyDescent="0.2">
      <c r="A248" s="637"/>
      <c r="B248" s="417"/>
      <c r="C248" s="173">
        <v>238</v>
      </c>
      <c r="D248" s="165"/>
      <c r="E248" s="174">
        <v>2.4529919863351957E-3</v>
      </c>
      <c r="F248" s="502"/>
      <c r="G248" s="219">
        <f t="shared" si="26"/>
        <v>13.50050359524684</v>
      </c>
      <c r="H248" s="249">
        <f>H247+(G247*E248*'life-tables-test'!$C$66)</f>
        <v>86.49949640475316</v>
      </c>
      <c r="I248" s="516">
        <f t="shared" si="24"/>
        <v>100</v>
      </c>
      <c r="J248" s="153">
        <f>(G248*0)/(1+cDR)^'Markov Model_b (2)'!cycle</f>
        <v>0</v>
      </c>
      <c r="K248" s="178">
        <f t="shared" si="27"/>
        <v>13.50050359524684</v>
      </c>
      <c r="L248" s="202">
        <f>(G248*(uPostT))/(1+oDR)^'Markov Model_b (2)'!cycle</f>
        <v>5.6634466471142835</v>
      </c>
      <c r="M248" s="80"/>
      <c r="N248" s="3"/>
      <c r="O248" s="80"/>
      <c r="P248" s="173">
        <v>238</v>
      </c>
      <c r="Q248" s="165"/>
      <c r="R248" s="174">
        <v>2.4529919863351957E-3</v>
      </c>
      <c r="S248" s="502"/>
      <c r="T248" s="219">
        <f t="shared" si="25"/>
        <v>12.719070505374134</v>
      </c>
      <c r="U248" s="249">
        <f>U247+(T247*R248*'life-tables-test'!$C$66)</f>
        <v>87.280929494625866</v>
      </c>
      <c r="V248" s="516">
        <f t="shared" ref="V248:V311" si="28">SUM(T248:U248)</f>
        <v>100</v>
      </c>
      <c r="W248" s="153">
        <f>(T248*0)/(1+cDR)^'Markov Model_b (2)'!cycle2</f>
        <v>0</v>
      </c>
      <c r="X248" s="178">
        <f t="shared" ref="X248:X311" si="29">T248</f>
        <v>12.719070505374134</v>
      </c>
      <c r="Y248" s="202">
        <f>(T248*(uPostT))/(1+oDR)^'Markov Model_b (2)'!cycle</f>
        <v>5.3356363116285861</v>
      </c>
      <c r="Z248" s="80"/>
      <c r="AA248" s="3"/>
      <c r="AB248" s="3"/>
      <c r="AC248" s="14">
        <v>236</v>
      </c>
      <c r="AD248" s="14"/>
      <c r="AE248" s="14"/>
      <c r="AF248" s="3"/>
      <c r="AG248" s="3"/>
      <c r="AH248" s="3"/>
      <c r="AI248" s="14"/>
      <c r="AJ248" s="14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</row>
    <row r="249" spans="1:58" ht="14.25" customHeight="1" x14ac:dyDescent="0.2">
      <c r="A249" s="637"/>
      <c r="B249" s="417"/>
      <c r="C249" s="173">
        <v>239</v>
      </c>
      <c r="D249" s="165"/>
      <c r="E249" s="174">
        <v>2.4529919863351957E-3</v>
      </c>
      <c r="F249" s="502"/>
      <c r="G249" s="219">
        <f t="shared" si="26"/>
        <v>13.33492045959369</v>
      </c>
      <c r="H249" s="249">
        <f>H248+(G248*E249*'life-tables-test'!$C$66)</f>
        <v>86.66507954040631</v>
      </c>
      <c r="I249" s="516">
        <f t="shared" ref="I249:I312" si="30">SUM(G249:H249)</f>
        <v>100</v>
      </c>
      <c r="J249" s="153">
        <f>(G249*0)/(1+cDR)^'Markov Model_b (2)'!cycle</f>
        <v>0</v>
      </c>
      <c r="K249" s="178">
        <f t="shared" si="27"/>
        <v>13.33492045959369</v>
      </c>
      <c r="L249" s="202">
        <f>(G249*(uPostT))/(1+oDR)^'Markov Model_b (2)'!cycle</f>
        <v>5.5800346143763004</v>
      </c>
      <c r="M249" s="80"/>
      <c r="N249" s="3"/>
      <c r="O249" s="80"/>
      <c r="P249" s="173">
        <v>239</v>
      </c>
      <c r="Q249" s="165"/>
      <c r="R249" s="174">
        <v>2.4529919863351957E-3</v>
      </c>
      <c r="S249" s="502"/>
      <c r="T249" s="219">
        <f t="shared" ref="T249:T312" si="31">$T$10-U249</f>
        <v>12.563071615257556</v>
      </c>
      <c r="U249" s="249">
        <f>U248+(T248*R249*'life-tables-test'!$C$66)</f>
        <v>87.436928384742444</v>
      </c>
      <c r="V249" s="516">
        <f t="shared" si="28"/>
        <v>100</v>
      </c>
      <c r="W249" s="153">
        <f>(T249*0)/(1+cDR)^'Markov Model_b (2)'!cycle2</f>
        <v>0</v>
      </c>
      <c r="X249" s="178">
        <f t="shared" si="29"/>
        <v>12.563071615257556</v>
      </c>
      <c r="Y249" s="202">
        <f>(T249*(uPostT))/(1+oDR)^'Markov Model_b (2)'!cycle</f>
        <v>5.257052315268294</v>
      </c>
      <c r="Z249" s="80"/>
      <c r="AA249" s="3"/>
      <c r="AB249" s="3"/>
      <c r="AC249" s="14">
        <v>237</v>
      </c>
      <c r="AD249" s="14"/>
      <c r="AE249" s="14"/>
      <c r="AF249" s="3"/>
      <c r="AG249" s="3"/>
      <c r="AH249" s="3"/>
      <c r="AI249" s="14"/>
      <c r="AJ249" s="14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</row>
    <row r="250" spans="1:58" ht="14.25" customHeight="1" x14ac:dyDescent="0.2">
      <c r="A250" s="637"/>
      <c r="B250" s="417"/>
      <c r="C250" s="173">
        <v>240</v>
      </c>
      <c r="D250" s="165"/>
      <c r="E250" s="174">
        <v>2.4529919863351957E-3</v>
      </c>
      <c r="F250" s="502"/>
      <c r="G250" s="219">
        <f t="shared" si="26"/>
        <v>13.171368194464691</v>
      </c>
      <c r="H250" s="249">
        <f>H249+(G249*E250*'life-tables-test'!$C$66)</f>
        <v>86.828631805535309</v>
      </c>
      <c r="I250" s="516">
        <f t="shared" si="30"/>
        <v>100</v>
      </c>
      <c r="J250" s="153">
        <f>(G250*0)/(1+cDR)^'Markov Model_b (2)'!cycle</f>
        <v>0</v>
      </c>
      <c r="K250" s="178">
        <f t="shared" si="27"/>
        <v>13.171368194464691</v>
      </c>
      <c r="L250" s="202">
        <f>(G250*(uPostT))/(1+oDR)^'Markov Model_b (2)'!cycle</f>
        <v>5.4978510856993621</v>
      </c>
      <c r="M250" s="80"/>
      <c r="N250" s="3"/>
      <c r="O250" s="80"/>
      <c r="P250" s="173">
        <v>240</v>
      </c>
      <c r="Q250" s="165"/>
      <c r="R250" s="174">
        <v>2.4529919863351957E-3</v>
      </c>
      <c r="S250" s="502"/>
      <c r="T250" s="219">
        <f t="shared" si="31"/>
        <v>12.408986045277643</v>
      </c>
      <c r="U250" s="249">
        <f>U249+(T249*R250*'life-tables-test'!$C$66)</f>
        <v>87.591013954722357</v>
      </c>
      <c r="V250" s="516">
        <f t="shared" si="28"/>
        <v>100</v>
      </c>
      <c r="W250" s="153">
        <f>(T250*0)/(1+cDR)^'Markov Model_b (2)'!cycle2</f>
        <v>0</v>
      </c>
      <c r="X250" s="178">
        <f t="shared" si="29"/>
        <v>12.408986045277643</v>
      </c>
      <c r="Y250" s="202">
        <f>(T250*(uPostT))/(1+oDR)^'Markov Model_b (2)'!cycle</f>
        <v>5.1796257149753631</v>
      </c>
      <c r="Z250" s="80"/>
      <c r="AA250" s="3"/>
      <c r="AB250" s="3"/>
      <c r="AC250" s="14">
        <v>238</v>
      </c>
      <c r="AD250" s="14"/>
      <c r="AE250" s="14"/>
      <c r="AF250" s="3"/>
      <c r="AG250" s="3"/>
      <c r="AH250" s="3"/>
      <c r="AI250" s="14"/>
      <c r="AJ250" s="14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</row>
    <row r="251" spans="1:58" ht="14.25" customHeight="1" x14ac:dyDescent="0.2">
      <c r="A251" s="519"/>
      <c r="B251" s="417"/>
      <c r="C251" s="173">
        <v>241</v>
      </c>
      <c r="D251" s="504"/>
      <c r="E251" s="174">
        <v>2.4529919863351957E-3</v>
      </c>
      <c r="F251" s="505"/>
      <c r="G251" s="219">
        <f t="shared" si="26"/>
        <v>13.009821891314232</v>
      </c>
      <c r="H251" s="249">
        <f>H250+(G250*E251*'life-tables-test'!$C$66)</f>
        <v>86.990178108685768</v>
      </c>
      <c r="I251" s="516">
        <f t="shared" si="30"/>
        <v>100</v>
      </c>
      <c r="J251" s="180">
        <f>(G251*0)/(1+cDR)^'Markov Model_b (2)'!cycle</f>
        <v>0</v>
      </c>
      <c r="K251" s="176">
        <f t="shared" si="27"/>
        <v>13.009821891314232</v>
      </c>
      <c r="L251" s="202">
        <f>(G251*(uPostT))/(1+oDR)^'Markov Model_b (2)'!cycle</f>
        <v>5.4168779675041803</v>
      </c>
      <c r="M251" s="80"/>
      <c r="N251" s="3"/>
      <c r="O251" s="80"/>
      <c r="P251" s="173">
        <v>241</v>
      </c>
      <c r="Q251" s="504"/>
      <c r="R251" s="174">
        <v>2.4529919863351957E-3</v>
      </c>
      <c r="S251" s="505"/>
      <c r="T251" s="219">
        <f t="shared" si="31"/>
        <v>12.256790328639582</v>
      </c>
      <c r="U251" s="249">
        <f>U250+(T250*R251*'life-tables-test'!$C$66)</f>
        <v>87.743209671360418</v>
      </c>
      <c r="V251" s="516">
        <f t="shared" si="28"/>
        <v>100</v>
      </c>
      <c r="W251" s="180">
        <f>(T251*0)/(1+cDR)^'Markov Model_b (2)'!cycle2</f>
        <v>0</v>
      </c>
      <c r="X251" s="176">
        <f t="shared" si="29"/>
        <v>12.256790328639582</v>
      </c>
      <c r="Y251" s="202">
        <f>(T251*(uPostT))/(1+oDR)^'Markov Model_b (2)'!cycle</f>
        <v>5.1033394644589629</v>
      </c>
      <c r="Z251" s="80"/>
      <c r="AA251" s="3"/>
      <c r="AB251" s="3"/>
      <c r="AC251" s="14">
        <v>239</v>
      </c>
      <c r="AD251" s="14"/>
      <c r="AE251" s="14"/>
      <c r="AF251" s="3"/>
      <c r="AG251" s="3"/>
      <c r="AH251" s="3"/>
      <c r="AI251" s="14"/>
      <c r="AJ251" s="14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</row>
    <row r="252" spans="1:58" ht="14.25" customHeight="1" x14ac:dyDescent="0.25">
      <c r="A252" s="637" t="s">
        <v>562</v>
      </c>
      <c r="B252" s="417"/>
      <c r="C252" s="506">
        <v>242</v>
      </c>
      <c r="D252" s="506"/>
      <c r="E252" s="507">
        <v>2.4529919863351957E-3</v>
      </c>
      <c r="F252" s="508"/>
      <c r="G252" s="509">
        <f t="shared" si="26"/>
        <v>12.850256947099027</v>
      </c>
      <c r="H252" s="510">
        <f>H251+(G251*E252*'life-tables-test'!$C$66)</f>
        <v>87.149743052900973</v>
      </c>
      <c r="I252" s="518">
        <f t="shared" si="30"/>
        <v>100</v>
      </c>
      <c r="J252" s="511">
        <f>(G252*0)/(1+cDR)^'Markov Model_b (2)'!cycle</f>
        <v>0</v>
      </c>
      <c r="K252" s="512">
        <f t="shared" si="27"/>
        <v>12.850256947099027</v>
      </c>
      <c r="L252" s="513">
        <f>(G252*(uPostT))/(1+oDR)^'Markov Model_b (2)'!cycle</f>
        <v>5.3370974326962228</v>
      </c>
      <c r="M252" s="80"/>
      <c r="N252" s="3"/>
      <c r="O252" s="80"/>
      <c r="P252" s="506">
        <v>242</v>
      </c>
      <c r="Q252" s="506"/>
      <c r="R252" s="507">
        <v>2.4529919863351957E-3</v>
      </c>
      <c r="S252" s="508"/>
      <c r="T252" s="509">
        <f t="shared" si="31"/>
        <v>12.10646128636786</v>
      </c>
      <c r="U252" s="510">
        <f>U251+(T251*R252*'life-tables-test'!$C$66)</f>
        <v>87.89353871363214</v>
      </c>
      <c r="V252" s="518">
        <f t="shared" si="28"/>
        <v>100</v>
      </c>
      <c r="W252" s="511">
        <f>(T252*0)/(1+cDR)^'Markov Model_b (2)'!cycle2</f>
        <v>0</v>
      </c>
      <c r="X252" s="512">
        <f t="shared" si="29"/>
        <v>12.10646128636786</v>
      </c>
      <c r="Y252" s="513">
        <f>(T252*(uPostT))/(1+oDR)^'Markov Model_b (2)'!cycle</f>
        <v>5.0281767684884091</v>
      </c>
      <c r="Z252" s="80"/>
      <c r="AA252" s="3"/>
      <c r="AB252" s="3"/>
      <c r="AC252" s="14">
        <v>240</v>
      </c>
      <c r="AD252" s="14"/>
      <c r="AE252" s="14"/>
      <c r="AF252" s="3"/>
      <c r="AG252" s="3"/>
      <c r="AH252" s="3"/>
      <c r="AI252" s="14"/>
      <c r="AJ252" s="14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</row>
    <row r="253" spans="1:58" ht="14.25" customHeight="1" x14ac:dyDescent="0.2">
      <c r="A253" s="637"/>
      <c r="B253" s="417"/>
      <c r="C253" s="173">
        <v>243</v>
      </c>
      <c r="D253" s="165"/>
      <c r="E253" s="174">
        <v>2.7066823756384251E-3</v>
      </c>
      <c r="F253" s="502"/>
      <c r="G253" s="219">
        <f t="shared" si="26"/>
        <v>12.676349127093332</v>
      </c>
      <c r="H253" s="249">
        <f>H252+(G252*E253*'life-tables-test'!$C$66)</f>
        <v>87.323650872906668</v>
      </c>
      <c r="I253" s="516">
        <f t="shared" si="30"/>
        <v>100</v>
      </c>
      <c r="J253" s="153">
        <f>(G253*0)/(1+cDR)^'Markov Model_b (2)'!cycle</f>
        <v>0</v>
      </c>
      <c r="K253" s="178">
        <f t="shared" si="27"/>
        <v>12.676349127093332</v>
      </c>
      <c r="L253" s="202">
        <f>(G253*(uPostT))/(1+oDR)^'Markov Model_b (2)'!cycle</f>
        <v>5.2517389475366612</v>
      </c>
      <c r="M253" s="80"/>
      <c r="N253" s="3"/>
      <c r="O253" s="80"/>
      <c r="P253" s="173">
        <v>243</v>
      </c>
      <c r="Q253" s="165"/>
      <c r="R253" s="174">
        <v>2.7066823756384251E-3</v>
      </c>
      <c r="S253" s="502"/>
      <c r="T253" s="219">
        <f t="shared" si="31"/>
        <v>11.942619559392057</v>
      </c>
      <c r="U253" s="249">
        <f>U252+(T252*R253*'life-tables-test'!$C$66)</f>
        <v>88.057380440607943</v>
      </c>
      <c r="V253" s="516">
        <f t="shared" si="28"/>
        <v>100</v>
      </c>
      <c r="W253" s="153">
        <f>(T253*0)/(1+cDR)^'Markov Model_b (2)'!cycle2</f>
        <v>0</v>
      </c>
      <c r="X253" s="178">
        <f t="shared" si="29"/>
        <v>11.942619559392057</v>
      </c>
      <c r="Y253" s="202">
        <f>(T253*(uPostT))/(1+oDR)^'Markov Model_b (2)'!cycle</f>
        <v>4.9477589838245386</v>
      </c>
      <c r="Z253" s="80"/>
      <c r="AA253" s="3"/>
      <c r="AB253" s="3"/>
      <c r="AC253" s="14">
        <v>241</v>
      </c>
      <c r="AD253" s="14"/>
      <c r="AE253" s="14"/>
      <c r="AF253" s="3"/>
      <c r="AG253" s="3"/>
      <c r="AH253" s="3"/>
      <c r="AI253" s="14"/>
      <c r="AJ253" s="14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</row>
    <row r="254" spans="1:58" ht="14.25" customHeight="1" x14ac:dyDescent="0.2">
      <c r="A254" s="637"/>
      <c r="B254" s="417"/>
      <c r="C254" s="173">
        <v>244</v>
      </c>
      <c r="D254" s="165"/>
      <c r="E254" s="174">
        <v>2.7066823756384251E-3</v>
      </c>
      <c r="F254" s="502"/>
      <c r="G254" s="219">
        <f t="shared" si="26"/>
        <v>12.50479487324462</v>
      </c>
      <c r="H254" s="249">
        <f>H253+(G253*E254*'life-tables-test'!$C$66)</f>
        <v>87.49520512675538</v>
      </c>
      <c r="I254" s="516">
        <f t="shared" si="30"/>
        <v>100</v>
      </c>
      <c r="J254" s="153">
        <f>(G254*0)/(1+cDR)^'Markov Model_b (2)'!cycle</f>
        <v>0</v>
      </c>
      <c r="K254" s="178">
        <f t="shared" si="27"/>
        <v>12.50479487324462</v>
      </c>
      <c r="L254" s="202">
        <f>(G254*(uPostT))/(1+oDR)^'Markov Model_b (2)'!cycle</f>
        <v>5.1677456371899311</v>
      </c>
      <c r="M254" s="80"/>
      <c r="N254" s="3"/>
      <c r="O254" s="80"/>
      <c r="P254" s="173">
        <v>244</v>
      </c>
      <c r="Q254" s="165"/>
      <c r="R254" s="174">
        <v>2.7066823756384251E-3</v>
      </c>
      <c r="S254" s="502"/>
      <c r="T254" s="219">
        <f t="shared" si="31"/>
        <v>11.780995169990248</v>
      </c>
      <c r="U254" s="249">
        <f>U253+(T253*R254*'life-tables-test'!$C$66)</f>
        <v>88.219004830009752</v>
      </c>
      <c r="V254" s="516">
        <f t="shared" si="28"/>
        <v>100</v>
      </c>
      <c r="W254" s="153">
        <f>(T254*0)/(1+cDR)^'Markov Model_b (2)'!cycle2</f>
        <v>0</v>
      </c>
      <c r="X254" s="178">
        <f t="shared" si="29"/>
        <v>11.780995169990248</v>
      </c>
      <c r="Y254" s="202">
        <f>(T254*(uPostT))/(1+oDR)^'Markov Model_b (2)'!cycle</f>
        <v>4.8686273552343291</v>
      </c>
      <c r="Z254" s="80"/>
      <c r="AA254" s="3"/>
      <c r="AB254" s="3"/>
      <c r="AC254" s="14">
        <v>242</v>
      </c>
      <c r="AD254" s="14"/>
      <c r="AE254" s="14"/>
      <c r="AF254" s="3"/>
      <c r="AG254" s="3"/>
      <c r="AH254" s="3"/>
      <c r="AI254" s="14"/>
      <c r="AJ254" s="14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</row>
    <row r="255" spans="1:58" ht="14.25" customHeight="1" x14ac:dyDescent="0.2">
      <c r="A255" s="637"/>
      <c r="B255" s="417"/>
      <c r="C255" s="173">
        <v>245</v>
      </c>
      <c r="D255" s="165"/>
      <c r="E255" s="174">
        <v>2.7066823756384251E-3</v>
      </c>
      <c r="F255" s="502"/>
      <c r="G255" s="219">
        <f t="shared" si="26"/>
        <v>12.3355623337727</v>
      </c>
      <c r="H255" s="249">
        <f>H254+(G254*E255*'life-tables-test'!$C$66)</f>
        <v>87.6644376662273</v>
      </c>
      <c r="I255" s="516">
        <f t="shared" si="30"/>
        <v>100</v>
      </c>
      <c r="J255" s="153">
        <f>(G255*0)/(1+cDR)^'Markov Model_b (2)'!cycle</f>
        <v>0</v>
      </c>
      <c r="K255" s="178">
        <f t="shared" si="27"/>
        <v>12.3355623337727</v>
      </c>
      <c r="L255" s="202">
        <f>(G255*(uPostT))/(1+oDR)^'Markov Model_b (2)'!cycle</f>
        <v>5.0850956678305339</v>
      </c>
      <c r="M255" s="80"/>
      <c r="N255" s="3"/>
      <c r="O255" s="80"/>
      <c r="P255" s="173">
        <v>245</v>
      </c>
      <c r="Q255" s="165"/>
      <c r="R255" s="174">
        <v>2.7066823756384251E-3</v>
      </c>
      <c r="S255" s="502"/>
      <c r="T255" s="219">
        <f t="shared" si="31"/>
        <v>11.621558110019777</v>
      </c>
      <c r="U255" s="249">
        <f>U254+(T254*R255*'life-tables-test'!$C$66)</f>
        <v>88.378441889980223</v>
      </c>
      <c r="V255" s="516">
        <f t="shared" si="28"/>
        <v>100</v>
      </c>
      <c r="W255" s="153">
        <f>(T255*0)/(1+cDR)^'Markov Model_b (2)'!cycle2</f>
        <v>0</v>
      </c>
      <c r="X255" s="178">
        <f t="shared" si="29"/>
        <v>11.621558110019777</v>
      </c>
      <c r="Y255" s="202">
        <f>(T255*(uPostT))/(1+oDR)^'Markov Model_b (2)'!cycle</f>
        <v>4.790761312672827</v>
      </c>
      <c r="Z255" s="80"/>
      <c r="AA255" s="3"/>
      <c r="AB255" s="3"/>
      <c r="AC255" s="14">
        <v>243</v>
      </c>
      <c r="AD255" s="14"/>
      <c r="AE255" s="14"/>
      <c r="AF255" s="3"/>
      <c r="AG255" s="3"/>
      <c r="AH255" s="3"/>
      <c r="AI255" s="14"/>
      <c r="AJ255" s="14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</row>
    <row r="256" spans="1:58" ht="14.25" customHeight="1" x14ac:dyDescent="0.2">
      <c r="A256" s="637"/>
      <c r="B256" s="417"/>
      <c r="C256" s="173">
        <v>246</v>
      </c>
      <c r="D256" s="165"/>
      <c r="E256" s="174">
        <v>2.7066823756384251E-3</v>
      </c>
      <c r="F256" s="502"/>
      <c r="G256" s="219">
        <f t="shared" si="26"/>
        <v>12.168620087960647</v>
      </c>
      <c r="H256" s="249">
        <f>H255+(G255*E256*'life-tables-test'!$C$66)</f>
        <v>87.831379912039353</v>
      </c>
      <c r="I256" s="516">
        <f t="shared" si="30"/>
        <v>100</v>
      </c>
      <c r="J256" s="153">
        <f>(G256*0)/(1+cDR)^'Markov Model_b (2)'!cycle</f>
        <v>0</v>
      </c>
      <c r="K256" s="178">
        <f t="shared" si="27"/>
        <v>12.168620087960647</v>
      </c>
      <c r="L256" s="202">
        <f>(G256*(uPostT))/(1+oDR)^'Markov Model_b (2)'!cycle</f>
        <v>5.0037675548307012</v>
      </c>
      <c r="M256" s="80"/>
      <c r="N256" s="3"/>
      <c r="O256" s="80"/>
      <c r="P256" s="173">
        <v>246</v>
      </c>
      <c r="Q256" s="165"/>
      <c r="R256" s="174">
        <v>2.7066823756384251E-3</v>
      </c>
      <c r="S256" s="502"/>
      <c r="T256" s="219">
        <f t="shared" si="31"/>
        <v>11.464278777450531</v>
      </c>
      <c r="U256" s="249">
        <f>U255+(T255*R256*'life-tables-test'!$C$66)</f>
        <v>88.535721222549469</v>
      </c>
      <c r="V256" s="516">
        <f t="shared" si="28"/>
        <v>100</v>
      </c>
      <c r="W256" s="153">
        <f>(T256*0)/(1+cDR)^'Markov Model_b (2)'!cycle2</f>
        <v>0</v>
      </c>
      <c r="X256" s="178">
        <f t="shared" si="29"/>
        <v>11.464278777450531</v>
      </c>
      <c r="Y256" s="202">
        <f>(T256*(uPostT))/(1+oDR)^'Markov Model_b (2)'!cycle</f>
        <v>4.7141406150806153</v>
      </c>
      <c r="Z256" s="80"/>
      <c r="AA256" s="3"/>
      <c r="AB256" s="3"/>
      <c r="AC256" s="14">
        <v>244</v>
      </c>
      <c r="AD256" s="14"/>
      <c r="AE256" s="14"/>
      <c r="AF256" s="3"/>
      <c r="AG256" s="3"/>
      <c r="AH256" s="3"/>
      <c r="AI256" s="14"/>
      <c r="AJ256" s="14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</row>
    <row r="257" spans="1:58" ht="14.25" customHeight="1" x14ac:dyDescent="0.2">
      <c r="A257" s="637"/>
      <c r="B257" s="417"/>
      <c r="C257" s="173">
        <v>247</v>
      </c>
      <c r="D257" s="165"/>
      <c r="E257" s="174">
        <v>2.7066823756384251E-3</v>
      </c>
      <c r="F257" s="502"/>
      <c r="G257" s="219">
        <f t="shared" si="26"/>
        <v>12.003937140321028</v>
      </c>
      <c r="H257" s="249">
        <f>H256+(G256*E257*'life-tables-test'!$C$66)</f>
        <v>87.996062859678972</v>
      </c>
      <c r="I257" s="516">
        <f t="shared" si="30"/>
        <v>100</v>
      </c>
      <c r="J257" s="153">
        <f>(G257*0)/(1+cDR)^'Markov Model_b (2)'!cycle</f>
        <v>0</v>
      </c>
      <c r="K257" s="178">
        <f t="shared" si="27"/>
        <v>12.003937140321028</v>
      </c>
      <c r="L257" s="202">
        <f>(G257*(uPostT))/(1+oDR)^'Markov Model_b (2)'!cycle</f>
        <v>4.9237401571755024</v>
      </c>
      <c r="M257" s="80"/>
      <c r="N257" s="3"/>
      <c r="O257" s="80"/>
      <c r="P257" s="173">
        <v>247</v>
      </c>
      <c r="Q257" s="165"/>
      <c r="R257" s="174">
        <v>2.7066823756384251E-3</v>
      </c>
      <c r="S257" s="502"/>
      <c r="T257" s="219">
        <f t="shared" si="31"/>
        <v>11.309127970868872</v>
      </c>
      <c r="U257" s="249">
        <f>U256+(T256*R257*'life-tables-test'!$C$66)</f>
        <v>88.690872029131128</v>
      </c>
      <c r="V257" s="516">
        <f t="shared" si="28"/>
        <v>100</v>
      </c>
      <c r="W257" s="153">
        <f>(T257*0)/(1+cDR)^'Markov Model_b (2)'!cycle2</f>
        <v>0</v>
      </c>
      <c r="X257" s="178">
        <f t="shared" si="29"/>
        <v>11.309127970868872</v>
      </c>
      <c r="Y257" s="202">
        <f>(T257*(uPostT))/(1+oDR)^'Markov Model_b (2)'!cycle</f>
        <v>4.6387453451222083</v>
      </c>
      <c r="Z257" s="80"/>
      <c r="AA257" s="3"/>
      <c r="AB257" s="3"/>
      <c r="AC257" s="14">
        <v>245</v>
      </c>
      <c r="AD257" s="14"/>
      <c r="AE257" s="14"/>
      <c r="AF257" s="3"/>
      <c r="AG257" s="3"/>
      <c r="AH257" s="3"/>
      <c r="AI257" s="14"/>
      <c r="AJ257" s="14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</row>
    <row r="258" spans="1:58" ht="14.25" customHeight="1" x14ac:dyDescent="0.2">
      <c r="A258" s="637"/>
      <c r="B258" s="417"/>
      <c r="C258" s="173">
        <v>248</v>
      </c>
      <c r="D258" s="165"/>
      <c r="E258" s="174">
        <v>2.7066823756384251E-3</v>
      </c>
      <c r="F258" s="502"/>
      <c r="G258" s="219">
        <f t="shared" si="26"/>
        <v>11.841482914841137</v>
      </c>
      <c r="H258" s="249">
        <f>H257+(G257*E258*'life-tables-test'!$C$66)</f>
        <v>88.158517085158863</v>
      </c>
      <c r="I258" s="516">
        <f t="shared" si="30"/>
        <v>100</v>
      </c>
      <c r="J258" s="153">
        <f>(G258*0)/(1+cDR)^'Markov Model_b (2)'!cycle</f>
        <v>0</v>
      </c>
      <c r="K258" s="178">
        <f t="shared" si="27"/>
        <v>11.841482914841137</v>
      </c>
      <c r="L258" s="202">
        <f>(G258*(uPostT))/(1+oDR)^'Markov Model_b (2)'!cycle</f>
        <v>4.8449926719673346</v>
      </c>
      <c r="M258" s="80"/>
      <c r="N258" s="3"/>
      <c r="O258" s="80"/>
      <c r="P258" s="173">
        <v>248</v>
      </c>
      <c r="Q258" s="165"/>
      <c r="R258" s="174">
        <v>2.7066823756384251E-3</v>
      </c>
      <c r="S258" s="502"/>
      <c r="T258" s="219">
        <f t="shared" si="31"/>
        <v>11.156076884055921</v>
      </c>
      <c r="U258" s="249">
        <f>U257+(T257*R258*'life-tables-test'!$C$66)</f>
        <v>88.843923115944079</v>
      </c>
      <c r="V258" s="516">
        <f t="shared" si="28"/>
        <v>100</v>
      </c>
      <c r="W258" s="153">
        <f>(T258*0)/(1+cDR)^'Markov Model_b (2)'!cycle2</f>
        <v>0</v>
      </c>
      <c r="X258" s="178">
        <f t="shared" si="29"/>
        <v>11.156076884055921</v>
      </c>
      <c r="Y258" s="202">
        <f>(T258*(uPostT))/(1+oDR)^'Markov Model_b (2)'!cycle</f>
        <v>4.5645559040086034</v>
      </c>
      <c r="Z258" s="80"/>
      <c r="AA258" s="3"/>
      <c r="AB258" s="3"/>
      <c r="AC258" s="14">
        <v>246</v>
      </c>
      <c r="AD258" s="14"/>
      <c r="AE258" s="14"/>
      <c r="AF258" s="3"/>
      <c r="AG258" s="3"/>
      <c r="AH258" s="3"/>
      <c r="AI258" s="14"/>
      <c r="AJ258" s="14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</row>
    <row r="259" spans="1:58" ht="14.25" customHeight="1" x14ac:dyDescent="0.2">
      <c r="A259" s="637"/>
      <c r="B259" s="417"/>
      <c r="C259" s="173">
        <v>249</v>
      </c>
      <c r="D259" s="165"/>
      <c r="E259" s="174">
        <v>2.7066823756384251E-3</v>
      </c>
      <c r="F259" s="502"/>
      <c r="G259" s="219">
        <f t="shared" si="26"/>
        <v>11.681227249306019</v>
      </c>
      <c r="H259" s="249">
        <f>H258+(G258*E259*'life-tables-test'!$C$66)</f>
        <v>88.318772750693981</v>
      </c>
      <c r="I259" s="516">
        <f t="shared" si="30"/>
        <v>100</v>
      </c>
      <c r="J259" s="153">
        <f>(G259*0)/(1+cDR)^'Markov Model_b (2)'!cycle</f>
        <v>0</v>
      </c>
      <c r="K259" s="178">
        <f t="shared" si="27"/>
        <v>11.681227249306019</v>
      </c>
      <c r="L259" s="202">
        <f>(G259*(uPostT))/(1+oDR)^'Markov Model_b (2)'!cycle</f>
        <v>4.7675046290182328</v>
      </c>
      <c r="M259" s="80"/>
      <c r="N259" s="3"/>
      <c r="O259" s="80"/>
      <c r="P259" s="173">
        <v>249</v>
      </c>
      <c r="Q259" s="165"/>
      <c r="R259" s="174">
        <v>2.7066823756384251E-3</v>
      </c>
      <c r="S259" s="502"/>
      <c r="T259" s="219">
        <f t="shared" si="31"/>
        <v>11.005097100639219</v>
      </c>
      <c r="U259" s="249">
        <f>U258+(T258*R259*'life-tables-test'!$C$66)</f>
        <v>88.994902899360781</v>
      </c>
      <c r="V259" s="516">
        <f t="shared" si="28"/>
        <v>100</v>
      </c>
      <c r="W259" s="153">
        <f>(T259*0)/(1+cDR)^'Markov Model_b (2)'!cycle2</f>
        <v>0</v>
      </c>
      <c r="X259" s="178">
        <f t="shared" si="29"/>
        <v>11.005097100639219</v>
      </c>
      <c r="Y259" s="202">
        <f>(T259*(uPostT))/(1+oDR)^'Markov Model_b (2)'!cycle</f>
        <v>4.4915530064026159</v>
      </c>
      <c r="Z259" s="80"/>
      <c r="AA259" s="3"/>
      <c r="AB259" s="3"/>
      <c r="AC259" s="14">
        <v>247</v>
      </c>
      <c r="AD259" s="14"/>
      <c r="AE259" s="14"/>
      <c r="AF259" s="3"/>
      <c r="AG259" s="3"/>
      <c r="AH259" s="3"/>
      <c r="AI259" s="14"/>
      <c r="AJ259" s="14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</row>
    <row r="260" spans="1:58" ht="14.25" customHeight="1" x14ac:dyDescent="0.25">
      <c r="A260" s="637"/>
      <c r="B260" s="417"/>
      <c r="C260" s="173">
        <v>250</v>
      </c>
      <c r="D260" s="165"/>
      <c r="E260" s="174">
        <v>2.7066823756384251E-3</v>
      </c>
      <c r="F260" s="502"/>
      <c r="G260" s="219">
        <f t="shared" si="26"/>
        <v>11.523140389698398</v>
      </c>
      <c r="H260" s="249">
        <f>H259+(G259*E260*'life-tables-test'!$C$66)</f>
        <v>88.476859610301602</v>
      </c>
      <c r="I260" s="516">
        <f t="shared" si="30"/>
        <v>100</v>
      </c>
      <c r="J260" s="153">
        <f>(G260*0)/(1+cDR)^'Markov Model_b (2)'!cycle</f>
        <v>0</v>
      </c>
      <c r="K260" s="178">
        <f t="shared" si="27"/>
        <v>11.523140389698398</v>
      </c>
      <c r="L260" s="202">
        <f>(G260*(uPostT))/(1+oDR)^'Markov Model_b (2)'!cycle</f>
        <v>4.6912558855287187</v>
      </c>
      <c r="M260" s="80"/>
      <c r="N260" s="3"/>
      <c r="O260" s="80"/>
      <c r="P260" s="173">
        <v>250</v>
      </c>
      <c r="Q260" s="165"/>
      <c r="R260" s="174">
        <v>2.7066823756384251E-3</v>
      </c>
      <c r="S260" s="502"/>
      <c r="T260" s="219">
        <f t="shared" si="31"/>
        <v>10.856160588816763</v>
      </c>
      <c r="U260" s="249">
        <f>U259+(T259*R260*'life-tables-test'!$C$66)</f>
        <v>89.143839411183237</v>
      </c>
      <c r="V260" s="516">
        <f t="shared" si="28"/>
        <v>100</v>
      </c>
      <c r="W260" s="153">
        <f>(T260*0)/(1+cDR)^'Markov Model_b (2)'!cycle2</f>
        <v>0</v>
      </c>
      <c r="X260" s="178">
        <f t="shared" si="29"/>
        <v>10.856160588816763</v>
      </c>
      <c r="Y260" s="202">
        <f>(T260*(uPostT))/(1+oDR)^'Markov Model_b (2)'!cycle</f>
        <v>4.4197176754057201</v>
      </c>
      <c r="Z260" s="80"/>
      <c r="AA260" s="3"/>
      <c r="AB260" s="3"/>
      <c r="AC260" s="14">
        <v>248</v>
      </c>
      <c r="AD260" s="14"/>
      <c r="AE260" s="14"/>
      <c r="AF260" s="3"/>
      <c r="AG260" s="3"/>
      <c r="AH260" s="3"/>
      <c r="AI260" s="14"/>
      <c r="AJ260" s="14"/>
      <c r="AK260" s="3"/>
      <c r="AL260" s="3"/>
      <c r="AM260" s="3"/>
      <c r="AN260" s="3"/>
      <c r="AO260" s="3"/>
      <c r="AP260" s="3"/>
      <c r="AQ260" s="3"/>
      <c r="AR260" s="3"/>
      <c r="AS260" s="3"/>
      <c r="AT260" s="4"/>
      <c r="AU260" s="4"/>
      <c r="AV260" s="402"/>
      <c r="AW260" s="402"/>
      <c r="AX260" s="402"/>
      <c r="AY260" s="402"/>
      <c r="AZ260" s="402"/>
      <c r="BA260" s="402"/>
      <c r="BB260" s="402"/>
      <c r="BC260" s="402"/>
      <c r="BD260" s="402"/>
      <c r="BE260" s="402"/>
      <c r="BF260" s="402"/>
    </row>
    <row r="261" spans="1:58" ht="14.25" customHeight="1" x14ac:dyDescent="0.25">
      <c r="A261" s="637"/>
      <c r="B261" s="417"/>
      <c r="C261" s="173">
        <v>251</v>
      </c>
      <c r="D261" s="165"/>
      <c r="E261" s="174">
        <v>2.7066823756384251E-3</v>
      </c>
      <c r="F261" s="502"/>
      <c r="G261" s="219">
        <f t="shared" si="26"/>
        <v>11.367192984674375</v>
      </c>
      <c r="H261" s="249">
        <f>H260+(G260*E261*'life-tables-test'!$C$66)</f>
        <v>88.632807015325625</v>
      </c>
      <c r="I261" s="516">
        <f t="shared" si="30"/>
        <v>100</v>
      </c>
      <c r="J261" s="153">
        <f>(G261*0)/(1+cDR)^'Markov Model_b (2)'!cycle</f>
        <v>0</v>
      </c>
      <c r="K261" s="178">
        <f t="shared" si="27"/>
        <v>11.367192984674375</v>
      </c>
      <c r="L261" s="202">
        <f>(G261*(uPostT))/(1+oDR)^'Markov Model_b (2)'!cycle</f>
        <v>4.6162266208517346</v>
      </c>
      <c r="M261" s="80"/>
      <c r="N261" s="3"/>
      <c r="O261" s="80"/>
      <c r="P261" s="173">
        <v>251</v>
      </c>
      <c r="Q261" s="165"/>
      <c r="R261" s="174">
        <v>2.7066823756384251E-3</v>
      </c>
      <c r="S261" s="502"/>
      <c r="T261" s="219">
        <f t="shared" si="31"/>
        <v>10.709239696152508</v>
      </c>
      <c r="U261" s="249">
        <f>U260+(T260*R261*'life-tables-test'!$C$66)</f>
        <v>89.290760303847492</v>
      </c>
      <c r="V261" s="516">
        <f t="shared" si="28"/>
        <v>100</v>
      </c>
      <c r="W261" s="153">
        <f>(T261*0)/(1+cDR)^'Markov Model_b (2)'!cycle2</f>
        <v>0</v>
      </c>
      <c r="X261" s="178">
        <f t="shared" si="29"/>
        <v>10.709239696152508</v>
      </c>
      <c r="Y261" s="202">
        <f>(T261*(uPostT))/(1+oDR)^'Markov Model_b (2)'!cycle</f>
        <v>4.3490312376250646</v>
      </c>
      <c r="Z261" s="80"/>
      <c r="AA261" s="3"/>
      <c r="AB261" s="3"/>
      <c r="AC261" s="14">
        <v>249</v>
      </c>
      <c r="AD261" s="14"/>
      <c r="AE261" s="14"/>
      <c r="AF261" s="3"/>
      <c r="AG261" s="3"/>
      <c r="AH261" s="3"/>
      <c r="AI261" s="14"/>
      <c r="AJ261" s="14"/>
      <c r="AK261" s="3"/>
      <c r="AL261" s="3"/>
      <c r="AM261" s="3"/>
      <c r="AN261" s="3"/>
      <c r="AO261" s="3"/>
      <c r="AP261" s="3"/>
      <c r="AQ261" s="3"/>
      <c r="AR261" s="3"/>
      <c r="AS261" s="3"/>
      <c r="AT261" s="4"/>
      <c r="AU261" s="4"/>
      <c r="AV261" s="402"/>
      <c r="AW261" s="402"/>
      <c r="AX261" s="402"/>
      <c r="AY261" s="402"/>
      <c r="AZ261" s="402"/>
      <c r="BA261" s="402"/>
      <c r="BB261" s="402"/>
      <c r="BC261" s="402"/>
      <c r="BD261" s="402"/>
      <c r="BE261" s="402"/>
      <c r="BF261" s="402"/>
    </row>
    <row r="262" spans="1:58" ht="14.25" customHeight="1" x14ac:dyDescent="0.25">
      <c r="A262" s="637"/>
      <c r="B262" s="417"/>
      <c r="C262" s="173">
        <v>252</v>
      </c>
      <c r="D262" s="165"/>
      <c r="E262" s="174">
        <v>2.7066823756384251E-3</v>
      </c>
      <c r="F262" s="502"/>
      <c r="G262" s="219">
        <f t="shared" si="26"/>
        <v>11.213356080113883</v>
      </c>
      <c r="H262" s="249">
        <f>H261+(G261*E262*'life-tables-test'!$C$66)</f>
        <v>88.786643919886117</v>
      </c>
      <c r="I262" s="516">
        <f t="shared" si="30"/>
        <v>100</v>
      </c>
      <c r="J262" s="153">
        <f>(G262*0)/(1+cDR)^'Markov Model_b (2)'!cycle</f>
        <v>0</v>
      </c>
      <c r="K262" s="178">
        <f t="shared" si="27"/>
        <v>11.213356080113883</v>
      </c>
      <c r="L262" s="202">
        <f>(G262*(uPostT))/(1+oDR)^'Markov Model_b (2)'!cycle</f>
        <v>4.5423973313403243</v>
      </c>
      <c r="M262" s="80"/>
      <c r="N262" s="3"/>
      <c r="O262" s="80"/>
      <c r="P262" s="173">
        <v>252</v>
      </c>
      <c r="Q262" s="165"/>
      <c r="R262" s="174">
        <v>2.7066823756384251E-3</v>
      </c>
      <c r="S262" s="502"/>
      <c r="T262" s="219">
        <f t="shared" si="31"/>
        <v>10.564307144442196</v>
      </c>
      <c r="U262" s="249">
        <f>U261+(T261*R262*'life-tables-test'!$C$66)</f>
        <v>89.435692855557804</v>
      </c>
      <c r="V262" s="516">
        <f t="shared" si="28"/>
        <v>100</v>
      </c>
      <c r="W262" s="153">
        <f>(T262*0)/(1+cDR)^'Markov Model_b (2)'!cycle2</f>
        <v>0</v>
      </c>
      <c r="X262" s="178">
        <f t="shared" si="29"/>
        <v>10.564307144442196</v>
      </c>
      <c r="Y262" s="202">
        <f>(T262*(uPostT))/(1+oDR)^'Markov Model_b (2)'!cycle</f>
        <v>4.2794753183193661</v>
      </c>
      <c r="Z262" s="80"/>
      <c r="AA262" s="3"/>
      <c r="AB262" s="3"/>
      <c r="AC262" s="14">
        <v>250</v>
      </c>
      <c r="AD262" s="14"/>
      <c r="AE262" s="14"/>
      <c r="AF262" s="3"/>
      <c r="AG262" s="3"/>
      <c r="AH262" s="3"/>
      <c r="AI262" s="14"/>
      <c r="AJ262" s="14"/>
      <c r="AK262" s="3"/>
      <c r="AL262" s="3"/>
      <c r="AM262" s="3"/>
      <c r="AN262" s="3"/>
      <c r="AO262" s="3"/>
      <c r="AP262" s="3"/>
      <c r="AQ262" s="3"/>
      <c r="AR262" s="3"/>
      <c r="AS262" s="3"/>
      <c r="AT262" s="4"/>
      <c r="AU262" s="4"/>
      <c r="AV262" s="402"/>
      <c r="AW262" s="402"/>
      <c r="AX262" s="402"/>
      <c r="AY262" s="402"/>
      <c r="AZ262" s="402"/>
      <c r="BA262" s="402"/>
      <c r="BB262" s="402"/>
      <c r="BC262" s="402"/>
      <c r="BD262" s="402"/>
      <c r="BE262" s="402"/>
      <c r="BF262" s="402"/>
    </row>
    <row r="263" spans="1:58" ht="14.25" customHeight="1" x14ac:dyDescent="0.25">
      <c r="A263" s="519"/>
      <c r="B263" s="417"/>
      <c r="C263" s="173">
        <v>253</v>
      </c>
      <c r="D263" s="504"/>
      <c r="E263" s="174">
        <v>2.7066823756384251E-3</v>
      </c>
      <c r="F263" s="505"/>
      <c r="G263" s="219">
        <f t="shared" ref="G263:G326" si="32">$G$10-H263</f>
        <v>11.061601113744871</v>
      </c>
      <c r="H263" s="249">
        <f>H262+(G262*E263*'life-tables-test'!$C$66)</f>
        <v>88.938398886255129</v>
      </c>
      <c r="I263" s="516">
        <f t="shared" si="30"/>
        <v>100</v>
      </c>
      <c r="J263" s="180">
        <f>(G263*0)/(1+cDR)^'Markov Model_b (2)'!cycle</f>
        <v>0</v>
      </c>
      <c r="K263" s="176">
        <f t="shared" si="27"/>
        <v>11.061601113744871</v>
      </c>
      <c r="L263" s="202">
        <f>(G263*(uPostT))/(1+oDR)^'Markov Model_b (2)'!cycle</f>
        <v>4.4697488252776996</v>
      </c>
      <c r="M263" s="80"/>
      <c r="N263" s="3"/>
      <c r="O263" s="80"/>
      <c r="P263" s="173">
        <v>253</v>
      </c>
      <c r="Q263" s="504"/>
      <c r="R263" s="174">
        <v>2.7066823756384251E-3</v>
      </c>
      <c r="S263" s="505"/>
      <c r="T263" s="219">
        <f t="shared" si="31"/>
        <v>10.421336024648738</v>
      </c>
      <c r="U263" s="249">
        <f>U262+(T262*R263*'life-tables-test'!$C$66)</f>
        <v>89.578663975351262</v>
      </c>
      <c r="V263" s="516">
        <f t="shared" si="28"/>
        <v>100</v>
      </c>
      <c r="W263" s="180">
        <f>(T263*0)/(1+cDR)^'Markov Model_b (2)'!cycle2</f>
        <v>0</v>
      </c>
      <c r="X263" s="176">
        <f t="shared" si="29"/>
        <v>10.421336024648738</v>
      </c>
      <c r="Y263" s="202">
        <f>(T263*(uPostT))/(1+oDR)^'Markov Model_b (2)'!cycle</f>
        <v>4.2110318366224382</v>
      </c>
      <c r="Z263" s="80"/>
      <c r="AA263" s="3"/>
      <c r="AB263" s="3"/>
      <c r="AC263" s="14">
        <v>251</v>
      </c>
      <c r="AD263" s="14"/>
      <c r="AE263" s="14"/>
      <c r="AF263" s="3"/>
      <c r="AG263" s="3"/>
      <c r="AH263" s="3"/>
      <c r="AI263" s="14"/>
      <c r="AJ263" s="14"/>
      <c r="AK263" s="3"/>
      <c r="AL263" s="3"/>
      <c r="AM263" s="3"/>
      <c r="AN263" s="3"/>
      <c r="AO263" s="3"/>
      <c r="AP263" s="3"/>
      <c r="AQ263" s="3"/>
      <c r="AR263" s="3"/>
      <c r="AS263" s="3"/>
      <c r="AT263" s="4"/>
      <c r="AU263" s="4"/>
      <c r="AV263" s="402"/>
      <c r="AW263" s="402"/>
      <c r="AX263" s="402"/>
      <c r="AY263" s="402"/>
      <c r="AZ263" s="402"/>
      <c r="BA263" s="402"/>
      <c r="BB263" s="402"/>
      <c r="BC263" s="402"/>
      <c r="BD263" s="402"/>
      <c r="BE263" s="402"/>
      <c r="BF263" s="402"/>
    </row>
    <row r="264" spans="1:58" ht="14.25" customHeight="1" x14ac:dyDescent="0.25">
      <c r="A264" s="637" t="s">
        <v>563</v>
      </c>
      <c r="B264" s="417"/>
      <c r="C264" s="506">
        <v>254</v>
      </c>
      <c r="D264" s="506"/>
      <c r="E264" s="507">
        <v>2.7066823756384251E-3</v>
      </c>
      <c r="F264" s="508"/>
      <c r="G264" s="509">
        <f t="shared" si="32"/>
        <v>10.911899909840287</v>
      </c>
      <c r="H264" s="510">
        <f>H263+(G263*E264*'life-tables-test'!$C$66)</f>
        <v>89.088100090159713</v>
      </c>
      <c r="I264" s="518">
        <f t="shared" si="30"/>
        <v>100</v>
      </c>
      <c r="J264" s="511">
        <f>(G264*0)/(1+cDR)^'Markov Model_b (2)'!cycle</f>
        <v>0</v>
      </c>
      <c r="K264" s="512">
        <f t="shared" si="27"/>
        <v>10.911899909840287</v>
      </c>
      <c r="L264" s="513">
        <f>(G264*(uPostT))/(1+oDR)^'Markov Model_b (2)'!cycle</f>
        <v>4.3982622178884281</v>
      </c>
      <c r="M264" s="80"/>
      <c r="N264" s="3"/>
      <c r="O264" s="80"/>
      <c r="P264" s="506">
        <v>254</v>
      </c>
      <c r="Q264" s="506"/>
      <c r="R264" s="507">
        <v>2.7066823756384251E-3</v>
      </c>
      <c r="S264" s="508"/>
      <c r="T264" s="509">
        <f t="shared" si="31"/>
        <v>10.280299791906131</v>
      </c>
      <c r="U264" s="510">
        <f>U263+(T263*R264*'life-tables-test'!$C$66)</f>
        <v>89.719700208093869</v>
      </c>
      <c r="V264" s="518">
        <f t="shared" si="28"/>
        <v>100</v>
      </c>
      <c r="W264" s="511">
        <f>(T264*0)/(1+cDR)^'Markov Model_b (2)'!cycle2</f>
        <v>0</v>
      </c>
      <c r="X264" s="512">
        <f t="shared" si="29"/>
        <v>10.280299791906131</v>
      </c>
      <c r="Y264" s="513">
        <f>(T264*(uPostT))/(1+oDR)^'Markov Model_b (2)'!cycle</f>
        <v>4.1436830008431418</v>
      </c>
      <c r="Z264" s="80"/>
      <c r="AA264" s="3"/>
      <c r="AB264" s="3"/>
      <c r="AC264" s="14">
        <v>252</v>
      </c>
      <c r="AD264" s="14"/>
      <c r="AE264" s="14"/>
      <c r="AF264" s="3"/>
      <c r="AG264" s="3"/>
      <c r="AH264" s="3"/>
      <c r="AI264" s="14"/>
      <c r="AJ264" s="14"/>
      <c r="AK264" s="3"/>
      <c r="AL264" s="3"/>
      <c r="AM264" s="3"/>
      <c r="AN264" s="3"/>
      <c r="AO264" s="3"/>
      <c r="AP264" s="3"/>
      <c r="AQ264" s="3"/>
      <c r="AR264" s="3"/>
      <c r="AS264" s="3"/>
      <c r="AT264" s="4"/>
      <c r="AU264" s="4"/>
      <c r="AV264" s="402"/>
      <c r="AW264" s="402"/>
      <c r="AX264" s="402"/>
      <c r="AY264" s="402"/>
      <c r="AZ264" s="402"/>
      <c r="BA264" s="402"/>
      <c r="BB264" s="402"/>
      <c r="BC264" s="402"/>
      <c r="BD264" s="402"/>
      <c r="BE264" s="402"/>
      <c r="BF264" s="402"/>
    </row>
    <row r="265" spans="1:58" ht="14.25" customHeight="1" x14ac:dyDescent="0.25">
      <c r="A265" s="637"/>
      <c r="B265" s="417"/>
      <c r="C265" s="173">
        <v>255</v>
      </c>
      <c r="D265" s="165"/>
      <c r="E265" s="174">
        <v>3.0026787825909729E-3</v>
      </c>
      <c r="F265" s="502"/>
      <c r="G265" s="219">
        <f t="shared" si="32"/>
        <v>10.748075258155112</v>
      </c>
      <c r="H265" s="249">
        <f>H264+(G264*E265*'life-tables-test'!$C$66)</f>
        <v>89.251924741844888</v>
      </c>
      <c r="I265" s="516">
        <f t="shared" si="30"/>
        <v>100</v>
      </c>
      <c r="J265" s="153">
        <f>(G265*0)/(1+cDR)^'Markov Model_b (2)'!cycle</f>
        <v>0</v>
      </c>
      <c r="K265" s="178">
        <f t="shared" si="27"/>
        <v>10.748075258155112</v>
      </c>
      <c r="L265" s="202">
        <f>(G265*(uPostT))/(1+oDR)^'Markov Model_b (2)'!cycle</f>
        <v>4.3214258101534186</v>
      </c>
      <c r="M265" s="80"/>
      <c r="N265" s="3"/>
      <c r="O265" s="80"/>
      <c r="P265" s="173">
        <v>255</v>
      </c>
      <c r="Q265" s="165"/>
      <c r="R265" s="174">
        <v>3.0026787825909729E-3</v>
      </c>
      <c r="S265" s="502"/>
      <c r="T265" s="219">
        <f t="shared" si="31"/>
        <v>10.125957601586975</v>
      </c>
      <c r="U265" s="249">
        <f>U264+(T264*R265*'life-tables-test'!$C$66)</f>
        <v>89.874042398413025</v>
      </c>
      <c r="V265" s="516">
        <f t="shared" si="28"/>
        <v>100</v>
      </c>
      <c r="W265" s="153">
        <f>(T265*0)/(1+cDR)^'Markov Model_b (2)'!cycle2</f>
        <v>0</v>
      </c>
      <c r="X265" s="178">
        <f t="shared" si="29"/>
        <v>10.125957601586975</v>
      </c>
      <c r="Y265" s="202">
        <f>(T265*(uPostT))/(1+oDR)^'Markov Model_b (2)'!cycle</f>
        <v>4.0712940206494457</v>
      </c>
      <c r="Z265" s="80"/>
      <c r="AA265" s="3"/>
      <c r="AB265" s="3"/>
      <c r="AC265" s="14">
        <v>253</v>
      </c>
      <c r="AD265" s="14"/>
      <c r="AE265" s="14"/>
      <c r="AF265" s="3"/>
      <c r="AG265" s="3"/>
      <c r="AH265" s="3"/>
      <c r="AI265" s="14"/>
      <c r="AJ265" s="14"/>
      <c r="AK265" s="3"/>
      <c r="AL265" s="3"/>
      <c r="AM265" s="3"/>
      <c r="AN265" s="3"/>
      <c r="AO265" s="3"/>
      <c r="AP265" s="3"/>
      <c r="AQ265" s="3"/>
      <c r="AR265" s="3"/>
      <c r="AS265" s="3"/>
      <c r="AT265" s="4"/>
      <c r="AU265" s="4"/>
      <c r="AV265" s="402"/>
      <c r="AW265" s="402"/>
      <c r="AX265" s="402"/>
      <c r="AY265" s="402"/>
      <c r="AZ265" s="402"/>
      <c r="BA265" s="402"/>
      <c r="BB265" s="402"/>
      <c r="BC265" s="402"/>
      <c r="BD265" s="402"/>
      <c r="BE265" s="402"/>
      <c r="BF265" s="402"/>
    </row>
    <row r="266" spans="1:58" ht="14.25" customHeight="1" x14ac:dyDescent="0.25">
      <c r="A266" s="637"/>
      <c r="B266" s="417"/>
      <c r="C266" s="173">
        <v>256</v>
      </c>
      <c r="D266" s="165"/>
      <c r="E266" s="174">
        <v>3.0026787825909729E-3</v>
      </c>
      <c r="F266" s="502"/>
      <c r="G266" s="219">
        <f t="shared" si="32"/>
        <v>10.58671017049835</v>
      </c>
      <c r="H266" s="249">
        <f>H265+(G265*E266*'life-tables-test'!$C$66)</f>
        <v>89.41328982950165</v>
      </c>
      <c r="I266" s="516">
        <f t="shared" si="30"/>
        <v>100</v>
      </c>
      <c r="J266" s="153">
        <f>(G266*0)/(1+cDR)^'Markov Model_b (2)'!cycle</f>
        <v>0</v>
      </c>
      <c r="K266" s="178">
        <f t="shared" si="27"/>
        <v>10.58671017049835</v>
      </c>
      <c r="L266" s="202">
        <f>(G266*(uPostT))/(1+oDR)^'Markov Model_b (2)'!cycle</f>
        <v>4.2459317129176819</v>
      </c>
      <c r="M266" s="80"/>
      <c r="N266" s="3"/>
      <c r="O266" s="80"/>
      <c r="P266" s="173">
        <v>256</v>
      </c>
      <c r="Q266" s="165"/>
      <c r="R266" s="174">
        <v>3.0026787825909729E-3</v>
      </c>
      <c r="S266" s="502"/>
      <c r="T266" s="219">
        <f t="shared" si="31"/>
        <v>9.9739326113684683</v>
      </c>
      <c r="U266" s="249">
        <f>U265+(T265*R266*'life-tables-test'!$C$66)</f>
        <v>90.026067388631532</v>
      </c>
      <c r="V266" s="516">
        <f t="shared" si="28"/>
        <v>100</v>
      </c>
      <c r="W266" s="153">
        <f>(T266*0)/(1+cDR)^'Markov Model_b (2)'!cycle2</f>
        <v>0</v>
      </c>
      <c r="X266" s="178">
        <f t="shared" si="29"/>
        <v>9.9739326113684683</v>
      </c>
      <c r="Y266" s="202">
        <f>(T266*(uPostT))/(1+oDR)^'Markov Model_b (2)'!cycle</f>
        <v>4.0001696556428694</v>
      </c>
      <c r="Z266" s="80"/>
      <c r="AA266" s="3"/>
      <c r="AB266" s="3"/>
      <c r="AC266" s="14">
        <v>254</v>
      </c>
      <c r="AD266" s="14"/>
      <c r="AE266" s="14"/>
      <c r="AF266" s="3"/>
      <c r="AG266" s="3"/>
      <c r="AH266" s="3"/>
      <c r="AI266" s="14"/>
      <c r="AJ266" s="14"/>
      <c r="AK266" s="3"/>
      <c r="AL266" s="3"/>
      <c r="AM266" s="3"/>
      <c r="AN266" s="3"/>
      <c r="AO266" s="3"/>
      <c r="AP266" s="3"/>
      <c r="AQ266" s="3"/>
      <c r="AR266" s="3"/>
      <c r="AS266" s="3"/>
      <c r="AT266" s="4"/>
      <c r="AU266" s="4"/>
      <c r="AV266" s="402"/>
      <c r="AW266" s="402"/>
      <c r="AX266" s="402"/>
      <c r="AY266" s="402"/>
      <c r="AZ266" s="402"/>
      <c r="BA266" s="402"/>
      <c r="BB266" s="402"/>
      <c r="BC266" s="402"/>
      <c r="BD266" s="402"/>
      <c r="BE266" s="402"/>
      <c r="BF266" s="402"/>
    </row>
    <row r="267" spans="1:58" ht="14.25" customHeight="1" x14ac:dyDescent="0.25">
      <c r="A267" s="637"/>
      <c r="B267" s="417"/>
      <c r="C267" s="173">
        <v>257</v>
      </c>
      <c r="D267" s="165"/>
      <c r="E267" s="174">
        <v>3.0026787825909729E-3</v>
      </c>
      <c r="F267" s="502"/>
      <c r="G267" s="219">
        <f t="shared" si="32"/>
        <v>10.427767720466377</v>
      </c>
      <c r="H267" s="249">
        <f>H266+(G266*E267*'life-tables-test'!$C$66)</f>
        <v>89.572232279533623</v>
      </c>
      <c r="I267" s="516">
        <f t="shared" si="30"/>
        <v>100</v>
      </c>
      <c r="J267" s="153">
        <f>(G267*0)/(1+cDR)^'Markov Model_b (2)'!cycle</f>
        <v>0</v>
      </c>
      <c r="K267" s="178">
        <f t="shared" si="27"/>
        <v>10.427767720466377</v>
      </c>
      <c r="L267" s="202">
        <f>(G267*(uPostT))/(1+oDR)^'Markov Model_b (2)'!cycle</f>
        <v>4.1717564763931598</v>
      </c>
      <c r="M267" s="80"/>
      <c r="N267" s="3"/>
      <c r="O267" s="80"/>
      <c r="P267" s="173">
        <v>257</v>
      </c>
      <c r="Q267" s="165"/>
      <c r="R267" s="174">
        <v>3.0026787825909729E-3</v>
      </c>
      <c r="S267" s="502"/>
      <c r="T267" s="219">
        <f t="shared" si="31"/>
        <v>9.8241900322127265</v>
      </c>
      <c r="U267" s="249">
        <f>U266+(T266*R267*'life-tables-test'!$C$66)</f>
        <v>90.175809967787274</v>
      </c>
      <c r="V267" s="516">
        <f t="shared" si="28"/>
        <v>100</v>
      </c>
      <c r="W267" s="153">
        <f>(T267*0)/(1+cDR)^'Markov Model_b (2)'!cycle2</f>
        <v>0</v>
      </c>
      <c r="X267" s="178">
        <f t="shared" si="29"/>
        <v>9.8241900322127265</v>
      </c>
      <c r="Y267" s="202">
        <f>(T267*(uPostT))/(1+oDR)^'Markov Model_b (2)'!cycle</f>
        <v>3.9302878133506773</v>
      </c>
      <c r="Z267" s="80"/>
      <c r="AA267" s="3"/>
      <c r="AB267" s="3"/>
      <c r="AC267" s="14">
        <v>255</v>
      </c>
      <c r="AD267" s="14"/>
      <c r="AE267" s="14"/>
      <c r="AF267" s="3"/>
      <c r="AG267" s="3"/>
      <c r="AH267" s="3"/>
      <c r="AI267" s="14"/>
      <c r="AJ267" s="14"/>
      <c r="AK267" s="3"/>
      <c r="AL267" s="3"/>
      <c r="AM267" s="3"/>
      <c r="AN267" s="3"/>
      <c r="AO267" s="3"/>
      <c r="AP267" s="3"/>
      <c r="AQ267" s="3"/>
      <c r="AR267" s="3"/>
      <c r="AS267" s="3"/>
      <c r="AT267" s="4"/>
      <c r="AU267" s="4"/>
      <c r="AV267" s="402"/>
      <c r="AW267" s="402"/>
      <c r="AX267" s="402"/>
      <c r="AY267" s="402"/>
      <c r="AZ267" s="402"/>
      <c r="BA267" s="402"/>
      <c r="BB267" s="402"/>
      <c r="BC267" s="402"/>
      <c r="BD267" s="402"/>
      <c r="BE267" s="402"/>
      <c r="BF267" s="402"/>
    </row>
    <row r="268" spans="1:58" ht="14.25" customHeight="1" x14ac:dyDescent="0.25">
      <c r="A268" s="637"/>
      <c r="B268" s="417"/>
      <c r="C268" s="173">
        <v>258</v>
      </c>
      <c r="D268" s="165"/>
      <c r="E268" s="174">
        <v>3.0026787825909729E-3</v>
      </c>
      <c r="F268" s="502"/>
      <c r="G268" s="219">
        <f t="shared" si="32"/>
        <v>10.271211536046224</v>
      </c>
      <c r="H268" s="249">
        <f>H267+(G267*E268*'life-tables-test'!$C$66)</f>
        <v>89.728788463953776</v>
      </c>
      <c r="I268" s="516">
        <f t="shared" si="30"/>
        <v>100</v>
      </c>
      <c r="J268" s="153">
        <f>(G268*0)/(1+cDR)^'Markov Model_b (2)'!cycle</f>
        <v>0</v>
      </c>
      <c r="K268" s="178">
        <f t="shared" si="27"/>
        <v>10.271211536046224</v>
      </c>
      <c r="L268" s="202">
        <f>(G268*(uPostT))/(1+oDR)^'Markov Model_b (2)'!cycle</f>
        <v>4.0988770604530185</v>
      </c>
      <c r="M268" s="80"/>
      <c r="N268" s="3"/>
      <c r="O268" s="80"/>
      <c r="P268" s="173">
        <v>258</v>
      </c>
      <c r="Q268" s="165"/>
      <c r="R268" s="174">
        <v>3.0026787825909729E-3</v>
      </c>
      <c r="S268" s="502"/>
      <c r="T268" s="219">
        <f t="shared" si="31"/>
        <v>9.6766955973833859</v>
      </c>
      <c r="U268" s="249">
        <f>U267+(T267*R268*'life-tables-test'!$C$66)</f>
        <v>90.323304402616614</v>
      </c>
      <c r="V268" s="516">
        <f t="shared" si="28"/>
        <v>100</v>
      </c>
      <c r="W268" s="153">
        <f>(T268*0)/(1+cDR)^'Markov Model_b (2)'!cycle2</f>
        <v>0</v>
      </c>
      <c r="X268" s="178">
        <f t="shared" si="29"/>
        <v>9.6766955973833859</v>
      </c>
      <c r="Y268" s="202">
        <f>(T268*(uPostT))/(1+oDR)^'Markov Model_b (2)'!cycle</f>
        <v>3.8616267872494316</v>
      </c>
      <c r="Z268" s="80"/>
      <c r="AA268" s="3"/>
      <c r="AB268" s="3"/>
      <c r="AC268" s="14">
        <v>256</v>
      </c>
      <c r="AD268" s="14"/>
      <c r="AE268" s="14"/>
      <c r="AF268" s="3"/>
      <c r="AG268" s="3"/>
      <c r="AH268" s="3"/>
      <c r="AI268" s="14"/>
      <c r="AJ268" s="14"/>
      <c r="AK268" s="3"/>
      <c r="AL268" s="3"/>
      <c r="AM268" s="3"/>
      <c r="AN268" s="3"/>
      <c r="AO268" s="3"/>
      <c r="AP268" s="3"/>
      <c r="AQ268" s="3"/>
      <c r="AR268" s="3"/>
      <c r="AS268" s="3"/>
      <c r="AT268" s="4"/>
      <c r="AU268" s="4"/>
      <c r="AV268" s="402"/>
      <c r="AW268" s="402"/>
      <c r="AX268" s="402"/>
      <c r="AY268" s="402"/>
      <c r="AZ268" s="402"/>
      <c r="BA268" s="402"/>
      <c r="BB268" s="402"/>
      <c r="BC268" s="402"/>
      <c r="BD268" s="402"/>
      <c r="BE268" s="402"/>
      <c r="BF268" s="402"/>
    </row>
    <row r="269" spans="1:58" ht="14.25" customHeight="1" x14ac:dyDescent="0.25">
      <c r="A269" s="637"/>
      <c r="B269" s="417"/>
      <c r="C269" s="173">
        <v>259</v>
      </c>
      <c r="D269" s="165"/>
      <c r="E269" s="174">
        <v>3.0026787825909729E-3</v>
      </c>
      <c r="F269" s="502"/>
      <c r="G269" s="219">
        <f t="shared" si="32"/>
        <v>10.117005791292272</v>
      </c>
      <c r="H269" s="249">
        <f>H268+(G268*E269*'life-tables-test'!$C$66)</f>
        <v>89.882994208707728</v>
      </c>
      <c r="I269" s="516">
        <f t="shared" si="30"/>
        <v>100</v>
      </c>
      <c r="J269" s="153">
        <f>(G269*0)/(1+cDR)^'Markov Model_b (2)'!cycle</f>
        <v>0</v>
      </c>
      <c r="K269" s="178">
        <f t="shared" si="27"/>
        <v>10.117005791292272</v>
      </c>
      <c r="L269" s="202">
        <f>(G269*(uPostT))/(1+oDR)^'Markov Model_b (2)'!cycle</f>
        <v>4.0272708274749744</v>
      </c>
      <c r="M269" s="80"/>
      <c r="N269" s="3"/>
      <c r="O269" s="80"/>
      <c r="P269" s="173">
        <v>259</v>
      </c>
      <c r="Q269" s="165"/>
      <c r="R269" s="174">
        <v>3.0026787825909729E-3</v>
      </c>
      <c r="S269" s="502"/>
      <c r="T269" s="219">
        <f t="shared" si="31"/>
        <v>9.5314155546041093</v>
      </c>
      <c r="U269" s="249">
        <f>U268+(T268*R269*'life-tables-test'!$C$66)</f>
        <v>90.468584445395891</v>
      </c>
      <c r="V269" s="516">
        <f t="shared" si="28"/>
        <v>100</v>
      </c>
      <c r="W269" s="153">
        <f>(T269*0)/(1+cDR)^'Markov Model_b (2)'!cycle2</f>
        <v>0</v>
      </c>
      <c r="X269" s="178">
        <f t="shared" si="29"/>
        <v>9.5314155546041093</v>
      </c>
      <c r="Y269" s="202">
        <f>(T269*(uPostT))/(1+oDR)^'Markov Model_b (2)'!cycle</f>
        <v>3.7941652500225804</v>
      </c>
      <c r="Z269" s="80"/>
      <c r="AA269" s="3"/>
      <c r="AB269" s="3"/>
      <c r="AC269" s="14">
        <v>257</v>
      </c>
      <c r="AD269" s="14"/>
      <c r="AE269" s="14"/>
      <c r="AF269" s="3"/>
      <c r="AG269" s="3"/>
      <c r="AH269" s="3"/>
      <c r="AI269" s="14"/>
      <c r="AJ269" s="14"/>
      <c r="AK269" s="3"/>
      <c r="AL269" s="3"/>
      <c r="AM269" s="3"/>
      <c r="AN269" s="3"/>
      <c r="AO269" s="3"/>
      <c r="AP269" s="3"/>
      <c r="AQ269" s="3"/>
      <c r="AR269" s="3"/>
      <c r="AS269" s="3"/>
      <c r="AT269" s="4"/>
      <c r="AU269" s="4"/>
      <c r="AV269" s="402"/>
      <c r="AW269" s="402"/>
      <c r="AX269" s="402"/>
      <c r="AY269" s="402"/>
      <c r="AZ269" s="402"/>
      <c r="BA269" s="402"/>
      <c r="BB269" s="402"/>
      <c r="BC269" s="402"/>
      <c r="BD269" s="402"/>
      <c r="BE269" s="402"/>
      <c r="BF269" s="402"/>
    </row>
    <row r="270" spans="1:58" ht="14.25" customHeight="1" x14ac:dyDescent="0.25">
      <c r="A270" s="637"/>
      <c r="B270" s="417"/>
      <c r="C270" s="173">
        <v>260</v>
      </c>
      <c r="D270" s="165"/>
      <c r="E270" s="174">
        <v>3.0026787825909729E-3</v>
      </c>
      <c r="F270" s="502"/>
      <c r="G270" s="219">
        <f t="shared" si="32"/>
        <v>9.9651151981279611</v>
      </c>
      <c r="H270" s="249">
        <f>H269+(G269*E270*'life-tables-test'!$C$66)</f>
        <v>90.034884801872039</v>
      </c>
      <c r="I270" s="516">
        <f t="shared" si="30"/>
        <v>100</v>
      </c>
      <c r="J270" s="153">
        <f>(G270*0)/(1+cDR)^'Markov Model_b (2)'!cycle</f>
        <v>0</v>
      </c>
      <c r="K270" s="178">
        <f t="shared" si="27"/>
        <v>9.9651151981279611</v>
      </c>
      <c r="L270" s="202">
        <f>(G270*(uPostT))/(1+oDR)^'Markov Model_b (2)'!cycle</f>
        <v>3.956915535309669</v>
      </c>
      <c r="M270" s="80"/>
      <c r="N270" s="3"/>
      <c r="O270" s="80"/>
      <c r="P270" s="173">
        <v>260</v>
      </c>
      <c r="Q270" s="165"/>
      <c r="R270" s="174">
        <v>3.0026787825909729E-3</v>
      </c>
      <c r="S270" s="502"/>
      <c r="T270" s="219">
        <f t="shared" si="31"/>
        <v>9.388316658334773</v>
      </c>
      <c r="U270" s="249">
        <f>U269+(T269*R270*'life-tables-test'!$C$66)</f>
        <v>90.611683341665227</v>
      </c>
      <c r="V270" s="516">
        <f t="shared" si="28"/>
        <v>100</v>
      </c>
      <c r="W270" s="153">
        <f>(T270*0)/(1+cDR)^'Markov Model_b (2)'!cycle2</f>
        <v>0</v>
      </c>
      <c r="X270" s="178">
        <f t="shared" si="29"/>
        <v>9.388316658334773</v>
      </c>
      <c r="Y270" s="202">
        <f>(T270*(uPostT))/(1+oDR)^'Markov Model_b (2)'!cycle</f>
        <v>3.7278822469358071</v>
      </c>
      <c r="Z270" s="80"/>
      <c r="AA270" s="3"/>
      <c r="AB270" s="3"/>
      <c r="AC270" s="14">
        <v>258</v>
      </c>
      <c r="AD270" s="14"/>
      <c r="AE270" s="14"/>
      <c r="AF270" s="3"/>
      <c r="AG270" s="3"/>
      <c r="AH270" s="3"/>
      <c r="AI270" s="14"/>
      <c r="AJ270" s="14"/>
      <c r="AK270" s="3"/>
      <c r="AL270" s="3"/>
      <c r="AM270" s="3"/>
      <c r="AN270" s="3"/>
      <c r="AO270" s="3"/>
      <c r="AP270" s="3"/>
      <c r="AQ270" s="3"/>
      <c r="AR270" s="3"/>
      <c r="AS270" s="3"/>
      <c r="AT270" s="4"/>
      <c r="AU270" s="4"/>
      <c r="AV270" s="402"/>
      <c r="AW270" s="402"/>
      <c r="AX270" s="402"/>
      <c r="AY270" s="402"/>
      <c r="AZ270" s="402"/>
      <c r="BA270" s="402"/>
      <c r="BB270" s="402"/>
      <c r="BC270" s="402"/>
      <c r="BD270" s="402"/>
      <c r="BE270" s="402"/>
      <c r="BF270" s="402"/>
    </row>
    <row r="271" spans="1:58" ht="14.25" customHeight="1" x14ac:dyDescent="0.25">
      <c r="A271" s="637"/>
      <c r="B271" s="417"/>
      <c r="C271" s="173">
        <v>261</v>
      </c>
      <c r="D271" s="165"/>
      <c r="E271" s="174">
        <v>3.0026787825909729E-3</v>
      </c>
      <c r="F271" s="502"/>
      <c r="G271" s="219">
        <f t="shared" si="32"/>
        <v>9.815504998270498</v>
      </c>
      <c r="H271" s="249">
        <f>H270+(G270*E271*'life-tables-test'!$C$66)</f>
        <v>90.184495001729502</v>
      </c>
      <c r="I271" s="516">
        <f t="shared" si="30"/>
        <v>100</v>
      </c>
      <c r="J271" s="153">
        <f>(G271*0)/(1+cDR)^'Markov Model_b (2)'!cycle</f>
        <v>0</v>
      </c>
      <c r="K271" s="178">
        <f t="shared" si="27"/>
        <v>9.815504998270498</v>
      </c>
      <c r="L271" s="202">
        <f>(G271*(uPostT))/(1+oDR)^'Markov Model_b (2)'!cycle</f>
        <v>3.8877893303718465</v>
      </c>
      <c r="M271" s="80"/>
      <c r="N271" s="3"/>
      <c r="O271" s="80"/>
      <c r="P271" s="173">
        <v>261</v>
      </c>
      <c r="Q271" s="165"/>
      <c r="R271" s="174">
        <v>3.0026787825909729E-3</v>
      </c>
      <c r="S271" s="502"/>
      <c r="T271" s="219">
        <f t="shared" si="31"/>
        <v>9.2473661621636438</v>
      </c>
      <c r="U271" s="249">
        <f>U270+(T270*R271*'life-tables-test'!$C$66)</f>
        <v>90.752633837836356</v>
      </c>
      <c r="V271" s="516">
        <f t="shared" si="28"/>
        <v>100</v>
      </c>
      <c r="W271" s="153">
        <f>(T271*0)/(1+cDR)^'Markov Model_b (2)'!cycle2</f>
        <v>0</v>
      </c>
      <c r="X271" s="178">
        <f t="shared" si="29"/>
        <v>9.2473661621636438</v>
      </c>
      <c r="Y271" s="202">
        <f>(T271*(uPostT))/(1+oDR)^'Markov Model_b (2)'!cycle</f>
        <v>3.6627571893281305</v>
      </c>
      <c r="Z271" s="80"/>
      <c r="AA271" s="3"/>
      <c r="AB271" s="3"/>
      <c r="AC271" s="14">
        <v>259</v>
      </c>
      <c r="AD271" s="14"/>
      <c r="AE271" s="14"/>
      <c r="AF271" s="3"/>
      <c r="AG271" s="3"/>
      <c r="AH271" s="3"/>
      <c r="AI271" s="14"/>
      <c r="AJ271" s="14"/>
      <c r="AK271" s="3"/>
      <c r="AL271" s="3"/>
      <c r="AM271" s="3"/>
      <c r="AN271" s="3"/>
      <c r="AO271" s="3"/>
      <c r="AP271" s="3"/>
      <c r="AQ271" s="3"/>
      <c r="AR271" s="3"/>
      <c r="AS271" s="3"/>
      <c r="AT271" s="4"/>
      <c r="AU271" s="4"/>
      <c r="AV271" s="402"/>
      <c r="AW271" s="402"/>
      <c r="AX271" s="402"/>
      <c r="AY271" s="402"/>
      <c r="AZ271" s="402"/>
      <c r="BA271" s="402"/>
      <c r="BB271" s="402"/>
      <c r="BC271" s="402"/>
      <c r="BD271" s="402"/>
      <c r="BE271" s="402"/>
      <c r="BF271" s="402"/>
    </row>
    <row r="272" spans="1:58" ht="14.25" customHeight="1" x14ac:dyDescent="0.25">
      <c r="A272" s="637"/>
      <c r="B272" s="417"/>
      <c r="C272" s="173">
        <v>262</v>
      </c>
      <c r="D272" s="165"/>
      <c r="E272" s="174">
        <v>3.0026787825909729E-3</v>
      </c>
      <c r="F272" s="502"/>
      <c r="G272" s="219">
        <f t="shared" si="32"/>
        <v>9.6681409552768827</v>
      </c>
      <c r="H272" s="249">
        <f>H271+(G271*E272*'life-tables-test'!$C$66)</f>
        <v>90.331859044723117</v>
      </c>
      <c r="I272" s="516">
        <f t="shared" si="30"/>
        <v>100</v>
      </c>
      <c r="J272" s="153">
        <f>(G272*0)/(1+cDR)^'Markov Model_b (2)'!cycle</f>
        <v>0</v>
      </c>
      <c r="K272" s="178">
        <f t="shared" si="27"/>
        <v>9.6681409552768827</v>
      </c>
      <c r="L272" s="202">
        <f>(G272*(uPostT))/(1+oDR)^'Markov Model_b (2)'!cycle</f>
        <v>3.8198707408522599</v>
      </c>
      <c r="M272" s="80"/>
      <c r="N272" s="3"/>
      <c r="O272" s="80"/>
      <c r="P272" s="173">
        <v>262</v>
      </c>
      <c r="Q272" s="165"/>
      <c r="R272" s="174">
        <v>3.0026787825909729E-3</v>
      </c>
      <c r="S272" s="502"/>
      <c r="T272" s="219">
        <f t="shared" si="31"/>
        <v>9.1085318113137532</v>
      </c>
      <c r="U272" s="249">
        <f>U271+(T271*R272*'life-tables-test'!$C$66)</f>
        <v>90.891468188686247</v>
      </c>
      <c r="V272" s="516">
        <f t="shared" si="28"/>
        <v>100</v>
      </c>
      <c r="W272" s="153">
        <f>(T272*0)/(1+cDR)^'Markov Model_b (2)'!cycle2</f>
        <v>0</v>
      </c>
      <c r="X272" s="178">
        <f t="shared" si="29"/>
        <v>9.1085318113137532</v>
      </c>
      <c r="Y272" s="202">
        <f>(T272*(uPostT))/(1+oDR)^'Markov Model_b (2)'!cycle</f>
        <v>3.5987698482166994</v>
      </c>
      <c r="Z272" s="80"/>
      <c r="AA272" s="3"/>
      <c r="AB272" s="3"/>
      <c r="AC272" s="14">
        <v>260</v>
      </c>
      <c r="AD272" s="14"/>
      <c r="AE272" s="14"/>
      <c r="AF272" s="3"/>
      <c r="AG272" s="3"/>
      <c r="AH272" s="3"/>
      <c r="AI272" s="14"/>
      <c r="AJ272" s="14"/>
      <c r="AK272" s="3"/>
      <c r="AL272" s="3"/>
      <c r="AM272" s="3"/>
      <c r="AN272" s="3"/>
      <c r="AO272" s="3"/>
      <c r="AP272" s="3"/>
      <c r="AQ272" s="3"/>
      <c r="AR272" s="3"/>
      <c r="AS272" s="3"/>
      <c r="AT272" s="4"/>
      <c r="AU272" s="4"/>
      <c r="AV272" s="402"/>
      <c r="AW272" s="402"/>
      <c r="AX272" s="402"/>
      <c r="AY272" s="402"/>
      <c r="AZ272" s="402"/>
      <c r="BA272" s="402"/>
      <c r="BB272" s="402"/>
      <c r="BC272" s="402"/>
      <c r="BD272" s="402"/>
      <c r="BE272" s="402"/>
      <c r="BF272" s="402"/>
    </row>
    <row r="273" spans="1:58" ht="14.25" customHeight="1" x14ac:dyDescent="0.25">
      <c r="A273" s="637"/>
      <c r="B273" s="417"/>
      <c r="C273" s="173">
        <v>263</v>
      </c>
      <c r="D273" s="165"/>
      <c r="E273" s="174">
        <v>3.0026787825909729E-3</v>
      </c>
      <c r="F273" s="502"/>
      <c r="G273" s="219">
        <f t="shared" si="32"/>
        <v>9.5229893467093376</v>
      </c>
      <c r="H273" s="249">
        <f>H272+(G272*E273*'life-tables-test'!$C$66)</f>
        <v>90.477010653290662</v>
      </c>
      <c r="I273" s="516">
        <f t="shared" si="30"/>
        <v>100</v>
      </c>
      <c r="J273" s="153">
        <f>(G273*0)/(1+cDR)^'Markov Model_b (2)'!cycle</f>
        <v>0</v>
      </c>
      <c r="K273" s="178">
        <f t="shared" si="27"/>
        <v>9.5229893467093376</v>
      </c>
      <c r="L273" s="202">
        <f>(G273*(uPostT))/(1+oDR)^'Markov Model_b (2)'!cycle</f>
        <v>3.7531386700481537</v>
      </c>
      <c r="M273" s="80"/>
      <c r="N273" s="3"/>
      <c r="O273" s="80"/>
      <c r="P273" s="173">
        <v>263</v>
      </c>
      <c r="Q273" s="165"/>
      <c r="R273" s="174">
        <v>3.0026787825909729E-3</v>
      </c>
      <c r="S273" s="502"/>
      <c r="T273" s="219">
        <f t="shared" si="31"/>
        <v>8.9717818352618224</v>
      </c>
      <c r="U273" s="249">
        <f>U272+(T272*R273*'life-tables-test'!$C$66)</f>
        <v>91.028218164738178</v>
      </c>
      <c r="V273" s="516">
        <f t="shared" si="28"/>
        <v>100</v>
      </c>
      <c r="W273" s="153">
        <f>(T273*0)/(1+cDR)^'Markov Model_b (2)'!cycle2</f>
        <v>0</v>
      </c>
      <c r="X273" s="178">
        <f t="shared" si="29"/>
        <v>8.9717818352618224</v>
      </c>
      <c r="Y273" s="202">
        <f>(T273*(uPostT))/(1+oDR)^'Markov Model_b (2)'!cycle</f>
        <v>3.5359003480133251</v>
      </c>
      <c r="Z273" s="80"/>
      <c r="AA273" s="3"/>
      <c r="AB273" s="3"/>
      <c r="AC273" s="14">
        <v>261</v>
      </c>
      <c r="AD273" s="14"/>
      <c r="AE273" s="14"/>
      <c r="AF273" s="3"/>
      <c r="AG273" s="3"/>
      <c r="AH273" s="3"/>
      <c r="AI273" s="14"/>
      <c r="AJ273" s="14"/>
      <c r="AK273" s="3"/>
      <c r="AL273" s="3"/>
      <c r="AM273" s="3"/>
      <c r="AN273" s="3"/>
      <c r="AO273" s="3"/>
      <c r="AP273" s="3"/>
      <c r="AQ273" s="3"/>
      <c r="AR273" s="3"/>
      <c r="AS273" s="3"/>
      <c r="AT273" s="4"/>
      <c r="AU273" s="4"/>
      <c r="AV273" s="402"/>
      <c r="AW273" s="402"/>
      <c r="AX273" s="402"/>
      <c r="AY273" s="402"/>
      <c r="AZ273" s="402"/>
      <c r="BA273" s="402"/>
      <c r="BB273" s="402"/>
      <c r="BC273" s="402"/>
      <c r="BD273" s="402"/>
      <c r="BE273" s="402"/>
      <c r="BF273" s="402"/>
    </row>
    <row r="274" spans="1:58" ht="14.25" customHeight="1" x14ac:dyDescent="0.25">
      <c r="A274" s="637"/>
      <c r="B274" s="417"/>
      <c r="C274" s="173">
        <v>264</v>
      </c>
      <c r="D274" s="165"/>
      <c r="E274" s="174">
        <v>3.0026787825909729E-3</v>
      </c>
      <c r="F274" s="502"/>
      <c r="G274" s="219">
        <f t="shared" si="32"/>
        <v>9.3800169564183165</v>
      </c>
      <c r="H274" s="249">
        <f>H273+(G273*E274*'life-tables-test'!$C$66)</f>
        <v>90.619983043581684</v>
      </c>
      <c r="I274" s="516">
        <f t="shared" si="30"/>
        <v>100</v>
      </c>
      <c r="J274" s="153">
        <f>(G274*0)/(1+cDR)^'Markov Model_b (2)'!cycle</f>
        <v>0</v>
      </c>
      <c r="K274" s="178">
        <f t="shared" si="27"/>
        <v>9.3800169564183165</v>
      </c>
      <c r="L274" s="202">
        <f>(G274*(uPostT))/(1+oDR)^'Markov Model_b (2)'!cycle</f>
        <v>3.6875723898102506</v>
      </c>
      <c r="M274" s="80"/>
      <c r="N274" s="3"/>
      <c r="O274" s="80"/>
      <c r="P274" s="173">
        <v>264</v>
      </c>
      <c r="Q274" s="165"/>
      <c r="R274" s="174">
        <v>3.0026787825909729E-3</v>
      </c>
      <c r="S274" s="502"/>
      <c r="T274" s="219">
        <f t="shared" si="31"/>
        <v>8.8370849404679461</v>
      </c>
      <c r="U274" s="249">
        <f>U273+(T273*R274*'life-tables-test'!$C$66)</f>
        <v>91.162915059532054</v>
      </c>
      <c r="V274" s="516">
        <f t="shared" si="28"/>
        <v>100</v>
      </c>
      <c r="W274" s="153">
        <f>(T274*0)/(1+cDR)^'Markov Model_b (2)'!cycle2</f>
        <v>0</v>
      </c>
      <c r="X274" s="178">
        <f t="shared" si="29"/>
        <v>8.8370849404679461</v>
      </c>
      <c r="Y274" s="202">
        <f>(T274*(uPostT))/(1+oDR)^'Markov Model_b (2)'!cycle</f>
        <v>3.4741291603507709</v>
      </c>
      <c r="Z274" s="80"/>
      <c r="AA274" s="3"/>
      <c r="AB274" s="3"/>
      <c r="AC274" s="14">
        <v>262</v>
      </c>
      <c r="AD274" s="14"/>
      <c r="AE274" s="14"/>
      <c r="AF274" s="3"/>
      <c r="AG274" s="3"/>
      <c r="AH274" s="3"/>
      <c r="AI274" s="14"/>
      <c r="AJ274" s="14"/>
      <c r="AK274" s="3"/>
      <c r="AL274" s="3"/>
      <c r="AM274" s="3"/>
      <c r="AN274" s="3"/>
      <c r="AO274" s="3"/>
      <c r="AP274" s="3"/>
      <c r="AQ274" s="3"/>
      <c r="AR274" s="3"/>
      <c r="AS274" s="3"/>
      <c r="AT274" s="4"/>
      <c r="AU274" s="4"/>
      <c r="AV274" s="402"/>
      <c r="AW274" s="402"/>
      <c r="AX274" s="402"/>
      <c r="AY274" s="402"/>
      <c r="AZ274" s="402"/>
      <c r="BA274" s="402"/>
      <c r="BB274" s="402"/>
      <c r="BC274" s="402"/>
      <c r="BD274" s="402"/>
      <c r="BE274" s="402"/>
      <c r="BF274" s="402"/>
    </row>
    <row r="275" spans="1:58" ht="14.25" customHeight="1" x14ac:dyDescent="0.25">
      <c r="A275" s="519"/>
      <c r="B275" s="417"/>
      <c r="C275" s="173">
        <v>265</v>
      </c>
      <c r="D275" s="504"/>
      <c r="E275" s="174">
        <v>3.0026787825909729E-3</v>
      </c>
      <c r="F275" s="505"/>
      <c r="G275" s="219">
        <f t="shared" si="32"/>
        <v>9.2391910669414159</v>
      </c>
      <c r="H275" s="249">
        <f>H274+(G274*E275*'life-tables-test'!$C$66)</f>
        <v>90.760808933058584</v>
      </c>
      <c r="I275" s="516">
        <f t="shared" si="30"/>
        <v>100</v>
      </c>
      <c r="J275" s="180">
        <f>(G275*0)/(1+cDR)^'Markov Model_b (2)'!cycle</f>
        <v>0</v>
      </c>
      <c r="K275" s="176">
        <f t="shared" si="27"/>
        <v>9.2391910669414159</v>
      </c>
      <c r="L275" s="202">
        <f>(G275*(uPostT))/(1+oDR)^'Markov Model_b (2)'!cycle</f>
        <v>3.6231515341042342</v>
      </c>
      <c r="M275" s="80"/>
      <c r="N275" s="3"/>
      <c r="O275" s="80"/>
      <c r="P275" s="173">
        <v>265</v>
      </c>
      <c r="Q275" s="504"/>
      <c r="R275" s="174">
        <v>3.0026787825909729E-3</v>
      </c>
      <c r="S275" s="505"/>
      <c r="T275" s="219">
        <f t="shared" si="31"/>
        <v>8.7044103032144591</v>
      </c>
      <c r="U275" s="249">
        <f>U274+(T274*R275*'life-tables-test'!$C$66)</f>
        <v>91.295589696785541</v>
      </c>
      <c r="V275" s="516">
        <f t="shared" si="28"/>
        <v>100</v>
      </c>
      <c r="W275" s="180">
        <f>(T275*0)/(1+cDR)^'Markov Model_b (2)'!cycle2</f>
        <v>0</v>
      </c>
      <c r="X275" s="176">
        <f t="shared" si="29"/>
        <v>8.7044103032144591</v>
      </c>
      <c r="Y275" s="202">
        <f>(T275*(uPostT))/(1+oDR)^'Markov Model_b (2)'!cycle</f>
        <v>3.4134370980168991</v>
      </c>
      <c r="Z275" s="80"/>
      <c r="AA275" s="3"/>
      <c r="AB275" s="3"/>
      <c r="AC275" s="14">
        <v>263</v>
      </c>
      <c r="AD275" s="14"/>
      <c r="AE275" s="14"/>
      <c r="AF275" s="3"/>
      <c r="AG275" s="3"/>
      <c r="AH275" s="3"/>
      <c r="AI275" s="14"/>
      <c r="AJ275" s="14"/>
      <c r="AK275" s="3"/>
      <c r="AL275" s="3"/>
      <c r="AM275" s="3"/>
      <c r="AN275" s="3"/>
      <c r="AO275" s="3"/>
      <c r="AP275" s="3"/>
      <c r="AQ275" s="3"/>
      <c r="AR275" s="3"/>
      <c r="AS275" s="3"/>
      <c r="AT275" s="4"/>
      <c r="AU275" s="4"/>
      <c r="AV275" s="402"/>
      <c r="AW275" s="402"/>
      <c r="AX275" s="402"/>
      <c r="AY275" s="402"/>
      <c r="AZ275" s="402"/>
      <c r="BA275" s="402"/>
      <c r="BB275" s="402"/>
      <c r="BC275" s="402"/>
      <c r="BD275" s="402"/>
      <c r="BE275" s="402"/>
      <c r="BF275" s="402"/>
    </row>
    <row r="276" spans="1:58" ht="14.25" customHeight="1" x14ac:dyDescent="0.25">
      <c r="A276" s="637" t="s">
        <v>564</v>
      </c>
      <c r="B276" s="417"/>
      <c r="C276" s="506">
        <v>266</v>
      </c>
      <c r="D276" s="506"/>
      <c r="E276" s="507">
        <v>3.0026787825909729E-3</v>
      </c>
      <c r="F276" s="508"/>
      <c r="G276" s="509">
        <f t="shared" si="32"/>
        <v>9.1004794520163728</v>
      </c>
      <c r="H276" s="510">
        <f>H275+(G275*E276*'life-tables-test'!$C$66)</f>
        <v>90.899520547983627</v>
      </c>
      <c r="I276" s="518">
        <f t="shared" si="30"/>
        <v>100</v>
      </c>
      <c r="J276" s="511">
        <f>(G276*0)/(1+cDR)^'Markov Model_b (2)'!cycle</f>
        <v>0</v>
      </c>
      <c r="K276" s="512">
        <f t="shared" si="27"/>
        <v>9.1004794520163728</v>
      </c>
      <c r="L276" s="513">
        <f>(G276*(uPostT))/(1+oDR)^'Markov Model_b (2)'!cycle</f>
        <v>3.5598560926846901</v>
      </c>
      <c r="M276" s="80"/>
      <c r="N276" s="3"/>
      <c r="O276" s="80"/>
      <c r="P276" s="506">
        <v>266</v>
      </c>
      <c r="Q276" s="506"/>
      <c r="R276" s="507">
        <v>3.0026787825909729E-3</v>
      </c>
      <c r="S276" s="508"/>
      <c r="T276" s="509">
        <f t="shared" si="31"/>
        <v>8.573727562552321</v>
      </c>
      <c r="U276" s="510">
        <f>U275+(T275*R276*'life-tables-test'!$C$66)</f>
        <v>91.426272437447679</v>
      </c>
      <c r="V276" s="518">
        <f t="shared" si="28"/>
        <v>100</v>
      </c>
      <c r="W276" s="511">
        <f>(T276*0)/(1+cDR)^'Markov Model_b (2)'!cycle2</f>
        <v>0</v>
      </c>
      <c r="X276" s="512">
        <f t="shared" si="29"/>
        <v>8.573727562552321</v>
      </c>
      <c r="Y276" s="513">
        <f>(T276*(uPostT))/(1+oDR)^'Markov Model_b (2)'!cycle</f>
        <v>3.3538053089947928</v>
      </c>
      <c r="Z276" s="80"/>
      <c r="AA276" s="3"/>
      <c r="AB276" s="3"/>
      <c r="AC276" s="14">
        <v>264</v>
      </c>
      <c r="AD276" s="14"/>
      <c r="AE276" s="14"/>
      <c r="AF276" s="3"/>
      <c r="AG276" s="3"/>
      <c r="AH276" s="3"/>
      <c r="AI276" s="14"/>
      <c r="AJ276" s="14"/>
      <c r="AK276" s="3"/>
      <c r="AL276" s="3"/>
      <c r="AM276" s="3"/>
      <c r="AN276" s="3"/>
      <c r="AO276" s="3"/>
      <c r="AP276" s="3"/>
      <c r="AQ276" s="3"/>
      <c r="AR276" s="3"/>
      <c r="AS276" s="3"/>
      <c r="AT276" s="4"/>
      <c r="AU276" s="4"/>
      <c r="AV276" s="402"/>
      <c r="AW276" s="402"/>
      <c r="AX276" s="402"/>
      <c r="AY276" s="402"/>
      <c r="AZ276" s="402"/>
      <c r="BA276" s="402"/>
      <c r="BB276" s="402"/>
      <c r="BC276" s="402"/>
      <c r="BD276" s="402"/>
      <c r="BE276" s="402"/>
      <c r="BF276" s="402"/>
    </row>
    <row r="277" spans="1:58" ht="14.25" customHeight="1" x14ac:dyDescent="0.25">
      <c r="A277" s="637"/>
      <c r="B277" s="417"/>
      <c r="C277" s="173">
        <v>267</v>
      </c>
      <c r="D277" s="165"/>
      <c r="E277" s="174">
        <v>3.331798494724536E-3</v>
      </c>
      <c r="F277" s="502"/>
      <c r="G277" s="219">
        <f t="shared" si="32"/>
        <v>8.94887463331888</v>
      </c>
      <c r="H277" s="249">
        <f>H276+(G276*E277*'life-tables-test'!$C$66)</f>
        <v>91.05112536668112</v>
      </c>
      <c r="I277" s="516">
        <f t="shared" si="30"/>
        <v>100</v>
      </c>
      <c r="J277" s="153">
        <f>(G277*0)/(1+cDR)^'Markov Model_b (2)'!cycle</f>
        <v>0</v>
      </c>
      <c r="K277" s="178">
        <f t="shared" si="27"/>
        <v>8.94887463331888</v>
      </c>
      <c r="L277" s="202">
        <f>(G277*(uPostT))/(1+oDR)^'Markov Model_b (2)'!cycle</f>
        <v>3.491822919530652</v>
      </c>
      <c r="M277" s="80"/>
      <c r="N277" s="3"/>
      <c r="O277" s="80"/>
      <c r="P277" s="173">
        <v>267</v>
      </c>
      <c r="Q277" s="165"/>
      <c r="R277" s="174">
        <v>3.331798494724536E-3</v>
      </c>
      <c r="S277" s="502"/>
      <c r="T277" s="219">
        <f t="shared" si="31"/>
        <v>8.4308978996168662</v>
      </c>
      <c r="U277" s="249">
        <f>U276+(T276*R277*'life-tables-test'!$C$66)</f>
        <v>91.569102100383134</v>
      </c>
      <c r="V277" s="516">
        <f t="shared" si="28"/>
        <v>100</v>
      </c>
      <c r="W277" s="153">
        <f>(T277*0)/(1+cDR)^'Markov Model_b (2)'!cycle2</f>
        <v>0</v>
      </c>
      <c r="X277" s="178">
        <f t="shared" si="29"/>
        <v>8.4308978996168662</v>
      </c>
      <c r="Y277" s="202">
        <f>(T277*(uPostT))/(1+oDR)^'Markov Model_b (2)'!cycle</f>
        <v>3.2897100165528697</v>
      </c>
      <c r="Z277" s="80"/>
      <c r="AA277" s="3"/>
      <c r="AB277" s="3"/>
      <c r="AC277" s="14">
        <v>265</v>
      </c>
      <c r="AD277" s="14"/>
      <c r="AE277" s="14"/>
      <c r="AF277" s="3"/>
      <c r="AG277" s="3"/>
      <c r="AH277" s="3"/>
      <c r="AI277" s="14"/>
      <c r="AJ277" s="14"/>
      <c r="AK277" s="3"/>
      <c r="AL277" s="3"/>
      <c r="AM277" s="3"/>
      <c r="AN277" s="3"/>
      <c r="AO277" s="3"/>
      <c r="AP277" s="3"/>
      <c r="AQ277" s="3"/>
      <c r="AR277" s="3"/>
      <c r="AS277" s="3"/>
      <c r="AT277" s="4"/>
      <c r="AU277" s="4"/>
      <c r="AV277" s="402"/>
      <c r="AW277" s="402"/>
      <c r="AX277" s="402"/>
      <c r="AY277" s="402"/>
      <c r="AZ277" s="402"/>
      <c r="BA277" s="402"/>
      <c r="BB277" s="402"/>
      <c r="BC277" s="402"/>
      <c r="BD277" s="402"/>
      <c r="BE277" s="402"/>
      <c r="BF277" s="402"/>
    </row>
    <row r="278" spans="1:58" ht="14.25" customHeight="1" x14ac:dyDescent="0.25">
      <c r="A278" s="637"/>
      <c r="B278" s="417"/>
      <c r="C278" s="173">
        <v>268</v>
      </c>
      <c r="D278" s="165"/>
      <c r="E278" s="174">
        <v>3.331798494724536E-3</v>
      </c>
      <c r="F278" s="502"/>
      <c r="G278" s="219">
        <f t="shared" si="32"/>
        <v>8.7997953981550268</v>
      </c>
      <c r="H278" s="249">
        <f>H277+(G277*E278*'life-tables-test'!$C$66)</f>
        <v>91.200204601844973</v>
      </c>
      <c r="I278" s="516">
        <f t="shared" si="30"/>
        <v>100</v>
      </c>
      <c r="J278" s="153">
        <f>(G278*0)/(1+cDR)^'Markov Model_b (2)'!cycle</f>
        <v>0</v>
      </c>
      <c r="K278" s="178">
        <f t="shared" si="27"/>
        <v>8.7997953981550268</v>
      </c>
      <c r="L278" s="202">
        <f>(G278*(uPostT))/(1+oDR)^'Markov Model_b (2)'!cycle</f>
        <v>3.4250899429376225</v>
      </c>
      <c r="M278" s="80"/>
      <c r="N278" s="3"/>
      <c r="O278" s="80"/>
      <c r="P278" s="173">
        <v>268</v>
      </c>
      <c r="Q278" s="165"/>
      <c r="R278" s="174">
        <v>3.331798494724536E-3</v>
      </c>
      <c r="S278" s="502"/>
      <c r="T278" s="219">
        <f t="shared" si="31"/>
        <v>8.2904476349612679</v>
      </c>
      <c r="U278" s="249">
        <f>U277+(T277*R278*'life-tables-test'!$C$66)</f>
        <v>91.709552365038732</v>
      </c>
      <c r="V278" s="516">
        <f t="shared" si="28"/>
        <v>100</v>
      </c>
      <c r="W278" s="153">
        <f>(T278*0)/(1+cDR)^'Markov Model_b (2)'!cycle2</f>
        <v>0</v>
      </c>
      <c r="X278" s="178">
        <f t="shared" si="29"/>
        <v>8.2904476349612679</v>
      </c>
      <c r="Y278" s="202">
        <f>(T278*(uPostT))/(1+oDR)^'Markov Model_b (2)'!cycle</f>
        <v>3.2268396629892409</v>
      </c>
      <c r="Z278" s="80"/>
      <c r="AA278" s="3"/>
      <c r="AB278" s="3"/>
      <c r="AC278" s="14">
        <v>266</v>
      </c>
      <c r="AD278" s="14"/>
      <c r="AE278" s="14"/>
      <c r="AF278" s="3"/>
      <c r="AG278" s="3"/>
      <c r="AH278" s="3"/>
      <c r="AI278" s="14"/>
      <c r="AJ278" s="14"/>
      <c r="AK278" s="3"/>
      <c r="AL278" s="3"/>
      <c r="AM278" s="3"/>
      <c r="AN278" s="3"/>
      <c r="AO278" s="3"/>
      <c r="AP278" s="3"/>
      <c r="AQ278" s="3"/>
      <c r="AR278" s="3"/>
      <c r="AS278" s="3"/>
      <c r="AT278" s="4"/>
      <c r="AU278" s="4"/>
      <c r="AV278" s="402"/>
      <c r="AW278" s="402"/>
      <c r="AX278" s="402"/>
      <c r="AY278" s="402"/>
      <c r="AZ278" s="402"/>
      <c r="BA278" s="402"/>
      <c r="BB278" s="402"/>
      <c r="BC278" s="402"/>
      <c r="BD278" s="402"/>
      <c r="BE278" s="402"/>
      <c r="BF278" s="402"/>
    </row>
    <row r="279" spans="1:58" ht="14.25" customHeight="1" x14ac:dyDescent="0.25">
      <c r="A279" s="637"/>
      <c r="B279" s="417"/>
      <c r="C279" s="173">
        <v>269</v>
      </c>
      <c r="D279" s="165"/>
      <c r="E279" s="174">
        <v>3.331798494724536E-3</v>
      </c>
      <c r="F279" s="502"/>
      <c r="G279" s="219">
        <f t="shared" si="32"/>
        <v>8.653199672847748</v>
      </c>
      <c r="H279" s="249">
        <f>H278+(G278*E279*'life-tables-test'!$C$66)</f>
        <v>91.346800327152252</v>
      </c>
      <c r="I279" s="516">
        <f t="shared" si="30"/>
        <v>100</v>
      </c>
      <c r="J279" s="153">
        <f>(G279*0)/(1+cDR)^'Markov Model_b (2)'!cycle</f>
        <v>0</v>
      </c>
      <c r="K279" s="178">
        <f t="shared" si="27"/>
        <v>8.653199672847748</v>
      </c>
      <c r="L279" s="202">
        <f>(G279*(uPostT))/(1+oDR)^'Markov Model_b (2)'!cycle</f>
        <v>3.35963231457032</v>
      </c>
      <c r="M279" s="80"/>
      <c r="N279" s="3"/>
      <c r="O279" s="80"/>
      <c r="P279" s="173">
        <v>269</v>
      </c>
      <c r="Q279" s="165"/>
      <c r="R279" s="174">
        <v>3.331798494724536E-3</v>
      </c>
      <c r="S279" s="502"/>
      <c r="T279" s="219">
        <f t="shared" si="31"/>
        <v>8.152337130207485</v>
      </c>
      <c r="U279" s="249">
        <f>U278+(T278*R279*'life-tables-test'!$C$66)</f>
        <v>91.847662869792515</v>
      </c>
      <c r="V279" s="516">
        <f t="shared" si="28"/>
        <v>100</v>
      </c>
      <c r="W279" s="153">
        <f>(T279*0)/(1+cDR)^'Markov Model_b (2)'!cycle2</f>
        <v>0</v>
      </c>
      <c r="X279" s="178">
        <f t="shared" si="29"/>
        <v>8.152337130207485</v>
      </c>
      <c r="Y279" s="202">
        <f>(T279*(uPostT))/(1+oDR)^'Markov Model_b (2)'!cycle</f>
        <v>3.1651708382343298</v>
      </c>
      <c r="Z279" s="80"/>
      <c r="AA279" s="3"/>
      <c r="AB279" s="3"/>
      <c r="AC279" s="14">
        <v>267</v>
      </c>
      <c r="AD279" s="14"/>
      <c r="AE279" s="14"/>
      <c r="AF279" s="3"/>
      <c r="AG279" s="3"/>
      <c r="AH279" s="3"/>
      <c r="AI279" s="14"/>
      <c r="AJ279" s="14"/>
      <c r="AK279" s="3"/>
      <c r="AL279" s="3"/>
      <c r="AM279" s="3"/>
      <c r="AN279" s="3"/>
      <c r="AO279" s="3"/>
      <c r="AP279" s="3"/>
      <c r="AQ279" s="3"/>
      <c r="AR279" s="3"/>
      <c r="AS279" s="3"/>
      <c r="AT279" s="4"/>
      <c r="AU279" s="4"/>
      <c r="AV279" s="402"/>
      <c r="AW279" s="402"/>
      <c r="AX279" s="402"/>
      <c r="AY279" s="402"/>
      <c r="AZ279" s="402"/>
      <c r="BA279" s="402"/>
      <c r="BB279" s="402"/>
      <c r="BC279" s="402"/>
      <c r="BD279" s="402"/>
      <c r="BE279" s="402"/>
      <c r="BF279" s="402"/>
    </row>
    <row r="280" spans="1:58" ht="14.25" customHeight="1" x14ac:dyDescent="0.25">
      <c r="A280" s="637"/>
      <c r="B280" s="417"/>
      <c r="C280" s="173">
        <v>270</v>
      </c>
      <c r="D280" s="165"/>
      <c r="E280" s="174">
        <v>3.331798494724536E-3</v>
      </c>
      <c r="F280" s="502"/>
      <c r="G280" s="219">
        <f t="shared" si="32"/>
        <v>8.5090460846250267</v>
      </c>
      <c r="H280" s="249">
        <f>H279+(G279*E280*'life-tables-test'!$C$66)</f>
        <v>91.490953915374973</v>
      </c>
      <c r="I280" s="516">
        <f t="shared" si="30"/>
        <v>100</v>
      </c>
      <c r="J280" s="153">
        <f>(G280*0)/(1+cDR)^'Markov Model_b (2)'!cycle</f>
        <v>0</v>
      </c>
      <c r="K280" s="178">
        <f t="shared" si="27"/>
        <v>8.5090460846250267</v>
      </c>
      <c r="L280" s="202">
        <f>(G280*(uPostT))/(1+oDR)^'Markov Model_b (2)'!cycle</f>
        <v>3.2954256609753174</v>
      </c>
      <c r="M280" s="80"/>
      <c r="N280" s="3"/>
      <c r="O280" s="80"/>
      <c r="P280" s="173">
        <v>270</v>
      </c>
      <c r="Q280" s="165"/>
      <c r="R280" s="174">
        <v>3.331798494724536E-3</v>
      </c>
      <c r="S280" s="502"/>
      <c r="T280" s="219">
        <f t="shared" si="31"/>
        <v>8.0165274073129211</v>
      </c>
      <c r="U280" s="249">
        <f>U279+(T279*R280*'life-tables-test'!$C$66)</f>
        <v>91.983472592687079</v>
      </c>
      <c r="V280" s="516">
        <f t="shared" si="28"/>
        <v>100</v>
      </c>
      <c r="W280" s="153">
        <f>(T280*0)/(1+cDR)^'Markov Model_b (2)'!cycle2</f>
        <v>0</v>
      </c>
      <c r="X280" s="178">
        <f t="shared" si="29"/>
        <v>8.0165274073129211</v>
      </c>
      <c r="Y280" s="202">
        <f>(T280*(uPostT))/(1+oDR)^'Markov Model_b (2)'!cycle</f>
        <v>3.1046805796134205</v>
      </c>
      <c r="Z280" s="80"/>
      <c r="AA280" s="3"/>
      <c r="AB280" s="3"/>
      <c r="AC280" s="14">
        <v>268</v>
      </c>
      <c r="AD280" s="14"/>
      <c r="AE280" s="14"/>
      <c r="AF280" s="3"/>
      <c r="AG280" s="3"/>
      <c r="AH280" s="3"/>
      <c r="AI280" s="14"/>
      <c r="AJ280" s="14"/>
      <c r="AK280" s="3"/>
      <c r="AL280" s="3"/>
      <c r="AM280" s="3"/>
      <c r="AN280" s="3"/>
      <c r="AO280" s="3"/>
      <c r="AP280" s="3"/>
      <c r="AQ280" s="3"/>
      <c r="AR280" s="3"/>
      <c r="AS280" s="3"/>
      <c r="AT280" s="4"/>
      <c r="AU280" s="4"/>
      <c r="AV280" s="402"/>
      <c r="AW280" s="402"/>
      <c r="AX280" s="402"/>
      <c r="AY280" s="402"/>
      <c r="AZ280" s="402"/>
      <c r="BA280" s="402"/>
      <c r="BB280" s="402"/>
      <c r="BC280" s="402"/>
      <c r="BD280" s="402"/>
      <c r="BE280" s="402"/>
      <c r="BF280" s="402"/>
    </row>
    <row r="281" spans="1:58" ht="14.25" customHeight="1" x14ac:dyDescent="0.25">
      <c r="A281" s="637"/>
      <c r="B281" s="417"/>
      <c r="C281" s="173">
        <v>271</v>
      </c>
      <c r="D281" s="165"/>
      <c r="E281" s="174">
        <v>3.331798494724536E-3</v>
      </c>
      <c r="F281" s="502"/>
      <c r="G281" s="219">
        <f t="shared" si="32"/>
        <v>8.3672939499435444</v>
      </c>
      <c r="H281" s="249">
        <f>H280+(G280*E281*'life-tables-test'!$C$66)</f>
        <v>91.632706050056456</v>
      </c>
      <c r="I281" s="516">
        <f t="shared" si="30"/>
        <v>100</v>
      </c>
      <c r="J281" s="153">
        <f>(G281*0)/(1+cDR)^'Markov Model_b (2)'!cycle</f>
        <v>0</v>
      </c>
      <c r="K281" s="178">
        <f t="shared" si="27"/>
        <v>8.3672939499435444</v>
      </c>
      <c r="L281" s="202">
        <f>(G281*(uPostT))/(1+oDR)^'Markov Model_b (2)'!cycle</f>
        <v>3.2324460745054813</v>
      </c>
      <c r="M281" s="80"/>
      <c r="N281" s="3"/>
      <c r="O281" s="80"/>
      <c r="P281" s="173">
        <v>271</v>
      </c>
      <c r="Q281" s="165"/>
      <c r="R281" s="174">
        <v>3.331798494724536E-3</v>
      </c>
      <c r="S281" s="502"/>
      <c r="T281" s="219">
        <f t="shared" si="31"/>
        <v>7.882980137569902</v>
      </c>
      <c r="U281" s="249">
        <f>U280+(T280*R281*'life-tables-test'!$C$66)</f>
        <v>92.117019862430098</v>
      </c>
      <c r="V281" s="516">
        <f t="shared" si="28"/>
        <v>100</v>
      </c>
      <c r="W281" s="153">
        <f>(T281*0)/(1+cDR)^'Markov Model_b (2)'!cycle2</f>
        <v>0</v>
      </c>
      <c r="X281" s="178">
        <f t="shared" si="29"/>
        <v>7.882980137569902</v>
      </c>
      <c r="Y281" s="202">
        <f>(T281*(uPostT))/(1+oDR)^'Markov Model_b (2)'!cycle</f>
        <v>3.045346363296396</v>
      </c>
      <c r="Z281" s="80"/>
      <c r="AA281" s="3"/>
      <c r="AB281" s="3"/>
      <c r="AC281" s="14">
        <v>269</v>
      </c>
      <c r="AD281" s="14"/>
      <c r="AE281" s="14"/>
      <c r="AF281" s="3"/>
      <c r="AG281" s="3"/>
      <c r="AH281" s="3"/>
      <c r="AI281" s="14"/>
      <c r="AJ281" s="14"/>
      <c r="AK281" s="3"/>
      <c r="AL281" s="3"/>
      <c r="AM281" s="3"/>
      <c r="AN281" s="3"/>
      <c r="AO281" s="3"/>
      <c r="AP281" s="3"/>
      <c r="AQ281" s="3"/>
      <c r="AR281" s="3"/>
      <c r="AS281" s="3"/>
      <c r="AT281" s="4"/>
      <c r="AU281" s="4"/>
      <c r="AV281" s="402"/>
      <c r="AW281" s="402"/>
      <c r="AX281" s="402"/>
      <c r="AY281" s="402"/>
      <c r="AZ281" s="402"/>
      <c r="BA281" s="402"/>
      <c r="BB281" s="402"/>
      <c r="BC281" s="402"/>
      <c r="BD281" s="402"/>
      <c r="BE281" s="402"/>
      <c r="BF281" s="402"/>
    </row>
    <row r="282" spans="1:58" ht="14.25" customHeight="1" x14ac:dyDescent="0.25">
      <c r="A282" s="637"/>
      <c r="B282" s="417"/>
      <c r="C282" s="173">
        <v>272</v>
      </c>
      <c r="D282" s="165"/>
      <c r="E282" s="174">
        <v>3.331798494724536E-3</v>
      </c>
      <c r="F282" s="502"/>
      <c r="G282" s="219">
        <f t="shared" si="32"/>
        <v>8.2279032630068514</v>
      </c>
      <c r="H282" s="249">
        <f>H281+(G281*E282*'life-tables-test'!$C$66)</f>
        <v>91.772096736993149</v>
      </c>
      <c r="I282" s="516">
        <f t="shared" si="30"/>
        <v>100</v>
      </c>
      <c r="J282" s="153">
        <f>(G282*0)/(1+cDR)^'Markov Model_b (2)'!cycle</f>
        <v>0</v>
      </c>
      <c r="K282" s="178">
        <f t="shared" si="27"/>
        <v>8.2279032630068514</v>
      </c>
      <c r="L282" s="202">
        <f>(G282*(uPostT))/(1+oDR)^'Markov Model_b (2)'!cycle</f>
        <v>3.17067010441786</v>
      </c>
      <c r="M282" s="80"/>
      <c r="N282" s="3"/>
      <c r="O282" s="80"/>
      <c r="P282" s="173">
        <v>272</v>
      </c>
      <c r="Q282" s="165"/>
      <c r="R282" s="174">
        <v>3.331798494724536E-3</v>
      </c>
      <c r="S282" s="502"/>
      <c r="T282" s="219">
        <f t="shared" si="31"/>
        <v>7.7516576307884009</v>
      </c>
      <c r="U282" s="249">
        <f>U281+(T281*R282*'life-tables-test'!$C$66)</f>
        <v>92.248342369211599</v>
      </c>
      <c r="V282" s="516">
        <f t="shared" si="28"/>
        <v>100</v>
      </c>
      <c r="W282" s="153">
        <f>(T282*0)/(1+cDR)^'Markov Model_b (2)'!cycle2</f>
        <v>0</v>
      </c>
      <c r="X282" s="178">
        <f t="shared" si="29"/>
        <v>7.7516576307884009</v>
      </c>
      <c r="Y282" s="202">
        <f>(T282*(uPostT))/(1+oDR)^'Markov Model_b (2)'!cycle</f>
        <v>2.9871460959108869</v>
      </c>
      <c r="Z282" s="80"/>
      <c r="AA282" s="3"/>
      <c r="AB282" s="3"/>
      <c r="AC282" s="14">
        <v>270</v>
      </c>
      <c r="AD282" s="14"/>
      <c r="AE282" s="14"/>
      <c r="AF282" s="3"/>
      <c r="AG282" s="3"/>
      <c r="AH282" s="3"/>
      <c r="AI282" s="14"/>
      <c r="AJ282" s="14"/>
      <c r="AK282" s="3"/>
      <c r="AL282" s="3"/>
      <c r="AM282" s="3"/>
      <c r="AN282" s="3"/>
      <c r="AO282" s="3"/>
      <c r="AP282" s="3"/>
      <c r="AQ282" s="3"/>
      <c r="AR282" s="3"/>
      <c r="AS282" s="3"/>
      <c r="AT282" s="4"/>
      <c r="AU282" s="4"/>
      <c r="AV282" s="402"/>
      <c r="AW282" s="402"/>
      <c r="AX282" s="402"/>
      <c r="AY282" s="402"/>
      <c r="AZ282" s="402"/>
      <c r="BA282" s="402"/>
      <c r="BB282" s="402"/>
      <c r="BC282" s="402"/>
      <c r="BD282" s="402"/>
      <c r="BE282" s="402"/>
      <c r="BF282" s="402"/>
    </row>
    <row r="283" spans="1:58" ht="14.25" customHeight="1" x14ac:dyDescent="0.2">
      <c r="A283" s="637"/>
      <c r="B283" s="417"/>
      <c r="C283" s="173">
        <v>273</v>
      </c>
      <c r="D283" s="165"/>
      <c r="E283" s="174">
        <v>3.331798494724536E-3</v>
      </c>
      <c r="F283" s="502"/>
      <c r="G283" s="219">
        <f t="shared" si="32"/>
        <v>8.0908346844747285</v>
      </c>
      <c r="H283" s="249">
        <f>H282+(G282*E283*'life-tables-test'!$C$66)</f>
        <v>91.909165315525271</v>
      </c>
      <c r="I283" s="516">
        <f t="shared" si="30"/>
        <v>100</v>
      </c>
      <c r="J283" s="153">
        <f>(G283*0)/(1+cDR)^'Markov Model_b (2)'!cycle</f>
        <v>0</v>
      </c>
      <c r="K283" s="178">
        <f t="shared" si="27"/>
        <v>8.0908346844747285</v>
      </c>
      <c r="L283" s="202">
        <f>(G283*(uPostT))/(1+oDR)^'Markov Model_b (2)'!cycle</f>
        <v>3.1100747481416704</v>
      </c>
      <c r="M283" s="80"/>
      <c r="N283" s="3"/>
      <c r="O283" s="80"/>
      <c r="P283" s="173">
        <v>273</v>
      </c>
      <c r="Q283" s="165"/>
      <c r="R283" s="174">
        <v>3.331798494724536E-3</v>
      </c>
      <c r="S283" s="502"/>
      <c r="T283" s="219">
        <f t="shared" si="31"/>
        <v>7.6225228246590007</v>
      </c>
      <c r="U283" s="249">
        <f>U282+(T282*R283*'life-tables-test'!$C$66)</f>
        <v>92.377477175340999</v>
      </c>
      <c r="V283" s="516">
        <f t="shared" si="28"/>
        <v>100</v>
      </c>
      <c r="W283" s="153">
        <f>(T283*0)/(1+cDR)^'Markov Model_b (2)'!cycle2</f>
        <v>0</v>
      </c>
      <c r="X283" s="178">
        <f t="shared" si="29"/>
        <v>7.6225228246590007</v>
      </c>
      <c r="Y283" s="202">
        <f>(T283*(uPostT))/(1+oDR)^'Markov Model_b (2)'!cycle</f>
        <v>2.930058106315709</v>
      </c>
      <c r="Z283" s="80"/>
      <c r="AA283" s="3"/>
      <c r="AB283" s="3"/>
      <c r="AC283" s="14">
        <v>271</v>
      </c>
      <c r="AD283" s="14"/>
      <c r="AE283" s="14"/>
      <c r="AF283" s="3"/>
      <c r="AG283" s="3"/>
      <c r="AH283" s="3"/>
      <c r="AI283" s="14"/>
      <c r="AJ283" s="14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</row>
    <row r="284" spans="1:58" ht="14.25" customHeight="1" x14ac:dyDescent="0.2">
      <c r="A284" s="637"/>
      <c r="B284" s="417"/>
      <c r="C284" s="173">
        <v>274</v>
      </c>
      <c r="D284" s="165"/>
      <c r="E284" s="174">
        <v>3.331798494724536E-3</v>
      </c>
      <c r="F284" s="502"/>
      <c r="G284" s="219">
        <f t="shared" si="32"/>
        <v>7.9560495303607439</v>
      </c>
      <c r="H284" s="249">
        <f>H283+(G283*E284*'life-tables-test'!$C$66)</f>
        <v>92.043950469639256</v>
      </c>
      <c r="I284" s="516">
        <f t="shared" si="30"/>
        <v>100</v>
      </c>
      <c r="J284" s="153">
        <f>(G284*0)/(1+cDR)^'Markov Model_b (2)'!cycle</f>
        <v>0</v>
      </c>
      <c r="K284" s="178">
        <f t="shared" si="27"/>
        <v>7.9560495303607439</v>
      </c>
      <c r="L284" s="202">
        <f>(G284*(uPostT))/(1+oDR)^'Markov Model_b (2)'!cycle</f>
        <v>3.0506374427131933</v>
      </c>
      <c r="M284" s="80"/>
      <c r="N284" s="3"/>
      <c r="O284" s="80"/>
      <c r="P284" s="173">
        <v>274</v>
      </c>
      <c r="Q284" s="165"/>
      <c r="R284" s="174">
        <v>3.331798494724536E-3</v>
      </c>
      <c r="S284" s="502"/>
      <c r="T284" s="219">
        <f t="shared" si="31"/>
        <v>7.4955392742929945</v>
      </c>
      <c r="U284" s="249">
        <f>U283+(T283*R284*'life-tables-test'!$C$66)</f>
        <v>92.504460725707006</v>
      </c>
      <c r="V284" s="516">
        <f t="shared" si="28"/>
        <v>100</v>
      </c>
      <c r="W284" s="153">
        <f>(T284*0)/(1+cDR)^'Markov Model_b (2)'!cycle2</f>
        <v>0</v>
      </c>
      <c r="X284" s="178">
        <f t="shared" si="29"/>
        <v>7.4955392742929945</v>
      </c>
      <c r="Y284" s="202">
        <f>(T284*(uPostT))/(1+oDR)^'Markov Model_b (2)'!cycle</f>
        <v>2.8740611375314908</v>
      </c>
      <c r="Z284" s="80"/>
      <c r="AA284" s="3"/>
      <c r="AB284" s="3"/>
      <c r="AC284" s="14">
        <v>272</v>
      </c>
      <c r="AD284" s="14"/>
      <c r="AE284" s="14"/>
      <c r="AF284" s="3"/>
      <c r="AG284" s="3"/>
      <c r="AH284" s="3"/>
      <c r="AI284" s="14"/>
      <c r="AJ284" s="14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</row>
    <row r="285" spans="1:58" ht="14.25" customHeight="1" x14ac:dyDescent="0.2">
      <c r="A285" s="637"/>
      <c r="B285" s="417"/>
      <c r="C285" s="173">
        <v>275</v>
      </c>
      <c r="D285" s="165"/>
      <c r="E285" s="174">
        <v>3.331798494724536E-3</v>
      </c>
      <c r="F285" s="502"/>
      <c r="G285" s="219">
        <f t="shared" si="32"/>
        <v>7.8235097611146927</v>
      </c>
      <c r="H285" s="249">
        <f>H284+(G284*E285*'life-tables-test'!$C$66)</f>
        <v>92.176490238885307</v>
      </c>
      <c r="I285" s="516">
        <f t="shared" si="30"/>
        <v>100</v>
      </c>
      <c r="J285" s="153">
        <f>(G285*0)/(1+cDR)^'Markov Model_b (2)'!cycle</f>
        <v>0</v>
      </c>
      <c r="K285" s="178">
        <f t="shared" si="27"/>
        <v>7.8235097611146927</v>
      </c>
      <c r="L285" s="202">
        <f>(G285*(uPostT))/(1+oDR)^'Markov Model_b (2)'!cycle</f>
        <v>2.9923360563743464</v>
      </c>
      <c r="M285" s="80"/>
      <c r="N285" s="3"/>
      <c r="O285" s="80"/>
      <c r="P285" s="173">
        <v>275</v>
      </c>
      <c r="Q285" s="165"/>
      <c r="R285" s="174">
        <v>3.331798494724536E-3</v>
      </c>
      <c r="S285" s="502"/>
      <c r="T285" s="219">
        <f t="shared" si="31"/>
        <v>7.3706711419368105</v>
      </c>
      <c r="U285" s="249">
        <f>U284+(T284*R285*'life-tables-test'!$C$66)</f>
        <v>92.62932885806319</v>
      </c>
      <c r="V285" s="516">
        <f t="shared" si="28"/>
        <v>100</v>
      </c>
      <c r="W285" s="153">
        <f>(T285*0)/(1+cDR)^'Markov Model_b (2)'!cycle2</f>
        <v>0</v>
      </c>
      <c r="X285" s="178">
        <f t="shared" si="29"/>
        <v>7.3706711419368105</v>
      </c>
      <c r="Y285" s="202">
        <f>(T285*(uPostT))/(1+oDR)^'Markov Model_b (2)'!cycle</f>
        <v>2.8191343388255619</v>
      </c>
      <c r="Z285" s="80"/>
      <c r="AA285" s="3"/>
      <c r="AB285" s="3"/>
      <c r="AC285" s="14">
        <v>273</v>
      </c>
      <c r="AD285" s="14"/>
      <c r="AE285" s="14"/>
      <c r="AF285" s="3"/>
      <c r="AG285" s="3"/>
      <c r="AH285" s="3"/>
      <c r="AI285" s="14"/>
      <c r="AJ285" s="14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</row>
    <row r="286" spans="1:58" ht="14.25" customHeight="1" x14ac:dyDescent="0.2">
      <c r="A286" s="637"/>
      <c r="B286" s="417"/>
      <c r="C286" s="173">
        <v>276</v>
      </c>
      <c r="D286" s="165"/>
      <c r="E286" s="174">
        <v>3.331798494724536E-3</v>
      </c>
      <c r="F286" s="502"/>
      <c r="G286" s="219">
        <f t="shared" si="32"/>
        <v>7.6931779708869641</v>
      </c>
      <c r="H286" s="249">
        <f>H285+(G285*E286*'life-tables-test'!$C$66)</f>
        <v>92.306822029113036</v>
      </c>
      <c r="I286" s="516">
        <f t="shared" si="30"/>
        <v>100</v>
      </c>
      <c r="J286" s="153">
        <f>(G286*0)/(1+cDR)^'Markov Model_b (2)'!cycle</f>
        <v>0</v>
      </c>
      <c r="K286" s="178">
        <f t="shared" si="27"/>
        <v>7.6931779708869641</v>
      </c>
      <c r="L286" s="202">
        <f>(G286*(uPostT))/(1+oDR)^'Markov Model_b (2)'!cycle</f>
        <v>2.9351488803318246</v>
      </c>
      <c r="M286" s="80"/>
      <c r="N286" s="3"/>
      <c r="O286" s="80"/>
      <c r="P286" s="173">
        <v>276</v>
      </c>
      <c r="Q286" s="165"/>
      <c r="R286" s="174">
        <v>3.331798494724536E-3</v>
      </c>
      <c r="S286" s="502"/>
      <c r="T286" s="219">
        <f t="shared" si="31"/>
        <v>7.2478831868577345</v>
      </c>
      <c r="U286" s="249">
        <f>U285+(T285*R286*'life-tables-test'!$C$66)</f>
        <v>92.752116813142266</v>
      </c>
      <c r="V286" s="516">
        <f t="shared" si="28"/>
        <v>100</v>
      </c>
      <c r="W286" s="153">
        <f>(T286*0)/(1+cDR)^'Markov Model_b (2)'!cycle2</f>
        <v>0</v>
      </c>
      <c r="X286" s="178">
        <f t="shared" si="29"/>
        <v>7.2478831868577345</v>
      </c>
      <c r="Y286" s="202">
        <f>(T286*(uPostT))/(1+oDR)^'Markov Model_b (2)'!cycle</f>
        <v>2.7652572579480639</v>
      </c>
      <c r="Z286" s="80"/>
      <c r="AA286" s="3"/>
      <c r="AB286" s="3"/>
      <c r="AC286" s="14">
        <v>274</v>
      </c>
      <c r="AD286" s="14"/>
      <c r="AE286" s="14"/>
      <c r="AF286" s="3"/>
      <c r="AG286" s="3"/>
      <c r="AH286" s="3"/>
      <c r="AI286" s="14"/>
      <c r="AJ286" s="14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</row>
    <row r="287" spans="1:58" ht="14.25" customHeight="1" x14ac:dyDescent="0.2">
      <c r="A287" s="519"/>
      <c r="B287" s="417"/>
      <c r="C287" s="173">
        <v>277</v>
      </c>
      <c r="D287" s="504"/>
      <c r="E287" s="174">
        <v>3.331798494724536E-3</v>
      </c>
      <c r="F287" s="505"/>
      <c r="G287" s="219">
        <f t="shared" si="32"/>
        <v>7.5650173769717242</v>
      </c>
      <c r="H287" s="249">
        <f>H286+(G286*E287*'life-tables-test'!$C$66)</f>
        <v>92.434982623028276</v>
      </c>
      <c r="I287" s="516">
        <f t="shared" si="30"/>
        <v>100</v>
      </c>
      <c r="J287" s="180">
        <f>(G287*0)/(1+cDR)^'Markov Model_b (2)'!cycle</f>
        <v>0</v>
      </c>
      <c r="K287" s="176">
        <f t="shared" si="27"/>
        <v>7.5650173769717242</v>
      </c>
      <c r="L287" s="202">
        <f>(G287*(uPostT))/(1+oDR)^'Markov Model_b (2)'!cycle</f>
        <v>2.8790546206737329</v>
      </c>
      <c r="M287" s="80"/>
      <c r="N287" s="3"/>
      <c r="O287" s="80"/>
      <c r="P287" s="173">
        <v>277</v>
      </c>
      <c r="Q287" s="504"/>
      <c r="R287" s="174">
        <v>3.331798494724536E-3</v>
      </c>
      <c r="S287" s="505"/>
      <c r="T287" s="219">
        <f t="shared" si="31"/>
        <v>7.1271407553981732</v>
      </c>
      <c r="U287" s="249">
        <f>U286+(T286*R287*'life-tables-test'!$C$66)</f>
        <v>92.872859244601827</v>
      </c>
      <c r="V287" s="516">
        <f t="shared" si="28"/>
        <v>100</v>
      </c>
      <c r="W287" s="180">
        <f>(T287*0)/(1+cDR)^'Markov Model_b (2)'!cycle2</f>
        <v>0</v>
      </c>
      <c r="X287" s="176">
        <f t="shared" si="29"/>
        <v>7.1271407553981732</v>
      </c>
      <c r="Y287" s="202">
        <f>(T287*(uPostT))/(1+oDR)^'Markov Model_b (2)'!cycle</f>
        <v>2.7124098335164848</v>
      </c>
      <c r="Z287" s="80"/>
      <c r="AA287" s="3"/>
      <c r="AB287" s="3"/>
      <c r="AC287" s="14">
        <v>275</v>
      </c>
      <c r="AD287" s="14"/>
      <c r="AE287" s="14"/>
      <c r="AF287" s="3"/>
      <c r="AG287" s="3"/>
      <c r="AH287" s="3"/>
      <c r="AI287" s="14"/>
      <c r="AJ287" s="14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</row>
    <row r="288" spans="1:58" ht="14.25" customHeight="1" x14ac:dyDescent="0.25">
      <c r="A288" s="3">
        <v>25</v>
      </c>
      <c r="B288" s="417"/>
      <c r="C288" s="506">
        <v>278</v>
      </c>
      <c r="D288" s="506"/>
      <c r="E288" s="507">
        <v>3.331798494724536E-3</v>
      </c>
      <c r="F288" s="508"/>
      <c r="G288" s="509">
        <f t="shared" si="32"/>
        <v>7.4389918094259286</v>
      </c>
      <c r="H288" s="510">
        <f>H287+(G287*E288*'life-tables-test'!$C$66)</f>
        <v>92.561008190574071</v>
      </c>
      <c r="I288" s="518">
        <f t="shared" si="30"/>
        <v>100</v>
      </c>
      <c r="J288" s="511">
        <f>(G288*0)/(1+cDR)^'Markov Model_b (2)'!cycle</f>
        <v>0</v>
      </c>
      <c r="K288" s="512">
        <f t="shared" si="27"/>
        <v>7.4389918094259286</v>
      </c>
      <c r="L288" s="513">
        <f>(G288*(uPostT))/(1+oDR)^'Markov Model_b (2)'!cycle</f>
        <v>2.8240323904406797</v>
      </c>
      <c r="M288" s="80"/>
      <c r="N288" s="3"/>
      <c r="O288" s="80"/>
      <c r="P288" s="506">
        <v>278</v>
      </c>
      <c r="Q288" s="506"/>
      <c r="R288" s="507">
        <v>3.331798494724536E-3</v>
      </c>
      <c r="S288" s="508"/>
      <c r="T288" s="509">
        <f t="shared" si="31"/>
        <v>7.0084097711955451</v>
      </c>
      <c r="U288" s="510">
        <f>U287+(T287*R288*'life-tables-test'!$C$66)</f>
        <v>92.991590228804455</v>
      </c>
      <c r="V288" s="518">
        <f t="shared" si="28"/>
        <v>100</v>
      </c>
      <c r="W288" s="511">
        <f>(T288*0)/(1+cDR)^'Markov Model_b (2)'!cycle2</f>
        <v>0</v>
      </c>
      <c r="X288" s="512">
        <f t="shared" si="29"/>
        <v>7.0084097711955451</v>
      </c>
      <c r="Y288" s="513">
        <f>(T288*(uPostT))/(1+oDR)^'Markov Model_b (2)'!cycle</f>
        <v>2.6605723875456895</v>
      </c>
      <c r="Z288" s="80"/>
      <c r="AA288" s="3"/>
      <c r="AB288" s="3"/>
      <c r="AC288" s="14">
        <v>276</v>
      </c>
      <c r="AD288" s="14"/>
      <c r="AE288" s="14"/>
      <c r="AF288" s="3"/>
      <c r="AG288" s="3"/>
      <c r="AH288" s="3"/>
      <c r="AI288" s="14"/>
      <c r="AJ288" s="14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</row>
    <row r="289" spans="1:47" ht="14.25" customHeight="1" x14ac:dyDescent="0.2">
      <c r="A289" s="3"/>
      <c r="B289" s="417"/>
      <c r="C289" s="173">
        <v>279</v>
      </c>
      <c r="D289" s="165"/>
      <c r="E289" s="174">
        <v>3.6900607789041029E-3</v>
      </c>
      <c r="F289" s="502"/>
      <c r="G289" s="219">
        <f t="shared" si="32"/>
        <v>7.3017401498731687</v>
      </c>
      <c r="H289" s="249">
        <f>H288+(G288*E289*'life-tables-test'!$C$66)</f>
        <v>92.698259850126831</v>
      </c>
      <c r="I289" s="516">
        <f t="shared" si="30"/>
        <v>100</v>
      </c>
      <c r="J289" s="153">
        <f>(G289*0)/(1+cDR)^'Markov Model_b (2)'!cycle</f>
        <v>0</v>
      </c>
      <c r="K289" s="178">
        <f t="shared" si="27"/>
        <v>7.3017401498731687</v>
      </c>
      <c r="L289" s="202">
        <f>(G289*(uPostT))/(1+oDR)^'Markov Model_b (2)'!cycle</f>
        <v>2.7650155956399791</v>
      </c>
      <c r="M289" s="80"/>
      <c r="N289" s="3"/>
      <c r="O289" s="80"/>
      <c r="P289" s="173">
        <v>279</v>
      </c>
      <c r="Q289" s="165"/>
      <c r="R289" s="174">
        <v>3.6900607789041029E-3</v>
      </c>
      <c r="S289" s="502"/>
      <c r="T289" s="219">
        <f t="shared" si="31"/>
        <v>6.8791024810996646</v>
      </c>
      <c r="U289" s="249">
        <f>U288+(T288*R289*'life-tables-test'!$C$66)</f>
        <v>93.120897518900335</v>
      </c>
      <c r="V289" s="516">
        <f t="shared" si="28"/>
        <v>100</v>
      </c>
      <c r="W289" s="153">
        <f>(T289*0)/(1+cDR)^'Markov Model_b (2)'!cycle2</f>
        <v>0</v>
      </c>
      <c r="X289" s="178">
        <f t="shared" si="29"/>
        <v>6.8791024810996646</v>
      </c>
      <c r="Y289" s="202">
        <f>(T289*(uPostT))/(1+oDR)^'Markov Model_b (2)'!cycle</f>
        <v>2.604971589488382</v>
      </c>
      <c r="Z289" s="80"/>
      <c r="AA289" s="3"/>
      <c r="AB289" s="3"/>
      <c r="AC289" s="14">
        <v>277</v>
      </c>
      <c r="AD289" s="14"/>
      <c r="AE289" s="14"/>
      <c r="AF289" s="3"/>
      <c r="AG289" s="3"/>
      <c r="AH289" s="3"/>
      <c r="AI289" s="14"/>
      <c r="AJ289" s="14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</row>
    <row r="290" spans="1:47" ht="14.25" customHeight="1" x14ac:dyDescent="0.2">
      <c r="A290" s="3"/>
      <c r="B290" s="417"/>
      <c r="C290" s="173">
        <v>280</v>
      </c>
      <c r="D290" s="165"/>
      <c r="E290" s="174">
        <v>3.6900607789041029E-3</v>
      </c>
      <c r="F290" s="502"/>
      <c r="G290" s="219">
        <f t="shared" si="32"/>
        <v>7.16702082514918</v>
      </c>
      <c r="H290" s="249">
        <f>H289+(G289*E290*'life-tables-test'!$C$66)</f>
        <v>92.83297917485082</v>
      </c>
      <c r="I290" s="516">
        <f t="shared" si="30"/>
        <v>100</v>
      </c>
      <c r="J290" s="153">
        <f>(G290*0)/(1+cDR)^'Markov Model_b (2)'!cycle</f>
        <v>0</v>
      </c>
      <c r="K290" s="178">
        <f t="shared" si="27"/>
        <v>7.16702082514918</v>
      </c>
      <c r="L290" s="202">
        <f>(G290*(uPostT))/(1+oDR)^'Markov Model_b (2)'!cycle</f>
        <v>2.7072321372841199</v>
      </c>
      <c r="M290" s="80"/>
      <c r="N290" s="3"/>
      <c r="O290" s="80"/>
      <c r="P290" s="173">
        <v>280</v>
      </c>
      <c r="Q290" s="165"/>
      <c r="R290" s="174">
        <v>3.6900607789041029E-3</v>
      </c>
      <c r="S290" s="502"/>
      <c r="T290" s="219">
        <f t="shared" si="31"/>
        <v>6.7521809498018257</v>
      </c>
      <c r="U290" s="249">
        <f>U289+(T289*R290*'life-tables-test'!$C$66)</f>
        <v>93.247819050198174</v>
      </c>
      <c r="V290" s="516">
        <f t="shared" si="28"/>
        <v>100</v>
      </c>
      <c r="W290" s="153">
        <f>(T290*0)/(1+cDR)^'Markov Model_b (2)'!cycle2</f>
        <v>0</v>
      </c>
      <c r="X290" s="178">
        <f t="shared" si="29"/>
        <v>6.7521809498018257</v>
      </c>
      <c r="Y290" s="202">
        <f>(T290*(uPostT))/(1+oDR)^'Markov Model_b (2)'!cycle</f>
        <v>2.5505327401752913</v>
      </c>
      <c r="Z290" s="80"/>
      <c r="AA290" s="3"/>
      <c r="AB290" s="3"/>
      <c r="AC290" s="14">
        <v>278</v>
      </c>
      <c r="AD290" s="14"/>
      <c r="AE290" s="14"/>
      <c r="AF290" s="3"/>
      <c r="AG290" s="3"/>
      <c r="AH290" s="3"/>
      <c r="AI290" s="14"/>
      <c r="AJ290" s="14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</row>
    <row r="291" spans="1:47" ht="14.25" customHeight="1" x14ac:dyDescent="0.2">
      <c r="A291" s="3"/>
      <c r="B291" s="417"/>
      <c r="C291" s="173">
        <v>281</v>
      </c>
      <c r="D291" s="165"/>
      <c r="E291" s="174">
        <v>3.6900607789041029E-3</v>
      </c>
      <c r="F291" s="502"/>
      <c r="G291" s="219">
        <f t="shared" si="32"/>
        <v>7.0347871129068267</v>
      </c>
      <c r="H291" s="249">
        <f>H290+(G290*E291*'life-tables-test'!$C$66)</f>
        <v>92.965212887093173</v>
      </c>
      <c r="I291" s="516">
        <f t="shared" si="30"/>
        <v>100</v>
      </c>
      <c r="J291" s="153">
        <f>(G291*0)/(1+cDR)^'Markov Model_b (2)'!cycle</f>
        <v>0</v>
      </c>
      <c r="K291" s="178">
        <f t="shared" si="27"/>
        <v>7.0347871129068267</v>
      </c>
      <c r="L291" s="202">
        <f>(G291*(uPostT))/(1+oDR)^'Markov Model_b (2)'!cycle</f>
        <v>2.6506562410356289</v>
      </c>
      <c r="M291" s="80"/>
      <c r="N291" s="3"/>
      <c r="O291" s="80"/>
      <c r="P291" s="173">
        <v>281</v>
      </c>
      <c r="Q291" s="165"/>
      <c r="R291" s="174">
        <v>3.6900607789041029E-3</v>
      </c>
      <c r="S291" s="502"/>
      <c r="T291" s="219">
        <f t="shared" si="31"/>
        <v>6.6276011593271846</v>
      </c>
      <c r="U291" s="249">
        <f>U290+(T290*R291*'life-tables-test'!$C$66)</f>
        <v>93.372398840672815</v>
      </c>
      <c r="V291" s="516">
        <f t="shared" si="28"/>
        <v>100</v>
      </c>
      <c r="W291" s="153">
        <f>(T291*0)/(1+cDR)^'Markov Model_b (2)'!cycle2</f>
        <v>0</v>
      </c>
      <c r="X291" s="178">
        <f t="shared" si="29"/>
        <v>6.6276011593271846</v>
      </c>
      <c r="Y291" s="202">
        <f>(T291*(uPostT))/(1+oDR)^'Markov Model_b (2)'!cycle</f>
        <v>2.4972315571332979</v>
      </c>
      <c r="Z291" s="80"/>
      <c r="AA291" s="3"/>
      <c r="AB291" s="3"/>
      <c r="AC291" s="14">
        <v>279</v>
      </c>
      <c r="AD291" s="14"/>
      <c r="AE291" s="14"/>
      <c r="AF291" s="3"/>
      <c r="AG291" s="3"/>
      <c r="AH291" s="3"/>
      <c r="AI291" s="14"/>
      <c r="AJ291" s="14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</row>
    <row r="292" spans="1:47" ht="14.25" customHeight="1" x14ac:dyDescent="0.2">
      <c r="A292" s="3"/>
      <c r="B292" s="417"/>
      <c r="C292" s="173">
        <v>282</v>
      </c>
      <c r="D292" s="165"/>
      <c r="E292" s="174">
        <v>3.6900607789041029E-3</v>
      </c>
      <c r="F292" s="502"/>
      <c r="G292" s="219">
        <f t="shared" si="32"/>
        <v>6.9049931528404329</v>
      </c>
      <c r="H292" s="249">
        <f>H291+(G291*E292*'life-tables-test'!$C$66)</f>
        <v>93.095006847159567</v>
      </c>
      <c r="I292" s="516">
        <f t="shared" si="30"/>
        <v>100</v>
      </c>
      <c r="J292" s="153">
        <f>(G292*0)/(1+cDR)^'Markov Model_b (2)'!cycle</f>
        <v>0</v>
      </c>
      <c r="K292" s="178">
        <f t="shared" si="27"/>
        <v>6.9049931528404329</v>
      </c>
      <c r="L292" s="202">
        <f>(G292*(uPostT))/(1+oDR)^'Markov Model_b (2)'!cycle</f>
        <v>2.595262671190635</v>
      </c>
      <c r="M292" s="80"/>
      <c r="N292" s="3"/>
      <c r="O292" s="80"/>
      <c r="P292" s="173">
        <v>282</v>
      </c>
      <c r="Q292" s="165"/>
      <c r="R292" s="174">
        <v>3.6900607789041029E-3</v>
      </c>
      <c r="S292" s="502"/>
      <c r="T292" s="219">
        <f t="shared" si="31"/>
        <v>6.5053199038459155</v>
      </c>
      <c r="U292" s="249">
        <f>U291+(T291*R292*'life-tables-test'!$C$66)</f>
        <v>93.494680096154084</v>
      </c>
      <c r="V292" s="516">
        <f t="shared" si="28"/>
        <v>100</v>
      </c>
      <c r="W292" s="153">
        <f>(T292*0)/(1+cDR)^'Markov Model_b (2)'!cycle2</f>
        <v>0</v>
      </c>
      <c r="X292" s="178">
        <f t="shared" si="29"/>
        <v>6.5053199038459155</v>
      </c>
      <c r="Y292" s="202">
        <f>(T292*(uPostT))/(1+oDR)^'Markov Model_b (2)'!cycle</f>
        <v>2.4450442653458349</v>
      </c>
      <c r="Z292" s="80"/>
      <c r="AA292" s="3"/>
      <c r="AB292" s="3"/>
      <c r="AC292" s="14">
        <v>280</v>
      </c>
      <c r="AD292" s="14"/>
      <c r="AE292" s="14"/>
      <c r="AF292" s="3"/>
      <c r="AG292" s="3"/>
      <c r="AH292" s="3"/>
      <c r="AI292" s="14"/>
      <c r="AJ292" s="14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</row>
    <row r="293" spans="1:47" ht="14.25" customHeight="1" x14ac:dyDescent="0.2">
      <c r="A293" s="3"/>
      <c r="B293" s="417"/>
      <c r="C293" s="173">
        <v>283</v>
      </c>
      <c r="D293" s="165"/>
      <c r="E293" s="174">
        <v>3.6900607789041029E-3</v>
      </c>
      <c r="F293" s="502"/>
      <c r="G293" s="219">
        <f t="shared" si="32"/>
        <v>6.7775939307809381</v>
      </c>
      <c r="H293" s="249">
        <f>H292+(G292*E293*'life-tables-test'!$C$66)</f>
        <v>93.222406069219062</v>
      </c>
      <c r="I293" s="516">
        <f t="shared" si="30"/>
        <v>100</v>
      </c>
      <c r="J293" s="153">
        <f>(G293*0)/(1+cDR)^'Markov Model_b (2)'!cycle</f>
        <v>0</v>
      </c>
      <c r="K293" s="178">
        <f t="shared" si="27"/>
        <v>6.7775939307809381</v>
      </c>
      <c r="L293" s="202">
        <f>(G293*(uPostT))/(1+oDR)^'Markov Model_b (2)'!cycle</f>
        <v>2.5410267194225051</v>
      </c>
      <c r="M293" s="80"/>
      <c r="N293" s="3"/>
      <c r="O293" s="80"/>
      <c r="P293" s="173">
        <v>283</v>
      </c>
      <c r="Q293" s="165"/>
      <c r="R293" s="174">
        <v>3.6900607789041029E-3</v>
      </c>
      <c r="S293" s="502"/>
      <c r="T293" s="219">
        <f t="shared" si="31"/>
        <v>6.3852947746888873</v>
      </c>
      <c r="U293" s="249">
        <f>U292+(T292*R293*'life-tables-test'!$C$66)</f>
        <v>93.614705225311113</v>
      </c>
      <c r="V293" s="516">
        <f t="shared" si="28"/>
        <v>100</v>
      </c>
      <c r="W293" s="153">
        <f>(T293*0)/(1+cDR)^'Markov Model_b (2)'!cycle2</f>
        <v>0</v>
      </c>
      <c r="X293" s="178">
        <f t="shared" si="29"/>
        <v>6.3852947746888873</v>
      </c>
      <c r="Y293" s="202">
        <f>(T293*(uPostT))/(1+oDR)^'Markov Model_b (2)'!cycle</f>
        <v>2.3939475866480304</v>
      </c>
      <c r="Z293" s="80"/>
      <c r="AA293" s="3"/>
      <c r="AB293" s="3"/>
      <c r="AC293" s="14">
        <v>281</v>
      </c>
      <c r="AD293" s="14"/>
      <c r="AE293" s="14"/>
      <c r="AF293" s="3"/>
      <c r="AG293" s="3"/>
      <c r="AH293" s="3"/>
      <c r="AI293" s="14"/>
      <c r="AJ293" s="14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</row>
    <row r="294" spans="1:47" ht="14.25" customHeight="1" x14ac:dyDescent="0.2">
      <c r="A294" s="3"/>
      <c r="B294" s="417"/>
      <c r="C294" s="173">
        <v>284</v>
      </c>
      <c r="D294" s="165"/>
      <c r="E294" s="174">
        <v>3.6900607789041029E-3</v>
      </c>
      <c r="F294" s="502"/>
      <c r="G294" s="219">
        <f t="shared" si="32"/>
        <v>6.6525452630843773</v>
      </c>
      <c r="H294" s="249">
        <f>H293+(G293*E294*'life-tables-test'!$C$66)</f>
        <v>93.347454736915623</v>
      </c>
      <c r="I294" s="516">
        <f t="shared" si="30"/>
        <v>100</v>
      </c>
      <c r="J294" s="153">
        <f>(G294*0)/(1+cDR)^'Markov Model_b (2)'!cycle</f>
        <v>0</v>
      </c>
      <c r="K294" s="178">
        <f t="shared" si="27"/>
        <v>6.6525452630843773</v>
      </c>
      <c r="L294" s="202">
        <f>(G294*(uPostT))/(1+oDR)^'Markov Model_b (2)'!cycle</f>
        <v>2.4879241937606635</v>
      </c>
      <c r="M294" s="80"/>
      <c r="N294" s="3"/>
      <c r="O294" s="80"/>
      <c r="P294" s="173">
        <v>284</v>
      </c>
      <c r="Q294" s="165"/>
      <c r="R294" s="174">
        <v>3.6900607789041029E-3</v>
      </c>
      <c r="S294" s="502"/>
      <c r="T294" s="219">
        <f t="shared" si="31"/>
        <v>6.2674841456397843</v>
      </c>
      <c r="U294" s="249">
        <f>U293+(T293*R294*'life-tables-test'!$C$66)</f>
        <v>93.732515854360216</v>
      </c>
      <c r="V294" s="516">
        <f t="shared" si="28"/>
        <v>100</v>
      </c>
      <c r="W294" s="153">
        <f>(T294*0)/(1+cDR)^'Markov Model_b (2)'!cycle2</f>
        <v>0</v>
      </c>
      <c r="X294" s="178">
        <f t="shared" si="29"/>
        <v>6.2674841456397843</v>
      </c>
      <c r="Y294" s="202">
        <f>(T294*(uPostT))/(1+oDR)^'Markov Model_b (2)'!cycle</f>
        <v>2.3439187293434625</v>
      </c>
      <c r="Z294" s="80"/>
      <c r="AA294" s="3"/>
      <c r="AB294" s="3"/>
      <c r="AC294" s="14">
        <v>282</v>
      </c>
      <c r="AD294" s="14"/>
      <c r="AE294" s="14"/>
      <c r="AF294" s="297"/>
      <c r="AG294" s="297"/>
      <c r="AH294" s="297"/>
      <c r="AI294" s="14"/>
      <c r="AJ294" s="14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</row>
    <row r="295" spans="1:47" ht="14.25" customHeight="1" x14ac:dyDescent="0.2">
      <c r="A295" s="3"/>
      <c r="B295" s="417"/>
      <c r="C295" s="173">
        <v>285</v>
      </c>
      <c r="D295" s="165"/>
      <c r="E295" s="174">
        <v>3.6900607789041029E-3</v>
      </c>
      <c r="F295" s="502"/>
      <c r="G295" s="219">
        <f t="shared" si="32"/>
        <v>6.5298037813084164</v>
      </c>
      <c r="H295" s="249">
        <f>H294+(G294*E295*'life-tables-test'!$C$66)</f>
        <v>93.470196218691584</v>
      </c>
      <c r="I295" s="516">
        <f t="shared" si="30"/>
        <v>100</v>
      </c>
      <c r="J295" s="153">
        <f>(G295*0)/(1+cDR)^'Markov Model_b (2)'!cycle</f>
        <v>0</v>
      </c>
      <c r="K295" s="178">
        <f t="shared" si="27"/>
        <v>6.5298037813084164</v>
      </c>
      <c r="L295" s="202">
        <f>(G295*(uPostT))/(1+oDR)^'Markov Model_b (2)'!cycle</f>
        <v>2.4359314077997491</v>
      </c>
      <c r="M295" s="80"/>
      <c r="N295" s="3"/>
      <c r="O295" s="80"/>
      <c r="P295" s="173">
        <v>285</v>
      </c>
      <c r="Q295" s="165"/>
      <c r="R295" s="174">
        <v>3.6900607789041029E-3</v>
      </c>
      <c r="S295" s="502"/>
      <c r="T295" s="219">
        <f t="shared" si="31"/>
        <v>6.1518471584986401</v>
      </c>
      <c r="U295" s="249">
        <f>U294+(T294*R295*'life-tables-test'!$C$66)</f>
        <v>93.84815284150136</v>
      </c>
      <c r="V295" s="516">
        <f t="shared" si="28"/>
        <v>100</v>
      </c>
      <c r="W295" s="153">
        <f>(T295*0)/(1+cDR)^'Markov Model_b (2)'!cycle2</f>
        <v>0</v>
      </c>
      <c r="X295" s="178">
        <f t="shared" si="29"/>
        <v>6.1518471584986401</v>
      </c>
      <c r="Y295" s="202">
        <f>(T295*(uPostT))/(1+oDR)^'Markov Model_b (2)'!cycle</f>
        <v>2.2949353780379211</v>
      </c>
      <c r="Z295" s="80"/>
      <c r="AA295" s="3"/>
      <c r="AB295" s="3"/>
      <c r="AC295" s="14">
        <v>283</v>
      </c>
      <c r="AD295" s="14"/>
      <c r="AE295" s="14"/>
      <c r="AF295" s="297"/>
      <c r="AG295" s="297"/>
      <c r="AH295" s="297"/>
      <c r="AI295" s="14"/>
      <c r="AJ295" s="14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</row>
    <row r="296" spans="1:47" ht="14.25" customHeight="1" x14ac:dyDescent="0.2">
      <c r="A296" s="3"/>
      <c r="B296" s="417"/>
      <c r="C296" s="173">
        <v>286</v>
      </c>
      <c r="D296" s="165"/>
      <c r="E296" s="174">
        <v>3.6900607789041029E-3</v>
      </c>
      <c r="F296" s="502"/>
      <c r="G296" s="219">
        <f t="shared" si="32"/>
        <v>6.4093269171716827</v>
      </c>
      <c r="H296" s="249">
        <f>H295+(G295*E296*'life-tables-test'!$C$66)</f>
        <v>93.590673082828317</v>
      </c>
      <c r="I296" s="516">
        <f t="shared" si="30"/>
        <v>100</v>
      </c>
      <c r="J296" s="153">
        <f>(G296*0)/(1+cDR)^'Markov Model_b (2)'!cycle</f>
        <v>0</v>
      </c>
      <c r="K296" s="178">
        <f t="shared" si="27"/>
        <v>6.4093269171716827</v>
      </c>
      <c r="L296" s="202">
        <f>(G296*(uPostT))/(1+oDR)^'Markov Model_b (2)'!cycle</f>
        <v>2.3850251701343002</v>
      </c>
      <c r="M296" s="80"/>
      <c r="N296" s="3"/>
      <c r="O296" s="80"/>
      <c r="P296" s="173">
        <v>286</v>
      </c>
      <c r="Q296" s="165"/>
      <c r="R296" s="174">
        <v>3.6900607789041029E-3</v>
      </c>
      <c r="S296" s="502"/>
      <c r="T296" s="219">
        <f t="shared" si="31"/>
        <v>6.0383437089116967</v>
      </c>
      <c r="U296" s="249">
        <f>U295+(T295*R296*'life-tables-test'!$C$66)</f>
        <v>93.961656291088303</v>
      </c>
      <c r="V296" s="516">
        <f t="shared" si="28"/>
        <v>100</v>
      </c>
      <c r="W296" s="153">
        <f>(T296*0)/(1+cDR)^'Markov Model_b (2)'!cycle2</f>
        <v>0</v>
      </c>
      <c r="X296" s="178">
        <f t="shared" si="29"/>
        <v>6.0383437089116967</v>
      </c>
      <c r="Y296" s="202">
        <f>(T296*(uPostT))/(1+oDR)^'Markov Model_b (2)'!cycle</f>
        <v>2.2469756836856218</v>
      </c>
      <c r="Z296" s="80"/>
      <c r="AA296" s="3"/>
      <c r="AB296" s="3"/>
      <c r="AC296" s="14">
        <v>284</v>
      </c>
      <c r="AD296" s="14"/>
      <c r="AE296" s="14"/>
      <c r="AF296" s="297"/>
      <c r="AG296" s="297"/>
      <c r="AH296" s="297"/>
      <c r="AI296" s="14"/>
      <c r="AJ296" s="14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</row>
    <row r="297" spans="1:47" ht="14.25" customHeight="1" x14ac:dyDescent="0.2">
      <c r="A297" s="3"/>
      <c r="B297" s="417"/>
      <c r="C297" s="173">
        <v>287</v>
      </c>
      <c r="D297" s="165"/>
      <c r="E297" s="174">
        <v>3.6900607789041029E-3</v>
      </c>
      <c r="F297" s="502"/>
      <c r="G297" s="219">
        <f t="shared" si="32"/>
        <v>6.2910728877905342</v>
      </c>
      <c r="H297" s="249">
        <f>H296+(G296*E297*'life-tables-test'!$C$66)</f>
        <v>93.708927112209466</v>
      </c>
      <c r="I297" s="516">
        <f t="shared" si="30"/>
        <v>100</v>
      </c>
      <c r="J297" s="153">
        <f>(G297*0)/(1+cDR)^'Markov Model_b (2)'!cycle</f>
        <v>0</v>
      </c>
      <c r="K297" s="178">
        <f t="shared" si="27"/>
        <v>6.2910728877905342</v>
      </c>
      <c r="L297" s="202">
        <f>(G297*(uPostT))/(1+oDR)^'Markov Model_b (2)'!cycle</f>
        <v>2.3351827740142062</v>
      </c>
      <c r="M297" s="80"/>
      <c r="N297" s="3"/>
      <c r="O297" s="80"/>
      <c r="P297" s="173">
        <v>287</v>
      </c>
      <c r="Q297" s="165"/>
      <c r="R297" s="174">
        <v>3.6900607789041029E-3</v>
      </c>
      <c r="S297" s="502"/>
      <c r="T297" s="219">
        <f t="shared" si="31"/>
        <v>5.9269344324627156</v>
      </c>
      <c r="U297" s="249">
        <f>U296+(T296*R297*'life-tables-test'!$C$66)</f>
        <v>94.073065567537284</v>
      </c>
      <c r="V297" s="516">
        <f t="shared" si="28"/>
        <v>100</v>
      </c>
      <c r="W297" s="153">
        <f>(T297*0)/(1+cDR)^'Markov Model_b (2)'!cycle2</f>
        <v>0</v>
      </c>
      <c r="X297" s="178">
        <f t="shared" si="29"/>
        <v>5.9269344324627156</v>
      </c>
      <c r="Y297" s="202">
        <f>(T297*(uPostT))/(1+oDR)^'Markov Model_b (2)'!cycle</f>
        <v>2.2000182538434179</v>
      </c>
      <c r="Z297" s="80"/>
      <c r="AA297" s="3"/>
      <c r="AB297" s="3"/>
      <c r="AC297" s="14">
        <v>285</v>
      </c>
      <c r="AD297" s="14"/>
      <c r="AE297" s="14"/>
      <c r="AF297" s="297"/>
      <c r="AG297" s="297"/>
      <c r="AH297" s="297"/>
      <c r="AI297" s="14"/>
      <c r="AJ297" s="14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</row>
    <row r="298" spans="1:47" ht="14.25" customHeight="1" x14ac:dyDescent="0.2">
      <c r="A298" s="3"/>
      <c r="B298" s="417"/>
      <c r="C298" s="173">
        <v>288</v>
      </c>
      <c r="D298" s="165"/>
      <c r="E298" s="174">
        <v>3.6900607789041029E-3</v>
      </c>
      <c r="F298" s="502"/>
      <c r="G298" s="219">
        <f t="shared" si="32"/>
        <v>6.175000681188223</v>
      </c>
      <c r="H298" s="249">
        <f>H297+(G297*E298*'life-tables-test'!$C$66)</f>
        <v>93.824999318811777</v>
      </c>
      <c r="I298" s="516">
        <f t="shared" si="30"/>
        <v>100</v>
      </c>
      <c r="J298" s="153">
        <f>(G298*0)/(1+cDR)^'Markov Model_b (2)'!cycle</f>
        <v>0</v>
      </c>
      <c r="K298" s="178">
        <f t="shared" si="27"/>
        <v>6.175000681188223</v>
      </c>
      <c r="L298" s="202">
        <f>(G298*(uPostT))/(1+oDR)^'Markov Model_b (2)'!cycle</f>
        <v>2.2863819872163544</v>
      </c>
      <c r="M298" s="80"/>
      <c r="N298" s="3"/>
      <c r="O298" s="80"/>
      <c r="P298" s="173">
        <v>288</v>
      </c>
      <c r="Q298" s="165"/>
      <c r="R298" s="174">
        <v>3.6900607789041029E-3</v>
      </c>
      <c r="S298" s="502"/>
      <c r="T298" s="219">
        <f t="shared" si="31"/>
        <v>5.8175806910208792</v>
      </c>
      <c r="U298" s="249">
        <f>U297+(T297*R298*'life-tables-test'!$C$66)</f>
        <v>94.182419308979121</v>
      </c>
      <c r="V298" s="516">
        <f t="shared" si="28"/>
        <v>100</v>
      </c>
      <c r="W298" s="153">
        <f>(T298*0)/(1+cDR)^'Markov Model_b (2)'!cycle2</f>
        <v>0</v>
      </c>
      <c r="X298" s="178">
        <f t="shared" si="29"/>
        <v>5.8175806910208792</v>
      </c>
      <c r="Y298" s="202">
        <f>(T298*(uPostT))/(1+oDR)^'Markov Model_b (2)'!cycle</f>
        <v>2.1540421431286916</v>
      </c>
      <c r="Z298" s="80"/>
      <c r="AA298" s="3"/>
      <c r="AB298" s="3"/>
      <c r="AC298" s="14">
        <v>286</v>
      </c>
      <c r="AD298" s="14"/>
      <c r="AE298" s="14"/>
      <c r="AF298" s="297"/>
      <c r="AG298" s="297"/>
      <c r="AH298" s="297"/>
      <c r="AI298" s="14"/>
      <c r="AJ298" s="14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</row>
    <row r="299" spans="1:47" ht="14.25" customHeight="1" x14ac:dyDescent="0.2">
      <c r="A299" s="3"/>
      <c r="B299" s="417"/>
      <c r="C299" s="173">
        <v>289</v>
      </c>
      <c r="D299" s="504"/>
      <c r="E299" s="174">
        <v>3.6900607789041029E-3</v>
      </c>
      <c r="F299" s="505"/>
      <c r="G299" s="219">
        <f t="shared" si="32"/>
        <v>6.0610700420714352</v>
      </c>
      <c r="H299" s="249">
        <f>H298+(G298*E299*'life-tables-test'!$C$66)</f>
        <v>93.938929957928565</v>
      </c>
      <c r="I299" s="516">
        <f t="shared" si="30"/>
        <v>100</v>
      </c>
      <c r="J299" s="180">
        <f>(G299*0)/(1+cDR)^'Markov Model_b (2)'!cycle</f>
        <v>0</v>
      </c>
      <c r="K299" s="176">
        <f t="shared" si="27"/>
        <v>6.0610700420714352</v>
      </c>
      <c r="L299" s="202">
        <f>(G299*(uPostT))/(1+oDR)^'Markov Model_b (2)'!cycle</f>
        <v>2.2386010421279376</v>
      </c>
      <c r="M299" s="80"/>
      <c r="N299" s="3"/>
      <c r="O299" s="80"/>
      <c r="P299" s="173">
        <v>289</v>
      </c>
      <c r="Q299" s="504"/>
      <c r="R299" s="174">
        <v>3.6900607789041029E-3</v>
      </c>
      <c r="S299" s="505"/>
      <c r="T299" s="219">
        <f t="shared" si="31"/>
        <v>5.7102445593406514</v>
      </c>
      <c r="U299" s="249">
        <f>U298+(T298*R299*'life-tables-test'!$C$66)</f>
        <v>94.289755440659349</v>
      </c>
      <c r="V299" s="516">
        <f t="shared" si="28"/>
        <v>100</v>
      </c>
      <c r="W299" s="180">
        <f>(T299*0)/(1+cDR)^'Markov Model_b (2)'!cycle2</f>
        <v>0</v>
      </c>
      <c r="X299" s="176">
        <f t="shared" si="29"/>
        <v>5.7102445593406514</v>
      </c>
      <c r="Y299" s="202">
        <f>(T299*(uPostT))/(1+oDR)^'Markov Model_b (2)'!cycle</f>
        <v>2.1090268438766717</v>
      </c>
      <c r="Z299" s="80"/>
      <c r="AA299" s="3"/>
      <c r="AB299" s="3"/>
      <c r="AC299" s="14">
        <v>287</v>
      </c>
      <c r="AD299" s="14"/>
      <c r="AE299" s="14"/>
      <c r="AF299" s="297"/>
      <c r="AG299" s="297"/>
      <c r="AH299" s="297"/>
      <c r="AI299" s="14"/>
      <c r="AJ299" s="14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</row>
    <row r="300" spans="1:47" ht="14.25" customHeight="1" x14ac:dyDescent="0.25">
      <c r="A300" s="3">
        <v>26</v>
      </c>
      <c r="B300" s="417"/>
      <c r="C300" s="506">
        <v>290</v>
      </c>
      <c r="D300" s="506"/>
      <c r="E300" s="507">
        <v>3.6900607789041029E-3</v>
      </c>
      <c r="F300" s="508"/>
      <c r="G300" s="509">
        <f t="shared" si="32"/>
        <v>5.949241457869249</v>
      </c>
      <c r="H300" s="510">
        <f>H299+(G299*E300*'life-tables-test'!$C$66)</f>
        <v>94.050758542130751</v>
      </c>
      <c r="I300" s="518">
        <f t="shared" si="30"/>
        <v>100</v>
      </c>
      <c r="J300" s="511">
        <f>(G300*0)/(1+cDR)^'Markov Model_b (2)'!cycle</f>
        <v>0</v>
      </c>
      <c r="K300" s="512">
        <f t="shared" si="27"/>
        <v>5.949241457869249</v>
      </c>
      <c r="L300" s="513">
        <f>(G300*(uPostT))/(1+oDR)^'Markov Model_b (2)'!cycle</f>
        <v>2.191818626036997</v>
      </c>
      <c r="M300" s="80"/>
      <c r="N300" s="3"/>
      <c r="O300" s="80"/>
      <c r="P300" s="506">
        <v>290</v>
      </c>
      <c r="Q300" s="506"/>
      <c r="R300" s="507">
        <v>3.6900607789041029E-3</v>
      </c>
      <c r="S300" s="508"/>
      <c r="T300" s="509">
        <f t="shared" si="31"/>
        <v>5.6048888119087792</v>
      </c>
      <c r="U300" s="510">
        <f>U299+(T299*R300*'life-tables-test'!$C$66)</f>
        <v>94.395111188091221</v>
      </c>
      <c r="V300" s="518">
        <f t="shared" si="28"/>
        <v>100</v>
      </c>
      <c r="W300" s="511">
        <f>(T300*0)/(1+cDR)^'Markov Model_b (2)'!cycle2</f>
        <v>0</v>
      </c>
      <c r="X300" s="512">
        <f t="shared" si="29"/>
        <v>5.6048888119087792</v>
      </c>
      <c r="Y300" s="513">
        <f>(T300*(uPostT))/(1+oDR)^'Markov Model_b (2)'!cycle</f>
        <v>2.0649522769929622</v>
      </c>
      <c r="Z300" s="80"/>
      <c r="AA300" s="3"/>
      <c r="AB300" s="3"/>
      <c r="AC300" s="14">
        <v>288</v>
      </c>
      <c r="AD300" s="14"/>
      <c r="AE300" s="14"/>
      <c r="AF300" s="297"/>
      <c r="AG300" s="297"/>
      <c r="AH300" s="297"/>
      <c r="AI300" s="14"/>
      <c r="AJ300" s="14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</row>
    <row r="301" spans="1:47" ht="14.25" customHeight="1" x14ac:dyDescent="0.2">
      <c r="A301" s="3"/>
      <c r="B301" s="417"/>
      <c r="C301" s="173">
        <v>291</v>
      </c>
      <c r="D301" s="165"/>
      <c r="E301" s="174">
        <v>4.1050077712355693E-3</v>
      </c>
      <c r="F301" s="502"/>
      <c r="G301" s="219">
        <f t="shared" si="32"/>
        <v>5.827133045781693</v>
      </c>
      <c r="H301" s="249">
        <f>H300+(G300*E301*'life-tables-test'!$C$66)</f>
        <v>94.172866954218307</v>
      </c>
      <c r="I301" s="516">
        <f t="shared" si="30"/>
        <v>100</v>
      </c>
      <c r="J301" s="153">
        <f>(G301*0)/(1+cDR)^'Markov Model_b (2)'!cycle</f>
        <v>0</v>
      </c>
      <c r="K301" s="178">
        <f t="shared" si="27"/>
        <v>5.827133045781693</v>
      </c>
      <c r="L301" s="202">
        <f>(G301*(uPostT))/(1+oDR)^'Markov Model_b (2)'!cycle</f>
        <v>2.1414777691490188</v>
      </c>
      <c r="M301" s="80"/>
      <c r="N301" s="3"/>
      <c r="O301" s="80"/>
      <c r="P301" s="173">
        <v>291</v>
      </c>
      <c r="Q301" s="165"/>
      <c r="R301" s="174">
        <v>4.1050077712355693E-3</v>
      </c>
      <c r="S301" s="502"/>
      <c r="T301" s="219">
        <f t="shared" si="31"/>
        <v>5.4898482512598008</v>
      </c>
      <c r="U301" s="249">
        <f>U300+(T300*R301*'life-tables-test'!$C$66)</f>
        <v>94.510151748740199</v>
      </c>
      <c r="V301" s="516">
        <f t="shared" si="28"/>
        <v>100</v>
      </c>
      <c r="W301" s="153">
        <f>(T301*0)/(1+cDR)^'Markov Model_b (2)'!cycle2</f>
        <v>0</v>
      </c>
      <c r="X301" s="178">
        <f t="shared" si="29"/>
        <v>5.4898482512598008</v>
      </c>
      <c r="Y301" s="202">
        <f>(T301*(uPostT))/(1+oDR)^'Markov Model_b (2)'!cycle</f>
        <v>2.0175252381760909</v>
      </c>
      <c r="Z301" s="80"/>
      <c r="AA301" s="3"/>
      <c r="AB301" s="3"/>
      <c r="AC301" s="14">
        <v>289</v>
      </c>
      <c r="AD301" s="14"/>
      <c r="AE301" s="14"/>
      <c r="AF301" s="297"/>
      <c r="AG301" s="297"/>
      <c r="AH301" s="297"/>
      <c r="AI301" s="14"/>
      <c r="AJ301" s="14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</row>
    <row r="302" spans="1:47" ht="14.25" customHeight="1" x14ac:dyDescent="0.2">
      <c r="A302" s="3"/>
      <c r="B302" s="417"/>
      <c r="C302" s="173">
        <v>292</v>
      </c>
      <c r="D302" s="165"/>
      <c r="E302" s="174">
        <v>4.1050077712355693E-3</v>
      </c>
      <c r="F302" s="502"/>
      <c r="G302" s="219">
        <f t="shared" si="32"/>
        <v>5.7075309135969121</v>
      </c>
      <c r="H302" s="249">
        <f>H301+(G301*E302*'life-tables-test'!$C$66)</f>
        <v>94.292469086403088</v>
      </c>
      <c r="I302" s="516">
        <f t="shared" si="30"/>
        <v>100</v>
      </c>
      <c r="J302" s="153">
        <f>(G302*0)/(1+cDR)^'Markov Model_b (2)'!cycle</f>
        <v>0</v>
      </c>
      <c r="K302" s="178">
        <f t="shared" si="27"/>
        <v>5.7075309135969121</v>
      </c>
      <c r="L302" s="202">
        <f>(G302*(uPostT))/(1+oDR)^'Markov Model_b (2)'!cycle</f>
        <v>2.0922931219227889</v>
      </c>
      <c r="M302" s="80"/>
      <c r="N302" s="3"/>
      <c r="O302" s="80"/>
      <c r="P302" s="173">
        <v>292</v>
      </c>
      <c r="Q302" s="165"/>
      <c r="R302" s="174">
        <v>4.1050077712355693E-3</v>
      </c>
      <c r="S302" s="502"/>
      <c r="T302" s="219">
        <f t="shared" si="31"/>
        <v>5.377168902588167</v>
      </c>
      <c r="U302" s="249">
        <f>U301+(T301*R302*'life-tables-test'!$C$66)</f>
        <v>94.622831097411833</v>
      </c>
      <c r="V302" s="516">
        <f t="shared" si="28"/>
        <v>100</v>
      </c>
      <c r="W302" s="153">
        <f>(T302*0)/(1+cDR)^'Markov Model_b (2)'!cycle2</f>
        <v>0</v>
      </c>
      <c r="X302" s="178">
        <f t="shared" si="29"/>
        <v>5.377168902588167</v>
      </c>
      <c r="Y302" s="202">
        <f>(T302*(uPostT))/(1+oDR)^'Markov Model_b (2)'!cycle</f>
        <v>1.9711874855553162</v>
      </c>
      <c r="Z302" s="80"/>
      <c r="AA302" s="3"/>
      <c r="AB302" s="3"/>
      <c r="AC302" s="14">
        <v>290</v>
      </c>
      <c r="AD302" s="14"/>
      <c r="AE302" s="14"/>
      <c r="AF302" s="297"/>
      <c r="AG302" s="297"/>
      <c r="AH302" s="297"/>
      <c r="AI302" s="14"/>
      <c r="AJ302" s="14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</row>
    <row r="303" spans="1:47" ht="14.25" customHeight="1" x14ac:dyDescent="0.2">
      <c r="A303" s="3"/>
      <c r="B303" s="417"/>
      <c r="C303" s="173">
        <v>293</v>
      </c>
      <c r="D303" s="165"/>
      <c r="E303" s="174">
        <v>4.1050077712355693E-3</v>
      </c>
      <c r="F303" s="502"/>
      <c r="G303" s="219">
        <f t="shared" si="32"/>
        <v>5.5903836198225036</v>
      </c>
      <c r="H303" s="249">
        <f>H302+(G302*E303*'life-tables-test'!$C$66)</f>
        <v>94.409616380177496</v>
      </c>
      <c r="I303" s="516">
        <f t="shared" si="30"/>
        <v>100</v>
      </c>
      <c r="J303" s="153">
        <f>(G303*0)/(1+cDR)^'Markov Model_b (2)'!cycle</f>
        <v>0</v>
      </c>
      <c r="K303" s="178">
        <f t="shared" si="27"/>
        <v>5.5903836198225036</v>
      </c>
      <c r="L303" s="202">
        <f>(G303*(uPostT))/(1+oDR)^'Markov Model_b (2)'!cycle</f>
        <v>2.0442381289743756</v>
      </c>
      <c r="M303" s="80"/>
      <c r="N303" s="3"/>
      <c r="O303" s="80"/>
      <c r="P303" s="173">
        <v>293</v>
      </c>
      <c r="Q303" s="165"/>
      <c r="R303" s="174">
        <v>4.1050077712355693E-3</v>
      </c>
      <c r="S303" s="502"/>
      <c r="T303" s="219">
        <f t="shared" si="31"/>
        <v>5.2668023019263188</v>
      </c>
      <c r="U303" s="249">
        <f>U302+(T302*R303*'life-tables-test'!$C$66)</f>
        <v>94.733197698073681</v>
      </c>
      <c r="V303" s="516">
        <f t="shared" si="28"/>
        <v>100</v>
      </c>
      <c r="W303" s="153">
        <f>(T303*0)/(1+cDR)^'Markov Model_b (2)'!cycle2</f>
        <v>0</v>
      </c>
      <c r="X303" s="178">
        <f t="shared" si="29"/>
        <v>5.2668023019263188</v>
      </c>
      <c r="Y303" s="202">
        <f>(T303*(uPostT))/(1+oDR)^'Markov Model_b (2)'!cycle</f>
        <v>1.9259140008194351</v>
      </c>
      <c r="Z303" s="80"/>
      <c r="AA303" s="3"/>
      <c r="AB303" s="3"/>
      <c r="AC303" s="14">
        <v>291</v>
      </c>
      <c r="AD303" s="14"/>
      <c r="AE303" s="14"/>
      <c r="AF303" s="297"/>
      <c r="AG303" s="297"/>
      <c r="AH303" s="297"/>
      <c r="AI303" s="14"/>
      <c r="AJ303" s="14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</row>
    <row r="304" spans="1:47" ht="14.25" customHeight="1" x14ac:dyDescent="0.2">
      <c r="A304" s="3"/>
      <c r="B304" s="417"/>
      <c r="C304" s="173">
        <v>294</v>
      </c>
      <c r="D304" s="165"/>
      <c r="E304" s="174">
        <v>4.1050077712355693E-3</v>
      </c>
      <c r="F304" s="502"/>
      <c r="G304" s="219">
        <f t="shared" si="32"/>
        <v>5.4756407788047028</v>
      </c>
      <c r="H304" s="249">
        <f>H303+(G303*E304*'life-tables-test'!$C$66)</f>
        <v>94.524359221195297</v>
      </c>
      <c r="I304" s="516">
        <f t="shared" si="30"/>
        <v>100</v>
      </c>
      <c r="J304" s="153">
        <f>(G304*0)/(1+cDR)^'Markov Model_b (2)'!cycle</f>
        <v>0</v>
      </c>
      <c r="K304" s="178">
        <f t="shared" si="27"/>
        <v>5.4756407788047028</v>
      </c>
      <c r="L304" s="202">
        <f>(G304*(uPostT))/(1+oDR)^'Markov Model_b (2)'!cycle</f>
        <v>1.997286844833811</v>
      </c>
      <c r="M304" s="80"/>
      <c r="N304" s="3"/>
      <c r="O304" s="80"/>
      <c r="P304" s="173">
        <v>294</v>
      </c>
      <c r="Q304" s="165"/>
      <c r="R304" s="174">
        <v>4.1050077712355693E-3</v>
      </c>
      <c r="S304" s="502"/>
      <c r="T304" s="219">
        <f t="shared" si="31"/>
        <v>5.1587009800314689</v>
      </c>
      <c r="U304" s="249">
        <f>U303+(T303*R304*'life-tables-test'!$C$66)</f>
        <v>94.841299019968531</v>
      </c>
      <c r="V304" s="516">
        <f t="shared" si="28"/>
        <v>100</v>
      </c>
      <c r="W304" s="153">
        <f>(T304*0)/(1+cDR)^'Markov Model_b (2)'!cycle2</f>
        <v>0</v>
      </c>
      <c r="X304" s="178">
        <f t="shared" si="29"/>
        <v>5.1587009800314689</v>
      </c>
      <c r="Y304" s="202">
        <f>(T304*(uPostT))/(1+oDR)^'Markov Model_b (2)'!cycle</f>
        <v>1.8816803402682871</v>
      </c>
      <c r="Z304" s="80"/>
      <c r="AA304" s="3"/>
      <c r="AB304" s="3"/>
      <c r="AC304" s="14">
        <v>292</v>
      </c>
      <c r="AD304" s="14"/>
      <c r="AE304" s="14"/>
      <c r="AF304" s="297"/>
      <c r="AG304" s="297"/>
      <c r="AH304" s="297"/>
      <c r="AI304" s="14"/>
      <c r="AJ304" s="14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</row>
    <row r="305" spans="1:47" ht="14.25" customHeight="1" x14ac:dyDescent="0.2">
      <c r="A305" s="3"/>
      <c r="B305" s="417"/>
      <c r="C305" s="173">
        <v>295</v>
      </c>
      <c r="D305" s="165"/>
      <c r="E305" s="174">
        <v>4.1050077712355693E-3</v>
      </c>
      <c r="F305" s="502"/>
      <c r="G305" s="219">
        <f t="shared" si="32"/>
        <v>5.3632530390572697</v>
      </c>
      <c r="H305" s="249">
        <f>H304+(G304*E305*'life-tables-test'!$C$66)</f>
        <v>94.63674696094273</v>
      </c>
      <c r="I305" s="516">
        <f t="shared" si="30"/>
        <v>100</v>
      </c>
      <c r="J305" s="153">
        <f>(G305*0)/(1+cDR)^'Markov Model_b (2)'!cycle</f>
        <v>0</v>
      </c>
      <c r="K305" s="178">
        <f t="shared" si="27"/>
        <v>5.3632530390572697</v>
      </c>
      <c r="L305" s="202">
        <f>(G305*(uPostT))/(1+oDR)^'Markov Model_b (2)'!cycle</f>
        <v>1.9514139199368241</v>
      </c>
      <c r="M305" s="80"/>
      <c r="N305" s="3"/>
      <c r="O305" s="80"/>
      <c r="P305" s="173">
        <v>295</v>
      </c>
      <c r="Q305" s="165"/>
      <c r="R305" s="174">
        <v>4.1050077712355693E-3</v>
      </c>
      <c r="S305" s="502"/>
      <c r="T305" s="219">
        <f t="shared" si="31"/>
        <v>5.0528184419689239</v>
      </c>
      <c r="U305" s="249">
        <f>U304+(T304*R305*'life-tables-test'!$C$66)</f>
        <v>94.947181558031076</v>
      </c>
      <c r="V305" s="516">
        <f t="shared" si="28"/>
        <v>100</v>
      </c>
      <c r="W305" s="153">
        <f>(T305*0)/(1+cDR)^'Markov Model_b (2)'!cycle2</f>
        <v>0</v>
      </c>
      <c r="X305" s="178">
        <f t="shared" si="29"/>
        <v>5.0528184419689239</v>
      </c>
      <c r="Y305" s="202">
        <f>(T305*(uPostT))/(1+oDR)^'Markov Model_b (2)'!cycle</f>
        <v>1.8384626216153375</v>
      </c>
      <c r="Z305" s="80"/>
      <c r="AA305" s="3"/>
      <c r="AB305" s="3"/>
      <c r="AC305" s="14">
        <v>293</v>
      </c>
      <c r="AD305" s="14"/>
      <c r="AE305" s="14"/>
      <c r="AF305" s="297"/>
      <c r="AG305" s="297"/>
      <c r="AH305" s="297"/>
      <c r="AI305" s="14"/>
      <c r="AJ305" s="14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</row>
    <row r="306" spans="1:47" ht="14.25" customHeight="1" x14ac:dyDescent="0.2">
      <c r="A306" s="3"/>
      <c r="B306" s="417"/>
      <c r="C306" s="173">
        <v>296</v>
      </c>
      <c r="D306" s="165"/>
      <c r="E306" s="174">
        <v>4.1050077712355693E-3</v>
      </c>
      <c r="F306" s="502"/>
      <c r="G306" s="219">
        <f t="shared" si="32"/>
        <v>5.2531720620351052</v>
      </c>
      <c r="H306" s="249">
        <f>H305+(G305*E306*'life-tables-test'!$C$66)</f>
        <v>94.746827937964895</v>
      </c>
      <c r="I306" s="516">
        <f t="shared" si="30"/>
        <v>100</v>
      </c>
      <c r="J306" s="153">
        <f>(G306*0)/(1+cDR)^'Markov Model_b (2)'!cycle</f>
        <v>0</v>
      </c>
      <c r="K306" s="178">
        <f t="shared" ref="K306:K369" si="33">G306</f>
        <v>5.2531720620351052</v>
      </c>
      <c r="L306" s="202">
        <f>(G306*(uPostT))/(1+oDR)^'Markov Model_b (2)'!cycle</f>
        <v>1.9065945869382888</v>
      </c>
      <c r="M306" s="80"/>
      <c r="N306" s="3"/>
      <c r="O306" s="80"/>
      <c r="P306" s="173">
        <v>296</v>
      </c>
      <c r="Q306" s="165"/>
      <c r="R306" s="174">
        <v>4.1050077712355693E-3</v>
      </c>
      <c r="S306" s="502"/>
      <c r="T306" s="219">
        <f t="shared" si="31"/>
        <v>4.9491091471142994</v>
      </c>
      <c r="U306" s="249">
        <f>U305+(T305*R306*'life-tables-test'!$C$66)</f>
        <v>95.050890852885701</v>
      </c>
      <c r="V306" s="516">
        <f t="shared" si="28"/>
        <v>100</v>
      </c>
      <c r="W306" s="153">
        <f>(T306*0)/(1+cDR)^'Markov Model_b (2)'!cycle2</f>
        <v>0</v>
      </c>
      <c r="X306" s="178">
        <f t="shared" si="29"/>
        <v>4.9491091471142994</v>
      </c>
      <c r="Y306" s="202">
        <f>(T306*(uPostT))/(1+oDR)^'Markov Model_b (2)'!cycle</f>
        <v>1.7962375110933186</v>
      </c>
      <c r="Z306" s="80"/>
      <c r="AA306" s="3"/>
      <c r="AB306" s="3"/>
      <c r="AC306" s="14">
        <v>294</v>
      </c>
      <c r="AD306" s="14"/>
      <c r="AE306" s="14"/>
      <c r="AF306" s="297"/>
      <c r="AG306" s="297"/>
      <c r="AH306" s="297"/>
      <c r="AI306" s="14"/>
      <c r="AJ306" s="14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</row>
    <row r="307" spans="1:47" ht="14.25" customHeight="1" x14ac:dyDescent="0.2">
      <c r="A307" s="3"/>
      <c r="B307" s="417"/>
      <c r="C307" s="173">
        <v>297</v>
      </c>
      <c r="D307" s="165"/>
      <c r="E307" s="174">
        <v>4.1050077712355693E-3</v>
      </c>
      <c r="F307" s="502"/>
      <c r="G307" s="219">
        <f t="shared" si="32"/>
        <v>5.1453505013436427</v>
      </c>
      <c r="H307" s="249">
        <f>H306+(G306*E307*'life-tables-test'!$C$66)</f>
        <v>94.854649498656357</v>
      </c>
      <c r="I307" s="516">
        <f t="shared" si="30"/>
        <v>100</v>
      </c>
      <c r="J307" s="153">
        <f>(G307*0)/(1+cDR)^'Markov Model_b (2)'!cycle</f>
        <v>0</v>
      </c>
      <c r="K307" s="178">
        <f t="shared" si="33"/>
        <v>5.1453505013436427</v>
      </c>
      <c r="L307" s="202">
        <f>(G307*(uPostT))/(1+oDR)^'Markov Model_b (2)'!cycle</f>
        <v>1.8628046473400506</v>
      </c>
      <c r="M307" s="80"/>
      <c r="N307" s="3"/>
      <c r="O307" s="80"/>
      <c r="P307" s="173">
        <v>297</v>
      </c>
      <c r="Q307" s="165"/>
      <c r="R307" s="174">
        <v>4.1050077712355693E-3</v>
      </c>
      <c r="S307" s="502"/>
      <c r="T307" s="219">
        <f t="shared" si="31"/>
        <v>4.8475284895663151</v>
      </c>
      <c r="U307" s="249">
        <f>U306+(T306*R307*'life-tables-test'!$C$66)</f>
        <v>95.152471510433685</v>
      </c>
      <c r="V307" s="516">
        <f t="shared" si="28"/>
        <v>100</v>
      </c>
      <c r="W307" s="153">
        <f>(T307*0)/(1+cDR)^'Markov Model_b (2)'!cycle2</f>
        <v>0</v>
      </c>
      <c r="X307" s="178">
        <f t="shared" si="29"/>
        <v>4.8475284895663151</v>
      </c>
      <c r="Y307" s="202">
        <f>(T307*(uPostT))/(1+oDR)^'Markov Model_b (2)'!cycle</f>
        <v>1.7549822108560649</v>
      </c>
      <c r="Z307" s="80"/>
      <c r="AA307" s="3"/>
      <c r="AB307" s="3"/>
      <c r="AC307" s="14">
        <v>295</v>
      </c>
      <c r="AD307" s="14"/>
      <c r="AE307" s="14"/>
      <c r="AF307" s="297"/>
      <c r="AG307" s="297"/>
      <c r="AH307" s="297"/>
      <c r="AI307" s="14"/>
      <c r="AJ307" s="14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</row>
    <row r="308" spans="1:47" ht="14.25" customHeight="1" x14ac:dyDescent="0.2">
      <c r="A308" s="3"/>
      <c r="B308" s="417"/>
      <c r="C308" s="173">
        <v>298</v>
      </c>
      <c r="D308" s="165"/>
      <c r="E308" s="174">
        <v>4.1050077712355693E-3</v>
      </c>
      <c r="F308" s="502"/>
      <c r="G308" s="219">
        <f t="shared" si="32"/>
        <v>5.0397419823749061</v>
      </c>
      <c r="H308" s="249">
        <f>H307+(G307*E308*'life-tables-test'!$C$66)</f>
        <v>94.960258017625094</v>
      </c>
      <c r="I308" s="516">
        <f t="shared" si="30"/>
        <v>100</v>
      </c>
      <c r="J308" s="153">
        <f>(G308*0)/(1+cDR)^'Markov Model_b (2)'!cycle</f>
        <v>0</v>
      </c>
      <c r="K308" s="178">
        <f t="shared" si="33"/>
        <v>5.0397419823749061</v>
      </c>
      <c r="L308" s="202">
        <f>(G308*(uPostT))/(1+oDR)^'Markov Model_b (2)'!cycle</f>
        <v>1.8200204584258612</v>
      </c>
      <c r="M308" s="80"/>
      <c r="N308" s="3"/>
      <c r="O308" s="80"/>
      <c r="P308" s="173">
        <v>298</v>
      </c>
      <c r="Q308" s="165"/>
      <c r="R308" s="174">
        <v>4.1050077712355693E-3</v>
      </c>
      <c r="S308" s="502"/>
      <c r="T308" s="219">
        <f t="shared" si="31"/>
        <v>4.7480327789615444</v>
      </c>
      <c r="U308" s="249">
        <f>U307+(T307*R308*'life-tables-test'!$C$66)</f>
        <v>95.251967221038456</v>
      </c>
      <c r="V308" s="516">
        <f t="shared" si="28"/>
        <v>100</v>
      </c>
      <c r="W308" s="153">
        <f>(T308*0)/(1+cDR)^'Markov Model_b (2)'!cycle2</f>
        <v>0</v>
      </c>
      <c r="X308" s="178">
        <f t="shared" si="29"/>
        <v>4.7480327789615444</v>
      </c>
      <c r="Y308" s="202">
        <f>(T308*(uPostT))/(1+oDR)^'Markov Model_b (2)'!cycle</f>
        <v>1.7146744466696717</v>
      </c>
      <c r="Z308" s="80"/>
      <c r="AA308" s="3"/>
      <c r="AB308" s="3"/>
      <c r="AC308" s="14">
        <v>296</v>
      </c>
      <c r="AD308" s="14"/>
      <c r="AE308" s="14"/>
      <c r="AF308" s="297"/>
      <c r="AG308" s="297"/>
      <c r="AH308" s="297"/>
      <c r="AI308" s="14"/>
      <c r="AJ308" s="14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</row>
    <row r="309" spans="1:47" ht="14.25" customHeight="1" x14ac:dyDescent="0.2">
      <c r="A309" s="3"/>
      <c r="B309" s="417"/>
      <c r="C309" s="173">
        <v>299</v>
      </c>
      <c r="D309" s="165"/>
      <c r="E309" s="174">
        <v>4.1050077712355693E-3</v>
      </c>
      <c r="F309" s="502"/>
      <c r="G309" s="219">
        <f t="shared" si="32"/>
        <v>4.9363010823615525</v>
      </c>
      <c r="H309" s="249">
        <f>H308+(G308*E309*'life-tables-test'!$C$66)</f>
        <v>95.063698917638447</v>
      </c>
      <c r="I309" s="516">
        <f t="shared" si="30"/>
        <v>100</v>
      </c>
      <c r="J309" s="153">
        <f>(G309*0)/(1+cDR)^'Markov Model_b (2)'!cycle</f>
        <v>0</v>
      </c>
      <c r="K309" s="178">
        <f t="shared" si="33"/>
        <v>4.9363010823615525</v>
      </c>
      <c r="L309" s="202">
        <f>(G309*(uPostT))/(1+oDR)^'Markov Model_b (2)'!cycle</f>
        <v>1.7782189204963919</v>
      </c>
      <c r="M309" s="80"/>
      <c r="N309" s="3"/>
      <c r="O309" s="80"/>
      <c r="P309" s="173">
        <v>299</v>
      </c>
      <c r="Q309" s="165"/>
      <c r="R309" s="174">
        <v>4.1050077712355693E-3</v>
      </c>
      <c r="S309" s="502"/>
      <c r="T309" s="219">
        <f t="shared" si="31"/>
        <v>4.6505792216829462</v>
      </c>
      <c r="U309" s="249">
        <f>U308+(T308*R309*'life-tables-test'!$C$66)</f>
        <v>95.349420778317054</v>
      </c>
      <c r="V309" s="516">
        <f t="shared" si="28"/>
        <v>100</v>
      </c>
      <c r="W309" s="153">
        <f>(T309*0)/(1+cDR)^'Markov Model_b (2)'!cycle2</f>
        <v>0</v>
      </c>
      <c r="X309" s="178">
        <f t="shared" si="29"/>
        <v>4.6505792216829462</v>
      </c>
      <c r="Y309" s="202">
        <f>(T309*(uPostT))/(1+oDR)^'Markov Model_b (2)'!cycle</f>
        <v>1.6752924558863636</v>
      </c>
      <c r="Z309" s="80"/>
      <c r="AA309" s="3"/>
      <c r="AB309" s="3"/>
      <c r="AC309" s="14">
        <v>297</v>
      </c>
      <c r="AD309" s="14"/>
      <c r="AE309" s="14"/>
      <c r="AF309" s="297"/>
      <c r="AG309" s="297"/>
      <c r="AH309" s="297"/>
      <c r="AI309" s="14"/>
      <c r="AJ309" s="14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</row>
    <row r="310" spans="1:47" ht="14.25" customHeight="1" x14ac:dyDescent="0.2">
      <c r="A310" s="3"/>
      <c r="B310" s="417"/>
      <c r="C310" s="173">
        <v>300</v>
      </c>
      <c r="D310" s="165"/>
      <c r="E310" s="174">
        <v>4.1050077712355693E-3</v>
      </c>
      <c r="F310" s="502"/>
      <c r="G310" s="219">
        <f t="shared" si="32"/>
        <v>4.8349833108402862</v>
      </c>
      <c r="H310" s="249">
        <f>H309+(G309*E310*'life-tables-test'!$C$66)</f>
        <v>95.165016689159714</v>
      </c>
      <c r="I310" s="516">
        <f t="shared" si="30"/>
        <v>100</v>
      </c>
      <c r="J310" s="153">
        <f>(G310*0)/(1+cDR)^'Markov Model_b (2)'!cycle</f>
        <v>0</v>
      </c>
      <c r="K310" s="178">
        <f t="shared" si="33"/>
        <v>4.8349833108402862</v>
      </c>
      <c r="L310" s="202">
        <f>(G310*(uPostT))/(1+oDR)^'Markov Model_b (2)'!cycle</f>
        <v>1.7373774643974182</v>
      </c>
      <c r="M310" s="80"/>
      <c r="N310" s="3"/>
      <c r="O310" s="80"/>
      <c r="P310" s="173">
        <v>300</v>
      </c>
      <c r="Q310" s="165"/>
      <c r="R310" s="174">
        <v>4.1050077712355693E-3</v>
      </c>
      <c r="S310" s="502"/>
      <c r="T310" s="219">
        <f t="shared" si="31"/>
        <v>4.555125902454165</v>
      </c>
      <c r="U310" s="249">
        <f>U309+(T309*R310*'life-tables-test'!$C$66)</f>
        <v>95.444874097545835</v>
      </c>
      <c r="V310" s="516">
        <f t="shared" si="28"/>
        <v>100</v>
      </c>
      <c r="W310" s="153">
        <f>(T310*0)/(1+cDR)^'Markov Model_b (2)'!cycle2</f>
        <v>0</v>
      </c>
      <c r="X310" s="178">
        <f t="shared" si="29"/>
        <v>4.555125902454165</v>
      </c>
      <c r="Y310" s="202">
        <f>(T310*(uPostT))/(1+oDR)^'Markov Model_b (2)'!cycle</f>
        <v>1.6368149756945956</v>
      </c>
      <c r="Z310" s="80"/>
      <c r="AA310" s="3"/>
      <c r="AB310" s="3"/>
      <c r="AC310" s="14">
        <v>298</v>
      </c>
      <c r="AD310" s="14"/>
      <c r="AE310" s="14"/>
      <c r="AF310" s="297"/>
      <c r="AG310" s="297"/>
      <c r="AH310" s="297"/>
      <c r="AI310" s="14"/>
      <c r="AJ310" s="14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</row>
    <row r="311" spans="1:47" ht="14.25" customHeight="1" x14ac:dyDescent="0.2">
      <c r="A311" s="3"/>
      <c r="B311" s="417"/>
      <c r="C311" s="173">
        <v>301</v>
      </c>
      <c r="D311" s="504"/>
      <c r="E311" s="174">
        <v>4.1050077712355693E-3</v>
      </c>
      <c r="F311" s="505"/>
      <c r="G311" s="219">
        <f t="shared" si="32"/>
        <v>4.7357450905163176</v>
      </c>
      <c r="H311" s="249">
        <f>H310+(G310*E311*'life-tables-test'!$C$66)</f>
        <v>95.264254909483682</v>
      </c>
      <c r="I311" s="516">
        <f t="shared" si="30"/>
        <v>100</v>
      </c>
      <c r="J311" s="180">
        <f>(G311*0)/(1+cDR)^'Markov Model_b (2)'!cycle</f>
        <v>0</v>
      </c>
      <c r="K311" s="176">
        <f t="shared" si="33"/>
        <v>4.7357450905163176</v>
      </c>
      <c r="L311" s="202">
        <f>(G311*(uPostT))/(1+oDR)^'Markov Model_b (2)'!cycle</f>
        <v>1.6974740393344772</v>
      </c>
      <c r="M311" s="80"/>
      <c r="N311" s="3"/>
      <c r="O311" s="80"/>
      <c r="P311" s="173">
        <v>301</v>
      </c>
      <c r="Q311" s="504"/>
      <c r="R311" s="174">
        <v>4.1050077712355693E-3</v>
      </c>
      <c r="S311" s="505"/>
      <c r="T311" s="219">
        <f t="shared" si="31"/>
        <v>4.4616317663115126</v>
      </c>
      <c r="U311" s="249">
        <f>U310+(T310*R311*'life-tables-test'!$C$66)</f>
        <v>95.538368233688487</v>
      </c>
      <c r="V311" s="516">
        <f t="shared" si="28"/>
        <v>100</v>
      </c>
      <c r="W311" s="180">
        <f>(T311*0)/(1+cDR)^'Markov Model_b (2)'!cycle2</f>
        <v>0</v>
      </c>
      <c r="X311" s="176">
        <f t="shared" si="29"/>
        <v>4.4616317663115126</v>
      </c>
      <c r="Y311" s="202">
        <f>(T311*(uPostT))/(1+oDR)^'Markov Model_b (2)'!cycle</f>
        <v>1.5992212316389933</v>
      </c>
      <c r="Z311" s="80"/>
      <c r="AA311" s="3"/>
      <c r="AB311" s="3"/>
      <c r="AC311" s="14">
        <v>299</v>
      </c>
      <c r="AD311" s="14"/>
      <c r="AE311" s="14"/>
      <c r="AF311" s="297"/>
      <c r="AG311" s="297"/>
      <c r="AH311" s="297"/>
      <c r="AI311" s="14"/>
      <c r="AJ311" s="14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</row>
    <row r="312" spans="1:47" ht="14.25" customHeight="1" x14ac:dyDescent="0.25">
      <c r="A312" s="3">
        <v>27</v>
      </c>
      <c r="B312" s="417"/>
      <c r="C312" s="506">
        <v>302</v>
      </c>
      <c r="D312" s="506"/>
      <c r="E312" s="507">
        <v>4.1050077712355693E-3</v>
      </c>
      <c r="F312" s="508"/>
      <c r="G312" s="509">
        <f t="shared" si="32"/>
        <v>4.6385437385205108</v>
      </c>
      <c r="H312" s="510">
        <f>H311+(G311*E312*'life-tables-test'!$C$66)</f>
        <v>95.361456261479489</v>
      </c>
      <c r="I312" s="518">
        <f t="shared" si="30"/>
        <v>100</v>
      </c>
      <c r="J312" s="511">
        <f>(G312*0)/(1+cDR)^'Markov Model_b (2)'!cycle</f>
        <v>0</v>
      </c>
      <c r="K312" s="512">
        <f t="shared" si="33"/>
        <v>4.6385437385205108</v>
      </c>
      <c r="L312" s="513">
        <f>(G312*(uPostT))/(1+oDR)^'Markov Model_b (2)'!cycle</f>
        <v>1.6584871009673638</v>
      </c>
      <c r="M312" s="80"/>
      <c r="N312" s="3"/>
      <c r="O312" s="80"/>
      <c r="P312" s="506">
        <v>302</v>
      </c>
      <c r="Q312" s="506"/>
      <c r="R312" s="507">
        <v>4.1050077712355693E-3</v>
      </c>
      <c r="S312" s="508"/>
      <c r="T312" s="509">
        <f t="shared" si="31"/>
        <v>4.3700566009460147</v>
      </c>
      <c r="U312" s="510">
        <f>U311+(T311*R312*'life-tables-test'!$C$66)</f>
        <v>95.629943399053985</v>
      </c>
      <c r="V312" s="518">
        <f t="shared" ref="V312:V375" si="34">SUM(T312:U312)</f>
        <v>100</v>
      </c>
      <c r="W312" s="511">
        <f>(T312*0)/(1+cDR)^'Markov Model_b (2)'!cycle2</f>
        <v>0</v>
      </c>
      <c r="X312" s="512">
        <f t="shared" ref="X312:X375" si="35">T312</f>
        <v>4.3700566009460147</v>
      </c>
      <c r="Y312" s="513">
        <f>(T312*(uPostT))/(1+oDR)^'Markov Model_b (2)'!cycle</f>
        <v>1.5624909264039701</v>
      </c>
      <c r="Z312" s="80"/>
      <c r="AA312" s="3"/>
      <c r="AB312" s="3"/>
      <c r="AC312" s="14">
        <v>300</v>
      </c>
      <c r="AD312" s="14"/>
      <c r="AE312" s="14"/>
      <c r="AF312" s="297"/>
      <c r="AG312" s="297"/>
      <c r="AH312" s="297"/>
      <c r="AI312" s="14"/>
      <c r="AJ312" s="14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</row>
    <row r="313" spans="1:47" ht="14.25" customHeight="1" x14ac:dyDescent="0.2">
      <c r="A313" s="3"/>
      <c r="B313" s="417"/>
      <c r="C313" s="173">
        <v>303</v>
      </c>
      <c r="D313" s="165"/>
      <c r="E313" s="174">
        <v>4.5466575584373059E-3</v>
      </c>
      <c r="F313" s="502"/>
      <c r="G313" s="219">
        <f t="shared" si="32"/>
        <v>4.5330943887760782</v>
      </c>
      <c r="H313" s="249">
        <f>H312+(G312*E313*'life-tables-test'!$C$66)</f>
        <v>95.466905611223922</v>
      </c>
      <c r="I313" s="516">
        <f t="shared" ref="I313:I376" si="36">SUM(G313:H313)</f>
        <v>100</v>
      </c>
      <c r="J313" s="153">
        <f>(G313*0)/(1+cDR)^'Markov Model_b (2)'!cycle</f>
        <v>0</v>
      </c>
      <c r="K313" s="178">
        <f t="shared" si="33"/>
        <v>4.5330943887760782</v>
      </c>
      <c r="L313" s="202">
        <f>(G313*(uPostT))/(1+oDR)^'Markov Model_b (2)'!cycle</f>
        <v>1.6167423804503176</v>
      </c>
      <c r="M313" s="80"/>
      <c r="N313" s="3"/>
      <c r="O313" s="80"/>
      <c r="P313" s="173">
        <v>303</v>
      </c>
      <c r="Q313" s="165"/>
      <c r="R313" s="174">
        <v>4.5466575584373059E-3</v>
      </c>
      <c r="S313" s="502"/>
      <c r="T313" s="219">
        <f t="shared" ref="T313:T376" si="37">$T$10-U313</f>
        <v>4.2707108465685621</v>
      </c>
      <c r="U313" s="249">
        <f>U312+(T312*R313*'life-tables-test'!$C$66)</f>
        <v>95.729289153431438</v>
      </c>
      <c r="V313" s="516">
        <f t="shared" si="34"/>
        <v>100</v>
      </c>
      <c r="W313" s="153">
        <f>(T313*0)/(1+cDR)^'Markov Model_b (2)'!cycle2</f>
        <v>0</v>
      </c>
      <c r="X313" s="178">
        <f t="shared" si="35"/>
        <v>4.2707108465685621</v>
      </c>
      <c r="Y313" s="202">
        <f>(T313*(uPostT))/(1+oDR)^'Markov Model_b (2)'!cycle</f>
        <v>1.5231624643404966</v>
      </c>
      <c r="Z313" s="80"/>
      <c r="AA313" s="3"/>
      <c r="AB313" s="3"/>
      <c r="AC313" s="14">
        <v>301</v>
      </c>
      <c r="AD313" s="14"/>
      <c r="AE313" s="14"/>
      <c r="AF313" s="297"/>
      <c r="AG313" s="297"/>
      <c r="AH313" s="297"/>
      <c r="AI313" s="14"/>
      <c r="AJ313" s="14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</row>
    <row r="314" spans="1:47" ht="14.25" customHeight="1" x14ac:dyDescent="0.2">
      <c r="A314" s="3"/>
      <c r="B314" s="417"/>
      <c r="C314" s="173">
        <v>304</v>
      </c>
      <c r="D314" s="165"/>
      <c r="E314" s="174">
        <v>4.5466575584373059E-3</v>
      </c>
      <c r="F314" s="502"/>
      <c r="G314" s="219">
        <f t="shared" si="32"/>
        <v>4.4300422494468847</v>
      </c>
      <c r="H314" s="249">
        <f>H313+(G313*E314*'life-tables-test'!$C$66)</f>
        <v>95.569957750553115</v>
      </c>
      <c r="I314" s="516">
        <f t="shared" si="36"/>
        <v>100</v>
      </c>
      <c r="J314" s="153">
        <f>(G314*0)/(1+cDR)^'Markov Model_b (2)'!cycle</f>
        <v>0</v>
      </c>
      <c r="K314" s="178">
        <f t="shared" si="33"/>
        <v>4.4300422494468847</v>
      </c>
      <c r="L314" s="202">
        <f>(G314*(uPostT))/(1+oDR)^'Markov Model_b (2)'!cycle</f>
        <v>1.5760483896555759</v>
      </c>
      <c r="M314" s="80"/>
      <c r="N314" s="3"/>
      <c r="O314" s="80"/>
      <c r="P314" s="173">
        <v>304</v>
      </c>
      <c r="Q314" s="165"/>
      <c r="R314" s="174">
        <v>4.5466575584373059E-3</v>
      </c>
      <c r="S314" s="502"/>
      <c r="T314" s="219">
        <f t="shared" si="37"/>
        <v>4.1736235478163053</v>
      </c>
      <c r="U314" s="249">
        <f>U313+(T313*R314*'life-tables-test'!$C$66)</f>
        <v>95.826376452183695</v>
      </c>
      <c r="V314" s="516">
        <f t="shared" si="34"/>
        <v>100</v>
      </c>
      <c r="W314" s="153">
        <f>(T314*0)/(1+cDR)^'Markov Model_b (2)'!cycle2</f>
        <v>0</v>
      </c>
      <c r="X314" s="178">
        <f t="shared" si="35"/>
        <v>4.1736235478163053</v>
      </c>
      <c r="Y314" s="202">
        <f>(T314*(uPostT))/(1+oDR)^'Markov Model_b (2)'!cycle</f>
        <v>1.484823913899638</v>
      </c>
      <c r="Z314" s="80"/>
      <c r="AA314" s="3"/>
      <c r="AB314" s="3"/>
      <c r="AC314" s="14">
        <v>302</v>
      </c>
      <c r="AD314" s="14"/>
      <c r="AE314" s="14"/>
      <c r="AF314" s="297"/>
      <c r="AG314" s="297"/>
      <c r="AH314" s="297"/>
      <c r="AI314" s="14"/>
      <c r="AJ314" s="14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</row>
    <row r="315" spans="1:47" ht="14.25" customHeight="1" x14ac:dyDescent="0.2">
      <c r="A315" s="3"/>
      <c r="B315" s="417"/>
      <c r="C315" s="173">
        <v>305</v>
      </c>
      <c r="D315" s="165"/>
      <c r="E315" s="174">
        <v>4.5466575584373059E-3</v>
      </c>
      <c r="F315" s="502"/>
      <c r="G315" s="219">
        <f t="shared" si="32"/>
        <v>4.3293328240586675</v>
      </c>
      <c r="H315" s="249">
        <f>H314+(G314*E315*'life-tables-test'!$C$66)</f>
        <v>95.670667175941333</v>
      </c>
      <c r="I315" s="516">
        <f t="shared" si="36"/>
        <v>100</v>
      </c>
      <c r="J315" s="153">
        <f>(G315*0)/(1+cDR)^'Markov Model_b (2)'!cycle</f>
        <v>0</v>
      </c>
      <c r="K315" s="178">
        <f t="shared" si="33"/>
        <v>4.3293328240586675</v>
      </c>
      <c r="L315" s="202">
        <f>(G315*(uPostT))/(1+oDR)^'Markov Model_b (2)'!cycle</f>
        <v>1.536378681335786</v>
      </c>
      <c r="M315" s="80"/>
      <c r="N315" s="3"/>
      <c r="O315" s="80"/>
      <c r="P315" s="173">
        <v>305</v>
      </c>
      <c r="Q315" s="165"/>
      <c r="R315" s="174">
        <v>4.5466575584373059E-3</v>
      </c>
      <c r="S315" s="502"/>
      <c r="T315" s="219">
        <f t="shared" si="37"/>
        <v>4.0787433625675504</v>
      </c>
      <c r="U315" s="249">
        <f>U314+(T314*R315*'life-tables-test'!$C$66)</f>
        <v>95.92125663743245</v>
      </c>
      <c r="V315" s="516">
        <f t="shared" si="34"/>
        <v>100</v>
      </c>
      <c r="W315" s="153">
        <f>(T315*0)/(1+cDR)^'Markov Model_b (2)'!cycle2</f>
        <v>0</v>
      </c>
      <c r="X315" s="178">
        <f t="shared" si="35"/>
        <v>4.0787433625675504</v>
      </c>
      <c r="Y315" s="202">
        <f>(T315*(uPostT))/(1+oDR)^'Markov Model_b (2)'!cycle</f>
        <v>1.4474503586476182</v>
      </c>
      <c r="Z315" s="80"/>
      <c r="AA315" s="3"/>
      <c r="AB315" s="3"/>
      <c r="AC315" s="14">
        <v>303</v>
      </c>
      <c r="AD315" s="14"/>
      <c r="AE315" s="14"/>
      <c r="AF315" s="297"/>
      <c r="AG315" s="297"/>
      <c r="AH315" s="297"/>
      <c r="AI315" s="14"/>
      <c r="AJ315" s="14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</row>
    <row r="316" spans="1:47" ht="14.25" customHeight="1" x14ac:dyDescent="0.2">
      <c r="A316" s="3"/>
      <c r="B316" s="417"/>
      <c r="C316" s="173">
        <v>306</v>
      </c>
      <c r="D316" s="165"/>
      <c r="E316" s="174">
        <v>4.5466575584373059E-3</v>
      </c>
      <c r="F316" s="502"/>
      <c r="G316" s="219">
        <f t="shared" si="32"/>
        <v>4.2309128550211881</v>
      </c>
      <c r="H316" s="249">
        <f>H315+(G315*E316*'life-tables-test'!$C$66)</f>
        <v>95.769087144978812</v>
      </c>
      <c r="I316" s="516">
        <f t="shared" si="36"/>
        <v>100</v>
      </c>
      <c r="J316" s="153">
        <f>(G316*0)/(1+cDR)^'Markov Model_b (2)'!cycle</f>
        <v>0</v>
      </c>
      <c r="K316" s="178">
        <f t="shared" si="33"/>
        <v>4.2309128550211881</v>
      </c>
      <c r="L316" s="202">
        <f>(G316*(uPostT))/(1+oDR)^'Markov Model_b (2)'!cycle</f>
        <v>1.4977074739303755</v>
      </c>
      <c r="M316" s="80"/>
      <c r="N316" s="3"/>
      <c r="O316" s="80"/>
      <c r="P316" s="173">
        <v>306</v>
      </c>
      <c r="Q316" s="165"/>
      <c r="R316" s="174">
        <v>4.5466575584373059E-3</v>
      </c>
      <c r="S316" s="502"/>
      <c r="T316" s="219">
        <f t="shared" si="37"/>
        <v>3.9860201158758315</v>
      </c>
      <c r="U316" s="249">
        <f>U315+(T315*R316*'life-tables-test'!$C$66)</f>
        <v>96.013979884124169</v>
      </c>
      <c r="V316" s="516">
        <f t="shared" si="34"/>
        <v>100</v>
      </c>
      <c r="W316" s="153">
        <f>(T316*0)/(1+cDR)^'Markov Model_b (2)'!cycle2</f>
        <v>0</v>
      </c>
      <c r="X316" s="178">
        <f t="shared" si="35"/>
        <v>3.9860201158758315</v>
      </c>
      <c r="Y316" s="202">
        <f>(T316*(uPostT))/(1+oDR)^'Markov Model_b (2)'!cycle</f>
        <v>1.411017509306312</v>
      </c>
      <c r="Z316" s="80"/>
      <c r="AA316" s="3"/>
      <c r="AB316" s="3"/>
      <c r="AC316" s="14">
        <v>304</v>
      </c>
      <c r="AD316" s="14"/>
      <c r="AE316" s="14"/>
      <c r="AF316" s="297"/>
      <c r="AG316" s="297"/>
      <c r="AH316" s="297"/>
      <c r="AI316" s="14"/>
      <c r="AJ316" s="14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</row>
    <row r="317" spans="1:47" ht="14.25" customHeight="1" x14ac:dyDescent="0.2">
      <c r="A317" s="3"/>
      <c r="B317" s="417"/>
      <c r="C317" s="173">
        <v>307</v>
      </c>
      <c r="D317" s="165"/>
      <c r="E317" s="174">
        <v>4.5466575584373059E-3</v>
      </c>
      <c r="F317" s="502"/>
      <c r="G317" s="219">
        <f t="shared" si="32"/>
        <v>4.1347302954643368</v>
      </c>
      <c r="H317" s="249">
        <f>H316+(G316*E317*'life-tables-test'!$C$66)</f>
        <v>95.865269704535663</v>
      </c>
      <c r="I317" s="516">
        <f t="shared" si="36"/>
        <v>100</v>
      </c>
      <c r="J317" s="153">
        <f>(G317*0)/(1+cDR)^'Markov Model_b (2)'!cycle</f>
        <v>0</v>
      </c>
      <c r="K317" s="178">
        <f t="shared" si="33"/>
        <v>4.1347302954643368</v>
      </c>
      <c r="L317" s="202">
        <f>(G317*(uPostT))/(1+oDR)^'Markov Model_b (2)'!cycle</f>
        <v>1.4600096348099854</v>
      </c>
      <c r="M317" s="80"/>
      <c r="N317" s="3"/>
      <c r="O317" s="80"/>
      <c r="P317" s="173">
        <v>307</v>
      </c>
      <c r="Q317" s="165"/>
      <c r="R317" s="174">
        <v>4.5466575584373059E-3</v>
      </c>
      <c r="S317" s="502"/>
      <c r="T317" s="219">
        <f t="shared" si="37"/>
        <v>3.8954047734361836</v>
      </c>
      <c r="U317" s="249">
        <f>U316+(T316*R317*'life-tables-test'!$C$66)</f>
        <v>96.104595226563816</v>
      </c>
      <c r="V317" s="516">
        <f t="shared" si="34"/>
        <v>100</v>
      </c>
      <c r="W317" s="153">
        <f>(T317*0)/(1+cDR)^'Markov Model_b (2)'!cycle2</f>
        <v>0</v>
      </c>
      <c r="X317" s="178">
        <f t="shared" si="35"/>
        <v>3.8954047734361836</v>
      </c>
      <c r="Y317" s="202">
        <f>(T317*(uPostT))/(1+oDR)^'Markov Model_b (2)'!cycle</f>
        <v>1.3755016879675195</v>
      </c>
      <c r="Z317" s="80"/>
      <c r="AA317" s="3"/>
      <c r="AB317" s="3"/>
      <c r="AC317" s="14">
        <v>305</v>
      </c>
      <c r="AD317" s="14"/>
      <c r="AE317" s="14"/>
      <c r="AF317" s="297"/>
      <c r="AG317" s="297"/>
      <c r="AH317" s="297"/>
      <c r="AI317" s="14"/>
      <c r="AJ317" s="14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</row>
    <row r="318" spans="1:47" ht="14.25" customHeight="1" x14ac:dyDescent="0.2">
      <c r="A318" s="3"/>
      <c r="B318" s="417"/>
      <c r="C318" s="173">
        <v>308</v>
      </c>
      <c r="D318" s="165"/>
      <c r="E318" s="174">
        <v>4.5466575584373059E-3</v>
      </c>
      <c r="F318" s="502"/>
      <c r="G318" s="219">
        <f t="shared" si="32"/>
        <v>4.040734281714478</v>
      </c>
      <c r="H318" s="249">
        <f>H317+(G317*E318*'life-tables-test'!$C$66)</f>
        <v>95.959265718285522</v>
      </c>
      <c r="I318" s="516">
        <f t="shared" si="36"/>
        <v>100</v>
      </c>
      <c r="J318" s="153">
        <f>(G318*0)/(1+cDR)^'Markov Model_b (2)'!cycle</f>
        <v>0</v>
      </c>
      <c r="K318" s="178">
        <f t="shared" si="33"/>
        <v>4.040734281714478</v>
      </c>
      <c r="L318" s="202">
        <f>(G318*(uPostT))/(1+oDR)^'Markov Model_b (2)'!cycle</f>
        <v>1.4232606639426297</v>
      </c>
      <c r="M318" s="80"/>
      <c r="N318" s="3"/>
      <c r="O318" s="80"/>
      <c r="P318" s="173">
        <v>308</v>
      </c>
      <c r="Q318" s="165"/>
      <c r="R318" s="174">
        <v>4.5466575584373059E-3</v>
      </c>
      <c r="S318" s="502"/>
      <c r="T318" s="219">
        <f t="shared" si="37"/>
        <v>3.8068494156545967</v>
      </c>
      <c r="U318" s="249">
        <f>U317+(T317*R318*'life-tables-test'!$C$66)</f>
        <v>96.193150584345403</v>
      </c>
      <c r="V318" s="516">
        <f t="shared" si="34"/>
        <v>100</v>
      </c>
      <c r="W318" s="153">
        <f>(T318*0)/(1+cDR)^'Markov Model_b (2)'!cycle2</f>
        <v>0</v>
      </c>
      <c r="X318" s="178">
        <f t="shared" si="35"/>
        <v>3.8068494156545967</v>
      </c>
      <c r="Y318" s="202">
        <f>(T318*(uPostT))/(1+oDR)^'Markov Model_b (2)'!cycle</f>
        <v>1.3408798127045523</v>
      </c>
      <c r="Z318" s="80"/>
      <c r="AA318" s="3"/>
      <c r="AB318" s="3"/>
      <c r="AC318" s="14">
        <v>306</v>
      </c>
      <c r="AD318" s="14"/>
      <c r="AE318" s="14"/>
      <c r="AF318" s="297"/>
      <c r="AG318" s="297"/>
      <c r="AH318" s="297"/>
      <c r="AI318" s="14"/>
      <c r="AJ318" s="14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</row>
    <row r="319" spans="1:47" ht="14.25" customHeight="1" x14ac:dyDescent="0.2">
      <c r="A319" s="3"/>
      <c r="B319" s="417"/>
      <c r="C319" s="173">
        <v>309</v>
      </c>
      <c r="D319" s="165"/>
      <c r="E319" s="174">
        <v>4.5466575584373059E-3</v>
      </c>
      <c r="F319" s="502"/>
      <c r="G319" s="219">
        <f t="shared" si="32"/>
        <v>3.948875106396514</v>
      </c>
      <c r="H319" s="249">
        <f>H318+(G318*E319*'life-tables-test'!$C$66)</f>
        <v>96.051124893603486</v>
      </c>
      <c r="I319" s="516">
        <f t="shared" si="36"/>
        <v>100</v>
      </c>
      <c r="J319" s="153">
        <f>(G319*0)/(1+cDR)^'Markov Model_b (2)'!cycle</f>
        <v>0</v>
      </c>
      <c r="K319" s="178">
        <f t="shared" si="33"/>
        <v>3.948875106396514</v>
      </c>
      <c r="L319" s="202">
        <f>(G319*(uPostT))/(1+oDR)^'Markov Model_b (2)'!cycle</f>
        <v>1.3874366779709979</v>
      </c>
      <c r="M319" s="80"/>
      <c r="N319" s="3"/>
      <c r="O319" s="80"/>
      <c r="P319" s="173">
        <v>309</v>
      </c>
      <c r="Q319" s="165"/>
      <c r="R319" s="174">
        <v>4.5466575584373059E-3</v>
      </c>
      <c r="S319" s="502"/>
      <c r="T319" s="219">
        <f t="shared" si="37"/>
        <v>3.7203072123070058</v>
      </c>
      <c r="U319" s="249">
        <f>U318+(T318*R319*'life-tables-test'!$C$66)</f>
        <v>96.279692787692994</v>
      </c>
      <c r="V319" s="516">
        <f t="shared" si="34"/>
        <v>100</v>
      </c>
      <c r="W319" s="153">
        <f>(T319*0)/(1+cDR)^'Markov Model_b (2)'!cycle2</f>
        <v>0</v>
      </c>
      <c r="X319" s="178">
        <f t="shared" si="35"/>
        <v>3.7203072123070058</v>
      </c>
      <c r="Y319" s="202">
        <f>(T319*(uPostT))/(1+oDR)^'Markov Model_b (2)'!cycle</f>
        <v>1.3071293825711794</v>
      </c>
      <c r="Z319" s="80"/>
      <c r="AA319" s="3"/>
      <c r="AB319" s="3"/>
      <c r="AC319" s="14">
        <v>307</v>
      </c>
      <c r="AD319" s="14"/>
      <c r="AE319" s="14"/>
      <c r="AF319" s="297"/>
      <c r="AG319" s="297"/>
      <c r="AH319" s="297"/>
      <c r="AI319" s="14"/>
      <c r="AJ319" s="14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</row>
    <row r="320" spans="1:47" ht="14.25" customHeight="1" x14ac:dyDescent="0.2">
      <c r="A320" s="3"/>
      <c r="B320" s="417"/>
      <c r="C320" s="173">
        <v>310</v>
      </c>
      <c r="D320" s="165"/>
      <c r="E320" s="174">
        <v>4.5466575584373059E-3</v>
      </c>
      <c r="F320" s="502"/>
      <c r="G320" s="219">
        <f t="shared" si="32"/>
        <v>3.8591041921473987</v>
      </c>
      <c r="H320" s="249">
        <f>H319+(G319*E320*'life-tables-test'!$C$66)</f>
        <v>96.140895807852601</v>
      </c>
      <c r="I320" s="516">
        <f t="shared" si="36"/>
        <v>100</v>
      </c>
      <c r="J320" s="153">
        <f>(G320*0)/(1+cDR)^'Markov Model_b (2)'!cycle</f>
        <v>0</v>
      </c>
      <c r="K320" s="178">
        <f t="shared" si="33"/>
        <v>3.8591041921473987</v>
      </c>
      <c r="L320" s="202">
        <f>(G320*(uPostT))/(1+oDR)^'Markov Model_b (2)'!cycle</f>
        <v>1.3525143946905214</v>
      </c>
      <c r="M320" s="80"/>
      <c r="N320" s="3"/>
      <c r="O320" s="80"/>
      <c r="P320" s="173">
        <v>310</v>
      </c>
      <c r="Q320" s="165"/>
      <c r="R320" s="174">
        <v>4.5466575584373059E-3</v>
      </c>
      <c r="S320" s="502"/>
      <c r="T320" s="219">
        <f t="shared" si="37"/>
        <v>3.6357323977742766</v>
      </c>
      <c r="U320" s="249">
        <f>U319+(T319*R320*'life-tables-test'!$C$66)</f>
        <v>96.364267602225723</v>
      </c>
      <c r="V320" s="516">
        <f t="shared" si="34"/>
        <v>100</v>
      </c>
      <c r="W320" s="153">
        <f>(T320*0)/(1+cDR)^'Markov Model_b (2)'!cycle2</f>
        <v>0</v>
      </c>
      <c r="X320" s="178">
        <f t="shared" si="35"/>
        <v>3.6357323977742766</v>
      </c>
      <c r="Y320" s="202">
        <f>(T320*(uPostT))/(1+oDR)^'Markov Model_b (2)'!cycle</f>
        <v>1.2742284629781182</v>
      </c>
      <c r="Z320" s="80"/>
      <c r="AA320" s="3"/>
      <c r="AB320" s="3"/>
      <c r="AC320" s="14">
        <v>308</v>
      </c>
      <c r="AD320" s="14"/>
      <c r="AE320" s="14"/>
      <c r="AF320" s="297"/>
      <c r="AG320" s="297"/>
      <c r="AH320" s="297"/>
      <c r="AI320" s="14"/>
      <c r="AJ320" s="14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</row>
    <row r="321" spans="1:47" ht="14.25" customHeight="1" x14ac:dyDescent="0.2">
      <c r="A321" s="3"/>
      <c r="B321" s="417"/>
      <c r="C321" s="173">
        <v>311</v>
      </c>
      <c r="D321" s="165"/>
      <c r="E321" s="174">
        <v>4.5466575584373059E-3</v>
      </c>
      <c r="F321" s="502"/>
      <c r="G321" s="219">
        <f t="shared" si="32"/>
        <v>3.7713740659272759</v>
      </c>
      <c r="H321" s="249">
        <f>H320+(G320*E321*'life-tables-test'!$C$66)</f>
        <v>96.228625934072724</v>
      </c>
      <c r="I321" s="516">
        <f t="shared" si="36"/>
        <v>100</v>
      </c>
      <c r="J321" s="153">
        <f>(G321*0)/(1+cDR)^'Markov Model_b (2)'!cycle</f>
        <v>0</v>
      </c>
      <c r="K321" s="178">
        <f t="shared" si="33"/>
        <v>3.7713740659272759</v>
      </c>
      <c r="L321" s="202">
        <f>(G321*(uPostT))/(1+oDR)^'Markov Model_b (2)'!cycle</f>
        <v>1.3184711179181503</v>
      </c>
      <c r="M321" s="80"/>
      <c r="N321" s="3"/>
      <c r="O321" s="80"/>
      <c r="P321" s="173">
        <v>311</v>
      </c>
      <c r="Q321" s="165"/>
      <c r="R321" s="174">
        <v>4.5466575584373059E-3</v>
      </c>
      <c r="S321" s="502"/>
      <c r="T321" s="219">
        <f t="shared" si="37"/>
        <v>3.5530802468402953</v>
      </c>
      <c r="U321" s="249">
        <f>U320+(T320*R321*'life-tables-test'!$C$66)</f>
        <v>96.446919753159705</v>
      </c>
      <c r="V321" s="516">
        <f t="shared" si="34"/>
        <v>100</v>
      </c>
      <c r="W321" s="153">
        <f>(T321*0)/(1+cDR)^'Markov Model_b (2)'!cycle2</f>
        <v>0</v>
      </c>
      <c r="X321" s="178">
        <f t="shared" si="35"/>
        <v>3.5530802468402953</v>
      </c>
      <c r="Y321" s="202">
        <f>(T321*(uPostT))/(1+oDR)^'Markov Model_b (2)'!cycle</f>
        <v>1.2421556714376463</v>
      </c>
      <c r="Z321" s="80"/>
      <c r="AA321" s="3"/>
      <c r="AB321" s="3"/>
      <c r="AC321" s="14">
        <v>309</v>
      </c>
      <c r="AD321" s="14"/>
      <c r="AE321" s="14"/>
      <c r="AF321" s="297"/>
      <c r="AG321" s="297"/>
      <c r="AH321" s="297"/>
      <c r="AI321" s="14"/>
      <c r="AJ321" s="14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</row>
    <row r="322" spans="1:47" ht="14.25" customHeight="1" x14ac:dyDescent="0.2">
      <c r="A322" s="3"/>
      <c r="B322" s="417"/>
      <c r="C322" s="173">
        <v>312</v>
      </c>
      <c r="D322" s="165"/>
      <c r="E322" s="174">
        <v>4.5466575584373059E-3</v>
      </c>
      <c r="F322" s="502"/>
      <c r="G322" s="219">
        <f t="shared" si="32"/>
        <v>3.685638333914568</v>
      </c>
      <c r="H322" s="249">
        <f>H321+(G321*E322*'life-tables-test'!$C$66)</f>
        <v>96.314361666085432</v>
      </c>
      <c r="I322" s="516">
        <f t="shared" si="36"/>
        <v>100</v>
      </c>
      <c r="J322" s="153">
        <f>(G322*0)/(1+cDR)^'Markov Model_b (2)'!cycle</f>
        <v>0</v>
      </c>
      <c r="K322" s="178">
        <f t="shared" si="33"/>
        <v>3.685638333914568</v>
      </c>
      <c r="L322" s="202">
        <f>(G322*(uPostT))/(1+oDR)^'Markov Model_b (2)'!cycle</f>
        <v>1.2852847227419781</v>
      </c>
      <c r="M322" s="80"/>
      <c r="N322" s="3"/>
      <c r="O322" s="80"/>
      <c r="P322" s="173">
        <v>312</v>
      </c>
      <c r="Q322" s="165"/>
      <c r="R322" s="174">
        <v>4.5466575584373059E-3</v>
      </c>
      <c r="S322" s="502"/>
      <c r="T322" s="219">
        <f t="shared" si="37"/>
        <v>3.472307051040147</v>
      </c>
      <c r="U322" s="249">
        <f>U321+(T321*R322*'life-tables-test'!$C$66)</f>
        <v>96.527692948959853</v>
      </c>
      <c r="V322" s="516">
        <f t="shared" si="34"/>
        <v>100</v>
      </c>
      <c r="W322" s="153">
        <f>(T322*0)/(1+cDR)^'Markov Model_b (2)'!cycle2</f>
        <v>0</v>
      </c>
      <c r="X322" s="178">
        <f t="shared" si="35"/>
        <v>3.472307051040147</v>
      </c>
      <c r="Y322" s="202">
        <f>(T322*(uPostT))/(1+oDR)^'Markov Model_b (2)'!cycle</f>
        <v>1.2108901636669922</v>
      </c>
      <c r="Z322" s="80"/>
      <c r="AA322" s="3"/>
      <c r="AB322" s="3"/>
      <c r="AC322" s="14">
        <v>310</v>
      </c>
      <c r="AD322" s="14"/>
      <c r="AE322" s="14"/>
      <c r="AF322" s="297"/>
      <c r="AG322" s="297"/>
      <c r="AH322" s="297"/>
      <c r="AI322" s="14"/>
      <c r="AJ322" s="14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</row>
    <row r="323" spans="1:47" ht="14.25" customHeight="1" x14ac:dyDescent="0.2">
      <c r="A323" s="3"/>
      <c r="B323" s="417"/>
      <c r="C323" s="173">
        <v>313</v>
      </c>
      <c r="D323" s="504"/>
      <c r="E323" s="174">
        <v>4.5466575584373059E-3</v>
      </c>
      <c r="F323" s="505"/>
      <c r="G323" s="219">
        <f t="shared" si="32"/>
        <v>3.6018516569717747</v>
      </c>
      <c r="H323" s="249">
        <f>H322+(G322*E323*'life-tables-test'!$C$66)</f>
        <v>96.398148343028225</v>
      </c>
      <c r="I323" s="516">
        <f t="shared" si="36"/>
        <v>100</v>
      </c>
      <c r="J323" s="180">
        <f>(G323*0)/(1+cDR)^'Markov Model_b (2)'!cycle</f>
        <v>0</v>
      </c>
      <c r="K323" s="176">
        <f t="shared" si="33"/>
        <v>3.6018516569717747</v>
      </c>
      <c r="L323" s="202">
        <f>(G323*(uPostT))/(1+oDR)^'Markov Model_b (2)'!cycle</f>
        <v>1.2529336411421295</v>
      </c>
      <c r="M323" s="80"/>
      <c r="N323" s="3"/>
      <c r="O323" s="80"/>
      <c r="P323" s="173">
        <v>313</v>
      </c>
      <c r="Q323" s="504"/>
      <c r="R323" s="174">
        <v>4.5466575584373059E-3</v>
      </c>
      <c r="S323" s="505"/>
      <c r="T323" s="219">
        <f t="shared" si="37"/>
        <v>3.3933700955460182</v>
      </c>
      <c r="U323" s="249">
        <f>U322+(T322*R323*'life-tables-test'!$C$66)</f>
        <v>96.606629904453982</v>
      </c>
      <c r="V323" s="516">
        <f t="shared" si="34"/>
        <v>100</v>
      </c>
      <c r="W323" s="180">
        <f>(T323*0)/(1+cDR)^'Markov Model_b (2)'!cycle2</f>
        <v>0</v>
      </c>
      <c r="X323" s="176">
        <f t="shared" si="35"/>
        <v>3.3933700955460182</v>
      </c>
      <c r="Y323" s="202">
        <f>(T323*(uPostT))/(1+oDR)^'Markov Model_b (2)'!cycle</f>
        <v>1.1804116200415204</v>
      </c>
      <c r="Z323" s="80"/>
      <c r="AA323" s="3"/>
      <c r="AB323" s="3"/>
      <c r="AC323" s="14">
        <v>311</v>
      </c>
      <c r="AD323" s="14"/>
      <c r="AE323" s="14"/>
      <c r="AF323" s="297"/>
      <c r="AG323" s="297"/>
      <c r="AH323" s="297"/>
      <c r="AI323" s="14"/>
      <c r="AJ323" s="14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</row>
    <row r="324" spans="1:47" ht="14.25" customHeight="1" x14ac:dyDescent="0.25">
      <c r="A324" s="3">
        <v>28</v>
      </c>
      <c r="B324" s="417"/>
      <c r="C324" s="506">
        <v>314</v>
      </c>
      <c r="D324" s="506"/>
      <c r="E324" s="507">
        <v>4.5466575584373059E-3</v>
      </c>
      <c r="F324" s="508"/>
      <c r="G324" s="509">
        <f t="shared" si="32"/>
        <v>3.5199697266690748</v>
      </c>
      <c r="H324" s="510">
        <f>H323+(G323*E324*'life-tables-test'!$C$66)</f>
        <v>96.480030273330925</v>
      </c>
      <c r="I324" s="518">
        <f t="shared" si="36"/>
        <v>100</v>
      </c>
      <c r="J324" s="511">
        <f>(G324*0)/(1+cDR)^'Markov Model_b (2)'!cycle</f>
        <v>0</v>
      </c>
      <c r="K324" s="512">
        <f t="shared" si="33"/>
        <v>3.5199697266690748</v>
      </c>
      <c r="L324" s="513">
        <f>(G324*(uPostT))/(1+oDR)^'Markov Model_b (2)'!cycle</f>
        <v>1.2213968479736002</v>
      </c>
      <c r="M324" s="80"/>
      <c r="N324" s="3"/>
      <c r="O324" s="80"/>
      <c r="P324" s="506">
        <v>314</v>
      </c>
      <c r="Q324" s="506"/>
      <c r="R324" s="507">
        <v>4.5466575584373059E-3</v>
      </c>
      <c r="S324" s="508"/>
      <c r="T324" s="509">
        <f t="shared" si="37"/>
        <v>3.3162276365785743</v>
      </c>
      <c r="U324" s="510">
        <f>U323+(T323*R324*'life-tables-test'!$C$66)</f>
        <v>96.683772363421426</v>
      </c>
      <c r="V324" s="518">
        <f t="shared" si="34"/>
        <v>100</v>
      </c>
      <c r="W324" s="511">
        <f>(T324*0)/(1+cDR)^'Markov Model_b (2)'!cycle2</f>
        <v>0</v>
      </c>
      <c r="X324" s="512">
        <f t="shared" si="35"/>
        <v>3.3162276365785743</v>
      </c>
      <c r="Y324" s="513">
        <f>(T324*(uPostT))/(1+oDR)^'Markov Model_b (2)'!cycle</f>
        <v>1.1507002323889044</v>
      </c>
      <c r="Z324" s="80"/>
      <c r="AA324" s="3"/>
      <c r="AB324" s="3"/>
      <c r="AC324" s="14">
        <v>312</v>
      </c>
      <c r="AD324" s="14"/>
      <c r="AE324" s="14"/>
      <c r="AF324" s="297"/>
      <c r="AG324" s="297"/>
      <c r="AH324" s="297"/>
      <c r="AI324" s="14"/>
      <c r="AJ324" s="14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</row>
    <row r="325" spans="1:47" ht="14.25" customHeight="1" x14ac:dyDescent="0.2">
      <c r="A325" s="3"/>
      <c r="B325" s="417"/>
      <c r="C325" s="173">
        <v>315</v>
      </c>
      <c r="D325" s="165"/>
      <c r="E325" s="174">
        <v>5.0760082864224065E-3</v>
      </c>
      <c r="F325" s="502"/>
      <c r="G325" s="219">
        <f t="shared" si="32"/>
        <v>3.4306327491664348</v>
      </c>
      <c r="H325" s="249">
        <f>H324+(G324*E325*'life-tables-test'!$C$66)</f>
        <v>96.569367250833565</v>
      </c>
      <c r="I325" s="516">
        <f t="shared" si="36"/>
        <v>100</v>
      </c>
      <c r="J325" s="153">
        <f>(G325*0)/(1+cDR)^'Markov Model_b (2)'!cycle</f>
        <v>0</v>
      </c>
      <c r="K325" s="178">
        <f t="shared" si="33"/>
        <v>3.4306327491664348</v>
      </c>
      <c r="L325" s="202">
        <f>(G325*(uPostT))/(1+oDR)^'Markov Model_b (2)'!cycle</f>
        <v>1.1874291724358901</v>
      </c>
      <c r="M325" s="80"/>
      <c r="N325" s="3"/>
      <c r="O325" s="80"/>
      <c r="P325" s="173">
        <v>315</v>
      </c>
      <c r="Q325" s="165"/>
      <c r="R325" s="174">
        <v>5.0760082864224065E-3</v>
      </c>
      <c r="S325" s="502"/>
      <c r="T325" s="219">
        <f t="shared" si="37"/>
        <v>3.2320616417638917</v>
      </c>
      <c r="U325" s="249">
        <f>U324+(T324*R325*'life-tables-test'!$C$66)</f>
        <v>96.767938358236108</v>
      </c>
      <c r="V325" s="516">
        <f t="shared" si="34"/>
        <v>100</v>
      </c>
      <c r="W325" s="153">
        <f>(T325*0)/(1+cDR)^'Markov Model_b (2)'!cycle2</f>
        <v>0</v>
      </c>
      <c r="X325" s="178">
        <f t="shared" si="35"/>
        <v>3.2320616417638917</v>
      </c>
      <c r="Y325" s="202">
        <f>(T325*(uPostT))/(1+oDR)^'Markov Model_b (2)'!cycle</f>
        <v>1.1186986661495579</v>
      </c>
      <c r="Z325" s="80"/>
      <c r="AA325" s="3"/>
      <c r="AB325" s="3"/>
      <c r="AC325" s="14">
        <v>313</v>
      </c>
      <c r="AD325" s="14"/>
      <c r="AE325" s="14"/>
      <c r="AF325" s="297"/>
      <c r="AG325" s="297"/>
      <c r="AH325" s="297"/>
      <c r="AI325" s="14"/>
      <c r="AJ325" s="14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</row>
    <row r="326" spans="1:47" ht="14.25" customHeight="1" x14ac:dyDescent="0.2">
      <c r="A326" s="3"/>
      <c r="B326" s="417"/>
      <c r="C326" s="173">
        <v>316</v>
      </c>
      <c r="D326" s="165"/>
      <c r="E326" s="174">
        <v>5.0760082864224065E-3</v>
      </c>
      <c r="F326" s="502"/>
      <c r="G326" s="219">
        <f t="shared" si="32"/>
        <v>3.3435631478542263</v>
      </c>
      <c r="H326" s="249">
        <f>H325+(G325*E326*'life-tables-test'!$C$66)</f>
        <v>96.656436852145774</v>
      </c>
      <c r="I326" s="516">
        <f t="shared" si="36"/>
        <v>100</v>
      </c>
      <c r="J326" s="153">
        <f>(G326*0)/(1+cDR)^'Markov Model_b (2)'!cycle</f>
        <v>0</v>
      </c>
      <c r="K326" s="178">
        <f t="shared" si="33"/>
        <v>3.3435631478542263</v>
      </c>
      <c r="L326" s="202">
        <f>(G326*(uPostT))/(1+oDR)^'Markov Model_b (2)'!cycle</f>
        <v>1.1544061554531346</v>
      </c>
      <c r="M326" s="80"/>
      <c r="N326" s="3"/>
      <c r="O326" s="80"/>
      <c r="P326" s="173">
        <v>316</v>
      </c>
      <c r="Q326" s="165"/>
      <c r="R326" s="174">
        <v>5.0760082864224065E-3</v>
      </c>
      <c r="S326" s="502"/>
      <c r="T326" s="219">
        <f t="shared" si="37"/>
        <v>3.1500317833847902</v>
      </c>
      <c r="U326" s="249">
        <f>U325+(T325*R326*'life-tables-test'!$C$66)</f>
        <v>96.84996821661521</v>
      </c>
      <c r="V326" s="516">
        <f t="shared" si="34"/>
        <v>100</v>
      </c>
      <c r="W326" s="153">
        <f>(T326*0)/(1+cDR)^'Markov Model_b (2)'!cycle2</f>
        <v>0</v>
      </c>
      <c r="X326" s="178">
        <f t="shared" si="35"/>
        <v>3.1500317833847902</v>
      </c>
      <c r="Y326" s="202">
        <f>(T326*(uPostT))/(1+oDR)^'Markov Model_b (2)'!cycle</f>
        <v>1.0875870799527543</v>
      </c>
      <c r="Z326" s="80"/>
      <c r="AA326" s="3"/>
      <c r="AB326" s="3"/>
      <c r="AC326" s="14">
        <v>314</v>
      </c>
      <c r="AD326" s="14"/>
      <c r="AE326" s="14"/>
      <c r="AF326" s="297"/>
      <c r="AG326" s="297"/>
      <c r="AH326" s="297"/>
      <c r="AI326" s="14"/>
      <c r="AJ326" s="14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</row>
    <row r="327" spans="1:47" ht="14.25" customHeight="1" x14ac:dyDescent="0.2">
      <c r="A327" s="3"/>
      <c r="B327" s="417"/>
      <c r="C327" s="173">
        <v>317</v>
      </c>
      <c r="D327" s="165"/>
      <c r="E327" s="174">
        <v>5.0760082864224065E-3</v>
      </c>
      <c r="F327" s="502"/>
      <c r="G327" s="219">
        <f t="shared" ref="G327:G390" si="38">$G$10-H327</f>
        <v>3.2587033766308053</v>
      </c>
      <c r="H327" s="249">
        <f>H326+(G326*E327*'life-tables-test'!$C$66)</f>
        <v>96.741296623369195</v>
      </c>
      <c r="I327" s="516">
        <f t="shared" si="36"/>
        <v>100</v>
      </c>
      <c r="J327" s="153">
        <f>(G327*0)/(1+cDR)^'Markov Model_b (2)'!cycle</f>
        <v>0</v>
      </c>
      <c r="K327" s="178">
        <f t="shared" si="33"/>
        <v>3.2587033766308053</v>
      </c>
      <c r="L327" s="202">
        <f>(G327*(uPostT))/(1+oDR)^'Markov Model_b (2)'!cycle</f>
        <v>1.1223015255842885</v>
      </c>
      <c r="M327" s="80"/>
      <c r="N327" s="3"/>
      <c r="O327" s="80"/>
      <c r="P327" s="173">
        <v>317</v>
      </c>
      <c r="Q327" s="165"/>
      <c r="R327" s="174">
        <v>5.0760082864224065E-3</v>
      </c>
      <c r="S327" s="502"/>
      <c r="T327" s="219">
        <f t="shared" si="37"/>
        <v>3.0700838462100108</v>
      </c>
      <c r="U327" s="249">
        <f>U326+(T326*R327*'life-tables-test'!$C$66)</f>
        <v>96.929916153789989</v>
      </c>
      <c r="V327" s="516">
        <f t="shared" si="34"/>
        <v>100</v>
      </c>
      <c r="W327" s="153">
        <f>(T327*0)/(1+cDR)^'Markov Model_b (2)'!cycle2</f>
        <v>0</v>
      </c>
      <c r="X327" s="178">
        <f t="shared" si="35"/>
        <v>3.0700838462100108</v>
      </c>
      <c r="Y327" s="202">
        <f>(T327*(uPostT))/(1+oDR)^'Markov Model_b (2)'!cycle</f>
        <v>1.0573407229950345</v>
      </c>
      <c r="Z327" s="80"/>
      <c r="AA327" s="3"/>
      <c r="AB327" s="3"/>
      <c r="AC327" s="14">
        <v>315</v>
      </c>
      <c r="AD327" s="14"/>
      <c r="AE327" s="14"/>
      <c r="AF327" s="297"/>
      <c r="AG327" s="297"/>
      <c r="AH327" s="297"/>
      <c r="AI327" s="14"/>
      <c r="AJ327" s="14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</row>
    <row r="328" spans="1:47" ht="14.25" customHeight="1" x14ac:dyDescent="0.2">
      <c r="A328" s="3"/>
      <c r="B328" s="417"/>
      <c r="C328" s="173">
        <v>318</v>
      </c>
      <c r="D328" s="165"/>
      <c r="E328" s="174">
        <v>5.0760082864224065E-3</v>
      </c>
      <c r="F328" s="502"/>
      <c r="G328" s="219">
        <f t="shared" si="38"/>
        <v>3.1759973499169547</v>
      </c>
      <c r="H328" s="249">
        <f>H327+(G327*E328*'life-tables-test'!$C$66)</f>
        <v>96.824002650083045</v>
      </c>
      <c r="I328" s="516">
        <f t="shared" si="36"/>
        <v>100</v>
      </c>
      <c r="J328" s="153">
        <f>(G328*0)/(1+cDR)^'Markov Model_b (2)'!cycle</f>
        <v>0</v>
      </c>
      <c r="K328" s="178">
        <f t="shared" si="33"/>
        <v>3.1759973499169547</v>
      </c>
      <c r="L328" s="202">
        <f>(G328*(uPostT))/(1+oDR)^'Markov Model_b (2)'!cycle</f>
        <v>1.0910897420106116</v>
      </c>
      <c r="M328" s="80"/>
      <c r="N328" s="3"/>
      <c r="O328" s="80"/>
      <c r="P328" s="173">
        <v>318</v>
      </c>
      <c r="Q328" s="165"/>
      <c r="R328" s="174">
        <v>5.0760082864224065E-3</v>
      </c>
      <c r="S328" s="502"/>
      <c r="T328" s="219">
        <f t="shared" si="37"/>
        <v>2.992164990993146</v>
      </c>
      <c r="U328" s="249">
        <f>U327+(T327*R328*'life-tables-test'!$C$66)</f>
        <v>97.007835009006854</v>
      </c>
      <c r="V328" s="516">
        <f t="shared" si="34"/>
        <v>100</v>
      </c>
      <c r="W328" s="153">
        <f>(T328*0)/(1+cDR)^'Markov Model_b (2)'!cycle2</f>
        <v>0</v>
      </c>
      <c r="X328" s="178">
        <f t="shared" si="35"/>
        <v>2.992164990993146</v>
      </c>
      <c r="Y328" s="202">
        <f>(T328*(uPostT))/(1+oDR)^'Markov Model_b (2)'!cycle</f>
        <v>1.0279355328055488</v>
      </c>
      <c r="Z328" s="80"/>
      <c r="AA328" s="3"/>
      <c r="AB328" s="3"/>
      <c r="AC328" s="14">
        <v>316</v>
      </c>
      <c r="AD328" s="14"/>
      <c r="AE328" s="14"/>
      <c r="AF328" s="297"/>
      <c r="AG328" s="297"/>
      <c r="AH328" s="297"/>
      <c r="AI328" s="14"/>
      <c r="AJ328" s="14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</row>
    <row r="329" spans="1:47" ht="14.25" customHeight="1" x14ac:dyDescent="0.2">
      <c r="A329" s="3"/>
      <c r="B329" s="417"/>
      <c r="C329" s="173">
        <v>319</v>
      </c>
      <c r="D329" s="165"/>
      <c r="E329" s="174">
        <v>5.0760082864224065E-3</v>
      </c>
      <c r="F329" s="502"/>
      <c r="G329" s="219">
        <f t="shared" si="38"/>
        <v>3.0953904055877786</v>
      </c>
      <c r="H329" s="249">
        <f>H328+(G328*E329*'life-tables-test'!$C$66)</f>
        <v>96.904609594412221</v>
      </c>
      <c r="I329" s="516">
        <f t="shared" si="36"/>
        <v>100</v>
      </c>
      <c r="J329" s="153">
        <f>(G329*0)/(1+cDR)^'Markov Model_b (2)'!cycle</f>
        <v>0</v>
      </c>
      <c r="K329" s="178">
        <f t="shared" si="33"/>
        <v>3.0953904055877786</v>
      </c>
      <c r="L329" s="202">
        <f>(G329*(uPostT))/(1+oDR)^'Markov Model_b (2)'!cycle</f>
        <v>1.0607459742166865</v>
      </c>
      <c r="M329" s="80"/>
      <c r="N329" s="3"/>
      <c r="O329" s="80"/>
      <c r="P329" s="173">
        <v>319</v>
      </c>
      <c r="Q329" s="165"/>
      <c r="R329" s="174">
        <v>5.0760082864224065E-3</v>
      </c>
      <c r="S329" s="502"/>
      <c r="T329" s="219">
        <f t="shared" si="37"/>
        <v>2.9162237195500182</v>
      </c>
      <c r="U329" s="249">
        <f>U328+(T328*R329*'life-tables-test'!$C$66)</f>
        <v>97.083776280449982</v>
      </c>
      <c r="V329" s="516">
        <f t="shared" si="34"/>
        <v>100</v>
      </c>
      <c r="W329" s="153">
        <f>(T329*0)/(1+cDR)^'Markov Model_b (2)'!cycle2</f>
        <v>0</v>
      </c>
      <c r="X329" s="178">
        <f t="shared" si="35"/>
        <v>2.9162237195500182</v>
      </c>
      <c r="Y329" s="202">
        <f>(T329*(uPostT))/(1+oDR)^'Markov Model_b (2)'!cycle</f>
        <v>0.99934811610314378</v>
      </c>
      <c r="Z329" s="80"/>
      <c r="AA329" s="3"/>
      <c r="AB329" s="3"/>
      <c r="AC329" s="14">
        <v>317</v>
      </c>
      <c r="AD329" s="14"/>
      <c r="AE329" s="14"/>
      <c r="AF329" s="3"/>
      <c r="AG329" s="3"/>
      <c r="AH329" s="3"/>
      <c r="AI329" s="14"/>
      <c r="AJ329" s="14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</row>
    <row r="330" spans="1:47" ht="14.25" customHeight="1" x14ac:dyDescent="0.2">
      <c r="A330" s="3"/>
      <c r="B330" s="417"/>
      <c r="C330" s="173">
        <v>320</v>
      </c>
      <c r="D330" s="165"/>
      <c r="E330" s="174">
        <v>5.0760082864224065E-3</v>
      </c>
      <c r="F330" s="502"/>
      <c r="G330" s="219">
        <f t="shared" si="38"/>
        <v>3.0168292688453988</v>
      </c>
      <c r="H330" s="249">
        <f>H329+(G329*E330*'life-tables-test'!$C$66)</f>
        <v>96.983170731154601</v>
      </c>
      <c r="I330" s="516">
        <f t="shared" si="36"/>
        <v>100</v>
      </c>
      <c r="J330" s="153">
        <f>(G330*0)/(1+cDR)^'Markov Model_b (2)'!cycle</f>
        <v>0</v>
      </c>
      <c r="K330" s="178">
        <f t="shared" si="33"/>
        <v>3.0168292688453988</v>
      </c>
      <c r="L330" s="202">
        <f>(G330*(uPostT))/(1+oDR)^'Markov Model_b (2)'!cycle</f>
        <v>1.0312460822365292</v>
      </c>
      <c r="M330" s="80"/>
      <c r="N330" s="3"/>
      <c r="O330" s="80"/>
      <c r="P330" s="173">
        <v>320</v>
      </c>
      <c r="Q330" s="165"/>
      <c r="R330" s="174">
        <v>5.0760082864224065E-3</v>
      </c>
      <c r="S330" s="502"/>
      <c r="T330" s="219">
        <f t="shared" si="37"/>
        <v>2.842209840722532</v>
      </c>
      <c r="U330" s="249">
        <f>U329+(T329*R330*'life-tables-test'!$C$66)</f>
        <v>97.157790159277468</v>
      </c>
      <c r="V330" s="516">
        <f t="shared" si="34"/>
        <v>100</v>
      </c>
      <c r="W330" s="153">
        <f>(T330*0)/(1+cDR)^'Markov Model_b (2)'!cycle2</f>
        <v>0</v>
      </c>
      <c r="X330" s="178">
        <f t="shared" si="35"/>
        <v>2.842209840722532</v>
      </c>
      <c r="Y330" s="202">
        <f>(T330*(uPostT))/(1+oDR)^'Markov Model_b (2)'!cycle</f>
        <v>0.97155573018587837</v>
      </c>
      <c r="Z330" s="80"/>
      <c r="AA330" s="3"/>
      <c r="AB330" s="3"/>
      <c r="AC330" s="14">
        <v>318</v>
      </c>
      <c r="AD330" s="14"/>
      <c r="AE330" s="14"/>
      <c r="AF330" s="3"/>
      <c r="AG330" s="3"/>
      <c r="AH330" s="3"/>
      <c r="AI330" s="14"/>
      <c r="AJ330" s="14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</row>
    <row r="331" spans="1:47" ht="14.25" customHeight="1" x14ac:dyDescent="0.2">
      <c r="A331" s="3"/>
      <c r="B331" s="417"/>
      <c r="C331" s="173">
        <v>321</v>
      </c>
      <c r="D331" s="165"/>
      <c r="E331" s="174">
        <v>5.0760082864224065E-3</v>
      </c>
      <c r="F331" s="502"/>
      <c r="G331" s="219">
        <f t="shared" si="38"/>
        <v>2.940262017008493</v>
      </c>
      <c r="H331" s="249">
        <f>H330+(G330*E331*'life-tables-test'!$C$66)</f>
        <v>97.059737982991507</v>
      </c>
      <c r="I331" s="516">
        <f t="shared" si="36"/>
        <v>100</v>
      </c>
      <c r="J331" s="153">
        <f>(G331*0)/(1+cDR)^'Markov Model_b (2)'!cycle</f>
        <v>0</v>
      </c>
      <c r="K331" s="178">
        <f t="shared" si="33"/>
        <v>2.940262017008493</v>
      </c>
      <c r="L331" s="202">
        <f>(G331*(uPostT))/(1+oDR)^'Markov Model_b (2)'!cycle</f>
        <v>1.0025665974490396</v>
      </c>
      <c r="M331" s="80"/>
      <c r="N331" s="3"/>
      <c r="O331" s="80"/>
      <c r="P331" s="173">
        <v>321</v>
      </c>
      <c r="Q331" s="165"/>
      <c r="R331" s="174">
        <v>5.0760082864224065E-3</v>
      </c>
      <c r="S331" s="502"/>
      <c r="T331" s="219">
        <f t="shared" si="37"/>
        <v>2.7700744372062331</v>
      </c>
      <c r="U331" s="249">
        <f>U330+(T330*R331*'life-tables-test'!$C$66)</f>
        <v>97.229925562793767</v>
      </c>
      <c r="V331" s="516">
        <f t="shared" si="34"/>
        <v>100</v>
      </c>
      <c r="W331" s="153">
        <f>(T331*0)/(1+cDR)^'Markov Model_b (2)'!cycle2</f>
        <v>0</v>
      </c>
      <c r="X331" s="178">
        <f t="shared" si="35"/>
        <v>2.7700744372062331</v>
      </c>
      <c r="Y331" s="202">
        <f>(T331*(uPostT))/(1+oDR)^'Markov Model_b (2)'!cycle</f>
        <v>0.94453626483805819</v>
      </c>
      <c r="Z331" s="80"/>
      <c r="AA331" s="3"/>
      <c r="AB331" s="3"/>
      <c r="AC331" s="14">
        <v>319</v>
      </c>
      <c r="AD331" s="14"/>
      <c r="AE331" s="14"/>
      <c r="AF331" s="3"/>
      <c r="AG331" s="3"/>
      <c r="AH331" s="3"/>
      <c r="AI331" s="14"/>
      <c r="AJ331" s="14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</row>
    <row r="332" spans="1:47" ht="14.25" customHeight="1" x14ac:dyDescent="0.2">
      <c r="A332" s="3"/>
      <c r="B332" s="417"/>
      <c r="C332" s="173">
        <v>322</v>
      </c>
      <c r="D332" s="165"/>
      <c r="E332" s="174">
        <v>5.0760082864224065E-3</v>
      </c>
      <c r="F332" s="502"/>
      <c r="G332" s="219">
        <f t="shared" si="38"/>
        <v>2.8656380451955528</v>
      </c>
      <c r="H332" s="249">
        <f>H331+(G331*E332*'life-tables-test'!$C$66)</f>
        <v>97.134361954804447</v>
      </c>
      <c r="I332" s="516">
        <f t="shared" si="36"/>
        <v>100</v>
      </c>
      <c r="J332" s="153">
        <f>(G332*0)/(1+cDR)^'Markov Model_b (2)'!cycle</f>
        <v>0</v>
      </c>
      <c r="K332" s="178">
        <f t="shared" si="33"/>
        <v>2.8656380451955528</v>
      </c>
      <c r="L332" s="202">
        <f>(G332*(uPostT))/(1+oDR)^'Markov Model_b (2)'!cycle</f>
        <v>0.97468470390756301</v>
      </c>
      <c r="M332" s="80"/>
      <c r="N332" s="3"/>
      <c r="O332" s="80"/>
      <c r="P332" s="173">
        <v>322</v>
      </c>
      <c r="Q332" s="165"/>
      <c r="R332" s="174">
        <v>5.0760082864224065E-3</v>
      </c>
      <c r="S332" s="502"/>
      <c r="T332" s="219">
        <f t="shared" si="37"/>
        <v>2.6997698332199036</v>
      </c>
      <c r="U332" s="249">
        <f>U331+(T331*R332*'life-tables-test'!$C$66)</f>
        <v>97.300230166780096</v>
      </c>
      <c r="V332" s="516">
        <f t="shared" si="34"/>
        <v>100</v>
      </c>
      <c r="W332" s="153">
        <f>(T332*0)/(1+cDR)^'Markov Model_b (2)'!cycle2</f>
        <v>0</v>
      </c>
      <c r="X332" s="178">
        <f t="shared" si="35"/>
        <v>2.6997698332199036</v>
      </c>
      <c r="Y332" s="202">
        <f>(T332*(uPostT))/(1+oDR)^'Markov Model_b (2)'!cycle</f>
        <v>0.91826822474048442</v>
      </c>
      <c r="Z332" s="80"/>
      <c r="AA332" s="3"/>
      <c r="AB332" s="3"/>
      <c r="AC332" s="14">
        <v>320</v>
      </c>
      <c r="AD332" s="14"/>
      <c r="AE332" s="14"/>
      <c r="AF332" s="3"/>
      <c r="AG332" s="3"/>
      <c r="AH332" s="3"/>
      <c r="AI332" s="14"/>
      <c r="AJ332" s="14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</row>
    <row r="333" spans="1:47" ht="14.25" customHeight="1" x14ac:dyDescent="0.2">
      <c r="A333" s="3"/>
      <c r="B333" s="417"/>
      <c r="C333" s="173">
        <v>323</v>
      </c>
      <c r="D333" s="165"/>
      <c r="E333" s="174">
        <v>5.0760082864224065E-3</v>
      </c>
      <c r="F333" s="502"/>
      <c r="G333" s="219">
        <f t="shared" si="38"/>
        <v>2.7929080328790548</v>
      </c>
      <c r="H333" s="249">
        <f>H332+(G332*E333*'life-tables-test'!$C$66)</f>
        <v>97.207091967120945</v>
      </c>
      <c r="I333" s="516">
        <f t="shared" si="36"/>
        <v>100</v>
      </c>
      <c r="J333" s="153">
        <f>(G333*0)/(1+cDR)^'Markov Model_b (2)'!cycle</f>
        <v>0</v>
      </c>
      <c r="K333" s="178">
        <f t="shared" si="33"/>
        <v>2.7929080328790548</v>
      </c>
      <c r="L333" s="202">
        <f>(G333*(uPostT))/(1+oDR)^'Markov Model_b (2)'!cycle</f>
        <v>0.94757822018867233</v>
      </c>
      <c r="M333" s="80"/>
      <c r="N333" s="3"/>
      <c r="O333" s="80"/>
      <c r="P333" s="173">
        <v>323</v>
      </c>
      <c r="Q333" s="165"/>
      <c r="R333" s="174">
        <v>5.0760082864224065E-3</v>
      </c>
      <c r="S333" s="502"/>
      <c r="T333" s="219">
        <f t="shared" si="37"/>
        <v>2.6312495629956203</v>
      </c>
      <c r="U333" s="249">
        <f>U332+(T332*R333*'life-tables-test'!$C$66)</f>
        <v>97.36875043700438</v>
      </c>
      <c r="V333" s="516">
        <f t="shared" si="34"/>
        <v>100</v>
      </c>
      <c r="W333" s="153">
        <f>(T333*0)/(1+cDR)^'Markov Model_b (2)'!cycle2</f>
        <v>0</v>
      </c>
      <c r="X333" s="178">
        <f t="shared" si="35"/>
        <v>2.6312495629956203</v>
      </c>
      <c r="Y333" s="202">
        <f>(T333*(uPostT))/(1+oDR)^'Markov Model_b (2)'!cycle</f>
        <v>0.89273071236985602</v>
      </c>
      <c r="Z333" s="80"/>
      <c r="AA333" s="3"/>
      <c r="AB333" s="3"/>
      <c r="AC333" s="14">
        <v>321</v>
      </c>
      <c r="AD333" s="14"/>
      <c r="AE333" s="14"/>
      <c r="AF333" s="3"/>
      <c r="AG333" s="3"/>
      <c r="AH333" s="3"/>
      <c r="AI333" s="14"/>
      <c r="AJ333" s="14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</row>
    <row r="334" spans="1:47" ht="14.25" customHeight="1" x14ac:dyDescent="0.2">
      <c r="A334" s="3"/>
      <c r="B334" s="417"/>
      <c r="C334" s="173">
        <v>324</v>
      </c>
      <c r="D334" s="165"/>
      <c r="E334" s="174">
        <v>5.0760082864224065E-3</v>
      </c>
      <c r="F334" s="502"/>
      <c r="G334" s="219">
        <f t="shared" si="38"/>
        <v>2.7220239112885025</v>
      </c>
      <c r="H334" s="249">
        <f>H333+(G333*E334*'life-tables-test'!$C$66)</f>
        <v>97.277976088711497</v>
      </c>
      <c r="I334" s="516">
        <f t="shared" si="36"/>
        <v>100</v>
      </c>
      <c r="J334" s="153">
        <f>(G334*0)/(1+cDR)^'Markov Model_b (2)'!cycle</f>
        <v>0</v>
      </c>
      <c r="K334" s="178">
        <f t="shared" si="33"/>
        <v>2.7220239112885025</v>
      </c>
      <c r="L334" s="202">
        <f>(G334*(uPostT))/(1+oDR)^'Markov Model_b (2)'!cycle</f>
        <v>0.92122558174575109</v>
      </c>
      <c r="M334" s="80"/>
      <c r="N334" s="3"/>
      <c r="O334" s="80"/>
      <c r="P334" s="173">
        <v>324</v>
      </c>
      <c r="Q334" s="165"/>
      <c r="R334" s="174">
        <v>5.0760082864224065E-3</v>
      </c>
      <c r="S334" s="502"/>
      <c r="T334" s="219">
        <f t="shared" si="37"/>
        <v>2.5644683400685579</v>
      </c>
      <c r="U334" s="249">
        <f>U333+(T333*R334*'life-tables-test'!$C$66)</f>
        <v>97.435531659931442</v>
      </c>
      <c r="V334" s="516">
        <f t="shared" si="34"/>
        <v>100</v>
      </c>
      <c r="W334" s="153">
        <f>(T334*0)/(1+cDR)^'Markov Model_b (2)'!cycle2</f>
        <v>0</v>
      </c>
      <c r="X334" s="178">
        <f t="shared" si="35"/>
        <v>2.5644683400685579</v>
      </c>
      <c r="Y334" s="202">
        <f>(T334*(uPostT))/(1+oDR)^'Markov Model_b (2)'!cycle</f>
        <v>0.86790341137375326</v>
      </c>
      <c r="Z334" s="80"/>
      <c r="AA334" s="3"/>
      <c r="AB334" s="3"/>
      <c r="AC334" s="14">
        <v>322</v>
      </c>
      <c r="AD334" s="14"/>
      <c r="AE334" s="14"/>
      <c r="AF334" s="3"/>
      <c r="AG334" s="3"/>
      <c r="AH334" s="3"/>
      <c r="AI334" s="14"/>
      <c r="AJ334" s="14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</row>
    <row r="335" spans="1:47" ht="14.25" customHeight="1" x14ac:dyDescent="0.2">
      <c r="A335" s="3"/>
      <c r="B335" s="417"/>
      <c r="C335" s="173">
        <v>325</v>
      </c>
      <c r="D335" s="504"/>
      <c r="E335" s="174">
        <v>5.0760082864224065E-3</v>
      </c>
      <c r="F335" s="505"/>
      <c r="G335" s="219">
        <f t="shared" si="38"/>
        <v>2.652938831640796</v>
      </c>
      <c r="H335" s="249">
        <f>H334+(G334*E335*'life-tables-test'!$C$66)</f>
        <v>97.347061168359204</v>
      </c>
      <c r="I335" s="516">
        <f t="shared" si="36"/>
        <v>100</v>
      </c>
      <c r="J335" s="180">
        <f>(G335*0)/(1+cDR)^'Markov Model_b (2)'!cycle</f>
        <v>0</v>
      </c>
      <c r="K335" s="176">
        <f t="shared" si="33"/>
        <v>2.652938831640796</v>
      </c>
      <c r="L335" s="202">
        <f>(G335*(uPostT))/(1+oDR)^'Markov Model_b (2)'!cycle</f>
        <v>0.89560582375333764</v>
      </c>
      <c r="M335" s="80"/>
      <c r="N335" s="3"/>
      <c r="O335" s="80"/>
      <c r="P335" s="173">
        <v>325</v>
      </c>
      <c r="Q335" s="504"/>
      <c r="R335" s="174">
        <v>5.0760082864224065E-3</v>
      </c>
      <c r="S335" s="505"/>
      <c r="T335" s="219">
        <f t="shared" si="37"/>
        <v>2.4993820273462717</v>
      </c>
      <c r="U335" s="249">
        <f>U334+(T334*R335*'life-tables-test'!$C$66)</f>
        <v>97.500617972653728</v>
      </c>
      <c r="V335" s="516">
        <f t="shared" si="34"/>
        <v>100</v>
      </c>
      <c r="W335" s="180">
        <f>(T335*0)/(1+cDR)^'Markov Model_b (2)'!cycle2</f>
        <v>0</v>
      </c>
      <c r="X335" s="176">
        <f t="shared" si="35"/>
        <v>2.4993820273462717</v>
      </c>
      <c r="Y335" s="202">
        <f>(T335*(uPostT))/(1+oDR)^'Markov Model_b (2)'!cycle</f>
        <v>0.84376657040799385</v>
      </c>
      <c r="Z335" s="80"/>
      <c r="AA335" s="3"/>
      <c r="AB335" s="3"/>
      <c r="AC335" s="14">
        <v>323</v>
      </c>
      <c r="AD335" s="14"/>
      <c r="AE335" s="14"/>
      <c r="AF335" s="3"/>
      <c r="AG335" s="3"/>
      <c r="AH335" s="3"/>
      <c r="AI335" s="14"/>
      <c r="AJ335" s="14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</row>
    <row r="336" spans="1:47" ht="14.25" customHeight="1" x14ac:dyDescent="0.25">
      <c r="A336" s="3">
        <v>29</v>
      </c>
      <c r="B336" s="417"/>
      <c r="C336" s="506">
        <v>326</v>
      </c>
      <c r="D336" s="506"/>
      <c r="E336" s="507">
        <v>5.0760082864224065E-3</v>
      </c>
      <c r="F336" s="508"/>
      <c r="G336" s="509">
        <f t="shared" si="38"/>
        <v>2.5856071341768967</v>
      </c>
      <c r="H336" s="510">
        <f>H335+(G335*E336*'life-tables-test'!$C$66)</f>
        <v>97.414392865823103</v>
      </c>
      <c r="I336" s="518">
        <f t="shared" si="36"/>
        <v>100</v>
      </c>
      <c r="J336" s="511">
        <f>(G336*0)/(1+cDR)^'Markov Model_b (2)'!cycle</f>
        <v>0</v>
      </c>
      <c r="K336" s="512">
        <f t="shared" si="33"/>
        <v>2.5856071341768967</v>
      </c>
      <c r="L336" s="513">
        <f>(G336*(uPostT))/(1+oDR)^'Markov Model_b (2)'!cycle</f>
        <v>0.87069856442856697</v>
      </c>
      <c r="M336" s="80"/>
      <c r="N336" s="3"/>
      <c r="O336" s="80"/>
      <c r="P336" s="506">
        <v>326</v>
      </c>
      <c r="Q336" s="506"/>
      <c r="R336" s="507">
        <v>5.0760082864224065E-3</v>
      </c>
      <c r="S336" s="508"/>
      <c r="T336" s="509">
        <f t="shared" si="37"/>
        <v>2.4359476079375497</v>
      </c>
      <c r="U336" s="510">
        <f>U335+(T335*R336*'life-tables-test'!$C$66)</f>
        <v>97.56405239206245</v>
      </c>
      <c r="V336" s="518">
        <f t="shared" si="34"/>
        <v>100</v>
      </c>
      <c r="W336" s="511">
        <f>(T336*0)/(1+cDR)^'Markov Model_b (2)'!cycle2</f>
        <v>0</v>
      </c>
      <c r="X336" s="512">
        <f t="shared" si="35"/>
        <v>2.4359476079375497</v>
      </c>
      <c r="Y336" s="513">
        <f>(T336*(uPostT))/(1+oDR)^'Markov Model_b (2)'!cycle</f>
        <v>0.82030098742345037</v>
      </c>
      <c r="Z336" s="80"/>
      <c r="AA336" s="3"/>
      <c r="AB336" s="3"/>
      <c r="AC336" s="14">
        <v>324</v>
      </c>
      <c r="AD336" s="14"/>
      <c r="AE336" s="14"/>
      <c r="AF336" s="3"/>
      <c r="AG336" s="3"/>
      <c r="AH336" s="3"/>
      <c r="AI336" s="14"/>
      <c r="AJ336" s="14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</row>
    <row r="337" spans="1:47" ht="14.25" customHeight="1" x14ac:dyDescent="0.2">
      <c r="A337" s="3"/>
      <c r="B337" s="417"/>
      <c r="C337" s="173">
        <v>327</v>
      </c>
      <c r="D337" s="165"/>
      <c r="E337" s="174">
        <v>5.7237960968931079E-3</v>
      </c>
      <c r="F337" s="502"/>
      <c r="G337" s="219">
        <f t="shared" si="38"/>
        <v>2.5116096940633952</v>
      </c>
      <c r="H337" s="249">
        <f>H336+(G336*E337*'life-tables-test'!$C$66)</f>
        <v>97.488390305936605</v>
      </c>
      <c r="I337" s="516">
        <f t="shared" si="36"/>
        <v>100</v>
      </c>
      <c r="J337" s="153">
        <f>(G337*0)/(1+cDR)^'Markov Model_b (2)'!cycle</f>
        <v>0</v>
      </c>
      <c r="K337" s="178">
        <f t="shared" si="33"/>
        <v>2.5116096940633952</v>
      </c>
      <c r="L337" s="202">
        <f>(G337*(uPostT))/(1+oDR)^'Markov Model_b (2)'!cycle</f>
        <v>0.84367088200033347</v>
      </c>
      <c r="M337" s="80"/>
      <c r="N337" s="3"/>
      <c r="O337" s="80"/>
      <c r="P337" s="173">
        <v>327</v>
      </c>
      <c r="Q337" s="165"/>
      <c r="R337" s="174">
        <v>5.7237960968931079E-3</v>
      </c>
      <c r="S337" s="502"/>
      <c r="T337" s="219">
        <f t="shared" si="37"/>
        <v>2.3662332708848055</v>
      </c>
      <c r="U337" s="249">
        <f>U336+(T336*R337*'life-tables-test'!$C$66)</f>
        <v>97.633766729115194</v>
      </c>
      <c r="V337" s="516">
        <f t="shared" si="34"/>
        <v>100</v>
      </c>
      <c r="W337" s="153">
        <f>(T337*0)/(1+cDR)^'Markov Model_b (2)'!cycle2</f>
        <v>0</v>
      </c>
      <c r="X337" s="178">
        <f t="shared" si="35"/>
        <v>2.3662332708848055</v>
      </c>
      <c r="Y337" s="202">
        <f>(T337*(uPostT))/(1+oDR)^'Markov Model_b (2)'!cycle</f>
        <v>0.79483771518502877</v>
      </c>
      <c r="Z337" s="80"/>
      <c r="AA337" s="3"/>
      <c r="AB337" s="3"/>
      <c r="AC337" s="14">
        <v>325</v>
      </c>
      <c r="AD337" s="14"/>
      <c r="AE337" s="14"/>
      <c r="AF337" s="3"/>
      <c r="AG337" s="3"/>
      <c r="AH337" s="3"/>
      <c r="AI337" s="14"/>
      <c r="AJ337" s="14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</row>
    <row r="338" spans="1:47" ht="14.25" customHeight="1" x14ac:dyDescent="0.2">
      <c r="A338" s="3"/>
      <c r="B338" s="417"/>
      <c r="C338" s="173">
        <v>328</v>
      </c>
      <c r="D338" s="165"/>
      <c r="E338" s="174">
        <v>5.7237960968931079E-3</v>
      </c>
      <c r="F338" s="502"/>
      <c r="G338" s="219">
        <f t="shared" si="38"/>
        <v>2.4397299852443979</v>
      </c>
      <c r="H338" s="249">
        <f>H337+(G337*E338*'life-tables-test'!$C$66)</f>
        <v>97.560270014755602</v>
      </c>
      <c r="I338" s="516">
        <f t="shared" si="36"/>
        <v>100</v>
      </c>
      <c r="J338" s="153">
        <f>(G338*0)/(1+cDR)^'Markov Model_b (2)'!cycle</f>
        <v>0</v>
      </c>
      <c r="K338" s="178">
        <f t="shared" si="33"/>
        <v>2.4397299852443979</v>
      </c>
      <c r="L338" s="202">
        <f>(G338*(uPostT))/(1+oDR)^'Markov Model_b (2)'!cycle</f>
        <v>0.81748217605292106</v>
      </c>
      <c r="M338" s="80"/>
      <c r="N338" s="3"/>
      <c r="O338" s="80"/>
      <c r="P338" s="173">
        <v>328</v>
      </c>
      <c r="Q338" s="165"/>
      <c r="R338" s="174">
        <v>5.7237960968931079E-3</v>
      </c>
      <c r="S338" s="502"/>
      <c r="T338" s="219">
        <f t="shared" si="37"/>
        <v>2.2985140870836602</v>
      </c>
      <c r="U338" s="249">
        <f>U337+(T337*R338*'life-tables-test'!$C$66)</f>
        <v>97.70148591291634</v>
      </c>
      <c r="V338" s="516">
        <f t="shared" si="34"/>
        <v>100</v>
      </c>
      <c r="W338" s="153">
        <f>(T338*0)/(1+cDR)^'Markov Model_b (2)'!cycle2</f>
        <v>0</v>
      </c>
      <c r="X338" s="178">
        <f t="shared" si="35"/>
        <v>2.2985140870836602</v>
      </c>
      <c r="Y338" s="202">
        <f>(T338*(uPostT))/(1+oDR)^'Markov Model_b (2)'!cycle</f>
        <v>0.77016485798087897</v>
      </c>
      <c r="Z338" s="80"/>
      <c r="AA338" s="3"/>
      <c r="AB338" s="3"/>
      <c r="AC338" s="14">
        <v>326</v>
      </c>
      <c r="AD338" s="14"/>
      <c r="AE338" s="14"/>
      <c r="AF338" s="3"/>
      <c r="AG338" s="3"/>
      <c r="AH338" s="3"/>
      <c r="AI338" s="14"/>
      <c r="AJ338" s="14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</row>
    <row r="339" spans="1:47" ht="14.25" customHeight="1" x14ac:dyDescent="0.2">
      <c r="A339" s="3"/>
      <c r="B339" s="417"/>
      <c r="C339" s="173">
        <v>329</v>
      </c>
      <c r="D339" s="165"/>
      <c r="E339" s="174">
        <v>5.7237960968931079E-3</v>
      </c>
      <c r="F339" s="502"/>
      <c r="G339" s="219">
        <f t="shared" si="38"/>
        <v>2.3699074004093177</v>
      </c>
      <c r="H339" s="249">
        <f>H338+(G338*E339*'life-tables-test'!$C$66)</f>
        <v>97.630092599590682</v>
      </c>
      <c r="I339" s="516">
        <f t="shared" si="36"/>
        <v>100</v>
      </c>
      <c r="J339" s="153">
        <f>(G339*0)/(1+cDR)^'Markov Model_b (2)'!cycle</f>
        <v>0</v>
      </c>
      <c r="K339" s="178">
        <f t="shared" si="33"/>
        <v>2.3699074004093177</v>
      </c>
      <c r="L339" s="202">
        <f>(G339*(uPostT))/(1+oDR)^'Markov Model_b (2)'!cycle</f>
        <v>0.79210640360105955</v>
      </c>
      <c r="M339" s="80"/>
      <c r="N339" s="3"/>
      <c r="O339" s="80"/>
      <c r="P339" s="173">
        <v>329</v>
      </c>
      <c r="Q339" s="165"/>
      <c r="R339" s="174">
        <v>5.7237960968931079E-3</v>
      </c>
      <c r="S339" s="502"/>
      <c r="T339" s="219">
        <f t="shared" si="37"/>
        <v>2.2327329572821384</v>
      </c>
      <c r="U339" s="249">
        <f>U338+(T338*R339*'life-tables-test'!$C$66)</f>
        <v>97.767267042717862</v>
      </c>
      <c r="V339" s="516">
        <f t="shared" si="34"/>
        <v>100</v>
      </c>
      <c r="W339" s="153">
        <f>(T339*0)/(1+cDR)^'Markov Model_b (2)'!cycle2</f>
        <v>0</v>
      </c>
      <c r="X339" s="178">
        <f t="shared" si="35"/>
        <v>2.2327329572821384</v>
      </c>
      <c r="Y339" s="202">
        <f>(T339*(uPostT))/(1+oDR)^'Markov Model_b (2)'!cycle</f>
        <v>0.74625788023990147</v>
      </c>
      <c r="Z339" s="80"/>
      <c r="AA339" s="3"/>
      <c r="AB339" s="3"/>
      <c r="AC339" s="14">
        <v>327</v>
      </c>
      <c r="AD339" s="14"/>
      <c r="AE339" s="14"/>
      <c r="AF339" s="3"/>
      <c r="AG339" s="3"/>
      <c r="AH339" s="3"/>
      <c r="AI339" s="14"/>
      <c r="AJ339" s="14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</row>
    <row r="340" spans="1:47" ht="14.25" customHeight="1" x14ac:dyDescent="0.2">
      <c r="A340" s="3"/>
      <c r="B340" s="417"/>
      <c r="C340" s="173">
        <v>330</v>
      </c>
      <c r="D340" s="165"/>
      <c r="E340" s="174">
        <v>5.7237960968931079E-3</v>
      </c>
      <c r="F340" s="502"/>
      <c r="G340" s="219">
        <f t="shared" si="38"/>
        <v>2.3020830667670111</v>
      </c>
      <c r="H340" s="249">
        <f>H339+(G339*E340*'life-tables-test'!$C$66)</f>
        <v>97.697916933232989</v>
      </c>
      <c r="I340" s="516">
        <f t="shared" si="36"/>
        <v>100</v>
      </c>
      <c r="J340" s="153">
        <f>(G340*0)/(1+cDR)^'Markov Model_b (2)'!cycle</f>
        <v>0</v>
      </c>
      <c r="K340" s="178">
        <f t="shared" si="33"/>
        <v>2.3020830667670111</v>
      </c>
      <c r="L340" s="202">
        <f>(G340*(uPostT))/(1+oDR)^'Markov Model_b (2)'!cycle</f>
        <v>0.76751833006960601</v>
      </c>
      <c r="M340" s="80"/>
      <c r="N340" s="3"/>
      <c r="O340" s="80"/>
      <c r="P340" s="173">
        <v>330</v>
      </c>
      <c r="Q340" s="165"/>
      <c r="R340" s="174">
        <v>5.7237960968931079E-3</v>
      </c>
      <c r="S340" s="502"/>
      <c r="T340" s="219">
        <f t="shared" si="37"/>
        <v>2.1688344163506628</v>
      </c>
      <c r="U340" s="249">
        <f>U339+(T339*R340*'life-tables-test'!$C$66)</f>
        <v>97.831165583649337</v>
      </c>
      <c r="V340" s="516">
        <f t="shared" si="34"/>
        <v>100</v>
      </c>
      <c r="W340" s="153">
        <f>(T340*0)/(1+cDR)^'Markov Model_b (2)'!cycle2</f>
        <v>0</v>
      </c>
      <c r="X340" s="178">
        <f t="shared" si="35"/>
        <v>2.1688344163506628</v>
      </c>
      <c r="Y340" s="202">
        <f>(T340*(uPostT))/(1+oDR)^'Markov Model_b (2)'!cycle</f>
        <v>0.72309300800891652</v>
      </c>
      <c r="Z340" s="80"/>
      <c r="AA340" s="3"/>
      <c r="AB340" s="3"/>
      <c r="AC340" s="14">
        <v>328</v>
      </c>
      <c r="AD340" s="14"/>
      <c r="AE340" s="14"/>
      <c r="AF340" s="3"/>
      <c r="AG340" s="3"/>
      <c r="AH340" s="3"/>
      <c r="AI340" s="14"/>
      <c r="AJ340" s="14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</row>
    <row r="341" spans="1:47" ht="14.25" customHeight="1" x14ac:dyDescent="0.2">
      <c r="A341" s="3"/>
      <c r="B341" s="417"/>
      <c r="C341" s="173">
        <v>331</v>
      </c>
      <c r="D341" s="165"/>
      <c r="E341" s="174">
        <v>5.7237960968931079E-3</v>
      </c>
      <c r="F341" s="502"/>
      <c r="G341" s="219">
        <f t="shared" si="38"/>
        <v>2.236199796405586</v>
      </c>
      <c r="H341" s="249">
        <f>H340+(G340*E341*'life-tables-test'!$C$66)</f>
        <v>97.763800203594414</v>
      </c>
      <c r="I341" s="516">
        <f t="shared" si="36"/>
        <v>100</v>
      </c>
      <c r="J341" s="153">
        <f>(G341*0)/(1+cDR)^'Markov Model_b (2)'!cycle</f>
        <v>0</v>
      </c>
      <c r="K341" s="178">
        <f t="shared" si="33"/>
        <v>2.236199796405586</v>
      </c>
      <c r="L341" s="202">
        <f>(G341*(uPostT))/(1+oDR)^'Markov Model_b (2)'!cycle</f>
        <v>0.74369350419937552</v>
      </c>
      <c r="M341" s="80"/>
      <c r="N341" s="3"/>
      <c r="O341" s="80"/>
      <c r="P341" s="173">
        <v>331</v>
      </c>
      <c r="Q341" s="165"/>
      <c r="R341" s="174">
        <v>5.7237960968931079E-3</v>
      </c>
      <c r="S341" s="502"/>
      <c r="T341" s="219">
        <f t="shared" si="37"/>
        <v>2.1067645865150837</v>
      </c>
      <c r="U341" s="249">
        <f>U340+(T340*R341*'life-tables-test'!$C$66)</f>
        <v>97.893235413484916</v>
      </c>
      <c r="V341" s="516">
        <f t="shared" si="34"/>
        <v>100</v>
      </c>
      <c r="W341" s="153">
        <f>(T341*0)/(1+cDR)^'Markov Model_b (2)'!cycle2</f>
        <v>0</v>
      </c>
      <c r="X341" s="178">
        <f t="shared" si="35"/>
        <v>2.1067645865150837</v>
      </c>
      <c r="Y341" s="202">
        <f>(T341*(uPostT))/(1+oDR)^'Markov Model_b (2)'!cycle</f>
        <v>0.70064720531097768</v>
      </c>
      <c r="Z341" s="80"/>
      <c r="AA341" s="3"/>
      <c r="AB341" s="3"/>
      <c r="AC341" s="14">
        <v>329</v>
      </c>
      <c r="AD341" s="14"/>
      <c r="AE341" s="14"/>
      <c r="AF341" s="3"/>
      <c r="AG341" s="3"/>
      <c r="AH341" s="3"/>
      <c r="AI341" s="14"/>
      <c r="AJ341" s="14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</row>
    <row r="342" spans="1:47" ht="14.25" customHeight="1" x14ac:dyDescent="0.2">
      <c r="A342" s="3"/>
      <c r="B342" s="417"/>
      <c r="C342" s="173">
        <v>332</v>
      </c>
      <c r="D342" s="165"/>
      <c r="E342" s="174">
        <v>5.7237960968931079E-3</v>
      </c>
      <c r="F342" s="502"/>
      <c r="G342" s="219">
        <f t="shared" si="38"/>
        <v>2.1722020380728821</v>
      </c>
      <c r="H342" s="249">
        <f>H341+(G341*E342*'life-tables-test'!$C$66)</f>
        <v>97.827797961927118</v>
      </c>
      <c r="I342" s="516">
        <f t="shared" si="36"/>
        <v>100</v>
      </c>
      <c r="J342" s="153">
        <f>(G342*0)/(1+cDR)^'Markov Model_b (2)'!cycle</f>
        <v>0</v>
      </c>
      <c r="K342" s="178">
        <f t="shared" si="33"/>
        <v>2.1722020380728821</v>
      </c>
      <c r="L342" s="202">
        <f>(G342*(uPostT))/(1+oDR)^'Markov Model_b (2)'!cycle</f>
        <v>0.72060823373193783</v>
      </c>
      <c r="M342" s="80"/>
      <c r="N342" s="3"/>
      <c r="O342" s="80"/>
      <c r="P342" s="173">
        <v>332</v>
      </c>
      <c r="Q342" s="165"/>
      <c r="R342" s="174">
        <v>5.7237960968931079E-3</v>
      </c>
      <c r="S342" s="502"/>
      <c r="T342" s="219">
        <f t="shared" si="37"/>
        <v>2.0464711319282429</v>
      </c>
      <c r="U342" s="249">
        <f>U341+(T341*R342*'life-tables-test'!$C$66)</f>
        <v>97.953528868071757</v>
      </c>
      <c r="V342" s="516">
        <f t="shared" si="34"/>
        <v>100</v>
      </c>
      <c r="W342" s="153">
        <f>(T342*0)/(1+cDR)^'Markov Model_b (2)'!cycle2</f>
        <v>0</v>
      </c>
      <c r="X342" s="178">
        <f t="shared" si="35"/>
        <v>2.0464711319282429</v>
      </c>
      <c r="Y342" s="202">
        <f>(T342*(uPostT))/(1+oDR)^'Markov Model_b (2)'!cycle</f>
        <v>0.67889815123759267</v>
      </c>
      <c r="Z342" s="80"/>
      <c r="AA342" s="3"/>
      <c r="AB342" s="3"/>
      <c r="AC342" s="14">
        <v>330</v>
      </c>
      <c r="AD342" s="14"/>
      <c r="AE342" s="14"/>
      <c r="AF342" s="3"/>
      <c r="AG342" s="3"/>
      <c r="AH342" s="3"/>
      <c r="AI342" s="14"/>
      <c r="AJ342" s="14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</row>
    <row r="343" spans="1:47" ht="14.25" customHeight="1" x14ac:dyDescent="0.2">
      <c r="A343" s="3"/>
      <c r="B343" s="417"/>
      <c r="C343" s="173">
        <v>333</v>
      </c>
      <c r="D343" s="165"/>
      <c r="E343" s="174">
        <v>5.7237960968931079E-3</v>
      </c>
      <c r="F343" s="502"/>
      <c r="G343" s="219">
        <f t="shared" si="38"/>
        <v>2.1100358303369546</v>
      </c>
      <c r="H343" s="249">
        <f>H342+(G342*E343*'life-tables-test'!$C$66)</f>
        <v>97.889964169663045</v>
      </c>
      <c r="I343" s="516">
        <f t="shared" si="36"/>
        <v>100</v>
      </c>
      <c r="J343" s="153">
        <f>(G343*0)/(1+cDR)^'Markov Model_b (2)'!cycle</f>
        <v>0</v>
      </c>
      <c r="K343" s="178">
        <f t="shared" si="33"/>
        <v>2.1100358303369546</v>
      </c>
      <c r="L343" s="202">
        <f>(G343*(uPostT))/(1+oDR)^'Markov Model_b (2)'!cycle</f>
        <v>0.698239561849194</v>
      </c>
      <c r="M343" s="80"/>
      <c r="N343" s="3"/>
      <c r="O343" s="80"/>
      <c r="P343" s="173">
        <v>333</v>
      </c>
      <c r="Q343" s="165"/>
      <c r="R343" s="174">
        <v>5.7237960968931079E-3</v>
      </c>
      <c r="S343" s="502"/>
      <c r="T343" s="219">
        <f t="shared" si="37"/>
        <v>1.9879032145415607</v>
      </c>
      <c r="U343" s="249">
        <f>U342+(T342*R343*'life-tables-test'!$C$66)</f>
        <v>98.012096785458439</v>
      </c>
      <c r="V343" s="516">
        <f t="shared" si="34"/>
        <v>100</v>
      </c>
      <c r="W343" s="153">
        <f>(T343*0)/(1+cDR)^'Markov Model_b (2)'!cycle2</f>
        <v>0</v>
      </c>
      <c r="X343" s="178">
        <f t="shared" si="35"/>
        <v>1.9879032145415607</v>
      </c>
      <c r="Y343" s="202">
        <f>(T343*(uPostT))/(1+oDR)^'Markov Model_b (2)'!cycle</f>
        <v>0.65782421775200228</v>
      </c>
      <c r="Z343" s="80"/>
      <c r="AA343" s="3"/>
      <c r="AB343" s="3"/>
      <c r="AC343" s="14">
        <v>331</v>
      </c>
      <c r="AD343" s="14"/>
      <c r="AE343" s="14"/>
      <c r="AF343" s="3"/>
      <c r="AG343" s="3"/>
      <c r="AH343" s="3"/>
      <c r="AI343" s="14"/>
      <c r="AJ343" s="14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</row>
    <row r="344" spans="1:47" ht="14.25" customHeight="1" x14ac:dyDescent="0.2">
      <c r="A344" s="3"/>
      <c r="B344" s="417"/>
      <c r="C344" s="173">
        <v>334</v>
      </c>
      <c r="D344" s="165"/>
      <c r="E344" s="174">
        <v>5.7237960968931079E-3</v>
      </c>
      <c r="F344" s="502"/>
      <c r="G344" s="219">
        <f t="shared" si="38"/>
        <v>2.0496487560870236</v>
      </c>
      <c r="H344" s="249">
        <f>H343+(G343*E344*'life-tables-test'!$C$66)</f>
        <v>97.950351243912976</v>
      </c>
      <c r="I344" s="516">
        <f t="shared" si="36"/>
        <v>100</v>
      </c>
      <c r="J344" s="153">
        <f>(G344*0)/(1+cDR)^'Markov Model_b (2)'!cycle</f>
        <v>0</v>
      </c>
      <c r="K344" s="178">
        <f t="shared" si="33"/>
        <v>2.0496487560870236</v>
      </c>
      <c r="L344" s="202">
        <f>(G344*(uPostT))/(1+oDR)^'Markov Model_b (2)'!cycle</f>
        <v>0.67656524434429144</v>
      </c>
      <c r="M344" s="80"/>
      <c r="N344" s="3"/>
      <c r="O344" s="80"/>
      <c r="P344" s="173">
        <v>334</v>
      </c>
      <c r="Q344" s="165"/>
      <c r="R344" s="174">
        <v>5.7237960968931079E-3</v>
      </c>
      <c r="S344" s="502"/>
      <c r="T344" s="219">
        <f t="shared" si="37"/>
        <v>1.9310114512395842</v>
      </c>
      <c r="U344" s="249">
        <f>U343+(T343*R344*'life-tables-test'!$C$66)</f>
        <v>98.068988548760416</v>
      </c>
      <c r="V344" s="516">
        <f t="shared" si="34"/>
        <v>100</v>
      </c>
      <c r="W344" s="153">
        <f>(T344*0)/(1+cDR)^'Markov Model_b (2)'!cycle2</f>
        <v>0</v>
      </c>
      <c r="X344" s="178">
        <f t="shared" si="35"/>
        <v>1.9310114512395842</v>
      </c>
      <c r="Y344" s="202">
        <f>(T344*(uPostT))/(1+oDR)^'Markov Model_b (2)'!cycle</f>
        <v>0.63740444818149378</v>
      </c>
      <c r="Z344" s="80"/>
      <c r="AA344" s="3"/>
      <c r="AB344" s="3"/>
      <c r="AC344" s="14">
        <v>332</v>
      </c>
      <c r="AD344" s="14"/>
      <c r="AE344" s="14"/>
      <c r="AF344" s="3"/>
      <c r="AG344" s="3"/>
      <c r="AH344" s="3"/>
      <c r="AI344" s="14"/>
      <c r="AJ344" s="14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</row>
    <row r="345" spans="1:47" ht="14.25" customHeight="1" x14ac:dyDescent="0.2">
      <c r="A345" s="3"/>
      <c r="B345" s="417"/>
      <c r="C345" s="173">
        <v>335</v>
      </c>
      <c r="D345" s="165"/>
      <c r="E345" s="174">
        <v>5.7237960968931079E-3</v>
      </c>
      <c r="F345" s="502"/>
      <c r="G345" s="219">
        <f t="shared" si="38"/>
        <v>1.990989898336565</v>
      </c>
      <c r="H345" s="249">
        <f>H344+(G344*E345*'life-tables-test'!$C$66)</f>
        <v>98.009010101663435</v>
      </c>
      <c r="I345" s="516">
        <f t="shared" si="36"/>
        <v>100</v>
      </c>
      <c r="J345" s="153">
        <f>(G345*0)/(1+cDR)^'Markov Model_b (2)'!cycle</f>
        <v>0</v>
      </c>
      <c r="K345" s="178">
        <f t="shared" si="33"/>
        <v>1.990989898336565</v>
      </c>
      <c r="L345" s="202">
        <f>(G345*(uPostT))/(1+oDR)^'Markov Model_b (2)'!cycle</f>
        <v>0.6555637275011833</v>
      </c>
      <c r="M345" s="80"/>
      <c r="N345" s="3"/>
      <c r="O345" s="80"/>
      <c r="P345" s="173">
        <v>335</v>
      </c>
      <c r="Q345" s="165"/>
      <c r="R345" s="174">
        <v>5.7237960968931079E-3</v>
      </c>
      <c r="S345" s="502"/>
      <c r="T345" s="219">
        <f t="shared" si="37"/>
        <v>1.8757478722012735</v>
      </c>
      <c r="U345" s="249">
        <f>U344+(T344*R345*'life-tables-test'!$C$66)</f>
        <v>98.124252127798727</v>
      </c>
      <c r="V345" s="516">
        <f t="shared" si="34"/>
        <v>100</v>
      </c>
      <c r="W345" s="153">
        <f>(T345*0)/(1+cDR)^'Markov Model_b (2)'!cycle2</f>
        <v>0</v>
      </c>
      <c r="X345" s="178">
        <f t="shared" si="35"/>
        <v>1.8757478722012735</v>
      </c>
      <c r="Y345" s="202">
        <f>(T345*(uPostT))/(1+oDR)^'Markov Model_b (2)'!cycle</f>
        <v>0.61761853637733088</v>
      </c>
      <c r="Z345" s="80"/>
      <c r="AA345" s="3"/>
      <c r="AB345" s="3"/>
      <c r="AC345" s="14">
        <v>333</v>
      </c>
      <c r="AD345" s="14"/>
      <c r="AE345" s="14"/>
      <c r="AF345" s="3"/>
      <c r="AG345" s="3"/>
      <c r="AH345" s="3"/>
      <c r="AI345" s="14"/>
      <c r="AJ345" s="14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</row>
    <row r="346" spans="1:47" ht="14.25" customHeight="1" x14ac:dyDescent="0.2">
      <c r="A346" s="3"/>
      <c r="B346" s="417"/>
      <c r="C346" s="173">
        <v>336</v>
      </c>
      <c r="D346" s="165"/>
      <c r="E346" s="174">
        <v>5.7237960968931079E-3</v>
      </c>
      <c r="F346" s="502"/>
      <c r="G346" s="219">
        <f t="shared" si="38"/>
        <v>1.93400979729131</v>
      </c>
      <c r="H346" s="249">
        <f>H345+(G345*E346*'life-tables-test'!$C$66)</f>
        <v>98.06599020270869</v>
      </c>
      <c r="I346" s="516">
        <f t="shared" si="36"/>
        <v>100</v>
      </c>
      <c r="J346" s="153">
        <f>(G346*0)/(1+cDR)^'Markov Model_b (2)'!cycle</f>
        <v>0</v>
      </c>
      <c r="K346" s="178">
        <f t="shared" si="33"/>
        <v>1.93400979729131</v>
      </c>
      <c r="L346" s="202">
        <f>(G346*(uPostT))/(1+oDR)^'Markov Model_b (2)'!cycle</f>
        <v>0.63521412666085342</v>
      </c>
      <c r="M346" s="80"/>
      <c r="N346" s="3"/>
      <c r="O346" s="80"/>
      <c r="P346" s="173">
        <v>336</v>
      </c>
      <c r="Q346" s="165"/>
      <c r="R346" s="174">
        <v>5.7237960968931079E-3</v>
      </c>
      <c r="S346" s="502"/>
      <c r="T346" s="219">
        <f t="shared" si="37"/>
        <v>1.8220658804529677</v>
      </c>
      <c r="U346" s="249">
        <f>U345+(T345*R346*'life-tables-test'!$C$66)</f>
        <v>98.177934119547032</v>
      </c>
      <c r="V346" s="516">
        <f t="shared" si="34"/>
        <v>100</v>
      </c>
      <c r="W346" s="153">
        <f>(T346*0)/(1+cDR)^'Markov Model_b (2)'!cycle2</f>
        <v>0</v>
      </c>
      <c r="X346" s="178">
        <f t="shared" si="35"/>
        <v>1.8220658804529677</v>
      </c>
      <c r="Y346" s="202">
        <f>(T346*(uPostT))/(1+oDR)^'Markov Model_b (2)'!cycle</f>
        <v>0.59844680652159976</v>
      </c>
      <c r="Z346" s="80"/>
      <c r="AA346" s="3"/>
      <c r="AB346" s="3"/>
      <c r="AC346" s="14">
        <v>334</v>
      </c>
      <c r="AD346" s="14"/>
      <c r="AE346" s="14"/>
      <c r="AF346" s="3"/>
      <c r="AG346" s="3"/>
      <c r="AH346" s="3"/>
      <c r="AI346" s="14"/>
      <c r="AJ346" s="14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</row>
    <row r="347" spans="1:47" ht="14.25" customHeight="1" x14ac:dyDescent="0.2">
      <c r="A347" s="3"/>
      <c r="B347" s="417"/>
      <c r="C347" s="173">
        <v>337</v>
      </c>
      <c r="D347" s="504"/>
      <c r="E347" s="174">
        <v>5.7237960968931079E-3</v>
      </c>
      <c r="F347" s="505"/>
      <c r="G347" s="219">
        <f t="shared" si="38"/>
        <v>1.8786604086458709</v>
      </c>
      <c r="H347" s="249">
        <f>H346+(G346*E347*'life-tables-test'!$C$66)</f>
        <v>98.121339591354129</v>
      </c>
      <c r="I347" s="516">
        <f t="shared" si="36"/>
        <v>100</v>
      </c>
      <c r="J347" s="180">
        <f>(G347*0)/(1+cDR)^'Markov Model_b (2)'!cycle</f>
        <v>0</v>
      </c>
      <c r="K347" s="176">
        <f t="shared" si="33"/>
        <v>1.8786604086458709</v>
      </c>
      <c r="L347" s="202">
        <f>(G347*(uPostT))/(1+oDR)^'Markov Model_b (2)'!cycle</f>
        <v>0.61549620545285977</v>
      </c>
      <c r="M347" s="80"/>
      <c r="N347" s="3"/>
      <c r="O347" s="80"/>
      <c r="P347" s="173">
        <v>337</v>
      </c>
      <c r="Q347" s="504"/>
      <c r="R347" s="174">
        <v>5.7237960968931079E-3</v>
      </c>
      <c r="S347" s="505"/>
      <c r="T347" s="219">
        <f t="shared" si="37"/>
        <v>1.7699202125788673</v>
      </c>
      <c r="U347" s="249">
        <f>U346+(T346*R347*'life-tables-test'!$C$66)</f>
        <v>98.230079787421133</v>
      </c>
      <c r="V347" s="516">
        <f t="shared" si="34"/>
        <v>100</v>
      </c>
      <c r="W347" s="180">
        <f>(T347*0)/(1+cDR)^'Markov Model_b (2)'!cycle2</f>
        <v>0</v>
      </c>
      <c r="X347" s="176">
        <f t="shared" si="35"/>
        <v>1.7699202125788673</v>
      </c>
      <c r="Y347" s="202">
        <f>(T347*(uPostT))/(1+oDR)^'Markov Model_b (2)'!cycle</f>
        <v>0.57987019356086333</v>
      </c>
      <c r="Z347" s="80"/>
      <c r="AA347" s="3"/>
      <c r="AB347" s="3"/>
      <c r="AC347" s="14">
        <v>335</v>
      </c>
      <c r="AD347" s="14"/>
      <c r="AE347" s="14"/>
      <c r="AF347" s="3"/>
      <c r="AG347" s="3"/>
      <c r="AH347" s="3"/>
      <c r="AI347" s="14"/>
      <c r="AJ347" s="14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</row>
    <row r="348" spans="1:47" ht="14.25" customHeight="1" x14ac:dyDescent="0.25">
      <c r="A348" s="3">
        <v>30</v>
      </c>
      <c r="B348" s="417"/>
      <c r="C348" s="506">
        <v>338</v>
      </c>
      <c r="D348" s="506"/>
      <c r="E348" s="507">
        <v>5.7237960968931079E-3</v>
      </c>
      <c r="F348" s="508"/>
      <c r="G348" s="509">
        <f t="shared" si="38"/>
        <v>1.824895063073896</v>
      </c>
      <c r="H348" s="510">
        <f>H347+(G347*E348*'life-tables-test'!$C$66)</f>
        <v>98.175104936926104</v>
      </c>
      <c r="I348" s="518">
        <f t="shared" si="36"/>
        <v>100</v>
      </c>
      <c r="J348" s="511">
        <f>(G348*0)/(1+cDR)^'Markov Model_b (2)'!cycle</f>
        <v>0</v>
      </c>
      <c r="K348" s="512">
        <f t="shared" si="33"/>
        <v>1.824895063073896</v>
      </c>
      <c r="L348" s="513">
        <f>(G348*(uPostT))/(1+oDR)^'Markov Model_b (2)'!cycle</f>
        <v>0.59639035567156251</v>
      </c>
      <c r="M348" s="80"/>
      <c r="N348" s="3"/>
      <c r="O348" s="80"/>
      <c r="P348" s="506">
        <v>338</v>
      </c>
      <c r="Q348" s="506"/>
      <c r="R348" s="507">
        <v>5.7237960968931079E-3</v>
      </c>
      <c r="S348" s="508"/>
      <c r="T348" s="509">
        <f t="shared" si="37"/>
        <v>1.7192669005560077</v>
      </c>
      <c r="U348" s="510">
        <f>U347+(T347*R348*'life-tables-test'!$C$66)</f>
        <v>98.280733099443992</v>
      </c>
      <c r="V348" s="518">
        <f t="shared" si="34"/>
        <v>100</v>
      </c>
      <c r="W348" s="511">
        <f>(T348*0)/(1+cDR)^'Markov Model_b (2)'!cycle2</f>
        <v>0</v>
      </c>
      <c r="X348" s="512">
        <f t="shared" si="35"/>
        <v>1.7192669005560077</v>
      </c>
      <c r="Y348" s="513">
        <f>(T348*(uPostT))/(1+oDR)^'Markov Model_b (2)'!cycle</f>
        <v>0.56187022424720223</v>
      </c>
      <c r="Z348" s="80"/>
      <c r="AA348" s="3"/>
      <c r="AB348" s="3"/>
      <c r="AC348" s="14">
        <v>336</v>
      </c>
      <c r="AD348" s="14"/>
      <c r="AE348" s="14"/>
      <c r="AF348" s="3"/>
      <c r="AG348" s="3"/>
      <c r="AH348" s="3"/>
      <c r="AI348" s="14"/>
      <c r="AJ348" s="14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</row>
    <row r="349" spans="1:47" ht="14.25" customHeight="1" x14ac:dyDescent="0.2">
      <c r="A349" s="3"/>
      <c r="B349" s="417"/>
      <c r="C349" s="173">
        <v>339</v>
      </c>
      <c r="D349" s="165"/>
      <c r="E349" s="174">
        <v>6.3902981105391499E-3</v>
      </c>
      <c r="F349" s="502"/>
      <c r="G349" s="219">
        <f t="shared" si="38"/>
        <v>1.766586945706436</v>
      </c>
      <c r="H349" s="249">
        <f>H348+(G348*E349*'life-tables-test'!$C$66)</f>
        <v>98.233413054293564</v>
      </c>
      <c r="I349" s="516">
        <f t="shared" si="36"/>
        <v>100</v>
      </c>
      <c r="J349" s="153">
        <f>(G349*0)/(1+cDR)^'Markov Model_b (2)'!cycle</f>
        <v>0</v>
      </c>
      <c r="K349" s="178">
        <f t="shared" si="33"/>
        <v>1.766586945706436</v>
      </c>
      <c r="L349" s="202">
        <f>(G349*(uPostT))/(1+oDR)^'Markov Model_b (2)'!cycle</f>
        <v>0.57589505721357204</v>
      </c>
      <c r="M349" s="80"/>
      <c r="N349" s="3"/>
      <c r="O349" s="80"/>
      <c r="P349" s="173">
        <v>339</v>
      </c>
      <c r="Q349" s="165"/>
      <c r="R349" s="174">
        <v>6.3902981105391499E-3</v>
      </c>
      <c r="S349" s="502"/>
      <c r="T349" s="219">
        <f t="shared" si="37"/>
        <v>1.6643337604253361</v>
      </c>
      <c r="U349" s="249">
        <f>U348+(T348*R349*'life-tables-test'!$C$66)</f>
        <v>98.335666239574664</v>
      </c>
      <c r="V349" s="516">
        <f t="shared" si="34"/>
        <v>100</v>
      </c>
      <c r="W349" s="153">
        <f>(T349*0)/(1+cDR)^'Markov Model_b (2)'!cycle2</f>
        <v>0</v>
      </c>
      <c r="X349" s="178">
        <f t="shared" si="35"/>
        <v>1.6643337604253361</v>
      </c>
      <c r="Y349" s="202">
        <f>(T349*(uPostT))/(1+oDR)^'Markov Model_b (2)'!cycle</f>
        <v>0.5425612300103031</v>
      </c>
      <c r="Z349" s="80"/>
      <c r="AA349" s="3"/>
      <c r="AB349" s="3"/>
      <c r="AC349" s="14">
        <v>337</v>
      </c>
      <c r="AD349" s="14"/>
      <c r="AE349" s="14"/>
      <c r="AF349" s="3"/>
      <c r="AG349" s="3"/>
      <c r="AH349" s="3"/>
      <c r="AI349" s="14"/>
      <c r="AJ349" s="14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</row>
    <row r="350" spans="1:47" ht="14.25" customHeight="1" x14ac:dyDescent="0.2">
      <c r="A350" s="3"/>
      <c r="B350" s="417"/>
      <c r="C350" s="173">
        <v>340</v>
      </c>
      <c r="D350" s="165"/>
      <c r="E350" s="174">
        <v>6.3902981105391499E-3</v>
      </c>
      <c r="F350" s="502"/>
      <c r="G350" s="219">
        <f t="shared" si="38"/>
        <v>1.7101418596001849</v>
      </c>
      <c r="H350" s="249">
        <f>H349+(G349*E350*'life-tables-test'!$C$66)</f>
        <v>98.289858140399815</v>
      </c>
      <c r="I350" s="516">
        <f t="shared" si="36"/>
        <v>100</v>
      </c>
      <c r="J350" s="153">
        <f>(G350*0)/(1+cDR)^'Markov Model_b (2)'!cycle</f>
        <v>0</v>
      </c>
      <c r="K350" s="178">
        <f t="shared" si="33"/>
        <v>1.7101418596001849</v>
      </c>
      <c r="L350" s="202">
        <f>(G350*(uPostT))/(1+oDR)^'Markov Model_b (2)'!cycle</f>
        <v>0.55610409150490736</v>
      </c>
      <c r="M350" s="80"/>
      <c r="N350" s="3"/>
      <c r="O350" s="80"/>
      <c r="P350" s="173">
        <v>340</v>
      </c>
      <c r="Q350" s="165"/>
      <c r="R350" s="174">
        <v>6.3902981105391499E-3</v>
      </c>
      <c r="S350" s="502"/>
      <c r="T350" s="219">
        <f t="shared" si="37"/>
        <v>1.6111558160025794</v>
      </c>
      <c r="U350" s="249">
        <f>U349+(T349*R350*'life-tables-test'!$C$66)</f>
        <v>98.388844183997421</v>
      </c>
      <c r="V350" s="516">
        <f t="shared" si="34"/>
        <v>100</v>
      </c>
      <c r="W350" s="153">
        <f>(T350*0)/(1+cDR)^'Markov Model_b (2)'!cycle2</f>
        <v>0</v>
      </c>
      <c r="X350" s="178">
        <f t="shared" si="35"/>
        <v>1.6111558160025794</v>
      </c>
      <c r="Y350" s="202">
        <f>(T350*(uPostT))/(1+oDR)^'Markov Model_b (2)'!cycle</f>
        <v>0.52391580049413644</v>
      </c>
      <c r="Z350" s="80"/>
      <c r="AA350" s="3"/>
      <c r="AB350" s="3"/>
      <c r="AC350" s="14">
        <v>338</v>
      </c>
      <c r="AD350" s="14"/>
      <c r="AE350" s="14"/>
      <c r="AF350" s="3"/>
      <c r="AG350" s="3"/>
      <c r="AH350" s="3"/>
      <c r="AI350" s="14"/>
      <c r="AJ350" s="14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</row>
    <row r="351" spans="1:47" ht="14.25" customHeight="1" x14ac:dyDescent="0.2">
      <c r="A351" s="3"/>
      <c r="B351" s="417"/>
      <c r="C351" s="173">
        <v>341</v>
      </c>
      <c r="D351" s="165"/>
      <c r="E351" s="174">
        <v>6.3902981105391499E-3</v>
      </c>
      <c r="F351" s="502"/>
      <c r="G351" s="219">
        <f t="shared" si="38"/>
        <v>1.655500278129395</v>
      </c>
      <c r="H351" s="249">
        <f>H350+(G350*E351*'life-tables-test'!$C$66)</f>
        <v>98.344499721870605</v>
      </c>
      <c r="I351" s="516">
        <f t="shared" si="36"/>
        <v>100</v>
      </c>
      <c r="J351" s="153">
        <f>(G351*0)/(1+cDR)^'Markov Model_b (2)'!cycle</f>
        <v>0</v>
      </c>
      <c r="K351" s="178">
        <f t="shared" si="33"/>
        <v>1.655500278129395</v>
      </c>
      <c r="L351" s="202">
        <f>(G351*(uPostT))/(1+oDR)^'Markov Model_b (2)'!cycle</f>
        <v>0.53699325374451001</v>
      </c>
      <c r="M351" s="80"/>
      <c r="N351" s="3"/>
      <c r="O351" s="80"/>
      <c r="P351" s="173">
        <v>341</v>
      </c>
      <c r="Q351" s="165"/>
      <c r="R351" s="174">
        <v>6.3902981105391499E-3</v>
      </c>
      <c r="S351" s="502"/>
      <c r="T351" s="219">
        <f t="shared" si="37"/>
        <v>1.5596769861686539</v>
      </c>
      <c r="U351" s="249">
        <f>U350+(T350*R351*'life-tables-test'!$C$66)</f>
        <v>98.440323013831346</v>
      </c>
      <c r="V351" s="516">
        <f t="shared" si="34"/>
        <v>100</v>
      </c>
      <c r="W351" s="153">
        <f>(T351*0)/(1+cDR)^'Markov Model_b (2)'!cycle2</f>
        <v>0</v>
      </c>
      <c r="X351" s="178">
        <f t="shared" si="35"/>
        <v>1.5596769861686539</v>
      </c>
      <c r="Y351" s="202">
        <f>(T351*(uPostT))/(1+oDR)^'Markov Model_b (2)'!cycle</f>
        <v>0.50591113191445458</v>
      </c>
      <c r="Z351" s="80"/>
      <c r="AA351" s="3"/>
      <c r="AB351" s="3"/>
      <c r="AC351" s="14">
        <v>339</v>
      </c>
      <c r="AD351" s="14"/>
      <c r="AE351" s="14"/>
      <c r="AF351" s="3"/>
      <c r="AG351" s="3"/>
      <c r="AH351" s="3"/>
      <c r="AI351" s="14"/>
      <c r="AJ351" s="14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</row>
    <row r="352" spans="1:47" ht="14.25" customHeight="1" x14ac:dyDescent="0.2">
      <c r="A352" s="3"/>
      <c r="B352" s="417"/>
      <c r="C352" s="173">
        <v>342</v>
      </c>
      <c r="D352" s="165"/>
      <c r="E352" s="174">
        <v>6.3902981105391499E-3</v>
      </c>
      <c r="F352" s="502"/>
      <c r="G352" s="219">
        <f t="shared" si="38"/>
        <v>1.602604576632757</v>
      </c>
      <c r="H352" s="249">
        <f>H351+(G351*E352*'life-tables-test'!$C$66)</f>
        <v>98.397395423367243</v>
      </c>
      <c r="I352" s="516">
        <f t="shared" si="36"/>
        <v>100</v>
      </c>
      <c r="J352" s="153">
        <f>(G352*0)/(1+cDR)^'Markov Model_b (2)'!cycle</f>
        <v>0</v>
      </c>
      <c r="K352" s="178">
        <f t="shared" si="33"/>
        <v>1.602604576632757</v>
      </c>
      <c r="L352" s="202">
        <f>(G352*(uPostT))/(1+oDR)^'Markov Model_b (2)'!cycle</f>
        <v>0.5185391709432724</v>
      </c>
      <c r="M352" s="80"/>
      <c r="N352" s="3"/>
      <c r="O352" s="80"/>
      <c r="P352" s="173">
        <v>342</v>
      </c>
      <c r="Q352" s="165"/>
      <c r="R352" s="174">
        <v>6.3902981105391499E-3</v>
      </c>
      <c r="S352" s="502"/>
      <c r="T352" s="219">
        <f t="shared" si="37"/>
        <v>1.5098429816798244</v>
      </c>
      <c r="U352" s="249">
        <f>U351+(T351*R352*'life-tables-test'!$C$66)</f>
        <v>98.490157018320176</v>
      </c>
      <c r="V352" s="516">
        <f t="shared" si="34"/>
        <v>100</v>
      </c>
      <c r="W352" s="153">
        <f>(T352*0)/(1+cDR)^'Markov Model_b (2)'!cycle2</f>
        <v>0</v>
      </c>
      <c r="X352" s="178">
        <f t="shared" si="35"/>
        <v>1.5098429816798244</v>
      </c>
      <c r="Y352" s="202">
        <f>(T352*(uPostT))/(1+oDR)^'Markov Model_b (2)'!cycle</f>
        <v>0.4885252041522043</v>
      </c>
      <c r="Z352" s="80"/>
      <c r="AA352" s="3"/>
      <c r="AB352" s="3"/>
      <c r="AC352" s="14">
        <v>340</v>
      </c>
      <c r="AD352" s="14"/>
      <c r="AE352" s="14"/>
      <c r="AF352" s="3"/>
      <c r="AG352" s="3"/>
      <c r="AH352" s="3"/>
      <c r="AI352" s="14"/>
      <c r="AJ352" s="14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</row>
    <row r="353" spans="1:47" ht="14.25" customHeight="1" x14ac:dyDescent="0.2">
      <c r="A353" s="3"/>
      <c r="B353" s="417"/>
      <c r="C353" s="173">
        <v>343</v>
      </c>
      <c r="D353" s="165"/>
      <c r="E353" s="174">
        <v>6.3902981105391499E-3</v>
      </c>
      <c r="F353" s="502"/>
      <c r="G353" s="219">
        <f t="shared" si="38"/>
        <v>1.5513989716427687</v>
      </c>
      <c r="H353" s="249">
        <f>H352+(G352*E353*'life-tables-test'!$C$66)</f>
        <v>98.448601028357231</v>
      </c>
      <c r="I353" s="516">
        <f t="shared" si="36"/>
        <v>100</v>
      </c>
      <c r="J353" s="153">
        <f>(G353*0)/(1+cDR)^'Markov Model_b (2)'!cycle</f>
        <v>0</v>
      </c>
      <c r="K353" s="178">
        <f t="shared" si="33"/>
        <v>1.5513989716427687</v>
      </c>
      <c r="L353" s="202">
        <f>(G353*(uPostT))/(1+oDR)^'Markov Model_b (2)'!cycle</f>
        <v>0.50071927333833</v>
      </c>
      <c r="M353" s="80"/>
      <c r="N353" s="3"/>
      <c r="O353" s="80"/>
      <c r="P353" s="173">
        <v>343</v>
      </c>
      <c r="Q353" s="165"/>
      <c r="R353" s="174">
        <v>6.3902981105391499E-3</v>
      </c>
      <c r="S353" s="502"/>
      <c r="T353" s="219">
        <f t="shared" si="37"/>
        <v>1.4616012479146292</v>
      </c>
      <c r="U353" s="249">
        <f>U352+(T352*R353*'life-tables-test'!$C$66)</f>
        <v>98.538398752085371</v>
      </c>
      <c r="V353" s="516">
        <f t="shared" si="34"/>
        <v>100</v>
      </c>
      <c r="W353" s="153">
        <f>(T353*0)/(1+cDR)^'Markov Model_b (2)'!cycle2</f>
        <v>0</v>
      </c>
      <c r="X353" s="178">
        <f t="shared" si="35"/>
        <v>1.4616012479146292</v>
      </c>
      <c r="Y353" s="202">
        <f>(T353*(uPostT))/(1+oDR)^'Markov Model_b (2)'!cycle</f>
        <v>0.47173675382242586</v>
      </c>
      <c r="Z353" s="80"/>
      <c r="AA353" s="3"/>
      <c r="AB353" s="3"/>
      <c r="AC353" s="14">
        <v>341</v>
      </c>
      <c r="AD353" s="14"/>
      <c r="AE353" s="14"/>
      <c r="AF353" s="3"/>
      <c r="AG353" s="3"/>
      <c r="AH353" s="3"/>
      <c r="AI353" s="14"/>
      <c r="AJ353" s="14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</row>
    <row r="354" spans="1:47" ht="14.25" customHeight="1" x14ac:dyDescent="0.2">
      <c r="A354" s="3"/>
      <c r="B354" s="417"/>
      <c r="C354" s="173">
        <v>344</v>
      </c>
      <c r="D354" s="165"/>
      <c r="E354" s="174">
        <v>6.3902981105391499E-3</v>
      </c>
      <c r="F354" s="502"/>
      <c r="G354" s="219">
        <f t="shared" si="38"/>
        <v>1.5018294620568611</v>
      </c>
      <c r="H354" s="249">
        <f>H353+(G353*E354*'life-tables-test'!$C$66)</f>
        <v>98.498170537943139</v>
      </c>
      <c r="I354" s="516">
        <f t="shared" si="36"/>
        <v>100</v>
      </c>
      <c r="J354" s="153">
        <f>(G354*0)/(1+cDR)^'Markov Model_b (2)'!cycle</f>
        <v>0</v>
      </c>
      <c r="K354" s="178">
        <f t="shared" si="33"/>
        <v>1.5018294620568611</v>
      </c>
      <c r="L354" s="202">
        <f>(G354*(uPostT))/(1+oDR)^'Markov Model_b (2)'!cycle</f>
        <v>0.48351176678973279</v>
      </c>
      <c r="M354" s="80"/>
      <c r="N354" s="3"/>
      <c r="O354" s="80"/>
      <c r="P354" s="173">
        <v>344</v>
      </c>
      <c r="Q354" s="165"/>
      <c r="R354" s="174">
        <v>6.3902981105391499E-3</v>
      </c>
      <c r="S354" s="502"/>
      <c r="T354" s="219">
        <f t="shared" si="37"/>
        <v>1.4149009094500826</v>
      </c>
      <c r="U354" s="249">
        <f>U353+(T353*R354*'life-tables-test'!$C$66)</f>
        <v>98.585099090549917</v>
      </c>
      <c r="V354" s="516">
        <f t="shared" si="34"/>
        <v>100</v>
      </c>
      <c r="W354" s="153">
        <f>(T354*0)/(1+cDR)^'Markov Model_b (2)'!cycle2</f>
        <v>0</v>
      </c>
      <c r="X354" s="178">
        <f t="shared" si="35"/>
        <v>1.4149009094500826</v>
      </c>
      <c r="Y354" s="202">
        <f>(T354*(uPostT))/(1+oDR)^'Markov Model_b (2)'!cycle</f>
        <v>0.45552524826863966</v>
      </c>
      <c r="Z354" s="80"/>
      <c r="AA354" s="3"/>
      <c r="AB354" s="3"/>
      <c r="AC354" s="14">
        <v>342</v>
      </c>
      <c r="AD354" s="14"/>
      <c r="AE354" s="14"/>
      <c r="AF354" s="3"/>
      <c r="AG354" s="3"/>
      <c r="AH354" s="3"/>
      <c r="AI354" s="14"/>
      <c r="AJ354" s="14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</row>
    <row r="355" spans="1:47" ht="14.25" customHeight="1" x14ac:dyDescent="0.2">
      <c r="A355" s="3"/>
      <c r="B355" s="417"/>
      <c r="C355" s="173">
        <v>345</v>
      </c>
      <c r="D355" s="165"/>
      <c r="E355" s="174">
        <v>6.3902981105391499E-3</v>
      </c>
      <c r="F355" s="502"/>
      <c r="G355" s="219">
        <f t="shared" si="38"/>
        <v>1.4538437721881934</v>
      </c>
      <c r="H355" s="249">
        <f>H354+(G354*E355*'life-tables-test'!$C$66)</f>
        <v>98.546156227811807</v>
      </c>
      <c r="I355" s="516">
        <f t="shared" si="36"/>
        <v>100</v>
      </c>
      <c r="J355" s="153">
        <f>(G355*0)/(1+cDR)^'Markov Model_b (2)'!cycle</f>
        <v>0</v>
      </c>
      <c r="K355" s="178">
        <f t="shared" si="33"/>
        <v>1.4538437721881934</v>
      </c>
      <c r="L355" s="202">
        <f>(G355*(uPostT))/(1+oDR)^'Markov Model_b (2)'!cycle</f>
        <v>0.46689560612571979</v>
      </c>
      <c r="M355" s="80"/>
      <c r="N355" s="3"/>
      <c r="O355" s="80"/>
      <c r="P355" s="173">
        <v>345</v>
      </c>
      <c r="Q355" s="165"/>
      <c r="R355" s="174">
        <v>6.3902981105391499E-3</v>
      </c>
      <c r="S355" s="502"/>
      <c r="T355" s="219">
        <f t="shared" si="37"/>
        <v>1.3696927164087924</v>
      </c>
      <c r="U355" s="249">
        <f>U354+(T354*R355*'life-tables-test'!$C$66)</f>
        <v>98.630307283591208</v>
      </c>
      <c r="V355" s="516">
        <f t="shared" si="34"/>
        <v>100</v>
      </c>
      <c r="W355" s="153">
        <f>(T355*0)/(1+cDR)^'Markov Model_b (2)'!cycle2</f>
        <v>0</v>
      </c>
      <c r="X355" s="178">
        <f t="shared" si="35"/>
        <v>1.3696927164087924</v>
      </c>
      <c r="Y355" s="202">
        <f>(T355*(uPostT))/(1+oDR)^'Markov Model_b (2)'!cycle</f>
        <v>0.43987086045094387</v>
      </c>
      <c r="Z355" s="80"/>
      <c r="AA355" s="3"/>
      <c r="AB355" s="3"/>
      <c r="AC355" s="14">
        <v>343</v>
      </c>
      <c r="AD355" s="14"/>
      <c r="AE355" s="14"/>
      <c r="AF355" s="3"/>
      <c r="AG355" s="3"/>
      <c r="AH355" s="3"/>
      <c r="AI355" s="14"/>
      <c r="AJ355" s="14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</row>
    <row r="356" spans="1:47" ht="14.25" customHeight="1" x14ac:dyDescent="0.2">
      <c r="A356" s="3"/>
      <c r="B356" s="417"/>
      <c r="C356" s="173">
        <v>346</v>
      </c>
      <c r="D356" s="165"/>
      <c r="E356" s="174">
        <v>6.3902981105391499E-3</v>
      </c>
      <c r="F356" s="502"/>
      <c r="G356" s="219">
        <f t="shared" si="38"/>
        <v>1.4073912966360211</v>
      </c>
      <c r="H356" s="249">
        <f>H355+(G355*E356*'life-tables-test'!$C$66)</f>
        <v>98.592608703363979</v>
      </c>
      <c r="I356" s="516">
        <f t="shared" si="36"/>
        <v>100</v>
      </c>
      <c r="J356" s="153">
        <f>(G356*0)/(1+cDR)^'Markov Model_b (2)'!cycle</f>
        <v>0</v>
      </c>
      <c r="K356" s="178">
        <f t="shared" si="33"/>
        <v>1.4073912966360211</v>
      </c>
      <c r="L356" s="202">
        <f>(G356*(uPostT))/(1+oDR)^'Markov Model_b (2)'!cycle</f>
        <v>0.45085046940398693</v>
      </c>
      <c r="M356" s="80"/>
      <c r="N356" s="3"/>
      <c r="O356" s="80"/>
      <c r="P356" s="173">
        <v>346</v>
      </c>
      <c r="Q356" s="165"/>
      <c r="R356" s="174">
        <v>6.3902981105391499E-3</v>
      </c>
      <c r="S356" s="502"/>
      <c r="T356" s="219">
        <f t="shared" si="37"/>
        <v>1.3259289925203603</v>
      </c>
      <c r="U356" s="249">
        <f>U355+(T355*R356*'life-tables-test'!$C$66)</f>
        <v>98.67407100747964</v>
      </c>
      <c r="V356" s="516">
        <f t="shared" si="34"/>
        <v>100</v>
      </c>
      <c r="W356" s="153">
        <f>(T356*0)/(1+cDR)^'Markov Model_b (2)'!cycle2</f>
        <v>0</v>
      </c>
      <c r="X356" s="178">
        <f t="shared" si="35"/>
        <v>1.3259289925203603</v>
      </c>
      <c r="Y356" s="202">
        <f>(T356*(uPostT))/(1+oDR)^'Markov Model_b (2)'!cycle</f>
        <v>0.42475444469709656</v>
      </c>
      <c r="Z356" s="80"/>
      <c r="AA356" s="3"/>
      <c r="AB356" s="3"/>
      <c r="AC356" s="14">
        <v>344</v>
      </c>
      <c r="AD356" s="14"/>
      <c r="AE356" s="14"/>
      <c r="AF356" s="3"/>
      <c r="AG356" s="3"/>
      <c r="AH356" s="3"/>
      <c r="AI356" s="14"/>
      <c r="AJ356" s="14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</row>
    <row r="357" spans="1:47" ht="14.25" customHeight="1" x14ac:dyDescent="0.2">
      <c r="A357" s="3"/>
      <c r="B357" s="417"/>
      <c r="C357" s="173">
        <v>347</v>
      </c>
      <c r="D357" s="165"/>
      <c r="E357" s="174">
        <v>6.3902981105391499E-3</v>
      </c>
      <c r="F357" s="502"/>
      <c r="G357" s="219">
        <f t="shared" si="38"/>
        <v>1.3624230469176126</v>
      </c>
      <c r="H357" s="249">
        <f>H356+(G356*E357*'life-tables-test'!$C$66)</f>
        <v>98.637576953082387</v>
      </c>
      <c r="I357" s="516">
        <f t="shared" si="36"/>
        <v>100</v>
      </c>
      <c r="J357" s="153">
        <f>(G357*0)/(1+cDR)^'Markov Model_b (2)'!cycle</f>
        <v>0</v>
      </c>
      <c r="K357" s="178">
        <f t="shared" si="33"/>
        <v>1.3624230469176126</v>
      </c>
      <c r="L357" s="202">
        <f>(G357*(uPostT))/(1+oDR)^'Markov Model_b (2)'!cycle</f>
        <v>0.43535673305750439</v>
      </c>
      <c r="M357" s="80"/>
      <c r="N357" s="3"/>
      <c r="O357" s="80"/>
      <c r="P357" s="173">
        <v>347</v>
      </c>
      <c r="Q357" s="165"/>
      <c r="R357" s="174">
        <v>6.3902981105391499E-3</v>
      </c>
      <c r="S357" s="502"/>
      <c r="T357" s="219">
        <f t="shared" si="37"/>
        <v>1.2835635848422982</v>
      </c>
      <c r="U357" s="249">
        <f>U356+(T356*R357*'life-tables-test'!$C$66)</f>
        <v>98.716436415157702</v>
      </c>
      <c r="V357" s="516">
        <f t="shared" si="34"/>
        <v>100</v>
      </c>
      <c r="W357" s="153">
        <f>(T357*0)/(1+cDR)^'Markov Model_b (2)'!cycle2</f>
        <v>0</v>
      </c>
      <c r="X357" s="178">
        <f t="shared" si="35"/>
        <v>1.2835635848422982</v>
      </c>
      <c r="Y357" s="202">
        <f>(T357*(uPostT))/(1+oDR)^'Markov Model_b (2)'!cycle</f>
        <v>0.41015751328692368</v>
      </c>
      <c r="Z357" s="80"/>
      <c r="AA357" s="3"/>
      <c r="AB357" s="3"/>
      <c r="AC357" s="14">
        <v>345</v>
      </c>
      <c r="AD357" s="14"/>
      <c r="AE357" s="14"/>
      <c r="AF357" s="3"/>
      <c r="AG357" s="3"/>
      <c r="AH357" s="3"/>
      <c r="AI357" s="14"/>
      <c r="AJ357" s="14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</row>
    <row r="358" spans="1:47" ht="14.25" customHeight="1" x14ac:dyDescent="0.2">
      <c r="A358" s="3"/>
      <c r="B358" s="417"/>
      <c r="C358" s="173">
        <v>348</v>
      </c>
      <c r="D358" s="165"/>
      <c r="E358" s="174">
        <v>6.3902981105391499E-3</v>
      </c>
      <c r="F358" s="502"/>
      <c r="G358" s="219">
        <f t="shared" si="38"/>
        <v>1.3188915998052551</v>
      </c>
      <c r="H358" s="249">
        <f>H357+(G357*E358*'life-tables-test'!$C$66)</f>
        <v>98.681108400194745</v>
      </c>
      <c r="I358" s="516">
        <f t="shared" si="36"/>
        <v>100</v>
      </c>
      <c r="J358" s="153">
        <f>(G358*0)/(1+cDR)^'Markov Model_b (2)'!cycle</f>
        <v>0</v>
      </c>
      <c r="K358" s="178">
        <f t="shared" si="33"/>
        <v>1.3188915998052551</v>
      </c>
      <c r="L358" s="202">
        <f>(G358*(uPostT))/(1+oDR)^'Markov Model_b (2)'!cycle</f>
        <v>0.42039544789443078</v>
      </c>
      <c r="M358" s="80"/>
      <c r="N358" s="3"/>
      <c r="O358" s="80"/>
      <c r="P358" s="173">
        <v>348</v>
      </c>
      <c r="Q358" s="165"/>
      <c r="R358" s="174">
        <v>6.3902981105391499E-3</v>
      </c>
      <c r="S358" s="502"/>
      <c r="T358" s="219">
        <f t="shared" si="37"/>
        <v>1.242551815087424</v>
      </c>
      <c r="U358" s="249">
        <f>U357+(T357*R358*'life-tables-test'!$C$66)</f>
        <v>98.757448184912576</v>
      </c>
      <c r="V358" s="516">
        <f t="shared" si="34"/>
        <v>100</v>
      </c>
      <c r="W358" s="153">
        <f>(T358*0)/(1+cDR)^'Markov Model_b (2)'!cycle2</f>
        <v>0</v>
      </c>
      <c r="X358" s="178">
        <f t="shared" si="35"/>
        <v>1.242551815087424</v>
      </c>
      <c r="Y358" s="202">
        <f>(T358*(uPostT))/(1+oDR)^'Markov Model_b (2)'!cycle</f>
        <v>0.39606221384141549</v>
      </c>
      <c r="Z358" s="80"/>
      <c r="AA358" s="3"/>
      <c r="AB358" s="3"/>
      <c r="AC358" s="14">
        <v>346</v>
      </c>
      <c r="AD358" s="14"/>
      <c r="AE358" s="14"/>
      <c r="AF358" s="3"/>
      <c r="AG358" s="3"/>
      <c r="AH358" s="3"/>
      <c r="AI358" s="14"/>
      <c r="AJ358" s="14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</row>
    <row r="359" spans="1:47" ht="14.25" customHeight="1" x14ac:dyDescent="0.2">
      <c r="A359" s="3"/>
      <c r="B359" s="417"/>
      <c r="C359" s="173">
        <v>349</v>
      </c>
      <c r="D359" s="504"/>
      <c r="E359" s="174">
        <v>6.3902981105391499E-3</v>
      </c>
      <c r="F359" s="505"/>
      <c r="G359" s="219">
        <f t="shared" si="38"/>
        <v>1.2767510473140504</v>
      </c>
      <c r="H359" s="249">
        <f>H358+(G358*E359*'life-tables-test'!$C$66)</f>
        <v>98.72324895268595</v>
      </c>
      <c r="I359" s="516">
        <f t="shared" si="36"/>
        <v>100</v>
      </c>
      <c r="J359" s="180">
        <f>(G359*0)/(1+cDR)^'Markov Model_b (2)'!cycle</f>
        <v>0</v>
      </c>
      <c r="K359" s="176">
        <f t="shared" si="33"/>
        <v>1.2767510473140504</v>
      </c>
      <c r="L359" s="202">
        <f>(G359*(uPostT))/(1+oDR)^'Markov Model_b (2)'!cycle</f>
        <v>0.40594831592282926</v>
      </c>
      <c r="M359" s="80"/>
      <c r="N359" s="3"/>
      <c r="O359" s="80"/>
      <c r="P359" s="173">
        <v>349</v>
      </c>
      <c r="Q359" s="504"/>
      <c r="R359" s="174">
        <v>6.3902981105391499E-3</v>
      </c>
      <c r="S359" s="505"/>
      <c r="T359" s="219">
        <f t="shared" si="37"/>
        <v>1.2028504325064233</v>
      </c>
      <c r="U359" s="249">
        <f>U358+(T358*R359*'life-tables-test'!$C$66)</f>
        <v>98.797149567493577</v>
      </c>
      <c r="V359" s="516">
        <f t="shared" si="34"/>
        <v>100</v>
      </c>
      <c r="W359" s="180">
        <f>(T359*0)/(1+cDR)^'Markov Model_b (2)'!cycle2</f>
        <v>0</v>
      </c>
      <c r="X359" s="176">
        <f t="shared" si="35"/>
        <v>1.2028504325064233</v>
      </c>
      <c r="Y359" s="202">
        <f>(T359*(uPostT))/(1+oDR)^'Markov Model_b (2)'!cycle</f>
        <v>0.38245130748885953</v>
      </c>
      <c r="Z359" s="80"/>
      <c r="AA359" s="3"/>
      <c r="AB359" s="3"/>
      <c r="AC359" s="14">
        <v>347</v>
      </c>
      <c r="AD359" s="14"/>
      <c r="AE359" s="14"/>
      <c r="AF359" s="3"/>
      <c r="AG359" s="3"/>
      <c r="AH359" s="3"/>
      <c r="AI359" s="14"/>
      <c r="AJ359" s="14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</row>
    <row r="360" spans="1:47" ht="14.25" customHeight="1" x14ac:dyDescent="0.25">
      <c r="A360" s="3">
        <v>31</v>
      </c>
      <c r="B360" s="417"/>
      <c r="C360" s="506">
        <v>350</v>
      </c>
      <c r="D360" s="506"/>
      <c r="E360" s="507">
        <v>6.3902981105391499E-3</v>
      </c>
      <c r="F360" s="508"/>
      <c r="G360" s="509">
        <f t="shared" si="38"/>
        <v>1.2359569482876509</v>
      </c>
      <c r="H360" s="510">
        <f>H359+(G359*E360*'life-tables-test'!$C$66)</f>
        <v>98.764043051712349</v>
      </c>
      <c r="I360" s="518">
        <f t="shared" si="36"/>
        <v>100</v>
      </c>
      <c r="J360" s="511">
        <f>(G360*0)/(1+cDR)^'Markov Model_b (2)'!cycle</f>
        <v>0</v>
      </c>
      <c r="K360" s="512">
        <f t="shared" si="33"/>
        <v>1.2359569482876509</v>
      </c>
      <c r="L360" s="513">
        <f>(G360*(uPostT))/(1+oDR)^'Markov Model_b (2)'!cycle</f>
        <v>0.39199766797180879</v>
      </c>
      <c r="M360" s="80"/>
      <c r="N360" s="3"/>
      <c r="O360" s="80"/>
      <c r="P360" s="506">
        <v>350</v>
      </c>
      <c r="Q360" s="506"/>
      <c r="R360" s="507">
        <v>6.3902981105391499E-3</v>
      </c>
      <c r="S360" s="508"/>
      <c r="T360" s="509">
        <f t="shared" si="37"/>
        <v>1.1644175682758942</v>
      </c>
      <c r="U360" s="510">
        <f>U359+(T359*R360*'life-tables-test'!$C$66)</f>
        <v>98.835582431724106</v>
      </c>
      <c r="V360" s="518">
        <f t="shared" si="34"/>
        <v>100</v>
      </c>
      <c r="W360" s="511">
        <f>(T360*0)/(1+cDR)^'Markov Model_b (2)'!cycle2</f>
        <v>0</v>
      </c>
      <c r="X360" s="512">
        <f t="shared" si="35"/>
        <v>1.1644175682758942</v>
      </c>
      <c r="Y360" s="513">
        <f>(T360*(uPostT))/(1+oDR)^'Markov Model_b (2)'!cycle</f>
        <v>0.36930814778131182</v>
      </c>
      <c r="Z360" s="80"/>
      <c r="AA360" s="3"/>
      <c r="AB360" s="3"/>
      <c r="AC360" s="14">
        <v>348</v>
      </c>
      <c r="AD360" s="14"/>
      <c r="AE360" s="14"/>
      <c r="AF360" s="3"/>
      <c r="AG360" s="3"/>
      <c r="AH360" s="3"/>
      <c r="AI360" s="14"/>
      <c r="AJ360" s="14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</row>
    <row r="361" spans="1:47" ht="14.25" customHeight="1" x14ac:dyDescent="0.2">
      <c r="A361" s="3"/>
      <c r="B361" s="417"/>
      <c r="C361" s="173">
        <v>351</v>
      </c>
      <c r="D361" s="165"/>
      <c r="E361" s="174">
        <v>7.1003211512630227E-3</v>
      </c>
      <c r="F361" s="502"/>
      <c r="G361" s="219">
        <f t="shared" si="38"/>
        <v>1.1920784919777674</v>
      </c>
      <c r="H361" s="249">
        <f>H360+(G360*E361*'life-tables-test'!$C$66)</f>
        <v>98.807921508022233</v>
      </c>
      <c r="I361" s="516">
        <f t="shared" si="36"/>
        <v>100</v>
      </c>
      <c r="J361" s="153">
        <f>(G361*0)/(1+cDR)^'Markov Model_b (2)'!cycle</f>
        <v>0</v>
      </c>
      <c r="K361" s="178">
        <f t="shared" si="33"/>
        <v>1.1920784919777674</v>
      </c>
      <c r="L361" s="202">
        <f>(G361*(uPostT))/(1+oDR)^'Markov Model_b (2)'!cycle</f>
        <v>0.37713827561703711</v>
      </c>
      <c r="M361" s="80"/>
      <c r="N361" s="3"/>
      <c r="O361" s="80"/>
      <c r="P361" s="173">
        <v>351</v>
      </c>
      <c r="Q361" s="165"/>
      <c r="R361" s="174">
        <v>7.1003211512630227E-3</v>
      </c>
      <c r="S361" s="502"/>
      <c r="T361" s="219">
        <f t="shared" si="37"/>
        <v>1.1230788748312364</v>
      </c>
      <c r="U361" s="249">
        <f>U360+(T360*R361*'life-tables-test'!$C$66)</f>
        <v>98.876921125168764</v>
      </c>
      <c r="V361" s="516">
        <f t="shared" si="34"/>
        <v>100</v>
      </c>
      <c r="W361" s="153">
        <f>(T361*0)/(1+cDR)^'Markov Model_b (2)'!cycle2</f>
        <v>0</v>
      </c>
      <c r="X361" s="178">
        <f t="shared" si="35"/>
        <v>1.1230788748312364</v>
      </c>
      <c r="Y361" s="202">
        <f>(T361*(uPostT))/(1+oDR)^'Markov Model_b (2)'!cycle</f>
        <v>0.35530884340766566</v>
      </c>
      <c r="Z361" s="80"/>
      <c r="AA361" s="3"/>
      <c r="AB361" s="3"/>
      <c r="AC361" s="14">
        <v>349</v>
      </c>
      <c r="AD361" s="14"/>
      <c r="AE361" s="14"/>
      <c r="AF361" s="3"/>
      <c r="AG361" s="3"/>
      <c r="AH361" s="3"/>
      <c r="AI361" s="14"/>
      <c r="AJ361" s="14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</row>
    <row r="362" spans="1:47" ht="14.25" customHeight="1" x14ac:dyDescent="0.2">
      <c r="A362" s="3"/>
      <c r="B362" s="417"/>
      <c r="C362" s="173">
        <v>352</v>
      </c>
      <c r="D362" s="165"/>
      <c r="E362" s="174">
        <v>7.1003211512630227E-3</v>
      </c>
      <c r="F362" s="502"/>
      <c r="G362" s="219">
        <f t="shared" si="38"/>
        <v>1.149757791324987</v>
      </c>
      <c r="H362" s="249">
        <f>H361+(G361*E362*'life-tables-test'!$C$66)</f>
        <v>98.850242208675013</v>
      </c>
      <c r="I362" s="516">
        <f t="shared" si="36"/>
        <v>100</v>
      </c>
      <c r="J362" s="153">
        <f>(G362*0)/(1+cDR)^'Markov Model_b (2)'!cycle</f>
        <v>0</v>
      </c>
      <c r="K362" s="178">
        <f t="shared" si="33"/>
        <v>1.149757791324987</v>
      </c>
      <c r="L362" s="202">
        <f>(G362*(uPostT))/(1+oDR)^'Markov Model_b (2)'!cycle</f>
        <v>0.36284215585083651</v>
      </c>
      <c r="M362" s="80"/>
      <c r="N362" s="3"/>
      <c r="O362" s="80"/>
      <c r="P362" s="173">
        <v>352</v>
      </c>
      <c r="Q362" s="165"/>
      <c r="R362" s="174">
        <v>7.1003211512630227E-3</v>
      </c>
      <c r="S362" s="502"/>
      <c r="T362" s="219">
        <f t="shared" si="37"/>
        <v>1.0832077713837265</v>
      </c>
      <c r="U362" s="249">
        <f>U361+(T361*R362*'life-tables-test'!$C$66)</f>
        <v>98.916792228616274</v>
      </c>
      <c r="V362" s="516">
        <f t="shared" si="34"/>
        <v>100</v>
      </c>
      <c r="W362" s="153">
        <f>(T362*0)/(1+cDR)^'Markov Model_b (2)'!cycle2</f>
        <v>0</v>
      </c>
      <c r="X362" s="178">
        <f t="shared" si="35"/>
        <v>1.0832077713837265</v>
      </c>
      <c r="Y362" s="202">
        <f>(T362*(uPostT))/(1+oDR)^'Markov Model_b (2)'!cycle</f>
        <v>0.34184020840625706</v>
      </c>
      <c r="Z362" s="80"/>
      <c r="AA362" s="3"/>
      <c r="AB362" s="3"/>
      <c r="AC362" s="14">
        <v>350</v>
      </c>
      <c r="AD362" s="14"/>
      <c r="AE362" s="14"/>
      <c r="AF362" s="3"/>
      <c r="AG362" s="3"/>
      <c r="AH362" s="3"/>
      <c r="AI362" s="14"/>
      <c r="AJ362" s="14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</row>
    <row r="363" spans="1:47" ht="14.25" customHeight="1" x14ac:dyDescent="0.2">
      <c r="A363" s="3"/>
      <c r="B363" s="417"/>
      <c r="C363" s="173">
        <v>353</v>
      </c>
      <c r="D363" s="165"/>
      <c r="E363" s="174">
        <v>7.1003211512630227E-3</v>
      </c>
      <c r="F363" s="502"/>
      <c r="G363" s="219">
        <f t="shared" si="38"/>
        <v>1.1089395435021174</v>
      </c>
      <c r="H363" s="249">
        <f>H362+(G362*E363*'life-tables-test'!$C$66)</f>
        <v>98.891060456497883</v>
      </c>
      <c r="I363" s="516">
        <f t="shared" si="36"/>
        <v>100</v>
      </c>
      <c r="J363" s="153">
        <f>(G363*0)/(1+cDR)^'Markov Model_b (2)'!cycle</f>
        <v>0</v>
      </c>
      <c r="K363" s="178">
        <f t="shared" si="33"/>
        <v>1.1089395435021174</v>
      </c>
      <c r="L363" s="202">
        <f>(G363*(uPostT))/(1+oDR)^'Markov Model_b (2)'!cycle</f>
        <v>0.34908795679007398</v>
      </c>
      <c r="M363" s="80"/>
      <c r="N363" s="3"/>
      <c r="O363" s="80"/>
      <c r="P363" s="173">
        <v>353</v>
      </c>
      <c r="Q363" s="165"/>
      <c r="R363" s="174">
        <v>7.1003211512630227E-3</v>
      </c>
      <c r="S363" s="502"/>
      <c r="T363" s="219">
        <f t="shared" si="37"/>
        <v>1.044752156131878</v>
      </c>
      <c r="U363" s="249">
        <f>U362+(T362*R363*'life-tables-test'!$C$66)</f>
        <v>98.955247843868122</v>
      </c>
      <c r="V363" s="516">
        <f t="shared" si="34"/>
        <v>100</v>
      </c>
      <c r="W363" s="153">
        <f>(T363*0)/(1+cDR)^'Markov Model_b (2)'!cycle2</f>
        <v>0</v>
      </c>
      <c r="X363" s="178">
        <f t="shared" si="35"/>
        <v>1.044752156131878</v>
      </c>
      <c r="Y363" s="202">
        <f>(T363*(uPostT))/(1+oDR)^'Markov Model_b (2)'!cycle</f>
        <v>0.32888212677881234</v>
      </c>
      <c r="Z363" s="80"/>
      <c r="AA363" s="3"/>
      <c r="AB363" s="3"/>
      <c r="AC363" s="14">
        <v>351</v>
      </c>
      <c r="AD363" s="14"/>
      <c r="AE363" s="14"/>
      <c r="AF363" s="3"/>
      <c r="AG363" s="3"/>
      <c r="AH363" s="3"/>
      <c r="AI363" s="14"/>
      <c r="AJ363" s="14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</row>
    <row r="364" spans="1:47" ht="14.25" customHeight="1" x14ac:dyDescent="0.2">
      <c r="A364" s="3"/>
      <c r="B364" s="417"/>
      <c r="C364" s="173">
        <v>354</v>
      </c>
      <c r="D364" s="165"/>
      <c r="E364" s="174">
        <v>7.1003211512630227E-3</v>
      </c>
      <c r="F364" s="502"/>
      <c r="G364" s="219">
        <f t="shared" si="38"/>
        <v>1.0695704090211109</v>
      </c>
      <c r="H364" s="249">
        <f>H363+(G363*E364*'life-tables-test'!$C$66)</f>
        <v>98.930429590978889</v>
      </c>
      <c r="I364" s="516">
        <f t="shared" si="36"/>
        <v>100</v>
      </c>
      <c r="J364" s="153">
        <f>(G364*0)/(1+cDR)^'Markov Model_b (2)'!cycle</f>
        <v>0</v>
      </c>
      <c r="K364" s="178">
        <f t="shared" si="33"/>
        <v>1.0695704090211109</v>
      </c>
      <c r="L364" s="202">
        <f>(G364*(uPostT))/(1+oDR)^'Markov Model_b (2)'!cycle</f>
        <v>0.33585513593399835</v>
      </c>
      <c r="M364" s="80"/>
      <c r="N364" s="3"/>
      <c r="O364" s="80"/>
      <c r="P364" s="173">
        <v>354</v>
      </c>
      <c r="Q364" s="165"/>
      <c r="R364" s="174">
        <v>7.1003211512630227E-3</v>
      </c>
      <c r="S364" s="502"/>
      <c r="T364" s="219">
        <f t="shared" si="37"/>
        <v>1.0076617769718297</v>
      </c>
      <c r="U364" s="249">
        <f>U363+(T363*R364*'life-tables-test'!$C$66)</f>
        <v>98.99233822302817</v>
      </c>
      <c r="V364" s="516">
        <f t="shared" si="34"/>
        <v>100</v>
      </c>
      <c r="W364" s="153">
        <f>(T364*0)/(1+cDR)^'Markov Model_b (2)'!cycle2</f>
        <v>0</v>
      </c>
      <c r="X364" s="178">
        <f t="shared" si="35"/>
        <v>1.0076617769718297</v>
      </c>
      <c r="Y364" s="202">
        <f>(T364*(uPostT))/(1+oDR)^'Markov Model_b (2)'!cycle</f>
        <v>0.31641524506096202</v>
      </c>
      <c r="Z364" s="80"/>
      <c r="AA364" s="3"/>
      <c r="AB364" s="3"/>
      <c r="AC364" s="14">
        <v>352</v>
      </c>
      <c r="AD364" s="14"/>
      <c r="AE364" s="14"/>
      <c r="AF364" s="3"/>
      <c r="AG364" s="3"/>
      <c r="AH364" s="3"/>
      <c r="AI364" s="14"/>
      <c r="AJ364" s="14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</row>
    <row r="365" spans="1:47" ht="14.25" customHeight="1" x14ac:dyDescent="0.2">
      <c r="A365" s="3"/>
      <c r="B365" s="417"/>
      <c r="C365" s="173">
        <v>355</v>
      </c>
      <c r="D365" s="165"/>
      <c r="E365" s="174">
        <v>7.1003211512630227E-3</v>
      </c>
      <c r="F365" s="502"/>
      <c r="G365" s="219">
        <f t="shared" si="38"/>
        <v>1.0315989420314224</v>
      </c>
      <c r="H365" s="249">
        <f>H364+(G364*E365*'life-tables-test'!$C$66)</f>
        <v>98.968401057968578</v>
      </c>
      <c r="I365" s="516">
        <f t="shared" si="36"/>
        <v>100</v>
      </c>
      <c r="J365" s="153">
        <f>(G365*0)/(1+cDR)^'Markov Model_b (2)'!cycle</f>
        <v>0</v>
      </c>
      <c r="K365" s="178">
        <f t="shared" si="33"/>
        <v>1.0315989420314224</v>
      </c>
      <c r="L365" s="202">
        <f>(G365*(uPostT))/(1+oDR)^'Markov Model_b (2)'!cycle</f>
        <v>0.32312392948312796</v>
      </c>
      <c r="M365" s="80"/>
      <c r="N365" s="3"/>
      <c r="O365" s="80"/>
      <c r="P365" s="173">
        <v>355</v>
      </c>
      <c r="Q365" s="165"/>
      <c r="R365" s="174">
        <v>7.1003211512630227E-3</v>
      </c>
      <c r="S365" s="502"/>
      <c r="T365" s="219">
        <f t="shared" si="37"/>
        <v>0.97188816583006599</v>
      </c>
      <c r="U365" s="249">
        <f>U364+(T364*R365*'life-tables-test'!$C$66)</f>
        <v>99.028111834169934</v>
      </c>
      <c r="V365" s="516">
        <f t="shared" si="34"/>
        <v>100</v>
      </c>
      <c r="W365" s="153">
        <f>(T365*0)/(1+cDR)^'Markov Model_b (2)'!cycle2</f>
        <v>0</v>
      </c>
      <c r="X365" s="178">
        <f t="shared" si="35"/>
        <v>0.97188816583006599</v>
      </c>
      <c r="Y365" s="202">
        <f>(T365*(uPostT))/(1+oDR)^'Markov Model_b (2)'!cycle</f>
        <v>0.3044209434169769</v>
      </c>
      <c r="Z365" s="80"/>
      <c r="AA365" s="3"/>
      <c r="AB365" s="3"/>
      <c r="AC365" s="14">
        <v>353</v>
      </c>
      <c r="AD365" s="14"/>
      <c r="AE365" s="14"/>
      <c r="AF365" s="3"/>
      <c r="AG365" s="3"/>
      <c r="AH365" s="3"/>
      <c r="AI365" s="14"/>
      <c r="AJ365" s="14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</row>
    <row r="366" spans="1:47" ht="14.25" customHeight="1" x14ac:dyDescent="0.2">
      <c r="A366" s="3"/>
      <c r="B366" s="417"/>
      <c r="C366" s="173">
        <v>356</v>
      </c>
      <c r="D366" s="165"/>
      <c r="E366" s="174">
        <v>7.1003211512630227E-3</v>
      </c>
      <c r="F366" s="502"/>
      <c r="G366" s="219">
        <f t="shared" si="38"/>
        <v>0.99497552309279058</v>
      </c>
      <c r="H366" s="249">
        <f>H365+(G365*E366*'life-tables-test'!$C$66)</f>
        <v>99.005024476907209</v>
      </c>
      <c r="I366" s="516">
        <f t="shared" si="36"/>
        <v>100</v>
      </c>
      <c r="J366" s="153">
        <f>(G366*0)/(1+cDR)^'Markov Model_b (2)'!cycle</f>
        <v>0</v>
      </c>
      <c r="K366" s="178">
        <f t="shared" si="33"/>
        <v>0.99497552309279058</v>
      </c>
      <c r="L366" s="202">
        <f>(G366*(uPostT))/(1+oDR)^'Markov Model_b (2)'!cycle</f>
        <v>0.31087532282113356</v>
      </c>
      <c r="M366" s="80"/>
      <c r="N366" s="3"/>
      <c r="O366" s="80"/>
      <c r="P366" s="173">
        <v>356</v>
      </c>
      <c r="Q366" s="165"/>
      <c r="R366" s="174">
        <v>7.1003211512630227E-3</v>
      </c>
      <c r="S366" s="502"/>
      <c r="T366" s="219">
        <f t="shared" si="37"/>
        <v>0.93738457532754182</v>
      </c>
      <c r="U366" s="249">
        <f>U365+(T365*R366*'life-tables-test'!$C$66)</f>
        <v>99.062615424672458</v>
      </c>
      <c r="V366" s="516">
        <f t="shared" si="34"/>
        <v>100</v>
      </c>
      <c r="W366" s="153">
        <f>(T366*0)/(1+cDR)^'Markov Model_b (2)'!cycle2</f>
        <v>0</v>
      </c>
      <c r="X366" s="178">
        <f t="shared" si="35"/>
        <v>0.93738457532754182</v>
      </c>
      <c r="Y366" s="202">
        <f>(T366*(uPostT))/(1+oDR)^'Markov Model_b (2)'!cycle</f>
        <v>0.29288130783024713</v>
      </c>
      <c r="Z366" s="80"/>
      <c r="AA366" s="3"/>
      <c r="AB366" s="3"/>
      <c r="AC366" s="14">
        <v>354</v>
      </c>
      <c r="AD366" s="14"/>
      <c r="AE366" s="14"/>
      <c r="AF366" s="3"/>
      <c r="AG366" s="3"/>
      <c r="AH366" s="3"/>
      <c r="AI366" s="14"/>
      <c r="AJ366" s="14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</row>
    <row r="367" spans="1:47" ht="14.25" customHeight="1" x14ac:dyDescent="0.2">
      <c r="A367" s="3"/>
      <c r="B367" s="417"/>
      <c r="C367" s="173">
        <v>357</v>
      </c>
      <c r="D367" s="165"/>
      <c r="E367" s="174">
        <v>7.1003211512630227E-3</v>
      </c>
      <c r="F367" s="502"/>
      <c r="G367" s="219">
        <f t="shared" si="38"/>
        <v>0.95965229433477361</v>
      </c>
      <c r="H367" s="249">
        <f>H366+(G366*E367*'life-tables-test'!$C$66)</f>
        <v>99.040347705665226</v>
      </c>
      <c r="I367" s="516">
        <f t="shared" si="36"/>
        <v>100</v>
      </c>
      <c r="J367" s="153">
        <f>(G367*0)/(1+cDR)^'Markov Model_b (2)'!cycle</f>
        <v>0</v>
      </c>
      <c r="K367" s="178">
        <f t="shared" si="33"/>
        <v>0.95965229433477361</v>
      </c>
      <c r="L367" s="202">
        <f>(G367*(uPostT))/(1+oDR)^'Markov Model_b (2)'!cycle</f>
        <v>0.29909102211568334</v>
      </c>
      <c r="M367" s="80"/>
      <c r="N367" s="3"/>
      <c r="O367" s="80"/>
      <c r="P367" s="173">
        <v>357</v>
      </c>
      <c r="Q367" s="165"/>
      <c r="R367" s="174">
        <v>7.1003211512630227E-3</v>
      </c>
      <c r="S367" s="502"/>
      <c r="T367" s="219">
        <f t="shared" si="37"/>
        <v>0.90410591769220616</v>
      </c>
      <c r="U367" s="249">
        <f>U366+(T366*R367*'life-tables-test'!$C$66)</f>
        <v>99.095894082307794</v>
      </c>
      <c r="V367" s="516">
        <f t="shared" si="34"/>
        <v>100</v>
      </c>
      <c r="W367" s="153">
        <f>(T367*0)/(1+cDR)^'Markov Model_b (2)'!cycle2</f>
        <v>0</v>
      </c>
      <c r="X367" s="178">
        <f t="shared" si="35"/>
        <v>0.90410591769220616</v>
      </c>
      <c r="Y367" s="202">
        <f>(T367*(uPostT))/(1+oDR)^'Markov Model_b (2)'!cycle</f>
        <v>0.28177910334789197</v>
      </c>
      <c r="Z367" s="80"/>
      <c r="AA367" s="3"/>
      <c r="AB367" s="3"/>
      <c r="AC367" s="14">
        <v>355</v>
      </c>
      <c r="AD367" s="14"/>
      <c r="AE367" s="14"/>
      <c r="AF367" s="3"/>
      <c r="AG367" s="3"/>
      <c r="AH367" s="3"/>
      <c r="AI367" s="14"/>
      <c r="AJ367" s="14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</row>
    <row r="368" spans="1:47" ht="14.25" customHeight="1" x14ac:dyDescent="0.2">
      <c r="A368" s="3"/>
      <c r="B368" s="417"/>
      <c r="C368" s="173">
        <v>358</v>
      </c>
      <c r="D368" s="165"/>
      <c r="E368" s="174">
        <v>7.1003211512630227E-3</v>
      </c>
      <c r="F368" s="502"/>
      <c r="G368" s="219">
        <f t="shared" si="38"/>
        <v>0.92558309691816021</v>
      </c>
      <c r="H368" s="249">
        <f>H367+(G367*E368*'life-tables-test'!$C$66)</f>
        <v>99.07441690308184</v>
      </c>
      <c r="I368" s="516">
        <f t="shared" si="36"/>
        <v>100</v>
      </c>
      <c r="J368" s="153">
        <f>(G368*0)/(1+cDR)^'Markov Model_b (2)'!cycle</f>
        <v>0</v>
      </c>
      <c r="K368" s="178">
        <f t="shared" si="33"/>
        <v>0.92558309691816021</v>
      </c>
      <c r="L368" s="202">
        <f>(G368*(uPostT))/(1+oDR)^'Markov Model_b (2)'!cycle</f>
        <v>0.2877534269957906</v>
      </c>
      <c r="M368" s="80"/>
      <c r="N368" s="3"/>
      <c r="O368" s="80"/>
      <c r="P368" s="173">
        <v>358</v>
      </c>
      <c r="Q368" s="165"/>
      <c r="R368" s="174">
        <v>7.1003211512630227E-3</v>
      </c>
      <c r="S368" s="502"/>
      <c r="T368" s="219">
        <f t="shared" si="37"/>
        <v>0.87200870584034362</v>
      </c>
      <c r="U368" s="249">
        <f>U367+(T367*R368*'life-tables-test'!$C$66)</f>
        <v>99.127991294159656</v>
      </c>
      <c r="V368" s="516">
        <f t="shared" si="34"/>
        <v>100</v>
      </c>
      <c r="W368" s="153">
        <f>(T368*0)/(1+cDR)^'Markov Model_b (2)'!cycle2</f>
        <v>0</v>
      </c>
      <c r="X368" s="178">
        <f t="shared" si="35"/>
        <v>0.87200870584034362</v>
      </c>
      <c r="Y368" s="202">
        <f>(T368*(uPostT))/(1+oDR)^'Markov Model_b (2)'!cycle</f>
        <v>0.27109774833961747</v>
      </c>
      <c r="Z368" s="80"/>
      <c r="AA368" s="3"/>
      <c r="AB368" s="3"/>
      <c r="AC368" s="14">
        <v>356</v>
      </c>
      <c r="AD368" s="14"/>
      <c r="AE368" s="14"/>
      <c r="AF368" s="3"/>
      <c r="AG368" s="3"/>
      <c r="AH368" s="3"/>
      <c r="AI368" s="14"/>
      <c r="AJ368" s="14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</row>
    <row r="369" spans="1:47" ht="14.25" customHeight="1" x14ac:dyDescent="0.2">
      <c r="A369" s="3"/>
      <c r="B369" s="417"/>
      <c r="C369" s="173">
        <v>359</v>
      </c>
      <c r="D369" s="165"/>
      <c r="E369" s="174">
        <v>7.1003211512630227E-3</v>
      </c>
      <c r="F369" s="502"/>
      <c r="G369" s="219">
        <f t="shared" si="38"/>
        <v>0.89272341071665551</v>
      </c>
      <c r="H369" s="249">
        <f>H368+(G368*E369*'life-tables-test'!$C$66)</f>
        <v>99.107276589283344</v>
      </c>
      <c r="I369" s="516">
        <f t="shared" si="36"/>
        <v>100</v>
      </c>
      <c r="J369" s="153">
        <f>(G369*0)/(1+cDR)^'Markov Model_b (2)'!cycle</f>
        <v>0</v>
      </c>
      <c r="K369" s="178">
        <f t="shared" si="33"/>
        <v>0.89272341071665551</v>
      </c>
      <c r="L369" s="202">
        <f>(G369*(uPostT))/(1+oDR)^'Markov Model_b (2)'!cycle</f>
        <v>0.27684560426489302</v>
      </c>
      <c r="M369" s="80"/>
      <c r="N369" s="3"/>
      <c r="O369" s="80"/>
      <c r="P369" s="173">
        <v>359</v>
      </c>
      <c r="Q369" s="165"/>
      <c r="R369" s="174">
        <v>7.1003211512630227E-3</v>
      </c>
      <c r="S369" s="502"/>
      <c r="T369" s="219">
        <f t="shared" si="37"/>
        <v>0.84105099654952653</v>
      </c>
      <c r="U369" s="249">
        <f>U368+(T368*R369*'life-tables-test'!$C$66)</f>
        <v>99.158949003450473</v>
      </c>
      <c r="V369" s="516">
        <f t="shared" si="34"/>
        <v>100</v>
      </c>
      <c r="W369" s="153">
        <f>(T369*0)/(1+cDR)^'Markov Model_b (2)'!cycle2</f>
        <v>0</v>
      </c>
      <c r="X369" s="178">
        <f t="shared" si="35"/>
        <v>0.84105099654952653</v>
      </c>
      <c r="Y369" s="202">
        <f>(T369*(uPostT))/(1+oDR)^'Markov Model_b (2)'!cycle</f>
        <v>0.26082128973230928</v>
      </c>
      <c r="Z369" s="80"/>
      <c r="AA369" s="3"/>
      <c r="AB369" s="3"/>
      <c r="AC369" s="14">
        <v>357</v>
      </c>
      <c r="AD369" s="14"/>
      <c r="AE369" s="14"/>
      <c r="AF369" s="3"/>
      <c r="AG369" s="3"/>
      <c r="AH369" s="3"/>
      <c r="AI369" s="14"/>
      <c r="AJ369" s="14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</row>
    <row r="370" spans="1:47" ht="14.25" customHeight="1" x14ac:dyDescent="0.2">
      <c r="A370" s="3"/>
      <c r="B370" s="417"/>
      <c r="C370" s="173">
        <v>360</v>
      </c>
      <c r="D370" s="165"/>
      <c r="E370" s="174">
        <v>7.1003211512630227E-3</v>
      </c>
      <c r="F370" s="502"/>
      <c r="G370" s="219">
        <f t="shared" si="38"/>
        <v>0.8610302961399583</v>
      </c>
      <c r="H370" s="249">
        <f>H369+(G369*E370*'life-tables-test'!$C$66)</f>
        <v>99.138969703860042</v>
      </c>
      <c r="I370" s="516">
        <f t="shared" si="36"/>
        <v>100</v>
      </c>
      <c r="J370" s="153">
        <f>(G370*0)/(1+cDR)^'Markov Model_b (2)'!cycle</f>
        <v>0</v>
      </c>
      <c r="K370" s="178">
        <f t="shared" ref="K370:K408" si="39">G370</f>
        <v>0.8610302961399583</v>
      </c>
      <c r="L370" s="202">
        <f>(G370*(uPostT))/(1+oDR)^'Markov Model_b (2)'!cycle</f>
        <v>0.26635126261038555</v>
      </c>
      <c r="M370" s="80"/>
      <c r="N370" s="3"/>
      <c r="O370" s="80"/>
      <c r="P370" s="173">
        <v>360</v>
      </c>
      <c r="Q370" s="165"/>
      <c r="R370" s="174">
        <v>7.1003211512630227E-3</v>
      </c>
      <c r="S370" s="502"/>
      <c r="T370" s="219">
        <f t="shared" si="37"/>
        <v>0.81119233564906779</v>
      </c>
      <c r="U370" s="249">
        <f>U369+(T369*R370*'life-tables-test'!$C$66)</f>
        <v>99.188807664350932</v>
      </c>
      <c r="V370" s="516">
        <f t="shared" si="34"/>
        <v>100</v>
      </c>
      <c r="W370" s="153">
        <f>(T370*0)/(1+cDR)^'Markov Model_b (2)'!cycle2</f>
        <v>0</v>
      </c>
      <c r="X370" s="178">
        <f t="shared" si="35"/>
        <v>0.81119233564906779</v>
      </c>
      <c r="Y370" s="202">
        <f>(T370*(uPostT))/(1+oDR)^'Markov Model_b (2)'!cycle</f>
        <v>0.25093437918342015</v>
      </c>
      <c r="Z370" s="80"/>
      <c r="AA370" s="3"/>
      <c r="AB370" s="3"/>
      <c r="AC370" s="14">
        <v>358</v>
      </c>
      <c r="AD370" s="14"/>
      <c r="AE370" s="14"/>
      <c r="AF370" s="3"/>
      <c r="AG370" s="3"/>
      <c r="AH370" s="3"/>
      <c r="AI370" s="14"/>
      <c r="AJ370" s="14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</row>
    <row r="371" spans="1:47" ht="14.25" customHeight="1" x14ac:dyDescent="0.2">
      <c r="A371" s="3"/>
      <c r="B371" s="417"/>
      <c r="C371" s="173">
        <v>361</v>
      </c>
      <c r="D371" s="504"/>
      <c r="E371" s="174">
        <v>7.1003211512630227E-3</v>
      </c>
      <c r="F371" s="505"/>
      <c r="G371" s="219">
        <f t="shared" si="38"/>
        <v>0.83046233802215852</v>
      </c>
      <c r="H371" s="249">
        <f>H370+(G370*E371*'life-tables-test'!$C$66)</f>
        <v>99.169537661977841</v>
      </c>
      <c r="I371" s="516">
        <f t="shared" si="36"/>
        <v>100</v>
      </c>
      <c r="J371" s="180">
        <f>(G371*0)/(1+cDR)^'Markov Model_b (2)'!cycle</f>
        <v>0</v>
      </c>
      <c r="K371" s="176">
        <f t="shared" si="39"/>
        <v>0.83046233802215852</v>
      </c>
      <c r="L371" s="202">
        <f>(G371*(uPostT))/(1+oDR)^'Markov Model_b (2)'!cycle</f>
        <v>0.25625472827181672</v>
      </c>
      <c r="M371" s="80"/>
      <c r="N371" s="3"/>
      <c r="O371" s="80"/>
      <c r="P371" s="173">
        <v>361</v>
      </c>
      <c r="Q371" s="504"/>
      <c r="R371" s="174">
        <v>7.1003211512630227E-3</v>
      </c>
      <c r="S371" s="505"/>
      <c r="T371" s="219">
        <f t="shared" si="37"/>
        <v>0.78239370515630924</v>
      </c>
      <c r="U371" s="249">
        <f>U370+(T370*R371*'life-tables-test'!$C$66)</f>
        <v>99.217606294843691</v>
      </c>
      <c r="V371" s="516">
        <f t="shared" si="34"/>
        <v>100</v>
      </c>
      <c r="W371" s="180">
        <f>(T371*0)/(1+cDR)^'Markov Model_b (2)'!cycle2</f>
        <v>0</v>
      </c>
      <c r="X371" s="176">
        <f t="shared" si="35"/>
        <v>0.78239370515630924</v>
      </c>
      <c r="Y371" s="202">
        <f>(T371*(uPostT))/(1+oDR)^'Markov Model_b (2)'!cycle</f>
        <v>0.24142225015755059</v>
      </c>
      <c r="Z371" s="80"/>
      <c r="AA371" s="3"/>
      <c r="AB371" s="3"/>
      <c r="AC371" s="14">
        <v>359</v>
      </c>
      <c r="AD371" s="14"/>
      <c r="AE371" s="14"/>
      <c r="AF371" s="3"/>
      <c r="AG371" s="3"/>
      <c r="AH371" s="3"/>
      <c r="AI371" s="14"/>
      <c r="AJ371" s="14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</row>
    <row r="372" spans="1:47" ht="14.25" customHeight="1" x14ac:dyDescent="0.25">
      <c r="A372" s="3">
        <v>32</v>
      </c>
      <c r="B372" s="417"/>
      <c r="C372" s="506">
        <v>362</v>
      </c>
      <c r="D372" s="506"/>
      <c r="E372" s="507">
        <v>7.1003211512630227E-3</v>
      </c>
      <c r="F372" s="508"/>
      <c r="G372" s="509">
        <f t="shared" si="38"/>
        <v>0.80097959150222664</v>
      </c>
      <c r="H372" s="510">
        <f>H371+(G371*E372*'life-tables-test'!$C$66)</f>
        <v>99.199020408497773</v>
      </c>
      <c r="I372" s="518">
        <f t="shared" si="36"/>
        <v>100</v>
      </c>
      <c r="J372" s="511">
        <f>(G372*0)/(1+cDR)^'Markov Model_b (2)'!cycle</f>
        <v>0</v>
      </c>
      <c r="K372" s="512">
        <f t="shared" si="39"/>
        <v>0.80097959150222664</v>
      </c>
      <c r="L372" s="513">
        <f>(G372*(uPostT))/(1+oDR)^'Markov Model_b (2)'!cycle</f>
        <v>0.24654092163143992</v>
      </c>
      <c r="M372" s="80"/>
      <c r="N372" s="3"/>
      <c r="O372" s="80"/>
      <c r="P372" s="506">
        <v>362</v>
      </c>
      <c r="Q372" s="506"/>
      <c r="R372" s="507">
        <v>7.1003211512630227E-3</v>
      </c>
      <c r="S372" s="508"/>
      <c r="T372" s="509">
        <f t="shared" si="37"/>
        <v>0.75461747228962395</v>
      </c>
      <c r="U372" s="510">
        <f>U371+(T371*R372*'life-tables-test'!$C$66)</f>
        <v>99.245382527710376</v>
      </c>
      <c r="V372" s="518">
        <f t="shared" si="34"/>
        <v>100</v>
      </c>
      <c r="W372" s="511">
        <f>(T372*0)/(1+cDR)^'Markov Model_b (2)'!cycle2</f>
        <v>0</v>
      </c>
      <c r="X372" s="512">
        <f t="shared" si="35"/>
        <v>0.75461747228962395</v>
      </c>
      <c r="Y372" s="513">
        <f>(T372*(uPostT))/(1+oDR)^'Markov Model_b (2)'!cycle</f>
        <v>0.23227069587197377</v>
      </c>
      <c r="Z372" s="80"/>
      <c r="AA372" s="3"/>
      <c r="AB372" s="3"/>
      <c r="AC372" s="14">
        <v>360</v>
      </c>
      <c r="AD372" s="14"/>
      <c r="AE372" s="14"/>
      <c r="AF372" s="3"/>
      <c r="AG372" s="3"/>
      <c r="AH372" s="3"/>
      <c r="AI372" s="14"/>
      <c r="AJ372" s="14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</row>
    <row r="373" spans="1:47" ht="14.25" customHeight="1" x14ac:dyDescent="0.2">
      <c r="A373" s="3"/>
      <c r="B373" s="417"/>
      <c r="C373" s="173">
        <v>363</v>
      </c>
      <c r="D373" s="165"/>
      <c r="E373" s="174">
        <v>7.9083200825209587E-3</v>
      </c>
      <c r="F373" s="502"/>
      <c r="G373" s="219">
        <f t="shared" si="38"/>
        <v>0.76930757655640036</v>
      </c>
      <c r="H373" s="249">
        <f>H372+(G372*E373*'life-tables-test'!$C$66)</f>
        <v>99.2306924234436</v>
      </c>
      <c r="I373" s="516">
        <f t="shared" si="36"/>
        <v>100</v>
      </c>
      <c r="J373" s="153">
        <f>(G373*0)/(1+cDR)^'Markov Model_b (2)'!cycle</f>
        <v>0</v>
      </c>
      <c r="K373" s="178">
        <f t="shared" si="39"/>
        <v>0.76930757655640036</v>
      </c>
      <c r="L373" s="202">
        <f>(G373*(uPostT))/(1+oDR)^'Markov Model_b (2)'!cycle</f>
        <v>0.23620179453659462</v>
      </c>
      <c r="M373" s="80"/>
      <c r="N373" s="3"/>
      <c r="O373" s="80"/>
      <c r="P373" s="173">
        <v>363</v>
      </c>
      <c r="Q373" s="165"/>
      <c r="R373" s="174">
        <v>7.9083200825209587E-3</v>
      </c>
      <c r="S373" s="502"/>
      <c r="T373" s="219">
        <f t="shared" si="37"/>
        <v>0.72477868973598447</v>
      </c>
      <c r="U373" s="249">
        <f>U372+(T372*R373*'life-tables-test'!$C$66)</f>
        <v>99.275221310264016</v>
      </c>
      <c r="V373" s="516">
        <f t="shared" si="34"/>
        <v>100</v>
      </c>
      <c r="W373" s="153">
        <f>(T373*0)/(1+cDR)^'Markov Model_b (2)'!cycle2</f>
        <v>0</v>
      </c>
      <c r="X373" s="178">
        <f t="shared" si="35"/>
        <v>0.72477868973598447</v>
      </c>
      <c r="Y373" s="202">
        <f>(T373*(uPostT))/(1+oDR)^'Markov Model_b (2)'!cycle</f>
        <v>0.22253001578877665</v>
      </c>
      <c r="Z373" s="80"/>
      <c r="AA373" s="3"/>
      <c r="AB373" s="3"/>
      <c r="AC373" s="14">
        <v>361</v>
      </c>
      <c r="AD373" s="14"/>
      <c r="AE373" s="14"/>
      <c r="AF373" s="3"/>
      <c r="AG373" s="3"/>
      <c r="AH373" s="3"/>
      <c r="AI373" s="14"/>
      <c r="AJ373" s="14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</row>
    <row r="374" spans="1:47" ht="14.25" customHeight="1" x14ac:dyDescent="0.2">
      <c r="A374" s="3"/>
      <c r="B374" s="417"/>
      <c r="C374" s="173">
        <v>364</v>
      </c>
      <c r="D374" s="165"/>
      <c r="E374" s="174">
        <v>7.9083200825209587E-3</v>
      </c>
      <c r="F374" s="502"/>
      <c r="G374" s="219">
        <f t="shared" si="38"/>
        <v>0.73888792376982337</v>
      </c>
      <c r="H374" s="249">
        <f>H373+(G373*E374*'life-tables-test'!$C$66)</f>
        <v>99.261112076230177</v>
      </c>
      <c r="I374" s="516">
        <f t="shared" si="36"/>
        <v>100</v>
      </c>
      <c r="J374" s="153">
        <f>(G374*0)/(1+cDR)^'Markov Model_b (2)'!cycle</f>
        <v>0</v>
      </c>
      <c r="K374" s="178">
        <f t="shared" si="39"/>
        <v>0.73888792376982337</v>
      </c>
      <c r="L374" s="202">
        <f>(G374*(uPostT))/(1+oDR)^'Markov Model_b (2)'!cycle</f>
        <v>0.22629625691799518</v>
      </c>
      <c r="M374" s="80"/>
      <c r="N374" s="3"/>
      <c r="O374" s="80"/>
      <c r="P374" s="173">
        <v>364</v>
      </c>
      <c r="Q374" s="165"/>
      <c r="R374" s="174">
        <v>7.9083200825209587E-3</v>
      </c>
      <c r="S374" s="502"/>
      <c r="T374" s="219">
        <f t="shared" si="37"/>
        <v>0.6961197803988739</v>
      </c>
      <c r="U374" s="249">
        <f>U373+(T373*R374*'life-tables-test'!$C$66)</f>
        <v>99.303880219601126</v>
      </c>
      <c r="V374" s="516">
        <f t="shared" si="34"/>
        <v>100</v>
      </c>
      <c r="W374" s="153">
        <f>(T374*0)/(1+cDR)^'Markov Model_b (2)'!cycle2</f>
        <v>0</v>
      </c>
      <c r="X374" s="178">
        <f t="shared" si="35"/>
        <v>0.6961197803988739</v>
      </c>
      <c r="Y374" s="202">
        <f>(T374*(uPostT))/(1+oDR)^'Markov Model_b (2)'!cycle</f>
        <v>0.21319782825401148</v>
      </c>
      <c r="Z374" s="80"/>
      <c r="AA374" s="3"/>
      <c r="AB374" s="3"/>
      <c r="AC374" s="14">
        <v>362</v>
      </c>
      <c r="AD374" s="14"/>
      <c r="AE374" s="14"/>
      <c r="AF374" s="3"/>
      <c r="AG374" s="3"/>
      <c r="AH374" s="3"/>
      <c r="AI374" s="14"/>
      <c r="AJ374" s="14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</row>
    <row r="375" spans="1:47" ht="14.25" customHeight="1" x14ac:dyDescent="0.2">
      <c r="A375" s="3"/>
      <c r="B375" s="417"/>
      <c r="C375" s="173">
        <v>365</v>
      </c>
      <c r="D375" s="165"/>
      <c r="E375" s="174">
        <v>7.9083200825209587E-3</v>
      </c>
      <c r="F375" s="502"/>
      <c r="G375" s="219">
        <f t="shared" si="38"/>
        <v>0.70967111273841965</v>
      </c>
      <c r="H375" s="249">
        <f>H374+(G374*E375*'life-tables-test'!$C$66)</f>
        <v>99.29032888726158</v>
      </c>
      <c r="I375" s="516">
        <f t="shared" si="36"/>
        <v>100</v>
      </c>
      <c r="J375" s="153">
        <f>(G375*0)/(1+cDR)^'Markov Model_b (2)'!cycle</f>
        <v>0</v>
      </c>
      <c r="K375" s="178">
        <f t="shared" si="39"/>
        <v>0.70967111273841965</v>
      </c>
      <c r="L375" s="202">
        <f>(G375*(uPostT))/(1+oDR)^'Markov Model_b (2)'!cycle</f>
        <v>0.21680612543847999</v>
      </c>
      <c r="M375" s="80"/>
      <c r="N375" s="3"/>
      <c r="O375" s="80"/>
      <c r="P375" s="173">
        <v>365</v>
      </c>
      <c r="Q375" s="165"/>
      <c r="R375" s="174">
        <v>7.9083200825209587E-3</v>
      </c>
      <c r="S375" s="502"/>
      <c r="T375" s="219">
        <f t="shared" si="37"/>
        <v>0.66859409020302962</v>
      </c>
      <c r="U375" s="249">
        <f>U374+(T374*R375*'life-tables-test'!$C$66)</f>
        <v>99.33140590979697</v>
      </c>
      <c r="V375" s="516">
        <f t="shared" si="34"/>
        <v>100</v>
      </c>
      <c r="W375" s="153">
        <f>(T375*0)/(1+cDR)^'Markov Model_b (2)'!cycle2</f>
        <v>0</v>
      </c>
      <c r="X375" s="178">
        <f t="shared" si="35"/>
        <v>0.66859409020302962</v>
      </c>
      <c r="Y375" s="202">
        <f>(T375*(uPostT))/(1+oDR)^'Markov Model_b (2)'!cycle</f>
        <v>0.20425700241431988</v>
      </c>
      <c r="Z375" s="80"/>
      <c r="AA375" s="3"/>
      <c r="AB375" s="3"/>
      <c r="AC375" s="14">
        <v>363</v>
      </c>
      <c r="AD375" s="14"/>
      <c r="AE375" s="14"/>
      <c r="AF375" s="3"/>
      <c r="AG375" s="3"/>
      <c r="AH375" s="3"/>
      <c r="AI375" s="14"/>
      <c r="AJ375" s="14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</row>
    <row r="376" spans="1:47" ht="14.25" customHeight="1" x14ac:dyDescent="0.2">
      <c r="A376" s="3"/>
      <c r="B376" s="417"/>
      <c r="C376" s="173">
        <v>366</v>
      </c>
      <c r="D376" s="165"/>
      <c r="E376" s="174">
        <v>7.9083200825209587E-3</v>
      </c>
      <c r="F376" s="502"/>
      <c r="G376" s="219">
        <f t="shared" si="38"/>
        <v>0.68160958117414339</v>
      </c>
      <c r="H376" s="249">
        <f>H375+(G375*E376*'life-tables-test'!$C$66)</f>
        <v>99.318390418825857</v>
      </c>
      <c r="I376" s="516">
        <f t="shared" si="36"/>
        <v>100</v>
      </c>
      <c r="J376" s="153">
        <f>(G376*0)/(1+cDR)^'Markov Model_b (2)'!cycle</f>
        <v>0</v>
      </c>
      <c r="K376" s="178">
        <f t="shared" si="39"/>
        <v>0.68160958117414339</v>
      </c>
      <c r="L376" s="202">
        <f>(G376*(uPostT))/(1+oDR)^'Markov Model_b (2)'!cycle</f>
        <v>0.2077139793111073</v>
      </c>
      <c r="M376" s="80"/>
      <c r="N376" s="3"/>
      <c r="O376" s="80"/>
      <c r="P376" s="173">
        <v>366</v>
      </c>
      <c r="Q376" s="165"/>
      <c r="R376" s="174">
        <v>7.9083200825209587E-3</v>
      </c>
      <c r="S376" s="502"/>
      <c r="T376" s="219">
        <f t="shared" si="37"/>
        <v>0.64215680984999324</v>
      </c>
      <c r="U376" s="249">
        <f>U375+(T375*R376*'life-tables-test'!$C$66)</f>
        <v>99.357843190150007</v>
      </c>
      <c r="V376" s="516">
        <f t="shared" ref="V376:V408" si="40">SUM(T376:U376)</f>
        <v>100</v>
      </c>
      <c r="W376" s="153">
        <f>(T376*0)/(1+cDR)^'Markov Model_b (2)'!cycle2</f>
        <v>0</v>
      </c>
      <c r="X376" s="178">
        <f t="shared" ref="X376:X408" si="41">T376</f>
        <v>0.64215680984999324</v>
      </c>
      <c r="Y376" s="202">
        <f>(T376*(uPostT))/(1+oDR)^'Markov Model_b (2)'!cycle</f>
        <v>0.19569112582880469</v>
      </c>
      <c r="Z376" s="80"/>
      <c r="AA376" s="3"/>
      <c r="AB376" s="3"/>
      <c r="AC376" s="14">
        <v>364</v>
      </c>
      <c r="AD376" s="14"/>
      <c r="AE376" s="14"/>
      <c r="AF376" s="3"/>
      <c r="AG376" s="3"/>
      <c r="AH376" s="3"/>
      <c r="AI376" s="14"/>
      <c r="AJ376" s="14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</row>
    <row r="377" spans="1:47" ht="14.25" customHeight="1" x14ac:dyDescent="0.2">
      <c r="A377" s="3"/>
      <c r="B377" s="417"/>
      <c r="C377" s="173">
        <v>367</v>
      </c>
      <c r="D377" s="165"/>
      <c r="E377" s="174">
        <v>7.9083200825209587E-3</v>
      </c>
      <c r="F377" s="502"/>
      <c r="G377" s="219">
        <f t="shared" si="38"/>
        <v>0.65465764747794708</v>
      </c>
      <c r="H377" s="249">
        <f>H376+(G376*E377*'life-tables-test'!$C$66)</f>
        <v>99.345342352522053</v>
      </c>
      <c r="I377" s="516">
        <f t="shared" ref="I377:I408" si="42">SUM(G377:H377)</f>
        <v>100</v>
      </c>
      <c r="J377" s="153">
        <f>(G377*0)/(1+cDR)^'Markov Model_b (2)'!cycle</f>
        <v>0</v>
      </c>
      <c r="K377" s="178">
        <f t="shared" si="39"/>
        <v>0.65465764747794708</v>
      </c>
      <c r="L377" s="202">
        <f>(G377*(uPostT))/(1+oDR)^'Markov Model_b (2)'!cycle</f>
        <v>0.19900312832027309</v>
      </c>
      <c r="M377" s="80"/>
      <c r="N377" s="3"/>
      <c r="O377" s="80"/>
      <c r="P377" s="173">
        <v>367</v>
      </c>
      <c r="Q377" s="165"/>
      <c r="R377" s="174">
        <v>7.9083200825209587E-3</v>
      </c>
      <c r="S377" s="502"/>
      <c r="T377" s="219">
        <f t="shared" ref="T377:T408" si="43">$T$10-U377</f>
        <v>0.61676490187267063</v>
      </c>
      <c r="U377" s="249">
        <f>U376+(T376*R377*'life-tables-test'!$C$66)</f>
        <v>99.383235098127329</v>
      </c>
      <c r="V377" s="516">
        <f t="shared" si="40"/>
        <v>100</v>
      </c>
      <c r="W377" s="153">
        <f>(T377*0)/(1+cDR)^'Markov Model_b (2)'!cycle2</f>
        <v>0</v>
      </c>
      <c r="X377" s="178">
        <f t="shared" si="41"/>
        <v>0.61676490187267063</v>
      </c>
      <c r="Y377" s="202">
        <f>(T377*(uPostT))/(1+oDR)^'Markov Model_b (2)'!cycle</f>
        <v>0.1874844743411361</v>
      </c>
      <c r="Z377" s="80"/>
      <c r="AA377" s="3"/>
      <c r="AB377" s="3"/>
      <c r="AC377" s="14">
        <v>365</v>
      </c>
      <c r="AD377" s="14"/>
      <c r="AE377" s="14"/>
      <c r="AF377" s="3"/>
      <c r="AG377" s="3"/>
      <c r="AH377" s="3"/>
      <c r="AI377" s="14"/>
      <c r="AJ377" s="14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</row>
    <row r="378" spans="1:47" ht="14.25" customHeight="1" x14ac:dyDescent="0.2">
      <c r="A378" s="3"/>
      <c r="B378" s="417"/>
      <c r="C378" s="173">
        <v>368</v>
      </c>
      <c r="D378" s="165"/>
      <c r="E378" s="174">
        <v>7.9083200825209587E-3</v>
      </c>
      <c r="F378" s="502"/>
      <c r="G378" s="219">
        <f t="shared" si="38"/>
        <v>0.62877143637432198</v>
      </c>
      <c r="H378" s="249">
        <f>H377+(G377*E378*'life-tables-test'!$C$66)</f>
        <v>99.371228563625678</v>
      </c>
      <c r="I378" s="516">
        <f t="shared" si="42"/>
        <v>100</v>
      </c>
      <c r="J378" s="153">
        <f>(G378*0)/(1+cDR)^'Markov Model_b (2)'!cycle</f>
        <v>0</v>
      </c>
      <c r="K378" s="178">
        <f t="shared" si="39"/>
        <v>0.62877143637432198</v>
      </c>
      <c r="L378" s="202">
        <f>(G378*(uPostT))/(1+oDR)^'Markov Model_b (2)'!cycle</f>
        <v>0.19065758218391585</v>
      </c>
      <c r="M378" s="80"/>
      <c r="N378" s="3"/>
      <c r="O378" s="80"/>
      <c r="P378" s="173">
        <v>368</v>
      </c>
      <c r="Q378" s="165"/>
      <c r="R378" s="174">
        <v>7.9083200825209587E-3</v>
      </c>
      <c r="S378" s="502"/>
      <c r="T378" s="219">
        <f t="shared" si="43"/>
        <v>0.59237703057429769</v>
      </c>
      <c r="U378" s="249">
        <f>U377+(T377*R378*'life-tables-test'!$C$66)</f>
        <v>99.407622969425702</v>
      </c>
      <c r="V378" s="516">
        <f t="shared" si="40"/>
        <v>100</v>
      </c>
      <c r="W378" s="153">
        <f>(T378*0)/(1+cDR)^'Markov Model_b (2)'!cycle2</f>
        <v>0</v>
      </c>
      <c r="X378" s="178">
        <f t="shared" si="41"/>
        <v>0.59237703057429769</v>
      </c>
      <c r="Y378" s="202">
        <f>(T378*(uPostT))/(1+oDR)^'Markov Model_b (2)'!cycle</f>
        <v>0.17962198321513248</v>
      </c>
      <c r="Z378" s="80"/>
      <c r="AA378" s="3"/>
      <c r="AB378" s="3"/>
      <c r="AC378" s="14">
        <v>366</v>
      </c>
      <c r="AD378" s="14"/>
      <c r="AE378" s="14"/>
      <c r="AF378" s="3"/>
      <c r="AG378" s="3"/>
      <c r="AH378" s="3"/>
      <c r="AI378" s="14"/>
      <c r="AJ378" s="14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</row>
    <row r="379" spans="1:47" ht="14.25" customHeight="1" x14ac:dyDescent="0.2">
      <c r="A379" s="3"/>
      <c r="B379" s="417"/>
      <c r="C379" s="173">
        <v>369</v>
      </c>
      <c r="D379" s="165"/>
      <c r="E379" s="174">
        <v>7.9083200825209587E-3</v>
      </c>
      <c r="F379" s="502"/>
      <c r="G379" s="219">
        <f t="shared" si="38"/>
        <v>0.60390880748634856</v>
      </c>
      <c r="H379" s="249">
        <f>H378+(G378*E379*'life-tables-test'!$C$66)</f>
        <v>99.396091192513651</v>
      </c>
      <c r="I379" s="516">
        <f t="shared" si="42"/>
        <v>100</v>
      </c>
      <c r="J379" s="153">
        <f>(G379*0)/(1+cDR)^'Markov Model_b (2)'!cycle</f>
        <v>0</v>
      </c>
      <c r="K379" s="178">
        <f t="shared" si="39"/>
        <v>0.60390880748634856</v>
      </c>
      <c r="L379" s="202">
        <f>(G379*(uPostT))/(1+oDR)^'Markov Model_b (2)'!cycle</f>
        <v>0.1826620212005646</v>
      </c>
      <c r="M379" s="80"/>
      <c r="N379" s="3"/>
      <c r="O379" s="80"/>
      <c r="P379" s="173">
        <v>369</v>
      </c>
      <c r="Q379" s="165"/>
      <c r="R379" s="174">
        <v>7.9083200825209587E-3</v>
      </c>
      <c r="S379" s="502"/>
      <c r="T379" s="219">
        <f t="shared" si="43"/>
        <v>0.56895349473772683</v>
      </c>
      <c r="U379" s="249">
        <f>U378+(T378*R379*'life-tables-test'!$C$66)</f>
        <v>99.431046505262273</v>
      </c>
      <c r="V379" s="516">
        <f t="shared" si="40"/>
        <v>100</v>
      </c>
      <c r="W379" s="153">
        <f>(T379*0)/(1+cDR)^'Markov Model_b (2)'!cycle2</f>
        <v>0</v>
      </c>
      <c r="X379" s="178">
        <f t="shared" si="41"/>
        <v>0.56895349473772683</v>
      </c>
      <c r="Y379" s="202">
        <f>(T379*(uPostT))/(1+oDR)^'Markov Model_b (2)'!cycle</f>
        <v>0.17208921948081912</v>
      </c>
      <c r="Z379" s="80"/>
      <c r="AA379" s="3"/>
      <c r="AB379" s="3"/>
      <c r="AC379" s="14">
        <v>367</v>
      </c>
      <c r="AD379" s="14"/>
      <c r="AE379" s="14"/>
      <c r="AF379" s="3"/>
      <c r="AG379" s="3"/>
      <c r="AH379" s="3"/>
      <c r="AI379" s="14"/>
      <c r="AJ379" s="14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</row>
    <row r="380" spans="1:47" ht="14.25" customHeight="1" x14ac:dyDescent="0.2">
      <c r="A380" s="3"/>
      <c r="B380" s="417"/>
      <c r="C380" s="173">
        <v>370</v>
      </c>
      <c r="D380" s="165"/>
      <c r="E380" s="174">
        <v>7.9083200825209587E-3</v>
      </c>
      <c r="F380" s="502"/>
      <c r="G380" s="219">
        <f t="shared" si="38"/>
        <v>0.58002928673506915</v>
      </c>
      <c r="H380" s="249">
        <f>H379+(G379*E380*'life-tables-test'!$C$66)</f>
        <v>99.419970713264931</v>
      </c>
      <c r="I380" s="516">
        <f t="shared" si="42"/>
        <v>100</v>
      </c>
      <c r="J380" s="153">
        <f>(G380*0)/(1+cDR)^'Markov Model_b (2)'!cycle</f>
        <v>0</v>
      </c>
      <c r="K380" s="178">
        <f t="shared" si="39"/>
        <v>0.58002928673506915</v>
      </c>
      <c r="L380" s="202">
        <f>(G380*(uPostT))/(1+oDR)^'Markov Model_b (2)'!cycle</f>
        <v>0.1750017681273742</v>
      </c>
      <c r="M380" s="80"/>
      <c r="N380" s="3"/>
      <c r="O380" s="80"/>
      <c r="P380" s="173">
        <v>370</v>
      </c>
      <c r="Q380" s="165"/>
      <c r="R380" s="174">
        <v>7.9083200825209587E-3</v>
      </c>
      <c r="S380" s="502"/>
      <c r="T380" s="219">
        <f t="shared" si="43"/>
        <v>0.54645616299545452</v>
      </c>
      <c r="U380" s="249">
        <f>U379+(T379*R380*'life-tables-test'!$C$66)</f>
        <v>99.453543837004545</v>
      </c>
      <c r="V380" s="516">
        <f t="shared" si="40"/>
        <v>100</v>
      </c>
      <c r="W380" s="153">
        <f>(T380*0)/(1+cDR)^'Markov Model_b (2)'!cycle2</f>
        <v>0</v>
      </c>
      <c r="X380" s="178">
        <f t="shared" si="41"/>
        <v>0.54645616299545452</v>
      </c>
      <c r="Y380" s="202">
        <f>(T380*(uPostT))/(1+oDR)^'Markov Model_b (2)'!cycle</f>
        <v>0.1648723554401916</v>
      </c>
      <c r="Z380" s="80"/>
      <c r="AA380" s="3"/>
      <c r="AB380" s="3"/>
      <c r="AC380" s="14">
        <v>368</v>
      </c>
      <c r="AD380" s="14"/>
      <c r="AE380" s="14"/>
      <c r="AF380" s="3"/>
      <c r="AG380" s="3"/>
      <c r="AH380" s="3"/>
      <c r="AI380" s="14"/>
      <c r="AJ380" s="14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</row>
    <row r="381" spans="1:47" ht="14.25" customHeight="1" x14ac:dyDescent="0.2">
      <c r="A381" s="3"/>
      <c r="B381" s="417"/>
      <c r="C381" s="173">
        <v>371</v>
      </c>
      <c r="D381" s="165"/>
      <c r="E381" s="174">
        <v>7.9083200825209587E-3</v>
      </c>
      <c r="F381" s="502"/>
      <c r="G381" s="219">
        <f t="shared" si="38"/>
        <v>0.5570940004513858</v>
      </c>
      <c r="H381" s="249">
        <f>H380+(G380*E381*'life-tables-test'!$C$66)</f>
        <v>99.442905999548614</v>
      </c>
      <c r="I381" s="516">
        <f t="shared" si="42"/>
        <v>100</v>
      </c>
      <c r="J381" s="153">
        <f>(G381*0)/(1+cDR)^'Markov Model_b (2)'!cycle</f>
        <v>0</v>
      </c>
      <c r="K381" s="178">
        <f t="shared" si="39"/>
        <v>0.5570940004513858</v>
      </c>
      <c r="L381" s="202">
        <f>(G381*(uPostT))/(1+oDR)^'Markov Model_b (2)'!cycle</f>
        <v>0.16766276123748944</v>
      </c>
      <c r="M381" s="80"/>
      <c r="N381" s="3"/>
      <c r="O381" s="80"/>
      <c r="P381" s="173">
        <v>371</v>
      </c>
      <c r="Q381" s="165"/>
      <c r="R381" s="174">
        <v>7.9083200825209587E-3</v>
      </c>
      <c r="S381" s="502"/>
      <c r="T381" s="219">
        <f t="shared" si="43"/>
        <v>0.52484841175528629</v>
      </c>
      <c r="U381" s="249">
        <f>U380+(T380*R381*'life-tables-test'!$C$66)</f>
        <v>99.475151588244714</v>
      </c>
      <c r="V381" s="516">
        <f t="shared" si="40"/>
        <v>100</v>
      </c>
      <c r="W381" s="153">
        <f>(T381*0)/(1+cDR)^'Markov Model_b (2)'!cycle2</f>
        <v>0</v>
      </c>
      <c r="X381" s="178">
        <f t="shared" si="41"/>
        <v>0.52484841175528629</v>
      </c>
      <c r="Y381" s="202">
        <f>(T381*(uPostT))/(1+oDR)^'Markov Model_b (2)'!cycle</f>
        <v>0.15795814328408142</v>
      </c>
      <c r="Z381" s="80"/>
      <c r="AA381" s="3"/>
      <c r="AB381" s="3"/>
      <c r="AC381" s="14">
        <v>369</v>
      </c>
      <c r="AD381" s="14"/>
      <c r="AE381" s="14"/>
      <c r="AF381" s="3"/>
      <c r="AG381" s="3"/>
      <c r="AH381" s="3"/>
      <c r="AI381" s="14"/>
      <c r="AJ381" s="14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</row>
    <row r="382" spans="1:47" ht="14.25" customHeight="1" x14ac:dyDescent="0.2">
      <c r="A382" s="3"/>
      <c r="B382" s="417"/>
      <c r="C382" s="173">
        <v>372</v>
      </c>
      <c r="D382" s="165"/>
      <c r="E382" s="174">
        <v>7.9083200825209587E-3</v>
      </c>
      <c r="F382" s="502"/>
      <c r="G382" s="219">
        <f t="shared" si="38"/>
        <v>0.53506561209327685</v>
      </c>
      <c r="H382" s="249">
        <f>H381+(G381*E382*'life-tables-test'!$C$66)</f>
        <v>99.464934387906723</v>
      </c>
      <c r="I382" s="516">
        <f t="shared" si="42"/>
        <v>100</v>
      </c>
      <c r="J382" s="153">
        <f>(G382*0)/(1+cDR)^'Markov Model_b (2)'!cycle</f>
        <v>0</v>
      </c>
      <c r="K382" s="178">
        <f t="shared" si="39"/>
        <v>0.53506561209327685</v>
      </c>
      <c r="L382" s="202">
        <f>(G382*(uPostT))/(1+oDR)^'Markov Model_b (2)'!cycle</f>
        <v>0.1606315285072942</v>
      </c>
      <c r="M382" s="80"/>
      <c r="N382" s="3"/>
      <c r="O382" s="80"/>
      <c r="P382" s="173">
        <v>372</v>
      </c>
      <c r="Q382" s="165"/>
      <c r="R382" s="174">
        <v>7.9083200825209587E-3</v>
      </c>
      <c r="S382" s="502"/>
      <c r="T382" s="219">
        <f t="shared" si="43"/>
        <v>0.50409506558047212</v>
      </c>
      <c r="U382" s="249">
        <f>U381+(T381*R382*'life-tables-test'!$C$66)</f>
        <v>99.495904934419528</v>
      </c>
      <c r="V382" s="516">
        <f t="shared" si="40"/>
        <v>100</v>
      </c>
      <c r="W382" s="153">
        <f>(T382*0)/(1+cDR)^'Markov Model_b (2)'!cycle2</f>
        <v>0</v>
      </c>
      <c r="X382" s="178">
        <f t="shared" si="41"/>
        <v>0.50409506558047212</v>
      </c>
      <c r="Y382" s="202">
        <f>(T382*(uPostT))/(1+oDR)^'Markov Model_b (2)'!cycle</f>
        <v>0.15133389077349266</v>
      </c>
      <c r="Z382" s="80"/>
      <c r="AA382" s="3"/>
      <c r="AB382" s="3"/>
      <c r="AC382" s="14">
        <v>370</v>
      </c>
      <c r="AD382" s="14"/>
      <c r="AE382" s="14"/>
      <c r="AF382" s="3"/>
      <c r="AG382" s="3"/>
      <c r="AH382" s="3"/>
      <c r="AI382" s="14"/>
      <c r="AJ382" s="14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</row>
    <row r="383" spans="1:47" ht="14.25" customHeight="1" x14ac:dyDescent="0.2">
      <c r="A383" s="3"/>
      <c r="B383" s="417"/>
      <c r="C383" s="173">
        <v>373</v>
      </c>
      <c r="D383" s="504"/>
      <c r="E383" s="174">
        <v>7.9083200825209587E-3</v>
      </c>
      <c r="F383" s="505"/>
      <c r="G383" s="219">
        <f t="shared" si="38"/>
        <v>0.51390826146536028</v>
      </c>
      <c r="H383" s="249">
        <f>H382+(G382*E383*'life-tables-test'!$C$66)</f>
        <v>99.48609173853464</v>
      </c>
      <c r="I383" s="516">
        <f t="shared" si="42"/>
        <v>100</v>
      </c>
      <c r="J383" s="180">
        <f>(G383*0)/(1+cDR)^'Markov Model_b (2)'!cycle</f>
        <v>0</v>
      </c>
      <c r="K383" s="176">
        <f t="shared" si="39"/>
        <v>0.51390826146536028</v>
      </c>
      <c r="L383" s="202">
        <f>(G383*(uPostT))/(1+oDR)^'Markov Model_b (2)'!cycle</f>
        <v>0.15389516288617788</v>
      </c>
      <c r="M383" s="80"/>
      <c r="N383" s="3"/>
      <c r="O383" s="80"/>
      <c r="P383" s="173">
        <v>373</v>
      </c>
      <c r="Q383" s="504"/>
      <c r="R383" s="174">
        <v>7.9083200825209587E-3</v>
      </c>
      <c r="S383" s="505"/>
      <c r="T383" s="219">
        <f t="shared" si="43"/>
        <v>0.48416233992732316</v>
      </c>
      <c r="U383" s="249">
        <f>U382+(T382*R383*'life-tables-test'!$C$66)</f>
        <v>99.515837660072677</v>
      </c>
      <c r="V383" s="516">
        <f t="shared" si="40"/>
        <v>100</v>
      </c>
      <c r="W383" s="180">
        <f>(T383*0)/(1+cDR)^'Markov Model_b (2)'!cycle2</f>
        <v>0</v>
      </c>
      <c r="X383" s="176">
        <f t="shared" si="41"/>
        <v>0.48416233992732316</v>
      </c>
      <c r="Y383" s="202">
        <f>(T383*(uPostT))/(1+oDR)^'Markov Model_b (2)'!cycle</f>
        <v>0.14498743794079044</v>
      </c>
      <c r="Z383" s="80"/>
      <c r="AA383" s="3"/>
      <c r="AB383" s="3"/>
      <c r="AC383" s="14">
        <v>371</v>
      </c>
      <c r="AD383" s="14"/>
      <c r="AE383" s="14"/>
      <c r="AF383" s="3"/>
      <c r="AG383" s="3"/>
      <c r="AH383" s="3"/>
      <c r="AI383" s="14"/>
      <c r="AJ383" s="14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</row>
    <row r="384" spans="1:47" ht="14.25" customHeight="1" x14ac:dyDescent="0.25">
      <c r="A384" s="3">
        <v>33</v>
      </c>
      <c r="B384" s="417"/>
      <c r="C384" s="506">
        <v>374</v>
      </c>
      <c r="D384" s="506"/>
      <c r="E384" s="507">
        <v>7.9083200825209587E-3</v>
      </c>
      <c r="F384" s="508"/>
      <c r="G384" s="509">
        <f t="shared" si="38"/>
        <v>0.49358750634175408</v>
      </c>
      <c r="H384" s="510">
        <f>H383+(G383*E384*'life-tables-test'!$C$66)</f>
        <v>99.506412493658246</v>
      </c>
      <c r="I384" s="518">
        <f t="shared" si="42"/>
        <v>100</v>
      </c>
      <c r="J384" s="511">
        <f>(G384*0)/(1+cDR)^'Markov Model_b (2)'!cycle</f>
        <v>0</v>
      </c>
      <c r="K384" s="512">
        <f t="shared" si="39"/>
        <v>0.49358750634175408</v>
      </c>
      <c r="L384" s="513">
        <f>(G384*(uPostT))/(1+oDR)^'Markov Model_b (2)'!cycle</f>
        <v>0.14744129860338953</v>
      </c>
      <c r="M384" s="80"/>
      <c r="N384" s="3"/>
      <c r="O384" s="80"/>
      <c r="P384" s="506">
        <v>374</v>
      </c>
      <c r="Q384" s="506"/>
      <c r="R384" s="507">
        <v>7.9083200825209587E-3</v>
      </c>
      <c r="S384" s="508"/>
      <c r="T384" s="509">
        <f t="shared" si="43"/>
        <v>0.46501778614708655</v>
      </c>
      <c r="U384" s="510">
        <f>U383+(T383*R384*'life-tables-test'!$C$66)</f>
        <v>99.534982213852913</v>
      </c>
      <c r="V384" s="518">
        <f t="shared" si="40"/>
        <v>100</v>
      </c>
      <c r="W384" s="511">
        <f>(T384*0)/(1+cDR)^'Markov Model_b (2)'!cycle2</f>
        <v>0</v>
      </c>
      <c r="X384" s="512">
        <f t="shared" si="41"/>
        <v>0.46501778614708655</v>
      </c>
      <c r="Y384" s="513">
        <f>(T384*(uPostT))/(1+oDR)^'Markov Model_b (2)'!cycle</f>
        <v>0.13890713476796887</v>
      </c>
      <c r="Z384" s="80"/>
      <c r="AA384" s="3"/>
      <c r="AB384" s="3"/>
      <c r="AC384" s="14">
        <v>372</v>
      </c>
      <c r="AD384" s="14"/>
      <c r="AE384" s="14"/>
      <c r="AF384" s="3"/>
      <c r="AG384" s="3"/>
      <c r="AH384" s="3"/>
      <c r="AI384" s="14"/>
      <c r="AJ384" s="14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</row>
    <row r="385" spans="1:47" ht="14.25" customHeight="1" x14ac:dyDescent="0.2">
      <c r="A385" s="3"/>
      <c r="B385" s="417"/>
      <c r="C385" s="173">
        <v>375</v>
      </c>
      <c r="D385" s="165"/>
      <c r="E385" s="174">
        <v>8.9196625610592495E-3</v>
      </c>
      <c r="F385" s="502"/>
      <c r="G385" s="219">
        <f t="shared" si="38"/>
        <v>0.47157433633714163</v>
      </c>
      <c r="H385" s="249">
        <f>H384+(G384*E385*'life-tables-test'!$C$66)</f>
        <v>99.528425663662858</v>
      </c>
      <c r="I385" s="516">
        <f t="shared" si="42"/>
        <v>100</v>
      </c>
      <c r="J385" s="153">
        <f>(G385*0)/(1+cDR)^'Markov Model_b (2)'!cycle</f>
        <v>0</v>
      </c>
      <c r="K385" s="178">
        <f t="shared" si="39"/>
        <v>0.47157433633714163</v>
      </c>
      <c r="L385" s="202">
        <f>(G385*(uPostT))/(1+oDR)^'Markov Model_b (2)'!cycle</f>
        <v>0.14051437949910967</v>
      </c>
      <c r="M385" s="80"/>
      <c r="N385" s="3"/>
      <c r="O385" s="80"/>
      <c r="P385" s="173">
        <v>375</v>
      </c>
      <c r="Q385" s="165"/>
      <c r="R385" s="174">
        <v>8.9196625610592495E-3</v>
      </c>
      <c r="S385" s="502"/>
      <c r="T385" s="219">
        <f t="shared" si="43"/>
        <v>0.44427877746046818</v>
      </c>
      <c r="U385" s="249">
        <f>U384+(T384*R385*'life-tables-test'!$C$66)</f>
        <v>99.555721222539532</v>
      </c>
      <c r="V385" s="516">
        <f t="shared" si="40"/>
        <v>100</v>
      </c>
      <c r="W385" s="153">
        <f>(T385*0)/(1+cDR)^'Markov Model_b (2)'!cycle2</f>
        <v>0</v>
      </c>
      <c r="X385" s="178">
        <f t="shared" si="41"/>
        <v>0.44427877746046818</v>
      </c>
      <c r="Y385" s="202">
        <f>(T385*(uPostT))/(1+oDR)^'Markov Model_b (2)'!cycle</f>
        <v>0.13238115802563419</v>
      </c>
      <c r="Z385" s="80"/>
      <c r="AA385" s="3"/>
      <c r="AB385" s="3"/>
      <c r="AC385" s="14">
        <v>373</v>
      </c>
      <c r="AD385" s="14"/>
      <c r="AE385" s="14"/>
      <c r="AF385" s="3"/>
      <c r="AG385" s="3"/>
      <c r="AH385" s="3"/>
      <c r="AI385" s="14"/>
      <c r="AJ385" s="14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</row>
    <row r="386" spans="1:47" ht="14.25" customHeight="1" x14ac:dyDescent="0.2">
      <c r="A386" s="3"/>
      <c r="B386" s="417"/>
      <c r="C386" s="173">
        <v>376</v>
      </c>
      <c r="D386" s="165"/>
      <c r="E386" s="174">
        <v>8.9196625610592495E-3</v>
      </c>
      <c r="F386" s="502"/>
      <c r="G386" s="219">
        <f t="shared" si="38"/>
        <v>0.45054291657422141</v>
      </c>
      <c r="H386" s="249">
        <f>H385+(G385*E386*'life-tables-test'!$C$66)</f>
        <v>99.549457083425779</v>
      </c>
      <c r="I386" s="516">
        <f t="shared" si="42"/>
        <v>100</v>
      </c>
      <c r="J386" s="153">
        <f>(G386*0)/(1+cDR)^'Markov Model_b (2)'!cycle</f>
        <v>0</v>
      </c>
      <c r="K386" s="178">
        <f t="shared" si="39"/>
        <v>0.45054291657422141</v>
      </c>
      <c r="L386" s="202">
        <f>(G386*(uPostT))/(1+oDR)^'Markov Model_b (2)'!cycle</f>
        <v>0.1339128930160243</v>
      </c>
      <c r="M386" s="80"/>
      <c r="N386" s="3"/>
      <c r="O386" s="80"/>
      <c r="P386" s="173">
        <v>376</v>
      </c>
      <c r="Q386" s="165"/>
      <c r="R386" s="174">
        <v>8.9196625610592495E-3</v>
      </c>
      <c r="S386" s="502"/>
      <c r="T386" s="219">
        <f t="shared" si="43"/>
        <v>0.42446469357052763</v>
      </c>
      <c r="U386" s="249">
        <f>U385+(T385*R386*'life-tables-test'!$C$66)</f>
        <v>99.575535306429472</v>
      </c>
      <c r="V386" s="516">
        <f t="shared" si="40"/>
        <v>100</v>
      </c>
      <c r="W386" s="153">
        <f>(T386*0)/(1+cDR)^'Markov Model_b (2)'!cycle2</f>
        <v>0</v>
      </c>
      <c r="X386" s="178">
        <f t="shared" si="41"/>
        <v>0.42446469357052763</v>
      </c>
      <c r="Y386" s="202">
        <f>(T386*(uPostT))/(1+oDR)^'Markov Model_b (2)'!cycle</f>
        <v>0.12616177728726027</v>
      </c>
      <c r="Z386" s="80"/>
      <c r="AA386" s="3"/>
      <c r="AB386" s="3"/>
      <c r="AC386" s="14">
        <v>374</v>
      </c>
      <c r="AD386" s="14"/>
      <c r="AE386" s="14"/>
      <c r="AF386" s="3"/>
      <c r="AG386" s="3"/>
      <c r="AH386" s="3"/>
      <c r="AI386" s="14"/>
      <c r="AJ386" s="14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</row>
    <row r="387" spans="1:47" ht="14.25" customHeight="1" x14ac:dyDescent="0.2">
      <c r="A387" s="3"/>
      <c r="B387" s="417"/>
      <c r="C387" s="173">
        <v>377</v>
      </c>
      <c r="D387" s="165"/>
      <c r="E387" s="174">
        <v>8.9196625610592495E-3</v>
      </c>
      <c r="F387" s="502"/>
      <c r="G387" s="219">
        <f t="shared" si="38"/>
        <v>0.43044946264863881</v>
      </c>
      <c r="H387" s="249">
        <f>H386+(G386*E387*'life-tables-test'!$C$66)</f>
        <v>99.569550537351361</v>
      </c>
      <c r="I387" s="516">
        <f t="shared" si="42"/>
        <v>100</v>
      </c>
      <c r="J387" s="153">
        <f>(G387*0)/(1+cDR)^'Markov Model_b (2)'!cycle</f>
        <v>0</v>
      </c>
      <c r="K387" s="178">
        <f t="shared" si="39"/>
        <v>0.43044946264863881</v>
      </c>
      <c r="L387" s="202">
        <f>(G387*(uPostT))/(1+oDR)^'Markov Model_b (2)'!cycle</f>
        <v>0.1276215500495112</v>
      </c>
      <c r="M387" s="80"/>
      <c r="N387" s="3"/>
      <c r="O387" s="80"/>
      <c r="P387" s="173">
        <v>377</v>
      </c>
      <c r="Q387" s="165"/>
      <c r="R387" s="174">
        <v>8.9196625610592495E-3</v>
      </c>
      <c r="S387" s="502"/>
      <c r="T387" s="219">
        <f t="shared" si="43"/>
        <v>0.40553428439186234</v>
      </c>
      <c r="U387" s="249">
        <f>U386+(T386*R387*'life-tables-test'!$C$66)</f>
        <v>99.594465715608138</v>
      </c>
      <c r="V387" s="516">
        <f t="shared" si="40"/>
        <v>100</v>
      </c>
      <c r="W387" s="153">
        <f>(T387*0)/(1+cDR)^'Markov Model_b (2)'!cycle2</f>
        <v>0</v>
      </c>
      <c r="X387" s="178">
        <f t="shared" si="41"/>
        <v>0.40553428439186234</v>
      </c>
      <c r="Y387" s="202">
        <f>(T387*(uPostT))/(1+oDR)^'Markov Model_b (2)'!cycle</f>
        <v>0.12023458840870835</v>
      </c>
      <c r="Z387" s="80"/>
      <c r="AA387" s="3"/>
      <c r="AB387" s="3"/>
      <c r="AC387" s="14">
        <v>375</v>
      </c>
      <c r="AD387" s="14"/>
      <c r="AE387" s="14"/>
      <c r="AF387" s="3"/>
      <c r="AG387" s="3"/>
      <c r="AH387" s="3"/>
      <c r="AI387" s="14"/>
      <c r="AJ387" s="14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</row>
    <row r="388" spans="1:47" ht="14.25" customHeight="1" x14ac:dyDescent="0.2">
      <c r="A388" s="3"/>
      <c r="B388" s="417"/>
      <c r="C388" s="173">
        <v>378</v>
      </c>
      <c r="D388" s="165"/>
      <c r="E388" s="174">
        <v>8.9196625610592495E-3</v>
      </c>
      <c r="F388" s="502"/>
      <c r="G388" s="219">
        <f t="shared" si="38"/>
        <v>0.41125214286655876</v>
      </c>
      <c r="H388" s="249">
        <f>H387+(G387*E388*'life-tables-test'!$C$66)</f>
        <v>99.588747857133441</v>
      </c>
      <c r="I388" s="516">
        <f t="shared" si="42"/>
        <v>100</v>
      </c>
      <c r="J388" s="153">
        <f>(G388*0)/(1+cDR)^'Markov Model_b (2)'!cycle</f>
        <v>0</v>
      </c>
      <c r="K388" s="178">
        <f t="shared" si="39"/>
        <v>0.41125214286655876</v>
      </c>
      <c r="L388" s="202">
        <f>(G388*(uPostT))/(1+oDR)^'Markov Model_b (2)'!cycle</f>
        <v>0.12162577979022944</v>
      </c>
      <c r="M388" s="80"/>
      <c r="N388" s="3"/>
      <c r="O388" s="80"/>
      <c r="P388" s="173">
        <v>378</v>
      </c>
      <c r="Q388" s="165"/>
      <c r="R388" s="174">
        <v>8.9196625610592495E-3</v>
      </c>
      <c r="S388" s="502"/>
      <c r="T388" s="219">
        <f t="shared" si="43"/>
        <v>0.38744813952328627</v>
      </c>
      <c r="U388" s="249">
        <f>U387+(T387*R388*'life-tables-test'!$C$66)</f>
        <v>99.612551860476714</v>
      </c>
      <c r="V388" s="516">
        <f t="shared" si="40"/>
        <v>100</v>
      </c>
      <c r="W388" s="153">
        <f>(T388*0)/(1+cDR)^'Markov Model_b (2)'!cycle2</f>
        <v>0</v>
      </c>
      <c r="X388" s="178">
        <f t="shared" si="41"/>
        <v>0.38744813952328627</v>
      </c>
      <c r="Y388" s="202">
        <f>(T388*(uPostT))/(1+oDR)^'Markov Model_b (2)'!cycle</f>
        <v>0.11458586396492965</v>
      </c>
      <c r="Z388" s="80"/>
      <c r="AA388" s="3"/>
      <c r="AB388" s="3"/>
      <c r="AC388" s="14">
        <v>376</v>
      </c>
      <c r="AD388" s="14"/>
      <c r="AE388" s="14"/>
      <c r="AF388" s="3"/>
      <c r="AG388" s="3"/>
      <c r="AH388" s="3"/>
      <c r="AI388" s="14"/>
      <c r="AJ388" s="14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</row>
    <row r="389" spans="1:47" ht="14.25" customHeight="1" x14ac:dyDescent="0.2">
      <c r="A389" s="3"/>
      <c r="B389" s="417"/>
      <c r="C389" s="173">
        <v>379</v>
      </c>
      <c r="D389" s="165"/>
      <c r="E389" s="174">
        <v>8.9196625610592495E-3</v>
      </c>
      <c r="F389" s="502"/>
      <c r="G389" s="219">
        <f t="shared" si="38"/>
        <v>0.39291099115715156</v>
      </c>
      <c r="H389" s="249">
        <f>H388+(G388*E389*'life-tables-test'!$C$66)</f>
        <v>99.607089008842848</v>
      </c>
      <c r="I389" s="516">
        <f t="shared" si="42"/>
        <v>100</v>
      </c>
      <c r="J389" s="153">
        <f>(G389*0)/(1+cDR)^'Markov Model_b (2)'!cycle</f>
        <v>0</v>
      </c>
      <c r="K389" s="178">
        <f t="shared" si="39"/>
        <v>0.39291099115715156</v>
      </c>
      <c r="L389" s="202">
        <f>(G389*(uPostT))/(1+oDR)^'Markov Model_b (2)'!cycle</f>
        <v>0.11591169597801285</v>
      </c>
      <c r="M389" s="80"/>
      <c r="N389" s="3"/>
      <c r="O389" s="80"/>
      <c r="P389" s="173">
        <v>379</v>
      </c>
      <c r="Q389" s="165"/>
      <c r="R389" s="174">
        <v>8.9196625610592495E-3</v>
      </c>
      <c r="S389" s="502"/>
      <c r="T389" s="219">
        <f t="shared" si="43"/>
        <v>0.37016860620099123</v>
      </c>
      <c r="U389" s="249">
        <f>U388+(T388*R389*'life-tables-test'!$C$66)</f>
        <v>99.629831393799009</v>
      </c>
      <c r="V389" s="516">
        <f t="shared" si="40"/>
        <v>100</v>
      </c>
      <c r="W389" s="153">
        <f>(T389*0)/(1+cDR)^'Markov Model_b (2)'!cycle2</f>
        <v>0</v>
      </c>
      <c r="X389" s="178">
        <f t="shared" si="41"/>
        <v>0.37016860620099123</v>
      </c>
      <c r="Y389" s="202">
        <f>(T389*(uPostT))/(1+oDR)^'Markov Model_b (2)'!cycle</f>
        <v>0.10920252145711219</v>
      </c>
      <c r="Z389" s="80"/>
      <c r="AA389" s="3"/>
      <c r="AB389" s="3"/>
      <c r="AC389" s="14">
        <v>377</v>
      </c>
      <c r="AD389" s="14"/>
      <c r="AE389" s="14"/>
      <c r="AF389" s="3"/>
      <c r="AG389" s="3"/>
      <c r="AH389" s="3"/>
      <c r="AI389" s="14"/>
      <c r="AJ389" s="14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</row>
    <row r="390" spans="1:47" ht="14.25" customHeight="1" x14ac:dyDescent="0.2">
      <c r="A390" s="3"/>
      <c r="B390" s="417"/>
      <c r="C390" s="173">
        <v>380</v>
      </c>
      <c r="D390" s="165"/>
      <c r="E390" s="174">
        <v>8.9196625610592495E-3</v>
      </c>
      <c r="F390" s="502"/>
      <c r="G390" s="219">
        <f t="shared" si="38"/>
        <v>0.37538782386889125</v>
      </c>
      <c r="H390" s="249">
        <f>H389+(G389*E390*'life-tables-test'!$C$66)</f>
        <v>99.624612176131109</v>
      </c>
      <c r="I390" s="516">
        <f t="shared" si="42"/>
        <v>100</v>
      </c>
      <c r="J390" s="153">
        <f>(G390*0)/(1+cDR)^'Markov Model_b (2)'!cycle</f>
        <v>0</v>
      </c>
      <c r="K390" s="178">
        <f t="shared" si="39"/>
        <v>0.37538782386889125</v>
      </c>
      <c r="L390" s="202">
        <f>(G390*(uPostT))/(1+oDR)^'Markov Model_b (2)'!cycle</f>
        <v>0.11046606474114175</v>
      </c>
      <c r="M390" s="80"/>
      <c r="N390" s="3"/>
      <c r="O390" s="80"/>
      <c r="P390" s="173">
        <v>380</v>
      </c>
      <c r="Q390" s="165"/>
      <c r="R390" s="174">
        <v>8.9196625610592495E-3</v>
      </c>
      <c r="S390" s="502"/>
      <c r="T390" s="219">
        <f t="shared" si="43"/>
        <v>0.35365971091093229</v>
      </c>
      <c r="U390" s="249">
        <f>U389+(T389*R390*'life-tables-test'!$C$66)</f>
        <v>99.646340289089068</v>
      </c>
      <c r="V390" s="516">
        <f t="shared" si="40"/>
        <v>100</v>
      </c>
      <c r="W390" s="153">
        <f>(T390*0)/(1+cDR)^'Markov Model_b (2)'!cycle2</f>
        <v>0</v>
      </c>
      <c r="X390" s="178">
        <f t="shared" si="41"/>
        <v>0.35365971091093229</v>
      </c>
      <c r="Y390" s="202">
        <f>(T390*(uPostT))/(1+oDR)^'Markov Model_b (2)'!cycle</f>
        <v>0.1040720930135051</v>
      </c>
      <c r="Z390" s="80"/>
      <c r="AA390" s="3"/>
      <c r="AB390" s="3"/>
      <c r="AC390" s="14">
        <v>378</v>
      </c>
      <c r="AD390" s="14"/>
      <c r="AE390" s="14"/>
      <c r="AF390" s="3"/>
      <c r="AG390" s="3"/>
      <c r="AH390" s="3"/>
      <c r="AI390" s="14"/>
      <c r="AJ390" s="14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</row>
    <row r="391" spans="1:47" ht="14.25" customHeight="1" x14ac:dyDescent="0.2">
      <c r="A391" s="3"/>
      <c r="B391" s="417"/>
      <c r="C391" s="173">
        <v>381</v>
      </c>
      <c r="D391" s="165"/>
      <c r="E391" s="174">
        <v>8.9196625610592495E-3</v>
      </c>
      <c r="F391" s="502"/>
      <c r="G391" s="219">
        <f t="shared" ref="G391:G408" si="44">$G$10-H391</f>
        <v>0.35864616027669172</v>
      </c>
      <c r="H391" s="249">
        <f>H390+(G390*E391*'life-tables-test'!$C$66)</f>
        <v>99.641353839723308</v>
      </c>
      <c r="I391" s="516">
        <f t="shared" si="42"/>
        <v>100</v>
      </c>
      <c r="J391" s="153">
        <f>(G391*0)/(1+cDR)^'Markov Model_b (2)'!cycle</f>
        <v>0</v>
      </c>
      <c r="K391" s="178">
        <f t="shared" si="39"/>
        <v>0.35864616027669172</v>
      </c>
      <c r="L391" s="202">
        <f>(G391*(uPostT))/(1+oDR)^'Markov Model_b (2)'!cycle</f>
        <v>0.10527627394658115</v>
      </c>
      <c r="M391" s="80"/>
      <c r="N391" s="3"/>
      <c r="O391" s="80"/>
      <c r="P391" s="173">
        <v>381</v>
      </c>
      <c r="Q391" s="165"/>
      <c r="R391" s="174">
        <v>8.9196625610592495E-3</v>
      </c>
      <c r="S391" s="502"/>
      <c r="T391" s="219">
        <f t="shared" si="43"/>
        <v>0.33788708449709759</v>
      </c>
      <c r="U391" s="249">
        <f>U390+(T390*R391*'life-tables-test'!$C$66)</f>
        <v>99.662112915502902</v>
      </c>
      <c r="V391" s="516">
        <f t="shared" si="40"/>
        <v>100</v>
      </c>
      <c r="W391" s="153">
        <f>(T391*0)/(1+cDR)^'Markov Model_b (2)'!cycle2</f>
        <v>0</v>
      </c>
      <c r="X391" s="178">
        <f t="shared" si="41"/>
        <v>0.33788708449709759</v>
      </c>
      <c r="Y391" s="202">
        <f>(T391*(uPostT))/(1+oDR)^'Markov Model_b (2)'!cycle</f>
        <v>9.9182696513703164E-2</v>
      </c>
      <c r="Z391" s="80"/>
      <c r="AA391" s="3"/>
      <c r="AB391" s="3"/>
      <c r="AC391" s="14">
        <v>379</v>
      </c>
      <c r="AD391" s="14"/>
      <c r="AE391" s="14"/>
      <c r="AF391" s="3"/>
      <c r="AG391" s="3"/>
      <c r="AH391" s="3"/>
      <c r="AI391" s="14"/>
      <c r="AJ391" s="14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</row>
    <row r="392" spans="1:47" ht="14.25" customHeight="1" x14ac:dyDescent="0.2">
      <c r="A392" s="3"/>
      <c r="B392" s="417"/>
      <c r="C392" s="173">
        <v>382</v>
      </c>
      <c r="D392" s="165"/>
      <c r="E392" s="174">
        <v>8.9196625610592495E-3</v>
      </c>
      <c r="F392" s="502"/>
      <c r="G392" s="219">
        <f t="shared" si="44"/>
        <v>0.34265114663425322</v>
      </c>
      <c r="H392" s="249">
        <f>H391+(G391*E392*'life-tables-test'!$C$66)</f>
        <v>99.657348853365747</v>
      </c>
      <c r="I392" s="516">
        <f t="shared" si="42"/>
        <v>100</v>
      </c>
      <c r="J392" s="153">
        <f>(G392*0)/(1+cDR)^'Markov Model_b (2)'!cycle</f>
        <v>0</v>
      </c>
      <c r="K392" s="178">
        <f t="shared" si="39"/>
        <v>0.34265114663425322</v>
      </c>
      <c r="L392" s="202">
        <f>(G392*(uPostT))/(1+oDR)^'Markov Model_b (2)'!cycle</f>
        <v>0.10033030399016003</v>
      </c>
      <c r="M392" s="80"/>
      <c r="N392" s="3"/>
      <c r="O392" s="80"/>
      <c r="P392" s="173">
        <v>382</v>
      </c>
      <c r="Q392" s="165"/>
      <c r="R392" s="174">
        <v>8.9196625610592495E-3</v>
      </c>
      <c r="S392" s="502"/>
      <c r="T392" s="219">
        <f t="shared" si="43"/>
        <v>0.32281789060982646</v>
      </c>
      <c r="U392" s="249">
        <f>U391+(T391*R392*'life-tables-test'!$C$66)</f>
        <v>99.677182109390174</v>
      </c>
      <c r="V392" s="516">
        <f t="shared" si="40"/>
        <v>100</v>
      </c>
      <c r="W392" s="153">
        <f>(T392*0)/(1+cDR)^'Markov Model_b (2)'!cycle2</f>
        <v>0</v>
      </c>
      <c r="X392" s="178">
        <f t="shared" si="41"/>
        <v>0.32281789060982646</v>
      </c>
      <c r="Y392" s="202">
        <f>(T392*(uPostT))/(1+oDR)^'Markov Model_b (2)'!cycle</f>
        <v>9.452300806953845E-2</v>
      </c>
      <c r="Z392" s="80"/>
      <c r="AA392" s="3"/>
      <c r="AB392" s="3"/>
      <c r="AC392" s="14">
        <v>380</v>
      </c>
      <c r="AD392" s="14"/>
      <c r="AE392" s="14"/>
      <c r="AF392" s="3"/>
      <c r="AG392" s="3"/>
      <c r="AH392" s="3"/>
      <c r="AI392" s="14"/>
      <c r="AJ392" s="14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</row>
    <row r="393" spans="1:47" ht="14.25" customHeight="1" x14ac:dyDescent="0.2">
      <c r="A393" s="3"/>
      <c r="B393" s="417"/>
      <c r="C393" s="173">
        <v>383</v>
      </c>
      <c r="D393" s="165"/>
      <c r="E393" s="174">
        <v>8.9196625610592495E-3</v>
      </c>
      <c r="F393" s="502"/>
      <c r="G393" s="219">
        <f t="shared" si="44"/>
        <v>0.3273694836135661</v>
      </c>
      <c r="H393" s="249">
        <f>H392+(G392*E393*'life-tables-test'!$C$66)</f>
        <v>99.672630516386434</v>
      </c>
      <c r="I393" s="516">
        <f t="shared" si="42"/>
        <v>100</v>
      </c>
      <c r="J393" s="153">
        <f>(G393*0)/(1+cDR)^'Markov Model_b (2)'!cycle</f>
        <v>0</v>
      </c>
      <c r="K393" s="178">
        <f t="shared" si="39"/>
        <v>0.3273694836135661</v>
      </c>
      <c r="L393" s="202">
        <f>(G393*(uPostT))/(1+oDR)^'Markov Model_b (2)'!cycle</f>
        <v>9.5616699959059012E-2</v>
      </c>
      <c r="M393" s="80"/>
      <c r="N393" s="3"/>
      <c r="O393" s="80"/>
      <c r="P393" s="173">
        <v>383</v>
      </c>
      <c r="Q393" s="165"/>
      <c r="R393" s="174">
        <v>8.9196625610592495E-3</v>
      </c>
      <c r="S393" s="502"/>
      <c r="T393" s="219">
        <f t="shared" si="43"/>
        <v>0.3084207573452602</v>
      </c>
      <c r="U393" s="249">
        <f>U392+(T392*R393*'life-tables-test'!$C$66)</f>
        <v>99.69157924265474</v>
      </c>
      <c r="V393" s="516">
        <f t="shared" si="40"/>
        <v>100</v>
      </c>
      <c r="W393" s="153">
        <f>(T393*0)/(1+cDR)^'Markov Model_b (2)'!cycle2</f>
        <v>0</v>
      </c>
      <c r="X393" s="178">
        <f t="shared" si="41"/>
        <v>0.3084207573452602</v>
      </c>
      <c r="Y393" s="202">
        <f>(T393*(uPostT))/(1+oDR)^'Markov Model_b (2)'!cycle</f>
        <v>9.0082235798857532E-2</v>
      </c>
      <c r="Z393" s="80"/>
      <c r="AA393" s="3"/>
      <c r="AB393" s="3"/>
      <c r="AC393" s="14">
        <v>381</v>
      </c>
      <c r="AD393" s="14"/>
      <c r="AE393" s="14"/>
      <c r="AF393" s="3"/>
      <c r="AG393" s="3"/>
      <c r="AH393" s="3"/>
      <c r="AI393" s="14"/>
      <c r="AJ393" s="14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</row>
    <row r="394" spans="1:47" ht="14.25" customHeight="1" x14ac:dyDescent="0.2">
      <c r="A394" s="3"/>
      <c r="B394" s="417"/>
      <c r="C394" s="173">
        <v>384</v>
      </c>
      <c r="D394" s="165"/>
      <c r="E394" s="174">
        <v>8.9196625610592495E-3</v>
      </c>
      <c r="F394" s="502"/>
      <c r="G394" s="219">
        <f t="shared" si="44"/>
        <v>0.31276935698045349</v>
      </c>
      <c r="H394" s="249">
        <f>H393+(G393*E394*'life-tables-test'!$C$66)</f>
        <v>99.687230643019547</v>
      </c>
      <c r="I394" s="516">
        <f t="shared" si="42"/>
        <v>100</v>
      </c>
      <c r="J394" s="153">
        <f>(G394*0)/(1+cDR)^'Markov Model_b (2)'!cycle</f>
        <v>0</v>
      </c>
      <c r="K394" s="178">
        <f t="shared" si="39"/>
        <v>0.31276935698045349</v>
      </c>
      <c r="L394" s="202">
        <f>(G394*(uPostT))/(1+oDR)^'Markov Model_b (2)'!cycle</f>
        <v>9.1124545102117524E-2</v>
      </c>
      <c r="M394" s="80"/>
      <c r="N394" s="3"/>
      <c r="O394" s="80"/>
      <c r="P394" s="173">
        <v>384</v>
      </c>
      <c r="Q394" s="165"/>
      <c r="R394" s="174">
        <v>8.9196625610592495E-3</v>
      </c>
      <c r="S394" s="502"/>
      <c r="T394" s="219">
        <f t="shared" si="43"/>
        <v>0.29466571193353275</v>
      </c>
      <c r="U394" s="249">
        <f>U393+(T393*R394*'life-tables-test'!$C$66)</f>
        <v>99.705334288066467</v>
      </c>
      <c r="V394" s="516">
        <f t="shared" si="40"/>
        <v>100</v>
      </c>
      <c r="W394" s="153">
        <f>(T394*0)/(1+cDR)^'Markov Model_b (2)'!cycle2</f>
        <v>0</v>
      </c>
      <c r="X394" s="178">
        <f t="shared" si="41"/>
        <v>0.29466571193353275</v>
      </c>
      <c r="Y394" s="202">
        <f>(T394*(uPostT))/(1+oDR)^'Markov Model_b (2)'!cycle</f>
        <v>8.5850094831421891E-2</v>
      </c>
      <c r="Z394" s="80"/>
      <c r="AA394" s="3"/>
      <c r="AB394" s="3"/>
      <c r="AC394" s="14">
        <v>382</v>
      </c>
      <c r="AD394" s="14"/>
      <c r="AE394" s="14"/>
      <c r="AF394" s="3"/>
      <c r="AG394" s="3"/>
      <c r="AH394" s="3"/>
      <c r="AI394" s="14"/>
      <c r="AJ394" s="14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</row>
    <row r="395" spans="1:47" ht="14.25" customHeight="1" x14ac:dyDescent="0.2">
      <c r="A395" s="3"/>
      <c r="B395" s="417"/>
      <c r="C395" s="173">
        <v>385</v>
      </c>
      <c r="D395" s="504"/>
      <c r="E395" s="174">
        <v>8.9196625610592495E-3</v>
      </c>
      <c r="F395" s="505"/>
      <c r="G395" s="219">
        <f t="shared" si="44"/>
        <v>0.29882037136192707</v>
      </c>
      <c r="H395" s="249">
        <f>H394+(G394*E395*'life-tables-test'!$C$66)</f>
        <v>99.701179628638073</v>
      </c>
      <c r="I395" s="516">
        <f t="shared" si="42"/>
        <v>100</v>
      </c>
      <c r="J395" s="180">
        <f>(G395*0)/(1+cDR)^'Markov Model_b (2)'!cycle</f>
        <v>0</v>
      </c>
      <c r="K395" s="176">
        <f t="shared" si="39"/>
        <v>0.29882037136192707</v>
      </c>
      <c r="L395" s="202">
        <f>(G395*(uPostT))/(1+oDR)^'Markov Model_b (2)'!cycle</f>
        <v>8.6843435546546374E-2</v>
      </c>
      <c r="M395" s="80"/>
      <c r="N395" s="3"/>
      <c r="O395" s="80"/>
      <c r="P395" s="173">
        <v>385</v>
      </c>
      <c r="Q395" s="504"/>
      <c r="R395" s="174">
        <v>8.9196625610592495E-3</v>
      </c>
      <c r="S395" s="505"/>
      <c r="T395" s="219">
        <f t="shared" si="43"/>
        <v>0.2815241183397319</v>
      </c>
      <c r="U395" s="249">
        <f>U394+(T394*R395*'life-tables-test'!$C$66)</f>
        <v>99.718475881660268</v>
      </c>
      <c r="V395" s="516">
        <f t="shared" si="40"/>
        <v>100</v>
      </c>
      <c r="W395" s="180">
        <f>(T395*0)/(1+cDR)^'Markov Model_b (2)'!cycle2</f>
        <v>0</v>
      </c>
      <c r="X395" s="176">
        <f t="shared" si="41"/>
        <v>0.2815241183397319</v>
      </c>
      <c r="Y395" s="202">
        <f>(T395*(uPostT))/(1+oDR)^'Markov Model_b (2)'!cycle</f>
        <v>8.1816783489044961E-2</v>
      </c>
      <c r="Z395" s="80"/>
      <c r="AA395" s="3"/>
      <c r="AB395" s="3"/>
      <c r="AC395" s="14">
        <v>383</v>
      </c>
      <c r="AD395" s="14"/>
      <c r="AE395" s="14"/>
      <c r="AF395" s="3"/>
      <c r="AG395" s="3"/>
      <c r="AH395" s="3"/>
      <c r="AI395" s="14"/>
      <c r="AJ395" s="14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</row>
    <row r="396" spans="1:47" ht="14.25" customHeight="1" x14ac:dyDescent="0.25">
      <c r="A396" s="3">
        <v>34</v>
      </c>
      <c r="B396" s="417"/>
      <c r="C396" s="506">
        <v>386</v>
      </c>
      <c r="D396" s="506"/>
      <c r="E396" s="507">
        <v>8.9196625610592495E-3</v>
      </c>
      <c r="F396" s="508"/>
      <c r="G396" s="509">
        <f t="shared" si="44"/>
        <v>0.28549348696734</v>
      </c>
      <c r="H396" s="510">
        <f>H395+(G395*E396*'life-tables-test'!$C$66)</f>
        <v>99.71450651303266</v>
      </c>
      <c r="I396" s="518">
        <f t="shared" si="42"/>
        <v>100</v>
      </c>
      <c r="J396" s="511">
        <f>(G396*0)/(1+cDR)^'Markov Model_b (2)'!cycle</f>
        <v>0</v>
      </c>
      <c r="K396" s="512">
        <f t="shared" si="39"/>
        <v>0.28549348696734</v>
      </c>
      <c r="L396" s="513">
        <f>(G396*(uPostT))/(1+oDR)^'Markov Model_b (2)'!cycle</f>
        <v>8.2763456202450805E-2</v>
      </c>
      <c r="M396" s="80"/>
      <c r="N396" s="3"/>
      <c r="O396" s="80"/>
      <c r="P396" s="506">
        <v>386</v>
      </c>
      <c r="Q396" s="506"/>
      <c r="R396" s="507">
        <v>8.9196625610592495E-3</v>
      </c>
      <c r="S396" s="508"/>
      <c r="T396" s="509">
        <f t="shared" si="43"/>
        <v>0.26896861764778635</v>
      </c>
      <c r="U396" s="510">
        <f>U395+(T395*R396*'life-tables-test'!$C$66)</f>
        <v>99.731031382352214</v>
      </c>
      <c r="V396" s="518">
        <f t="shared" si="40"/>
        <v>100</v>
      </c>
      <c r="W396" s="511">
        <f>(T396*0)/(1+cDR)^'Markov Model_b (2)'!cycle2</f>
        <v>0</v>
      </c>
      <c r="X396" s="512">
        <f t="shared" si="41"/>
        <v>0.26896861764778635</v>
      </c>
      <c r="Y396" s="513">
        <f>(T396*(uPostT))/(1+oDR)^'Markov Model_b (2)'!cycle</f>
        <v>7.7972960584816772E-2</v>
      </c>
      <c r="Z396" s="80"/>
      <c r="AA396" s="3"/>
      <c r="AB396" s="3"/>
      <c r="AC396" s="14">
        <v>384</v>
      </c>
      <c r="AD396" s="14"/>
      <c r="AE396" s="14"/>
      <c r="AF396" s="3"/>
      <c r="AG396" s="3"/>
      <c r="AH396" s="3"/>
      <c r="AI396" s="14"/>
      <c r="AJ396" s="14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</row>
    <row r="397" spans="1:47" ht="14.25" customHeight="1" x14ac:dyDescent="0.2">
      <c r="A397" s="3"/>
      <c r="B397" s="417"/>
      <c r="C397" s="173">
        <v>387</v>
      </c>
      <c r="D397" s="165"/>
      <c r="E397" s="174">
        <v>1.0042812600308371E-2</v>
      </c>
      <c r="F397" s="502"/>
      <c r="G397" s="219">
        <f t="shared" si="44"/>
        <v>0.27115769902623299</v>
      </c>
      <c r="H397" s="249">
        <f>H396+(G396*E397*'life-tables-test'!$C$66)</f>
        <v>99.728842300973767</v>
      </c>
      <c r="I397" s="516">
        <f t="shared" si="42"/>
        <v>100</v>
      </c>
      <c r="J397" s="153">
        <f>(G397*0)/(1+cDR)^'Markov Model_b (2)'!cycle</f>
        <v>0</v>
      </c>
      <c r="K397" s="178">
        <f t="shared" si="39"/>
        <v>0.27115769902623299</v>
      </c>
      <c r="L397" s="202">
        <f>(G397*(uPostT))/(1+oDR)^'Markov Model_b (2)'!cycle</f>
        <v>7.8411537953591876E-2</v>
      </c>
      <c r="M397" s="80"/>
      <c r="N397" s="3"/>
      <c r="O397" s="80"/>
      <c r="P397" s="173">
        <v>387</v>
      </c>
      <c r="Q397" s="165"/>
      <c r="R397" s="174">
        <v>1.0042812600308371E-2</v>
      </c>
      <c r="S397" s="502"/>
      <c r="T397" s="219">
        <f t="shared" si="43"/>
        <v>0.25546261053578689</v>
      </c>
      <c r="U397" s="249">
        <f>U396+(T396*R397*'life-tables-test'!$C$66)</f>
        <v>99.744537389464213</v>
      </c>
      <c r="V397" s="516">
        <f t="shared" si="40"/>
        <v>100</v>
      </c>
      <c r="W397" s="153">
        <f>(T397*0)/(1+cDR)^'Markov Model_b (2)'!cycle2</f>
        <v>0</v>
      </c>
      <c r="X397" s="178">
        <f t="shared" si="41"/>
        <v>0.25546261053578689</v>
      </c>
      <c r="Y397" s="202">
        <f>(T397*(uPostT))/(1+oDR)^'Markov Model_b (2)'!cycle</f>
        <v>7.3872939081890507E-2</v>
      </c>
      <c r="Z397" s="80"/>
      <c r="AA397" s="3"/>
      <c r="AB397" s="3"/>
      <c r="AC397" s="14">
        <v>385</v>
      </c>
      <c r="AD397" s="14"/>
      <c r="AE397" s="14"/>
      <c r="AF397" s="3"/>
      <c r="AG397" s="3"/>
      <c r="AH397" s="3"/>
      <c r="AI397" s="14"/>
      <c r="AJ397" s="14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</row>
    <row r="398" spans="1:47" ht="14.25" customHeight="1" x14ac:dyDescent="0.2">
      <c r="A398" s="3"/>
      <c r="B398" s="417"/>
      <c r="C398" s="173">
        <v>388</v>
      </c>
      <c r="D398" s="165"/>
      <c r="E398" s="174">
        <v>1.0042812600308371E-2</v>
      </c>
      <c r="F398" s="502"/>
      <c r="G398" s="219">
        <f t="shared" si="44"/>
        <v>0.25754176924397143</v>
      </c>
      <c r="H398" s="249">
        <f>H397+(G397*E398*'life-tables-test'!$C$66)</f>
        <v>99.742458230756029</v>
      </c>
      <c r="I398" s="516">
        <f t="shared" si="42"/>
        <v>100</v>
      </c>
      <c r="J398" s="153">
        <f>(G398*0)/(1+cDR)^'Markov Model_b (2)'!cycle</f>
        <v>0</v>
      </c>
      <c r="K398" s="178">
        <f t="shared" si="39"/>
        <v>0.25754176924397143</v>
      </c>
      <c r="L398" s="202">
        <f>(G398*(uPostT))/(1+oDR)^'Markov Model_b (2)'!cycle</f>
        <v>7.4288454909467255E-2</v>
      </c>
      <c r="M398" s="80"/>
      <c r="N398" s="3"/>
      <c r="O398" s="80"/>
      <c r="P398" s="173">
        <v>388</v>
      </c>
      <c r="Q398" s="165"/>
      <c r="R398" s="174">
        <v>1.0042812600308371E-2</v>
      </c>
      <c r="S398" s="502"/>
      <c r="T398" s="219">
        <f t="shared" si="43"/>
        <v>0.24263479491580142</v>
      </c>
      <c r="U398" s="249">
        <f>U397+(T397*R398*'life-tables-test'!$C$66)</f>
        <v>99.757365205084199</v>
      </c>
      <c r="V398" s="516">
        <f t="shared" si="40"/>
        <v>100</v>
      </c>
      <c r="W398" s="153">
        <f>(T398*0)/(1+cDR)^'Markov Model_b (2)'!cycle2</f>
        <v>0</v>
      </c>
      <c r="X398" s="178">
        <f t="shared" si="41"/>
        <v>0.24263479491580142</v>
      </c>
      <c r="Y398" s="202">
        <f>(T398*(uPostT))/(1+oDR)^'Markov Model_b (2)'!cycle</f>
        <v>6.9988507396231928E-2</v>
      </c>
      <c r="Z398" s="80"/>
      <c r="AA398" s="3"/>
      <c r="AB398" s="3"/>
      <c r="AC398" s="14">
        <v>386</v>
      </c>
      <c r="AD398" s="14"/>
      <c r="AE398" s="14"/>
      <c r="AF398" s="3"/>
      <c r="AG398" s="3"/>
      <c r="AH398" s="3"/>
      <c r="AI398" s="14"/>
      <c r="AJ398" s="14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</row>
    <row r="399" spans="1:47" ht="14.25" customHeight="1" x14ac:dyDescent="0.2">
      <c r="A399" s="3"/>
      <c r="B399" s="417"/>
      <c r="C399" s="173">
        <v>389</v>
      </c>
      <c r="D399" s="165"/>
      <c r="E399" s="174">
        <v>1.0042812600308371E-2</v>
      </c>
      <c r="F399" s="502"/>
      <c r="G399" s="219">
        <f t="shared" si="44"/>
        <v>0.2446095506176249</v>
      </c>
      <c r="H399" s="249">
        <f>H398+(G398*E399*'life-tables-test'!$C$66)</f>
        <v>99.755390449382375</v>
      </c>
      <c r="I399" s="516">
        <f t="shared" si="42"/>
        <v>100</v>
      </c>
      <c r="J399" s="153">
        <f>(G399*0)/(1+cDR)^'Markov Model_b (2)'!cycle</f>
        <v>0</v>
      </c>
      <c r="K399" s="178">
        <f t="shared" si="39"/>
        <v>0.2446095506176249</v>
      </c>
      <c r="L399" s="202">
        <f>(G399*(uPostT))/(1+oDR)^'Markov Model_b (2)'!cycle</f>
        <v>7.0382174318559337E-2</v>
      </c>
      <c r="M399" s="80"/>
      <c r="N399" s="3"/>
      <c r="O399" s="80"/>
      <c r="P399" s="173">
        <v>389</v>
      </c>
      <c r="Q399" s="165"/>
      <c r="R399" s="174">
        <v>1.0042812600308371E-2</v>
      </c>
      <c r="S399" s="502"/>
      <c r="T399" s="219">
        <f t="shared" si="43"/>
        <v>0.23045111603752844</v>
      </c>
      <c r="U399" s="249">
        <f>U398+(T398*R399*'life-tables-test'!$C$66)</f>
        <v>99.769548883962472</v>
      </c>
      <c r="V399" s="516">
        <f t="shared" si="40"/>
        <v>100</v>
      </c>
      <c r="W399" s="153">
        <f>(T399*0)/(1+cDR)^'Markov Model_b (2)'!cycle2</f>
        <v>0</v>
      </c>
      <c r="X399" s="178">
        <f t="shared" si="41"/>
        <v>0.23045111603752844</v>
      </c>
      <c r="Y399" s="202">
        <f>(T399*(uPostT))/(1+oDR)^'Markov Model_b (2)'!cycle</f>
        <v>6.630832925331899E-2</v>
      </c>
      <c r="Z399" s="80"/>
      <c r="AA399" s="3"/>
      <c r="AB399" s="3"/>
      <c r="AC399" s="14">
        <v>387</v>
      </c>
      <c r="AD399" s="3"/>
      <c r="AE399" s="3"/>
      <c r="AF399" s="3"/>
      <c r="AG399" s="3"/>
      <c r="AH399" s="3"/>
      <c r="AI399" s="14"/>
      <c r="AJ399" s="14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</row>
    <row r="400" spans="1:47" ht="14.25" customHeight="1" x14ac:dyDescent="0.2">
      <c r="A400" s="3"/>
      <c r="B400" s="417"/>
      <c r="C400" s="173">
        <v>390</v>
      </c>
      <c r="D400" s="165"/>
      <c r="E400" s="174">
        <v>1.0042812600308371E-2</v>
      </c>
      <c r="F400" s="502"/>
      <c r="G400" s="219">
        <f t="shared" si="44"/>
        <v>0.23232671123213322</v>
      </c>
      <c r="H400" s="249">
        <f>H399+(G399*E400*'life-tables-test'!$C$66)</f>
        <v>99.767673288767867</v>
      </c>
      <c r="I400" s="516">
        <f t="shared" si="42"/>
        <v>100</v>
      </c>
      <c r="J400" s="153">
        <f>(G400*0)/(1+cDR)^'Markov Model_b (2)'!cycle</f>
        <v>0</v>
      </c>
      <c r="K400" s="178">
        <f t="shared" si="39"/>
        <v>0.23232671123213322</v>
      </c>
      <c r="L400" s="202">
        <f>(G400*(uPostT))/(1+oDR)^'Markov Model_b (2)'!cycle</f>
        <v>6.668129614278491E-2</v>
      </c>
      <c r="M400" s="80"/>
      <c r="N400" s="3"/>
      <c r="O400" s="80"/>
      <c r="P400" s="173">
        <v>390</v>
      </c>
      <c r="Q400" s="165"/>
      <c r="R400" s="174">
        <v>1.0042812600308371E-2</v>
      </c>
      <c r="S400" s="502"/>
      <c r="T400" s="219">
        <f t="shared" si="43"/>
        <v>0.21887922917804303</v>
      </c>
      <c r="U400" s="249">
        <f>U399+(T399*R400*'life-tables-test'!$C$66)</f>
        <v>99.781120770821957</v>
      </c>
      <c r="V400" s="516">
        <f t="shared" si="40"/>
        <v>100</v>
      </c>
      <c r="W400" s="153">
        <f>(T400*0)/(1+cDR)^'Markov Model_b (2)'!cycle2</f>
        <v>0</v>
      </c>
      <c r="X400" s="178">
        <f t="shared" si="41"/>
        <v>0.21887922917804303</v>
      </c>
      <c r="Y400" s="202">
        <f>(T400*(uPostT))/(1+oDR)^'Markov Model_b (2)'!cycle</f>
        <v>6.282166446949175E-2</v>
      </c>
      <c r="Z400" s="80"/>
      <c r="AA400" s="3"/>
      <c r="AB400" s="3"/>
      <c r="AC400" s="14">
        <v>388</v>
      </c>
      <c r="AD400" s="3"/>
      <c r="AE400" s="3"/>
      <c r="AF400" s="3"/>
      <c r="AG400" s="3"/>
      <c r="AH400" s="3"/>
      <c r="AI400" s="14"/>
      <c r="AJ400" s="14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</row>
    <row r="401" spans="1:47" ht="14.25" customHeight="1" x14ac:dyDescent="0.2">
      <c r="A401" s="3"/>
      <c r="B401" s="417"/>
      <c r="C401" s="173">
        <v>391</v>
      </c>
      <c r="D401" s="165"/>
      <c r="E401" s="174">
        <v>1.0042812600308371E-2</v>
      </c>
      <c r="F401" s="502"/>
      <c r="G401" s="219">
        <f t="shared" si="44"/>
        <v>0.22066064311738387</v>
      </c>
      <c r="H401" s="249">
        <f>H400+(G400*E401*'life-tables-test'!$C$66)</f>
        <v>99.779339356882616</v>
      </c>
      <c r="I401" s="516">
        <f t="shared" si="42"/>
        <v>100</v>
      </c>
      <c r="J401" s="153">
        <f>(G401*0)/(1+cDR)^'Markov Model_b (2)'!cycle</f>
        <v>0</v>
      </c>
      <c r="K401" s="178">
        <f t="shared" si="39"/>
        <v>0.22066064311738387</v>
      </c>
      <c r="L401" s="202">
        <f>(G401*(uPostT))/(1+oDR)^'Markov Model_b (2)'!cycle</f>
        <v>6.3175019787777772E-2</v>
      </c>
      <c r="M401" s="80"/>
      <c r="N401" s="3"/>
      <c r="O401" s="80"/>
      <c r="P401" s="173">
        <v>391</v>
      </c>
      <c r="Q401" s="165"/>
      <c r="R401" s="174">
        <v>1.0042812600308371E-2</v>
      </c>
      <c r="S401" s="502"/>
      <c r="T401" s="219">
        <f t="shared" si="43"/>
        <v>0.20788841377436995</v>
      </c>
      <c r="U401" s="249">
        <f>U400+(T400*R401*'life-tables-test'!$C$66)</f>
        <v>99.79211158622563</v>
      </c>
      <c r="V401" s="516">
        <f t="shared" si="40"/>
        <v>100</v>
      </c>
      <c r="W401" s="153">
        <f>(T401*0)/(1+cDR)^'Markov Model_b (2)'!cycle2</f>
        <v>0</v>
      </c>
      <c r="X401" s="178">
        <f t="shared" si="41"/>
        <v>0.20788841377436995</v>
      </c>
      <c r="Y401" s="202">
        <f>(T401*(uPostT))/(1+oDR)^'Markov Model_b (2)'!cycle</f>
        <v>5.9518337607939724E-2</v>
      </c>
      <c r="Z401" s="80"/>
      <c r="AA401" s="3"/>
      <c r="AB401" s="3"/>
      <c r="AC401" s="3"/>
      <c r="AD401" s="3"/>
      <c r="AE401" s="3"/>
      <c r="AF401" s="3"/>
      <c r="AG401" s="3"/>
      <c r="AH401" s="3"/>
      <c r="AI401" s="14"/>
      <c r="AJ401" s="14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</row>
    <row r="402" spans="1:47" ht="14.25" customHeight="1" x14ac:dyDescent="0.2">
      <c r="A402" s="3"/>
      <c r="B402" s="417"/>
      <c r="C402" s="173">
        <v>392</v>
      </c>
      <c r="D402" s="165"/>
      <c r="E402" s="174">
        <v>1.0042812600308371E-2</v>
      </c>
      <c r="F402" s="502"/>
      <c r="G402" s="219">
        <f t="shared" si="44"/>
        <v>0.20958037568192367</v>
      </c>
      <c r="H402" s="249">
        <f>H401+(G401*E402*'life-tables-test'!$C$66)</f>
        <v>99.790419624318076</v>
      </c>
      <c r="I402" s="516">
        <f t="shared" si="42"/>
        <v>100</v>
      </c>
      <c r="J402" s="153">
        <f>(G402*0)/(1+cDR)^'Markov Model_b (2)'!cycle</f>
        <v>0</v>
      </c>
      <c r="K402" s="178">
        <f t="shared" si="39"/>
        <v>0.20958037568192367</v>
      </c>
      <c r="L402" s="202">
        <f>(G402*(uPostT))/(1+oDR)^'Markov Model_b (2)'!cycle</f>
        <v>5.9853112582573295E-2</v>
      </c>
      <c r="M402" s="80"/>
      <c r="N402" s="3"/>
      <c r="O402" s="80"/>
      <c r="P402" s="173">
        <v>392</v>
      </c>
      <c r="Q402" s="165"/>
      <c r="R402" s="174">
        <v>1.0042812600308371E-2</v>
      </c>
      <c r="S402" s="502"/>
      <c r="T402" s="219">
        <f t="shared" si="43"/>
        <v>0.19744949186781469</v>
      </c>
      <c r="U402" s="249">
        <f>U401+(T401*R402*'life-tables-test'!$C$66)</f>
        <v>99.802550508132185</v>
      </c>
      <c r="V402" s="516">
        <f t="shared" si="40"/>
        <v>100</v>
      </c>
      <c r="W402" s="153">
        <f>(T402*0)/(1+cDR)^'Markov Model_b (2)'!cycle2</f>
        <v>0</v>
      </c>
      <c r="X402" s="178">
        <f t="shared" si="41"/>
        <v>0.19744949186781469</v>
      </c>
      <c r="Y402" s="202">
        <f>(T402*(uPostT))/(1+oDR)^'Markov Model_b (2)'!cycle</f>
        <v>5.6388708282840934E-2</v>
      </c>
      <c r="Z402" s="80"/>
      <c r="AA402" s="3"/>
      <c r="AB402" s="3"/>
      <c r="AC402" s="3"/>
      <c r="AD402" s="3"/>
      <c r="AE402" s="3"/>
      <c r="AF402" s="3"/>
      <c r="AG402" s="3"/>
      <c r="AH402" s="3"/>
      <c r="AI402" s="14"/>
      <c r="AJ402" s="14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</row>
    <row r="403" spans="1:47" ht="14.25" customHeight="1" x14ac:dyDescent="0.2">
      <c r="A403" s="3"/>
      <c r="B403" s="417"/>
      <c r="C403" s="173">
        <v>393</v>
      </c>
      <c r="D403" s="165"/>
      <c r="E403" s="174">
        <v>1.0042812600308371E-2</v>
      </c>
      <c r="F403" s="502"/>
      <c r="G403" s="219">
        <f t="shared" si="44"/>
        <v>0.19905649349354348</v>
      </c>
      <c r="H403" s="249">
        <f>H402+(G402*E403*'life-tables-test'!$C$66)</f>
        <v>99.800943506506457</v>
      </c>
      <c r="I403" s="516">
        <f t="shared" si="42"/>
        <v>100</v>
      </c>
      <c r="J403" s="153">
        <f>(G403*0)/(1+cDR)^'Markov Model_b (2)'!cycle</f>
        <v>0</v>
      </c>
      <c r="K403" s="178">
        <f t="shared" si="39"/>
        <v>0.19905649349354348</v>
      </c>
      <c r="L403" s="202">
        <f>(G403*(uPostT))/(1+oDR)^'Markov Model_b (2)'!cycle</f>
        <v>5.6705879916721422E-2</v>
      </c>
      <c r="M403" s="80"/>
      <c r="N403" s="3"/>
      <c r="O403" s="80"/>
      <c r="P403" s="173">
        <v>393</v>
      </c>
      <c r="Q403" s="165"/>
      <c r="R403" s="174">
        <v>1.0042812600308371E-2</v>
      </c>
      <c r="S403" s="502"/>
      <c r="T403" s="219">
        <f t="shared" si="43"/>
        <v>0.18753475064353609</v>
      </c>
      <c r="U403" s="249">
        <f>U402+(T402*R403*'life-tables-test'!$C$66)</f>
        <v>99.812465249356464</v>
      </c>
      <c r="V403" s="516">
        <f t="shared" si="40"/>
        <v>100</v>
      </c>
      <c r="W403" s="153">
        <f>(T403*0)/(1+cDR)^'Markov Model_b (2)'!cycle2</f>
        <v>0</v>
      </c>
      <c r="X403" s="178">
        <f t="shared" si="41"/>
        <v>0.18753475064353609</v>
      </c>
      <c r="Y403" s="202">
        <f>(T403*(uPostT))/(1+oDR)^'Markov Model_b (2)'!cycle</f>
        <v>5.3423643024986693E-2</v>
      </c>
      <c r="Z403" s="80"/>
      <c r="AA403" s="3"/>
      <c r="AB403" s="3"/>
      <c r="AC403" s="3"/>
      <c r="AD403" s="3"/>
      <c r="AE403" s="3"/>
      <c r="AF403" s="3"/>
      <c r="AG403" s="3"/>
      <c r="AH403" s="3"/>
      <c r="AI403" s="14"/>
      <c r="AJ403" s="14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</row>
    <row r="404" spans="1:47" ht="14.25" customHeight="1" x14ac:dyDescent="0.2">
      <c r="A404" s="3"/>
      <c r="B404" s="417"/>
      <c r="C404" s="173">
        <v>394</v>
      </c>
      <c r="D404" s="165"/>
      <c r="E404" s="174">
        <v>1.0042812600308371E-2</v>
      </c>
      <c r="F404" s="502"/>
      <c r="G404" s="219">
        <f t="shared" si="44"/>
        <v>0.18906105818838626</v>
      </c>
      <c r="H404" s="249">
        <f>H403+(G403*E404*'life-tables-test'!$C$66)</f>
        <v>99.810938941811614</v>
      </c>
      <c r="I404" s="516">
        <f t="shared" si="42"/>
        <v>100</v>
      </c>
      <c r="J404" s="153">
        <f>(G404*0)/(1+cDR)^'Markov Model_b (2)'!cycle</f>
        <v>0</v>
      </c>
      <c r="K404" s="178">
        <f t="shared" si="39"/>
        <v>0.18906105818838626</v>
      </c>
      <c r="L404" s="202">
        <f>(G404*(uPostT))/(1+oDR)^'Markov Model_b (2)'!cycle</f>
        <v>5.372413694765435E-2</v>
      </c>
      <c r="M404" s="80"/>
      <c r="N404" s="3"/>
      <c r="O404" s="80"/>
      <c r="P404" s="173">
        <v>394</v>
      </c>
      <c r="Q404" s="165"/>
      <c r="R404" s="174">
        <v>1.0042812600308371E-2</v>
      </c>
      <c r="S404" s="502"/>
      <c r="T404" s="219">
        <f t="shared" si="43"/>
        <v>0.17811786885974357</v>
      </c>
      <c r="U404" s="249">
        <f>U403+(T403*R404*'life-tables-test'!$C$66)</f>
        <v>99.821882131140256</v>
      </c>
      <c r="V404" s="516">
        <f t="shared" si="40"/>
        <v>100</v>
      </c>
      <c r="W404" s="153">
        <f>(T404*0)/(1+cDR)^'Markov Model_b (2)'!cycle2</f>
        <v>0</v>
      </c>
      <c r="X404" s="178">
        <f t="shared" si="41"/>
        <v>0.17811786885974357</v>
      </c>
      <c r="Y404" s="202">
        <f>(T404*(uPostT))/(1+oDR)^'Markov Model_b (2)'!cycle</f>
        <v>5.0614488626791278E-2</v>
      </c>
      <c r="Z404" s="80"/>
      <c r="AA404" s="3"/>
      <c r="AB404" s="3"/>
      <c r="AC404" s="3"/>
      <c r="AD404" s="3"/>
      <c r="AE404" s="3"/>
      <c r="AF404" s="3"/>
      <c r="AG404" s="3"/>
      <c r="AH404" s="3"/>
      <c r="AI404" s="14"/>
      <c r="AJ404" s="14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</row>
    <row r="405" spans="1:47" ht="14.25" customHeight="1" x14ac:dyDescent="0.2">
      <c r="A405" s="3"/>
      <c r="B405" s="417"/>
      <c r="C405" s="173">
        <v>395</v>
      </c>
      <c r="D405" s="165"/>
      <c r="E405" s="174">
        <v>1.0042812600308371E-2</v>
      </c>
      <c r="F405" s="502"/>
      <c r="G405" s="219">
        <f t="shared" si="44"/>
        <v>0.17956753430136985</v>
      </c>
      <c r="H405" s="249">
        <f>H404+(G404*E405*'life-tables-test'!$C$66)</f>
        <v>99.82043246569863</v>
      </c>
      <c r="I405" s="516">
        <f t="shared" si="42"/>
        <v>100</v>
      </c>
      <c r="J405" s="153">
        <f>(G405*0)/(1+cDR)^'Markov Model_b (2)'!cycle</f>
        <v>0</v>
      </c>
      <c r="K405" s="178">
        <f t="shared" si="39"/>
        <v>0.17956753430136985</v>
      </c>
      <c r="L405" s="202">
        <f>(G405*(uPostT))/(1+oDR)^'Markov Model_b (2)'!cycle</f>
        <v>5.0899181795770083E-2</v>
      </c>
      <c r="M405" s="80"/>
      <c r="N405" s="3"/>
      <c r="O405" s="80"/>
      <c r="P405" s="173">
        <v>395</v>
      </c>
      <c r="Q405" s="165"/>
      <c r="R405" s="174">
        <v>1.0042812600308371E-2</v>
      </c>
      <c r="S405" s="502"/>
      <c r="T405" s="219">
        <f t="shared" si="43"/>
        <v>0.1691738469711197</v>
      </c>
      <c r="U405" s="249">
        <f>U404+(T404*R405*'life-tables-test'!$C$66)</f>
        <v>99.83082615302888</v>
      </c>
      <c r="V405" s="516">
        <f t="shared" si="40"/>
        <v>100</v>
      </c>
      <c r="W405" s="153">
        <f>(T405*0)/(1+cDR)^'Markov Model_b (2)'!cycle2</f>
        <v>0</v>
      </c>
      <c r="X405" s="178">
        <f t="shared" si="41"/>
        <v>0.1691738469711197</v>
      </c>
      <c r="Y405" s="202">
        <f>(T405*(uPostT))/(1+oDR)^'Markov Model_b (2)'!cycle</f>
        <v>4.7953046888872496E-2</v>
      </c>
      <c r="Z405" s="80"/>
      <c r="AA405" s="3"/>
      <c r="AB405" s="3"/>
      <c r="AC405" s="3"/>
      <c r="AD405" s="3"/>
      <c r="AE405" s="3"/>
      <c r="AF405" s="3"/>
      <c r="AG405" s="3"/>
      <c r="AH405" s="3"/>
      <c r="AI405" s="14"/>
      <c r="AJ405" s="14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</row>
    <row r="406" spans="1:47" ht="14.25" customHeight="1" x14ac:dyDescent="0.2">
      <c r="A406" s="3"/>
      <c r="B406" s="417"/>
      <c r="C406" s="173">
        <v>396</v>
      </c>
      <c r="D406" s="165"/>
      <c r="E406" s="174">
        <v>1.0042812600308371E-2</v>
      </c>
      <c r="F406" s="502"/>
      <c r="G406" s="219">
        <f t="shared" si="44"/>
        <v>0.17055071882093387</v>
      </c>
      <c r="H406" s="249">
        <f>H405+(G405*E406*'life-tables-test'!$C$66)</f>
        <v>99.829449281179066</v>
      </c>
      <c r="I406" s="516">
        <f t="shared" si="42"/>
        <v>100</v>
      </c>
      <c r="J406" s="153">
        <f>(G406*0)/(1+cDR)^'Markov Model_b (2)'!cycle</f>
        <v>0</v>
      </c>
      <c r="K406" s="178">
        <f t="shared" si="39"/>
        <v>0.17055071882093387</v>
      </c>
      <c r="L406" s="202">
        <f>(G406*(uPostT))/(1+oDR)^'Markov Model_b (2)'!cycle</f>
        <v>4.8222770148979174E-2</v>
      </c>
      <c r="M406" s="80"/>
      <c r="N406" s="3"/>
      <c r="O406" s="80"/>
      <c r="P406" s="173">
        <v>396</v>
      </c>
      <c r="Q406" s="165"/>
      <c r="R406" s="174">
        <v>1.0042812600308371E-2</v>
      </c>
      <c r="S406" s="502"/>
      <c r="T406" s="219">
        <f t="shared" si="43"/>
        <v>0.16067894076110179</v>
      </c>
      <c r="U406" s="249">
        <f>U405+(T405*R406*'life-tables-test'!$C$66)</f>
        <v>99.839321059238898</v>
      </c>
      <c r="V406" s="516">
        <f t="shared" si="40"/>
        <v>100</v>
      </c>
      <c r="W406" s="153">
        <f>(T406*0)/(1+cDR)^'Markov Model_b (2)'!cycle2</f>
        <v>0</v>
      </c>
      <c r="X406" s="178">
        <f t="shared" si="41"/>
        <v>0.16067894076110179</v>
      </c>
      <c r="Y406" s="202">
        <f>(T406*(uPostT))/(1+oDR)^'Markov Model_b (2)'!cycle</f>
        <v>4.5431550694543278E-2</v>
      </c>
      <c r="Z406" s="80"/>
      <c r="AA406" s="3"/>
      <c r="AB406" s="3"/>
      <c r="AC406" s="3"/>
      <c r="AD406" s="3"/>
      <c r="AE406" s="3"/>
      <c r="AF406" s="3"/>
      <c r="AG406" s="3"/>
      <c r="AH406" s="3"/>
      <c r="AI406" s="14"/>
      <c r="AJ406" s="14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</row>
    <row r="407" spans="1:47" ht="14.25" customHeight="1" x14ac:dyDescent="0.2">
      <c r="A407" s="3"/>
      <c r="B407" s="417"/>
      <c r="C407" s="173">
        <v>397</v>
      </c>
      <c r="D407" s="504"/>
      <c r="E407" s="174">
        <v>1.0042812600308371E-2</v>
      </c>
      <c r="F407" s="505"/>
      <c r="G407" s="219">
        <f t="shared" si="44"/>
        <v>0.16198667428109559</v>
      </c>
      <c r="H407" s="249">
        <f>H406+(G406*E407*'life-tables-test'!$C$66)</f>
        <v>99.838013325718904</v>
      </c>
      <c r="I407" s="516">
        <f t="shared" si="42"/>
        <v>100</v>
      </c>
      <c r="J407" s="180">
        <f>(G407*0)/(1+cDR)^'Markov Model_b (2)'!cycle</f>
        <v>0</v>
      </c>
      <c r="K407" s="176">
        <f t="shared" si="39"/>
        <v>0.16198667428109559</v>
      </c>
      <c r="L407" s="202">
        <f>(G407*(uPostT))/(1+oDR)^'Markov Model_b (2)'!cycle</f>
        <v>4.5687091202601358E-2</v>
      </c>
      <c r="M407" s="80"/>
      <c r="N407" s="3"/>
      <c r="O407" s="80"/>
      <c r="P407" s="173">
        <v>397</v>
      </c>
      <c r="Q407" s="504"/>
      <c r="R407" s="174">
        <v>1.0042812600308371E-2</v>
      </c>
      <c r="S407" s="505"/>
      <c r="T407" s="219">
        <f t="shared" si="43"/>
        <v>0.15261059830670831</v>
      </c>
      <c r="U407" s="249">
        <f>U406+(T406*R407*'life-tables-test'!$C$66)</f>
        <v>99.847389401693292</v>
      </c>
      <c r="V407" s="516">
        <f t="shared" si="40"/>
        <v>100</v>
      </c>
      <c r="W407" s="180">
        <f>(T407*0)/(1+cDR)^'Markov Model_b (2)'!cycle2</f>
        <v>0</v>
      </c>
      <c r="X407" s="176">
        <f t="shared" si="41"/>
        <v>0.15261059830670831</v>
      </c>
      <c r="Y407" s="202">
        <f>(T407*(uPostT))/(1+oDR)^'Markov Model_b (2)'!cycle</f>
        <v>4.3042641342355401E-2</v>
      </c>
      <c r="Z407" s="80"/>
      <c r="AA407" s="3"/>
      <c r="AB407" s="3"/>
      <c r="AC407" s="3"/>
      <c r="AD407" s="3"/>
      <c r="AE407" s="3"/>
      <c r="AF407" s="3"/>
      <c r="AG407" s="3"/>
      <c r="AH407" s="3"/>
      <c r="AI407" s="14"/>
      <c r="AJ407" s="14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</row>
    <row r="408" spans="1:47" ht="14.25" customHeight="1" x14ac:dyDescent="0.25">
      <c r="A408" s="3">
        <v>35</v>
      </c>
      <c r="B408" s="417"/>
      <c r="C408" s="506">
        <v>398</v>
      </c>
      <c r="D408" s="506"/>
      <c r="E408" s="507">
        <v>1.0042812600308371E-2</v>
      </c>
      <c r="F408" s="508"/>
      <c r="G408" s="509">
        <f t="shared" si="44"/>
        <v>0.15385266521333563</v>
      </c>
      <c r="H408" s="510">
        <f>H407+(G407*E408*'life-tables-test'!$C$66)</f>
        <v>99.846147334786664</v>
      </c>
      <c r="I408" s="518">
        <f t="shared" si="42"/>
        <v>100</v>
      </c>
      <c r="J408" s="511">
        <f>(G408*0)/(1+cDR)^'Markov Model_b (2)'!cycle</f>
        <v>0</v>
      </c>
      <c r="K408" s="512">
        <f t="shared" si="39"/>
        <v>0.15385266521333563</v>
      </c>
      <c r="L408" s="513">
        <f>(G408*(uPostT))/(1+oDR)^'Markov Model_b (2)'!cycle</f>
        <v>4.3284744864436016E-2</v>
      </c>
      <c r="M408" s="80"/>
      <c r="N408" s="3"/>
      <c r="O408" s="80"/>
      <c r="P408" s="506">
        <v>398</v>
      </c>
      <c r="Q408" s="506"/>
      <c r="R408" s="507">
        <v>1.0042812600308371E-2</v>
      </c>
      <c r="S408" s="508"/>
      <c r="T408" s="509">
        <f t="shared" si="43"/>
        <v>0.14494740010863438</v>
      </c>
      <c r="U408" s="510">
        <f>U407+(T407*R408*'life-tables-test'!$C$66)</f>
        <v>99.855052599891366</v>
      </c>
      <c r="V408" s="518">
        <f t="shared" si="40"/>
        <v>100</v>
      </c>
      <c r="W408" s="511">
        <f>(T408*0)/(1+cDR)^'Markov Model_b (2)'!cycle2</f>
        <v>0</v>
      </c>
      <c r="X408" s="512">
        <f t="shared" si="41"/>
        <v>0.14494740010863438</v>
      </c>
      <c r="Y408" s="513">
        <f>(T408*(uPostT))/(1+oDR)^'Markov Model_b (2)'!cycle</f>
        <v>4.0779347070561807E-2</v>
      </c>
      <c r="Z408" s="80"/>
      <c r="AA408" s="3"/>
      <c r="AB408" s="3"/>
      <c r="AC408" s="3"/>
      <c r="AD408" s="3"/>
      <c r="AE408" s="3"/>
      <c r="AF408" s="3"/>
      <c r="AG408" s="3"/>
      <c r="AH408" s="3"/>
      <c r="AI408" s="14"/>
      <c r="AJ408" s="14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</row>
    <row r="409" spans="1:47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416" t="s">
        <v>244</v>
      </c>
      <c r="K409" s="416" t="s">
        <v>354</v>
      </c>
      <c r="L409" s="416" t="s">
        <v>355</v>
      </c>
      <c r="M409" s="3"/>
      <c r="N409" s="3"/>
      <c r="O409" s="252"/>
      <c r="P409" s="252"/>
      <c r="Q409" s="252"/>
      <c r="R409" s="252"/>
      <c r="S409" s="252"/>
      <c r="T409" s="252"/>
      <c r="U409" s="252"/>
      <c r="V409" s="252"/>
      <c r="W409" s="416" t="s">
        <v>244</v>
      </c>
      <c r="X409" s="416" t="s">
        <v>354</v>
      </c>
      <c r="Y409" s="416" t="s">
        <v>355</v>
      </c>
      <c r="Z409" s="3"/>
      <c r="AA409" s="3"/>
      <c r="AB409" s="3"/>
      <c r="AC409" s="3"/>
      <c r="AD409" s="3"/>
      <c r="AE409" s="3"/>
      <c r="AF409" s="3"/>
      <c r="AG409" s="3"/>
      <c r="AH409" s="3"/>
      <c r="AI409" s="14"/>
      <c r="AJ409" s="14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</row>
    <row r="410" spans="1:47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411">
        <f>SUM(J11:J408)/cohortsize</f>
        <v>83857.116128155467</v>
      </c>
      <c r="K410" s="410">
        <f>(SUM(K12:K408)/12/cohortsize)+(K11/cohortsize)</f>
        <v>8.2439049510387772</v>
      </c>
      <c r="L410" s="410">
        <f>(SUM(L12:L408)/12/cohortsize)+(L11/cohortsize)</f>
        <v>4.8582353023662188</v>
      </c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411">
        <f>SUM(W11:W408)/cohortsize</f>
        <v>70660.948978284257</v>
      </c>
      <c r="X410" s="410">
        <f>(SUM(X12:X408)/12/cohortsize)+(X11/cohortsize)</f>
        <v>7.7667331127397299</v>
      </c>
      <c r="Y410" s="410">
        <f>(SUM(Y12:Y408)/12/cohortsize)+(Y11/cohortsize)</f>
        <v>4.5530966780524809</v>
      </c>
      <c r="Z410" s="3"/>
      <c r="AA410" s="3"/>
      <c r="AB410" s="3"/>
      <c r="AC410" s="3"/>
      <c r="AD410" s="3"/>
      <c r="AE410" s="3"/>
      <c r="AF410" s="3"/>
      <c r="AG410" s="3"/>
      <c r="AH410" s="3"/>
      <c r="AI410" s="14"/>
      <c r="AJ410" s="14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</row>
    <row r="411" spans="1:47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411" t="s">
        <v>351</v>
      </c>
      <c r="K411" s="410" t="s">
        <v>353</v>
      </c>
      <c r="L411" s="410" t="s">
        <v>352</v>
      </c>
      <c r="M411" s="252"/>
      <c r="N411" s="252"/>
      <c r="O411" s="252"/>
      <c r="P411" s="252"/>
      <c r="Q411" s="252"/>
      <c r="R411" s="252"/>
      <c r="S411" s="252"/>
      <c r="T411" s="252"/>
      <c r="U411" s="252"/>
      <c r="V411" s="252"/>
      <c r="W411" s="411" t="s">
        <v>351</v>
      </c>
      <c r="X411" s="410" t="s">
        <v>353</v>
      </c>
      <c r="Y411" s="410" t="s">
        <v>352</v>
      </c>
      <c r="Z411" s="3"/>
      <c r="AA411" s="3"/>
      <c r="AB411" s="3"/>
      <c r="AC411" s="3"/>
      <c r="AD411" s="3"/>
      <c r="AE411" s="3"/>
      <c r="AF411" s="3"/>
      <c r="AG411" s="3"/>
      <c r="AH411" s="3"/>
      <c r="AI411" s="14"/>
      <c r="AJ411" s="14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</row>
    <row r="412" spans="1:47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412">
        <f>SUM(J11:J408)</f>
        <v>8385711.6128155468</v>
      </c>
      <c r="K412" s="410">
        <f>(SUM(K12:K408)/12)+(K11)</f>
        <v>824.39049510387781</v>
      </c>
      <c r="L412" s="410">
        <f>(SUM(L12:L408)/12)+(L11)</f>
        <v>485.82353023662188</v>
      </c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412">
        <f>SUM(W11:W408)</f>
        <v>7066094.8978284262</v>
      </c>
      <c r="X412" s="410">
        <f>(SUM(X12:X408)/12)+(X11)</f>
        <v>776.67331127397301</v>
      </c>
      <c r="Y412" s="410">
        <f>(SUM(Y12:Y408)/12)+(Y11)</f>
        <v>455.30966780524801</v>
      </c>
      <c r="Z412" s="3"/>
      <c r="AA412" s="3"/>
      <c r="AB412" s="3"/>
      <c r="AC412" s="3"/>
      <c r="AD412" s="3"/>
      <c r="AE412" s="3"/>
      <c r="AF412" s="3"/>
      <c r="AG412" s="3"/>
      <c r="AH412" s="3"/>
      <c r="AI412" s="14"/>
      <c r="AJ412" s="14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</row>
    <row r="413" spans="1:47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277"/>
      <c r="K413" s="253"/>
      <c r="L413" s="253"/>
      <c r="M413" s="252"/>
      <c r="N413" s="252"/>
      <c r="O413" s="252"/>
      <c r="P413" s="252"/>
      <c r="Q413" s="252"/>
      <c r="R413" s="252"/>
      <c r="S413" s="252"/>
      <c r="T413" s="252"/>
      <c r="U413" s="252"/>
      <c r="V413" s="252"/>
      <c r="W413" s="277"/>
      <c r="X413" s="25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14"/>
      <c r="AJ413" s="14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</row>
    <row r="414" spans="1:47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 t="s">
        <v>538</v>
      </c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14"/>
      <c r="AJ414" s="14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</row>
    <row r="415" spans="1:47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413" t="s">
        <v>229</v>
      </c>
      <c r="K415" s="415">
        <f>(J410-W410)/(L410-Y410)</f>
        <v>43246.466026874237</v>
      </c>
      <c r="L415" s="4" t="s">
        <v>374</v>
      </c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14"/>
      <c r="AJ415" s="14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</row>
    <row r="416" spans="1:47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76" t="s">
        <v>255</v>
      </c>
      <c r="K416" s="414">
        <f>(J410-W410)/(K410-X410)</f>
        <v>27654.958006136709</v>
      </c>
      <c r="L416" s="272" t="s">
        <v>368</v>
      </c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14"/>
      <c r="AJ416" s="14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</row>
    <row r="417" spans="1:47" ht="8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14"/>
      <c r="AJ417" s="14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</row>
    <row r="418" spans="1:47" ht="6.7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522"/>
      <c r="K418" s="522"/>
      <c r="L418" s="522"/>
      <c r="M418" s="522"/>
      <c r="N418" s="522"/>
      <c r="O418" s="522"/>
      <c r="P418" s="522"/>
      <c r="Q418" s="522"/>
      <c r="R418" s="522"/>
      <c r="S418" s="522"/>
      <c r="T418" s="522"/>
      <c r="U418" s="522"/>
      <c r="V418" s="522"/>
      <c r="W418" s="522"/>
      <c r="X418" s="522"/>
      <c r="Y418" s="522"/>
      <c r="Z418" s="3"/>
      <c r="AA418" s="3"/>
      <c r="AB418" s="3"/>
      <c r="AC418" s="3"/>
      <c r="AD418" s="3"/>
      <c r="AE418" s="3"/>
      <c r="AF418" s="3"/>
      <c r="AG418" s="3"/>
      <c r="AH418" s="3"/>
      <c r="AI418" s="14"/>
      <c r="AJ418" s="14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</row>
    <row r="419" spans="1:47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28" t="s">
        <v>244</v>
      </c>
      <c r="K419" s="328" t="s">
        <v>354</v>
      </c>
      <c r="L419" s="328" t="s">
        <v>355</v>
      </c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28" t="s">
        <v>244</v>
      </c>
      <c r="X419" s="328" t="s">
        <v>354</v>
      </c>
      <c r="Y419" s="328" t="s">
        <v>355</v>
      </c>
      <c r="Z419" s="3"/>
      <c r="AA419" s="3"/>
      <c r="AB419" s="3"/>
      <c r="AC419" s="3"/>
      <c r="AD419" s="3"/>
      <c r="AE419" s="3"/>
      <c r="AF419" s="3"/>
      <c r="AG419" s="3"/>
      <c r="AH419" s="3"/>
      <c r="AI419" s="14"/>
      <c r="AJ419" s="14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</row>
    <row r="420" spans="1:47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411">
        <f>SUM(J11:J119)/cohortsize</f>
        <v>83857.116128155467</v>
      </c>
      <c r="K420" s="410">
        <f>(SUM(K11:K119)/12/cohortsize)+(K11/cohortsize)</f>
        <v>4.9775609253305078</v>
      </c>
      <c r="L420" s="410">
        <f>(SUM(L11:L119)/12/cohortsize)+(L11/cohortsize)</f>
        <v>3.2816082764945391</v>
      </c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411">
        <f>SUM(W11:W119)/cohortsize</f>
        <v>70660.948978284257</v>
      </c>
      <c r="X420" s="410">
        <f>(SUM(X11:X119)/12/cohortsize)+(X11/cohortsize)</f>
        <v>4.6894508717707328</v>
      </c>
      <c r="Y420" s="410">
        <f>(SUM(Y11:Y119)/12/cohortsize)+(Y11/cohortsize)</f>
        <v>3.0657330079751506</v>
      </c>
      <c r="Z420" s="3"/>
      <c r="AA420" s="3"/>
      <c r="AB420" s="3"/>
      <c r="AC420" s="3"/>
      <c r="AD420" s="3"/>
      <c r="AE420" s="3"/>
      <c r="AF420" s="3"/>
      <c r="AG420" s="3"/>
      <c r="AH420" s="3"/>
      <c r="AI420" s="14"/>
      <c r="AJ420" s="14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</row>
    <row r="421" spans="1:47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411" t="s">
        <v>351</v>
      </c>
      <c r="K421" s="410" t="s">
        <v>353</v>
      </c>
      <c r="L421" s="410" t="s">
        <v>352</v>
      </c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411" t="s">
        <v>351</v>
      </c>
      <c r="X421" s="410" t="s">
        <v>353</v>
      </c>
      <c r="Y421" s="410" t="s">
        <v>352</v>
      </c>
      <c r="Z421" s="3"/>
      <c r="AA421" s="3"/>
      <c r="AB421" s="3"/>
      <c r="AC421" s="3"/>
      <c r="AD421" s="3"/>
      <c r="AE421" s="3"/>
      <c r="AF421" s="3"/>
      <c r="AG421" s="3"/>
      <c r="AH421" s="3"/>
      <c r="AI421" s="14"/>
      <c r="AJ421" s="14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</row>
    <row r="422" spans="1:47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412">
        <f>SUM(J11:J119)</f>
        <v>8385711.6128155468</v>
      </c>
      <c r="K422" s="410">
        <f>(SUM(K11:K119)/12)+(K11)</f>
        <v>497.75609253305078</v>
      </c>
      <c r="L422" s="410">
        <f>(SUM(L11:L119)/12)+(L11)</f>
        <v>328.16082764945389</v>
      </c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412">
        <f>SUM(W11:W119)</f>
        <v>7066094.8978284262</v>
      </c>
      <c r="X422" s="410">
        <f>(SUM(X11:X119)/12)+(X11)</f>
        <v>468.94508717707328</v>
      </c>
      <c r="Y422" s="410">
        <f>(SUM(Y11:Y119)/12)+(Y11)</f>
        <v>306.57330079751506</v>
      </c>
      <c r="Z422" s="3"/>
      <c r="AA422" s="3"/>
      <c r="AB422" s="3"/>
      <c r="AC422" s="3"/>
      <c r="AD422" s="3"/>
      <c r="AE422" s="3"/>
      <c r="AF422" s="3"/>
      <c r="AG422" s="3"/>
      <c r="AH422" s="3"/>
      <c r="AI422" s="14"/>
      <c r="AJ422" s="14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</row>
    <row r="423" spans="1:47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14"/>
      <c r="AJ423" s="14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</row>
    <row r="424" spans="1:47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52"/>
      <c r="K424" s="3"/>
      <c r="L424" s="3" t="s">
        <v>539</v>
      </c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14"/>
      <c r="AJ424" s="14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</row>
    <row r="425" spans="1:47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520" t="s">
        <v>253</v>
      </c>
      <c r="K425" s="521">
        <f>(J420-W420)/(L420-Y420)</f>
        <v>61128.665828091434</v>
      </c>
      <c r="L425" s="4" t="s">
        <v>540</v>
      </c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14"/>
      <c r="AJ425" s="14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</row>
    <row r="426" spans="1:47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28" t="s">
        <v>541</v>
      </c>
      <c r="K426" s="414">
        <f>(J420-W420)/(K420-X420)</f>
        <v>45802.522289050794</v>
      </c>
      <c r="L426" s="3" t="s">
        <v>368</v>
      </c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14"/>
      <c r="AJ426" s="14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</row>
    <row r="427" spans="1:47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14"/>
      <c r="AJ427" s="14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</row>
    <row r="428" spans="1:47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14"/>
      <c r="AJ428" s="14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</row>
    <row r="429" spans="1:47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14"/>
      <c r="AJ429" s="14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</row>
    <row r="430" spans="1:47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14"/>
      <c r="AJ430" s="14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</row>
    <row r="431" spans="1:47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14"/>
      <c r="AJ431" s="14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</row>
    <row r="432" spans="1:47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14"/>
      <c r="AJ432" s="14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</row>
    <row r="433" spans="1:47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14"/>
      <c r="AJ433" s="14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</row>
    <row r="434" spans="1:47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14"/>
      <c r="AJ434" s="14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</row>
    <row r="435" spans="1:47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14"/>
      <c r="AJ435" s="14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</row>
    <row r="436" spans="1:47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14"/>
      <c r="AJ436" s="14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</row>
    <row r="437" spans="1:47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14"/>
      <c r="AJ437" s="14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</row>
    <row r="438" spans="1:47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14"/>
      <c r="AJ438" s="14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</row>
    <row r="439" spans="1:47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14"/>
      <c r="AJ439" s="14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</row>
    <row r="440" spans="1:47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14"/>
      <c r="AJ440" s="14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</row>
    <row r="441" spans="1:47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14"/>
      <c r="AJ441" s="14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</row>
    <row r="442" spans="1:47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14"/>
      <c r="AJ442" s="14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</row>
    <row r="443" spans="1:47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14"/>
      <c r="AJ443" s="14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</row>
    <row r="444" spans="1:47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14"/>
      <c r="AJ444" s="14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</row>
    <row r="445" spans="1:47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14"/>
      <c r="AJ445" s="14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</row>
    <row r="446" spans="1:47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14"/>
      <c r="AJ446" s="14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</row>
    <row r="447" spans="1:47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14"/>
      <c r="AJ447" s="14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</row>
    <row r="448" spans="1:47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14"/>
      <c r="AJ448" s="14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</row>
    <row r="449" spans="1:47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14"/>
      <c r="AJ449" s="14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</row>
    <row r="450" spans="1:47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14"/>
      <c r="AJ450" s="14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</row>
    <row r="451" spans="1:47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14"/>
      <c r="AJ451" s="14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</row>
    <row r="452" spans="1:47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14"/>
      <c r="AJ452" s="14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</row>
    <row r="453" spans="1:47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14"/>
      <c r="AJ453" s="14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</row>
    <row r="454" spans="1:47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14"/>
      <c r="AJ454" s="14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</row>
    <row r="455" spans="1:47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14"/>
      <c r="AJ455" s="14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</row>
    <row r="456" spans="1:47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14"/>
      <c r="AJ456" s="14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</row>
    <row r="457" spans="1:47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14"/>
      <c r="AJ457" s="14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</row>
    <row r="458" spans="1:47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14"/>
      <c r="AJ458" s="14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</row>
    <row r="459" spans="1:47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14"/>
      <c r="AJ459" s="14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</row>
    <row r="460" spans="1:47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14"/>
      <c r="AJ460" s="14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</row>
    <row r="461" spans="1:47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14"/>
      <c r="AJ461" s="14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</row>
    <row r="462" spans="1:47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14"/>
      <c r="AJ462" s="14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</row>
    <row r="463" spans="1:47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14"/>
      <c r="AJ463" s="14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</row>
    <row r="464" spans="1:47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14"/>
      <c r="AJ464" s="14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</row>
    <row r="465" spans="1:47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14"/>
      <c r="AJ465" s="14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</row>
    <row r="466" spans="1:47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14"/>
      <c r="AJ466" s="14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</row>
    <row r="467" spans="1:47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14"/>
      <c r="AJ467" s="14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</row>
    <row r="468" spans="1:47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14"/>
      <c r="AJ468" s="14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</row>
    <row r="469" spans="1:47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14"/>
      <c r="AJ469" s="14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</row>
    <row r="470" spans="1:47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14"/>
      <c r="AJ470" s="14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</row>
    <row r="471" spans="1:47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14"/>
      <c r="AJ471" s="14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</row>
    <row r="472" spans="1:47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14"/>
      <c r="AJ472" s="14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</row>
    <row r="473" spans="1:47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14"/>
      <c r="AJ473" s="14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</row>
    <row r="474" spans="1:47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14"/>
      <c r="AJ474" s="14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</row>
    <row r="475" spans="1:47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14"/>
      <c r="AJ475" s="14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</row>
    <row r="476" spans="1:47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14"/>
      <c r="AJ476" s="14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</row>
    <row r="477" spans="1:47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14"/>
      <c r="AJ477" s="14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</row>
    <row r="478" spans="1:47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14"/>
      <c r="AJ478" s="14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</row>
    <row r="479" spans="1:47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14"/>
      <c r="AJ479" s="14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</row>
    <row r="480" spans="1:47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14"/>
      <c r="AJ480" s="14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</row>
    <row r="481" spans="1:47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14"/>
      <c r="AJ481" s="14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</row>
    <row r="482" spans="1:47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14"/>
      <c r="AJ482" s="14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</row>
    <row r="483" spans="1:47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14"/>
      <c r="AJ483" s="14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</row>
    <row r="484" spans="1:47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14"/>
      <c r="AJ484" s="14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</row>
    <row r="485" spans="1:47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14"/>
      <c r="AJ485" s="14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</row>
    <row r="486" spans="1:47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14"/>
      <c r="AJ486" s="14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</row>
    <row r="487" spans="1:47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14"/>
      <c r="AJ487" s="14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</row>
    <row r="488" spans="1:47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14"/>
      <c r="AJ488" s="14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</row>
    <row r="489" spans="1:47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14"/>
      <c r="AJ489" s="14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</row>
    <row r="490" spans="1:47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14"/>
      <c r="AJ490" s="14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</row>
    <row r="491" spans="1:47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14"/>
      <c r="AJ491" s="14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</row>
    <row r="492" spans="1:47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14"/>
      <c r="AJ492" s="14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</row>
    <row r="493" spans="1:47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14"/>
      <c r="AJ493" s="14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</row>
    <row r="494" spans="1:47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14"/>
      <c r="AJ494" s="14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</row>
    <row r="495" spans="1:47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14"/>
      <c r="AJ495" s="14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</row>
    <row r="496" spans="1:47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14"/>
      <c r="AJ496" s="14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</row>
    <row r="497" spans="1:47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14"/>
      <c r="AJ497" s="14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</row>
    <row r="498" spans="1:47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14"/>
      <c r="AJ498" s="14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</row>
    <row r="499" spans="1:47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14"/>
      <c r="AJ499" s="14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</row>
    <row r="500" spans="1:47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14"/>
      <c r="AJ500" s="14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</row>
    <row r="501" spans="1:47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14"/>
      <c r="AJ501" s="14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</row>
    <row r="502" spans="1:47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14"/>
      <c r="AJ502" s="14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</row>
    <row r="503" spans="1:47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14"/>
      <c r="AJ503" s="14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</row>
    <row r="504" spans="1:47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14"/>
      <c r="AJ504" s="14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</row>
    <row r="505" spans="1:47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14"/>
      <c r="AJ505" s="14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</row>
    <row r="506" spans="1:47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14"/>
      <c r="AJ506" s="14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</row>
    <row r="507" spans="1:47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14"/>
      <c r="AJ507" s="14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</row>
    <row r="508" spans="1:47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14"/>
      <c r="AJ508" s="14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</row>
    <row r="509" spans="1:47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14"/>
      <c r="AJ509" s="14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</row>
    <row r="510" spans="1:47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14"/>
      <c r="AJ510" s="14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</row>
    <row r="511" spans="1:47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14"/>
      <c r="AJ511" s="14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</row>
    <row r="512" spans="1:47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14"/>
      <c r="AJ512" s="14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</row>
    <row r="513" spans="1:47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14"/>
      <c r="AJ513" s="14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</row>
    <row r="514" spans="1:47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14"/>
      <c r="AJ514" s="14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</row>
    <row r="515" spans="1:47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14"/>
      <c r="AJ515" s="14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</row>
    <row r="516" spans="1:47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14"/>
      <c r="AJ516" s="14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</row>
    <row r="517" spans="1:47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14"/>
      <c r="AJ517" s="14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</row>
    <row r="518" spans="1:47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14"/>
      <c r="AJ518" s="14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</row>
    <row r="519" spans="1:47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14"/>
      <c r="AJ519" s="14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</row>
    <row r="520" spans="1:47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14"/>
      <c r="AJ520" s="14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</row>
    <row r="521" spans="1:47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14"/>
      <c r="AJ521" s="14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</row>
    <row r="522" spans="1:47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14"/>
      <c r="AJ522" s="14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</row>
    <row r="523" spans="1:47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14"/>
      <c r="AJ523" s="14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</row>
    <row r="524" spans="1:47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14"/>
      <c r="AJ524" s="14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</row>
    <row r="525" spans="1:47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14"/>
      <c r="AJ525" s="14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</row>
    <row r="526" spans="1:47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14"/>
      <c r="AJ526" s="14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</row>
    <row r="527" spans="1:47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14"/>
      <c r="AJ527" s="14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</row>
    <row r="528" spans="1:47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14"/>
      <c r="AJ528" s="14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</row>
    <row r="529" spans="1:47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14"/>
      <c r="AJ529" s="14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</row>
    <row r="530" spans="1:47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14"/>
      <c r="AJ530" s="14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</row>
    <row r="531" spans="1:47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14"/>
      <c r="AJ531" s="14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</row>
    <row r="532" spans="1:47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14"/>
      <c r="AJ532" s="14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</row>
    <row r="533" spans="1:47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14"/>
      <c r="AJ533" s="14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</row>
    <row r="534" spans="1:47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14"/>
      <c r="AJ534" s="14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</row>
    <row r="535" spans="1:47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14"/>
      <c r="AJ535" s="14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</row>
    <row r="536" spans="1:47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14"/>
      <c r="AJ536" s="14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</row>
    <row r="537" spans="1:47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14"/>
      <c r="AJ537" s="14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</row>
    <row r="538" spans="1:47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14"/>
      <c r="AJ538" s="14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</row>
    <row r="539" spans="1:47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14"/>
      <c r="AJ539" s="14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</row>
    <row r="540" spans="1:47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14"/>
      <c r="AJ540" s="14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</row>
    <row r="541" spans="1:47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14"/>
      <c r="AJ541" s="14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</row>
    <row r="542" spans="1:47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14"/>
      <c r="AJ542" s="14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</row>
    <row r="543" spans="1:47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14"/>
      <c r="AJ543" s="14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</row>
    <row r="544" spans="1:47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14"/>
      <c r="AJ544" s="14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</row>
    <row r="545" spans="1:47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14"/>
      <c r="AJ545" s="14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</row>
    <row r="546" spans="1:47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14"/>
      <c r="AJ546" s="14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</row>
    <row r="547" spans="1:47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14"/>
      <c r="AJ547" s="14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</row>
    <row r="548" spans="1:47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14"/>
      <c r="AJ548" s="14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</row>
    <row r="549" spans="1:47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14"/>
      <c r="AJ549" s="14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</row>
    <row r="550" spans="1:47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14"/>
      <c r="AJ550" s="14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</row>
    <row r="551" spans="1:47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14"/>
      <c r="AJ551" s="14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</row>
    <row r="552" spans="1:47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14"/>
      <c r="AJ552" s="14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</row>
    <row r="553" spans="1:47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14"/>
      <c r="AJ553" s="14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</row>
    <row r="554" spans="1:47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14"/>
      <c r="AJ554" s="14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</row>
    <row r="555" spans="1:47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14"/>
      <c r="AJ555" s="14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</row>
    <row r="556" spans="1:47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14"/>
      <c r="AJ556" s="14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</row>
    <row r="557" spans="1:47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14"/>
      <c r="AJ557" s="14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</row>
    <row r="558" spans="1:47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14"/>
      <c r="AJ558" s="14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</row>
    <row r="559" spans="1:47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14"/>
      <c r="AJ559" s="14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</row>
    <row r="560" spans="1:47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14"/>
      <c r="AJ560" s="14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</row>
    <row r="561" spans="1:47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14"/>
      <c r="AJ561" s="14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</row>
    <row r="562" spans="1:47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14"/>
      <c r="AJ562" s="14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</row>
    <row r="563" spans="1:47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14"/>
      <c r="AJ563" s="14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</row>
    <row r="564" spans="1:47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14"/>
      <c r="AJ564" s="14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</row>
    <row r="565" spans="1:47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14"/>
      <c r="AJ565" s="14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</row>
    <row r="566" spans="1:47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14"/>
      <c r="AJ566" s="14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</row>
    <row r="567" spans="1:47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14"/>
      <c r="AJ567" s="14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</row>
    <row r="568" spans="1:47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14"/>
      <c r="AJ568" s="14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</row>
    <row r="569" spans="1:47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14"/>
      <c r="AJ569" s="14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</row>
    <row r="570" spans="1:47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14"/>
      <c r="AJ570" s="14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</row>
    <row r="571" spans="1:47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14"/>
      <c r="AJ571" s="14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</row>
    <row r="572" spans="1:47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14"/>
      <c r="AJ572" s="14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</row>
    <row r="573" spans="1:47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14"/>
      <c r="AJ573" s="14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</row>
    <row r="574" spans="1:47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14"/>
      <c r="AJ574" s="14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</row>
    <row r="575" spans="1:47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14"/>
      <c r="AJ575" s="14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</row>
    <row r="576" spans="1:47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14"/>
      <c r="AJ576" s="14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</row>
    <row r="577" spans="1:47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14"/>
      <c r="AJ577" s="14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</row>
    <row r="578" spans="1:47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14"/>
      <c r="AJ578" s="14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</row>
    <row r="579" spans="1:47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14"/>
      <c r="AJ579" s="14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</row>
    <row r="580" spans="1:47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14"/>
      <c r="AJ580" s="14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</row>
    <row r="581" spans="1:47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14"/>
      <c r="AJ581" s="14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</row>
    <row r="582" spans="1:47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14"/>
      <c r="AJ582" s="14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</row>
    <row r="583" spans="1:47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14"/>
      <c r="AJ583" s="14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</row>
    <row r="584" spans="1:47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14"/>
      <c r="AJ584" s="14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</row>
    <row r="585" spans="1:47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14"/>
      <c r="AJ585" s="14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</row>
    <row r="586" spans="1:47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14"/>
      <c r="AJ586" s="14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</row>
    <row r="587" spans="1:47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14"/>
      <c r="AJ587" s="14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</row>
    <row r="588" spans="1:47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14"/>
      <c r="AJ588" s="14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</row>
    <row r="589" spans="1:47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14"/>
      <c r="AJ589" s="14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</row>
    <row r="590" spans="1:47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14"/>
      <c r="AJ590" s="14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</row>
    <row r="591" spans="1:47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14"/>
      <c r="AJ591" s="14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</row>
    <row r="592" spans="1:47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14"/>
      <c r="AJ592" s="14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</row>
    <row r="593" spans="1:47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14"/>
      <c r="AJ593" s="14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</row>
    <row r="594" spans="1:47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14"/>
      <c r="AJ594" s="14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</row>
    <row r="595" spans="1:47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14"/>
      <c r="AJ595" s="14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</row>
    <row r="596" spans="1:47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14"/>
      <c r="AJ596" s="14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</row>
    <row r="597" spans="1:47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14"/>
      <c r="AJ597" s="14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</row>
    <row r="598" spans="1:47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14"/>
      <c r="AJ598" s="14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</row>
    <row r="599" spans="1:47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14"/>
      <c r="AJ599" s="14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</row>
    <row r="600" spans="1:47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14"/>
      <c r="AJ600" s="14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</row>
    <row r="601" spans="1:47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14"/>
      <c r="AJ601" s="14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</row>
    <row r="602" spans="1:47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14"/>
      <c r="AJ602" s="14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</row>
    <row r="603" spans="1:47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14"/>
      <c r="AJ603" s="14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</row>
    <row r="604" spans="1:47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14"/>
      <c r="AJ604" s="14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</row>
    <row r="605" spans="1:47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14"/>
      <c r="AJ605" s="14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</row>
    <row r="606" spans="1:47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14"/>
      <c r="AJ606" s="14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</row>
    <row r="607" spans="1:47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14"/>
      <c r="AJ607" s="14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</row>
    <row r="608" spans="1:47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14"/>
      <c r="AJ608" s="14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</row>
    <row r="609" spans="1:47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14"/>
      <c r="AJ609" s="14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</row>
    <row r="610" spans="1:47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14"/>
      <c r="AJ610" s="14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</row>
    <row r="611" spans="1:47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14"/>
      <c r="AJ611" s="14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</row>
    <row r="612" spans="1:47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14"/>
      <c r="AJ612" s="14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</row>
    <row r="613" spans="1:47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14"/>
      <c r="AJ613" s="14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</row>
    <row r="614" spans="1:47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14"/>
      <c r="AJ614" s="14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</row>
    <row r="615" spans="1:47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14"/>
      <c r="AJ615" s="14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</row>
    <row r="616" spans="1:47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14"/>
      <c r="AJ616" s="14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</row>
    <row r="617" spans="1:47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14"/>
      <c r="AJ617" s="14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</row>
    <row r="618" spans="1:47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14"/>
      <c r="AJ618" s="14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</row>
    <row r="619" spans="1:47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14"/>
      <c r="AJ619" s="14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</row>
    <row r="620" spans="1:47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14"/>
      <c r="AJ620" s="14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</row>
    <row r="621" spans="1:47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14"/>
      <c r="AJ621" s="14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</row>
    <row r="622" spans="1:47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14"/>
      <c r="AJ622" s="14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</row>
    <row r="623" spans="1:47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14"/>
      <c r="AJ623" s="14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</row>
    <row r="624" spans="1:47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14"/>
      <c r="AJ624" s="14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</row>
    <row r="625" spans="1:47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14"/>
      <c r="AJ625" s="14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</row>
    <row r="626" spans="1:47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14"/>
      <c r="AJ626" s="14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</row>
    <row r="627" spans="1:47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14"/>
      <c r="AJ627" s="14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</row>
    <row r="628" spans="1:47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14"/>
      <c r="AJ628" s="14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</row>
    <row r="629" spans="1:47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14"/>
      <c r="AJ629" s="14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</row>
    <row r="630" spans="1:47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14"/>
      <c r="AJ630" s="14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</row>
    <row r="631" spans="1:47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14"/>
      <c r="AJ631" s="14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</row>
    <row r="632" spans="1:47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14"/>
      <c r="AJ632" s="14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</row>
    <row r="633" spans="1:47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14"/>
      <c r="AJ633" s="14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</row>
    <row r="634" spans="1:47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14"/>
      <c r="AJ634" s="14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</row>
    <row r="635" spans="1:47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14"/>
      <c r="AJ635" s="14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</row>
    <row r="636" spans="1:47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14"/>
      <c r="AJ636" s="14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</row>
    <row r="637" spans="1:47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14"/>
      <c r="AJ637" s="14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</row>
    <row r="638" spans="1:47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14"/>
      <c r="AJ638" s="14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</row>
    <row r="639" spans="1:47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14"/>
      <c r="AJ639" s="14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</row>
    <row r="640" spans="1:47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14"/>
      <c r="AJ640" s="14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</row>
    <row r="641" spans="1:47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14"/>
      <c r="AJ641" s="14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</row>
    <row r="642" spans="1:47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14"/>
      <c r="AJ642" s="14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</row>
    <row r="643" spans="1:47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14"/>
      <c r="AJ643" s="14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</row>
    <row r="644" spans="1:47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14"/>
      <c r="AJ644" s="14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</row>
    <row r="645" spans="1:47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14"/>
      <c r="AJ645" s="14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</row>
    <row r="646" spans="1:47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14"/>
      <c r="AJ646" s="14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</row>
    <row r="647" spans="1:47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14"/>
      <c r="AJ647" s="14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</row>
    <row r="648" spans="1:47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14"/>
      <c r="AJ648" s="14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</row>
    <row r="649" spans="1:47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14"/>
      <c r="AJ649" s="14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</row>
    <row r="650" spans="1:47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14"/>
      <c r="AJ650" s="14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</row>
    <row r="651" spans="1:47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14"/>
      <c r="AJ651" s="14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</row>
    <row r="652" spans="1:47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14"/>
      <c r="AJ652" s="14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</row>
    <row r="653" spans="1:47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14"/>
      <c r="AJ653" s="14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</row>
    <row r="654" spans="1:47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14"/>
      <c r="AJ654" s="14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</row>
    <row r="655" spans="1:47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14"/>
      <c r="AJ655" s="14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</row>
    <row r="656" spans="1:47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14"/>
      <c r="AJ656" s="14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</row>
    <row r="657" spans="1:47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14"/>
      <c r="AJ657" s="14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</row>
    <row r="658" spans="1:47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14"/>
      <c r="AJ658" s="14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</row>
    <row r="659" spans="1:47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14"/>
      <c r="AJ659" s="14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</row>
    <row r="660" spans="1:47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14"/>
      <c r="AJ660" s="14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</row>
    <row r="661" spans="1:47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14"/>
      <c r="AJ661" s="14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</row>
    <row r="662" spans="1:47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14"/>
      <c r="AJ662" s="14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</row>
    <row r="663" spans="1:47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14"/>
      <c r="AJ663" s="14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</row>
    <row r="664" spans="1:47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14"/>
      <c r="AJ664" s="14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</row>
    <row r="665" spans="1:47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14"/>
      <c r="AJ665" s="14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</row>
    <row r="666" spans="1:47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14"/>
      <c r="AJ666" s="14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</row>
    <row r="667" spans="1:47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14"/>
      <c r="AJ667" s="14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</row>
    <row r="668" spans="1:47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14"/>
      <c r="AJ668" s="14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</row>
    <row r="669" spans="1:47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14"/>
      <c r="AJ669" s="14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</row>
    <row r="670" spans="1:47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14"/>
      <c r="AJ670" s="14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</row>
    <row r="671" spans="1:47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14"/>
      <c r="AJ671" s="14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</row>
    <row r="672" spans="1:47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14"/>
      <c r="AJ672" s="14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</row>
    <row r="673" spans="1:47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14"/>
      <c r="AJ673" s="14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</row>
    <row r="674" spans="1:47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14"/>
      <c r="AJ674" s="14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</row>
    <row r="675" spans="1:47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14"/>
      <c r="AJ675" s="14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</row>
    <row r="676" spans="1:47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14"/>
      <c r="AJ676" s="14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</row>
    <row r="677" spans="1:47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14"/>
      <c r="AJ677" s="14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</row>
    <row r="678" spans="1:47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14"/>
      <c r="AJ678" s="14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</row>
    <row r="679" spans="1:47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14"/>
      <c r="AJ679" s="14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</row>
    <row r="680" spans="1:47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14"/>
      <c r="AJ680" s="14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</row>
    <row r="681" spans="1:47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14"/>
      <c r="AJ681" s="14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</row>
    <row r="682" spans="1:47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14"/>
      <c r="AJ682" s="14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</row>
    <row r="683" spans="1:47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14"/>
      <c r="AJ683" s="14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</row>
    <row r="684" spans="1:47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14"/>
      <c r="AJ684" s="14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</row>
    <row r="685" spans="1:47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14"/>
      <c r="AJ685" s="14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</row>
    <row r="686" spans="1:47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14"/>
      <c r="AJ686" s="14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</row>
    <row r="687" spans="1:47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14"/>
      <c r="AJ687" s="14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</row>
    <row r="688" spans="1:47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14"/>
      <c r="AJ688" s="14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</row>
    <row r="689" spans="1:47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14"/>
      <c r="AJ689" s="14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</row>
    <row r="690" spans="1:47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14"/>
      <c r="AJ690" s="14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</row>
    <row r="691" spans="1:47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14"/>
      <c r="AJ691" s="14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</row>
    <row r="692" spans="1:47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14"/>
      <c r="AJ692" s="14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</row>
    <row r="693" spans="1:47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14"/>
      <c r="AJ693" s="14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</row>
    <row r="694" spans="1:47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14"/>
      <c r="AJ694" s="14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</row>
    <row r="695" spans="1:47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14"/>
      <c r="AJ695" s="14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</row>
    <row r="696" spans="1:47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14"/>
      <c r="AJ696" s="14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</row>
    <row r="697" spans="1:47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14"/>
      <c r="AJ697" s="14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</row>
    <row r="698" spans="1:47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14"/>
      <c r="AJ698" s="14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</row>
    <row r="699" spans="1:47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14"/>
      <c r="AJ699" s="14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</row>
    <row r="700" spans="1:47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14"/>
      <c r="AJ700" s="14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</row>
    <row r="701" spans="1:47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14"/>
      <c r="AJ701" s="14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</row>
    <row r="702" spans="1:47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14"/>
      <c r="AJ702" s="14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</row>
    <row r="703" spans="1:47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14"/>
      <c r="AJ703" s="14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</row>
    <row r="704" spans="1:47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14"/>
      <c r="AJ704" s="14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</row>
    <row r="705" spans="1:47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14"/>
      <c r="AJ705" s="14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</row>
    <row r="706" spans="1:47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14"/>
      <c r="AJ706" s="14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</row>
    <row r="707" spans="1:47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14"/>
      <c r="AJ707" s="14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</row>
    <row r="708" spans="1:47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14"/>
      <c r="AJ708" s="14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</row>
    <row r="709" spans="1:47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14"/>
      <c r="AJ709" s="14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</row>
    <row r="710" spans="1:47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14"/>
      <c r="AJ710" s="14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</row>
    <row r="711" spans="1:47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14"/>
      <c r="AJ711" s="14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</row>
    <row r="712" spans="1:47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14"/>
      <c r="AJ712" s="14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</row>
    <row r="713" spans="1:47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14"/>
      <c r="AJ713" s="14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</row>
    <row r="714" spans="1:47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14"/>
      <c r="AJ714" s="14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</row>
    <row r="715" spans="1:47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14"/>
      <c r="AJ715" s="14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</row>
    <row r="716" spans="1:47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14"/>
      <c r="AJ716" s="14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</row>
    <row r="717" spans="1:47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14"/>
      <c r="AJ717" s="14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</row>
    <row r="718" spans="1:47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14"/>
      <c r="AJ718" s="14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</row>
    <row r="719" spans="1:47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14"/>
      <c r="AJ719" s="14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</row>
    <row r="720" spans="1:47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14"/>
      <c r="AJ720" s="14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</row>
    <row r="721" spans="1:47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14"/>
      <c r="AJ721" s="14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</row>
    <row r="722" spans="1:47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14"/>
      <c r="AJ722" s="14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</row>
    <row r="723" spans="1:47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14"/>
      <c r="AJ723" s="14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</row>
    <row r="724" spans="1:47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14"/>
      <c r="AJ724" s="14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</row>
    <row r="725" spans="1:47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14"/>
      <c r="AJ725" s="14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</row>
    <row r="726" spans="1:47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14"/>
      <c r="AJ726" s="14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</row>
    <row r="727" spans="1:47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14"/>
      <c r="AJ727" s="14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</row>
    <row r="728" spans="1:47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14"/>
      <c r="AJ728" s="14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</row>
    <row r="729" spans="1:47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14"/>
      <c r="AJ729" s="14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</row>
    <row r="730" spans="1:47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14"/>
      <c r="AJ730" s="14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</row>
    <row r="731" spans="1:47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14"/>
      <c r="AJ731" s="14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</row>
    <row r="732" spans="1:47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14"/>
      <c r="AJ732" s="14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</row>
    <row r="733" spans="1:47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14"/>
      <c r="AJ733" s="14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</row>
    <row r="734" spans="1:47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14"/>
      <c r="AJ734" s="14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</row>
    <row r="735" spans="1:47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14"/>
      <c r="AJ735" s="14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</row>
    <row r="736" spans="1:47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14"/>
      <c r="AJ736" s="14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</row>
    <row r="737" spans="1:47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14"/>
      <c r="AJ737" s="14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</row>
    <row r="738" spans="1:47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14"/>
      <c r="AJ738" s="14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</row>
    <row r="739" spans="1:47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14"/>
      <c r="AJ739" s="14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</row>
    <row r="740" spans="1:47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14"/>
      <c r="AJ740" s="14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</row>
    <row r="741" spans="1:47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14"/>
      <c r="AJ741" s="14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</row>
    <row r="742" spans="1:47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14"/>
      <c r="AJ742" s="14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</row>
    <row r="743" spans="1:47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14"/>
      <c r="AJ743" s="14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</row>
    <row r="744" spans="1:47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14"/>
      <c r="AJ744" s="14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</row>
    <row r="745" spans="1:47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14"/>
      <c r="AJ745" s="14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</row>
    <row r="746" spans="1:47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14"/>
      <c r="AJ746" s="14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</row>
    <row r="747" spans="1:47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14"/>
      <c r="AJ747" s="14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</row>
    <row r="748" spans="1:47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14"/>
      <c r="AJ748" s="14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</row>
    <row r="749" spans="1:47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14"/>
      <c r="AJ749" s="14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</row>
    <row r="750" spans="1:47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14"/>
      <c r="AJ750" s="14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</row>
    <row r="751" spans="1:47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14"/>
      <c r="AJ751" s="14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</row>
    <row r="752" spans="1:47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14"/>
      <c r="AJ752" s="14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</row>
    <row r="753" spans="1:47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14"/>
      <c r="AJ753" s="14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</row>
    <row r="754" spans="1:47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14"/>
      <c r="AJ754" s="14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</row>
    <row r="755" spans="1:47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14"/>
      <c r="AJ755" s="14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</row>
    <row r="756" spans="1:47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14"/>
      <c r="AJ756" s="14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</row>
    <row r="757" spans="1:47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14"/>
      <c r="AJ757" s="14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</row>
    <row r="758" spans="1:47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14"/>
      <c r="AJ758" s="14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</row>
    <row r="759" spans="1:47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14"/>
      <c r="AJ759" s="14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</row>
    <row r="760" spans="1:47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14"/>
      <c r="AJ760" s="14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</row>
    <row r="761" spans="1:47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14"/>
      <c r="AJ761" s="14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</row>
    <row r="762" spans="1:47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14"/>
      <c r="AJ762" s="14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</row>
    <row r="763" spans="1:47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14"/>
      <c r="AJ763" s="14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</row>
    <row r="764" spans="1:47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14"/>
      <c r="AJ764" s="14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</row>
    <row r="765" spans="1:47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14"/>
      <c r="AJ765" s="14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</row>
    <row r="766" spans="1:47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14"/>
      <c r="AJ766" s="14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</row>
    <row r="767" spans="1:47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14"/>
      <c r="AJ767" s="14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</row>
    <row r="768" spans="1:47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14"/>
      <c r="AJ768" s="14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</row>
    <row r="769" spans="1:47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14"/>
      <c r="AJ769" s="14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</row>
    <row r="770" spans="1:47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14"/>
      <c r="AJ770" s="14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</row>
    <row r="771" spans="1:47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14"/>
      <c r="AJ771" s="14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</row>
    <row r="772" spans="1:47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14"/>
      <c r="AJ772" s="14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</row>
    <row r="773" spans="1:47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14"/>
      <c r="AJ773" s="14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</row>
    <row r="774" spans="1:47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14"/>
      <c r="AJ774" s="14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</row>
    <row r="775" spans="1:47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14"/>
      <c r="AJ775" s="14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</row>
    <row r="776" spans="1:47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14"/>
      <c r="AJ776" s="14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</row>
    <row r="777" spans="1:47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14"/>
      <c r="AJ777" s="14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</row>
    <row r="778" spans="1:47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14"/>
      <c r="AJ778" s="14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</row>
    <row r="779" spans="1:47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14"/>
      <c r="AJ779" s="14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</row>
    <row r="780" spans="1:47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14"/>
      <c r="AJ780" s="14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</row>
    <row r="781" spans="1:47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14"/>
      <c r="AJ781" s="14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</row>
    <row r="782" spans="1:47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14"/>
      <c r="AJ782" s="14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</row>
    <row r="783" spans="1:47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14"/>
      <c r="AJ783" s="14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</row>
    <row r="784" spans="1:47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14"/>
      <c r="AJ784" s="14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</row>
    <row r="785" spans="1:47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14"/>
      <c r="AJ785" s="14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</row>
    <row r="786" spans="1:47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14"/>
      <c r="AJ786" s="14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</row>
    <row r="787" spans="1:47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14"/>
      <c r="AJ787" s="14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</row>
    <row r="788" spans="1:47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14"/>
      <c r="AJ788" s="14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</row>
    <row r="789" spans="1:47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14"/>
      <c r="AJ789" s="14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</row>
    <row r="790" spans="1:47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14"/>
      <c r="AJ790" s="14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</row>
    <row r="791" spans="1:47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14"/>
      <c r="AJ791" s="14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</row>
    <row r="792" spans="1:47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14"/>
      <c r="AJ792" s="14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</row>
    <row r="793" spans="1:47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14"/>
      <c r="AJ793" s="14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</row>
    <row r="794" spans="1:47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14"/>
      <c r="AJ794" s="14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</row>
    <row r="795" spans="1:47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14"/>
      <c r="AJ795" s="14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</row>
    <row r="796" spans="1:47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14"/>
      <c r="AJ796" s="14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</row>
    <row r="797" spans="1:47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14"/>
      <c r="AJ797" s="14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</row>
    <row r="798" spans="1:47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14"/>
      <c r="AJ798" s="14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</row>
    <row r="799" spans="1:47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14"/>
      <c r="AJ799" s="14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</row>
    <row r="800" spans="1:47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14"/>
      <c r="AJ800" s="14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</row>
    <row r="801" spans="1:47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14"/>
      <c r="AJ801" s="14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</row>
    <row r="802" spans="1:47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14"/>
      <c r="AJ802" s="14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</row>
    <row r="803" spans="1:47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14"/>
      <c r="AJ803" s="14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</row>
    <row r="804" spans="1:47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14"/>
      <c r="AJ804" s="14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</row>
    <row r="805" spans="1:47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14"/>
      <c r="AJ805" s="14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</row>
    <row r="806" spans="1:47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14"/>
      <c r="AJ806" s="14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</row>
    <row r="807" spans="1:47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14"/>
      <c r="AJ807" s="14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</row>
    <row r="808" spans="1:47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14"/>
      <c r="AJ808" s="14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</row>
    <row r="809" spans="1:47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14"/>
      <c r="AJ809" s="14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</row>
    <row r="810" spans="1:47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14"/>
      <c r="AJ810" s="14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</row>
    <row r="811" spans="1:47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14"/>
      <c r="AJ811" s="14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</row>
    <row r="812" spans="1:47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14"/>
      <c r="AJ812" s="14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</row>
    <row r="813" spans="1:47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14"/>
      <c r="AJ813" s="14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</row>
    <row r="814" spans="1:47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14"/>
      <c r="AJ814" s="14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</row>
    <row r="815" spans="1:47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14"/>
      <c r="AJ815" s="14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</row>
    <row r="816" spans="1:47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14"/>
      <c r="AJ816" s="14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</row>
    <row r="817" spans="1:47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14"/>
      <c r="AJ817" s="14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</row>
    <row r="818" spans="1:47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14"/>
      <c r="AJ818" s="14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</row>
    <row r="819" spans="1:47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14"/>
      <c r="AJ819" s="14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</row>
    <row r="820" spans="1:47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14"/>
      <c r="AJ820" s="14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</row>
    <row r="821" spans="1:47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14"/>
      <c r="AJ821" s="14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</row>
    <row r="822" spans="1:47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14"/>
      <c r="AJ822" s="14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</row>
    <row r="823" spans="1:47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14"/>
      <c r="AJ823" s="14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</row>
    <row r="824" spans="1:47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14"/>
      <c r="AJ824" s="14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</row>
    <row r="825" spans="1:47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14"/>
      <c r="AJ825" s="14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</row>
    <row r="826" spans="1:47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14"/>
      <c r="AJ826" s="14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</row>
    <row r="827" spans="1:47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14"/>
      <c r="AJ827" s="14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</row>
    <row r="828" spans="1:47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14"/>
      <c r="AJ828" s="14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</row>
    <row r="829" spans="1:47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14"/>
      <c r="AJ829" s="14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</row>
    <row r="830" spans="1:47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14"/>
      <c r="AJ830" s="14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</row>
    <row r="831" spans="1:47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14"/>
      <c r="AJ831" s="14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</row>
    <row r="832" spans="1:47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14"/>
      <c r="AJ832" s="14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</row>
    <row r="833" spans="1:47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14"/>
      <c r="AJ833" s="14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</row>
    <row r="834" spans="1:47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14"/>
      <c r="AJ834" s="14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</row>
    <row r="835" spans="1:47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14"/>
      <c r="AJ835" s="14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</row>
    <row r="836" spans="1:47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14"/>
      <c r="AJ836" s="14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</row>
    <row r="837" spans="1:47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14"/>
      <c r="AJ837" s="14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</row>
    <row r="838" spans="1:47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14"/>
      <c r="AJ838" s="14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</row>
    <row r="839" spans="1:47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14"/>
      <c r="AJ839" s="14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</row>
    <row r="840" spans="1:47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14"/>
      <c r="AJ840" s="14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</row>
    <row r="841" spans="1:47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14"/>
      <c r="AJ841" s="14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</row>
    <row r="842" spans="1:47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14"/>
      <c r="AJ842" s="14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</row>
    <row r="843" spans="1:47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14"/>
      <c r="AJ843" s="14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</row>
    <row r="844" spans="1:47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14"/>
      <c r="AJ844" s="14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</row>
    <row r="845" spans="1:47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14"/>
      <c r="AJ845" s="14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</row>
    <row r="846" spans="1:47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14"/>
      <c r="AJ846" s="14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</row>
    <row r="847" spans="1:47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14"/>
      <c r="AJ847" s="14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</row>
    <row r="848" spans="1:47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14"/>
      <c r="AJ848" s="14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</row>
    <row r="849" spans="1:47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14"/>
      <c r="AJ849" s="14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</row>
    <row r="850" spans="1:47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14"/>
      <c r="AJ850" s="14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</row>
    <row r="851" spans="1:47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14"/>
      <c r="AJ851" s="14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</row>
    <row r="852" spans="1:47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14"/>
      <c r="AJ852" s="14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</row>
    <row r="853" spans="1:47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14"/>
      <c r="AJ853" s="14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</row>
    <row r="854" spans="1:47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14"/>
      <c r="AJ854" s="14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</row>
    <row r="855" spans="1:47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14"/>
      <c r="AJ855" s="14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</row>
    <row r="856" spans="1:47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14"/>
      <c r="AJ856" s="14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</row>
    <row r="857" spans="1:47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14"/>
      <c r="AJ857" s="14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</row>
    <row r="858" spans="1:47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14"/>
      <c r="AJ858" s="14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</row>
    <row r="859" spans="1:47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14"/>
      <c r="AJ859" s="14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</row>
    <row r="860" spans="1:47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14"/>
      <c r="AJ860" s="14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</row>
    <row r="861" spans="1:47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14"/>
      <c r="AJ861" s="14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</row>
    <row r="862" spans="1:47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14"/>
      <c r="AJ862" s="14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</row>
    <row r="863" spans="1:47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14"/>
      <c r="AJ863" s="14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</row>
    <row r="864" spans="1:47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14"/>
      <c r="AJ864" s="14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</row>
    <row r="865" spans="1:47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14"/>
      <c r="AJ865" s="14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</row>
    <row r="866" spans="1:47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14"/>
      <c r="AJ866" s="14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</row>
    <row r="867" spans="1:47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14"/>
      <c r="AJ867" s="14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</row>
    <row r="868" spans="1:47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14"/>
      <c r="AJ868" s="14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</row>
    <row r="869" spans="1:47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14"/>
      <c r="AJ869" s="14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</row>
    <row r="870" spans="1:47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14"/>
      <c r="AJ870" s="14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</row>
    <row r="871" spans="1:47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14"/>
      <c r="AJ871" s="14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</row>
    <row r="872" spans="1:47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14"/>
      <c r="AJ872" s="14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</row>
    <row r="873" spans="1:47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14"/>
      <c r="AJ873" s="14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</row>
    <row r="874" spans="1:47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14"/>
      <c r="AJ874" s="14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</row>
    <row r="875" spans="1:47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14"/>
      <c r="AJ875" s="14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</row>
    <row r="876" spans="1:47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14"/>
      <c r="AJ876" s="14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</row>
    <row r="877" spans="1:47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14"/>
      <c r="AJ877" s="14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</row>
    <row r="878" spans="1:47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14"/>
      <c r="AJ878" s="14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</row>
    <row r="879" spans="1:47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14"/>
      <c r="AJ879" s="14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</row>
    <row r="880" spans="1:47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14"/>
      <c r="AJ880" s="14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</row>
    <row r="881" spans="1:47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14"/>
      <c r="AJ881" s="14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</row>
    <row r="882" spans="1:47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14"/>
      <c r="AJ882" s="14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</row>
    <row r="883" spans="1:47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14"/>
      <c r="AJ883" s="14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</row>
    <row r="884" spans="1:47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14"/>
      <c r="AJ884" s="14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</row>
    <row r="885" spans="1:47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14"/>
      <c r="AJ885" s="14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</row>
    <row r="886" spans="1:47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14"/>
      <c r="AJ886" s="14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</row>
    <row r="887" spans="1:47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14"/>
      <c r="AJ887" s="14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</row>
    <row r="888" spans="1:47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14"/>
      <c r="AJ888" s="14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</row>
    <row r="889" spans="1:47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14"/>
      <c r="AJ889" s="14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</row>
    <row r="890" spans="1:47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14"/>
      <c r="AJ890" s="14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</row>
    <row r="891" spans="1:47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14"/>
      <c r="AJ891" s="14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</row>
    <row r="892" spans="1:47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14"/>
      <c r="AJ892" s="14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</row>
    <row r="893" spans="1:47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14"/>
      <c r="AJ893" s="14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</row>
    <row r="894" spans="1:47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14"/>
      <c r="AJ894" s="14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</row>
    <row r="895" spans="1:47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14"/>
      <c r="AJ895" s="14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</row>
    <row r="896" spans="1:47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14"/>
      <c r="AJ896" s="14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</row>
    <row r="897" spans="1:47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14"/>
      <c r="AJ897" s="14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</row>
    <row r="898" spans="1:47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14"/>
      <c r="AJ898" s="14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</row>
    <row r="899" spans="1:47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14"/>
      <c r="AJ899" s="14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</row>
    <row r="900" spans="1:47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14"/>
      <c r="AJ900" s="14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</row>
    <row r="901" spans="1:47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14"/>
      <c r="AJ901" s="14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</row>
    <row r="902" spans="1:47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14"/>
      <c r="AJ902" s="14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</row>
    <row r="903" spans="1:47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14"/>
      <c r="AJ903" s="14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</row>
    <row r="904" spans="1:47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14"/>
      <c r="AJ904" s="14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</row>
    <row r="905" spans="1:47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14"/>
      <c r="AJ905" s="14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</row>
    <row r="906" spans="1:47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14"/>
      <c r="AJ906" s="14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</row>
    <row r="907" spans="1:47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14"/>
      <c r="AJ907" s="14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</row>
    <row r="908" spans="1:47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14"/>
      <c r="AJ908" s="14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</row>
    <row r="909" spans="1:47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14"/>
      <c r="AJ909" s="14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</row>
    <row r="910" spans="1:47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14"/>
      <c r="AJ910" s="14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</row>
    <row r="911" spans="1:47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14"/>
      <c r="AJ911" s="14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</row>
    <row r="912" spans="1:47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14"/>
      <c r="AJ912" s="14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</row>
    <row r="913" spans="1:47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14"/>
      <c r="AJ913" s="14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</row>
    <row r="914" spans="1:47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14"/>
      <c r="AJ914" s="14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</row>
    <row r="915" spans="1:47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14"/>
      <c r="AJ915" s="14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</row>
    <row r="916" spans="1:47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14"/>
      <c r="AJ916" s="14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</row>
    <row r="917" spans="1:47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14"/>
      <c r="AJ917" s="14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</row>
    <row r="918" spans="1:47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14"/>
      <c r="AJ918" s="14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</row>
    <row r="919" spans="1:47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14"/>
      <c r="AJ919" s="14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</row>
    <row r="920" spans="1:47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14"/>
      <c r="AJ920" s="14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</row>
    <row r="921" spans="1:47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14"/>
      <c r="AJ921" s="14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</row>
    <row r="922" spans="1:47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14"/>
      <c r="AJ922" s="14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</row>
    <row r="923" spans="1:47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14"/>
      <c r="AJ923" s="14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</row>
    <row r="924" spans="1:47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14"/>
      <c r="AJ924" s="14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</row>
    <row r="925" spans="1:47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14"/>
      <c r="AJ925" s="14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</row>
    <row r="926" spans="1:47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14"/>
      <c r="AJ926" s="14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</row>
    <row r="927" spans="1:47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14"/>
      <c r="AJ927" s="14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</row>
    <row r="928" spans="1:47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14"/>
      <c r="AJ928" s="14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</row>
    <row r="929" spans="1:47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14"/>
      <c r="AJ929" s="14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</row>
    <row r="930" spans="1:47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14"/>
      <c r="AJ930" s="14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</row>
    <row r="931" spans="1:47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14"/>
      <c r="AJ931" s="14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</row>
    <row r="932" spans="1:47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14"/>
      <c r="AJ932" s="14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</row>
    <row r="933" spans="1:47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14"/>
      <c r="AJ933" s="14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</row>
    <row r="934" spans="1:47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14"/>
      <c r="AJ934" s="14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</row>
    <row r="935" spans="1:47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14"/>
      <c r="AJ935" s="14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</row>
    <row r="936" spans="1:47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14"/>
      <c r="AJ936" s="14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</row>
    <row r="937" spans="1:47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14"/>
      <c r="AJ937" s="14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</row>
    <row r="938" spans="1:47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14"/>
      <c r="AJ938" s="14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</row>
    <row r="939" spans="1:47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14"/>
      <c r="AJ939" s="14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</row>
    <row r="940" spans="1:47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14"/>
      <c r="AJ940" s="14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</row>
    <row r="941" spans="1:47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14"/>
      <c r="AJ941" s="14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</row>
    <row r="942" spans="1:47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14"/>
      <c r="AJ942" s="14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</row>
    <row r="943" spans="1:47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14"/>
      <c r="AJ943" s="14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</row>
    <row r="944" spans="1:47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14"/>
      <c r="AJ944" s="14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</row>
    <row r="945" spans="1:47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14"/>
      <c r="AJ945" s="14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</row>
    <row r="946" spans="1:47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14"/>
      <c r="AJ946" s="14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</row>
    <row r="947" spans="1:47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14"/>
      <c r="AJ947" s="14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</row>
    <row r="948" spans="1:47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14"/>
      <c r="AJ948" s="14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</row>
    <row r="949" spans="1:47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14"/>
      <c r="AJ949" s="14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</row>
    <row r="950" spans="1:47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14"/>
      <c r="AJ950" s="14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</row>
    <row r="951" spans="1:47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14"/>
      <c r="AJ951" s="14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</row>
    <row r="952" spans="1:47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14"/>
      <c r="AJ952" s="14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</row>
    <row r="953" spans="1:47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14"/>
      <c r="AJ953" s="14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</row>
    <row r="954" spans="1:47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14"/>
      <c r="AJ954" s="14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</row>
    <row r="955" spans="1:47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14"/>
      <c r="AJ955" s="14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</row>
    <row r="956" spans="1:47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14"/>
      <c r="AJ956" s="14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</row>
    <row r="957" spans="1:47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14"/>
      <c r="AJ957" s="14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</row>
    <row r="958" spans="1:47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14"/>
      <c r="AJ958" s="14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</row>
    <row r="959" spans="1:47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14"/>
      <c r="AJ959" s="14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</row>
    <row r="960" spans="1:47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14"/>
      <c r="AJ960" s="14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</row>
    <row r="961" spans="1:47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14"/>
      <c r="AJ961" s="14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</row>
    <row r="962" spans="1:47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14"/>
      <c r="AJ962" s="14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</row>
    <row r="963" spans="1:47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14"/>
      <c r="AJ963" s="14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</row>
    <row r="964" spans="1:47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14"/>
      <c r="AJ964" s="14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</row>
    <row r="965" spans="1:47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14"/>
      <c r="AJ965" s="14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</row>
    <row r="966" spans="1:47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14"/>
      <c r="AJ966" s="14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</row>
    <row r="967" spans="1:47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14"/>
      <c r="AJ967" s="14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</row>
    <row r="968" spans="1:47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14"/>
      <c r="AJ968" s="14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</row>
    <row r="969" spans="1:47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14"/>
      <c r="AJ969" s="14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</row>
    <row r="970" spans="1:47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14"/>
      <c r="AJ970" s="14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</row>
    <row r="971" spans="1:47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14"/>
      <c r="AJ971" s="14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</row>
    <row r="972" spans="1:47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14"/>
      <c r="AJ972" s="14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</row>
    <row r="973" spans="1:47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14"/>
      <c r="AJ973" s="14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</row>
    <row r="974" spans="1:47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14"/>
      <c r="AJ974" s="14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</row>
    <row r="975" spans="1:47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14"/>
      <c r="AJ975" s="14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</row>
    <row r="976" spans="1:47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14"/>
      <c r="AJ976" s="14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</row>
    <row r="977" spans="1:47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14"/>
      <c r="AJ977" s="14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</row>
    <row r="978" spans="1:47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14"/>
      <c r="AJ978" s="14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</row>
    <row r="979" spans="1:47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14"/>
      <c r="AJ979" s="14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</row>
    <row r="980" spans="1:47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14"/>
      <c r="AJ980" s="14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</row>
    <row r="981" spans="1:47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14"/>
      <c r="AJ981" s="14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</row>
    <row r="982" spans="1:47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14"/>
      <c r="AJ982" s="14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</row>
    <row r="983" spans="1:47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14"/>
      <c r="AJ983" s="14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</row>
    <row r="984" spans="1:47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14"/>
      <c r="AJ984" s="14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</row>
    <row r="985" spans="1:47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14"/>
      <c r="AJ985" s="14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</row>
    <row r="986" spans="1:47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14"/>
      <c r="AJ986" s="14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</row>
    <row r="987" spans="1:47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14"/>
      <c r="AJ987" s="14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</row>
    <row r="988" spans="1:47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14"/>
      <c r="AJ988" s="14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</row>
    <row r="989" spans="1:47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14"/>
      <c r="AJ989" s="14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</row>
  </sheetData>
  <mergeCells count="26">
    <mergeCell ref="A276:A286"/>
    <mergeCell ref="A192:A202"/>
    <mergeCell ref="A204:A214"/>
    <mergeCell ref="A216:A226"/>
    <mergeCell ref="A228:A238"/>
    <mergeCell ref="A240:A250"/>
    <mergeCell ref="A156:A166"/>
    <mergeCell ref="A168:A178"/>
    <mergeCell ref="A180:A190"/>
    <mergeCell ref="A252:A262"/>
    <mergeCell ref="A264:A274"/>
    <mergeCell ref="A106:A107"/>
    <mergeCell ref="A108:A118"/>
    <mergeCell ref="A120:A130"/>
    <mergeCell ref="A132:A142"/>
    <mergeCell ref="A144:A154"/>
    <mergeCell ref="A48:A59"/>
    <mergeCell ref="A60:A71"/>
    <mergeCell ref="A72:A83"/>
    <mergeCell ref="A84:A94"/>
    <mergeCell ref="A95:A105"/>
    <mergeCell ref="B4:L5"/>
    <mergeCell ref="AC7:AG7"/>
    <mergeCell ref="A11:A23"/>
    <mergeCell ref="A24:A35"/>
    <mergeCell ref="A36:A47"/>
  </mergeCells>
  <pageMargins left="0.7" right="0.7" top="0.75" bottom="0.75" header="0" footer="0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2F6F-A820-44C0-8E5A-E544FFBCEF88}">
  <sheetPr codeName="Sheet29">
    <tabColor rgb="FF00B0F0"/>
  </sheetPr>
  <dimension ref="A1:BJ989"/>
  <sheetViews>
    <sheetView topLeftCell="L1" zoomScaleNormal="100" workbookViewId="0">
      <selection activeCell="Y2" sqref="Y2"/>
    </sheetView>
  </sheetViews>
  <sheetFormatPr defaultColWidth="12.625" defaultRowHeight="15" customHeight="1" x14ac:dyDescent="0.2"/>
  <cols>
    <col min="1" max="1" width="8.125" style="598" customWidth="1"/>
    <col min="2" max="2" width="1.625" style="598" customWidth="1"/>
    <col min="3" max="3" width="10.125" style="598" customWidth="1"/>
    <col min="4" max="4" width="1.125" style="598" customWidth="1"/>
    <col min="5" max="5" width="12.125" style="598" customWidth="1"/>
    <col min="6" max="6" width="2.125" style="598" customWidth="1"/>
    <col min="7" max="8" width="13.125" style="598" customWidth="1"/>
    <col min="9" max="9" width="9.875" style="598" customWidth="1"/>
    <col min="10" max="10" width="13.625" style="598" customWidth="1"/>
    <col min="11" max="11" width="18.625" style="598" customWidth="1"/>
    <col min="12" max="12" width="16.375" style="598" customWidth="1"/>
    <col min="13" max="13" width="1.5" style="598" customWidth="1"/>
    <col min="14" max="14" width="8" style="598" customWidth="1"/>
    <col min="15" max="15" width="1.375" style="598" customWidth="1"/>
    <col min="16" max="16" width="8" style="598" customWidth="1"/>
    <col min="17" max="17" width="1.5" style="598" customWidth="1"/>
    <col min="18" max="18" width="10.875" style="598" customWidth="1"/>
    <col min="19" max="19" width="1.5" style="598" customWidth="1"/>
    <col min="20" max="20" width="11.5" style="598" customWidth="1"/>
    <col min="21" max="21" width="11.125" style="598" customWidth="1"/>
    <col min="22" max="22" width="10.875" style="598" customWidth="1"/>
    <col min="23" max="23" width="14.875" style="598" customWidth="1"/>
    <col min="24" max="24" width="15.375" style="598" customWidth="1"/>
    <col min="25" max="25" width="15.5" style="598" customWidth="1"/>
    <col min="26" max="26" width="1.375" style="598" customWidth="1"/>
    <col min="27" max="28" width="1.625" style="598" customWidth="1"/>
    <col min="29" max="29" width="21.375" style="319" customWidth="1"/>
    <col min="30" max="30" width="1.125" style="598" customWidth="1"/>
    <col min="31" max="32" width="14.125" style="598" customWidth="1"/>
    <col min="33" max="33" width="14" style="598" customWidth="1"/>
    <col min="34" max="34" width="2.625" style="598" customWidth="1"/>
    <col min="35" max="35" width="14.5" style="598" customWidth="1"/>
    <col min="36" max="36" width="25" style="598" customWidth="1"/>
    <col min="37" max="47" width="8" style="598" customWidth="1"/>
    <col min="48" max="16384" width="12.625" style="598"/>
  </cols>
  <sheetData>
    <row r="1" spans="1:62" ht="14.25" customHeight="1" x14ac:dyDescent="0.2">
      <c r="A1" s="1"/>
      <c r="B1" s="1"/>
      <c r="C1" s="1"/>
      <c r="D1" s="1"/>
      <c r="E1" s="1"/>
      <c r="F1" s="1"/>
      <c r="G1" s="18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397"/>
      <c r="AD1" s="1"/>
      <c r="AE1" s="1"/>
      <c r="AF1" s="1"/>
      <c r="AG1" s="1"/>
      <c r="AH1" s="1"/>
      <c r="AI1" s="189"/>
      <c r="AJ1" s="189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</row>
    <row r="2" spans="1:62" ht="48.75" customHeight="1" x14ac:dyDescent="0.2">
      <c r="A2" s="1"/>
      <c r="B2" s="1"/>
      <c r="C2" s="1"/>
      <c r="D2" s="1"/>
      <c r="E2" s="1"/>
      <c r="F2" s="1"/>
      <c r="G2" s="188"/>
      <c r="H2" s="190"/>
      <c r="I2" s="1"/>
      <c r="J2" s="158"/>
      <c r="K2" s="158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397"/>
      <c r="AD2" s="1"/>
      <c r="AE2" s="1"/>
      <c r="AF2" s="1"/>
      <c r="AG2" s="1"/>
      <c r="AH2" s="1"/>
      <c r="AI2" s="189"/>
      <c r="AJ2" s="189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</row>
    <row r="3" spans="1:62" ht="35.25" customHeight="1" x14ac:dyDescent="0.2">
      <c r="A3" s="1"/>
      <c r="B3" s="1"/>
      <c r="C3" s="1"/>
      <c r="D3" s="1"/>
      <c r="E3" s="1"/>
      <c r="F3" s="1"/>
      <c r="G3" s="188"/>
      <c r="H3" s="190"/>
      <c r="I3" s="1"/>
      <c r="J3" s="1"/>
      <c r="K3" s="158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397"/>
      <c r="AD3" s="1"/>
      <c r="AE3" s="1"/>
      <c r="AF3" s="1"/>
      <c r="AG3" s="1"/>
      <c r="AH3" s="1"/>
      <c r="AI3" s="189"/>
      <c r="AJ3" s="189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</row>
    <row r="4" spans="1:62" ht="15" customHeight="1" x14ac:dyDescent="0.25">
      <c r="A4" s="2"/>
      <c r="B4" s="632" t="s">
        <v>387</v>
      </c>
      <c r="C4" s="632"/>
      <c r="D4" s="632"/>
      <c r="E4" s="632"/>
      <c r="F4" s="632"/>
      <c r="G4" s="632"/>
      <c r="H4" s="632"/>
      <c r="I4" s="632"/>
      <c r="J4" s="632"/>
      <c r="K4" s="632"/>
      <c r="L4" s="63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600"/>
      <c r="AD4" s="2"/>
      <c r="AE4" s="2"/>
      <c r="AF4" s="2"/>
      <c r="AG4" s="2"/>
      <c r="AH4" s="2"/>
      <c r="AI4" s="191"/>
      <c r="AJ4" s="191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</row>
    <row r="5" spans="1:62" ht="15" customHeight="1" x14ac:dyDescent="0.25">
      <c r="A5" s="2"/>
      <c r="B5" s="632"/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600"/>
      <c r="AD5" s="2"/>
      <c r="AE5" s="2"/>
      <c r="AF5" s="2"/>
      <c r="AG5" s="2"/>
      <c r="AH5" s="2"/>
      <c r="AI5" s="271"/>
      <c r="AJ5" s="271"/>
      <c r="AK5" s="271"/>
      <c r="AL5" s="271"/>
      <c r="AM5" s="271"/>
      <c r="AN5" s="271"/>
      <c r="AO5" s="271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</row>
    <row r="6" spans="1:62" ht="14.25" customHeight="1" x14ac:dyDescent="0.2">
      <c r="A6" s="3"/>
      <c r="B6" s="3"/>
      <c r="C6" s="3" t="s">
        <v>386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297"/>
      <c r="AD6" s="3"/>
      <c r="AE6" s="3"/>
      <c r="AF6" s="3"/>
      <c r="AG6" s="3"/>
      <c r="AH6" s="3"/>
      <c r="AI6" s="526">
        <f>AE10-AE12</f>
        <v>12713.393225237756</v>
      </c>
      <c r="AJ6" s="669">
        <f>AF10-AF12</f>
        <v>0.21418872254553101</v>
      </c>
      <c r="AK6" s="669">
        <f>AG10-AG12</f>
        <v>0.2859743509717303</v>
      </c>
      <c r="AL6" s="14"/>
      <c r="AM6" s="14"/>
      <c r="AN6" s="14"/>
      <c r="AO6" s="14"/>
      <c r="AP6" s="14"/>
      <c r="AQ6" s="14"/>
      <c r="AR6" s="297"/>
      <c r="AS6" s="297"/>
      <c r="AT6" s="297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</row>
    <row r="7" spans="1:62" ht="37.5" customHeight="1" x14ac:dyDescent="0.25">
      <c r="A7" s="3"/>
      <c r="B7" s="80"/>
      <c r="C7" s="159" t="s">
        <v>231</v>
      </c>
      <c r="D7" s="160"/>
      <c r="E7" s="160"/>
      <c r="F7" s="160"/>
      <c r="G7" s="160"/>
      <c r="H7" s="160"/>
      <c r="I7" s="160"/>
      <c r="J7" s="160"/>
      <c r="K7" s="160"/>
      <c r="L7" s="160"/>
      <c r="M7" s="80"/>
      <c r="N7" s="3"/>
      <c r="O7" s="80"/>
      <c r="P7" s="159" t="s">
        <v>358</v>
      </c>
      <c r="Q7" s="160"/>
      <c r="R7" s="160"/>
      <c r="S7" s="160"/>
      <c r="T7" s="160"/>
      <c r="U7" s="160"/>
      <c r="V7" s="160"/>
      <c r="W7" s="160"/>
      <c r="X7" s="160"/>
      <c r="Y7" s="160"/>
      <c r="Z7" s="80"/>
      <c r="AA7" s="3"/>
      <c r="AB7" s="192"/>
      <c r="AC7" s="635" t="s">
        <v>567</v>
      </c>
      <c r="AD7" s="636"/>
      <c r="AE7" s="636"/>
      <c r="AF7" s="636"/>
      <c r="AG7" s="634"/>
      <c r="AH7" s="193"/>
      <c r="AI7" s="14" t="s">
        <v>232</v>
      </c>
      <c r="AJ7" s="14" t="s">
        <v>233</v>
      </c>
      <c r="AK7" s="14"/>
      <c r="AL7" s="14"/>
      <c r="AM7" s="14"/>
      <c r="AN7" s="14"/>
      <c r="AO7" s="14"/>
      <c r="AP7" s="14"/>
      <c r="AQ7" s="14"/>
      <c r="AR7" s="297"/>
      <c r="AS7" s="297"/>
      <c r="AT7" s="297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</row>
    <row r="8" spans="1:62" ht="16.5" customHeight="1" x14ac:dyDescent="0.2">
      <c r="A8" s="3"/>
      <c r="B8" s="161"/>
      <c r="C8" s="162" t="s">
        <v>234</v>
      </c>
      <c r="D8" s="162"/>
      <c r="E8" s="163" t="s">
        <v>235</v>
      </c>
      <c r="F8" s="79"/>
      <c r="G8" s="163" t="s">
        <v>236</v>
      </c>
      <c r="H8" s="163" t="s">
        <v>237</v>
      </c>
      <c r="I8" s="163" t="s">
        <v>238</v>
      </c>
      <c r="J8" s="163" t="s">
        <v>239</v>
      </c>
      <c r="K8" s="251" t="s">
        <v>357</v>
      </c>
      <c r="L8" s="163" t="s">
        <v>178</v>
      </c>
      <c r="M8" s="80"/>
      <c r="N8" s="3"/>
      <c r="O8" s="161"/>
      <c r="P8" s="162" t="s">
        <v>234</v>
      </c>
      <c r="Q8" s="162"/>
      <c r="R8" s="163" t="s">
        <v>235</v>
      </c>
      <c r="S8" s="79"/>
      <c r="T8" s="163" t="s">
        <v>236</v>
      </c>
      <c r="U8" s="163" t="s">
        <v>237</v>
      </c>
      <c r="V8" s="163" t="s">
        <v>238</v>
      </c>
      <c r="W8" s="163" t="s">
        <v>239</v>
      </c>
      <c r="X8" s="251" t="s">
        <v>357</v>
      </c>
      <c r="Y8" s="163" t="s">
        <v>178</v>
      </c>
      <c r="Z8" s="80"/>
      <c r="AA8" s="3"/>
      <c r="AB8" s="192"/>
      <c r="AC8" s="194" t="s">
        <v>250</v>
      </c>
      <c r="AD8" s="195"/>
      <c r="AE8" s="194" t="s">
        <v>239</v>
      </c>
      <c r="AF8" s="194" t="s">
        <v>178</v>
      </c>
      <c r="AG8" s="194" t="s">
        <v>240</v>
      </c>
      <c r="AH8" s="192"/>
      <c r="AI8" s="304">
        <f>'Decision Tree'!N35</f>
        <v>14063.654769903998</v>
      </c>
      <c r="AJ8" s="304">
        <f>'Decision Tree'!N36</f>
        <v>4907.2569351040001</v>
      </c>
      <c r="AK8" s="14" t="s">
        <v>365</v>
      </c>
      <c r="AL8" s="14"/>
      <c r="AM8" s="14"/>
      <c r="AN8" s="14"/>
      <c r="AO8" s="14"/>
      <c r="AP8" s="14"/>
      <c r="AQ8" s="14"/>
      <c r="AR8" s="297"/>
      <c r="AS8" s="297"/>
      <c r="AT8" s="297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</row>
    <row r="9" spans="1:62" ht="5.25" customHeight="1" x14ac:dyDescent="0.2">
      <c r="A9" s="3"/>
      <c r="B9" s="80"/>
      <c r="C9" s="80"/>
      <c r="D9" s="80"/>
      <c r="E9" s="80"/>
      <c r="F9" s="80"/>
      <c r="G9" s="111"/>
      <c r="H9" s="111"/>
      <c r="I9" s="111"/>
      <c r="J9" s="111"/>
      <c r="K9" s="111"/>
      <c r="L9" s="111"/>
      <c r="M9" s="80"/>
      <c r="N9" s="3"/>
      <c r="O9" s="80"/>
      <c r="P9" s="80"/>
      <c r="Q9" s="80"/>
      <c r="R9" s="80"/>
      <c r="S9" s="80"/>
      <c r="T9" s="111"/>
      <c r="U9" s="111"/>
      <c r="V9" s="111"/>
      <c r="W9" s="111"/>
      <c r="X9" s="111"/>
      <c r="Y9" s="111"/>
      <c r="Z9" s="80"/>
      <c r="AA9" s="3"/>
      <c r="AB9" s="192"/>
      <c r="AC9" s="79"/>
      <c r="AD9" s="192"/>
      <c r="AE9" s="192"/>
      <c r="AF9" s="192"/>
      <c r="AG9" s="192"/>
      <c r="AH9" s="192"/>
      <c r="AI9" s="14"/>
      <c r="AJ9" s="14"/>
      <c r="AK9" s="14"/>
      <c r="AL9" s="14"/>
      <c r="AM9" s="14"/>
      <c r="AN9" s="14"/>
      <c r="AO9" s="14"/>
      <c r="AP9" s="14"/>
      <c r="AQ9" s="14"/>
      <c r="AR9" s="297"/>
      <c r="AS9" s="297"/>
      <c r="AT9" s="297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</row>
    <row r="10" spans="1:62" ht="15.75" customHeight="1" x14ac:dyDescent="0.2">
      <c r="A10" s="3"/>
      <c r="B10" s="80"/>
      <c r="C10" s="119" t="s">
        <v>435</v>
      </c>
      <c r="D10" s="80"/>
      <c r="E10" s="80"/>
      <c r="F10" s="80"/>
      <c r="G10" s="119">
        <f>cohortsize</f>
        <v>100</v>
      </c>
      <c r="H10" s="602">
        <v>0</v>
      </c>
      <c r="I10" s="80"/>
      <c r="J10" s="80"/>
      <c r="K10" s="80"/>
      <c r="L10" s="80"/>
      <c r="M10" s="80"/>
      <c r="N10" s="3"/>
      <c r="O10" s="80"/>
      <c r="P10" s="119" t="s">
        <v>435</v>
      </c>
      <c r="Q10" s="80"/>
      <c r="R10" s="80"/>
      <c r="S10" s="80"/>
      <c r="T10" s="119">
        <f>cohortsize</f>
        <v>100</v>
      </c>
      <c r="U10" s="119"/>
      <c r="V10" s="80"/>
      <c r="W10" s="80"/>
      <c r="X10" s="80"/>
      <c r="Y10" s="80"/>
      <c r="Z10" s="80"/>
      <c r="AA10" s="3"/>
      <c r="AB10" s="192"/>
      <c r="AC10" s="196" t="s">
        <v>251</v>
      </c>
      <c r="AD10" s="192"/>
      <c r="AE10" s="197">
        <f>J420</f>
        <v>83411.12036559642</v>
      </c>
      <c r="AF10" s="214">
        <f>L420</f>
        <v>3.2916479698099272</v>
      </c>
      <c r="AG10" s="214">
        <f>K420</f>
        <v>4.9903071776204264</v>
      </c>
      <c r="AH10" s="192"/>
      <c r="AI10" s="526"/>
      <c r="AJ10" s="14"/>
      <c r="AK10" s="14"/>
      <c r="AL10" s="14"/>
      <c r="AM10" s="14"/>
      <c r="AN10" s="14"/>
      <c r="AO10" s="14"/>
      <c r="AP10" s="14"/>
      <c r="AQ10" s="14"/>
      <c r="AR10" s="297"/>
      <c r="AS10" s="297"/>
      <c r="AT10" s="297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</row>
    <row r="11" spans="1:62" ht="14.25" customHeight="1" x14ac:dyDescent="0.2">
      <c r="A11" s="637" t="s">
        <v>542</v>
      </c>
      <c r="B11" s="80"/>
      <c r="C11" s="166">
        <v>0</v>
      </c>
      <c r="D11" s="165"/>
      <c r="E11" s="198">
        <v>0</v>
      </c>
      <c r="F11" s="199"/>
      <c r="G11" s="214">
        <f>G10*AI13</f>
        <v>81.2</v>
      </c>
      <c r="H11" s="256">
        <f>G10-G11</f>
        <v>18.799999999999997</v>
      </c>
      <c r="I11" s="514">
        <f t="shared" ref="I11:I120" si="0">SUM(G11:H11)</f>
        <v>100</v>
      </c>
      <c r="J11" s="170">
        <f>(AI8*G10)</f>
        <v>1406365.4769903999</v>
      </c>
      <c r="K11" s="255">
        <f t="shared" ref="K11:K74" si="1">G11</f>
        <v>81.2</v>
      </c>
      <c r="L11" s="200">
        <f>(G11*AI11)</f>
        <v>47.731433723076925</v>
      </c>
      <c r="M11" s="80"/>
      <c r="N11" s="3"/>
      <c r="O11" s="80"/>
      <c r="P11" s="166">
        <v>0</v>
      </c>
      <c r="Q11" s="165"/>
      <c r="R11" s="198">
        <v>0</v>
      </c>
      <c r="S11" s="199"/>
      <c r="T11" s="214">
        <f>T10*AJ13</f>
        <v>76.5</v>
      </c>
      <c r="U11" s="501">
        <f>T10-T11</f>
        <v>23.5</v>
      </c>
      <c r="V11" s="514">
        <f t="shared" ref="V11:V119" si="2">SUM(T11:U11)</f>
        <v>100</v>
      </c>
      <c r="W11" s="170">
        <f>(AJ8*T10)</f>
        <v>490725.69351040001</v>
      </c>
      <c r="X11" s="255">
        <f>T11</f>
        <v>76.5</v>
      </c>
      <c r="Y11" s="200">
        <f>T11*AJ11</f>
        <v>42.575118750000001</v>
      </c>
      <c r="Z11" s="80"/>
      <c r="AA11" s="3"/>
      <c r="AB11" s="192"/>
      <c r="AC11" s="196" t="s">
        <v>252</v>
      </c>
      <c r="AD11" s="192"/>
      <c r="AE11" s="201">
        <f>J422</f>
        <v>8341112.0365596414</v>
      </c>
      <c r="AF11" s="219">
        <f>L422</f>
        <v>329.16479698099272</v>
      </c>
      <c r="AG11" s="219">
        <f>K422</f>
        <v>499.03071776204263</v>
      </c>
      <c r="AH11" s="192"/>
      <c r="AI11" s="306">
        <f>'Decision Tree'!O35</f>
        <v>0.58782553846153851</v>
      </c>
      <c r="AJ11" s="306">
        <f>'Decision Tree'!O36</f>
        <v>0.55653750000000002</v>
      </c>
      <c r="AK11" s="14" t="s">
        <v>366</v>
      </c>
      <c r="AL11" s="14"/>
      <c r="AM11" s="14"/>
      <c r="AN11" s="14"/>
      <c r="AO11" s="14"/>
      <c r="AP11" s="14"/>
      <c r="AQ11" s="14"/>
      <c r="AR11" s="297"/>
      <c r="AS11" s="297"/>
      <c r="AT11" s="297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</row>
    <row r="12" spans="1:62" ht="14.25" customHeight="1" x14ac:dyDescent="0.2">
      <c r="A12" s="637"/>
      <c r="B12" s="80"/>
      <c r="C12" s="173">
        <v>1</v>
      </c>
      <c r="D12" s="165"/>
      <c r="E12" s="174">
        <v>8.5500000000000007E-2</v>
      </c>
      <c r="F12" s="502"/>
      <c r="G12" s="219">
        <f t="shared" ref="G12:G75" si="3">$G$10-H12</f>
        <v>74.257400000000004</v>
      </c>
      <c r="H12" s="176">
        <f t="shared" ref="H12:H75" si="4">H11+(G11*E12)</f>
        <v>25.742599999999996</v>
      </c>
      <c r="I12" s="515">
        <f>SUM(G12:H12)</f>
        <v>100</v>
      </c>
      <c r="J12" s="153">
        <f>(G12*Parameters!B41)/(1+cDR)^'Markov Model_b (3)'!cycle</f>
        <v>638862.60417987569</v>
      </c>
      <c r="K12" s="178">
        <f t="shared" si="1"/>
        <v>74.257400000000004</v>
      </c>
      <c r="L12" s="202">
        <f>(G12*(uPostT))/(1+oDR)^'Markov Model_b (3)'!cycle</f>
        <v>56.294886783042401</v>
      </c>
      <c r="M12" s="80"/>
      <c r="N12" s="3"/>
      <c r="O12" s="80"/>
      <c r="P12" s="173">
        <v>1</v>
      </c>
      <c r="Q12" s="165"/>
      <c r="R12" s="174">
        <v>7.1895424836601371E-2</v>
      </c>
      <c r="S12" s="502"/>
      <c r="T12" s="219">
        <f>$T$10-U12</f>
        <v>71</v>
      </c>
      <c r="U12" s="500">
        <f t="shared" ref="U12:U75" si="5">U11+(T11*R12)</f>
        <v>29.000000000000004</v>
      </c>
      <c r="V12" s="515">
        <f t="shared" si="2"/>
        <v>100</v>
      </c>
      <c r="W12" s="153">
        <f>(T12*Parameters!$B$41)/(1+cDR)^'Markov Model_b (3)'!cycle2</f>
        <v>610838.04303370672</v>
      </c>
      <c r="X12" s="178">
        <f>T12</f>
        <v>71</v>
      </c>
      <c r="Y12" s="202">
        <f>(T12*(uPostT))/(1+oDR)^'Markov Model_b (3)'!cycle</f>
        <v>53.825436408977559</v>
      </c>
      <c r="Z12" s="80"/>
      <c r="AA12" s="3"/>
      <c r="AB12" s="192"/>
      <c r="AC12" s="196" t="s">
        <v>369</v>
      </c>
      <c r="AD12" s="192"/>
      <c r="AE12" s="201">
        <f>W420</f>
        <v>70697.727140358664</v>
      </c>
      <c r="AF12" s="219">
        <f>Y420</f>
        <v>3.0774592472643962</v>
      </c>
      <c r="AG12" s="219">
        <f>X420</f>
        <v>4.7043328266486961</v>
      </c>
      <c r="AH12" s="192"/>
      <c r="AI12" s="14"/>
      <c r="AJ12" s="14"/>
      <c r="AK12" s="14"/>
      <c r="AL12" s="14"/>
      <c r="AM12" s="14"/>
      <c r="AN12" s="14"/>
      <c r="AO12" s="14"/>
      <c r="AP12" s="14"/>
      <c r="AQ12" s="14"/>
      <c r="AR12" s="297"/>
      <c r="AS12" s="297"/>
      <c r="AT12" s="297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</row>
    <row r="13" spans="1:62" ht="14.25" customHeight="1" x14ac:dyDescent="0.2">
      <c r="A13" s="637"/>
      <c r="B13" s="80"/>
      <c r="C13" s="173">
        <v>2</v>
      </c>
      <c r="D13" s="165"/>
      <c r="E13" s="174">
        <v>1.5674875228236587E-2</v>
      </c>
      <c r="F13" s="502"/>
      <c r="G13" s="219">
        <f t="shared" si="3"/>
        <v>73.093424520226748</v>
      </c>
      <c r="H13" s="176">
        <f t="shared" si="4"/>
        <v>26.906575479773252</v>
      </c>
      <c r="I13" s="515">
        <f t="shared" si="0"/>
        <v>100</v>
      </c>
      <c r="J13" s="153">
        <f>(G13*Parameters!B41)/(1+cDR)^'Markov Model_b (3)'!cycle</f>
        <v>627299.08383429912</v>
      </c>
      <c r="K13" s="178">
        <f t="shared" si="1"/>
        <v>73.093424520226748</v>
      </c>
      <c r="L13" s="202">
        <f>(G13*(uPostT))/(1+oDR)^'Markov Model_b (3)'!cycle</f>
        <v>55.274285742374573</v>
      </c>
      <c r="M13" s="80"/>
      <c r="N13" s="3"/>
      <c r="O13" s="80"/>
      <c r="P13" s="173">
        <v>2</v>
      </c>
      <c r="Q13" s="165"/>
      <c r="R13" s="174">
        <v>2.0912575210240789E-2</v>
      </c>
      <c r="S13" s="502"/>
      <c r="T13" s="219">
        <f t="shared" ref="T13:T120" si="6">$T$10-U13</f>
        <v>69.515207160072904</v>
      </c>
      <c r="U13" s="249">
        <f t="shared" si="5"/>
        <v>30.484792839927099</v>
      </c>
      <c r="V13" s="515">
        <f t="shared" si="2"/>
        <v>100</v>
      </c>
      <c r="W13" s="153">
        <f>(T13*Parameters!$B$41)/(1+cDR)^'Markov Model_b (3)'!cycle2</f>
        <v>596590.26855415921</v>
      </c>
      <c r="X13" s="178">
        <f t="shared" ref="X13:X119" si="7">T13</f>
        <v>69.515207160072904</v>
      </c>
      <c r="Y13" s="202">
        <f>(T13*(uPostT))/(1+oDR)^'Markov Model_b (3)'!cycle</f>
        <v>52.568386954464621</v>
      </c>
      <c r="Z13" s="80"/>
      <c r="AA13" s="3"/>
      <c r="AB13" s="192"/>
      <c r="AC13" s="196" t="s">
        <v>370</v>
      </c>
      <c r="AD13" s="192"/>
      <c r="AE13" s="201">
        <f>W422</f>
        <v>7069772.7140358668</v>
      </c>
      <c r="AF13" s="219">
        <f>Y422</f>
        <v>307.74592472643963</v>
      </c>
      <c r="AG13" s="219">
        <f>X422</f>
        <v>470.43328266486964</v>
      </c>
      <c r="AH13" s="192"/>
      <c r="AI13" s="305">
        <f>'Decision Tree'!N41</f>
        <v>0.81200000000000006</v>
      </c>
      <c r="AJ13" s="305">
        <f>'Decision Tree'!N42</f>
        <v>0.76500000000000001</v>
      </c>
      <c r="AK13" s="14" t="s">
        <v>367</v>
      </c>
      <c r="AL13" s="14"/>
      <c r="AM13" s="14"/>
      <c r="AN13" s="14"/>
      <c r="AO13" s="14"/>
      <c r="AP13" s="14"/>
      <c r="AQ13" s="14"/>
      <c r="AR13" s="297"/>
      <c r="AS13" s="297"/>
      <c r="AT13" s="297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</row>
    <row r="14" spans="1:62" ht="14.25" customHeight="1" x14ac:dyDescent="0.2">
      <c r="A14" s="637"/>
      <c r="B14" s="80"/>
      <c r="C14" s="173">
        <v>3</v>
      </c>
      <c r="D14" s="165"/>
      <c r="E14" s="174">
        <v>1.582002996749796E-2</v>
      </c>
      <c r="F14" s="502"/>
      <c r="G14" s="219">
        <f>$G$10-H14</f>
        <v>71.937084353889702</v>
      </c>
      <c r="H14" s="176">
        <f>H13+(G13*E14)</f>
        <v>28.062915646110291</v>
      </c>
      <c r="I14" s="515">
        <f t="shared" si="0"/>
        <v>100</v>
      </c>
      <c r="J14" s="153">
        <f>(G14*Parameters!$B$41)/(1+cDR)^'Markov Model_b (3)'!cycle</f>
        <v>615854.03406531515</v>
      </c>
      <c r="K14" s="178">
        <f t="shared" si="1"/>
        <v>71.937084353889702</v>
      </c>
      <c r="L14" s="202">
        <f>(G14*(uPostT))/(1+oDR)^'Markov Model_b (3)'!cycle</f>
        <v>54.264184424437069</v>
      </c>
      <c r="M14" s="80"/>
      <c r="N14" s="3"/>
      <c r="O14" s="80"/>
      <c r="P14" s="173">
        <v>3</v>
      </c>
      <c r="Q14" s="165"/>
      <c r="R14" s="174">
        <v>1.6544637230375366E-2</v>
      </c>
      <c r="S14" s="502"/>
      <c r="T14" s="219">
        <f t="shared" si="6"/>
        <v>68.365103275615098</v>
      </c>
      <c r="U14" s="249">
        <f>U13+(T13*R14)</f>
        <v>31.634896724384898</v>
      </c>
      <c r="V14" s="515">
        <f t="shared" si="2"/>
        <v>100</v>
      </c>
      <c r="W14" s="153">
        <f>(T14*Parameters!$B$41)/(1+cDR)^'Markov Model_b (3)'!cycle2</f>
        <v>585274.27153506689</v>
      </c>
      <c r="X14" s="178">
        <f t="shared" si="7"/>
        <v>68.365103275615098</v>
      </c>
      <c r="Y14" s="202">
        <f>(T14*(uPostT))/(1+oDR)^'Markov Model_b (3)'!cycle</f>
        <v>51.569737718221461</v>
      </c>
      <c r="Z14" s="80"/>
      <c r="AA14" s="3"/>
      <c r="AB14" s="192"/>
      <c r="AC14" s="79"/>
      <c r="AD14" s="192"/>
      <c r="AE14" s="192"/>
      <c r="AF14" s="192"/>
      <c r="AG14" s="192"/>
      <c r="AH14" s="192"/>
      <c r="AI14" s="14"/>
      <c r="AJ14" s="14"/>
      <c r="AK14" s="14"/>
      <c r="AL14" s="14"/>
      <c r="AM14" s="14"/>
      <c r="AN14" s="14"/>
      <c r="AO14" s="14"/>
      <c r="AP14" s="14"/>
      <c r="AQ14" s="14"/>
      <c r="AR14" s="297"/>
      <c r="AS14" s="297"/>
      <c r="AT14" s="297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</row>
    <row r="15" spans="1:62" ht="14.25" customHeight="1" x14ac:dyDescent="0.2">
      <c r="A15" s="637"/>
      <c r="B15" s="80"/>
      <c r="C15" s="173">
        <v>4</v>
      </c>
      <c r="D15" s="165"/>
      <c r="E15" s="174">
        <v>1.5949881147419669E-2</v>
      </c>
      <c r="F15" s="502"/>
      <c r="G15" s="219">
        <f t="shared" si="3"/>
        <v>70.789696408353265</v>
      </c>
      <c r="H15" s="176">
        <f t="shared" si="4"/>
        <v>29.210303591646735</v>
      </c>
      <c r="I15" s="515">
        <f t="shared" si="0"/>
        <v>100</v>
      </c>
      <c r="J15" s="153">
        <f>(G15*Parameters!$B$41)/(1+cDR)^'Markov Model_b (3)'!cycle</f>
        <v>604538.02649237833</v>
      </c>
      <c r="K15" s="178">
        <f t="shared" si="1"/>
        <v>70.789696408353265</v>
      </c>
      <c r="L15" s="202">
        <f>(G15*(uPostT))/(1+oDR)^'Markov Model_b (3)'!cycle</f>
        <v>53.265513348933311</v>
      </c>
      <c r="M15" s="80"/>
      <c r="N15" s="3"/>
      <c r="O15" s="80"/>
      <c r="P15" s="173">
        <v>4</v>
      </c>
      <c r="Q15" s="165"/>
      <c r="R15" s="174">
        <v>1.6657583285633555E-2</v>
      </c>
      <c r="S15" s="502"/>
      <c r="T15" s="219">
        <f t="shared" si="6"/>
        <v>67.226305873970603</v>
      </c>
      <c r="U15" s="249">
        <f>U14+(T14*R15)</f>
        <v>32.773694126029397</v>
      </c>
      <c r="V15" s="515">
        <f t="shared" si="2"/>
        <v>100</v>
      </c>
      <c r="W15" s="153">
        <f>(T15*Parameters!$B$41)/(1+cDR)^'Markov Model_b (3)'!cycle2</f>
        <v>574106.972390229</v>
      </c>
      <c r="X15" s="178">
        <f t="shared" si="7"/>
        <v>67.226305873970603</v>
      </c>
      <c r="Y15" s="202">
        <f>(T15*(uPostT))/(1+oDR)^'Markov Model_b (3)'!cycle</f>
        <v>50.584249892430833</v>
      </c>
      <c r="Z15" s="80"/>
      <c r="AA15" s="3"/>
      <c r="AB15" s="192"/>
      <c r="AC15" s="427" t="s">
        <v>253</v>
      </c>
      <c r="AD15" s="192"/>
      <c r="AE15" s="596">
        <f>K425</f>
        <v>59356.034594842946</v>
      </c>
      <c r="AF15" s="428" t="s">
        <v>568</v>
      </c>
      <c r="AG15" s="192"/>
      <c r="AH15" s="192"/>
      <c r="AI15" s="14"/>
      <c r="AJ15" s="14"/>
      <c r="AK15" s="14"/>
      <c r="AL15" s="14"/>
      <c r="AM15" s="14"/>
      <c r="AN15" s="14"/>
      <c r="AO15" s="14"/>
      <c r="AP15" s="14"/>
      <c r="AQ15" s="14"/>
      <c r="AR15" s="297"/>
      <c r="AS15" s="297"/>
      <c r="AT15" s="297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</row>
    <row r="16" spans="1:62" ht="14.25" customHeight="1" x14ac:dyDescent="0.2">
      <c r="A16" s="637"/>
      <c r="B16" s="80"/>
      <c r="C16" s="173">
        <v>5</v>
      </c>
      <c r="D16" s="165"/>
      <c r="E16" s="174">
        <v>1.6061159029058483E-2</v>
      </c>
      <c r="F16" s="502"/>
      <c r="G16" s="219">
        <f t="shared" si="3"/>
        <v>69.652731836719937</v>
      </c>
      <c r="H16" s="176">
        <f t="shared" si="4"/>
        <v>30.347268163280066</v>
      </c>
      <c r="I16" s="515">
        <f t="shared" si="0"/>
        <v>100</v>
      </c>
      <c r="J16" s="153">
        <f>(G16*Parameters!$B$41)/(1+cDR)^'Markov Model_b (3)'!cycle</f>
        <v>593362.83889769367</v>
      </c>
      <c r="K16" s="178">
        <f t="shared" si="1"/>
        <v>69.652731836719937</v>
      </c>
      <c r="L16" s="202">
        <f>(G16*(uPostT))/(1+oDR)^'Markov Model_b (3)'!cycle</f>
        <v>52.279309195283446</v>
      </c>
      <c r="M16" s="80"/>
      <c r="N16" s="3"/>
      <c r="O16" s="80"/>
      <c r="P16" s="173">
        <v>5</v>
      </c>
      <c r="Q16" s="165"/>
      <c r="R16" s="174">
        <v>1.675041044616005E-2</v>
      </c>
      <c r="S16" s="502"/>
      <c r="T16" s="219">
        <f t="shared" si="6"/>
        <v>66.100237657802495</v>
      </c>
      <c r="U16" s="249">
        <f>U15+(T15*R16)</f>
        <v>33.899762342197505</v>
      </c>
      <c r="V16" s="515">
        <f t="shared" si="2"/>
        <v>100</v>
      </c>
      <c r="W16" s="153">
        <f>(T16*Parameters!$B$41)/(1+cDR)^'Markov Model_b (3)'!cycle2</f>
        <v>563099.58897791489</v>
      </c>
      <c r="X16" s="178">
        <f t="shared" si="7"/>
        <v>66.100237657802495</v>
      </c>
      <c r="Y16" s="202">
        <f>(T16*(uPostT))/(1+oDR)^'Markov Model_b (3)'!cycle</f>
        <v>49.612910667951603</v>
      </c>
      <c r="Z16" s="80"/>
      <c r="AA16" s="3"/>
      <c r="AB16" s="192"/>
      <c r="AC16" s="601"/>
      <c r="AD16" s="192"/>
      <c r="AE16" s="192"/>
      <c r="AF16" s="203"/>
      <c r="AG16" s="192"/>
      <c r="AH16" s="192"/>
      <c r="AI16" s="297"/>
      <c r="AJ16" s="297"/>
      <c r="AK16" s="297"/>
      <c r="AL16" s="297"/>
      <c r="AM16" s="297"/>
      <c r="AN16" s="297"/>
      <c r="AO16" s="297"/>
      <c r="AP16" s="297"/>
      <c r="AQ16" s="297"/>
      <c r="AR16" s="297"/>
      <c r="AS16" s="297"/>
      <c r="AT16" s="297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</row>
    <row r="17" spans="1:60" ht="14.25" customHeight="1" x14ac:dyDescent="0.2">
      <c r="A17" s="637"/>
      <c r="B17" s="80"/>
      <c r="C17" s="173">
        <v>6</v>
      </c>
      <c r="D17" s="165"/>
      <c r="E17" s="174">
        <v>1.6152561643455923E-2</v>
      </c>
      <c r="F17" s="502"/>
      <c r="G17" s="219">
        <f t="shared" si="3"/>
        <v>68.527661792092204</v>
      </c>
      <c r="H17" s="176">
        <f t="shared" si="4"/>
        <v>31.472338207907789</v>
      </c>
      <c r="I17" s="515">
        <f t="shared" si="0"/>
        <v>100</v>
      </c>
      <c r="J17" s="153">
        <f>(G17*Parameters!$B$41)/(1+cDR)^'Markov Model_b (3)'!cycle</f>
        <v>582340.1289469637</v>
      </c>
      <c r="K17" s="178">
        <f t="shared" si="1"/>
        <v>68.527661792092204</v>
      </c>
      <c r="L17" s="202">
        <f>(G17*(uPostT))/(1+oDR)^'Markov Model_b (3)'!cycle</f>
        <v>51.306597935989366</v>
      </c>
      <c r="M17" s="80"/>
      <c r="N17" s="3"/>
      <c r="O17" s="80"/>
      <c r="P17" s="173">
        <v>6</v>
      </c>
      <c r="Q17" s="165"/>
      <c r="R17" s="174">
        <v>1.6821669141114562E-2</v>
      </c>
      <c r="S17" s="502"/>
      <c r="T17" s="219">
        <f>$T$10-U17</f>
        <v>64.988321329773896</v>
      </c>
      <c r="U17" s="249">
        <f t="shared" si="5"/>
        <v>35.011678670226097</v>
      </c>
      <c r="V17" s="515">
        <f t="shared" si="2"/>
        <v>100</v>
      </c>
      <c r="W17" s="153">
        <f>(T17*Parameters!$B$41)/(1+cDR)^'Markov Model_b (3)'!cycle2</f>
        <v>552263.22383575654</v>
      </c>
      <c r="X17" s="178">
        <f>T17</f>
        <v>64.988321329773896</v>
      </c>
      <c r="Y17" s="202">
        <f>(T17*(uPostT))/(1+oDR)^'Markov Model_b (3)'!cycle</f>
        <v>48.656696957174724</v>
      </c>
      <c r="Z17" s="80"/>
      <c r="AA17" s="3"/>
      <c r="AB17" s="3"/>
      <c r="AC17" s="297"/>
      <c r="AD17" s="29"/>
      <c r="AE17" s="442"/>
      <c r="AF17" s="3"/>
      <c r="AG17" s="3"/>
      <c r="AH17" s="3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3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</row>
    <row r="18" spans="1:60" ht="14.25" customHeight="1" x14ac:dyDescent="0.2">
      <c r="A18" s="637"/>
      <c r="B18" s="80"/>
      <c r="C18" s="173">
        <v>7</v>
      </c>
      <c r="D18" s="165"/>
      <c r="E18" s="174">
        <v>1.6222876661671951E-2</v>
      </c>
      <c r="F18" s="502"/>
      <c r="G18" s="219">
        <f t="shared" si="3"/>
        <v>67.415945986926332</v>
      </c>
      <c r="H18" s="176">
        <f t="shared" si="4"/>
        <v>32.584054013073668</v>
      </c>
      <c r="I18" s="515">
        <f t="shared" si="0"/>
        <v>100</v>
      </c>
      <c r="J18" s="153">
        <f>(G18*Parameters!$B$41)/(1+cDR)^'Markov Model_b (3)'!cycle</f>
        <v>571481.33795516565</v>
      </c>
      <c r="K18" s="178">
        <f t="shared" si="1"/>
        <v>67.415945986926332</v>
      </c>
      <c r="L18" s="202">
        <f>(G18*(uPostT))/(1+oDR)^'Markov Model_b (3)'!cycle</f>
        <v>50.348386359844213</v>
      </c>
      <c r="M18" s="80"/>
      <c r="N18" s="3"/>
      <c r="O18" s="80"/>
      <c r="P18" s="173">
        <v>7</v>
      </c>
      <c r="Q18" s="165"/>
      <c r="R18" s="174">
        <v>1.6870146362343661E-2</v>
      </c>
      <c r="S18" s="502"/>
      <c r="T18" s="219">
        <f t="shared" si="6"/>
        <v>63.891958837097597</v>
      </c>
      <c r="U18" s="249">
        <f t="shared" si="5"/>
        <v>36.108041162902403</v>
      </c>
      <c r="V18" s="515">
        <f t="shared" si="2"/>
        <v>100</v>
      </c>
      <c r="W18" s="153">
        <f>(T18*Parameters!$B$41)/(1+cDR)^'Markov Model_b (3)'!cycle2</f>
        <v>541608.68895738292</v>
      </c>
      <c r="X18" s="178">
        <f t="shared" si="7"/>
        <v>63.891958837097597</v>
      </c>
      <c r="Y18" s="202">
        <f>(T18*(uPostT))/(1+oDR)^'Markov Model_b (3)'!cycle</f>
        <v>47.71655995810373</v>
      </c>
      <c r="Z18" s="80"/>
      <c r="AA18" s="3"/>
      <c r="AB18" s="3"/>
      <c r="AC18" s="297"/>
      <c r="AD18" s="523"/>
      <c r="AE18" s="524"/>
      <c r="AF18" s="3"/>
      <c r="AG18" s="3"/>
      <c r="AH18" s="3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3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</row>
    <row r="19" spans="1:60" ht="14.25" customHeight="1" x14ac:dyDescent="0.25">
      <c r="A19" s="637"/>
      <c r="B19" s="80"/>
      <c r="C19" s="173">
        <v>8</v>
      </c>
      <c r="D19" s="165"/>
      <c r="E19" s="174">
        <v>1.6271337586016819E-2</v>
      </c>
      <c r="F19" s="502"/>
      <c r="G19" s="219">
        <f t="shared" si="3"/>
        <v>66.318998371092377</v>
      </c>
      <c r="H19" s="176">
        <f t="shared" si="4"/>
        <v>33.681001628907623</v>
      </c>
      <c r="I19" s="515">
        <f t="shared" si="0"/>
        <v>100</v>
      </c>
      <c r="J19" s="153">
        <f>(G19*Parameters!$B$41)/(1+cDR)^'Markov Model_b (3)'!cycle</f>
        <v>560797.40259677463</v>
      </c>
      <c r="K19" s="178">
        <f t="shared" si="1"/>
        <v>66.318998371092377</v>
      </c>
      <c r="L19" s="202">
        <f>(G19*(uPostT))/(1+oDR)^'Markov Model_b (3)'!cycle</f>
        <v>49.405636676780034</v>
      </c>
      <c r="M19" s="80"/>
      <c r="N19" s="3"/>
      <c r="O19" s="80"/>
      <c r="P19" s="173">
        <v>8</v>
      </c>
      <c r="Q19" s="165"/>
      <c r="R19" s="174">
        <v>1.6895549167074728E-2</v>
      </c>
      <c r="S19" s="502"/>
      <c r="T19" s="219">
        <f t="shared" si="6"/>
        <v>62.812469105184704</v>
      </c>
      <c r="U19" s="249">
        <f t="shared" si="5"/>
        <v>37.187530894815296</v>
      </c>
      <c r="V19" s="515">
        <f t="shared" si="2"/>
        <v>100</v>
      </c>
      <c r="W19" s="153">
        <f>(T19*Parameters!$B$41)/(1+cDR)^'Markov Model_b (3)'!cycle2</f>
        <v>531145.98214788327</v>
      </c>
      <c r="X19" s="178">
        <f t="shared" si="7"/>
        <v>62.812469105184704</v>
      </c>
      <c r="Y19" s="202">
        <f>(T19*(uPostT))/(1+oDR)^'Markov Model_b (3)'!cycle</f>
        <v>46.793379025683706</v>
      </c>
      <c r="Z19" s="80"/>
      <c r="AA19" s="3"/>
      <c r="AB19" s="3"/>
      <c r="AC19" s="297"/>
      <c r="AD19" s="523"/>
      <c r="AE19" s="297"/>
      <c r="AF19" s="3"/>
      <c r="AG19" s="3"/>
      <c r="AH19" s="3"/>
      <c r="AI19" s="14"/>
      <c r="AJ19" s="307"/>
      <c r="AK19" s="14"/>
      <c r="AL19" s="14"/>
      <c r="AM19" s="14"/>
      <c r="AN19" s="14"/>
      <c r="AO19" s="14"/>
      <c r="AP19" s="14"/>
      <c r="AQ19" s="14"/>
      <c r="AR19" s="14"/>
      <c r="AS19" s="14"/>
      <c r="AT19" s="3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</row>
    <row r="20" spans="1:60" ht="14.25" customHeight="1" x14ac:dyDescent="0.2">
      <c r="A20" s="637"/>
      <c r="B20" s="80"/>
      <c r="C20" s="173">
        <v>9</v>
      </c>
      <c r="D20" s="165"/>
      <c r="E20" s="174">
        <v>1.6296641140902721E-2</v>
      </c>
      <c r="F20" s="502"/>
      <c r="G20" s="219">
        <f t="shared" si="3"/>
        <v>65.238221453814575</v>
      </c>
      <c r="H20" s="176">
        <f t="shared" si="4"/>
        <v>34.761778546185425</v>
      </c>
      <c r="I20" s="515">
        <f t="shared" si="0"/>
        <v>100</v>
      </c>
      <c r="J20" s="153">
        <f>(G20*Parameters!$B$41)/(1+cDR)^'Markov Model_b (3)'!cycle</f>
        <v>550299.04992060072</v>
      </c>
      <c r="K20" s="178">
        <f t="shared" si="1"/>
        <v>65.238221453814575</v>
      </c>
      <c r="L20" s="202">
        <f>(G20*(uPostT))/(1+oDR)^'Markov Model_b (3)'!cycle</f>
        <v>48.479292514235141</v>
      </c>
      <c r="M20" s="80"/>
      <c r="N20" s="3"/>
      <c r="O20" s="80"/>
      <c r="P20" s="173">
        <v>9</v>
      </c>
      <c r="Q20" s="165"/>
      <c r="R20" s="174">
        <v>1.6896626041108597E-2</v>
      </c>
      <c r="S20" s="502"/>
      <c r="T20" s="219">
        <f t="shared" si="6"/>
        <v>61.751150303995708</v>
      </c>
      <c r="U20" s="249">
        <f t="shared" si="5"/>
        <v>38.248849696004292</v>
      </c>
      <c r="V20" s="515">
        <f t="shared" si="2"/>
        <v>100</v>
      </c>
      <c r="W20" s="153">
        <f>(T20*Parameters!$B$41)/(1+cDR)^'Markov Model_b (3)'!cycle2</f>
        <v>520884.82160492899</v>
      </c>
      <c r="X20" s="178">
        <f t="shared" si="7"/>
        <v>61.751150303995708</v>
      </c>
      <c r="Y20" s="202">
        <f>(T20*(uPostT))/(1+oDR)^'Markov Model_b (3)'!cycle</f>
        <v>45.888008777144016</v>
      </c>
      <c r="Z20" s="80"/>
      <c r="AA20" s="3"/>
      <c r="AB20" s="3"/>
      <c r="AC20" s="14"/>
      <c r="AD20" s="523"/>
      <c r="AE20" s="297"/>
      <c r="AF20" s="3"/>
      <c r="AG20" s="3"/>
      <c r="AH20" s="3"/>
      <c r="AI20" s="268"/>
      <c r="AJ20" s="268"/>
      <c r="AK20" s="268"/>
      <c r="AL20" s="268"/>
      <c r="AM20" s="268"/>
      <c r="AN20" s="268"/>
      <c r="AO20" s="268"/>
      <c r="AP20" s="3"/>
      <c r="AQ20" s="3"/>
      <c r="AR20" s="3"/>
      <c r="AS20" s="3"/>
      <c r="AT20" s="3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</row>
    <row r="21" spans="1:60" ht="14.25" customHeight="1" x14ac:dyDescent="0.2">
      <c r="A21" s="637"/>
      <c r="B21" s="80"/>
      <c r="C21" s="173">
        <v>10</v>
      </c>
      <c r="D21" s="165"/>
      <c r="E21" s="174">
        <v>1.6297728163017017E-2</v>
      </c>
      <c r="F21" s="502"/>
      <c r="G21" s="219">
        <f t="shared" si="3"/>
        <v>64.174986654721607</v>
      </c>
      <c r="H21" s="176">
        <f t="shared" si="4"/>
        <v>35.8250133452784</v>
      </c>
      <c r="I21" s="515">
        <f t="shared" si="0"/>
        <v>100</v>
      </c>
      <c r="J21" s="153">
        <f>(G21*Parameters!$B$41)/(1+cDR)^'Markov Model_b (3)'!cycle</f>
        <v>539996.63391086843</v>
      </c>
      <c r="K21" s="178">
        <f t="shared" si="1"/>
        <v>64.174986654721607</v>
      </c>
      <c r="L21" s="202">
        <f>(G21*(uPostT))/(1+oDR)^'Markov Model_b (3)'!cycle</f>
        <v>47.570264521997771</v>
      </c>
      <c r="M21" s="80"/>
      <c r="N21" s="3"/>
      <c r="O21" s="80"/>
      <c r="P21" s="173">
        <v>10</v>
      </c>
      <c r="Q21" s="165"/>
      <c r="R21" s="174">
        <v>1.6872359658388226E-2</v>
      </c>
      <c r="S21" s="502"/>
      <c r="T21" s="219">
        <f t="shared" si="6"/>
        <v>60.7092626867475</v>
      </c>
      <c r="U21" s="249">
        <f t="shared" si="5"/>
        <v>39.2907373132525</v>
      </c>
      <c r="V21" s="515">
        <f t="shared" si="2"/>
        <v>100</v>
      </c>
      <c r="W21" s="153">
        <f>(T21*Parameters!$B$41)/(1+cDR)^'Markov Model_b (3)'!cycle2</f>
        <v>510834.5043285237</v>
      </c>
      <c r="X21" s="178">
        <f t="shared" si="7"/>
        <v>60.7092626867475</v>
      </c>
      <c r="Y21" s="202">
        <f>(T21*(uPostT))/(1+oDR)^'Markov Model_b (3)'!cycle</f>
        <v>45.001266622492537</v>
      </c>
      <c r="Z21" s="80"/>
      <c r="AA21" s="3"/>
      <c r="AB21" s="3"/>
      <c r="AC21" s="14"/>
      <c r="AD21" s="523"/>
      <c r="AE21" s="297"/>
      <c r="AF21" s="3"/>
      <c r="AG21" s="3"/>
      <c r="AH21" s="3"/>
      <c r="AI21" s="268"/>
      <c r="AJ21" s="268"/>
      <c r="AK21" s="268"/>
      <c r="AL21" s="268"/>
      <c r="AM21" s="268"/>
      <c r="AN21" s="268"/>
      <c r="AO21" s="268"/>
      <c r="AP21" s="3"/>
      <c r="AQ21" s="3"/>
      <c r="AR21" s="3"/>
      <c r="AS21" s="3"/>
      <c r="AT21" s="3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</row>
    <row r="22" spans="1:60" ht="14.25" customHeight="1" x14ac:dyDescent="0.2">
      <c r="A22" s="637"/>
      <c r="B22" s="80"/>
      <c r="C22" s="173">
        <v>11</v>
      </c>
      <c r="D22" s="165"/>
      <c r="E22" s="174">
        <v>1.6274964345218856E-2</v>
      </c>
      <c r="F22" s="502"/>
      <c r="G22" s="219">
        <f t="shared" si="3"/>
        <v>63.130541035061107</v>
      </c>
      <c r="H22" s="176">
        <f t="shared" si="4"/>
        <v>36.869458964938893</v>
      </c>
      <c r="I22" s="515">
        <f t="shared" si="0"/>
        <v>100</v>
      </c>
      <c r="J22" s="153">
        <f>(G22*Parameters!$B$41)/(1+cDR)^'Markov Model_b (3)'!cycle</f>
        <v>529899.35653678502</v>
      </c>
      <c r="K22" s="178">
        <f t="shared" si="1"/>
        <v>63.130541035061107</v>
      </c>
      <c r="L22" s="202">
        <f>(G22*(uPostT))/(1+oDR)^'Markov Model_b (3)'!cycle</f>
        <v>46.679361758613098</v>
      </c>
      <c r="M22" s="80"/>
      <c r="N22" s="3"/>
      <c r="O22" s="80"/>
      <c r="P22" s="173">
        <v>11</v>
      </c>
      <c r="Q22" s="165"/>
      <c r="R22" s="174">
        <v>1.6823591687091192E-2</v>
      </c>
      <c r="S22" s="502"/>
      <c r="T22" s="219">
        <f t="shared" si="6"/>
        <v>59.687914839681298</v>
      </c>
      <c r="U22" s="249">
        <f t="shared" si="5"/>
        <v>40.312085160318702</v>
      </c>
      <c r="V22" s="515">
        <f t="shared" si="2"/>
        <v>100</v>
      </c>
      <c r="W22" s="153">
        <f>(T22*Parameters!$B$41)/(1+cDR)^'Markov Model_b (3)'!cycle2</f>
        <v>501002.95590693294</v>
      </c>
      <c r="X22" s="178">
        <f t="shared" si="7"/>
        <v>59.687914839681298</v>
      </c>
      <c r="Y22" s="202">
        <f>(T22*(uPostT))/(1+oDR)^'Markov Model_b (3)'!cycle</f>
        <v>44.13384906477188</v>
      </c>
      <c r="Z22" s="80"/>
      <c r="AA22" s="3"/>
      <c r="AB22" s="3"/>
      <c r="AC22" s="14"/>
      <c r="AD22" s="525"/>
      <c r="AE22" s="14"/>
      <c r="AF22" s="3"/>
      <c r="AG22" s="3"/>
      <c r="AH22" s="3"/>
      <c r="AI22" s="268"/>
      <c r="AJ22" s="268"/>
      <c r="AK22" s="268"/>
      <c r="AL22" s="268"/>
      <c r="AM22" s="268"/>
      <c r="AN22" s="268"/>
      <c r="AO22" s="268"/>
      <c r="AP22" s="3"/>
      <c r="AQ22" s="3"/>
      <c r="AR22" s="3"/>
      <c r="AS22" s="3"/>
      <c r="AT22" s="3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</row>
    <row r="23" spans="1:60" ht="14.25" customHeight="1" x14ac:dyDescent="0.2">
      <c r="A23" s="637"/>
      <c r="B23" s="80"/>
      <c r="C23" s="173">
        <v>12</v>
      </c>
      <c r="D23" s="504"/>
      <c r="E23" s="174">
        <v>1.6227335482624793E-2</v>
      </c>
      <c r="F23" s="505"/>
      <c r="G23" s="219">
        <f t="shared" si="3"/>
        <v>62.106100566485559</v>
      </c>
      <c r="H23" s="176">
        <f t="shared" si="4"/>
        <v>37.893899433514441</v>
      </c>
      <c r="I23" s="516">
        <f t="shared" si="0"/>
        <v>100</v>
      </c>
      <c r="J23" s="180">
        <f>(G23*Parameters!$B$41)/(1+cDR)^'Markov Model_b (3)'!cycle</f>
        <v>520016.06223252119</v>
      </c>
      <c r="K23" s="176">
        <f t="shared" si="1"/>
        <v>62.106100566485559</v>
      </c>
      <c r="L23" s="202">
        <f>(G23*(uPostT))/(1+oDR)^'Markov Model_b (3)'!cycle</f>
        <v>45.807361691013732</v>
      </c>
      <c r="M23" s="80"/>
      <c r="N23" s="3"/>
      <c r="O23" s="80"/>
      <c r="P23" s="173">
        <v>12</v>
      </c>
      <c r="Q23" s="504"/>
      <c r="R23" s="174">
        <v>1.6749410832528601E-2</v>
      </c>
      <c r="S23" s="505"/>
      <c r="T23" s="219">
        <f t="shared" si="6"/>
        <v>58.688177432294495</v>
      </c>
      <c r="U23" s="249">
        <f t="shared" si="5"/>
        <v>41.311822567705505</v>
      </c>
      <c r="V23" s="516">
        <f t="shared" si="2"/>
        <v>100</v>
      </c>
      <c r="W23" s="180">
        <f>(T23*Parameters!$B$41)/(1+cDR)^'Markov Model_b (3)'!cycle2</f>
        <v>491397.69925298163</v>
      </c>
      <c r="X23" s="176">
        <f t="shared" si="7"/>
        <v>58.688177432294495</v>
      </c>
      <c r="Y23" s="202">
        <f>(T23*(uPostT))/(1+oDR)^'Markov Model_b (3)'!cycle</f>
        <v>43.286417052533864</v>
      </c>
      <c r="Z23" s="80"/>
      <c r="AA23" s="3"/>
      <c r="AB23" s="3"/>
      <c r="AC23" s="14">
        <v>0</v>
      </c>
      <c r="AD23" s="525"/>
      <c r="AE23" s="526"/>
      <c r="AF23" s="3"/>
      <c r="AG23" s="3"/>
      <c r="AH23" s="3"/>
      <c r="AI23" s="268"/>
      <c r="AJ23" s="268"/>
      <c r="AK23" s="268"/>
      <c r="AL23" s="268"/>
      <c r="AM23" s="268"/>
      <c r="AN23" s="268"/>
      <c r="AO23" s="268"/>
      <c r="AP23" s="3"/>
      <c r="AQ23" s="3"/>
      <c r="AR23" s="3"/>
      <c r="AS23" s="3"/>
      <c r="AT23" s="3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</row>
    <row r="24" spans="1:60" ht="14.25" customHeight="1" x14ac:dyDescent="0.25">
      <c r="A24" s="637" t="s">
        <v>543</v>
      </c>
      <c r="B24" s="80"/>
      <c r="C24" s="506">
        <v>13</v>
      </c>
      <c r="D24" s="506"/>
      <c r="E24" s="507">
        <v>1.6153314033365059E-2</v>
      </c>
      <c r="F24" s="508"/>
      <c r="G24" s="509">
        <f t="shared" si="3"/>
        <v>61.102881220647369</v>
      </c>
      <c r="H24" s="603">
        <f t="shared" si="4"/>
        <v>38.897118779352631</v>
      </c>
      <c r="I24" s="517">
        <f t="shared" si="0"/>
        <v>100</v>
      </c>
      <c r="J24" s="511">
        <f>(G24*0)/(1+cDR)^'Markov Model_b (3)'!cycle</f>
        <v>0</v>
      </c>
      <c r="K24" s="512">
        <f t="shared" si="1"/>
        <v>61.102881220647369</v>
      </c>
      <c r="L24" s="513">
        <f>(G24*(uPostT))/(1+oDR)^'Markov Model_b (3)'!cycle</f>
        <v>44.955033409056206</v>
      </c>
      <c r="M24" s="80"/>
      <c r="N24" s="3"/>
      <c r="O24" s="80"/>
      <c r="P24" s="506">
        <v>13</v>
      </c>
      <c r="Q24" s="506"/>
      <c r="R24" s="507">
        <v>1.664826445389412E-2</v>
      </c>
      <c r="S24" s="508"/>
      <c r="T24" s="509">
        <f t="shared" si="6"/>
        <v>57.711121134084593</v>
      </c>
      <c r="U24" s="510">
        <f t="shared" si="5"/>
        <v>42.288878865915407</v>
      </c>
      <c r="V24" s="517">
        <f t="shared" si="2"/>
        <v>100</v>
      </c>
      <c r="W24" s="511">
        <f>(T24*0)/(1+cDR)^'Markov Model_b (3)'!cycle2</f>
        <v>0</v>
      </c>
      <c r="X24" s="512">
        <f t="shared" si="7"/>
        <v>57.711121134084593</v>
      </c>
      <c r="Y24" s="513">
        <f>(T24*(uPostT))/(1+oDR)^'Markov Model_b (3)'!cycle</f>
        <v>42.45962427349798</v>
      </c>
      <c r="Z24" s="80"/>
      <c r="AA24" s="3"/>
      <c r="AB24" s="3"/>
      <c r="AC24" s="14">
        <v>12</v>
      </c>
      <c r="AD24" s="525"/>
      <c r="AE24" s="525"/>
      <c r="AF24" s="3"/>
      <c r="AG24" s="3"/>
      <c r="AH24" s="3"/>
      <c r="AI24" s="268"/>
      <c r="AJ24" s="268"/>
      <c r="AK24" s="268"/>
      <c r="AL24" s="268"/>
      <c r="AM24" s="268"/>
      <c r="AN24" s="268"/>
      <c r="AO24" s="268"/>
      <c r="AP24" s="3"/>
      <c r="AQ24" s="3"/>
      <c r="AR24" s="3"/>
      <c r="AS24" s="3"/>
      <c r="AT24" s="3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</row>
    <row r="25" spans="1:60" ht="14.25" customHeight="1" x14ac:dyDescent="0.2">
      <c r="A25" s="637"/>
      <c r="B25" s="80"/>
      <c r="C25" s="173">
        <v>14</v>
      </c>
      <c r="D25" s="165"/>
      <c r="E25" s="174">
        <v>1.6052505831421548E-2</v>
      </c>
      <c r="F25" s="502"/>
      <c r="G25" s="219">
        <f t="shared" si="3"/>
        <v>60.12202686353627</v>
      </c>
      <c r="H25" s="176">
        <f t="shared" si="4"/>
        <v>39.87797313646373</v>
      </c>
      <c r="I25" s="515">
        <f t="shared" si="0"/>
        <v>100</v>
      </c>
      <c r="J25" s="153">
        <f>(G25*0)/(1+cDR)^'Markov Model_b (3)'!cycle</f>
        <v>0</v>
      </c>
      <c r="K25" s="178">
        <f t="shared" si="1"/>
        <v>60.12202686353627</v>
      </c>
      <c r="L25" s="202">
        <f>(G25*(uPostT))/(1+oDR)^'Markov Model_b (3)'!cycle</f>
        <v>44.123084761202591</v>
      </c>
      <c r="M25" s="80"/>
      <c r="N25" s="3"/>
      <c r="O25" s="80"/>
      <c r="P25" s="173">
        <v>14</v>
      </c>
      <c r="Q25" s="165"/>
      <c r="R25" s="174">
        <v>1.6519825282001344E-2</v>
      </c>
      <c r="S25" s="502"/>
      <c r="T25" s="219">
        <f t="shared" si="6"/>
        <v>56.757743496121101</v>
      </c>
      <c r="U25" s="249">
        <f t="shared" si="5"/>
        <v>43.242256503878899</v>
      </c>
      <c r="V25" s="515">
        <f t="shared" si="2"/>
        <v>100</v>
      </c>
      <c r="W25" s="153">
        <f>(T25*0)/(1+cDR)^'Markov Model_b (3)'!cycle2</f>
        <v>0</v>
      </c>
      <c r="X25" s="178">
        <f t="shared" si="7"/>
        <v>56.757743496121101</v>
      </c>
      <c r="Y25" s="202">
        <f>(T25*(uPostT))/(1+oDR)^'Markov Model_b (3)'!cycle</f>
        <v>41.654063540110101</v>
      </c>
      <c r="Z25" s="80"/>
      <c r="AA25" s="3"/>
      <c r="AB25" s="3"/>
      <c r="AC25" s="14">
        <v>13</v>
      </c>
      <c r="AD25" s="525"/>
      <c r="AE25" s="14"/>
      <c r="AF25" s="3"/>
      <c r="AG25" s="3"/>
      <c r="AH25" s="3"/>
      <c r="AI25" s="268"/>
      <c r="AJ25" s="268"/>
      <c r="AK25" s="268"/>
      <c r="AL25" s="268"/>
      <c r="AM25" s="268"/>
      <c r="AN25" s="268"/>
      <c r="AO25" s="268"/>
      <c r="AP25" s="3"/>
      <c r="AQ25" s="3"/>
      <c r="AR25" s="3"/>
      <c r="AS25" s="3"/>
      <c r="AT25" s="3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</row>
    <row r="26" spans="1:60" ht="14.25" customHeight="1" x14ac:dyDescent="0.2">
      <c r="A26" s="637"/>
      <c r="B26" s="80"/>
      <c r="C26" s="173">
        <v>15</v>
      </c>
      <c r="D26" s="165"/>
      <c r="E26" s="174">
        <v>1.5928171004940546E-2</v>
      </c>
      <c r="F26" s="502"/>
      <c r="G26" s="219">
        <f t="shared" si="3"/>
        <v>59.164392938490238</v>
      </c>
      <c r="H26" s="176">
        <f t="shared" si="4"/>
        <v>40.835607061509762</v>
      </c>
      <c r="I26" s="515">
        <f t="shared" si="0"/>
        <v>100</v>
      </c>
      <c r="J26" s="153">
        <f>(G26*0)/(1+cDR)^'Markov Model_b (3)'!cycle</f>
        <v>0</v>
      </c>
      <c r="K26" s="178">
        <f t="shared" si="1"/>
        <v>59.164392938490238</v>
      </c>
      <c r="L26" s="202">
        <f>(G26*(uPostT))/(1+oDR)^'Markov Model_b (3)'!cycle</f>
        <v>43.312004710085461</v>
      </c>
      <c r="M26" s="80"/>
      <c r="N26" s="3"/>
      <c r="O26" s="80"/>
      <c r="P26" s="173">
        <v>15</v>
      </c>
      <c r="Q26" s="165"/>
      <c r="R26" s="174">
        <v>1.636770320904667E-2</v>
      </c>
      <c r="S26" s="502"/>
      <c r="T26" s="219">
        <f t="shared" si="6"/>
        <v>55.828749595761394</v>
      </c>
      <c r="U26" s="249">
        <f t="shared" si="5"/>
        <v>44.171250404238606</v>
      </c>
      <c r="V26" s="515">
        <f t="shared" si="2"/>
        <v>100</v>
      </c>
      <c r="W26" s="153">
        <f>(T26*0)/(1+cDR)^'Markov Model_b (3)'!cycle2</f>
        <v>0</v>
      </c>
      <c r="X26" s="178">
        <f t="shared" si="7"/>
        <v>55.828749595761394</v>
      </c>
      <c r="Y26" s="202">
        <f>(T26*(uPostT))/(1+oDR)^'Markov Model_b (3)'!cycle</f>
        <v>40.870106923326503</v>
      </c>
      <c r="Z26" s="80"/>
      <c r="AA26" s="3"/>
      <c r="AB26" s="3"/>
      <c r="AC26" s="14">
        <v>14</v>
      </c>
      <c r="AD26" s="525"/>
      <c r="AE26" s="14"/>
      <c r="AF26" s="3"/>
      <c r="AG26" s="3"/>
      <c r="AH26" s="3"/>
      <c r="AI26" s="268"/>
      <c r="AJ26" s="268"/>
      <c r="AK26" s="268"/>
      <c r="AL26" s="268"/>
      <c r="AM26" s="268"/>
      <c r="AN26" s="268"/>
      <c r="AO26" s="268"/>
      <c r="AP26" s="3"/>
      <c r="AQ26" s="3"/>
      <c r="AR26" s="3"/>
      <c r="AS26" s="3"/>
      <c r="AT26" s="3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</row>
    <row r="27" spans="1:60" ht="14.25" customHeight="1" x14ac:dyDescent="0.2">
      <c r="A27" s="637"/>
      <c r="B27" s="80"/>
      <c r="C27" s="173">
        <v>16</v>
      </c>
      <c r="D27" s="165"/>
      <c r="E27" s="174">
        <v>1.5780271020039829E-2</v>
      </c>
      <c r="F27" s="502"/>
      <c r="G27" s="219">
        <f t="shared" si="3"/>
        <v>58.23076278318473</v>
      </c>
      <c r="H27" s="176">
        <f t="shared" si="4"/>
        <v>41.76923721681527</v>
      </c>
      <c r="I27" s="515">
        <f t="shared" si="0"/>
        <v>100</v>
      </c>
      <c r="J27" s="153">
        <f>(G27*0)/(1+cDR)^'Markov Model_b (3)'!cycle</f>
        <v>0</v>
      </c>
      <c r="K27" s="178">
        <f t="shared" si="1"/>
        <v>58.23076278318473</v>
      </c>
      <c r="L27" s="202">
        <f>(G27*(uPostT))/(1+oDR)^'Markov Model_b (3)'!cycle</f>
        <v>42.522223977395576</v>
      </c>
      <c r="M27" s="80"/>
      <c r="N27" s="3"/>
      <c r="O27" s="80"/>
      <c r="P27" s="173">
        <v>16</v>
      </c>
      <c r="Q27" s="165"/>
      <c r="R27" s="174">
        <v>1.6191983706816276E-2</v>
      </c>
      <c r="S27" s="502"/>
      <c r="T27" s="219">
        <f t="shared" si="6"/>
        <v>54.924771391934897</v>
      </c>
      <c r="U27" s="249">
        <f t="shared" si="5"/>
        <v>45.075228608065103</v>
      </c>
      <c r="V27" s="515">
        <f t="shared" si="2"/>
        <v>100</v>
      </c>
      <c r="W27" s="153">
        <f>(T27*0)/(1+cDR)^'Markov Model_b (3)'!cycle2</f>
        <v>0</v>
      </c>
      <c r="X27" s="178">
        <f t="shared" si="7"/>
        <v>54.924771391934897</v>
      </c>
      <c r="Y27" s="202">
        <f>(T27*(uPostT))/(1+oDR)^'Markov Model_b (3)'!cycle</f>
        <v>40.108068646312368</v>
      </c>
      <c r="Z27" s="80"/>
      <c r="AA27" s="3"/>
      <c r="AB27" s="3"/>
      <c r="AC27" s="14">
        <v>15</v>
      </c>
      <c r="AD27" s="525"/>
      <c r="AE27" s="14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</row>
    <row r="28" spans="1:60" ht="14.25" customHeight="1" x14ac:dyDescent="0.2">
      <c r="A28" s="637"/>
      <c r="B28" s="80"/>
      <c r="C28" s="173">
        <v>17</v>
      </c>
      <c r="D28" s="165"/>
      <c r="E28" s="174">
        <v>1.5607610212381769E-2</v>
      </c>
      <c r="F28" s="502"/>
      <c r="G28" s="219">
        <f t="shared" si="3"/>
        <v>57.321919735295118</v>
      </c>
      <c r="H28" s="176">
        <f t="shared" si="4"/>
        <v>42.678080264704882</v>
      </c>
      <c r="I28" s="515">
        <f t="shared" si="0"/>
        <v>100</v>
      </c>
      <c r="J28" s="153">
        <f>(G28*0)/(1+cDR)^'Markov Model_b (3)'!cycle</f>
        <v>0</v>
      </c>
      <c r="K28" s="178">
        <f t="shared" si="1"/>
        <v>57.321919735295118</v>
      </c>
      <c r="L28" s="202">
        <f>(G28*(uPostT))/(1+oDR)^'Markov Model_b (3)'!cycle</f>
        <v>41.754168259543938</v>
      </c>
      <c r="M28" s="80"/>
      <c r="N28" s="3"/>
      <c r="O28" s="80"/>
      <c r="P28" s="173">
        <v>17</v>
      </c>
      <c r="Q28" s="165"/>
      <c r="R28" s="174">
        <v>1.5991519420195107E-2</v>
      </c>
      <c r="S28" s="502"/>
      <c r="T28" s="219">
        <f t="shared" si="6"/>
        <v>54.046440843570991</v>
      </c>
      <c r="U28" s="249">
        <f t="shared" si="5"/>
        <v>45.953559156429009</v>
      </c>
      <c r="V28" s="515">
        <f t="shared" si="2"/>
        <v>100</v>
      </c>
      <c r="W28" s="153">
        <f>(T28*0)/(1+cDR)^'Markov Model_b (3)'!cycle2</f>
        <v>0</v>
      </c>
      <c r="X28" s="178">
        <f t="shared" si="7"/>
        <v>54.046440843570991</v>
      </c>
      <c r="Y28" s="202">
        <f>(T28*(uPostT))/(1+oDR)^'Markov Model_b (3)'!cycle</f>
        <v>39.36825904004823</v>
      </c>
      <c r="Z28" s="80"/>
      <c r="AA28" s="3"/>
      <c r="AB28" s="3"/>
      <c r="AC28" s="14">
        <v>16</v>
      </c>
      <c r="AD28" s="525"/>
      <c r="AE28" s="14"/>
      <c r="AF28" s="3"/>
      <c r="AG28" s="3"/>
      <c r="AH28" s="3"/>
      <c r="AI28" s="14"/>
      <c r="AJ28" s="14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</row>
    <row r="29" spans="1:60" ht="14.25" customHeight="1" x14ac:dyDescent="0.2">
      <c r="A29" s="637"/>
      <c r="B29" s="80"/>
      <c r="C29" s="173">
        <v>18</v>
      </c>
      <c r="D29" s="165"/>
      <c r="E29" s="174">
        <v>1.541005181113524E-2</v>
      </c>
      <c r="F29" s="502"/>
      <c r="G29" s="219">
        <f t="shared" si="3"/>
        <v>56.438585982260484</v>
      </c>
      <c r="H29" s="176">
        <f t="shared" si="4"/>
        <v>43.561414017739516</v>
      </c>
      <c r="I29" s="515">
        <f t="shared" si="0"/>
        <v>100</v>
      </c>
      <c r="J29" s="153">
        <f>(G29*0)/(1+cDR)^'Markov Model_b (3)'!cycle</f>
        <v>0</v>
      </c>
      <c r="K29" s="178">
        <f t="shared" si="1"/>
        <v>56.438585982260484</v>
      </c>
      <c r="L29" s="202">
        <f>(G29*(uPostT))/(1+oDR)^'Markov Model_b (3)'!cycle</f>
        <v>41.008213828761605</v>
      </c>
      <c r="M29" s="80"/>
      <c r="N29" s="3"/>
      <c r="O29" s="80"/>
      <c r="P29" s="173">
        <v>18</v>
      </c>
      <c r="Q29" s="165"/>
      <c r="R29" s="174">
        <v>1.576625540507099E-2</v>
      </c>
      <c r="S29" s="502"/>
      <c r="T29" s="219">
        <f t="shared" si="6"/>
        <v>53.19433085349619</v>
      </c>
      <c r="U29" s="249">
        <f t="shared" si="5"/>
        <v>46.80566914650381</v>
      </c>
      <c r="V29" s="515">
        <f t="shared" si="2"/>
        <v>100</v>
      </c>
      <c r="W29" s="153">
        <f>(T29*0)/(1+cDR)^'Markov Model_b (3)'!cycle2</f>
        <v>0</v>
      </c>
      <c r="X29" s="178">
        <f t="shared" si="7"/>
        <v>53.19433085349619</v>
      </c>
      <c r="Y29" s="202">
        <f>(T29*(uPostT))/(1+oDR)^'Markov Model_b (3)'!cycle</f>
        <v>38.65094165902228</v>
      </c>
      <c r="Z29" s="80"/>
      <c r="AA29" s="3"/>
      <c r="AB29" s="3"/>
      <c r="AC29" s="14">
        <v>17</v>
      </c>
      <c r="AD29" s="525"/>
      <c r="AE29" s="14"/>
      <c r="AF29" s="3"/>
      <c r="AG29" s="3"/>
      <c r="AH29" s="3"/>
      <c r="AI29" s="14"/>
      <c r="AJ29" s="14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</row>
    <row r="30" spans="1:60" ht="14.25" customHeight="1" x14ac:dyDescent="0.2">
      <c r="A30" s="637"/>
      <c r="B30" s="80"/>
      <c r="C30" s="173">
        <v>19</v>
      </c>
      <c r="D30" s="165"/>
      <c r="E30" s="174">
        <v>1.5190792908138488E-2</v>
      </c>
      <c r="F30" s="502"/>
      <c r="G30" s="219">
        <f t="shared" si="3"/>
        <v>55.581239110575794</v>
      </c>
      <c r="H30" s="176">
        <f t="shared" si="4"/>
        <v>44.418760889424206</v>
      </c>
      <c r="I30" s="515">
        <f t="shared" si="0"/>
        <v>100</v>
      </c>
      <c r="J30" s="153">
        <f>(G30*0)/(1+cDR)^'Markov Model_b (3)'!cycle</f>
        <v>0</v>
      </c>
      <c r="K30" s="178">
        <f t="shared" si="1"/>
        <v>55.581239110575794</v>
      </c>
      <c r="L30" s="202">
        <f>(G30*(uPostT))/(1+oDR)^'Markov Model_b (3)'!cycle</f>
        <v>40.284555157063565</v>
      </c>
      <c r="M30" s="80"/>
      <c r="N30" s="3"/>
      <c r="O30" s="80"/>
      <c r="P30" s="173">
        <v>19</v>
      </c>
      <c r="Q30" s="165"/>
      <c r="R30" s="174">
        <v>1.5519562707625178E-2</v>
      </c>
      <c r="S30" s="502"/>
      <c r="T30" s="219">
        <f t="shared" si="6"/>
        <v>52.368778100125198</v>
      </c>
      <c r="U30" s="249">
        <f t="shared" si="5"/>
        <v>47.631221899874802</v>
      </c>
      <c r="V30" s="515">
        <f t="shared" si="2"/>
        <v>100</v>
      </c>
      <c r="W30" s="153">
        <f>(T30*0)/(1+cDR)^'Markov Model_b (3)'!cycle2</f>
        <v>0</v>
      </c>
      <c r="X30" s="178">
        <f t="shared" si="7"/>
        <v>52.368778100125198</v>
      </c>
      <c r="Y30" s="202">
        <f>(T30*(uPostT))/(1+oDR)^'Markov Model_b (3)'!cycle</f>
        <v>37.956205432654691</v>
      </c>
      <c r="Z30" s="80"/>
      <c r="AA30" s="3"/>
      <c r="AB30" s="3"/>
      <c r="AC30" s="14">
        <v>18</v>
      </c>
      <c r="AD30" s="525"/>
      <c r="AE30" s="14"/>
      <c r="AF30" s="3"/>
      <c r="AG30" s="3"/>
      <c r="AH30" s="3"/>
      <c r="AI30" s="14"/>
      <c r="AJ30" s="14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</row>
    <row r="31" spans="1:60" ht="14.25" customHeight="1" x14ac:dyDescent="0.2">
      <c r="A31" s="637"/>
      <c r="B31" s="80"/>
      <c r="C31" s="173">
        <v>20</v>
      </c>
      <c r="D31" s="165"/>
      <c r="E31" s="174">
        <v>1.4950072495197331E-2</v>
      </c>
      <c r="F31" s="502"/>
      <c r="G31" s="219">
        <f t="shared" si="3"/>
        <v>54.750295556499786</v>
      </c>
      <c r="H31" s="176">
        <f t="shared" si="4"/>
        <v>45.249704443500214</v>
      </c>
      <c r="I31" s="515">
        <f t="shared" si="0"/>
        <v>100</v>
      </c>
      <c r="J31" s="153">
        <f>(G31*0)/(1+cDR)^'Markov Model_b (3)'!cycle</f>
        <v>0</v>
      </c>
      <c r="K31" s="178">
        <f t="shared" si="1"/>
        <v>54.750295556499786</v>
      </c>
      <c r="L31" s="202">
        <f>(G31*(uPostT))/(1+oDR)^'Markov Model_b (3)'!cycle</f>
        <v>39.583339787559787</v>
      </c>
      <c r="M31" s="80"/>
      <c r="N31" s="3"/>
      <c r="O31" s="80"/>
      <c r="P31" s="173">
        <v>20</v>
      </c>
      <c r="Q31" s="165"/>
      <c r="R31" s="174">
        <v>1.5251795503576887E-2</v>
      </c>
      <c r="S31" s="502"/>
      <c r="T31" s="219">
        <f t="shared" si="6"/>
        <v>51.570060205769892</v>
      </c>
      <c r="U31" s="249">
        <f t="shared" si="5"/>
        <v>48.429939794230108</v>
      </c>
      <c r="V31" s="515">
        <f t="shared" si="2"/>
        <v>100</v>
      </c>
      <c r="W31" s="153">
        <f>(T31*0)/(1+cDR)^'Markov Model_b (3)'!cycle2</f>
        <v>0</v>
      </c>
      <c r="X31" s="178">
        <f t="shared" si="7"/>
        <v>51.570060205769892</v>
      </c>
      <c r="Y31" s="202">
        <f>(T31*(uPostT))/(1+oDR)^'Markov Model_b (3)'!cycle</f>
        <v>37.284094912024017</v>
      </c>
      <c r="Z31" s="80"/>
      <c r="AA31" s="3"/>
      <c r="AB31" s="3"/>
      <c r="AC31" s="14">
        <v>19</v>
      </c>
      <c r="AD31" s="525"/>
      <c r="AE31" s="14"/>
      <c r="AF31" s="3"/>
      <c r="AG31" s="3"/>
      <c r="AH31" s="3"/>
      <c r="AI31" s="14"/>
      <c r="AJ31" s="14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</row>
    <row r="32" spans="1:60" ht="14.25" customHeight="1" x14ac:dyDescent="0.2">
      <c r="A32" s="637"/>
      <c r="B32" s="80"/>
      <c r="C32" s="173">
        <v>21</v>
      </c>
      <c r="D32" s="165"/>
      <c r="E32" s="174">
        <v>1.468816540062952E-2</v>
      </c>
      <c r="F32" s="502"/>
      <c r="G32" s="219">
        <f t="shared" si="3"/>
        <v>53.946114159632565</v>
      </c>
      <c r="H32" s="176">
        <f t="shared" si="4"/>
        <v>46.053885840367435</v>
      </c>
      <c r="I32" s="515">
        <f t="shared" si="0"/>
        <v>100</v>
      </c>
      <c r="J32" s="153">
        <f>(G32*0)/(1+cDR)^'Markov Model_b (3)'!cycle</f>
        <v>0</v>
      </c>
      <c r="K32" s="178">
        <f t="shared" si="1"/>
        <v>53.946114159632565</v>
      </c>
      <c r="L32" s="202">
        <f>(G32*(uPostT))/(1+oDR)^'Markov Model_b (3)'!cycle</f>
        <v>38.904671466983338</v>
      </c>
      <c r="M32" s="80"/>
      <c r="N32" s="3"/>
      <c r="O32" s="80"/>
      <c r="P32" s="173">
        <v>21</v>
      </c>
      <c r="Q32" s="165"/>
      <c r="R32" s="174">
        <v>1.4963316875031633E-2</v>
      </c>
      <c r="S32" s="502"/>
      <c r="T32" s="219">
        <f t="shared" si="6"/>
        <v>50.798401053646501</v>
      </c>
      <c r="U32" s="249">
        <f t="shared" si="5"/>
        <v>49.201598946353499</v>
      </c>
      <c r="V32" s="515">
        <f t="shared" si="2"/>
        <v>100</v>
      </c>
      <c r="W32" s="153">
        <f>(T32*0)/(1+cDR)^'Markov Model_b (3)'!cycle2</f>
        <v>0</v>
      </c>
      <c r="X32" s="178">
        <f t="shared" si="7"/>
        <v>50.798401053646501</v>
      </c>
      <c r="Y32" s="202">
        <f>(T32*(uPostT))/(1+oDR)^'Markov Model_b (3)'!cycle</f>
        <v>36.634614648834571</v>
      </c>
      <c r="Z32" s="80"/>
      <c r="AA32" s="3"/>
      <c r="AB32" s="3"/>
      <c r="AC32" s="14">
        <v>20</v>
      </c>
      <c r="AD32" s="525"/>
      <c r="AE32" s="14"/>
      <c r="AF32" s="3"/>
      <c r="AG32" s="3"/>
      <c r="AH32" s="3"/>
      <c r="AI32" s="14"/>
      <c r="AJ32" s="14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</row>
    <row r="33" spans="1:60" ht="14.25" customHeight="1" x14ac:dyDescent="0.2">
      <c r="A33" s="637"/>
      <c r="B33" s="80"/>
      <c r="C33" s="173">
        <v>22</v>
      </c>
      <c r="D33" s="165"/>
      <c r="E33" s="174">
        <v>1.4408652018815178E-2</v>
      </c>
      <c r="F33" s="502"/>
      <c r="G33" s="219">
        <f t="shared" si="3"/>
        <v>53.168823372939144</v>
      </c>
      <c r="H33" s="176">
        <f t="shared" si="4"/>
        <v>46.831176627060856</v>
      </c>
      <c r="I33" s="515">
        <f t="shared" si="0"/>
        <v>100</v>
      </c>
      <c r="J33" s="153">
        <f>(G33*0)/(1+cDR)^'Markov Model_b (3)'!cycle</f>
        <v>0</v>
      </c>
      <c r="K33" s="178">
        <f t="shared" si="1"/>
        <v>53.168823372939144</v>
      </c>
      <c r="L33" s="202">
        <f>(G33*(uPostT))/(1+oDR)^'Markov Model_b (3)'!cycle</f>
        <v>38.248486377964348</v>
      </c>
      <c r="M33" s="80"/>
      <c r="N33" s="3"/>
      <c r="O33" s="80"/>
      <c r="P33" s="173">
        <v>22</v>
      </c>
      <c r="Q33" s="165"/>
      <c r="R33" s="174">
        <v>1.4657774016740455E-2</v>
      </c>
      <c r="S33" s="502"/>
      <c r="T33" s="219">
        <f t="shared" si="6"/>
        <v>50.053809570590403</v>
      </c>
      <c r="U33" s="249">
        <f t="shared" si="5"/>
        <v>49.946190429409597</v>
      </c>
      <c r="V33" s="515">
        <f t="shared" si="2"/>
        <v>100</v>
      </c>
      <c r="W33" s="153">
        <f>(T33*0)/(1+cDR)^'Markov Model_b (3)'!cycle2</f>
        <v>0</v>
      </c>
      <c r="X33" s="178">
        <f t="shared" si="7"/>
        <v>50.053809570590403</v>
      </c>
      <c r="Y33" s="202">
        <f>(T33*(uPostT))/(1+oDR)^'Markov Model_b (3)'!cycle</f>
        <v>36.007613711841991</v>
      </c>
      <c r="Z33" s="80"/>
      <c r="AA33" s="3"/>
      <c r="AB33" s="3"/>
      <c r="AC33" s="14">
        <v>21</v>
      </c>
      <c r="AD33" s="525"/>
      <c r="AE33" s="14"/>
      <c r="AF33" s="3"/>
      <c r="AG33" s="3"/>
      <c r="AH33" s="3"/>
      <c r="AI33" s="14"/>
      <c r="AJ33" s="14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</row>
    <row r="34" spans="1:60" ht="14.25" customHeight="1" x14ac:dyDescent="0.25">
      <c r="A34" s="637"/>
      <c r="B34" s="80"/>
      <c r="C34" s="173">
        <v>23</v>
      </c>
      <c r="D34" s="165"/>
      <c r="E34" s="174">
        <v>1.4112204720993029E-2</v>
      </c>
      <c r="F34" s="502"/>
      <c r="G34" s="219">
        <f t="shared" si="3"/>
        <v>52.418494052725904</v>
      </c>
      <c r="H34" s="176">
        <f t="shared" si="4"/>
        <v>47.581505947274096</v>
      </c>
      <c r="I34" s="515">
        <f t="shared" si="0"/>
        <v>100</v>
      </c>
      <c r="J34" s="153">
        <f>(G34*0)/(1+cDR)^'Markov Model_b (3)'!cycle</f>
        <v>0</v>
      </c>
      <c r="K34" s="178">
        <f t="shared" si="1"/>
        <v>52.418494052725904</v>
      </c>
      <c r="L34" s="202">
        <f>(G34*(uPostT))/(1+oDR)^'Markov Model_b (3)'!cycle</f>
        <v>37.614679209905631</v>
      </c>
      <c r="M34" s="80"/>
      <c r="N34" s="3"/>
      <c r="O34" s="80"/>
      <c r="P34" s="173">
        <v>23</v>
      </c>
      <c r="Q34" s="165"/>
      <c r="R34" s="174">
        <v>1.4335944304840947E-2</v>
      </c>
      <c r="S34" s="502"/>
      <c r="T34" s="219">
        <f t="shared" si="6"/>
        <v>49.336240944341306</v>
      </c>
      <c r="U34" s="249">
        <f t="shared" si="5"/>
        <v>50.663759055658694</v>
      </c>
      <c r="V34" s="515">
        <f t="shared" si="2"/>
        <v>100</v>
      </c>
      <c r="W34" s="153">
        <f>(T34*0)/(1+cDR)^'Markov Model_b (3)'!cycle2</f>
        <v>0</v>
      </c>
      <c r="X34" s="178">
        <f t="shared" si="7"/>
        <v>49.336240944341306</v>
      </c>
      <c r="Y34" s="202">
        <f>(T34*(uPostT))/(1+oDR)^'Markov Model_b (3)'!cycle</f>
        <v>35.402903308846675</v>
      </c>
      <c r="Z34" s="80"/>
      <c r="AA34" s="3"/>
      <c r="AB34" s="3"/>
      <c r="AC34" s="14">
        <v>22</v>
      </c>
      <c r="AD34" s="525"/>
      <c r="AE34" s="14"/>
      <c r="AF34" s="3"/>
      <c r="AG34" s="3"/>
      <c r="AH34" s="3"/>
      <c r="AI34" s="14"/>
      <c r="AJ34" s="204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</row>
    <row r="35" spans="1:60" ht="14.25" customHeight="1" x14ac:dyDescent="0.2">
      <c r="A35" s="637"/>
      <c r="B35" s="80"/>
      <c r="C35" s="173">
        <v>24</v>
      </c>
      <c r="D35" s="504"/>
      <c r="E35" s="174">
        <v>1.3798507769015578E-2</v>
      </c>
      <c r="F35" s="505"/>
      <c r="G35" s="219">
        <f t="shared" si="3"/>
        <v>51.695197055299268</v>
      </c>
      <c r="H35" s="176">
        <f t="shared" si="4"/>
        <v>48.304802944700732</v>
      </c>
      <c r="I35" s="516">
        <f t="shared" si="0"/>
        <v>100</v>
      </c>
      <c r="J35" s="180">
        <f>(G35*0)/(1+cDR)^'Markov Model_b (3)'!cycle</f>
        <v>0</v>
      </c>
      <c r="K35" s="176">
        <f t="shared" si="1"/>
        <v>51.695197055299268</v>
      </c>
      <c r="L35" s="202">
        <f>(G35*(uPostT))/(1+oDR)^'Markov Model_b (3)'!cycle</f>
        <v>37.003144904337873</v>
      </c>
      <c r="M35" s="80"/>
      <c r="N35" s="3"/>
      <c r="O35" s="80"/>
      <c r="P35" s="173">
        <v>24</v>
      </c>
      <c r="Q35" s="504"/>
      <c r="R35" s="174">
        <v>1.3997632743876647E-2</v>
      </c>
      <c r="S35" s="505"/>
      <c r="T35" s="219">
        <f t="shared" si="6"/>
        <v>48.645650362639003</v>
      </c>
      <c r="U35" s="249">
        <f t="shared" si="5"/>
        <v>51.354349637360997</v>
      </c>
      <c r="V35" s="516">
        <f t="shared" si="2"/>
        <v>100</v>
      </c>
      <c r="W35" s="180">
        <f>(T35*0)/(1+cDR)^'Markov Model_b (3)'!cycle2</f>
        <v>0</v>
      </c>
      <c r="X35" s="176">
        <f t="shared" si="7"/>
        <v>48.645650362639003</v>
      </c>
      <c r="Y35" s="202">
        <f>(T35*(uPostT))/(1+oDR)^'Markov Model_b (3)'!cycle</f>
        <v>34.820295730935129</v>
      </c>
      <c r="Z35" s="80"/>
      <c r="AA35" s="3"/>
      <c r="AB35" s="3"/>
      <c r="AC35" s="14">
        <v>23</v>
      </c>
      <c r="AD35" s="14"/>
      <c r="AE35" s="14"/>
      <c r="AF35" s="3"/>
      <c r="AG35" s="3"/>
      <c r="AH35" s="3"/>
      <c r="AI35" s="14"/>
      <c r="AJ35" s="14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</row>
    <row r="36" spans="1:60" ht="14.25" customHeight="1" x14ac:dyDescent="0.25">
      <c r="A36" s="637" t="s">
        <v>544</v>
      </c>
      <c r="B36" s="80"/>
      <c r="C36" s="506">
        <v>25</v>
      </c>
      <c r="D36" s="506"/>
      <c r="E36" s="507">
        <v>1.3468246932886742E-2</v>
      </c>
      <c r="F36" s="508"/>
      <c r="G36" s="509">
        <f t="shared" si="3"/>
        <v>50.998953376114258</v>
      </c>
      <c r="H36" s="603">
        <f t="shared" si="4"/>
        <v>49.001046623885742</v>
      </c>
      <c r="I36" s="517">
        <f t="shared" si="0"/>
        <v>100</v>
      </c>
      <c r="J36" s="511">
        <f>(G36*0)/(1+cDR)^'Markov Model_b (3)'!cycle</f>
        <v>0</v>
      </c>
      <c r="K36" s="512">
        <f t="shared" si="1"/>
        <v>50.998953376114258</v>
      </c>
      <c r="L36" s="513">
        <f>(G36*(uPostT))/(1+oDR)^'Markov Model_b (3)'!cycle</f>
        <v>36.413743053838267</v>
      </c>
      <c r="M36" s="80"/>
      <c r="N36" s="3"/>
      <c r="O36" s="80"/>
      <c r="P36" s="506">
        <v>25</v>
      </c>
      <c r="Q36" s="506"/>
      <c r="R36" s="507">
        <v>1.3643621297947234E-2</v>
      </c>
      <c r="S36" s="508"/>
      <c r="T36" s="509">
        <f t="shared" si="6"/>
        <v>47.981947531298808</v>
      </c>
      <c r="U36" s="510">
        <f t="shared" si="5"/>
        <v>52.018052468701192</v>
      </c>
      <c r="V36" s="517">
        <f t="shared" si="2"/>
        <v>100</v>
      </c>
      <c r="W36" s="511">
        <f>(T36*0)/(1+cDR)^'Markov Model_b (3)'!cycle2</f>
        <v>0</v>
      </c>
      <c r="X36" s="512">
        <f t="shared" si="7"/>
        <v>47.981947531298808</v>
      </c>
      <c r="Y36" s="513">
        <f>(T36*(uPostT))/(1+oDR)^'Markov Model_b (3)'!cycle</f>
        <v>34.259571872817673</v>
      </c>
      <c r="Z36" s="80"/>
      <c r="AA36" s="3"/>
      <c r="AB36" s="3"/>
      <c r="AC36" s="14">
        <v>24</v>
      </c>
      <c r="AD36" s="14"/>
      <c r="AE36" s="14"/>
      <c r="AF36" s="3"/>
      <c r="AG36" s="3"/>
      <c r="AH36" s="3"/>
      <c r="AI36" s="14"/>
      <c r="AJ36" s="14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</row>
    <row r="37" spans="1:60" ht="14.25" customHeight="1" x14ac:dyDescent="0.2">
      <c r="A37" s="637"/>
      <c r="B37" s="80"/>
      <c r="C37" s="173">
        <v>26</v>
      </c>
      <c r="D37" s="165"/>
      <c r="E37" s="174">
        <v>1.3125147960531778E-2</v>
      </c>
      <c r="F37" s="502"/>
      <c r="G37" s="219">
        <f t="shared" si="3"/>
        <v>50.329584567220493</v>
      </c>
      <c r="H37" s="176">
        <f t="shared" si="4"/>
        <v>49.670415432779507</v>
      </c>
      <c r="I37" s="515">
        <f t="shared" si="0"/>
        <v>100</v>
      </c>
      <c r="J37" s="153">
        <f>(G37*0)/(1+cDR)^'Markov Model_b (3)'!cycle</f>
        <v>0</v>
      </c>
      <c r="K37" s="178">
        <f t="shared" si="1"/>
        <v>50.329584567220493</v>
      </c>
      <c r="L37" s="202">
        <f>(G37*(uPostT))/(1+oDR)^'Markov Model_b (3)'!cycle</f>
        <v>35.846191808937505</v>
      </c>
      <c r="M37" s="80"/>
      <c r="N37" s="3"/>
      <c r="O37" s="80"/>
      <c r="P37" s="173">
        <v>26</v>
      </c>
      <c r="Q37" s="165"/>
      <c r="R37" s="174">
        <v>1.3277645773882582E-2</v>
      </c>
      <c r="S37" s="502"/>
      <c r="T37" s="219">
        <f t="shared" si="6"/>
        <v>47.344860228437199</v>
      </c>
      <c r="U37" s="249">
        <f t="shared" si="5"/>
        <v>52.655139771562801</v>
      </c>
      <c r="V37" s="515">
        <f t="shared" si="2"/>
        <v>100</v>
      </c>
      <c r="W37" s="153">
        <f>(T37*0)/(1+cDR)^'Markov Model_b (3)'!cycle2</f>
        <v>0</v>
      </c>
      <c r="X37" s="178">
        <f t="shared" si="7"/>
        <v>47.344860228437199</v>
      </c>
      <c r="Y37" s="202">
        <f>(T37*(uPostT))/(1+oDR)^'Markov Model_b (3)'!cycle</f>
        <v>33.720384451995542</v>
      </c>
      <c r="Z37" s="80"/>
      <c r="AA37" s="3"/>
      <c r="AB37" s="3"/>
      <c r="AC37" s="14">
        <v>25</v>
      </c>
      <c r="AD37" s="14"/>
      <c r="AE37" s="14"/>
      <c r="AF37" s="3"/>
      <c r="AG37" s="3"/>
      <c r="AH37" s="3"/>
      <c r="AI37" s="14"/>
      <c r="AJ37" s="14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</row>
    <row r="38" spans="1:60" ht="14.25" customHeight="1" x14ac:dyDescent="0.2">
      <c r="A38" s="637"/>
      <c r="B38" s="80"/>
      <c r="C38" s="173">
        <v>27</v>
      </c>
      <c r="D38" s="165"/>
      <c r="E38" s="174">
        <v>1.2770267287734755E-2</v>
      </c>
      <c r="F38" s="502"/>
      <c r="G38" s="219">
        <f t="shared" si="3"/>
        <v>49.686862319816434</v>
      </c>
      <c r="H38" s="176">
        <f t="shared" si="4"/>
        <v>50.313137680183566</v>
      </c>
      <c r="I38" s="515">
        <f t="shared" si="0"/>
        <v>100</v>
      </c>
      <c r="J38" s="153">
        <f>(G38*0)/(1+cDR)^'Markov Model_b (3)'!cycle</f>
        <v>0</v>
      </c>
      <c r="K38" s="178">
        <f t="shared" si="1"/>
        <v>49.686862319816434</v>
      </c>
      <c r="L38" s="202">
        <f>(G38*(uPostT))/(1+oDR)^'Markov Model_b (3)'!cycle</f>
        <v>35.300175918493736</v>
      </c>
      <c r="M38" s="80"/>
      <c r="N38" s="3"/>
      <c r="O38" s="80"/>
      <c r="P38" s="173">
        <v>27</v>
      </c>
      <c r="Q38" s="165"/>
      <c r="R38" s="174">
        <v>1.2900861365815882E-2</v>
      </c>
      <c r="S38" s="502"/>
      <c r="T38" s="219">
        <f t="shared" si="6"/>
        <v>46.734070750246204</v>
      </c>
      <c r="U38" s="249">
        <f t="shared" si="5"/>
        <v>53.265929249753796</v>
      </c>
      <c r="V38" s="515">
        <f t="shared" si="2"/>
        <v>100</v>
      </c>
      <c r="W38" s="153">
        <f>(T38*0)/(1+cDR)^'Markov Model_b (3)'!cycle2</f>
        <v>0</v>
      </c>
      <c r="X38" s="178">
        <f t="shared" si="7"/>
        <v>46.734070750246204</v>
      </c>
      <c r="Y38" s="202">
        <f>(T38*(uPostT))/(1+oDR)^'Markov Model_b (3)'!cycle</f>
        <v>33.202356555589368</v>
      </c>
      <c r="Z38" s="80"/>
      <c r="AA38" s="3"/>
      <c r="AB38" s="3"/>
      <c r="AC38" s="14">
        <v>26</v>
      </c>
      <c r="AD38" s="14"/>
      <c r="AE38" s="14"/>
      <c r="AF38" s="3"/>
      <c r="AG38" s="3"/>
      <c r="AH38" s="3"/>
      <c r="AI38" s="14"/>
      <c r="AJ38" s="14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</row>
    <row r="39" spans="1:60" ht="14.25" customHeight="1" x14ac:dyDescent="0.2">
      <c r="A39" s="637"/>
      <c r="B39" s="80"/>
      <c r="C39" s="173">
        <v>28</v>
      </c>
      <c r="D39" s="165"/>
      <c r="E39" s="174">
        <v>1.24044261325313E-2</v>
      </c>
      <c r="F39" s="502"/>
      <c r="G39" s="219">
        <f t="shared" si="3"/>
        <v>49.070525306413018</v>
      </c>
      <c r="H39" s="176">
        <f t="shared" si="4"/>
        <v>50.929474693586982</v>
      </c>
      <c r="I39" s="515">
        <f t="shared" si="0"/>
        <v>100</v>
      </c>
      <c r="J39" s="153">
        <f>(G39*0)/(1+cDR)^'Markov Model_b (3)'!cycle</f>
        <v>0</v>
      </c>
      <c r="K39" s="178">
        <f t="shared" si="1"/>
        <v>49.070525306413018</v>
      </c>
      <c r="L39" s="202">
        <f>(G39*(uPostT))/(1+oDR)^'Markov Model_b (3)'!cycle</f>
        <v>34.775359096107152</v>
      </c>
      <c r="M39" s="80"/>
      <c r="N39" s="3"/>
      <c r="O39" s="80"/>
      <c r="P39" s="173">
        <v>28</v>
      </c>
      <c r="Q39" s="165"/>
      <c r="R39" s="174">
        <v>1.251417395105083E-2</v>
      </c>
      <c r="S39" s="502"/>
      <c r="T39" s="219">
        <f t="shared" si="6"/>
        <v>46.149232459436909</v>
      </c>
      <c r="U39" s="249">
        <f t="shared" si="5"/>
        <v>53.850767540563091</v>
      </c>
      <c r="V39" s="515">
        <f t="shared" si="2"/>
        <v>100</v>
      </c>
      <c r="W39" s="153">
        <f>(T39*0)/(1+cDR)^'Markov Model_b (3)'!cycle2</f>
        <v>0</v>
      </c>
      <c r="X39" s="178">
        <f t="shared" si="7"/>
        <v>46.149232459436909</v>
      </c>
      <c r="Y39" s="202">
        <f>(T39*(uPostT))/(1+oDR)^'Markov Model_b (3)'!cycle</f>
        <v>32.705093755678718</v>
      </c>
      <c r="Z39" s="80"/>
      <c r="AA39" s="3"/>
      <c r="AB39" s="3"/>
      <c r="AC39" s="14">
        <v>27</v>
      </c>
      <c r="AD39" s="14"/>
      <c r="AE39" s="14"/>
      <c r="AF39" s="3"/>
      <c r="AG39" s="3"/>
      <c r="AH39" s="3"/>
      <c r="AI39" s="14"/>
      <c r="AJ39" s="14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</row>
    <row r="40" spans="1:60" ht="14.25" customHeight="1" x14ac:dyDescent="0.2">
      <c r="A40" s="637"/>
      <c r="B40" s="80"/>
      <c r="C40" s="173">
        <v>29</v>
      </c>
      <c r="D40" s="165"/>
      <c r="E40" s="174">
        <v>1.2030545382468134E-2</v>
      </c>
      <c r="F40" s="502"/>
      <c r="G40" s="219">
        <f t="shared" si="3"/>
        <v>48.480180124772666</v>
      </c>
      <c r="H40" s="176">
        <f t="shared" si="4"/>
        <v>51.519819875227334</v>
      </c>
      <c r="I40" s="515">
        <f t="shared" si="0"/>
        <v>100</v>
      </c>
      <c r="J40" s="153">
        <f>(G40*0)/(1+cDR)^'Markov Model_b (3)'!cycle</f>
        <v>0</v>
      </c>
      <c r="K40" s="178">
        <f t="shared" si="1"/>
        <v>48.480180124772666</v>
      </c>
      <c r="L40" s="202">
        <f>(G40*(uPostT))/(1+oDR)^'Markov Model_b (3)'!cycle</f>
        <v>34.271314274623244</v>
      </c>
      <c r="M40" s="80"/>
      <c r="N40" s="3"/>
      <c r="O40" s="80"/>
      <c r="P40" s="173">
        <v>29</v>
      </c>
      <c r="Q40" s="165"/>
      <c r="R40" s="174">
        <v>1.2120450218333466E-2</v>
      </c>
      <c r="S40" s="502"/>
      <c r="T40" s="219">
        <f t="shared" si="6"/>
        <v>45.589882984798002</v>
      </c>
      <c r="U40" s="249">
        <f t="shared" si="5"/>
        <v>54.410117015201998</v>
      </c>
      <c r="V40" s="515">
        <f t="shared" si="2"/>
        <v>100</v>
      </c>
      <c r="W40" s="153">
        <f>(T40*0)/(1+cDR)^'Markov Model_b (3)'!cycle2</f>
        <v>0</v>
      </c>
      <c r="X40" s="178">
        <f t="shared" si="7"/>
        <v>45.589882984798002</v>
      </c>
      <c r="Y40" s="202">
        <f>(T40*(uPostT))/(1+oDR)^'Markov Model_b (3)'!cycle</f>
        <v>32.228122987458427</v>
      </c>
      <c r="Z40" s="80"/>
      <c r="AA40" s="3"/>
      <c r="AB40" s="3"/>
      <c r="AC40" s="14">
        <v>28</v>
      </c>
      <c r="AD40" s="14"/>
      <c r="AE40" s="14"/>
      <c r="AF40" s="3"/>
      <c r="AG40" s="3"/>
      <c r="AH40" s="3"/>
      <c r="AI40" s="14"/>
      <c r="AJ40" s="14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</row>
    <row r="41" spans="1:60" ht="14.25" customHeight="1" x14ac:dyDescent="0.2">
      <c r="A41" s="637"/>
      <c r="B41" s="80"/>
      <c r="C41" s="173">
        <v>30</v>
      </c>
      <c r="D41" s="165"/>
      <c r="E41" s="174">
        <v>1.1649704463742408E-2</v>
      </c>
      <c r="F41" s="502"/>
      <c r="G41" s="219">
        <f t="shared" si="3"/>
        <v>47.915400353970064</v>
      </c>
      <c r="H41" s="176">
        <f t="shared" si="4"/>
        <v>52.084599646029936</v>
      </c>
      <c r="I41" s="515">
        <f t="shared" si="0"/>
        <v>100</v>
      </c>
      <c r="J41" s="153">
        <f>(G41*0)/(1+cDR)^'Markov Model_b (3)'!cycle</f>
        <v>0</v>
      </c>
      <c r="K41" s="178">
        <f t="shared" si="1"/>
        <v>47.915400353970064</v>
      </c>
      <c r="L41" s="202">
        <f>(G41*(uPostT))/(1+oDR)^'Markov Model_b (3)'!cycle</f>
        <v>33.787594605226786</v>
      </c>
      <c r="M41" s="80"/>
      <c r="N41" s="3"/>
      <c r="O41" s="80"/>
      <c r="P41" s="173">
        <v>30</v>
      </c>
      <c r="Q41" s="165"/>
      <c r="R41" s="174">
        <v>1.1720845244081601E-2</v>
      </c>
      <c r="S41" s="502"/>
      <c r="T41" s="219">
        <f t="shared" si="6"/>
        <v>45.055531021637393</v>
      </c>
      <c r="U41" s="249">
        <f t="shared" si="5"/>
        <v>54.944468978362607</v>
      </c>
      <c r="V41" s="515">
        <f t="shared" si="2"/>
        <v>100</v>
      </c>
      <c r="W41" s="153">
        <f>(T41*0)/(1+cDR)^'Markov Model_b (3)'!cycle2</f>
        <v>0</v>
      </c>
      <c r="X41" s="178">
        <f t="shared" si="7"/>
        <v>45.055531021637393</v>
      </c>
      <c r="Y41" s="202">
        <f>(T41*(uPostT))/(1+oDR)^'Markov Model_b (3)'!cycle</f>
        <v>31.770954758518908</v>
      </c>
      <c r="Z41" s="80"/>
      <c r="AA41" s="3"/>
      <c r="AB41" s="3"/>
      <c r="AC41" s="14">
        <v>29</v>
      </c>
      <c r="AD41" s="14"/>
      <c r="AE41" s="14"/>
      <c r="AF41" s="3"/>
      <c r="AG41" s="3"/>
      <c r="AH41" s="3"/>
      <c r="AI41" s="14"/>
      <c r="AJ41" s="14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</row>
    <row r="42" spans="1:60" ht="14.25" customHeight="1" x14ac:dyDescent="0.2">
      <c r="A42" s="637"/>
      <c r="B42" s="80"/>
      <c r="C42" s="173">
        <v>31</v>
      </c>
      <c r="D42" s="165"/>
      <c r="E42" s="174">
        <v>1.1262366105746458E-2</v>
      </c>
      <c r="F42" s="502"/>
      <c r="G42" s="219">
        <f t="shared" si="3"/>
        <v>47.375759573080238</v>
      </c>
      <c r="H42" s="176">
        <f t="shared" si="4"/>
        <v>52.624240426919762</v>
      </c>
      <c r="I42" s="515">
        <f t="shared" si="0"/>
        <v>100</v>
      </c>
      <c r="J42" s="153">
        <f>(G42*0)/(1+cDR)^'Markov Model_b (3)'!cycle</f>
        <v>0</v>
      </c>
      <c r="K42" s="178">
        <f t="shared" si="1"/>
        <v>47.375759573080238</v>
      </c>
      <c r="L42" s="202">
        <f>(G42*(uPostT))/(1+oDR)^'Markov Model_b (3)'!cycle</f>
        <v>33.323756952568758</v>
      </c>
      <c r="M42" s="80"/>
      <c r="N42" s="3"/>
      <c r="O42" s="80"/>
      <c r="P42" s="173">
        <v>31</v>
      </c>
      <c r="Q42" s="165"/>
      <c r="R42" s="174">
        <v>1.1315941568407165E-2</v>
      </c>
      <c r="S42" s="502"/>
      <c r="T42" s="219">
        <f t="shared" si="6"/>
        <v>44.545685265262989</v>
      </c>
      <c r="U42" s="249">
        <f t="shared" si="5"/>
        <v>55.454314734737011</v>
      </c>
      <c r="V42" s="515">
        <f t="shared" si="2"/>
        <v>100</v>
      </c>
      <c r="W42" s="153">
        <f>(T42*0)/(1+cDR)^'Markov Model_b (3)'!cycle2</f>
        <v>0</v>
      </c>
      <c r="X42" s="178">
        <f t="shared" si="7"/>
        <v>44.545685265262989</v>
      </c>
      <c r="Y42" s="202">
        <f>(T42*(uPostT))/(1+oDR)^'Markov Model_b (3)'!cycle</f>
        <v>31.333103731570084</v>
      </c>
      <c r="Z42" s="80"/>
      <c r="AA42" s="3"/>
      <c r="AB42" s="3"/>
      <c r="AC42" s="14">
        <v>30</v>
      </c>
      <c r="AD42" s="14"/>
      <c r="AE42" s="14"/>
      <c r="AF42" s="3"/>
      <c r="AG42" s="3"/>
      <c r="AH42" s="3"/>
      <c r="AI42" s="14"/>
      <c r="AJ42" s="14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</row>
    <row r="43" spans="1:60" ht="14.25" customHeight="1" x14ac:dyDescent="0.2">
      <c r="A43" s="637"/>
      <c r="B43" s="80"/>
      <c r="C43" s="173">
        <v>32</v>
      </c>
      <c r="D43" s="165"/>
      <c r="E43" s="174">
        <v>1.0869626174014903E-2</v>
      </c>
      <c r="F43" s="502"/>
      <c r="G43" s="219">
        <f t="shared" si="3"/>
        <v>46.86080277681085</v>
      </c>
      <c r="H43" s="176">
        <f t="shared" si="4"/>
        <v>53.13919722318915</v>
      </c>
      <c r="I43" s="515">
        <f t="shared" si="0"/>
        <v>100</v>
      </c>
      <c r="J43" s="153">
        <f>(G43*0)/(1+cDR)^'Markov Model_b (3)'!cycle</f>
        <v>0</v>
      </c>
      <c r="K43" s="178">
        <f t="shared" si="1"/>
        <v>46.86080277681085</v>
      </c>
      <c r="L43" s="202">
        <f>(G43*(uPostT))/(1+oDR)^'Markov Model_b (3)'!cycle</f>
        <v>32.879341817237517</v>
      </c>
      <c r="M43" s="80"/>
      <c r="N43" s="3"/>
      <c r="O43" s="80"/>
      <c r="P43" s="173">
        <v>32</v>
      </c>
      <c r="Q43" s="165"/>
      <c r="R43" s="174">
        <v>1.0906886365375302E-2</v>
      </c>
      <c r="S43" s="502"/>
      <c r="T43" s="219">
        <f t="shared" si="6"/>
        <v>44.059830538006992</v>
      </c>
      <c r="U43" s="249">
        <f t="shared" si="5"/>
        <v>55.940169461993008</v>
      </c>
      <c r="V43" s="515">
        <f t="shared" si="2"/>
        <v>100</v>
      </c>
      <c r="W43" s="153">
        <f>(T43*0)/(1+cDR)^'Markov Model_b (3)'!cycle2</f>
        <v>0</v>
      </c>
      <c r="X43" s="178">
        <f t="shared" si="7"/>
        <v>44.059830538006992</v>
      </c>
      <c r="Y43" s="202">
        <f>(T43*(uPostT))/(1+oDR)^'Markov Model_b (3)'!cycle</f>
        <v>30.914071949820773</v>
      </c>
      <c r="Z43" s="80"/>
      <c r="AA43" s="3"/>
      <c r="AB43" s="3"/>
      <c r="AC43" s="14">
        <v>31</v>
      </c>
      <c r="AD43" s="14"/>
      <c r="AE43" s="14"/>
      <c r="AF43" s="3"/>
      <c r="AG43" s="3"/>
      <c r="AH43" s="3"/>
      <c r="AI43" s="14"/>
      <c r="AJ43" s="14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</row>
    <row r="44" spans="1:60" ht="14.25" customHeight="1" x14ac:dyDescent="0.2">
      <c r="A44" s="637"/>
      <c r="B44" s="80"/>
      <c r="C44" s="173">
        <v>33</v>
      </c>
      <c r="D44" s="165"/>
      <c r="E44" s="174">
        <v>1.0474471740237667E-2</v>
      </c>
      <c r="F44" s="502"/>
      <c r="G44" s="219">
        <f t="shared" si="3"/>
        <v>46.369960622400292</v>
      </c>
      <c r="H44" s="176">
        <f t="shared" si="4"/>
        <v>53.630039377599708</v>
      </c>
      <c r="I44" s="515">
        <f t="shared" si="0"/>
        <v>100</v>
      </c>
      <c r="J44" s="153">
        <f>(G44*0)/(1+cDR)^'Markov Model_b (3)'!cycle</f>
        <v>0</v>
      </c>
      <c r="K44" s="178">
        <f t="shared" si="1"/>
        <v>46.369960622400292</v>
      </c>
      <c r="L44" s="202">
        <f>(G44*(uPostT))/(1+oDR)^'Markov Model_b (3)'!cycle</f>
        <v>32.45381354666857</v>
      </c>
      <c r="M44" s="80"/>
      <c r="N44" s="3"/>
      <c r="O44" s="80"/>
      <c r="P44" s="173">
        <v>33</v>
      </c>
      <c r="Q44" s="165"/>
      <c r="R44" s="174">
        <v>1.0496508090485244E-2</v>
      </c>
      <c r="S44" s="502"/>
      <c r="T44" s="219">
        <f t="shared" si="6"/>
        <v>43.597356170299392</v>
      </c>
      <c r="U44" s="249">
        <f t="shared" si="5"/>
        <v>56.402643829700608</v>
      </c>
      <c r="V44" s="515">
        <f t="shared" si="2"/>
        <v>100</v>
      </c>
      <c r="W44" s="153">
        <f>(T44*0)/(1+cDR)^'Markov Model_b (3)'!cycle2</f>
        <v>0</v>
      </c>
      <c r="X44" s="178">
        <f t="shared" si="7"/>
        <v>43.597356170299392</v>
      </c>
      <c r="Y44" s="202">
        <f>(T44*(uPostT))/(1+oDR)^'Markov Model_b (3)'!cycle</f>
        <v>30.513298896249015</v>
      </c>
      <c r="Z44" s="80"/>
      <c r="AA44" s="3"/>
      <c r="AB44" s="3"/>
      <c r="AC44" s="14">
        <v>32</v>
      </c>
      <c r="AD44" s="14"/>
      <c r="AE44" s="14"/>
      <c r="AF44" s="3"/>
      <c r="AG44" s="3"/>
      <c r="AH44" s="3"/>
      <c r="AI44" s="14"/>
      <c r="AJ44" s="14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</row>
    <row r="45" spans="1:60" ht="14.25" customHeight="1" x14ac:dyDescent="0.2">
      <c r="A45" s="637"/>
      <c r="B45" s="80"/>
      <c r="C45" s="173">
        <v>34</v>
      </c>
      <c r="D45" s="165"/>
      <c r="E45" s="174">
        <v>1.0078193584982477E-2</v>
      </c>
      <c r="F45" s="502"/>
      <c r="G45" s="219">
        <f t="shared" si="3"/>
        <v>45.902635182719727</v>
      </c>
      <c r="H45" s="176">
        <f t="shared" si="4"/>
        <v>54.097364817280273</v>
      </c>
      <c r="I45" s="515">
        <f t="shared" si="0"/>
        <v>100</v>
      </c>
      <c r="J45" s="153">
        <f>(G45*0)/(1+cDR)^'Markov Model_b (3)'!cycle</f>
        <v>0</v>
      </c>
      <c r="K45" s="178">
        <f t="shared" si="1"/>
        <v>45.902635182719727</v>
      </c>
      <c r="L45" s="202">
        <f>(G45*(uPostT))/(1+oDR)^'Markov Model_b (3)'!cycle</f>
        <v>32.046621178228747</v>
      </c>
      <c r="M45" s="80"/>
      <c r="N45" s="3"/>
      <c r="O45" s="80"/>
      <c r="P45" s="173">
        <v>34</v>
      </c>
      <c r="Q45" s="165"/>
      <c r="R45" s="174">
        <v>1.0086128823670795E-2</v>
      </c>
      <c r="S45" s="502"/>
      <c r="T45" s="219">
        <f t="shared" si="6"/>
        <v>43.157627619594294</v>
      </c>
      <c r="U45" s="249">
        <f t="shared" si="5"/>
        <v>56.842372380405706</v>
      </c>
      <c r="V45" s="515">
        <f t="shared" si="2"/>
        <v>100</v>
      </c>
      <c r="W45" s="153">
        <f>(T45*0)/(1+cDR)^'Markov Model_b (3)'!cycle2</f>
        <v>0</v>
      </c>
      <c r="X45" s="178">
        <f t="shared" si="7"/>
        <v>43.157627619594294</v>
      </c>
      <c r="Y45" s="202">
        <f>(T45*(uPostT))/(1+oDR)^'Markov Model_b (3)'!cycle</f>
        <v>30.1302123019913</v>
      </c>
      <c r="Z45" s="80"/>
      <c r="AA45" s="3"/>
      <c r="AB45" s="3"/>
      <c r="AC45" s="14">
        <v>33</v>
      </c>
      <c r="AD45" s="14"/>
      <c r="AE45" s="14"/>
      <c r="AF45" s="3"/>
      <c r="AG45" s="3"/>
      <c r="AH45" s="3"/>
      <c r="AI45" s="14"/>
      <c r="AJ45" s="14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</row>
    <row r="46" spans="1:60" ht="14.25" customHeight="1" x14ac:dyDescent="0.2">
      <c r="A46" s="637"/>
      <c r="B46" s="80"/>
      <c r="C46" s="173">
        <v>35</v>
      </c>
      <c r="D46" s="165"/>
      <c r="E46" s="174">
        <v>9.6815063080843127E-3</v>
      </c>
      <c r="F46" s="502"/>
      <c r="G46" s="219">
        <f t="shared" si="3"/>
        <v>45.458228530640532</v>
      </c>
      <c r="H46" s="176">
        <f t="shared" si="4"/>
        <v>54.541771469359468</v>
      </c>
      <c r="I46" s="515">
        <f t="shared" si="0"/>
        <v>100</v>
      </c>
      <c r="J46" s="153">
        <f>(G46*0)/(1+cDR)^'Markov Model_b (3)'!cycle</f>
        <v>0</v>
      </c>
      <c r="K46" s="178">
        <f t="shared" si="1"/>
        <v>45.458228530640532</v>
      </c>
      <c r="L46" s="202">
        <f>(G46*(uPostT))/(1+oDR)^'Markov Model_b (3)'!cycle</f>
        <v>31.657218566722136</v>
      </c>
      <c r="M46" s="80"/>
      <c r="N46" s="3"/>
      <c r="O46" s="80"/>
      <c r="P46" s="173">
        <v>35</v>
      </c>
      <c r="Q46" s="165"/>
      <c r="R46" s="174">
        <v>9.6765577554267634E-3</v>
      </c>
      <c r="S46" s="502"/>
      <c r="T46" s="219">
        <f t="shared" si="6"/>
        <v>42.740010343346086</v>
      </c>
      <c r="U46" s="249">
        <f t="shared" si="5"/>
        <v>57.259989656653914</v>
      </c>
      <c r="V46" s="515">
        <f t="shared" si="2"/>
        <v>100</v>
      </c>
      <c r="W46" s="153">
        <f>(T46*0)/(1+cDR)^'Markov Model_b (3)'!cycle2</f>
        <v>0</v>
      </c>
      <c r="X46" s="178">
        <f t="shared" si="7"/>
        <v>42.740010343346086</v>
      </c>
      <c r="Y46" s="202">
        <f>(T46*(uPostT))/(1+oDR)^'Markov Model_b (3)'!cycle</f>
        <v>29.764244950092582</v>
      </c>
      <c r="Z46" s="80"/>
      <c r="AA46" s="3"/>
      <c r="AB46" s="3"/>
      <c r="AC46" s="14">
        <v>34</v>
      </c>
      <c r="AD46" s="14"/>
      <c r="AE46" s="14"/>
      <c r="AF46" s="3"/>
      <c r="AG46" s="3"/>
      <c r="AH46" s="3"/>
      <c r="AI46" s="14"/>
      <c r="AJ46" s="14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</row>
    <row r="47" spans="1:60" ht="14.25" customHeight="1" x14ac:dyDescent="0.2">
      <c r="A47" s="637"/>
      <c r="B47" s="80"/>
      <c r="C47" s="173">
        <v>36</v>
      </c>
      <c r="D47" s="504"/>
      <c r="E47" s="174">
        <v>9.2853872257793596E-3</v>
      </c>
      <c r="F47" s="505"/>
      <c r="G47" s="219">
        <f t="shared" si="3"/>
        <v>45.036131276135563</v>
      </c>
      <c r="H47" s="176">
        <f t="shared" si="4"/>
        <v>54.963868723864437</v>
      </c>
      <c r="I47" s="516">
        <f t="shared" si="0"/>
        <v>100</v>
      </c>
      <c r="J47" s="180">
        <f>(G47*0)/(1+cDR)^'Markov Model_b (3)'!cycle</f>
        <v>0</v>
      </c>
      <c r="K47" s="176">
        <f t="shared" si="1"/>
        <v>45.036131276135563</v>
      </c>
      <c r="L47" s="202">
        <f>(G47*(uPostT))/(1+oDR)^'Markov Model_b (3)'!cycle</f>
        <v>31.285056392856845</v>
      </c>
      <c r="M47" s="80"/>
      <c r="N47" s="3"/>
      <c r="O47" s="80"/>
      <c r="P47" s="173">
        <v>36</v>
      </c>
      <c r="Q47" s="504"/>
      <c r="R47" s="174">
        <v>9.268806685632321E-3</v>
      </c>
      <c r="S47" s="505"/>
      <c r="T47" s="219">
        <f t="shared" si="6"/>
        <v>42.343861449731683</v>
      </c>
      <c r="U47" s="249">
        <f t="shared" si="5"/>
        <v>57.656138550268317</v>
      </c>
      <c r="V47" s="516">
        <f t="shared" si="2"/>
        <v>100</v>
      </c>
      <c r="W47" s="180">
        <f>(T47*0)/(1+cDR)^'Markov Model_b (3)'!cycle2</f>
        <v>0</v>
      </c>
      <c r="X47" s="176">
        <f t="shared" si="7"/>
        <v>42.343861449731683</v>
      </c>
      <c r="Y47" s="202">
        <f>(T47*(uPostT))/(1+oDR)^'Markov Model_b (3)'!cycle</f>
        <v>29.414828845392879</v>
      </c>
      <c r="Z47" s="80"/>
      <c r="AA47" s="3"/>
      <c r="AB47" s="3"/>
      <c r="AC47" s="14">
        <v>35</v>
      </c>
      <c r="AD47" s="14"/>
      <c r="AE47" s="14"/>
      <c r="AF47" s="3"/>
      <c r="AG47" s="3"/>
      <c r="AH47" s="3"/>
      <c r="AI47" s="14"/>
      <c r="AJ47" s="14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</row>
    <row r="48" spans="1:60" ht="14.25" customHeight="1" x14ac:dyDescent="0.25">
      <c r="A48" s="637" t="s">
        <v>545</v>
      </c>
      <c r="B48" s="80"/>
      <c r="C48" s="506">
        <v>37</v>
      </c>
      <c r="D48" s="506"/>
      <c r="E48" s="507">
        <v>8.8915963073197268E-3</v>
      </c>
      <c r="F48" s="508"/>
      <c r="G48" s="509">
        <f t="shared" si="3"/>
        <v>44.635688177584711</v>
      </c>
      <c r="H48" s="603">
        <f t="shared" si="4"/>
        <v>55.364311822415289</v>
      </c>
      <c r="I48" s="517">
        <f t="shared" si="0"/>
        <v>100</v>
      </c>
      <c r="J48" s="511">
        <f>(G48*0)/(1+cDR)^'Markov Model_b (3)'!cycle</f>
        <v>0</v>
      </c>
      <c r="K48" s="512">
        <f t="shared" si="1"/>
        <v>44.635688177584711</v>
      </c>
      <c r="L48" s="513">
        <f>(G48*(uPostT))/(1+oDR)^'Markov Model_b (3)'!cycle</f>
        <v>30.929558404947461</v>
      </c>
      <c r="M48" s="80"/>
      <c r="N48" s="3"/>
      <c r="O48" s="80"/>
      <c r="P48" s="506">
        <v>37</v>
      </c>
      <c r="Q48" s="506"/>
      <c r="R48" s="507">
        <v>8.8644915003323263E-3</v>
      </c>
      <c r="S48" s="508"/>
      <c r="T48" s="509">
        <f t="shared" si="6"/>
        <v>41.968504649819288</v>
      </c>
      <c r="U48" s="510">
        <f t="shared" si="5"/>
        <v>58.031495350180712</v>
      </c>
      <c r="V48" s="517">
        <f t="shared" si="2"/>
        <v>100</v>
      </c>
      <c r="W48" s="511">
        <f>(T48*0)/(1+cDR)^'Markov Model_b (3)'!cycle2</f>
        <v>0</v>
      </c>
      <c r="X48" s="512">
        <f t="shared" si="7"/>
        <v>41.968504649819288</v>
      </c>
      <c r="Y48" s="513">
        <f>(T48*(uPostT))/(1+oDR)^'Markov Model_b (3)'!cycle</f>
        <v>29.081377900358266</v>
      </c>
      <c r="Z48" s="80"/>
      <c r="AA48" s="3"/>
      <c r="AB48" s="3"/>
      <c r="AC48" s="14">
        <v>36</v>
      </c>
      <c r="AD48" s="14"/>
      <c r="AE48" s="14"/>
      <c r="AF48" s="3"/>
      <c r="AG48" s="3"/>
      <c r="AH48" s="3"/>
      <c r="AI48" s="14"/>
      <c r="AJ48" s="14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</row>
    <row r="49" spans="1:60" ht="14.25" customHeight="1" x14ac:dyDescent="0.2">
      <c r="A49" s="637"/>
      <c r="B49" s="80"/>
      <c r="C49" s="173">
        <v>38</v>
      </c>
      <c r="D49" s="165"/>
      <c r="E49" s="174">
        <v>8.5011716545082428E-3</v>
      </c>
      <c r="F49" s="502"/>
      <c r="G49" s="219">
        <f t="shared" si="3"/>
        <v>44.256232530469958</v>
      </c>
      <c r="H49" s="176">
        <f t="shared" si="4"/>
        <v>55.743767469530042</v>
      </c>
      <c r="I49" s="515">
        <f t="shared" si="0"/>
        <v>100</v>
      </c>
      <c r="J49" s="153">
        <f>(G49*0)/(1+cDR)^'Markov Model_b (3)'!cycle</f>
        <v>0</v>
      </c>
      <c r="K49" s="178">
        <f t="shared" si="1"/>
        <v>44.256232530469958</v>
      </c>
      <c r="L49" s="202">
        <f>(G49*(uPostT))/(1+oDR)^'Markov Model_b (3)'!cycle</f>
        <v>30.590145555859223</v>
      </c>
      <c r="M49" s="80"/>
      <c r="N49" s="3"/>
      <c r="O49" s="80"/>
      <c r="P49" s="173">
        <v>38</v>
      </c>
      <c r="Q49" s="165"/>
      <c r="R49" s="174">
        <v>8.464665286122464E-3</v>
      </c>
      <c r="S49" s="502"/>
      <c r="T49" s="219">
        <f t="shared" si="6"/>
        <v>41.613255305399491</v>
      </c>
      <c r="U49" s="249">
        <f t="shared" si="5"/>
        <v>58.386744694600509</v>
      </c>
      <c r="V49" s="515">
        <f t="shared" si="2"/>
        <v>100</v>
      </c>
      <c r="W49" s="153">
        <f>(T49*0)/(1+cDR)^'Markov Model_b (3)'!cycle2</f>
        <v>0</v>
      </c>
      <c r="X49" s="178">
        <f t="shared" si="7"/>
        <v>41.613255305399491</v>
      </c>
      <c r="Y49" s="202">
        <f>(T49*(uPostT))/(1+oDR)^'Markov Model_b (3)'!cycle</f>
        <v>28.763305506605985</v>
      </c>
      <c r="Z49" s="80"/>
      <c r="AA49" s="3"/>
      <c r="AB49" s="3"/>
      <c r="AC49" s="14">
        <v>37</v>
      </c>
      <c r="AD49" s="14"/>
      <c r="AE49" s="14"/>
      <c r="AF49" s="3"/>
      <c r="AG49" s="3"/>
      <c r="AH49" s="3"/>
      <c r="AI49" s="14"/>
      <c r="AJ49" s="14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</row>
    <row r="50" spans="1:60" ht="14.25" customHeight="1" x14ac:dyDescent="0.2">
      <c r="A50" s="637"/>
      <c r="B50" s="80"/>
      <c r="C50" s="173">
        <v>39</v>
      </c>
      <c r="D50" s="165"/>
      <c r="E50" s="174">
        <v>8.1149797777935601E-3</v>
      </c>
      <c r="F50" s="502"/>
      <c r="G50" s="219">
        <f t="shared" si="3"/>
        <v>43.897094098443866</v>
      </c>
      <c r="H50" s="176">
        <f t="shared" si="4"/>
        <v>56.102905901556134</v>
      </c>
      <c r="I50" s="515">
        <f t="shared" si="0"/>
        <v>100</v>
      </c>
      <c r="J50" s="153">
        <f>(G50*0)/(1+cDR)^'Markov Model_b (3)'!cycle</f>
        <v>0</v>
      </c>
      <c r="K50" s="178">
        <f t="shared" si="1"/>
        <v>43.897094098443866</v>
      </c>
      <c r="L50" s="202">
        <f>(G50*(uPostT))/(1+oDR)^'Markov Model_b (3)'!cycle</f>
        <v>30.266241539425103</v>
      </c>
      <c r="M50" s="80"/>
      <c r="N50" s="3"/>
      <c r="O50" s="80"/>
      <c r="P50" s="173">
        <v>39</v>
      </c>
      <c r="Q50" s="165"/>
      <c r="R50" s="174">
        <v>8.0702081897358786E-3</v>
      </c>
      <c r="S50" s="502"/>
      <c r="T50" s="219">
        <f t="shared" si="6"/>
        <v>41.277427671632289</v>
      </c>
      <c r="U50" s="249">
        <f t="shared" si="5"/>
        <v>58.722572328367711</v>
      </c>
      <c r="V50" s="515">
        <f t="shared" si="2"/>
        <v>100</v>
      </c>
      <c r="W50" s="153">
        <f>(T50*0)/(1+cDR)^'Markov Model_b (3)'!cycle2</f>
        <v>0</v>
      </c>
      <c r="X50" s="178">
        <f t="shared" si="7"/>
        <v>41.277427671632289</v>
      </c>
      <c r="Y50" s="202">
        <f>(T50*(uPostT))/(1+oDR)^'Markov Model_b (3)'!cycle</f>
        <v>28.460029569020147</v>
      </c>
      <c r="Z50" s="80"/>
      <c r="AA50" s="3"/>
      <c r="AB50" s="3"/>
      <c r="AC50" s="14">
        <v>38</v>
      </c>
      <c r="AD50" s="14"/>
      <c r="AE50" s="14"/>
      <c r="AF50" s="3"/>
      <c r="AG50" s="3"/>
      <c r="AH50" s="3"/>
      <c r="AI50" s="14"/>
      <c r="AJ50" s="14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</row>
    <row r="51" spans="1:60" ht="14.25" customHeight="1" x14ac:dyDescent="0.2">
      <c r="A51" s="637"/>
      <c r="B51" s="80"/>
      <c r="C51" s="173">
        <v>40</v>
      </c>
      <c r="D51" s="165"/>
      <c r="E51" s="174">
        <v>7.7341242643381349E-3</v>
      </c>
      <c r="F51" s="502"/>
      <c r="G51" s="219">
        <f t="shared" si="3"/>
        <v>43.557588517843158</v>
      </c>
      <c r="H51" s="176">
        <f t="shared" si="4"/>
        <v>56.442411482156842</v>
      </c>
      <c r="I51" s="515">
        <f t="shared" si="0"/>
        <v>100</v>
      </c>
      <c r="J51" s="153">
        <f>(G51*0)/(1+cDR)^'Markov Model_b (3)'!cycle</f>
        <v>0</v>
      </c>
      <c r="K51" s="178">
        <f t="shared" si="1"/>
        <v>43.557588517843158</v>
      </c>
      <c r="L51" s="202">
        <f>(G51*(uPostT))/(1+oDR)^'Markov Model_b (3)'!cycle</f>
        <v>29.957265502588243</v>
      </c>
      <c r="M51" s="80"/>
      <c r="N51" s="3"/>
      <c r="O51" s="80"/>
      <c r="P51" s="173">
        <v>40</v>
      </c>
      <c r="Q51" s="165"/>
      <c r="R51" s="174">
        <v>7.6820701377506217E-3</v>
      </c>
      <c r="S51" s="502"/>
      <c r="T51" s="219">
        <f t="shared" si="6"/>
        <v>40.960331577152878</v>
      </c>
      <c r="U51" s="249">
        <f t="shared" si="5"/>
        <v>59.039668422847122</v>
      </c>
      <c r="V51" s="515">
        <f t="shared" si="2"/>
        <v>100</v>
      </c>
      <c r="W51" s="153">
        <f>(T51*0)/(1+cDR)^'Markov Model_b (3)'!cycle2</f>
        <v>0</v>
      </c>
      <c r="X51" s="178">
        <f t="shared" si="7"/>
        <v>40.960331577152878</v>
      </c>
      <c r="Y51" s="202">
        <f>(T51*(uPostT))/(1+oDR)^'Markov Model_b (3)'!cycle</f>
        <v>28.170970200247858</v>
      </c>
      <c r="Z51" s="80"/>
      <c r="AA51" s="3"/>
      <c r="AB51" s="3"/>
      <c r="AC51" s="14">
        <v>39</v>
      </c>
      <c r="AD51" s="14"/>
      <c r="AE51" s="14"/>
      <c r="AF51" s="3"/>
      <c r="AG51" s="3"/>
      <c r="AH51" s="3"/>
      <c r="AI51" s="14"/>
      <c r="AJ51" s="14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</row>
    <row r="52" spans="1:60" ht="14.25" customHeight="1" x14ac:dyDescent="0.2">
      <c r="A52" s="637"/>
      <c r="B52" s="80"/>
      <c r="C52" s="173">
        <v>41</v>
      </c>
      <c r="D52" s="165"/>
      <c r="E52" s="174">
        <v>7.3594667559847334E-3</v>
      </c>
      <c r="F52" s="502"/>
      <c r="G52" s="219">
        <f t="shared" si="3"/>
        <v>43.237027893175231</v>
      </c>
      <c r="H52" s="176">
        <f t="shared" si="4"/>
        <v>56.762972106824769</v>
      </c>
      <c r="I52" s="515">
        <f t="shared" si="0"/>
        <v>100</v>
      </c>
      <c r="J52" s="153">
        <f>(G52*0)/(1+cDR)^'Markov Model_b (3)'!cycle</f>
        <v>0</v>
      </c>
      <c r="K52" s="178">
        <f t="shared" si="1"/>
        <v>43.237027893175231</v>
      </c>
      <c r="L52" s="202">
        <f>(G52*(uPostT))/(1+oDR)^'Markov Model_b (3)'!cycle</f>
        <v>29.662639404510465</v>
      </c>
      <c r="M52" s="80"/>
      <c r="N52" s="3"/>
      <c r="O52" s="80"/>
      <c r="P52" s="173">
        <v>41</v>
      </c>
      <c r="Q52" s="165"/>
      <c r="R52" s="174">
        <v>7.3011086988904782E-3</v>
      </c>
      <c r="S52" s="502"/>
      <c r="T52" s="219">
        <f t="shared" si="6"/>
        <v>40.66127574396549</v>
      </c>
      <c r="U52" s="249">
        <f t="shared" si="5"/>
        <v>59.33872425603451</v>
      </c>
      <c r="V52" s="515">
        <f t="shared" si="2"/>
        <v>100</v>
      </c>
      <c r="W52" s="153">
        <f>(T52*0)/(1+cDR)^'Markov Model_b (3)'!cycle2</f>
        <v>0</v>
      </c>
      <c r="X52" s="178">
        <f t="shared" si="7"/>
        <v>40.66127574396549</v>
      </c>
      <c r="Y52" s="202">
        <f>(T52*(uPostT))/(1+oDR)^'Markov Model_b (3)'!cycle</f>
        <v>27.895552004651019</v>
      </c>
      <c r="Z52" s="80"/>
      <c r="AA52" s="3"/>
      <c r="AB52" s="3"/>
      <c r="AC52" s="14">
        <v>40</v>
      </c>
      <c r="AD52" s="14"/>
      <c r="AE52" s="14"/>
      <c r="AF52" s="3"/>
      <c r="AG52" s="3"/>
      <c r="AH52" s="3"/>
      <c r="AI52" s="14"/>
      <c r="AJ52" s="14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</row>
    <row r="53" spans="1:60" ht="14.25" customHeight="1" x14ac:dyDescent="0.2">
      <c r="A53" s="637"/>
      <c r="B53" s="80"/>
      <c r="C53" s="173">
        <v>42</v>
      </c>
      <c r="D53" s="165"/>
      <c r="E53" s="174">
        <v>6.9917748503562291E-3</v>
      </c>
      <c r="F53" s="502"/>
      <c r="G53" s="219">
        <f t="shared" si="3"/>
        <v>42.934724328947574</v>
      </c>
      <c r="H53" s="176">
        <f t="shared" si="4"/>
        <v>57.065275671052426</v>
      </c>
      <c r="I53" s="515">
        <f t="shared" si="0"/>
        <v>100</v>
      </c>
      <c r="J53" s="153">
        <f>(G53*0)/(1+cDR)^'Markov Model_b (3)'!cycle</f>
        <v>0</v>
      </c>
      <c r="K53" s="178">
        <f t="shared" si="1"/>
        <v>42.934724328947574</v>
      </c>
      <c r="L53" s="202">
        <f>(G53*(uPostT))/(1+oDR)^'Markov Model_b (3)'!cycle</f>
        <v>29.381790432246213</v>
      </c>
      <c r="M53" s="80"/>
      <c r="N53" s="3"/>
      <c r="O53" s="80"/>
      <c r="P53" s="173">
        <v>42</v>
      </c>
      <c r="Q53" s="165"/>
      <c r="R53" s="174">
        <v>6.9281360394382952E-3</v>
      </c>
      <c r="S53" s="502"/>
      <c r="T53" s="219">
        <f t="shared" si="6"/>
        <v>40.379568894074183</v>
      </c>
      <c r="U53" s="249">
        <f t="shared" si="5"/>
        <v>59.620431105925817</v>
      </c>
      <c r="V53" s="515">
        <f t="shared" si="2"/>
        <v>100</v>
      </c>
      <c r="W53" s="153">
        <f>(T53*0)/(1+cDR)^'Markov Model_b (3)'!cycle2</f>
        <v>0</v>
      </c>
      <c r="X53" s="178">
        <f t="shared" si="7"/>
        <v>40.379568894074183</v>
      </c>
      <c r="Y53" s="202">
        <f>(T53*(uPostT))/(1+oDR)^'Markov Model_b (3)'!cycle</f>
        <v>27.633204813433988</v>
      </c>
      <c r="Z53" s="80"/>
      <c r="AA53" s="3"/>
      <c r="AB53" s="3"/>
      <c r="AC53" s="14">
        <v>41</v>
      </c>
      <c r="AD53" s="14"/>
      <c r="AE53" s="14"/>
      <c r="AF53" s="3"/>
      <c r="AG53" s="3"/>
      <c r="AH53" s="3"/>
      <c r="AI53" s="14"/>
      <c r="AJ53" s="14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</row>
    <row r="54" spans="1:60" ht="14.25" customHeight="1" x14ac:dyDescent="0.2">
      <c r="A54" s="637"/>
      <c r="B54" s="80"/>
      <c r="C54" s="173">
        <v>43</v>
      </c>
      <c r="D54" s="165"/>
      <c r="E54" s="174">
        <v>6.6317283922604393E-3</v>
      </c>
      <c r="F54" s="502"/>
      <c r="G54" s="219">
        <f t="shared" si="3"/>
        <v>42.649992898601418</v>
      </c>
      <c r="H54" s="176">
        <f t="shared" si="4"/>
        <v>57.350007101398582</v>
      </c>
      <c r="I54" s="515">
        <f t="shared" si="0"/>
        <v>100</v>
      </c>
      <c r="J54" s="153">
        <f>(G54*0)/(1+cDR)^'Markov Model_b (3)'!cycle</f>
        <v>0</v>
      </c>
      <c r="K54" s="178">
        <f t="shared" si="1"/>
        <v>42.649992898601418</v>
      </c>
      <c r="L54" s="202">
        <f>(G54*(uPostT))/(1+oDR)^'Markov Model_b (3)'!cycle</f>
        <v>29.114152995931413</v>
      </c>
      <c r="M54" s="80"/>
      <c r="N54" s="3"/>
      <c r="O54" s="80"/>
      <c r="P54" s="173">
        <v>43</v>
      </c>
      <c r="Q54" s="165"/>
      <c r="R54" s="174">
        <v>6.5638119338934306E-3</v>
      </c>
      <c r="S54" s="502"/>
      <c r="T54" s="219">
        <f t="shared" si="6"/>
        <v>40.114524997881787</v>
      </c>
      <c r="U54" s="249">
        <f t="shared" si="5"/>
        <v>59.885475002118213</v>
      </c>
      <c r="V54" s="515">
        <f t="shared" si="2"/>
        <v>100</v>
      </c>
      <c r="W54" s="153">
        <f>(T54*0)/(1+cDR)^'Markov Model_b (3)'!cycle2</f>
        <v>0</v>
      </c>
      <c r="X54" s="178">
        <f t="shared" si="7"/>
        <v>40.114524997881787</v>
      </c>
      <c r="Y54" s="202">
        <f>(T54*(uPostT))/(1+oDR)^'Markov Model_b (3)'!cycle</f>
        <v>27.383367235818305</v>
      </c>
      <c r="Z54" s="80"/>
      <c r="AA54" s="3"/>
      <c r="AB54" s="3"/>
      <c r="AC54" s="14">
        <v>42</v>
      </c>
      <c r="AD54" s="14"/>
      <c r="AE54" s="14"/>
      <c r="AF54" s="3"/>
      <c r="AG54" s="3"/>
      <c r="AH54" s="3"/>
      <c r="AI54" s="14"/>
      <c r="AJ54" s="14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</row>
    <row r="55" spans="1:60" ht="14.25" customHeight="1" x14ac:dyDescent="0.2">
      <c r="A55" s="637"/>
      <c r="B55" s="80"/>
      <c r="C55" s="173">
        <v>44</v>
      </c>
      <c r="D55" s="165"/>
      <c r="E55" s="174">
        <v>6.2797747218077023E-3</v>
      </c>
      <c r="F55" s="502"/>
      <c r="G55" s="219">
        <f t="shared" si="3"/>
        <v>42.3821605513115</v>
      </c>
      <c r="H55" s="176">
        <f t="shared" si="4"/>
        <v>57.6178394486885</v>
      </c>
      <c r="I55" s="515">
        <f t="shared" si="0"/>
        <v>100</v>
      </c>
      <c r="J55" s="153">
        <f>(G55*0)/(1+cDR)^'Markov Model_b (3)'!cycle</f>
        <v>0</v>
      </c>
      <c r="K55" s="178">
        <f t="shared" si="1"/>
        <v>42.3821605513115</v>
      </c>
      <c r="L55" s="202">
        <f>(G55*(uPostT))/(1+oDR)^'Markov Model_b (3)'!cycle</f>
        <v>28.859174737058069</v>
      </c>
      <c r="M55" s="80"/>
      <c r="N55" s="3"/>
      <c r="O55" s="80"/>
      <c r="P55" s="173">
        <v>44</v>
      </c>
      <c r="Q55" s="165"/>
      <c r="R55" s="174">
        <v>6.2083741116079269E-3</v>
      </c>
      <c r="S55" s="502"/>
      <c r="T55" s="219">
        <f t="shared" si="6"/>
        <v>39.865479019385489</v>
      </c>
      <c r="U55" s="249">
        <f t="shared" si="5"/>
        <v>60.134520980614511</v>
      </c>
      <c r="V55" s="515">
        <f t="shared" si="2"/>
        <v>100</v>
      </c>
      <c r="W55" s="153">
        <f>(T55*0)/(1+cDR)^'Markov Model_b (3)'!cycle2</f>
        <v>0</v>
      </c>
      <c r="X55" s="178">
        <f t="shared" si="7"/>
        <v>39.865479019385489</v>
      </c>
      <c r="Y55" s="202">
        <f>(T55*(uPostT))/(1+oDR)^'Markov Model_b (3)'!cycle</f>
        <v>27.145497304321992</v>
      </c>
      <c r="Z55" s="80"/>
      <c r="AA55" s="3"/>
      <c r="AB55" s="3"/>
      <c r="AC55" s="14">
        <v>43</v>
      </c>
      <c r="AD55" s="14"/>
      <c r="AE55" s="14"/>
      <c r="AF55" s="3"/>
      <c r="AG55" s="3"/>
      <c r="AH55" s="3"/>
      <c r="AI55" s="14"/>
      <c r="AJ55" s="14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</row>
    <row r="56" spans="1:60" ht="14.25" customHeight="1" x14ac:dyDescent="0.2">
      <c r="A56" s="637"/>
      <c r="B56" s="80"/>
      <c r="C56" s="173">
        <v>45</v>
      </c>
      <c r="D56" s="165"/>
      <c r="E56" s="174">
        <v>5.9365389317656654E-3</v>
      </c>
      <c r="F56" s="502"/>
      <c r="G56" s="219">
        <f t="shared" si="3"/>
        <v>42.1305572051863</v>
      </c>
      <c r="H56" s="176">
        <f t="shared" si="4"/>
        <v>57.8694427948137</v>
      </c>
      <c r="I56" s="515">
        <f t="shared" si="0"/>
        <v>100</v>
      </c>
      <c r="J56" s="153">
        <f>(G56*0)/(1+cDR)^'Markov Model_b (3)'!cycle</f>
        <v>0</v>
      </c>
      <c r="K56" s="178">
        <f t="shared" si="1"/>
        <v>42.1305572051863</v>
      </c>
      <c r="L56" s="202">
        <f>(G56*(uPostT))/(1+oDR)^'Markov Model_b (3)'!cycle</f>
        <v>28.616310346825831</v>
      </c>
      <c r="M56" s="80"/>
      <c r="N56" s="3"/>
      <c r="O56" s="80"/>
      <c r="P56" s="173">
        <v>45</v>
      </c>
      <c r="Q56" s="165"/>
      <c r="R56" s="174">
        <v>5.8624116441959809E-3</v>
      </c>
      <c r="S56" s="502"/>
      <c r="T56" s="219">
        <f t="shared" si="6"/>
        <v>39.631771170980791</v>
      </c>
      <c r="U56" s="249">
        <f t="shared" si="5"/>
        <v>60.368228829019209</v>
      </c>
      <c r="V56" s="515">
        <f t="shared" si="2"/>
        <v>100</v>
      </c>
      <c r="W56" s="153">
        <f>(T56*0)/(1+cDR)^'Markov Model_b (3)'!cycle2</f>
        <v>0</v>
      </c>
      <c r="X56" s="178">
        <f t="shared" si="7"/>
        <v>39.631771170980791</v>
      </c>
      <c r="Y56" s="202">
        <f>(T56*(uPostT))/(1+oDR)^'Markov Model_b (3)'!cycle</f>
        <v>26.919061570910365</v>
      </c>
      <c r="Z56" s="80"/>
      <c r="AA56" s="3"/>
      <c r="AB56" s="3"/>
      <c r="AC56" s="14">
        <v>44</v>
      </c>
      <c r="AD56" s="14"/>
      <c r="AE56" s="14"/>
      <c r="AF56" s="3"/>
      <c r="AG56" s="3"/>
      <c r="AH56" s="3"/>
      <c r="AI56" s="14"/>
      <c r="AJ56" s="14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</row>
    <row r="57" spans="1:60" ht="14.25" customHeight="1" x14ac:dyDescent="0.2">
      <c r="A57" s="637"/>
      <c r="B57" s="80"/>
      <c r="C57" s="173">
        <v>46</v>
      </c>
      <c r="D57" s="165"/>
      <c r="E57" s="174">
        <v>5.6026894138286546E-3</v>
      </c>
      <c r="F57" s="502"/>
      <c r="G57" s="219">
        <f t="shared" si="3"/>
        <v>41.894512778334096</v>
      </c>
      <c r="H57" s="176">
        <f t="shared" si="4"/>
        <v>58.105487221665904</v>
      </c>
      <c r="I57" s="515">
        <f t="shared" si="0"/>
        <v>100</v>
      </c>
      <c r="J57" s="153">
        <f>(G57*0)/(1+cDR)^'Markov Model_b (3)'!cycle</f>
        <v>0</v>
      </c>
      <c r="K57" s="178">
        <f t="shared" si="1"/>
        <v>41.894512778334096</v>
      </c>
      <c r="L57" s="202">
        <f>(G57*(uPostT))/(1+oDR)^'Markov Model_b (3)'!cycle</f>
        <v>28.385019499035256</v>
      </c>
      <c r="M57" s="80"/>
      <c r="N57" s="3"/>
      <c r="O57" s="80"/>
      <c r="P57" s="173">
        <v>46</v>
      </c>
      <c r="Q57" s="165"/>
      <c r="R57" s="174">
        <v>5.5266141140237202E-3</v>
      </c>
      <c r="S57" s="502"/>
      <c r="T57" s="219">
        <f t="shared" si="6"/>
        <v>39.412741665063493</v>
      </c>
      <c r="U57" s="249">
        <f t="shared" si="5"/>
        <v>60.587258334936507</v>
      </c>
      <c r="V57" s="515">
        <f t="shared" si="2"/>
        <v>100</v>
      </c>
      <c r="W57" s="153">
        <f>(T57*0)/(1+cDR)^'Markov Model_b (3)'!cycle2</f>
        <v>0</v>
      </c>
      <c r="X57" s="178">
        <f t="shared" si="7"/>
        <v>39.412741665063493</v>
      </c>
      <c r="Y57" s="202">
        <f>(T57*(uPostT))/(1+oDR)^'Markov Model_b (3)'!cycle</f>
        <v>26.703531476604798</v>
      </c>
      <c r="Z57" s="80"/>
      <c r="AA57" s="3"/>
      <c r="AB57" s="3"/>
      <c r="AC57" s="14">
        <v>45</v>
      </c>
      <c r="AD57" s="14"/>
      <c r="AE57" s="14"/>
      <c r="AF57" s="3"/>
      <c r="AG57" s="3"/>
      <c r="AH57" s="3"/>
      <c r="AI57" s="14"/>
      <c r="AJ57" s="14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</row>
    <row r="58" spans="1:60" ht="14.25" customHeight="1" x14ac:dyDescent="0.2">
      <c r="A58" s="637"/>
      <c r="B58" s="80"/>
      <c r="C58" s="173">
        <v>47</v>
      </c>
      <c r="D58" s="165"/>
      <c r="E58" s="174">
        <v>5.2787159715489487E-3</v>
      </c>
      <c r="F58" s="502"/>
      <c r="G58" s="219">
        <f t="shared" si="3"/>
        <v>41.673363544610844</v>
      </c>
      <c r="H58" s="176">
        <f t="shared" si="4"/>
        <v>58.326636455389156</v>
      </c>
      <c r="I58" s="515">
        <f t="shared" si="0"/>
        <v>100</v>
      </c>
      <c r="J58" s="153">
        <f>(G58*0)/(1+cDR)^'Markov Model_b (3)'!cycle</f>
        <v>0</v>
      </c>
      <c r="K58" s="178">
        <f t="shared" si="1"/>
        <v>41.673363544610844</v>
      </c>
      <c r="L58" s="202">
        <f>(G58*(uPostT))/(1+oDR)^'Markov Model_b (3)'!cycle</f>
        <v>28.164771115464312</v>
      </c>
      <c r="M58" s="80"/>
      <c r="N58" s="3"/>
      <c r="O58" s="80"/>
      <c r="P58" s="173">
        <v>47</v>
      </c>
      <c r="Q58" s="165"/>
      <c r="R58" s="174">
        <v>5.2014492542529307E-3</v>
      </c>
      <c r="S58" s="502"/>
      <c r="T58" s="219">
        <f t="shared" si="6"/>
        <v>39.207738289321682</v>
      </c>
      <c r="U58" s="249">
        <f t="shared" si="5"/>
        <v>60.792261710678318</v>
      </c>
      <c r="V58" s="515">
        <f t="shared" si="2"/>
        <v>100</v>
      </c>
      <c r="W58" s="153">
        <f>(T58*0)/(1+cDR)^'Markov Model_b (3)'!cycle2</f>
        <v>0</v>
      </c>
      <c r="X58" s="178">
        <f t="shared" si="7"/>
        <v>39.207738289321682</v>
      </c>
      <c r="Y58" s="202">
        <f>(T58*(uPostT))/(1+oDR)^'Markov Model_b (3)'!cycle</f>
        <v>26.498388441615852</v>
      </c>
      <c r="Z58" s="80"/>
      <c r="AA58" s="3"/>
      <c r="AB58" s="3"/>
      <c r="AC58" s="14">
        <v>46</v>
      </c>
      <c r="AD58" s="14"/>
      <c r="AE58" s="14"/>
      <c r="AF58" s="3"/>
      <c r="AG58" s="3"/>
      <c r="AH58" s="3"/>
      <c r="AI58" s="14"/>
      <c r="AJ58" s="14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</row>
    <row r="59" spans="1:60" ht="14.25" customHeight="1" x14ac:dyDescent="0.2">
      <c r="A59" s="637"/>
      <c r="B59" s="80"/>
      <c r="C59" s="173">
        <v>48</v>
      </c>
      <c r="D59" s="504"/>
      <c r="E59" s="174">
        <v>4.9646183113278772E-3</v>
      </c>
      <c r="F59" s="505"/>
      <c r="G59" s="219">
        <f t="shared" si="3"/>
        <v>41.466471200862642</v>
      </c>
      <c r="H59" s="176">
        <f t="shared" si="4"/>
        <v>58.533528799137358</v>
      </c>
      <c r="I59" s="516">
        <f t="shared" si="0"/>
        <v>100</v>
      </c>
      <c r="J59" s="180">
        <f>(G59*0)/(1+cDR)^'Markov Model_b (3)'!cycle</f>
        <v>0</v>
      </c>
      <c r="K59" s="176">
        <f t="shared" si="1"/>
        <v>41.466471200862642</v>
      </c>
      <c r="L59" s="202">
        <f>(G59*(uPostT))/(1+oDR)^'Markov Model_b (3)'!cycle</f>
        <v>27.955056136708336</v>
      </c>
      <c r="M59" s="80"/>
      <c r="N59" s="3"/>
      <c r="O59" s="80"/>
      <c r="P59" s="173">
        <v>48</v>
      </c>
      <c r="Q59" s="504"/>
      <c r="R59" s="174">
        <v>4.8867689152088242E-3</v>
      </c>
      <c r="S59" s="505"/>
      <c r="T59" s="219">
        <f t="shared" si="6"/>
        <v>39.01613913261378</v>
      </c>
      <c r="U59" s="249">
        <f t="shared" si="5"/>
        <v>60.98386086738622</v>
      </c>
      <c r="V59" s="516">
        <f t="shared" si="2"/>
        <v>100</v>
      </c>
      <c r="W59" s="180">
        <f>(T59*0)/(1+cDR)^'Markov Model_b (3)'!cycle2</f>
        <v>0</v>
      </c>
      <c r="X59" s="176">
        <f t="shared" si="7"/>
        <v>39.01613913261378</v>
      </c>
      <c r="Y59" s="202">
        <f>(T59*(uPostT))/(1+oDR)^'Markov Model_b (3)'!cycle</f>
        <v>26.303139092943866</v>
      </c>
      <c r="Z59" s="80"/>
      <c r="AA59" s="3"/>
      <c r="AB59" s="3"/>
      <c r="AC59" s="14">
        <v>47</v>
      </c>
      <c r="AD59" s="14"/>
      <c r="AE59" s="14"/>
      <c r="AF59" s="3"/>
      <c r="AG59" s="3"/>
      <c r="AH59" s="3"/>
      <c r="AI59" s="14"/>
      <c r="AJ59" s="14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</row>
    <row r="60" spans="1:60" ht="14.25" customHeight="1" x14ac:dyDescent="0.25">
      <c r="A60" s="637" t="s">
        <v>546</v>
      </c>
      <c r="B60" s="80"/>
      <c r="C60" s="506">
        <v>49</v>
      </c>
      <c r="D60" s="506"/>
      <c r="E60" s="507">
        <v>4.6608113876700661E-3</v>
      </c>
      <c r="F60" s="508"/>
      <c r="G60" s="509">
        <f t="shared" si="3"/>
        <v>41.273203799683166</v>
      </c>
      <c r="H60" s="603">
        <f t="shared" si="4"/>
        <v>58.726796200316834</v>
      </c>
      <c r="I60" s="517">
        <f t="shared" si="0"/>
        <v>100</v>
      </c>
      <c r="J60" s="511">
        <f>(G60*0)/(1+cDR)^'Markov Model_b (3)'!cycle</f>
        <v>0</v>
      </c>
      <c r="K60" s="512">
        <f t="shared" si="1"/>
        <v>41.273203799683166</v>
      </c>
      <c r="L60" s="513">
        <f>(G60*(uPostT))/(1+oDR)^'Markov Model_b (3)'!cycle</f>
        <v>27.755374456581961</v>
      </c>
      <c r="M60" s="80"/>
      <c r="N60" s="3"/>
      <c r="O60" s="80"/>
      <c r="P60" s="506">
        <v>49</v>
      </c>
      <c r="Q60" s="506"/>
      <c r="R60" s="507">
        <v>4.5829566302045422E-3</v>
      </c>
      <c r="S60" s="508"/>
      <c r="T60" s="509">
        <f t="shared" si="6"/>
        <v>38.837329859090985</v>
      </c>
      <c r="U60" s="510">
        <f t="shared" si="5"/>
        <v>61.162670140909015</v>
      </c>
      <c r="V60" s="517">
        <f t="shared" si="2"/>
        <v>100</v>
      </c>
      <c r="W60" s="511">
        <f>(T60*0)/(1+cDR)^'Markov Model_b (3)'!cycle2</f>
        <v>0</v>
      </c>
      <c r="X60" s="512">
        <f t="shared" si="7"/>
        <v>38.837329859090985</v>
      </c>
      <c r="Y60" s="513">
        <f>(T60*(uPostT))/(1+oDR)^'Markov Model_b (3)'!cycle</f>
        <v>26.11729969799768</v>
      </c>
      <c r="Z60" s="80"/>
      <c r="AA60" s="3"/>
      <c r="AB60" s="3"/>
      <c r="AC60" s="14">
        <v>48</v>
      </c>
      <c r="AD60" s="14"/>
      <c r="AE60" s="14"/>
      <c r="AF60" s="3"/>
      <c r="AG60" s="3"/>
      <c r="AH60" s="3"/>
      <c r="AI60" s="14"/>
      <c r="AJ60" s="14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</row>
    <row r="61" spans="1:60" ht="14.25" customHeight="1" x14ac:dyDescent="0.2">
      <c r="A61" s="637"/>
      <c r="B61" s="80"/>
      <c r="C61" s="173">
        <v>50</v>
      </c>
      <c r="D61" s="165"/>
      <c r="E61" s="174">
        <v>4.3676407602976745E-3</v>
      </c>
      <c r="F61" s="502"/>
      <c r="G61" s="219">
        <f t="shared" si="3"/>
        <v>41.092937272459601</v>
      </c>
      <c r="H61" s="176">
        <f t="shared" si="4"/>
        <v>58.907062727540399</v>
      </c>
      <c r="I61" s="516">
        <f t="shared" si="0"/>
        <v>100</v>
      </c>
      <c r="J61" s="153">
        <f>(G61*0)/(1+cDR)^'Markov Model_b (3)'!cycle</f>
        <v>0</v>
      </c>
      <c r="K61" s="178">
        <f t="shared" si="1"/>
        <v>41.092937272459601</v>
      </c>
      <c r="L61" s="202">
        <f>(G61*(uPostT))/(1+oDR)^'Markov Model_b (3)'!cycle</f>
        <v>27.565235862132738</v>
      </c>
      <c r="M61" s="80"/>
      <c r="N61" s="3"/>
      <c r="O61" s="80"/>
      <c r="P61" s="173">
        <v>50</v>
      </c>
      <c r="Q61" s="165"/>
      <c r="R61" s="174">
        <v>4.2903314767658487E-3</v>
      </c>
      <c r="S61" s="502"/>
      <c r="T61" s="219">
        <f t="shared" si="6"/>
        <v>38.67070484032299</v>
      </c>
      <c r="U61" s="249">
        <f t="shared" si="5"/>
        <v>61.32929515967701</v>
      </c>
      <c r="V61" s="516">
        <f t="shared" si="2"/>
        <v>100</v>
      </c>
      <c r="W61" s="153">
        <f>(T61*0)/(1+cDR)^'Markov Model_b (3)'!cycle2</f>
        <v>0</v>
      </c>
      <c r="X61" s="178">
        <f t="shared" si="7"/>
        <v>38.67070484032299</v>
      </c>
      <c r="Y61" s="202">
        <f>(T61*(uPostT))/(1+oDR)^'Markov Model_b (3)'!cycle</f>
        <v>25.940396832932898</v>
      </c>
      <c r="Z61" s="80"/>
      <c r="AA61" s="3"/>
      <c r="AB61" s="3"/>
      <c r="AC61" s="14">
        <v>49</v>
      </c>
      <c r="AD61" s="14"/>
      <c r="AE61" s="14"/>
      <c r="AF61" s="3"/>
      <c r="AG61" s="3"/>
      <c r="AH61" s="3"/>
      <c r="AI61" s="14"/>
      <c r="AJ61" s="14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</row>
    <row r="62" spans="1:60" ht="14.25" customHeight="1" x14ac:dyDescent="0.2">
      <c r="A62" s="637"/>
      <c r="B62" s="80"/>
      <c r="C62" s="173">
        <v>51</v>
      </c>
      <c r="D62" s="165"/>
      <c r="E62" s="174">
        <v>4.0848432321337865E-3</v>
      </c>
      <c r="F62" s="502"/>
      <c r="G62" s="219">
        <f t="shared" si="3"/>
        <v>40.925079065753692</v>
      </c>
      <c r="H62" s="176">
        <f t="shared" si="4"/>
        <v>59.074920934246308</v>
      </c>
      <c r="I62" s="516">
        <f t="shared" si="0"/>
        <v>100</v>
      </c>
      <c r="J62" s="153">
        <f>(G62*0)/(1+cDR)^'Markov Model_b (3)'!cycle</f>
        <v>0</v>
      </c>
      <c r="K62" s="178">
        <f t="shared" si="1"/>
        <v>40.925079065753692</v>
      </c>
      <c r="L62" s="202">
        <f>(G62*(uPostT))/(1+oDR)^'Markov Model_b (3)'!cycle</f>
        <v>27.38417575559016</v>
      </c>
      <c r="M62" s="80"/>
      <c r="N62" s="3"/>
      <c r="O62" s="80"/>
      <c r="P62" s="173">
        <v>51</v>
      </c>
      <c r="Q62" s="165"/>
      <c r="R62" s="174">
        <v>4.0085010968214478E-3</v>
      </c>
      <c r="S62" s="502"/>
      <c r="T62" s="219">
        <f t="shared" si="6"/>
        <v>38.515693277555698</v>
      </c>
      <c r="U62" s="249">
        <f t="shared" si="5"/>
        <v>61.484306722444302</v>
      </c>
      <c r="V62" s="516">
        <f t="shared" si="2"/>
        <v>100</v>
      </c>
      <c r="W62" s="153">
        <f>(T62*0)/(1+cDR)^'Markov Model_b (3)'!cycle2</f>
        <v>0</v>
      </c>
      <c r="X62" s="178">
        <f t="shared" si="7"/>
        <v>38.515693277555698</v>
      </c>
      <c r="Y62" s="202">
        <f>(T62*(uPostT))/(1+oDR)^'Markov Model_b (3)'!cycle</f>
        <v>25.77198476187143</v>
      </c>
      <c r="Z62" s="80"/>
      <c r="AA62" s="3"/>
      <c r="AB62" s="3"/>
      <c r="AC62" s="14">
        <v>50</v>
      </c>
      <c r="AD62" s="14"/>
      <c r="AE62" s="14"/>
      <c r="AF62" s="3"/>
      <c r="AG62" s="3"/>
      <c r="AH62" s="3"/>
      <c r="AI62" s="14"/>
      <c r="AJ62" s="14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</row>
    <row r="63" spans="1:60" ht="14.25" customHeight="1" x14ac:dyDescent="0.2">
      <c r="A63" s="637"/>
      <c r="B63" s="80"/>
      <c r="C63" s="173">
        <v>52</v>
      </c>
      <c r="D63" s="165"/>
      <c r="E63" s="174">
        <v>3.812688072809448E-3</v>
      </c>
      <c r="F63" s="502"/>
      <c r="G63" s="219">
        <f t="shared" si="3"/>
        <v>40.769044504920913</v>
      </c>
      <c r="H63" s="176">
        <f t="shared" si="4"/>
        <v>59.230955495079087</v>
      </c>
      <c r="I63" s="516">
        <f t="shared" si="0"/>
        <v>100</v>
      </c>
      <c r="J63" s="153">
        <f>(G63*0)/(1+cDR)^'Markov Model_b (3)'!cycle</f>
        <v>0</v>
      </c>
      <c r="K63" s="178">
        <f t="shared" si="1"/>
        <v>40.769044504920913</v>
      </c>
      <c r="L63" s="202">
        <f>(G63*(uPostT))/(1+oDR)^'Markov Model_b (3)'!cycle</f>
        <v>27.211739087584142</v>
      </c>
      <c r="M63" s="80"/>
      <c r="N63" s="3"/>
      <c r="O63" s="80"/>
      <c r="P63" s="173">
        <v>52</v>
      </c>
      <c r="Q63" s="165"/>
      <c r="R63" s="174">
        <v>3.7377023714562155E-3</v>
      </c>
      <c r="S63" s="502"/>
      <c r="T63" s="219">
        <f t="shared" si="6"/>
        <v>38.371733079453897</v>
      </c>
      <c r="U63" s="249">
        <f t="shared" si="5"/>
        <v>61.628266920546103</v>
      </c>
      <c r="V63" s="516">
        <f t="shared" si="2"/>
        <v>100</v>
      </c>
      <c r="W63" s="153">
        <f>(T63*0)/(1+cDR)^'Markov Model_b (3)'!cycle2</f>
        <v>0</v>
      </c>
      <c r="X63" s="178">
        <f t="shared" si="7"/>
        <v>38.371733079453897</v>
      </c>
      <c r="Y63" s="202">
        <f>(T63*(uPostT))/(1+oDR)^'Markov Model_b (3)'!cycle</f>
        <v>25.611627684099599</v>
      </c>
      <c r="Z63" s="80"/>
      <c r="AA63" s="3"/>
      <c r="AB63" s="3"/>
      <c r="AC63" s="14">
        <v>51</v>
      </c>
      <c r="AD63" s="14"/>
      <c r="AE63" s="14"/>
      <c r="AF63" s="3"/>
      <c r="AG63" s="3"/>
      <c r="AH63" s="3"/>
      <c r="AI63" s="14"/>
      <c r="AJ63" s="14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</row>
    <row r="64" spans="1:60" ht="14.25" customHeight="1" x14ac:dyDescent="0.2">
      <c r="A64" s="637"/>
      <c r="B64" s="80"/>
      <c r="C64" s="173">
        <v>53</v>
      </c>
      <c r="D64" s="165"/>
      <c r="E64" s="174">
        <v>3.5516061600793214E-3</v>
      </c>
      <c r="F64" s="502"/>
      <c r="G64" s="219">
        <f t="shared" si="3"/>
        <v>40.624248915316691</v>
      </c>
      <c r="H64" s="176">
        <f t="shared" si="4"/>
        <v>59.375751084683309</v>
      </c>
      <c r="I64" s="516">
        <f t="shared" si="0"/>
        <v>100</v>
      </c>
      <c r="J64" s="153">
        <f>(G64*0)/(1+cDR)^'Markov Model_b (3)'!cycle</f>
        <v>0</v>
      </c>
      <c r="K64" s="178">
        <f t="shared" si="1"/>
        <v>40.624248915316691</v>
      </c>
      <c r="L64" s="202">
        <f>(G64*(uPostT))/(1+oDR)^'Markov Model_b (3)'!cycle</f>
        <v>27.047475019864549</v>
      </c>
      <c r="M64" s="80"/>
      <c r="N64" s="3"/>
      <c r="O64" s="80"/>
      <c r="P64" s="173">
        <v>53</v>
      </c>
      <c r="Q64" s="165"/>
      <c r="R64" s="174">
        <v>3.4783658193135365E-3</v>
      </c>
      <c r="S64" s="502"/>
      <c r="T64" s="219">
        <f t="shared" si="6"/>
        <v>38.238262154682502</v>
      </c>
      <c r="U64" s="249">
        <f t="shared" si="5"/>
        <v>61.761737845317498</v>
      </c>
      <c r="V64" s="516">
        <f t="shared" si="2"/>
        <v>100</v>
      </c>
      <c r="W64" s="153">
        <f>(T64*0)/(1+cDR)^'Markov Model_b (3)'!cycle2</f>
        <v>0</v>
      </c>
      <c r="X64" s="178">
        <f t="shared" si="7"/>
        <v>38.238262154682502</v>
      </c>
      <c r="Y64" s="202">
        <f>(T64*(uPostT))/(1+oDR)^'Markov Model_b (3)'!cycle</f>
        <v>25.458893839188274</v>
      </c>
      <c r="Z64" s="80"/>
      <c r="AA64" s="3"/>
      <c r="AB64" s="3"/>
      <c r="AC64" s="14">
        <v>52</v>
      </c>
      <c r="AD64" s="14"/>
      <c r="AE64" s="14"/>
      <c r="AF64" s="3"/>
      <c r="AG64" s="3"/>
      <c r="AH64" s="3"/>
      <c r="AI64" s="14"/>
      <c r="AJ64" s="14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</row>
    <row r="65" spans="1:60" ht="14.25" customHeight="1" x14ac:dyDescent="0.2">
      <c r="A65" s="637"/>
      <c r="B65" s="80"/>
      <c r="C65" s="173">
        <v>54</v>
      </c>
      <c r="D65" s="165"/>
      <c r="E65" s="174">
        <v>3.3017979454891266E-3</v>
      </c>
      <c r="F65" s="502"/>
      <c r="G65" s="219">
        <f t="shared" si="3"/>
        <v>40.49011585371106</v>
      </c>
      <c r="H65" s="176">
        <f t="shared" si="4"/>
        <v>59.50988414628894</v>
      </c>
      <c r="I65" s="516">
        <f t="shared" si="0"/>
        <v>100</v>
      </c>
      <c r="J65" s="153">
        <f>(G65*0)/(1+cDR)^'Markov Model_b (3)'!cycle</f>
        <v>0</v>
      </c>
      <c r="K65" s="178">
        <f t="shared" si="1"/>
        <v>40.49011585371106</v>
      </c>
      <c r="L65" s="202">
        <f>(G65*(uPostT))/(1+oDR)^'Markov Model_b (3)'!cycle</f>
        <v>26.890942366497057</v>
      </c>
      <c r="M65" s="80"/>
      <c r="N65" s="3"/>
      <c r="O65" s="80"/>
      <c r="P65" s="173">
        <v>54</v>
      </c>
      <c r="Q65" s="165"/>
      <c r="R65" s="174">
        <v>3.2306629443768406E-3</v>
      </c>
      <c r="S65" s="502"/>
      <c r="T65" s="219">
        <f t="shared" si="6"/>
        <v>38.114727218082002</v>
      </c>
      <c r="U65" s="249">
        <f t="shared" si="5"/>
        <v>61.885272781917998</v>
      </c>
      <c r="V65" s="516">
        <f t="shared" si="2"/>
        <v>100</v>
      </c>
      <c r="W65" s="153">
        <f>(T65*0)/(1+cDR)^'Markov Model_b (3)'!cycle2</f>
        <v>0</v>
      </c>
      <c r="X65" s="178">
        <f t="shared" si="7"/>
        <v>38.114727218082002</v>
      </c>
      <c r="Y65" s="202">
        <f>(T65*(uPostT))/(1+oDR)^'Markov Model_b (3)'!cycle</f>
        <v>25.313361330929865</v>
      </c>
      <c r="Z65" s="80"/>
      <c r="AA65" s="3"/>
      <c r="AB65" s="3"/>
      <c r="AC65" s="14">
        <v>53</v>
      </c>
      <c r="AD65" s="14"/>
      <c r="AE65" s="14"/>
      <c r="AF65" s="3"/>
      <c r="AG65" s="3"/>
      <c r="AH65" s="3"/>
      <c r="AI65" s="14"/>
      <c r="AJ65" s="14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</row>
    <row r="66" spans="1:60" ht="14.25" customHeight="1" x14ac:dyDescent="0.2">
      <c r="A66" s="637"/>
      <c r="B66" s="80"/>
      <c r="C66" s="173">
        <v>55</v>
      </c>
      <c r="D66" s="165"/>
      <c r="E66" s="174">
        <v>3.0628228288084578E-3</v>
      </c>
      <c r="F66" s="502"/>
      <c r="G66" s="219">
        <f t="shared" si="3"/>
        <v>40.366101802533215</v>
      </c>
      <c r="H66" s="176">
        <f t="shared" si="4"/>
        <v>59.633898197466785</v>
      </c>
      <c r="I66" s="516">
        <f t="shared" si="0"/>
        <v>100</v>
      </c>
      <c r="J66" s="153">
        <f>(G66*0)/(1+cDR)^'Markov Model_b (3)'!cycle</f>
        <v>0</v>
      </c>
      <c r="K66" s="178">
        <f t="shared" si="1"/>
        <v>40.366101802533215</v>
      </c>
      <c r="L66" s="202">
        <f>(G66*(uPostT))/(1+oDR)^'Markov Model_b (3)'!cycle</f>
        <v>26.74172585967958</v>
      </c>
      <c r="M66" s="80"/>
      <c r="N66" s="3"/>
      <c r="O66" s="80"/>
      <c r="P66" s="173">
        <v>55</v>
      </c>
      <c r="Q66" s="165"/>
      <c r="R66" s="174">
        <v>2.9940397640224338E-3</v>
      </c>
      <c r="S66" s="502"/>
      <c r="T66" s="219">
        <f t="shared" si="6"/>
        <v>38.000610209196196</v>
      </c>
      <c r="U66" s="249">
        <f t="shared" si="5"/>
        <v>61.999389790803804</v>
      </c>
      <c r="V66" s="516">
        <f t="shared" si="2"/>
        <v>100</v>
      </c>
      <c r="W66" s="153">
        <f>(T66*0)/(1+cDR)^'Markov Model_b (3)'!cycle2</f>
        <v>0</v>
      </c>
      <c r="X66" s="178">
        <f t="shared" si="7"/>
        <v>38.000610209196196</v>
      </c>
      <c r="Y66" s="202">
        <f>(T66*(uPostT))/(1+oDR)^'Markov Model_b (3)'!cycle</f>
        <v>25.174635531714706</v>
      </c>
      <c r="Z66" s="80"/>
      <c r="AA66" s="3"/>
      <c r="AB66" s="3"/>
      <c r="AC66" s="14">
        <v>54</v>
      </c>
      <c r="AD66" s="14"/>
      <c r="AE66" s="14"/>
      <c r="AF66" s="3"/>
      <c r="AG66" s="3"/>
      <c r="AH66" s="3"/>
      <c r="AI66" s="14"/>
      <c r="AJ66" s="14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</row>
    <row r="67" spans="1:60" ht="14.25" customHeight="1" x14ac:dyDescent="0.2">
      <c r="A67" s="637"/>
      <c r="B67" s="80"/>
      <c r="C67" s="173">
        <v>56</v>
      </c>
      <c r="D67" s="165"/>
      <c r="E67" s="174">
        <v>2.8348124241986544E-3</v>
      </c>
      <c r="F67" s="502"/>
      <c r="G67" s="219">
        <f t="shared" si="3"/>
        <v>40.251671475626928</v>
      </c>
      <c r="H67" s="176">
        <f t="shared" si="4"/>
        <v>59.748328524373072</v>
      </c>
      <c r="I67" s="516">
        <f t="shared" si="0"/>
        <v>100</v>
      </c>
      <c r="J67" s="153">
        <f>(G67*0)/(1+cDR)^'Markov Model_b (3)'!cycle</f>
        <v>0</v>
      </c>
      <c r="K67" s="178">
        <f t="shared" si="1"/>
        <v>40.251671475626928</v>
      </c>
      <c r="L67" s="202">
        <f>(G67*(uPostT))/(1+oDR)^'Markov Model_b (3)'!cycle</f>
        <v>26.599419534132718</v>
      </c>
      <c r="M67" s="80"/>
      <c r="N67" s="3"/>
      <c r="O67" s="80"/>
      <c r="P67" s="173">
        <v>56</v>
      </c>
      <c r="Q67" s="165"/>
      <c r="R67" s="174">
        <v>2.7685959481261284E-3</v>
      </c>
      <c r="S67" s="502"/>
      <c r="T67" s="219">
        <f t="shared" si="6"/>
        <v>37.895401873744696</v>
      </c>
      <c r="U67" s="249">
        <f t="shared" si="5"/>
        <v>62.104598126255304</v>
      </c>
      <c r="V67" s="516">
        <f t="shared" si="2"/>
        <v>100</v>
      </c>
      <c r="W67" s="153">
        <f>(T67*0)/(1+cDR)^'Markov Model_b (3)'!cycle2</f>
        <v>0</v>
      </c>
      <c r="X67" s="178">
        <f t="shared" si="7"/>
        <v>37.895401873744696</v>
      </c>
      <c r="Y67" s="202">
        <f>(T67*(uPostT))/(1+oDR)^'Markov Model_b (3)'!cycle</f>
        <v>25.042331309512271</v>
      </c>
      <c r="Z67" s="80"/>
      <c r="AA67" s="3"/>
      <c r="AB67" s="3"/>
      <c r="AC67" s="14">
        <v>55</v>
      </c>
      <c r="AD67" s="14"/>
      <c r="AE67" s="14"/>
      <c r="AF67" s="3"/>
      <c r="AG67" s="3"/>
      <c r="AH67" s="3"/>
      <c r="AI67" s="14"/>
      <c r="AJ67" s="14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</row>
    <row r="68" spans="1:60" ht="14.25" customHeight="1" x14ac:dyDescent="0.2">
      <c r="A68" s="637"/>
      <c r="B68" s="80"/>
      <c r="C68" s="173">
        <v>57</v>
      </c>
      <c r="D68" s="165"/>
      <c r="E68" s="174">
        <v>2.6179448024043921E-3</v>
      </c>
      <c r="F68" s="502"/>
      <c r="G68" s="219">
        <f t="shared" si="3"/>
        <v>40.146294821499218</v>
      </c>
      <c r="H68" s="176">
        <f t="shared" si="4"/>
        <v>59.853705178500782</v>
      </c>
      <c r="I68" s="516">
        <f t="shared" si="0"/>
        <v>100</v>
      </c>
      <c r="J68" s="153">
        <f>(G68*0)/(1+cDR)^'Markov Model_b (3)'!cycle</f>
        <v>0</v>
      </c>
      <c r="K68" s="178">
        <f t="shared" si="1"/>
        <v>40.146294821499218</v>
      </c>
      <c r="L68" s="202">
        <f>(G68*(uPostT))/(1+oDR)^'Markov Model_b (3)'!cycle</f>
        <v>26.463624660365443</v>
      </c>
      <c r="M68" s="80"/>
      <c r="N68" s="3"/>
      <c r="O68" s="80"/>
      <c r="P68" s="173">
        <v>57</v>
      </c>
      <c r="Q68" s="165"/>
      <c r="R68" s="174">
        <v>2.5544875507776282E-3</v>
      </c>
      <c r="S68" s="502"/>
      <c r="T68" s="219">
        <f t="shared" si="6"/>
        <v>37.7985985414265</v>
      </c>
      <c r="U68" s="249">
        <f t="shared" si="5"/>
        <v>62.2014014585735</v>
      </c>
      <c r="V68" s="516">
        <f t="shared" si="2"/>
        <v>100</v>
      </c>
      <c r="W68" s="153">
        <f>(T68*0)/(1+cDR)^'Markov Model_b (3)'!cycle2</f>
        <v>0</v>
      </c>
      <c r="X68" s="178">
        <f t="shared" si="7"/>
        <v>37.7985985414265</v>
      </c>
      <c r="Y68" s="202">
        <f>(T68*(uPostT))/(1+oDR)^'Markov Model_b (3)'!cycle</f>
        <v>24.916070808917379</v>
      </c>
      <c r="Z68" s="80"/>
      <c r="AA68" s="3"/>
      <c r="AB68" s="3"/>
      <c r="AC68" s="14">
        <v>56</v>
      </c>
      <c r="AD68" s="14"/>
      <c r="AE68" s="14"/>
      <c r="AF68" s="3"/>
      <c r="AG68" s="3"/>
      <c r="AH68" s="3"/>
      <c r="AI68" s="14"/>
      <c r="AJ68" s="14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</row>
    <row r="69" spans="1:60" ht="14.25" customHeight="1" x14ac:dyDescent="0.2">
      <c r="A69" s="637"/>
      <c r="B69" s="80"/>
      <c r="C69" s="173">
        <v>58</v>
      </c>
      <c r="D69" s="165"/>
      <c r="E69" s="174">
        <v>2.4119808470660382E-3</v>
      </c>
      <c r="F69" s="502"/>
      <c r="G69" s="219">
        <f t="shared" si="3"/>
        <v>40.049462727309098</v>
      </c>
      <c r="H69" s="176">
        <f t="shared" si="4"/>
        <v>59.950537272690902</v>
      </c>
      <c r="I69" s="516">
        <f t="shared" si="0"/>
        <v>100</v>
      </c>
      <c r="J69" s="153">
        <f>(G69*0)/(1+cDR)^'Markov Model_b (3)'!cycle</f>
        <v>0</v>
      </c>
      <c r="K69" s="178">
        <f t="shared" si="1"/>
        <v>40.049462727309098</v>
      </c>
      <c r="L69" s="202">
        <f>(G69*(uPostT))/(1+oDR)^'Markov Model_b (3)'!cycle</f>
        <v>26.333960004529377</v>
      </c>
      <c r="M69" s="80"/>
      <c r="N69" s="3"/>
      <c r="O69" s="80"/>
      <c r="P69" s="173">
        <v>58</v>
      </c>
      <c r="Q69" s="165"/>
      <c r="R69" s="174">
        <v>2.3514010306807283E-3</v>
      </c>
      <c r="S69" s="502"/>
      <c r="T69" s="219">
        <f t="shared" si="6"/>
        <v>37.709718877857902</v>
      </c>
      <c r="U69" s="249">
        <f t="shared" si="5"/>
        <v>62.290281122142098</v>
      </c>
      <c r="V69" s="516">
        <f t="shared" si="2"/>
        <v>100</v>
      </c>
      <c r="W69" s="153">
        <f>(T69*0)/(1+cDR)^'Markov Model_b (3)'!cycle2</f>
        <v>0</v>
      </c>
      <c r="X69" s="178">
        <f t="shared" si="7"/>
        <v>37.709718877857902</v>
      </c>
      <c r="Y69" s="202">
        <f>(T69*(uPostT))/(1+oDR)^'Markov Model_b (3)'!cycle</f>
        <v>24.795494398340924</v>
      </c>
      <c r="Z69" s="80"/>
      <c r="AA69" s="3"/>
      <c r="AB69" s="3"/>
      <c r="AC69" s="14">
        <v>57</v>
      </c>
      <c r="AD69" s="14"/>
      <c r="AE69" s="14"/>
      <c r="AF69" s="3"/>
      <c r="AG69" s="3"/>
      <c r="AH69" s="3"/>
      <c r="AI69" s="14"/>
      <c r="AJ69" s="14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</row>
    <row r="70" spans="1:60" ht="14.25" customHeight="1" x14ac:dyDescent="0.2">
      <c r="A70" s="637"/>
      <c r="B70" s="80"/>
      <c r="C70" s="173">
        <v>59</v>
      </c>
      <c r="D70" s="165"/>
      <c r="E70" s="174">
        <v>2.2170437849475906E-3</v>
      </c>
      <c r="F70" s="502"/>
      <c r="G70" s="219">
        <f t="shared" si="3"/>
        <v>39.960671314879029</v>
      </c>
      <c r="H70" s="176">
        <f t="shared" si="4"/>
        <v>60.039328685120971</v>
      </c>
      <c r="I70" s="516">
        <f t="shared" si="0"/>
        <v>100</v>
      </c>
      <c r="J70" s="153">
        <f>(G70*0)/(1+cDR)^'Markov Model_b (3)'!cycle</f>
        <v>0</v>
      </c>
      <c r="K70" s="178">
        <f t="shared" si="1"/>
        <v>39.960671314879029</v>
      </c>
      <c r="L70" s="202">
        <f>(G70*(uPostT))/(1+oDR)^'Markov Model_b (3)'!cycle</f>
        <v>26.210051333833693</v>
      </c>
      <c r="M70" s="80"/>
      <c r="N70" s="3"/>
      <c r="O70" s="80"/>
      <c r="P70" s="173">
        <v>59</v>
      </c>
      <c r="Q70" s="165"/>
      <c r="R70" s="174">
        <v>2.1594365496852936E-3</v>
      </c>
      <c r="S70" s="502"/>
      <c r="T70" s="219">
        <f t="shared" si="6"/>
        <v>37.628287132634696</v>
      </c>
      <c r="U70" s="249">
        <f t="shared" si="5"/>
        <v>62.371712867365304</v>
      </c>
      <c r="V70" s="516">
        <f t="shared" si="2"/>
        <v>100</v>
      </c>
      <c r="W70" s="153">
        <f>(T70*0)/(1+cDR)^'Markov Model_b (3)'!cycle2</f>
        <v>0</v>
      </c>
      <c r="X70" s="178">
        <f t="shared" si="7"/>
        <v>37.628287132634696</v>
      </c>
      <c r="Y70" s="202">
        <f>(T70*(uPostT))/(1+oDR)^'Markov Model_b (3)'!cycle</f>
        <v>24.680249477775188</v>
      </c>
      <c r="Z70" s="80"/>
      <c r="AA70" s="3"/>
      <c r="AB70" s="3"/>
      <c r="AC70" s="14">
        <v>58</v>
      </c>
      <c r="AD70" s="14"/>
      <c r="AE70" s="14"/>
      <c r="AF70" s="3"/>
      <c r="AG70" s="3"/>
      <c r="AH70" s="3"/>
      <c r="AI70" s="14"/>
      <c r="AJ70" s="14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</row>
    <row r="71" spans="1:60" ht="14.25" customHeight="1" x14ac:dyDescent="0.2">
      <c r="A71" s="637"/>
      <c r="B71" s="80"/>
      <c r="C71" s="173">
        <v>60</v>
      </c>
      <c r="D71" s="504"/>
      <c r="E71" s="174">
        <v>2.0333644599613821E-3</v>
      </c>
      <c r="F71" s="505"/>
      <c r="G71" s="219">
        <f t="shared" si="3"/>
        <v>39.879416706031158</v>
      </c>
      <c r="H71" s="176">
        <f t="shared" si="4"/>
        <v>60.120583293968842</v>
      </c>
      <c r="I71" s="516">
        <f t="shared" si="0"/>
        <v>100</v>
      </c>
      <c r="J71" s="180">
        <f>(G71*0)/(1+cDR)^'Markov Model_b (3)'!cycle</f>
        <v>0</v>
      </c>
      <c r="K71" s="176">
        <f t="shared" si="1"/>
        <v>39.879416706031158</v>
      </c>
      <c r="L71" s="202">
        <f>(G71*(uPostT))/(1+oDR)^'Markov Model_b (3)'!cycle</f>
        <v>26.091527927139865</v>
      </c>
      <c r="M71" s="80"/>
      <c r="N71" s="3"/>
      <c r="O71" s="80"/>
      <c r="P71" s="173">
        <v>60</v>
      </c>
      <c r="Q71" s="504"/>
      <c r="R71" s="174">
        <v>1.9788192064029994E-3</v>
      </c>
      <c r="S71" s="505"/>
      <c r="T71" s="219">
        <f t="shared" si="6"/>
        <v>37.553827555352591</v>
      </c>
      <c r="U71" s="249">
        <f t="shared" si="5"/>
        <v>62.446172444647409</v>
      </c>
      <c r="V71" s="516">
        <f t="shared" si="2"/>
        <v>100</v>
      </c>
      <c r="W71" s="180">
        <f>(T71*0)/(1+cDR)^'Markov Model_b (3)'!cycle2</f>
        <v>0</v>
      </c>
      <c r="X71" s="176">
        <f t="shared" si="7"/>
        <v>37.553827555352591</v>
      </c>
      <c r="Y71" s="202">
        <f>(T71*(uPostT))/(1+oDR)^'Markov Model_b (3)'!cycle</f>
        <v>24.569986759191774</v>
      </c>
      <c r="Z71" s="80"/>
      <c r="AA71" s="3"/>
      <c r="AB71" s="3"/>
      <c r="AC71" s="14">
        <v>59</v>
      </c>
      <c r="AD71" s="14"/>
      <c r="AE71" s="14"/>
      <c r="AF71" s="3"/>
      <c r="AG71" s="3"/>
      <c r="AH71" s="3"/>
      <c r="AI71" s="14"/>
      <c r="AJ71" s="14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</row>
    <row r="72" spans="1:60" ht="14.25" customHeight="1" x14ac:dyDescent="0.25">
      <c r="A72" s="637" t="s">
        <v>547</v>
      </c>
      <c r="B72" s="80"/>
      <c r="C72" s="506">
        <v>61</v>
      </c>
      <c r="D72" s="506"/>
      <c r="E72" s="507">
        <v>1.861025038796297E-3</v>
      </c>
      <c r="F72" s="508"/>
      <c r="G72" s="509">
        <f t="shared" si="3"/>
        <v>39.805200113008645</v>
      </c>
      <c r="H72" s="603">
        <f t="shared" si="4"/>
        <v>60.194799886991355</v>
      </c>
      <c r="I72" s="518">
        <f t="shared" si="0"/>
        <v>100</v>
      </c>
      <c r="J72" s="511">
        <f>(G72*0)/(1+cDR)^'Markov Model_b (3)'!cycle</f>
        <v>0</v>
      </c>
      <c r="K72" s="512">
        <f t="shared" si="1"/>
        <v>39.805200113008645</v>
      </c>
      <c r="L72" s="513">
        <f>(G72*(uPostT))/(1+oDR)^'Markov Model_b (3)'!cycle</f>
        <v>25.978025875677808</v>
      </c>
      <c r="M72" s="80"/>
      <c r="N72" s="3"/>
      <c r="O72" s="80"/>
      <c r="P72" s="506">
        <v>61</v>
      </c>
      <c r="Q72" s="506"/>
      <c r="R72" s="507">
        <v>1.8096100310849121E-3</v>
      </c>
      <c r="S72" s="508"/>
      <c r="T72" s="509">
        <f t="shared" si="6"/>
        <v>37.485869772302792</v>
      </c>
      <c r="U72" s="510">
        <f t="shared" si="5"/>
        <v>62.514130227697208</v>
      </c>
      <c r="V72" s="518">
        <f t="shared" si="2"/>
        <v>100</v>
      </c>
      <c r="W72" s="511">
        <f>(T72*0)/(1+cDR)^'Markov Model_b (3)'!cycle2</f>
        <v>0</v>
      </c>
      <c r="X72" s="512">
        <f t="shared" si="7"/>
        <v>37.485869772302792</v>
      </c>
      <c r="Y72" s="513">
        <f>(T72*(uPostT))/(1+oDR)^'Markov Model_b (3)'!cycle</f>
        <v>24.464363755300461</v>
      </c>
      <c r="Z72" s="80"/>
      <c r="AA72" s="3"/>
      <c r="AB72" s="3"/>
      <c r="AC72" s="14">
        <v>60</v>
      </c>
      <c r="AD72" s="14"/>
      <c r="AE72" s="14"/>
      <c r="AF72" s="3"/>
      <c r="AG72" s="3"/>
      <c r="AH72" s="3"/>
      <c r="AI72" s="14"/>
      <c r="AJ72" s="14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</row>
    <row r="73" spans="1:60" ht="14.25" customHeight="1" x14ac:dyDescent="0.2">
      <c r="A73" s="637"/>
      <c r="B73" s="80"/>
      <c r="C73" s="173">
        <v>62</v>
      </c>
      <c r="D73" s="165"/>
      <c r="E73" s="174">
        <v>1.6997026287685173E-3</v>
      </c>
      <c r="F73" s="502"/>
      <c r="G73" s="219">
        <f t="shared" si="3"/>
        <v>39.737543109737906</v>
      </c>
      <c r="H73" s="176">
        <f t="shared" si="4"/>
        <v>60.262456890262094</v>
      </c>
      <c r="I73" s="516">
        <f t="shared" si="0"/>
        <v>100</v>
      </c>
      <c r="J73" s="153">
        <f>(G73*0)/(1+cDR)^'Markov Model_b (3)'!cycle</f>
        <v>0</v>
      </c>
      <c r="K73" s="178">
        <f t="shared" si="1"/>
        <v>39.737543109737906</v>
      </c>
      <c r="L73" s="202">
        <f>(G73*(uPostT))/(1+oDR)^'Markov Model_b (3)'!cycle</f>
        <v>25.869197961901953</v>
      </c>
      <c r="M73" s="80"/>
      <c r="N73" s="3"/>
      <c r="O73" s="80"/>
      <c r="P73" s="173">
        <v>62</v>
      </c>
      <c r="Q73" s="165"/>
      <c r="R73" s="174">
        <v>1.6514184176657121E-3</v>
      </c>
      <c r="S73" s="502"/>
      <c r="T73" s="219">
        <f t="shared" si="6"/>
        <v>37.423964916558596</v>
      </c>
      <c r="U73" s="249">
        <f t="shared" si="5"/>
        <v>62.576035083441404</v>
      </c>
      <c r="V73" s="516">
        <f t="shared" si="2"/>
        <v>100</v>
      </c>
      <c r="W73" s="153">
        <f>(T73*0)/(1+cDR)^'Markov Model_b (3)'!cycle2</f>
        <v>0</v>
      </c>
      <c r="X73" s="178">
        <f t="shared" si="7"/>
        <v>37.423964916558596</v>
      </c>
      <c r="Y73" s="202">
        <f>(T73*(uPostT))/(1+oDR)^'Markov Model_b (3)'!cycle</f>
        <v>24.36305521637755</v>
      </c>
      <c r="Z73" s="80"/>
      <c r="AA73" s="3"/>
      <c r="AB73" s="3"/>
      <c r="AC73" s="14">
        <v>61</v>
      </c>
      <c r="AD73" s="14"/>
      <c r="AE73" s="14"/>
      <c r="AF73" s="3"/>
      <c r="AG73" s="3"/>
      <c r="AH73" s="3"/>
      <c r="AI73" s="14"/>
      <c r="AJ73" s="14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</row>
    <row r="74" spans="1:60" ht="14.25" customHeight="1" x14ac:dyDescent="0.2">
      <c r="A74" s="637"/>
      <c r="B74" s="80"/>
      <c r="C74" s="173">
        <v>63</v>
      </c>
      <c r="D74" s="165"/>
      <c r="E74" s="174">
        <v>1.5494352280809782E-3</v>
      </c>
      <c r="F74" s="502"/>
      <c r="G74" s="219">
        <f t="shared" si="3"/>
        <v>39.675972360566291</v>
      </c>
      <c r="H74" s="176">
        <f t="shared" si="4"/>
        <v>60.324027639433709</v>
      </c>
      <c r="I74" s="516">
        <f t="shared" si="0"/>
        <v>100</v>
      </c>
      <c r="J74" s="153">
        <f>(G74*0)/(1+cDR)^'Markov Model_b (3)'!cycle</f>
        <v>0</v>
      </c>
      <c r="K74" s="178">
        <f t="shared" si="1"/>
        <v>39.675972360566291</v>
      </c>
      <c r="L74" s="202">
        <f>(G74*(uPostT))/(1+oDR)^'Markov Model_b (3)'!cycle</f>
        <v>25.764703556366669</v>
      </c>
      <c r="M74" s="80"/>
      <c r="N74" s="3"/>
      <c r="O74" s="80"/>
      <c r="P74" s="173">
        <v>63</v>
      </c>
      <c r="Q74" s="165"/>
      <c r="R74" s="174">
        <v>1.504261207900114E-3</v>
      </c>
      <c r="S74" s="502"/>
      <c r="T74" s="219">
        <f t="shared" si="6"/>
        <v>37.367669497888805</v>
      </c>
      <c r="U74" s="249">
        <f t="shared" si="5"/>
        <v>62.632330502111195</v>
      </c>
      <c r="V74" s="516">
        <f t="shared" si="2"/>
        <v>100</v>
      </c>
      <c r="W74" s="153">
        <f>(T74*0)/(1+cDR)^'Markov Model_b (3)'!cycle2</f>
        <v>0</v>
      </c>
      <c r="X74" s="178">
        <f t="shared" si="7"/>
        <v>37.367669497888805</v>
      </c>
      <c r="Y74" s="202">
        <f>(T74*(uPostT))/(1+oDR)^'Markov Model_b (3)'!cycle</f>
        <v>24.265742461356243</v>
      </c>
      <c r="Z74" s="80"/>
      <c r="AA74" s="3"/>
      <c r="AB74" s="3"/>
      <c r="AC74" s="14">
        <v>62</v>
      </c>
      <c r="AD74" s="14"/>
      <c r="AE74" s="14"/>
      <c r="AF74" s="3"/>
      <c r="AG74" s="3"/>
      <c r="AH74" s="3"/>
      <c r="AI74" s="14"/>
      <c r="AJ74" s="14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</row>
    <row r="75" spans="1:60" ht="14.25" customHeight="1" x14ac:dyDescent="0.2">
      <c r="A75" s="637"/>
      <c r="B75" s="80"/>
      <c r="C75" s="173">
        <v>64</v>
      </c>
      <c r="D75" s="165"/>
      <c r="E75" s="174">
        <v>1.4103707457182317E-3</v>
      </c>
      <c r="F75" s="502"/>
      <c r="G75" s="219">
        <f t="shared" si="3"/>
        <v>39.620014529841022</v>
      </c>
      <c r="H75" s="176">
        <f t="shared" si="4"/>
        <v>60.379985470158978</v>
      </c>
      <c r="I75" s="516">
        <f t="shared" si="0"/>
        <v>100</v>
      </c>
      <c r="J75" s="153">
        <f>(G75*0)/(1+cDR)^'Markov Model_b (3)'!cycle</f>
        <v>0</v>
      </c>
      <c r="K75" s="178">
        <f t="shared" ref="K75:K177" si="8">G75</f>
        <v>39.620014529841022</v>
      </c>
      <c r="L75" s="202">
        <f>(G75*(uPostT))/(1+oDR)^'Markov Model_b (3)'!cycle</f>
        <v>25.664205259051034</v>
      </c>
      <c r="M75" s="80"/>
      <c r="N75" s="3"/>
      <c r="O75" s="80"/>
      <c r="P75" s="173">
        <v>64</v>
      </c>
      <c r="Q75" s="165"/>
      <c r="R75" s="174">
        <v>1.3682809903219394E-3</v>
      </c>
      <c r="S75" s="502"/>
      <c r="T75" s="219">
        <f t="shared" si="6"/>
        <v>37.316540026062214</v>
      </c>
      <c r="U75" s="249">
        <f t="shared" si="5"/>
        <v>62.683459973937786</v>
      </c>
      <c r="V75" s="516">
        <f t="shared" si="2"/>
        <v>100</v>
      </c>
      <c r="W75" s="153">
        <f>(T75*0)/(1+cDR)^'Markov Model_b (3)'!cycle2</f>
        <v>0</v>
      </c>
      <c r="X75" s="178">
        <f t="shared" si="7"/>
        <v>37.316540026062214</v>
      </c>
      <c r="Y75" s="202">
        <f>(T75*(uPostT))/(1+oDR)^'Markov Model_b (3)'!cycle</f>
        <v>24.172109832648694</v>
      </c>
      <c r="Z75" s="80"/>
      <c r="AA75" s="3"/>
      <c r="AB75" s="3"/>
      <c r="AC75" s="14">
        <v>63</v>
      </c>
      <c r="AD75" s="14"/>
      <c r="AE75" s="14"/>
      <c r="AF75" s="3"/>
      <c r="AG75" s="3"/>
      <c r="AH75" s="3"/>
      <c r="AI75" s="14"/>
      <c r="AJ75" s="14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</row>
    <row r="76" spans="1:60" ht="14.25" customHeight="1" x14ac:dyDescent="0.2">
      <c r="A76" s="637"/>
      <c r="B76" s="80"/>
      <c r="C76" s="173">
        <v>65</v>
      </c>
      <c r="D76" s="165"/>
      <c r="E76" s="174">
        <v>1.2824889536810675E-3</v>
      </c>
      <c r="F76" s="502"/>
      <c r="G76" s="219">
        <f t="shared" ref="G76:G139" si="9">$G$10-H76</f>
        <v>39.569202298861818</v>
      </c>
      <c r="H76" s="176">
        <f t="shared" ref="H76:H139" si="10">H75+(G75*E76)</f>
        <v>60.430797701138182</v>
      </c>
      <c r="I76" s="516">
        <f t="shared" si="0"/>
        <v>100</v>
      </c>
      <c r="J76" s="153">
        <f>(G76*0)/(1+cDR)^'Markov Model_b (3)'!cycle</f>
        <v>0</v>
      </c>
      <c r="K76" s="178">
        <f t="shared" si="8"/>
        <v>39.569202298861818</v>
      </c>
      <c r="L76" s="202">
        <f>(G76*(uPostT))/(1+oDR)^'Markov Model_b (3)'!cycle</f>
        <v>25.567372767382839</v>
      </c>
      <c r="M76" s="80"/>
      <c r="N76" s="3"/>
      <c r="O76" s="80"/>
      <c r="P76" s="173">
        <v>65</v>
      </c>
      <c r="Q76" s="165"/>
      <c r="R76" s="174">
        <v>1.2434456013124312E-3</v>
      </c>
      <c r="S76" s="502"/>
      <c r="T76" s="219">
        <f t="shared" si="6"/>
        <v>37.270138938510605</v>
      </c>
      <c r="U76" s="249">
        <f t="shared" ref="U76:U118" si="11">U75+(T75*R76)</f>
        <v>62.729861061489395</v>
      </c>
      <c r="V76" s="516">
        <f t="shared" si="2"/>
        <v>100</v>
      </c>
      <c r="W76" s="153">
        <f>(T76*0)/(1+cDR)^'Markov Model_b (3)'!cycle2</f>
        <v>0</v>
      </c>
      <c r="X76" s="178">
        <f t="shared" si="7"/>
        <v>37.270138938510605</v>
      </c>
      <c r="Y76" s="202">
        <f>(T76*(uPostT))/(1+oDR)^'Markov Model_b (3)'!cycle</f>
        <v>24.081848507733511</v>
      </c>
      <c r="Z76" s="80"/>
      <c r="AA76" s="3"/>
      <c r="AB76" s="3"/>
      <c r="AC76" s="14">
        <v>64</v>
      </c>
      <c r="AD76" s="14"/>
      <c r="AE76" s="14"/>
      <c r="AF76" s="3"/>
      <c r="AG76" s="3"/>
      <c r="AH76" s="3"/>
      <c r="AI76" s="14"/>
      <c r="AJ76" s="14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</row>
    <row r="77" spans="1:60" ht="14.25" customHeight="1" x14ac:dyDescent="0.2">
      <c r="A77" s="637"/>
      <c r="B77" s="80"/>
      <c r="C77" s="173">
        <v>66</v>
      </c>
      <c r="D77" s="165"/>
      <c r="E77" s="174">
        <v>1.1652972373570243E-3</v>
      </c>
      <c r="F77" s="502"/>
      <c r="G77" s="219">
        <f t="shared" si="9"/>
        <v>39.523092416738535</v>
      </c>
      <c r="H77" s="176">
        <f t="shared" si="10"/>
        <v>60.476907583261465</v>
      </c>
      <c r="I77" s="516">
        <f t="shared" si="0"/>
        <v>100</v>
      </c>
      <c r="J77" s="153">
        <f>(G77*0)/(1+cDR)^'Markov Model_b (3)'!cycle</f>
        <v>0</v>
      </c>
      <c r="K77" s="178">
        <f t="shared" si="8"/>
        <v>39.523092416738535</v>
      </c>
      <c r="L77" s="202">
        <f>(G77*(uPostT))/(1+oDR)^'Markov Model_b (3)'!cycle</f>
        <v>25.473894442424477</v>
      </c>
      <c r="M77" s="80"/>
      <c r="N77" s="3"/>
      <c r="O77" s="80"/>
      <c r="P77" s="173">
        <v>66</v>
      </c>
      <c r="Q77" s="165"/>
      <c r="R77" s="174">
        <v>1.1292298980327101E-3</v>
      </c>
      <c r="S77" s="502"/>
      <c r="T77" s="219">
        <f t="shared" si="6"/>
        <v>37.228052383317404</v>
      </c>
      <c r="U77" s="249">
        <f t="shared" si="11"/>
        <v>62.771947616682596</v>
      </c>
      <c r="V77" s="516">
        <f t="shared" si="2"/>
        <v>100</v>
      </c>
      <c r="W77" s="153">
        <f>(T77*0)/(1+cDR)^'Markov Model_b (3)'!cycle2</f>
        <v>0</v>
      </c>
      <c r="X77" s="178">
        <f t="shared" si="7"/>
        <v>37.228052383317404</v>
      </c>
      <c r="Y77" s="202">
        <f>(T77*(uPostT))/(1+oDR)^'Markov Model_b (3)'!cycle</f>
        <v>23.99466789466203</v>
      </c>
      <c r="Z77" s="80"/>
      <c r="AA77" s="3"/>
      <c r="AB77" s="3"/>
      <c r="AC77" s="14">
        <v>65</v>
      </c>
      <c r="AD77" s="14"/>
      <c r="AE77" s="14"/>
      <c r="AF77" s="3"/>
      <c r="AG77" s="3"/>
      <c r="AH77" s="3"/>
      <c r="AI77" s="14"/>
      <c r="AJ77" s="14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</row>
    <row r="78" spans="1:60" ht="14.25" customHeight="1" x14ac:dyDescent="0.25">
      <c r="A78" s="637"/>
      <c r="B78" s="80"/>
      <c r="C78" s="173">
        <v>67</v>
      </c>
      <c r="D78" s="165"/>
      <c r="E78" s="174">
        <v>1.0587422351396041E-3</v>
      </c>
      <c r="F78" s="502"/>
      <c r="G78" s="219">
        <f t="shared" si="9"/>
        <v>39.481247649533607</v>
      </c>
      <c r="H78" s="176">
        <f t="shared" si="10"/>
        <v>60.518752350466393</v>
      </c>
      <c r="I78" s="516">
        <f t="shared" si="0"/>
        <v>100</v>
      </c>
      <c r="J78" s="153">
        <f>(G78*0)/(1+cDR)^'Markov Model_b (3)'!cycle</f>
        <v>0</v>
      </c>
      <c r="K78" s="178">
        <f t="shared" si="8"/>
        <v>39.481247649533607</v>
      </c>
      <c r="L78" s="202">
        <f>(G78*(uPostT))/(1+oDR)^'Markov Model_b (3)'!cycle</f>
        <v>25.383465490757899</v>
      </c>
      <c r="M78" s="80"/>
      <c r="N78" s="3"/>
      <c r="O78" s="80"/>
      <c r="P78" s="173">
        <v>67</v>
      </c>
      <c r="Q78" s="165"/>
      <c r="R78" s="174">
        <v>1.0255692856366186E-3</v>
      </c>
      <c r="S78" s="502"/>
      <c r="T78" s="219">
        <f t="shared" si="6"/>
        <v>37.189872436229003</v>
      </c>
      <c r="U78" s="249">
        <f t="shared" si="11"/>
        <v>62.810127563770997</v>
      </c>
      <c r="V78" s="516">
        <f t="shared" si="2"/>
        <v>100</v>
      </c>
      <c r="W78" s="153">
        <f>(T78*0)/(1+cDR)^'Markov Model_b (3)'!cycle2</f>
        <v>0</v>
      </c>
      <c r="X78" s="178">
        <f t="shared" si="7"/>
        <v>37.189872436229003</v>
      </c>
      <c r="Y78" s="202">
        <f>(T78*(uPostT))/(1+oDR)^'Markov Model_b (3)'!cycle</f>
        <v>23.910283990274529</v>
      </c>
      <c r="Z78" s="80"/>
      <c r="AA78" s="3"/>
      <c r="AB78" s="3"/>
      <c r="AC78" s="14">
        <v>66</v>
      </c>
      <c r="AD78" s="14"/>
      <c r="AE78" s="14"/>
      <c r="AF78" s="3"/>
      <c r="AG78" s="3"/>
      <c r="AH78" s="3"/>
      <c r="AI78" s="204"/>
      <c r="AJ78" s="14"/>
      <c r="AK78" s="3"/>
      <c r="AL78" s="3"/>
      <c r="AM78" s="3"/>
      <c r="AN78" s="3"/>
      <c r="AO78" s="3"/>
      <c r="AP78" s="3"/>
      <c r="AQ78" s="3"/>
      <c r="AR78" s="3"/>
      <c r="AS78" s="3"/>
      <c r="AT78" s="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</row>
    <row r="79" spans="1:60" ht="14.25" customHeight="1" x14ac:dyDescent="0.2">
      <c r="A79" s="637"/>
      <c r="B79" s="80"/>
      <c r="C79" s="173">
        <v>68</v>
      </c>
      <c r="D79" s="165"/>
      <c r="E79" s="174">
        <v>9.6270500157792345E-4</v>
      </c>
      <c r="F79" s="502"/>
      <c r="G79" s="219">
        <f t="shared" si="9"/>
        <v>39.443238854952867</v>
      </c>
      <c r="H79" s="176">
        <f t="shared" si="10"/>
        <v>60.556761145047133</v>
      </c>
      <c r="I79" s="516">
        <f t="shared" si="0"/>
        <v>100</v>
      </c>
      <c r="J79" s="153">
        <f>(G79*0)/(1+cDR)^'Markov Model_b (3)'!cycle</f>
        <v>0</v>
      </c>
      <c r="K79" s="178">
        <f t="shared" si="8"/>
        <v>39.443238854952867</v>
      </c>
      <c r="L79" s="202">
        <f>(G79*(uPostT))/(1+oDR)^'Markov Model_b (3)'!cycle</f>
        <v>25.295789228501313</v>
      </c>
      <c r="M79" s="80"/>
      <c r="N79" s="3"/>
      <c r="O79" s="80"/>
      <c r="P79" s="173">
        <v>68</v>
      </c>
      <c r="Q79" s="165"/>
      <c r="R79" s="174">
        <v>9.3233762162685024E-4</v>
      </c>
      <c r="S79" s="502"/>
      <c r="T79" s="219">
        <f t="shared" si="6"/>
        <v>37.155198919013202</v>
      </c>
      <c r="U79" s="249">
        <f t="shared" si="11"/>
        <v>62.844801080986798</v>
      </c>
      <c r="V79" s="516">
        <f t="shared" si="2"/>
        <v>100</v>
      </c>
      <c r="W79" s="153">
        <f>(T79*0)/(1+cDR)^'Markov Model_b (3)'!cycle2</f>
        <v>0</v>
      </c>
      <c r="X79" s="178">
        <f t="shared" si="7"/>
        <v>37.155198919013202</v>
      </c>
      <c r="Y79" s="202">
        <f>(T79*(uPostT))/(1+oDR)^'Markov Model_b (3)'!cycle</f>
        <v>23.828420481762205</v>
      </c>
      <c r="Z79" s="80"/>
      <c r="AA79" s="3"/>
      <c r="AB79" s="3"/>
      <c r="AC79" s="14">
        <v>67</v>
      </c>
      <c r="AD79" s="14"/>
      <c r="AE79" s="14"/>
      <c r="AF79" s="3"/>
      <c r="AG79" s="3"/>
      <c r="AH79" s="3"/>
      <c r="AI79" s="14"/>
      <c r="AJ79" s="14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</row>
    <row r="80" spans="1:60" ht="14.25" customHeight="1" x14ac:dyDescent="0.2">
      <c r="A80" s="637"/>
      <c r="B80" s="80"/>
      <c r="C80" s="173">
        <v>69</v>
      </c>
      <c r="D80" s="165"/>
      <c r="E80" s="174">
        <v>8.7643912312481982E-4</v>
      </c>
      <c r="F80" s="502"/>
      <c r="G80" s="219">
        <f t="shared" si="9"/>
        <v>39.40866925727763</v>
      </c>
      <c r="H80" s="176">
        <f t="shared" si="10"/>
        <v>60.59133074272237</v>
      </c>
      <c r="I80" s="516">
        <f t="shared" si="0"/>
        <v>100</v>
      </c>
      <c r="J80" s="153">
        <f>(G80*0)/(1+cDR)^'Markov Model_b (3)'!cycle</f>
        <v>0</v>
      </c>
      <c r="K80" s="178">
        <f t="shared" si="8"/>
        <v>39.40866925727763</v>
      </c>
      <c r="L80" s="202">
        <f>(G80*(uPostT))/(1+oDR)^'Markov Model_b (3)'!cycle</f>
        <v>25.210592527851507</v>
      </c>
      <c r="M80" s="80"/>
      <c r="N80" s="3"/>
      <c r="O80" s="80"/>
      <c r="P80" s="173">
        <v>69</v>
      </c>
      <c r="Q80" s="165"/>
      <c r="R80" s="174">
        <v>8.4877170378861594E-4</v>
      </c>
      <c r="S80" s="502"/>
      <c r="T80" s="219">
        <f t="shared" si="6"/>
        <v>37.123662637522109</v>
      </c>
      <c r="U80" s="249">
        <f t="shared" si="11"/>
        <v>62.876337362477891</v>
      </c>
      <c r="V80" s="516">
        <f t="shared" si="2"/>
        <v>100</v>
      </c>
      <c r="W80" s="153">
        <f>(T80*0)/(1+cDR)^'Markov Model_b (3)'!cycle2</f>
        <v>0</v>
      </c>
      <c r="X80" s="178">
        <f t="shared" si="7"/>
        <v>37.123662637522109</v>
      </c>
      <c r="Y80" s="202">
        <f>(T80*(uPostT))/(1+oDR)^'Markov Model_b (3)'!cycle</f>
        <v>23.748823533876621</v>
      </c>
      <c r="Z80" s="80"/>
      <c r="AA80" s="3"/>
      <c r="AB80" s="3"/>
      <c r="AC80" s="14">
        <v>68</v>
      </c>
      <c r="AD80" s="14"/>
      <c r="AE80" s="14"/>
      <c r="AF80" s="3"/>
      <c r="AG80" s="3"/>
      <c r="AH80" s="3"/>
      <c r="AI80" s="14"/>
      <c r="AJ80" s="14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</row>
    <row r="81" spans="1:60" ht="14.25" customHeight="1" x14ac:dyDescent="0.2">
      <c r="A81" s="637"/>
      <c r="B81" s="80"/>
      <c r="C81" s="173">
        <v>70</v>
      </c>
      <c r="D81" s="165"/>
      <c r="E81" s="174">
        <v>7.9980079101738639E-4</v>
      </c>
      <c r="F81" s="502"/>
      <c r="G81" s="219">
        <f t="shared" si="9"/>
        <v>39.377150172432714</v>
      </c>
      <c r="H81" s="176">
        <f t="shared" si="10"/>
        <v>60.622849827567286</v>
      </c>
      <c r="I81" s="516">
        <f t="shared" si="0"/>
        <v>100</v>
      </c>
      <c r="J81" s="153">
        <f>(G81*0)/(1+cDR)^'Markov Model_b (3)'!cycle</f>
        <v>0</v>
      </c>
      <c r="K81" s="178">
        <f t="shared" si="8"/>
        <v>39.377150172432714</v>
      </c>
      <c r="L81" s="202">
        <f>(G81*(uPostT))/(1+oDR)^'Markov Model_b (3)'!cycle</f>
        <v>25.127610050878523</v>
      </c>
      <c r="M81" s="80"/>
      <c r="N81" s="3"/>
      <c r="O81" s="80"/>
      <c r="P81" s="173">
        <v>70</v>
      </c>
      <c r="Q81" s="165"/>
      <c r="R81" s="174">
        <v>7.7472134615644327E-4</v>
      </c>
      <c r="S81" s="502"/>
      <c r="T81" s="219">
        <f t="shared" si="6"/>
        <v>37.094902143629312</v>
      </c>
      <c r="U81" s="249">
        <f t="shared" si="11"/>
        <v>62.905097856370688</v>
      </c>
      <c r="V81" s="516">
        <f t="shared" si="2"/>
        <v>100</v>
      </c>
      <c r="W81" s="153">
        <f>(T81*0)/(1+cDR)^'Markov Model_b (3)'!cycle2</f>
        <v>0</v>
      </c>
      <c r="X81" s="178">
        <f t="shared" si="7"/>
        <v>37.094902143629312</v>
      </c>
      <c r="Y81" s="202">
        <f>(T81*(uPostT))/(1+oDR)^'Markov Model_b (3)'!cycle</f>
        <v>23.671246696597336</v>
      </c>
      <c r="Z81" s="80"/>
      <c r="AA81" s="3"/>
      <c r="AB81" s="3"/>
      <c r="AC81" s="14">
        <v>69</v>
      </c>
      <c r="AD81" s="14"/>
      <c r="AE81" s="14"/>
      <c r="AF81" s="3"/>
      <c r="AG81" s="3"/>
      <c r="AH81" s="3"/>
      <c r="AI81" s="14"/>
      <c r="AJ81" s="14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</row>
    <row r="82" spans="1:60" ht="14.25" customHeight="1" x14ac:dyDescent="0.2">
      <c r="A82" s="637"/>
      <c r="B82" s="80"/>
      <c r="C82" s="173">
        <v>71</v>
      </c>
      <c r="D82" s="165"/>
      <c r="E82" s="174">
        <v>7.3284267559465459E-4</v>
      </c>
      <c r="F82" s="502"/>
      <c r="G82" s="219">
        <f t="shared" si="9"/>
        <v>39.348292916343055</v>
      </c>
      <c r="H82" s="176">
        <f t="shared" si="10"/>
        <v>60.651707083656945</v>
      </c>
      <c r="I82" s="516">
        <f t="shared" si="0"/>
        <v>100</v>
      </c>
      <c r="J82" s="153">
        <f>(G82*0)/(1+cDR)^'Markov Model_b (3)'!cycle</f>
        <v>0</v>
      </c>
      <c r="K82" s="178">
        <f t="shared" si="8"/>
        <v>39.348292916343055</v>
      </c>
      <c r="L82" s="202">
        <f>(G82*(uPostT))/(1+oDR)^'Markov Model_b (3)'!cycle</f>
        <v>25.046579018351661</v>
      </c>
      <c r="M82" s="80"/>
      <c r="N82" s="3"/>
      <c r="O82" s="80"/>
      <c r="P82" s="173">
        <v>71</v>
      </c>
      <c r="Q82" s="165"/>
      <c r="R82" s="174">
        <v>7.1023652574110023E-4</v>
      </c>
      <c r="S82" s="502"/>
      <c r="T82" s="219">
        <f t="shared" si="6"/>
        <v>37.068555989208114</v>
      </c>
      <c r="U82" s="249">
        <f t="shared" si="11"/>
        <v>62.931444010791886</v>
      </c>
      <c r="V82" s="516">
        <f t="shared" si="2"/>
        <v>100</v>
      </c>
      <c r="W82" s="153">
        <f>(T82*0)/(1+cDR)^'Markov Model_b (3)'!cycle2</f>
        <v>0</v>
      </c>
      <c r="X82" s="178">
        <f t="shared" si="7"/>
        <v>37.068555989208114</v>
      </c>
      <c r="Y82" s="202">
        <f>(T82*(uPostT))/(1+oDR)^'Markov Model_b (3)'!cycle</f>
        <v>23.595445897838992</v>
      </c>
      <c r="Z82" s="80"/>
      <c r="AA82" s="3"/>
      <c r="AB82" s="3"/>
      <c r="AC82" s="14">
        <v>70</v>
      </c>
      <c r="AD82" s="14"/>
      <c r="AE82" s="14"/>
      <c r="AF82" s="3"/>
      <c r="AG82" s="3"/>
      <c r="AH82" s="3"/>
      <c r="AI82" s="14"/>
      <c r="AJ82" s="14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</row>
    <row r="83" spans="1:60" ht="14.25" customHeight="1" x14ac:dyDescent="0.2">
      <c r="A83" s="637"/>
      <c r="B83" s="80"/>
      <c r="C83" s="173">
        <v>72</v>
      </c>
      <c r="D83" s="504"/>
      <c r="E83" s="174">
        <v>6.7539946709374175E-4</v>
      </c>
      <c r="F83" s="505"/>
      <c r="G83" s="219">
        <f t="shared" si="9"/>
        <v>39.32171710027631</v>
      </c>
      <c r="H83" s="176">
        <f t="shared" si="10"/>
        <v>60.67828289972369</v>
      </c>
      <c r="I83" s="516">
        <f t="shared" si="0"/>
        <v>100</v>
      </c>
      <c r="J83" s="180">
        <f>(G83*0)/(1+cDR)^'Markov Model_b (3)'!cycle</f>
        <v>0</v>
      </c>
      <c r="K83" s="176">
        <f t="shared" si="8"/>
        <v>39.32171710027631</v>
      </c>
      <c r="L83" s="202">
        <f>(G83*(uPostT))/(1+oDR)^'Markov Model_b (3)'!cycle</f>
        <v>24.967244461077449</v>
      </c>
      <c r="M83" s="80"/>
      <c r="N83" s="3"/>
      <c r="O83" s="80"/>
      <c r="P83" s="173">
        <v>72</v>
      </c>
      <c r="Q83" s="504"/>
      <c r="R83" s="174">
        <v>6.5514843827917829E-4</v>
      </c>
      <c r="S83" s="505"/>
      <c r="T83" s="219">
        <f t="shared" si="6"/>
        <v>37.044270582642518</v>
      </c>
      <c r="U83" s="249">
        <f t="shared" si="11"/>
        <v>62.955729417357482</v>
      </c>
      <c r="V83" s="516">
        <f t="shared" si="2"/>
        <v>100</v>
      </c>
      <c r="W83" s="180">
        <f>(T83*0)/(1+cDR)^'Markov Model_b (3)'!cycle2</f>
        <v>0</v>
      </c>
      <c r="X83" s="176">
        <f t="shared" si="7"/>
        <v>37.044270582642518</v>
      </c>
      <c r="Y83" s="202">
        <f>(T83*(uPostT))/(1+oDR)^'Markov Model_b (3)'!cycle</f>
        <v>23.521184417265356</v>
      </c>
      <c r="Z83" s="80"/>
      <c r="AA83" s="3"/>
      <c r="AB83" s="3"/>
      <c r="AC83" s="14">
        <v>71</v>
      </c>
      <c r="AD83" s="14"/>
      <c r="AE83" s="14"/>
      <c r="AF83" s="3"/>
      <c r="AG83" s="3"/>
      <c r="AH83" s="3"/>
      <c r="AI83" s="14"/>
      <c r="AJ83" s="14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</row>
    <row r="84" spans="1:60" ht="14.25" customHeight="1" x14ac:dyDescent="0.25">
      <c r="A84" s="637" t="s">
        <v>548</v>
      </c>
      <c r="B84" s="80"/>
      <c r="C84" s="506">
        <v>73</v>
      </c>
      <c r="D84" s="506"/>
      <c r="E84" s="507">
        <v>6.2666600603205973E-4</v>
      </c>
      <c r="F84" s="508"/>
      <c r="G84" s="509">
        <f t="shared" si="9"/>
        <v>39.297075516870756</v>
      </c>
      <c r="H84" s="603">
        <f t="shared" si="10"/>
        <v>60.702924483129244</v>
      </c>
      <c r="I84" s="518">
        <f t="shared" si="0"/>
        <v>100</v>
      </c>
      <c r="J84" s="511">
        <f>(G84*0)/(1+cDR)^'Markov Model_b (3)'!cycle</f>
        <v>0</v>
      </c>
      <c r="K84" s="512">
        <f t="shared" si="8"/>
        <v>39.297075516870756</v>
      </c>
      <c r="L84" s="513">
        <f>(G84*(uPostT))/(1+oDR)^'Markov Model_b (3)'!cycle</f>
        <v>24.889374900458254</v>
      </c>
      <c r="M84" s="80"/>
      <c r="N84" s="3"/>
      <c r="O84" s="80"/>
      <c r="P84" s="506">
        <v>73</v>
      </c>
      <c r="Q84" s="506"/>
      <c r="R84" s="507">
        <v>6.0864538376850319E-4</v>
      </c>
      <c r="S84" s="508"/>
      <c r="T84" s="509">
        <f t="shared" si="6"/>
        <v>37.021723758357318</v>
      </c>
      <c r="U84" s="510">
        <f t="shared" si="11"/>
        <v>62.978276241642682</v>
      </c>
      <c r="V84" s="518">
        <f t="shared" si="2"/>
        <v>100</v>
      </c>
      <c r="W84" s="511">
        <f>(T84*0)/(1+cDR)^'Markov Model_b (3)'!cycle2</f>
        <v>0</v>
      </c>
      <c r="X84" s="512">
        <f t="shared" si="7"/>
        <v>37.021723758357318</v>
      </c>
      <c r="Y84" s="513">
        <f>(T84*(uPostT))/(1+oDR)^'Markov Model_b (3)'!cycle</f>
        <v>23.448247737605005</v>
      </c>
      <c r="Z84" s="80"/>
      <c r="AA84" s="3"/>
      <c r="AB84" s="3"/>
      <c r="AC84" s="14">
        <v>72</v>
      </c>
      <c r="AD84" s="14"/>
      <c r="AE84" s="14"/>
      <c r="AF84" s="3"/>
      <c r="AG84" s="3"/>
      <c r="AH84" s="3"/>
      <c r="AI84" s="14"/>
      <c r="AJ84" s="14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</row>
    <row r="85" spans="1:60" ht="14.25" customHeight="1" x14ac:dyDescent="0.2">
      <c r="A85" s="637"/>
      <c r="B85" s="80"/>
      <c r="C85" s="173">
        <v>74</v>
      </c>
      <c r="D85" s="165"/>
      <c r="E85" s="174">
        <v>5.8646254104642765E-4</v>
      </c>
      <c r="F85" s="502"/>
      <c r="G85" s="219">
        <f t="shared" si="9"/>
        <v>39.27402925410744</v>
      </c>
      <c r="H85" s="176">
        <f t="shared" si="10"/>
        <v>60.72597074589256</v>
      </c>
      <c r="I85" s="516">
        <f t="shared" si="0"/>
        <v>100</v>
      </c>
      <c r="J85" s="153">
        <f>(G85*0)/(1+cDR)^'Markov Model_b (3)'!cycle</f>
        <v>0</v>
      </c>
      <c r="K85" s="178">
        <f t="shared" si="8"/>
        <v>39.27402925410744</v>
      </c>
      <c r="L85" s="202">
        <f>(G85*(uPostT))/(1+oDR)^'Markov Model_b (3)'!cycle</f>
        <v>24.812746348537733</v>
      </c>
      <c r="M85" s="80"/>
      <c r="N85" s="3"/>
      <c r="O85" s="80"/>
      <c r="P85" s="173">
        <v>74</v>
      </c>
      <c r="Q85" s="165"/>
      <c r="R85" s="174">
        <v>5.7054477546656355E-4</v>
      </c>
      <c r="S85" s="502"/>
      <c r="T85" s="219">
        <f t="shared" si="6"/>
        <v>37.00060120728822</v>
      </c>
      <c r="U85" s="249">
        <f t="shared" si="11"/>
        <v>62.99939879271178</v>
      </c>
      <c r="V85" s="516">
        <f t="shared" si="2"/>
        <v>100</v>
      </c>
      <c r="W85" s="153">
        <f>(T85*0)/(1+cDR)^'Markov Model_b (3)'!cycle2</f>
        <v>0</v>
      </c>
      <c r="X85" s="178">
        <f t="shared" si="7"/>
        <v>37.00060120728822</v>
      </c>
      <c r="Y85" s="202">
        <f>(T85*(uPostT))/(1+oDR)^'Markov Model_b (3)'!cycle</f>
        <v>23.376428391386003</v>
      </c>
      <c r="Z85" s="80"/>
      <c r="AA85" s="3"/>
      <c r="AB85" s="3"/>
      <c r="AC85" s="14">
        <v>73</v>
      </c>
      <c r="AD85" s="14"/>
      <c r="AE85" s="14"/>
      <c r="AF85" s="3"/>
      <c r="AG85" s="3"/>
      <c r="AH85" s="3"/>
      <c r="AI85" s="14"/>
      <c r="AJ85" s="14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</row>
    <row r="86" spans="1:60" ht="14.25" customHeight="1" x14ac:dyDescent="0.2">
      <c r="A86" s="637"/>
      <c r="B86" s="80"/>
      <c r="C86" s="173">
        <v>75</v>
      </c>
      <c r="D86" s="165"/>
      <c r="E86" s="174">
        <v>5.5464688549788129E-4</v>
      </c>
      <c r="F86" s="502"/>
      <c r="G86" s="219">
        <f t="shared" si="9"/>
        <v>39.252246036100694</v>
      </c>
      <c r="H86" s="176">
        <f t="shared" si="10"/>
        <v>60.747753963899306</v>
      </c>
      <c r="I86" s="516">
        <f t="shared" si="0"/>
        <v>100</v>
      </c>
      <c r="J86" s="153">
        <f>(G86*0)/(1+cDR)^'Markov Model_b (3)'!cycle</f>
        <v>0</v>
      </c>
      <c r="K86" s="178">
        <f t="shared" si="8"/>
        <v>39.252246036100694</v>
      </c>
      <c r="L86" s="202">
        <f>(G86*(uPostT))/(1+oDR)^'Markov Model_b (3)'!cycle</f>
        <v>24.737141183097126</v>
      </c>
      <c r="M86" s="80"/>
      <c r="N86" s="3"/>
      <c r="O86" s="80"/>
      <c r="P86" s="173">
        <v>75</v>
      </c>
      <c r="Q86" s="165"/>
      <c r="R86" s="174">
        <v>5.4070409400951288E-4</v>
      </c>
      <c r="S86" s="502"/>
      <c r="T86" s="219">
        <f t="shared" si="6"/>
        <v>36.980594830734624</v>
      </c>
      <c r="U86" s="249">
        <f t="shared" si="11"/>
        <v>63.019405169265376</v>
      </c>
      <c r="V86" s="516">
        <f t="shared" si="2"/>
        <v>100</v>
      </c>
      <c r="W86" s="153">
        <f>(T86*0)/(1+cDR)^'Markov Model_b (3)'!cycle2</f>
        <v>0</v>
      </c>
      <c r="X86" s="178">
        <f t="shared" si="7"/>
        <v>36.980594830734624</v>
      </c>
      <c r="Y86" s="202">
        <f>(T86*(uPostT))/(1+oDR)^'Markov Model_b (3)'!cycle</f>
        <v>23.30552484872964</v>
      </c>
      <c r="Z86" s="80"/>
      <c r="AA86" s="3"/>
      <c r="AB86" s="3"/>
      <c r="AC86" s="14">
        <v>74</v>
      </c>
      <c r="AD86" s="14"/>
      <c r="AE86" s="14"/>
      <c r="AF86" s="3"/>
      <c r="AG86" s="3"/>
      <c r="AH86" s="3"/>
      <c r="AI86" s="14"/>
      <c r="AJ86" s="14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</row>
    <row r="87" spans="1:60" ht="14.25" customHeight="1" x14ac:dyDescent="0.2">
      <c r="A87" s="637"/>
      <c r="B87" s="80"/>
      <c r="C87" s="173">
        <v>76</v>
      </c>
      <c r="D87" s="165"/>
      <c r="E87" s="174">
        <v>5.3056593459076447E-4</v>
      </c>
      <c r="F87" s="502"/>
      <c r="G87" s="219">
        <f t="shared" si="9"/>
        <v>39.231420131497764</v>
      </c>
      <c r="H87" s="176">
        <f t="shared" si="10"/>
        <v>60.768579868502236</v>
      </c>
      <c r="I87" s="516">
        <f t="shared" si="0"/>
        <v>100</v>
      </c>
      <c r="J87" s="153">
        <f>(G87*0)/(1+cDR)^'Markov Model_b (3)'!cycle</f>
        <v>0</v>
      </c>
      <c r="K87" s="178">
        <f t="shared" si="8"/>
        <v>39.231420131497764</v>
      </c>
      <c r="L87" s="202">
        <f>(G87*(uPostT))/(1+oDR)^'Markov Model_b (3)'!cycle</f>
        <v>24.662360597173283</v>
      </c>
      <c r="M87" s="80"/>
      <c r="N87" s="3"/>
      <c r="O87" s="80"/>
      <c r="P87" s="173">
        <v>76</v>
      </c>
      <c r="Q87" s="165"/>
      <c r="R87" s="174">
        <v>5.1847352295588496E-4</v>
      </c>
      <c r="S87" s="502"/>
      <c r="T87" s="219">
        <f t="shared" si="6"/>
        <v>36.961421371451728</v>
      </c>
      <c r="U87" s="249">
        <f t="shared" si="11"/>
        <v>63.038578628548272</v>
      </c>
      <c r="V87" s="516">
        <f t="shared" si="2"/>
        <v>100</v>
      </c>
      <c r="W87" s="153">
        <f>(T87*0)/(1+cDR)^'Markov Model_b (3)'!cycle2</f>
        <v>0</v>
      </c>
      <c r="X87" s="178">
        <f t="shared" si="7"/>
        <v>36.961421371451728</v>
      </c>
      <c r="Y87" s="202">
        <f>(T87*(uPostT))/(1+oDR)^'Markov Model_b (3)'!cycle</f>
        <v>23.23535316823639</v>
      </c>
      <c r="Z87" s="80"/>
      <c r="AA87" s="3"/>
      <c r="AB87" s="3"/>
      <c r="AC87" s="14">
        <v>75</v>
      </c>
      <c r="AD87" s="14"/>
      <c r="AE87" s="14"/>
      <c r="AF87" s="3"/>
      <c r="AG87" s="3"/>
      <c r="AH87" s="3"/>
      <c r="AI87" s="14"/>
      <c r="AJ87" s="14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</row>
    <row r="88" spans="1:60" ht="14.25" customHeight="1" x14ac:dyDescent="0.2">
      <c r="A88" s="637"/>
      <c r="B88" s="80"/>
      <c r="C88" s="173">
        <v>77</v>
      </c>
      <c r="D88" s="165"/>
      <c r="E88" s="174">
        <v>5.1406975201776157E-4</v>
      </c>
      <c r="F88" s="502"/>
      <c r="G88" s="219">
        <f t="shared" si="9"/>
        <v>39.21125244507946</v>
      </c>
      <c r="H88" s="176">
        <f t="shared" si="10"/>
        <v>60.78874755492054</v>
      </c>
      <c r="I88" s="516">
        <f t="shared" si="0"/>
        <v>100</v>
      </c>
      <c r="J88" s="153">
        <f>(G88*0)/(1+cDR)^'Markov Model_b (3)'!cycle</f>
        <v>0</v>
      </c>
      <c r="K88" s="178">
        <f t="shared" si="8"/>
        <v>39.21125244507946</v>
      </c>
      <c r="L88" s="202">
        <f>(G88*(uPostT))/(1+oDR)^'Markov Model_b (3)'!cycle</f>
        <v>24.58821189384231</v>
      </c>
      <c r="M88" s="80"/>
      <c r="N88" s="3"/>
      <c r="O88" s="80"/>
      <c r="P88" s="173">
        <v>77</v>
      </c>
      <c r="Q88" s="165"/>
      <c r="R88" s="174">
        <v>5.0370327228214907E-4</v>
      </c>
      <c r="S88" s="502"/>
      <c r="T88" s="219">
        <f t="shared" si="6"/>
        <v>36.942803782558727</v>
      </c>
      <c r="U88" s="249">
        <f t="shared" si="11"/>
        <v>63.057196217441273</v>
      </c>
      <c r="V88" s="516">
        <f t="shared" si="2"/>
        <v>100</v>
      </c>
      <c r="W88" s="153">
        <f>(T88*0)/(1+cDR)^'Markov Model_b (3)'!cycle2</f>
        <v>0</v>
      </c>
      <c r="X88" s="178">
        <f t="shared" si="7"/>
        <v>36.942803782558727</v>
      </c>
      <c r="Y88" s="202">
        <f>(T88*(uPostT))/(1+oDR)^'Markov Model_b (3)'!cycle</f>
        <v>23.1657351070453</v>
      </c>
      <c r="Z88" s="80"/>
      <c r="AA88" s="3"/>
      <c r="AB88" s="3"/>
      <c r="AC88" s="14">
        <v>76</v>
      </c>
      <c r="AD88" s="14"/>
      <c r="AE88" s="14"/>
      <c r="AF88" s="3"/>
      <c r="AG88" s="3"/>
      <c r="AH88" s="3"/>
      <c r="AI88" s="14"/>
      <c r="AJ88" s="14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</row>
    <row r="89" spans="1:60" ht="14.25" customHeight="1" x14ac:dyDescent="0.2">
      <c r="A89" s="637"/>
      <c r="B89" s="80"/>
      <c r="C89" s="173">
        <v>78</v>
      </c>
      <c r="D89" s="165"/>
      <c r="E89" s="174">
        <v>5.0517548453177686E-4</v>
      </c>
      <c r="F89" s="502"/>
      <c r="G89" s="219">
        <f t="shared" si="9"/>
        <v>39.191443881626419</v>
      </c>
      <c r="H89" s="176">
        <f t="shared" si="10"/>
        <v>60.808556118373581</v>
      </c>
      <c r="I89" s="516">
        <f t="shared" si="0"/>
        <v>100</v>
      </c>
      <c r="J89" s="153">
        <f>(G89*0)/(1+cDR)^'Markov Model_b (3)'!cycle</f>
        <v>0</v>
      </c>
      <c r="K89" s="178">
        <f t="shared" si="8"/>
        <v>39.191443881626419</v>
      </c>
      <c r="L89" s="202">
        <f>(G89*(uPostT))/(1+oDR)^'Markov Model_b (3)'!cycle</f>
        <v>24.514504271306809</v>
      </c>
      <c r="M89" s="80"/>
      <c r="N89" s="3"/>
      <c r="O89" s="80"/>
      <c r="P89" s="173">
        <v>78</v>
      </c>
      <c r="Q89" s="165"/>
      <c r="R89" s="174">
        <v>4.9640967945032961E-4</v>
      </c>
      <c r="S89" s="502"/>
      <c r="T89" s="219">
        <f t="shared" si="6"/>
        <v>36.924465017175031</v>
      </c>
      <c r="U89" s="249">
        <f t="shared" si="11"/>
        <v>63.075534982824969</v>
      </c>
      <c r="V89" s="516">
        <f t="shared" si="2"/>
        <v>100</v>
      </c>
      <c r="W89" s="153">
        <f>(T89*0)/(1+cDR)^'Markov Model_b (3)'!cycle2</f>
        <v>0</v>
      </c>
      <c r="X89" s="178">
        <f t="shared" si="7"/>
        <v>36.924465017175031</v>
      </c>
      <c r="Y89" s="202">
        <f>(T89*(uPostT))/(1+oDR)^'Markov Model_b (3)'!cycle</f>
        <v>23.096494176465423</v>
      </c>
      <c r="Z89" s="80"/>
      <c r="AA89" s="3"/>
      <c r="AB89" s="3"/>
      <c r="AC89" s="14">
        <v>77</v>
      </c>
      <c r="AD89" s="14"/>
      <c r="AE89" s="14"/>
      <c r="AF89" s="3"/>
      <c r="AG89" s="3"/>
      <c r="AH89" s="3"/>
      <c r="AI89" s="14"/>
      <c r="AJ89" s="14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</row>
    <row r="90" spans="1:60" ht="14.25" customHeight="1" x14ac:dyDescent="0.2">
      <c r="A90" s="637"/>
      <c r="B90" s="80"/>
      <c r="C90" s="173">
        <v>79</v>
      </c>
      <c r="D90" s="165"/>
      <c r="E90" s="174">
        <v>5.0372526705545892E-4</v>
      </c>
      <c r="F90" s="502"/>
      <c r="G90" s="219">
        <f t="shared" si="9"/>
        <v>39.171702161090856</v>
      </c>
      <c r="H90" s="176">
        <f t="shared" si="10"/>
        <v>60.828297838909144</v>
      </c>
      <c r="I90" s="516">
        <f t="shared" si="0"/>
        <v>100</v>
      </c>
      <c r="J90" s="153">
        <f>(G90*0)/(1+cDR)^'Markov Model_b (3)'!cycle</f>
        <v>0</v>
      </c>
      <c r="K90" s="178">
        <f t="shared" si="8"/>
        <v>39.171702161090856</v>
      </c>
      <c r="L90" s="202">
        <f>(G90*(uPostT))/(1+oDR)^'Markov Model_b (3)'!cycle</f>
        <v>24.441053063437419</v>
      </c>
      <c r="M90" s="80"/>
      <c r="N90" s="3"/>
      <c r="O90" s="80"/>
      <c r="P90" s="173">
        <v>79</v>
      </c>
      <c r="Q90" s="165"/>
      <c r="R90" s="174">
        <v>4.9643687293455337E-4</v>
      </c>
      <c r="S90" s="502"/>
      <c r="T90" s="219">
        <f t="shared" si="6"/>
        <v>36.906134351227124</v>
      </c>
      <c r="U90" s="249">
        <f t="shared" si="11"/>
        <v>63.093865648772876</v>
      </c>
      <c r="V90" s="516">
        <f t="shared" si="2"/>
        <v>100</v>
      </c>
      <c r="W90" s="153">
        <f>(T90*0)/(1+cDR)^'Markov Model_b (3)'!cycle2</f>
        <v>0</v>
      </c>
      <c r="X90" s="178">
        <f t="shared" si="7"/>
        <v>36.906134351227124</v>
      </c>
      <c r="Y90" s="202">
        <f>(T90*(uPostT))/(1+oDR)^'Markov Model_b (3)'!cycle</f>
        <v>23.027459576180259</v>
      </c>
      <c r="Z90" s="80"/>
      <c r="AA90" s="3"/>
      <c r="AB90" s="3"/>
      <c r="AC90" s="14">
        <v>78</v>
      </c>
      <c r="AD90" s="14"/>
      <c r="AE90" s="14"/>
      <c r="AF90" s="3"/>
      <c r="AG90" s="3"/>
      <c r="AH90" s="3"/>
      <c r="AI90" s="14"/>
      <c r="AJ90" s="14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</row>
    <row r="91" spans="1:60" ht="14.25" customHeight="1" x14ac:dyDescent="0.2">
      <c r="A91" s="637"/>
      <c r="B91" s="80"/>
      <c r="C91" s="173">
        <v>80</v>
      </c>
      <c r="D91" s="165"/>
      <c r="E91" s="174">
        <v>5.0903830773005852E-4</v>
      </c>
      <c r="F91" s="502"/>
      <c r="G91" s="219">
        <f t="shared" si="9"/>
        <v>39.151762264111866</v>
      </c>
      <c r="H91" s="176">
        <f t="shared" si="10"/>
        <v>60.848237735888134</v>
      </c>
      <c r="I91" s="516">
        <f t="shared" si="0"/>
        <v>100</v>
      </c>
      <c r="J91" s="153">
        <f>(G91*0)/(1+cDR)^'Markov Model_b (3)'!cycle</f>
        <v>0</v>
      </c>
      <c r="K91" s="178">
        <f t="shared" si="8"/>
        <v>39.151762264111866</v>
      </c>
      <c r="L91" s="202">
        <f>(G91*(uPostT))/(1+oDR)^'Markov Model_b (3)'!cycle</f>
        <v>24.367692400146492</v>
      </c>
      <c r="M91" s="80"/>
      <c r="N91" s="3"/>
      <c r="O91" s="80"/>
      <c r="P91" s="173">
        <v>80</v>
      </c>
      <c r="Q91" s="165"/>
      <c r="R91" s="174">
        <v>5.0311417554038272E-4</v>
      </c>
      <c r="S91" s="502"/>
      <c r="T91" s="219">
        <f t="shared" si="6"/>
        <v>36.887566351870625</v>
      </c>
      <c r="U91" s="249">
        <f t="shared" si="11"/>
        <v>63.112433648129375</v>
      </c>
      <c r="V91" s="516">
        <f t="shared" si="2"/>
        <v>100</v>
      </c>
      <c r="W91" s="153">
        <f>(T91*0)/(1+cDR)^'Markov Model_b (3)'!cycle2</f>
        <v>0</v>
      </c>
      <c r="X91" s="178">
        <f t="shared" si="7"/>
        <v>36.887566351870625</v>
      </c>
      <c r="Y91" s="202">
        <f>(T91*(uPostT))/(1+oDR)^'Markov Model_b (3)'!cycle</f>
        <v>22.958477939990821</v>
      </c>
      <c r="Z91" s="80"/>
      <c r="AA91" s="3"/>
      <c r="AB91" s="3"/>
      <c r="AC91" s="14">
        <v>79</v>
      </c>
      <c r="AD91" s="14"/>
      <c r="AE91" s="14"/>
      <c r="AF91" s="3"/>
      <c r="AG91" s="3"/>
      <c r="AH91" s="3"/>
      <c r="AI91" s="14"/>
      <c r="AJ91" s="14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</row>
    <row r="92" spans="1:60" ht="14.25" customHeight="1" x14ac:dyDescent="0.2">
      <c r="A92" s="637"/>
      <c r="B92" s="80"/>
      <c r="C92" s="173">
        <v>81</v>
      </c>
      <c r="D92" s="165"/>
      <c r="E92" s="174">
        <v>5.2095426699949327E-4</v>
      </c>
      <c r="F92" s="502"/>
      <c r="G92" s="219">
        <f t="shared" si="9"/>
        <v>39.13136598649983</v>
      </c>
      <c r="H92" s="176">
        <f t="shared" si="10"/>
        <v>60.86863401350017</v>
      </c>
      <c r="I92" s="516">
        <f t="shared" si="0"/>
        <v>100</v>
      </c>
      <c r="J92" s="153">
        <f>(G92*0)/(1+cDR)^'Markov Model_b (3)'!cycle</f>
        <v>0</v>
      </c>
      <c r="K92" s="178">
        <f t="shared" si="8"/>
        <v>39.13136598649983</v>
      </c>
      <c r="L92" s="202">
        <f>(G92*(uPostT))/(1+oDR)^'Markov Model_b (3)'!cycle</f>
        <v>24.294262291086</v>
      </c>
      <c r="M92" s="80"/>
      <c r="N92" s="3"/>
      <c r="O92" s="80"/>
      <c r="P92" s="173">
        <v>81</v>
      </c>
      <c r="Q92" s="165"/>
      <c r="R92" s="174">
        <v>5.1628352547390167E-4</v>
      </c>
      <c r="S92" s="502"/>
      <c r="T92" s="219">
        <f t="shared" si="6"/>
        <v>36.868521909068328</v>
      </c>
      <c r="U92" s="249">
        <f t="shared" si="11"/>
        <v>63.131478090931672</v>
      </c>
      <c r="V92" s="516">
        <f t="shared" si="2"/>
        <v>100</v>
      </c>
      <c r="W92" s="153">
        <f>(T92*0)/(1+cDR)^'Markov Model_b (3)'!cycle2</f>
        <v>0</v>
      </c>
      <c r="X92" s="178">
        <f t="shared" si="7"/>
        <v>36.868521909068328</v>
      </c>
      <c r="Y92" s="202">
        <f>(T92*(uPostT))/(1+oDR)^'Markov Model_b (3)'!cycle</f>
        <v>22.889401352678757</v>
      </c>
      <c r="Z92" s="80"/>
      <c r="AA92" s="3"/>
      <c r="AB92" s="3"/>
      <c r="AC92" s="14">
        <v>80</v>
      </c>
      <c r="AD92" s="14"/>
      <c r="AE92" s="14"/>
      <c r="AF92" s="3"/>
      <c r="AG92" s="3"/>
      <c r="AH92" s="3"/>
      <c r="AI92" s="14"/>
      <c r="AJ92" s="14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</row>
    <row r="93" spans="1:60" ht="14.25" customHeight="1" x14ac:dyDescent="0.2">
      <c r="A93" s="637"/>
      <c r="B93" s="80"/>
      <c r="C93" s="173">
        <v>82</v>
      </c>
      <c r="D93" s="165"/>
      <c r="E93" s="174">
        <v>5.3948697936298333E-4</v>
      </c>
      <c r="F93" s="502"/>
      <c r="G93" s="219">
        <f t="shared" si="9"/>
        <v>39.110255124065425</v>
      </c>
      <c r="H93" s="176">
        <f t="shared" si="10"/>
        <v>60.889744875934575</v>
      </c>
      <c r="I93" s="516">
        <f t="shared" si="0"/>
        <v>100</v>
      </c>
      <c r="J93" s="153">
        <f>(G93*0)/(1+cDR)^'Markov Model_b (3)'!cycle</f>
        <v>0</v>
      </c>
      <c r="K93" s="178">
        <f t="shared" si="8"/>
        <v>39.110255124065425</v>
      </c>
      <c r="L93" s="202">
        <f>(G93*(uPostT))/(1+oDR)^'Markov Model_b (3)'!cycle</f>
        <v>24.220604342051594</v>
      </c>
      <c r="M93" s="80"/>
      <c r="N93" s="3"/>
      <c r="O93" s="80"/>
      <c r="P93" s="173">
        <v>82</v>
      </c>
      <c r="Q93" s="165"/>
      <c r="R93" s="174">
        <v>5.3595846163107734E-4</v>
      </c>
      <c r="S93" s="502"/>
      <c r="T93" s="219">
        <f t="shared" si="6"/>
        <v>36.848761912783331</v>
      </c>
      <c r="U93" s="249">
        <f t="shared" si="11"/>
        <v>63.151238087216669</v>
      </c>
      <c r="V93" s="516">
        <f t="shared" si="2"/>
        <v>100</v>
      </c>
      <c r="W93" s="153">
        <f>(T93*0)/(1+cDR)^'Markov Model_b (3)'!cycle2</f>
        <v>0</v>
      </c>
      <c r="X93" s="178">
        <f t="shared" si="7"/>
        <v>36.848761912783331</v>
      </c>
      <c r="Y93" s="202">
        <f>(T93*(uPostT))/(1+oDR)^'Markov Model_b (3)'!cycle</f>
        <v>22.820083375902357</v>
      </c>
      <c r="Z93" s="80"/>
      <c r="AA93" s="3"/>
      <c r="AB93" s="3"/>
      <c r="AC93" s="14">
        <v>81</v>
      </c>
      <c r="AD93" s="14"/>
      <c r="AE93" s="14"/>
      <c r="AF93" s="3"/>
      <c r="AG93" s="3"/>
      <c r="AH93" s="3"/>
      <c r="AI93" s="14"/>
      <c r="AJ93" s="14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</row>
    <row r="94" spans="1:60" ht="14.25" customHeight="1" x14ac:dyDescent="0.2">
      <c r="A94" s="637"/>
      <c r="B94" s="80"/>
      <c r="C94" s="173">
        <v>83</v>
      </c>
      <c r="D94" s="504"/>
      <c r="E94" s="174">
        <v>5.6455066914487474E-4</v>
      </c>
      <c r="F94" s="505"/>
      <c r="G94" s="219">
        <f t="shared" si="9"/>
        <v>39.088175403364708</v>
      </c>
      <c r="H94" s="176">
        <f t="shared" si="10"/>
        <v>60.911824596635292</v>
      </c>
      <c r="I94" s="516">
        <f t="shared" si="0"/>
        <v>100</v>
      </c>
      <c r="J94" s="180">
        <f>(G94*0)/(1+cDR)^'Markov Model_b (3)'!cycle</f>
        <v>0</v>
      </c>
      <c r="K94" s="176">
        <f t="shared" si="8"/>
        <v>39.088175403364708</v>
      </c>
      <c r="L94" s="202">
        <f>(G94*(uPostT))/(1+oDR)^'Markov Model_b (3)'!cycle</f>
        <v>24.146564173230125</v>
      </c>
      <c r="M94" s="80"/>
      <c r="N94" s="3"/>
      <c r="O94" s="80"/>
      <c r="P94" s="173">
        <v>83</v>
      </c>
      <c r="Q94" s="504"/>
      <c r="R94" s="174">
        <v>5.6205576733951951E-4</v>
      </c>
      <c r="S94" s="505"/>
      <c r="T94" s="219">
        <f t="shared" si="6"/>
        <v>36.828050853630927</v>
      </c>
      <c r="U94" s="249">
        <f t="shared" si="11"/>
        <v>63.171949146369073</v>
      </c>
      <c r="V94" s="516">
        <f t="shared" si="2"/>
        <v>100</v>
      </c>
      <c r="W94" s="180">
        <f>(T94*0)/(1+cDR)^'Markov Model_b (3)'!cycle2</f>
        <v>0</v>
      </c>
      <c r="X94" s="176">
        <f t="shared" si="7"/>
        <v>36.828050853630927</v>
      </c>
      <c r="Y94" s="202">
        <f>(T94*(uPostT))/(1+oDR)^'Markov Model_b (3)'!cycle</f>
        <v>22.750381263271585</v>
      </c>
      <c r="Z94" s="80"/>
      <c r="AA94" s="3"/>
      <c r="AB94" s="3"/>
      <c r="AC94" s="14">
        <v>82</v>
      </c>
      <c r="AD94" s="14"/>
      <c r="AE94" s="14"/>
      <c r="AF94" s="3"/>
      <c r="AG94" s="3"/>
      <c r="AH94" s="3"/>
      <c r="AI94" s="14"/>
      <c r="AJ94" s="14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</row>
    <row r="95" spans="1:60" ht="14.25" customHeight="1" x14ac:dyDescent="0.25">
      <c r="A95" s="637" t="s">
        <v>549</v>
      </c>
      <c r="B95" s="80"/>
      <c r="C95" s="506">
        <v>84</v>
      </c>
      <c r="D95" s="506"/>
      <c r="E95" s="507">
        <v>5.9575892677116529E-4</v>
      </c>
      <c r="F95" s="508"/>
      <c r="G95" s="509">
        <f t="shared" si="9"/>
        <v>39.064888273936958</v>
      </c>
      <c r="H95" s="603">
        <f t="shared" si="10"/>
        <v>60.935111726063042</v>
      </c>
      <c r="I95" s="518">
        <f t="shared" si="0"/>
        <v>100</v>
      </c>
      <c r="J95" s="511">
        <f>(G95*0)/(1+cDR)^'Markov Model_b (3)'!cycle</f>
        <v>0</v>
      </c>
      <c r="K95" s="512">
        <f t="shared" si="8"/>
        <v>39.064888273936958</v>
      </c>
      <c r="L95" s="513">
        <f>(G95*(uPostT))/(1+oDR)^'Markov Model_b (3)'!cycle</f>
        <v>24.071998645459423</v>
      </c>
      <c r="M95" s="80"/>
      <c r="N95" s="3"/>
      <c r="O95" s="80"/>
      <c r="P95" s="506">
        <v>84</v>
      </c>
      <c r="Q95" s="506"/>
      <c r="R95" s="507">
        <v>5.9420002651695749E-4</v>
      </c>
      <c r="S95" s="508"/>
      <c r="T95" s="509">
        <f t="shared" si="6"/>
        <v>36.80616762483713</v>
      </c>
      <c r="U95" s="510">
        <f t="shared" si="11"/>
        <v>63.19383237516287</v>
      </c>
      <c r="V95" s="518">
        <f t="shared" si="2"/>
        <v>100</v>
      </c>
      <c r="W95" s="511">
        <f>(T95*0)/(1+cDR)^'Markov Model_b (3)'!cycle2</f>
        <v>0</v>
      </c>
      <c r="X95" s="512">
        <f t="shared" si="7"/>
        <v>36.80616762483713</v>
      </c>
      <c r="Y95" s="513">
        <f>(T95*(uPostT))/(1+oDR)^'Markov Model_b (3)'!cycle</f>
        <v>22.680162579672494</v>
      </c>
      <c r="Z95" s="80"/>
      <c r="AA95" s="3"/>
      <c r="AB95" s="3"/>
      <c r="AC95" s="14">
        <v>83</v>
      </c>
      <c r="AD95" s="14"/>
      <c r="AE95" s="14"/>
      <c r="AF95" s="3"/>
      <c r="AG95" s="3"/>
      <c r="AH95" s="3"/>
      <c r="AI95" s="14"/>
      <c r="AJ95" s="14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</row>
    <row r="96" spans="1:60" ht="14.25" customHeight="1" x14ac:dyDescent="0.2">
      <c r="A96" s="637"/>
      <c r="B96" s="80"/>
      <c r="C96" s="173">
        <v>85</v>
      </c>
      <c r="D96" s="165"/>
      <c r="E96" s="174">
        <v>6.3302773828299798E-4</v>
      </c>
      <c r="F96" s="502"/>
      <c r="G96" s="219">
        <f t="shared" si="9"/>
        <v>39.040159116066633</v>
      </c>
      <c r="H96" s="176">
        <f t="shared" si="10"/>
        <v>60.959840883933367</v>
      </c>
      <c r="I96" s="516">
        <f t="shared" si="0"/>
        <v>100</v>
      </c>
      <c r="J96" s="153">
        <f>(G96*0)/(1+cDR)^'Markov Model_b (3)'!cycle</f>
        <v>0</v>
      </c>
      <c r="K96" s="178">
        <f t="shared" si="8"/>
        <v>39.040159116066633</v>
      </c>
      <c r="L96" s="202">
        <f>(G96*(uPostT))/(1+oDR)^'Markov Model_b (3)'!cycle</f>
        <v>23.996768481397446</v>
      </c>
      <c r="M96" s="80"/>
      <c r="N96" s="3"/>
      <c r="O96" s="80"/>
      <c r="P96" s="173">
        <v>85</v>
      </c>
      <c r="Q96" s="165"/>
      <c r="R96" s="174">
        <v>6.3230991049443403E-4</v>
      </c>
      <c r="S96" s="502"/>
      <c r="T96" s="219">
        <f t="shared" si="6"/>
        <v>36.782894720280623</v>
      </c>
      <c r="U96" s="249">
        <f t="shared" si="11"/>
        <v>63.217105279719377</v>
      </c>
      <c r="V96" s="516">
        <f t="shared" si="2"/>
        <v>100</v>
      </c>
      <c r="W96" s="153">
        <f>(T96*0)/(1+cDR)^'Markov Model_b (3)'!cycle2</f>
        <v>0</v>
      </c>
      <c r="X96" s="178">
        <f t="shared" si="7"/>
        <v>36.782894720280623</v>
      </c>
      <c r="Y96" s="202">
        <f>(T96*(uPostT))/(1+oDR)^'Markov Model_b (3)'!cycle</f>
        <v>22.609298441996749</v>
      </c>
      <c r="Z96" s="80"/>
      <c r="AA96" s="3"/>
      <c r="AB96" s="3"/>
      <c r="AC96" s="14">
        <v>84</v>
      </c>
      <c r="AD96" s="14"/>
      <c r="AE96" s="14"/>
      <c r="AF96" s="3"/>
      <c r="AG96" s="3"/>
      <c r="AH96" s="3"/>
      <c r="AI96" s="14"/>
      <c r="AJ96" s="14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</row>
    <row r="97" spans="1:60" ht="14.25" customHeight="1" x14ac:dyDescent="0.2">
      <c r="A97" s="637"/>
      <c r="B97" s="80"/>
      <c r="C97" s="173">
        <v>86</v>
      </c>
      <c r="D97" s="165"/>
      <c r="E97" s="174">
        <v>6.7630969167742393E-4</v>
      </c>
      <c r="F97" s="502"/>
      <c r="G97" s="219">
        <f t="shared" si="9"/>
        <v>39.013755878091807</v>
      </c>
      <c r="H97" s="176">
        <f t="shared" si="10"/>
        <v>60.986244121908193</v>
      </c>
      <c r="I97" s="516">
        <f t="shared" si="0"/>
        <v>100</v>
      </c>
      <c r="J97" s="153">
        <f>(G97*0)/(1+cDR)^'Markov Model_b (3)'!cycle</f>
        <v>0</v>
      </c>
      <c r="K97" s="178">
        <f t="shared" si="8"/>
        <v>39.013755878091807</v>
      </c>
      <c r="L97" s="202">
        <f>(G97*(uPostT))/(1+oDR)^'Markov Model_b (3)'!cycle</f>
        <v>23.920737390827476</v>
      </c>
      <c r="M97" s="80"/>
      <c r="N97" s="3"/>
      <c r="O97" s="80"/>
      <c r="P97" s="173">
        <v>86</v>
      </c>
      <c r="Q97" s="165"/>
      <c r="R97" s="174">
        <v>6.7634080895724483E-4</v>
      </c>
      <c r="S97" s="502"/>
      <c r="T97" s="219">
        <f t="shared" si="6"/>
        <v>36.758016947509716</v>
      </c>
      <c r="U97" s="249">
        <f t="shared" si="11"/>
        <v>63.241983052490284</v>
      </c>
      <c r="V97" s="516">
        <f t="shared" si="2"/>
        <v>100</v>
      </c>
      <c r="W97" s="153">
        <f>(T97*0)/(1+cDR)^'Markov Model_b (3)'!cycle2</f>
        <v>0</v>
      </c>
      <c r="X97" s="178">
        <f t="shared" si="7"/>
        <v>36.758016947509716</v>
      </c>
      <c r="Y97" s="202">
        <f>(T97*(uPostT))/(1+oDR)^'Markov Model_b (3)'!cycle</f>
        <v>22.537662694063382</v>
      </c>
      <c r="Z97" s="80"/>
      <c r="AA97" s="3"/>
      <c r="AB97" s="3"/>
      <c r="AC97" s="14">
        <v>85</v>
      </c>
      <c r="AD97" s="14"/>
      <c r="AE97" s="14"/>
      <c r="AF97" s="3"/>
      <c r="AG97" s="3"/>
      <c r="AH97" s="3"/>
      <c r="AI97" s="14"/>
      <c r="AJ97" s="14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</row>
    <row r="98" spans="1:60" ht="14.25" customHeight="1" x14ac:dyDescent="0.2">
      <c r="A98" s="637"/>
      <c r="B98" s="80"/>
      <c r="C98" s="173">
        <v>87</v>
      </c>
      <c r="D98" s="165"/>
      <c r="E98" s="174">
        <v>7.2536203941033688E-4</v>
      </c>
      <c r="F98" s="502"/>
      <c r="G98" s="219">
        <f t="shared" si="9"/>
        <v>38.98545678056302</v>
      </c>
      <c r="H98" s="176">
        <f t="shared" si="10"/>
        <v>61.01454321943698</v>
      </c>
      <c r="I98" s="516">
        <f t="shared" si="0"/>
        <v>100</v>
      </c>
      <c r="J98" s="153">
        <f>(G98*0)/(1+cDR)^'Markov Model_b (3)'!cycle</f>
        <v>0</v>
      </c>
      <c r="K98" s="178">
        <f t="shared" si="8"/>
        <v>38.98545678056302</v>
      </c>
      <c r="L98" s="202">
        <f>(G98*(uPostT))/(1+oDR)^'Markov Model_b (3)'!cycle</f>
        <v>23.843776754084253</v>
      </c>
      <c r="M98" s="80"/>
      <c r="N98" s="3"/>
      <c r="O98" s="80"/>
      <c r="P98" s="173">
        <v>87</v>
      </c>
      <c r="Q98" s="165"/>
      <c r="R98" s="174">
        <v>7.260614411301133E-4</v>
      </c>
      <c r="S98" s="502"/>
      <c r="T98" s="219">
        <f t="shared" si="6"/>
        <v>36.731328368751726</v>
      </c>
      <c r="U98" s="249">
        <f t="shared" si="11"/>
        <v>63.268671631248274</v>
      </c>
      <c r="V98" s="516">
        <f t="shared" si="2"/>
        <v>100</v>
      </c>
      <c r="W98" s="153">
        <f>(T98*0)/(1+cDR)^'Markov Model_b (3)'!cycle2</f>
        <v>0</v>
      </c>
      <c r="X98" s="178">
        <f t="shared" si="7"/>
        <v>36.731328368751726</v>
      </c>
      <c r="Y98" s="202">
        <f>(T98*(uPostT))/(1+oDR)^'Markov Model_b (3)'!cycle</f>
        <v>22.465136125893292</v>
      </c>
      <c r="Z98" s="80"/>
      <c r="AA98" s="3"/>
      <c r="AB98" s="3"/>
      <c r="AC98" s="14">
        <v>86</v>
      </c>
      <c r="AD98" s="14"/>
      <c r="AE98" s="14"/>
      <c r="AF98" s="3"/>
      <c r="AG98" s="3"/>
      <c r="AH98" s="3"/>
      <c r="AI98" s="14"/>
      <c r="AJ98" s="14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</row>
    <row r="99" spans="1:60" ht="14.25" customHeight="1" x14ac:dyDescent="0.2">
      <c r="A99" s="637"/>
      <c r="B99" s="80"/>
      <c r="C99" s="173">
        <v>88</v>
      </c>
      <c r="D99" s="165"/>
      <c r="E99" s="174">
        <v>7.801413909397731E-4</v>
      </c>
      <c r="F99" s="502"/>
      <c r="G99" s="219">
        <f t="shared" si="9"/>
        <v>38.955042612083808</v>
      </c>
      <c r="H99" s="176">
        <f t="shared" si="10"/>
        <v>61.044957387916192</v>
      </c>
      <c r="I99" s="516">
        <f t="shared" si="0"/>
        <v>100</v>
      </c>
      <c r="J99" s="153">
        <f>(G99*0)/(1+cDR)^'Markov Model_b (3)'!cycle</f>
        <v>0</v>
      </c>
      <c r="K99" s="178">
        <f t="shared" si="8"/>
        <v>38.955042612083808</v>
      </c>
      <c r="L99" s="202">
        <f>(G99*(uPostT))/(1+oDR)^'Markov Model_b (3)'!cycle</f>
        <v>23.765760834834982</v>
      </c>
      <c r="M99" s="80"/>
      <c r="N99" s="3"/>
      <c r="O99" s="80"/>
      <c r="P99" s="173">
        <v>88</v>
      </c>
      <c r="Q99" s="165"/>
      <c r="R99" s="174">
        <v>7.8143127740283916E-4</v>
      </c>
      <c r="S99" s="502"/>
      <c r="T99" s="219">
        <f t="shared" si="6"/>
        <v>36.702625359903827</v>
      </c>
      <c r="U99" s="249">
        <f t="shared" si="11"/>
        <v>63.297374640096173</v>
      </c>
      <c r="V99" s="516">
        <f t="shared" si="2"/>
        <v>100</v>
      </c>
      <c r="W99" s="153">
        <f>(T99*0)/(1+cDR)^'Markov Model_b (3)'!cycle2</f>
        <v>0</v>
      </c>
      <c r="X99" s="178">
        <f t="shared" si="7"/>
        <v>36.702625359903827</v>
      </c>
      <c r="Y99" s="202">
        <f>(T99*(uPostT))/(1+oDR)^'Markov Model_b (3)'!cycle</f>
        <v>22.391602160472225</v>
      </c>
      <c r="Z99" s="80"/>
      <c r="AA99" s="3"/>
      <c r="AB99" s="3"/>
      <c r="AC99" s="14">
        <v>87</v>
      </c>
      <c r="AD99" s="14"/>
      <c r="AE99" s="14"/>
      <c r="AF99" s="3"/>
      <c r="AG99" s="3"/>
      <c r="AH99" s="3"/>
      <c r="AI99" s="14"/>
      <c r="AJ99" s="14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</row>
    <row r="100" spans="1:60" ht="14.25" customHeight="1" x14ac:dyDescent="0.2">
      <c r="A100" s="637"/>
      <c r="B100" s="80"/>
      <c r="C100" s="173">
        <v>89</v>
      </c>
      <c r="D100" s="165"/>
      <c r="E100" s="174">
        <v>8.4067295605115978E-4</v>
      </c>
      <c r="F100" s="502"/>
      <c r="G100" s="219">
        <f t="shared" si="9"/>
        <v>38.922294161258009</v>
      </c>
      <c r="H100" s="176">
        <f t="shared" si="10"/>
        <v>61.077705838741991</v>
      </c>
      <c r="I100" s="516">
        <f t="shared" si="0"/>
        <v>100</v>
      </c>
      <c r="J100" s="153">
        <f>(G100*0)/(1+cDR)^'Markov Model_b (3)'!cycle</f>
        <v>0</v>
      </c>
      <c r="K100" s="178">
        <f t="shared" si="8"/>
        <v>38.922294161258009</v>
      </c>
      <c r="L100" s="202">
        <f>(G100*(uPostT))/(1+oDR)^'Markov Model_b (3)'!cycle</f>
        <v>23.686565189447531</v>
      </c>
      <c r="M100" s="80"/>
      <c r="N100" s="3"/>
      <c r="O100" s="80"/>
      <c r="P100" s="173">
        <v>89</v>
      </c>
      <c r="Q100" s="165"/>
      <c r="R100" s="174">
        <v>8.4247551060695849E-4</v>
      </c>
      <c r="S100" s="502"/>
      <c r="T100" s="219">
        <f t="shared" si="6"/>
        <v>36.671704296863126</v>
      </c>
      <c r="U100" s="249">
        <f t="shared" si="11"/>
        <v>63.328295703136874</v>
      </c>
      <c r="V100" s="516">
        <f t="shared" si="2"/>
        <v>100</v>
      </c>
      <c r="W100" s="153">
        <f>(T100*0)/(1+cDR)^'Markov Model_b (3)'!cycle2</f>
        <v>0</v>
      </c>
      <c r="X100" s="178">
        <f t="shared" si="7"/>
        <v>36.671704296863126</v>
      </c>
      <c r="Y100" s="202">
        <f>(T100*(uPostT))/(1+oDR)^'Markov Model_b (3)'!cycle</f>
        <v>22.316945420457628</v>
      </c>
      <c r="Z100" s="80"/>
      <c r="AA100" s="3"/>
      <c r="AB100" s="3"/>
      <c r="AC100" s="14">
        <v>88</v>
      </c>
      <c r="AD100" s="14"/>
      <c r="AE100" s="14"/>
      <c r="AF100" s="3"/>
      <c r="AG100" s="3"/>
      <c r="AH100" s="3"/>
      <c r="AI100" s="14"/>
      <c r="AJ100" s="14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</row>
    <row r="101" spans="1:60" ht="14.25" customHeight="1" x14ac:dyDescent="0.2">
      <c r="A101" s="637"/>
      <c r="B101" s="80"/>
      <c r="C101" s="173">
        <v>90</v>
      </c>
      <c r="D101" s="165"/>
      <c r="E101" s="174">
        <v>9.0691815397142116E-4</v>
      </c>
      <c r="F101" s="502"/>
      <c r="G101" s="219">
        <f t="shared" si="9"/>
        <v>38.886994826088944</v>
      </c>
      <c r="H101" s="176">
        <f t="shared" si="10"/>
        <v>61.113005173911056</v>
      </c>
      <c r="I101" s="516">
        <f t="shared" si="0"/>
        <v>100</v>
      </c>
      <c r="J101" s="153">
        <f>(G101*0)/(1+cDR)^'Markov Model_b (3)'!cycle</f>
        <v>0</v>
      </c>
      <c r="K101" s="178">
        <f t="shared" si="8"/>
        <v>38.886994826088944</v>
      </c>
      <c r="L101" s="202">
        <f>(G101*(uPostT))/(1+oDR)^'Markov Model_b (3)'!cycle</f>
        <v>23.606068242864829</v>
      </c>
      <c r="M101" s="80"/>
      <c r="N101" s="3"/>
      <c r="O101" s="80"/>
      <c r="P101" s="173">
        <v>90</v>
      </c>
      <c r="Q101" s="165"/>
      <c r="R101" s="174">
        <v>9.0915904956325334E-4</v>
      </c>
      <c r="S101" s="502"/>
      <c r="T101" s="219">
        <f t="shared" si="6"/>
        <v>36.638363885038729</v>
      </c>
      <c r="U101" s="249">
        <f t="shared" si="11"/>
        <v>63.361636114961271</v>
      </c>
      <c r="V101" s="516">
        <f t="shared" si="2"/>
        <v>100</v>
      </c>
      <c r="W101" s="153">
        <f>(T101*0)/(1+cDR)^'Markov Model_b (3)'!cycle2</f>
        <v>0</v>
      </c>
      <c r="X101" s="178">
        <f t="shared" si="7"/>
        <v>36.638363885038729</v>
      </c>
      <c r="Y101" s="202">
        <f>(T101*(uPostT))/(1+oDR)^'Markov Model_b (3)'!cycle</f>
        <v>22.241053134733178</v>
      </c>
      <c r="Z101" s="80"/>
      <c r="AA101" s="3"/>
      <c r="AB101" s="3"/>
      <c r="AC101" s="14">
        <v>89</v>
      </c>
      <c r="AD101" s="14"/>
      <c r="AE101" s="14"/>
      <c r="AF101" s="3"/>
      <c r="AG101" s="3"/>
      <c r="AH101" s="3"/>
      <c r="AI101" s="14"/>
      <c r="AJ101" s="14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</row>
    <row r="102" spans="1:60" ht="14.25" customHeight="1" x14ac:dyDescent="0.2">
      <c r="A102" s="637"/>
      <c r="B102" s="80"/>
      <c r="C102" s="173">
        <v>91</v>
      </c>
      <c r="D102" s="165"/>
      <c r="E102" s="174">
        <v>9.7864039329149575E-4</v>
      </c>
      <c r="F102" s="502"/>
      <c r="G102" s="219">
        <f t="shared" si="9"/>
        <v>38.848938442178415</v>
      </c>
      <c r="H102" s="176">
        <f t="shared" si="10"/>
        <v>61.151061557821585</v>
      </c>
      <c r="I102" s="516">
        <f t="shared" si="0"/>
        <v>100</v>
      </c>
      <c r="J102" s="153">
        <f>(G102*0)/(1+cDR)^'Markov Model_b (3)'!cycle</f>
        <v>0</v>
      </c>
      <c r="K102" s="178">
        <f t="shared" si="8"/>
        <v>38.848938442178415</v>
      </c>
      <c r="L102" s="202">
        <f>(G102*(uPostT))/(1+oDR)^'Markov Model_b (3)'!cycle</f>
        <v>23.524156000953187</v>
      </c>
      <c r="M102" s="80"/>
      <c r="N102" s="3"/>
      <c r="O102" s="80"/>
      <c r="P102" s="173">
        <v>91</v>
      </c>
      <c r="Q102" s="165"/>
      <c r="R102" s="174">
        <v>9.8125935055163498E-4</v>
      </c>
      <c r="S102" s="502"/>
      <c r="T102" s="219">
        <f t="shared" si="6"/>
        <v>36.60241214788762</v>
      </c>
      <c r="U102" s="249">
        <f t="shared" si="11"/>
        <v>63.39758785211238</v>
      </c>
      <c r="V102" s="516">
        <f t="shared" si="2"/>
        <v>100</v>
      </c>
      <c r="W102" s="153">
        <f>(T102*0)/(1+cDR)^'Markov Model_b (3)'!cycle2</f>
        <v>0</v>
      </c>
      <c r="X102" s="178">
        <f t="shared" si="7"/>
        <v>36.60241214788762</v>
      </c>
      <c r="Y102" s="202">
        <f>(T102*(uPostT))/(1+oDR)^'Markov Model_b (3)'!cycle</f>
        <v>22.163819345016069</v>
      </c>
      <c r="Z102" s="80"/>
      <c r="AA102" s="3"/>
      <c r="AB102" s="3"/>
      <c r="AC102" s="14">
        <v>90</v>
      </c>
      <c r="AD102" s="14"/>
      <c r="AE102" s="14"/>
      <c r="AF102" s="3"/>
      <c r="AG102" s="3"/>
      <c r="AH102" s="3"/>
      <c r="AI102" s="14"/>
      <c r="AJ102" s="14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</row>
    <row r="103" spans="1:60" ht="14.25" customHeight="1" x14ac:dyDescent="0.2">
      <c r="A103" s="637"/>
      <c r="B103" s="80"/>
      <c r="C103" s="173">
        <v>92</v>
      </c>
      <c r="D103" s="165"/>
      <c r="E103" s="174">
        <v>1.0558071673298208E-3</v>
      </c>
      <c r="F103" s="502"/>
      <c r="G103" s="219">
        <f t="shared" si="9"/>
        <v>38.807921454528007</v>
      </c>
      <c r="H103" s="176">
        <f t="shared" si="10"/>
        <v>61.192078545471993</v>
      </c>
      <c r="I103" s="516">
        <f t="shared" si="0"/>
        <v>100</v>
      </c>
      <c r="J103" s="153">
        <f>(G103*0)/(1+cDR)^'Markov Model_b (3)'!cycle</f>
        <v>0</v>
      </c>
      <c r="K103" s="178">
        <f t="shared" si="8"/>
        <v>38.807921454528007</v>
      </c>
      <c r="L103" s="202">
        <f>(G103*(uPostT))/(1+oDR)^'Markov Model_b (3)'!cycle</f>
        <v>23.440717235353613</v>
      </c>
      <c r="M103" s="80"/>
      <c r="N103" s="3"/>
      <c r="O103" s="80"/>
      <c r="P103" s="173">
        <v>92</v>
      </c>
      <c r="Q103" s="165"/>
      <c r="R103" s="174">
        <v>1.0587474222225896E-3</v>
      </c>
      <c r="S103" s="502"/>
      <c r="T103" s="219">
        <f t="shared" si="6"/>
        <v>36.563659438378913</v>
      </c>
      <c r="U103" s="249">
        <f t="shared" si="11"/>
        <v>63.436340561621087</v>
      </c>
      <c r="V103" s="516">
        <f t="shared" si="2"/>
        <v>100</v>
      </c>
      <c r="W103" s="153">
        <f>(T103*0)/(1+cDR)^'Markov Model_b (3)'!cycle2</f>
        <v>0</v>
      </c>
      <c r="X103" s="178">
        <f t="shared" si="7"/>
        <v>36.563659438378913</v>
      </c>
      <c r="Y103" s="202">
        <f>(T103*(uPostT))/(1+oDR)^'Markov Model_b (3)'!cycle</f>
        <v>22.085140606900676</v>
      </c>
      <c r="Z103" s="80"/>
      <c r="AA103" s="3"/>
      <c r="AB103" s="3"/>
      <c r="AC103" s="14">
        <v>91</v>
      </c>
      <c r="AD103" s="14"/>
      <c r="AE103" s="14"/>
      <c r="AF103" s="3"/>
      <c r="AG103" s="3"/>
      <c r="AH103" s="3"/>
      <c r="AI103" s="14"/>
      <c r="AJ103" s="14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</row>
    <row r="104" spans="1:60" ht="14.25" customHeight="1" x14ac:dyDescent="0.2">
      <c r="A104" s="637"/>
      <c r="B104" s="80"/>
      <c r="C104" s="173">
        <v>93</v>
      </c>
      <c r="D104" s="165"/>
      <c r="E104" s="174">
        <v>1.1384569111892616E-3</v>
      </c>
      <c r="F104" s="502"/>
      <c r="G104" s="219">
        <f t="shared" si="9"/>
        <v>38.763740308139212</v>
      </c>
      <c r="H104" s="176">
        <f t="shared" si="10"/>
        <v>61.236259691860788</v>
      </c>
      <c r="I104" s="516">
        <f t="shared" si="0"/>
        <v>100</v>
      </c>
      <c r="J104" s="153">
        <f>(G104*0)/(1+cDR)^'Markov Model_b (3)'!cycle</f>
        <v>0</v>
      </c>
      <c r="K104" s="178">
        <f t="shared" si="8"/>
        <v>38.763740308139212</v>
      </c>
      <c r="L104" s="202">
        <f>(G104*(uPostT))/(1+oDR)^'Markov Model_b (3)'!cycle</f>
        <v>23.35564188410353</v>
      </c>
      <c r="M104" s="80"/>
      <c r="N104" s="3"/>
      <c r="O104" s="80"/>
      <c r="P104" s="173">
        <v>93</v>
      </c>
      <c r="Q104" s="165"/>
      <c r="R104" s="174">
        <v>1.1416616809797966E-3</v>
      </c>
      <c r="S104" s="502"/>
      <c r="T104" s="219">
        <f t="shared" si="6"/>
        <v>36.521916109481722</v>
      </c>
      <c r="U104" s="249">
        <f t="shared" si="11"/>
        <v>63.478083890518278</v>
      </c>
      <c r="V104" s="516">
        <f t="shared" si="2"/>
        <v>100</v>
      </c>
      <c r="W104" s="153">
        <f>(T104*0)/(1+cDR)^'Markov Model_b (3)'!cycle2</f>
        <v>0</v>
      </c>
      <c r="X104" s="178">
        <f t="shared" si="7"/>
        <v>36.521916109481722</v>
      </c>
      <c r="Y104" s="202">
        <f>(T104*(uPostT))/(1+oDR)^'Markov Model_b (3)'!cycle</f>
        <v>22.004914561746354</v>
      </c>
      <c r="Z104" s="80"/>
      <c r="AA104" s="3"/>
      <c r="AB104" s="3"/>
      <c r="AC104" s="14">
        <v>92</v>
      </c>
      <c r="AD104" s="14"/>
      <c r="AE104" s="14"/>
      <c r="AF104" s="3"/>
      <c r="AG104" s="3"/>
      <c r="AH104" s="3"/>
      <c r="AI104" s="14"/>
      <c r="AJ104" s="14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</row>
    <row r="105" spans="1:60" ht="14.25" customHeight="1" x14ac:dyDescent="0.2">
      <c r="A105" s="637"/>
      <c r="B105" s="80"/>
      <c r="C105" s="173">
        <v>94</v>
      </c>
      <c r="D105" s="165"/>
      <c r="E105" s="174">
        <v>1.2265796133646822E-3</v>
      </c>
      <c r="F105" s="502"/>
      <c r="G105" s="219">
        <f t="shared" si="9"/>
        <v>38.716193494539489</v>
      </c>
      <c r="H105" s="176">
        <f t="shared" si="10"/>
        <v>61.283806505460511</v>
      </c>
      <c r="I105" s="516">
        <f t="shared" si="0"/>
        <v>100</v>
      </c>
      <c r="J105" s="153">
        <f>(G105*0)/(1+cDR)^'Markov Model_b (3)'!cycle</f>
        <v>0</v>
      </c>
      <c r="K105" s="178">
        <f t="shared" si="8"/>
        <v>38.716193494539489</v>
      </c>
      <c r="L105" s="202">
        <f>(G105*(uPostT))/(1+oDR)^'Markov Model_b (3)'!cycle</f>
        <v>23.268822274225887</v>
      </c>
      <c r="M105" s="80"/>
      <c r="N105" s="3"/>
      <c r="O105" s="80"/>
      <c r="P105" s="173">
        <v>94</v>
      </c>
      <c r="Q105" s="165"/>
      <c r="R105" s="174">
        <v>1.2299945649550681E-3</v>
      </c>
      <c r="S105" s="502"/>
      <c r="T105" s="219">
        <f t="shared" si="6"/>
        <v>36.476994351165317</v>
      </c>
      <c r="U105" s="249">
        <f t="shared" si="11"/>
        <v>63.523005648834683</v>
      </c>
      <c r="V105" s="516">
        <f t="shared" si="2"/>
        <v>100</v>
      </c>
      <c r="W105" s="153">
        <f>(T105*0)/(1+cDR)^'Markov Model_b (3)'!cycle2</f>
        <v>0</v>
      </c>
      <c r="X105" s="178">
        <f t="shared" si="7"/>
        <v>36.476994351165317</v>
      </c>
      <c r="Y105" s="202">
        <f>(T105*(uPostT))/(1+oDR)^'Markov Model_b (3)'!cycle</f>
        <v>21.923041033848495</v>
      </c>
      <c r="Z105" s="80"/>
      <c r="AA105" s="3"/>
      <c r="AB105" s="3"/>
      <c r="AC105" s="14">
        <v>93</v>
      </c>
      <c r="AD105" s="14"/>
      <c r="AE105" s="14"/>
      <c r="AF105" s="3"/>
      <c r="AG105" s="3"/>
      <c r="AH105" s="3"/>
      <c r="AI105" s="14"/>
      <c r="AJ105" s="14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</row>
    <row r="106" spans="1:60" ht="14.25" customHeight="1" x14ac:dyDescent="0.2">
      <c r="A106" s="637"/>
      <c r="B106" s="80"/>
      <c r="C106" s="173">
        <v>95</v>
      </c>
      <c r="D106" s="165"/>
      <c r="E106" s="174">
        <v>1.3200110487784009E-3</v>
      </c>
      <c r="F106" s="502"/>
      <c r="G106" s="219">
        <f t="shared" si="9"/>
        <v>38.665087691360057</v>
      </c>
      <c r="H106" s="176">
        <f t="shared" si="10"/>
        <v>61.334912308639943</v>
      </c>
      <c r="I106" s="516">
        <f t="shared" si="0"/>
        <v>100</v>
      </c>
      <c r="J106" s="153">
        <f>(G106*0)/(1+cDR)^'Markov Model_b (3)'!cycle</f>
        <v>0</v>
      </c>
      <c r="K106" s="178">
        <f t="shared" si="8"/>
        <v>38.665087691360057</v>
      </c>
      <c r="L106" s="202">
        <f>(G106*(uPostT))/(1+oDR)^'Markov Model_b (3)'!cycle</f>
        <v>23.180156779782397</v>
      </c>
      <c r="M106" s="80"/>
      <c r="N106" s="3"/>
      <c r="O106" s="80"/>
      <c r="P106" s="173">
        <v>95</v>
      </c>
      <c r="Q106" s="165"/>
      <c r="R106" s="174">
        <v>1.3235917768004109E-3</v>
      </c>
      <c r="S106" s="502"/>
      <c r="T106" s="219">
        <f t="shared" si="6"/>
        <v>36.428713701399722</v>
      </c>
      <c r="U106" s="249">
        <f t="shared" si="11"/>
        <v>63.571286298600278</v>
      </c>
      <c r="V106" s="516">
        <f t="shared" si="2"/>
        <v>100</v>
      </c>
      <c r="W106" s="153">
        <f>(T106*0)/(1+cDR)^'Markov Model_b (3)'!cycle2</f>
        <v>0</v>
      </c>
      <c r="X106" s="178">
        <f t="shared" si="7"/>
        <v>36.428713701399722</v>
      </c>
      <c r="Y106" s="202">
        <f>(T106*(uPostT))/(1+oDR)^'Markov Model_b (3)'!cycle</f>
        <v>21.839425313729315</v>
      </c>
      <c r="Z106" s="80"/>
      <c r="AA106" s="3"/>
      <c r="AB106" s="3"/>
      <c r="AC106" s="14">
        <v>94</v>
      </c>
      <c r="AD106" s="14"/>
      <c r="AE106" s="14"/>
      <c r="AF106" s="3"/>
      <c r="AG106" s="3"/>
      <c r="AH106" s="3"/>
      <c r="AI106" s="14"/>
      <c r="AJ106" s="14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</row>
    <row r="107" spans="1:60" ht="14.25" customHeight="1" x14ac:dyDescent="0.2">
      <c r="A107" s="637"/>
      <c r="B107" s="80"/>
      <c r="C107" s="173">
        <v>96</v>
      </c>
      <c r="D107" s="504"/>
      <c r="E107" s="174">
        <v>1.4187493647990236E-3</v>
      </c>
      <c r="F107" s="505"/>
      <c r="G107" s="219">
        <f t="shared" si="9"/>
        <v>38.610231622758043</v>
      </c>
      <c r="H107" s="176">
        <f t="shared" si="10"/>
        <v>61.389768377241957</v>
      </c>
      <c r="I107" s="516">
        <f t="shared" si="0"/>
        <v>100</v>
      </c>
      <c r="J107" s="180">
        <f>(G107*0)/(1+cDR)^'Markov Model_b (3)'!cycle</f>
        <v>0</v>
      </c>
      <c r="K107" s="176">
        <f t="shared" si="8"/>
        <v>38.610231622758043</v>
      </c>
      <c r="L107" s="202">
        <f>(G107*(uPostT))/(1+oDR)^'Markov Model_b (3)'!cycle</f>
        <v>23.089546081870459</v>
      </c>
      <c r="M107" s="80"/>
      <c r="N107" s="3"/>
      <c r="O107" s="80"/>
      <c r="P107" s="173">
        <v>96</v>
      </c>
      <c r="Q107" s="504"/>
      <c r="R107" s="174">
        <v>1.4224539101008228E-3</v>
      </c>
      <c r="S107" s="505"/>
      <c r="T107" s="219">
        <f t="shared" si="6"/>
        <v>36.376895535155221</v>
      </c>
      <c r="U107" s="249">
        <f t="shared" si="11"/>
        <v>63.623104464844779</v>
      </c>
      <c r="V107" s="516">
        <f t="shared" si="2"/>
        <v>100</v>
      </c>
      <c r="W107" s="180">
        <f>(T107*0)/(1+cDR)^'Markov Model_b (3)'!cycle2</f>
        <v>0</v>
      </c>
      <c r="X107" s="176">
        <f t="shared" si="7"/>
        <v>36.376895535155221</v>
      </c>
      <c r="Y107" s="202">
        <f>(T107*(uPostT))/(1+oDR)^'Markov Model_b (3)'!cycle</f>
        <v>21.753974800795451</v>
      </c>
      <c r="Z107" s="80"/>
      <c r="AA107" s="3"/>
      <c r="AB107" s="3"/>
      <c r="AC107" s="14">
        <v>95</v>
      </c>
      <c r="AD107" s="14"/>
      <c r="AE107" s="14"/>
      <c r="AF107" s="3"/>
      <c r="AG107" s="3"/>
      <c r="AH107" s="3"/>
      <c r="AI107" s="14"/>
      <c r="AJ107" s="14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</row>
    <row r="108" spans="1:60" ht="14.25" customHeight="1" x14ac:dyDescent="0.25">
      <c r="A108" s="637" t="s">
        <v>550</v>
      </c>
      <c r="B108" s="80"/>
      <c r="C108" s="506">
        <v>97</v>
      </c>
      <c r="D108" s="506"/>
      <c r="E108" s="507">
        <v>1.5227428673508052E-3</v>
      </c>
      <c r="F108" s="508"/>
      <c r="G108" s="509">
        <f t="shared" si="9"/>
        <v>38.551438167947722</v>
      </c>
      <c r="H108" s="603">
        <f t="shared" si="10"/>
        <v>61.448561832052278</v>
      </c>
      <c r="I108" s="518">
        <f t="shared" si="0"/>
        <v>100</v>
      </c>
      <c r="J108" s="511">
        <f>(G108*0)/(1+cDR)^'Markov Model_b (3)'!cycle</f>
        <v>0</v>
      </c>
      <c r="K108" s="512">
        <f t="shared" si="8"/>
        <v>38.551438167947722</v>
      </c>
      <c r="L108" s="513">
        <f>(G108*(uPostT))/(1+oDR)^'Markov Model_b (3)'!cycle</f>
        <v>22.996894404253286</v>
      </c>
      <c r="M108" s="80"/>
      <c r="N108" s="3"/>
      <c r="O108" s="80"/>
      <c r="P108" s="506">
        <v>97</v>
      </c>
      <c r="Q108" s="506"/>
      <c r="R108" s="507">
        <v>1.5265313936077105E-3</v>
      </c>
      <c r="S108" s="508"/>
      <c r="T108" s="509">
        <f t="shared" si="6"/>
        <v>36.321365062118815</v>
      </c>
      <c r="U108" s="510">
        <f t="shared" si="11"/>
        <v>63.678634937881185</v>
      </c>
      <c r="V108" s="518">
        <f t="shared" si="2"/>
        <v>100</v>
      </c>
      <c r="W108" s="511">
        <f>(T108*0)/(1+cDR)^'Markov Model_b (3)'!cycle2</f>
        <v>0</v>
      </c>
      <c r="X108" s="512">
        <f t="shared" si="7"/>
        <v>36.321365062118815</v>
      </c>
      <c r="Y108" s="513">
        <f>(T108*(uPostT))/(1+oDR)^'Markov Model_b (3)'!cycle</f>
        <v>21.666600174889062</v>
      </c>
      <c r="Z108" s="80"/>
      <c r="AA108" s="3"/>
      <c r="AB108" s="3"/>
      <c r="AC108" s="14">
        <v>96</v>
      </c>
      <c r="AD108" s="14"/>
      <c r="AE108" s="14"/>
      <c r="AF108" s="3"/>
      <c r="AG108" s="3"/>
      <c r="AH108" s="3"/>
      <c r="AI108" s="14"/>
      <c r="AJ108" s="14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</row>
    <row r="109" spans="1:60" ht="14.25" customHeight="1" x14ac:dyDescent="0.2">
      <c r="A109" s="637"/>
      <c r="B109" s="80"/>
      <c r="C109" s="173">
        <v>98</v>
      </c>
      <c r="D109" s="165"/>
      <c r="E109" s="174">
        <v>1.6316211421974409E-3</v>
      </c>
      <c r="F109" s="502"/>
      <c r="G109" s="219">
        <f t="shared" si="9"/>
        <v>38.488536826370783</v>
      </c>
      <c r="H109" s="176">
        <f t="shared" si="10"/>
        <v>61.511463173629217</v>
      </c>
      <c r="I109" s="516">
        <f t="shared" si="0"/>
        <v>100</v>
      </c>
      <c r="J109" s="153">
        <f>(G109*0)/(1+cDR)^'Markov Model_b (3)'!cycle</f>
        <v>0</v>
      </c>
      <c r="K109" s="178">
        <f t="shared" si="8"/>
        <v>38.488536826370783</v>
      </c>
      <c r="L109" s="202">
        <f>(G109*(uPostT))/(1+oDR)^'Markov Model_b (3)'!cycle</f>
        <v>22.902116892906168</v>
      </c>
      <c r="M109" s="80"/>
      <c r="N109" s="3"/>
      <c r="O109" s="80"/>
      <c r="P109" s="173">
        <v>98</v>
      </c>
      <c r="Q109" s="165"/>
      <c r="R109" s="174">
        <v>1.6354625211195525E-3</v>
      </c>
      <c r="S109" s="502"/>
      <c r="T109" s="219">
        <f t="shared" si="6"/>
        <v>36.261962830843821</v>
      </c>
      <c r="U109" s="249">
        <f t="shared" si="11"/>
        <v>63.738037169156179</v>
      </c>
      <c r="V109" s="516">
        <f t="shared" si="2"/>
        <v>100</v>
      </c>
      <c r="W109" s="153">
        <f>(T109*0)/(1+cDR)^'Markov Model_b (3)'!cycle2</f>
        <v>0</v>
      </c>
      <c r="X109" s="178">
        <f t="shared" si="7"/>
        <v>36.261962830843821</v>
      </c>
      <c r="Y109" s="202">
        <f>(T109*(uPostT))/(1+oDR)^'Markov Model_b (3)'!cycle</f>
        <v>21.577222206825891</v>
      </c>
      <c r="Z109" s="80"/>
      <c r="AA109" s="3"/>
      <c r="AB109" s="3"/>
      <c r="AC109" s="14">
        <v>97</v>
      </c>
      <c r="AD109" s="14"/>
      <c r="AE109" s="14"/>
      <c r="AF109" s="3"/>
      <c r="AG109" s="3"/>
      <c r="AH109" s="3"/>
      <c r="AI109" s="14"/>
      <c r="AJ109" s="14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</row>
    <row r="110" spans="1:60" ht="14.25" customHeight="1" x14ac:dyDescent="0.2">
      <c r="A110" s="637"/>
      <c r="B110" s="80"/>
      <c r="C110" s="173">
        <v>99</v>
      </c>
      <c r="D110" s="165"/>
      <c r="E110" s="174">
        <v>1.7453397656435462E-3</v>
      </c>
      <c r="F110" s="502"/>
      <c r="G110" s="219">
        <f t="shared" si="9"/>
        <v>38.421361252526282</v>
      </c>
      <c r="H110" s="176">
        <f t="shared" si="10"/>
        <v>61.578638747473718</v>
      </c>
      <c r="I110" s="516">
        <f t="shared" si="0"/>
        <v>100</v>
      </c>
      <c r="J110" s="153">
        <f>(G110*0)/(1+cDR)^'Markov Model_b (3)'!cycle</f>
        <v>0</v>
      </c>
      <c r="K110" s="178">
        <f t="shared" si="8"/>
        <v>38.421361252526282</v>
      </c>
      <c r="L110" s="202">
        <f>(G110*(uPostT))/(1+oDR)^'Markov Model_b (3)'!cycle</f>
        <v>22.805132087357169</v>
      </c>
      <c r="M110" s="80"/>
      <c r="N110" s="3"/>
      <c r="O110" s="80"/>
      <c r="P110" s="173">
        <v>99</v>
      </c>
      <c r="Q110" s="165"/>
      <c r="R110" s="174">
        <v>1.7492049875979466E-3</v>
      </c>
      <c r="S110" s="502"/>
      <c r="T110" s="219">
        <f t="shared" si="6"/>
        <v>36.19853322460002</v>
      </c>
      <c r="U110" s="249">
        <f t="shared" si="11"/>
        <v>63.80146677539998</v>
      </c>
      <c r="V110" s="516">
        <f t="shared" si="2"/>
        <v>100</v>
      </c>
      <c r="W110" s="153">
        <f>(T110*0)/(1+cDR)^'Markov Model_b (3)'!cycle2</f>
        <v>0</v>
      </c>
      <c r="X110" s="178">
        <f t="shared" si="7"/>
        <v>36.19853322460002</v>
      </c>
      <c r="Y110" s="202">
        <f>(T110*(uPostT))/(1+oDR)^'Markov Model_b (3)'!cycle</f>
        <v>21.485764810097962</v>
      </c>
      <c r="Z110" s="80"/>
      <c r="AA110" s="3"/>
      <c r="AB110" s="3"/>
      <c r="AC110" s="14">
        <v>98</v>
      </c>
      <c r="AD110" s="14"/>
      <c r="AE110" s="14"/>
      <c r="AF110" s="3"/>
      <c r="AG110" s="3"/>
      <c r="AH110" s="3"/>
      <c r="AI110" s="14"/>
      <c r="AJ110" s="14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</row>
    <row r="111" spans="1:60" ht="14.25" customHeight="1" x14ac:dyDescent="0.2">
      <c r="A111" s="637"/>
      <c r="B111" s="80"/>
      <c r="C111" s="173">
        <v>100</v>
      </c>
      <c r="D111" s="165"/>
      <c r="E111" s="174">
        <v>1.863967055787509E-3</v>
      </c>
      <c r="F111" s="502"/>
      <c r="G111" s="219">
        <f t="shared" si="9"/>
        <v>38.349745100913061</v>
      </c>
      <c r="H111" s="176">
        <f t="shared" si="10"/>
        <v>61.650254899086939</v>
      </c>
      <c r="I111" s="516">
        <f t="shared" si="0"/>
        <v>100</v>
      </c>
      <c r="J111" s="153">
        <f>(G111*0)/(1+cDR)^'Markov Model_b (3)'!cycle</f>
        <v>0</v>
      </c>
      <c r="K111" s="178">
        <f t="shared" si="8"/>
        <v>38.349745100913061</v>
      </c>
      <c r="L111" s="202">
        <f>(G111*(uPostT))/(1+oDR)^'Markov Model_b (3)'!cycle</f>
        <v>22.705859423883737</v>
      </c>
      <c r="M111" s="80"/>
      <c r="N111" s="3"/>
      <c r="O111" s="80"/>
      <c r="P111" s="173">
        <v>100</v>
      </c>
      <c r="Q111" s="165"/>
      <c r="R111" s="174">
        <v>1.8678270062211458E-3</v>
      </c>
      <c r="S111" s="502"/>
      <c r="T111" s="219">
        <f t="shared" si="6"/>
        <v>36.13092062665752</v>
      </c>
      <c r="U111" s="249">
        <f t="shared" si="11"/>
        <v>63.86907937334248</v>
      </c>
      <c r="V111" s="516">
        <f t="shared" si="2"/>
        <v>100</v>
      </c>
      <c r="W111" s="153">
        <f>(T111*0)/(1+cDR)^'Markov Model_b (3)'!cycle2</f>
        <v>0</v>
      </c>
      <c r="X111" s="178">
        <f t="shared" si="7"/>
        <v>36.13092062665752</v>
      </c>
      <c r="Y111" s="202">
        <f>(T111*(uPostT))/(1+oDR)^'Markov Model_b (3)'!cycle</f>
        <v>21.392152736495099</v>
      </c>
      <c r="Z111" s="80"/>
      <c r="AA111" s="3"/>
      <c r="AB111" s="3"/>
      <c r="AC111" s="14">
        <v>99</v>
      </c>
      <c r="AD111" s="14"/>
      <c r="AE111" s="14"/>
      <c r="AF111" s="3"/>
      <c r="AG111" s="3"/>
      <c r="AH111" s="3"/>
      <c r="AI111" s="14"/>
      <c r="AJ111" s="14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</row>
    <row r="112" spans="1:60" ht="14.25" customHeight="1" x14ac:dyDescent="0.2">
      <c r="A112" s="637"/>
      <c r="B112" s="80"/>
      <c r="C112" s="173">
        <v>101</v>
      </c>
      <c r="D112" s="165"/>
      <c r="E112" s="174">
        <v>1.9874140355298385E-3</v>
      </c>
      <c r="F112" s="502"/>
      <c r="G112" s="219">
        <f t="shared" si="9"/>
        <v>38.273528279240516</v>
      </c>
      <c r="H112" s="176">
        <f t="shared" si="10"/>
        <v>61.726471720759484</v>
      </c>
      <c r="I112" s="516">
        <f t="shared" si="0"/>
        <v>100</v>
      </c>
      <c r="J112" s="153">
        <f>(G112*0)/(1+cDR)^'Markov Model_b (3)'!cycle</f>
        <v>0</v>
      </c>
      <c r="K112" s="178">
        <f t="shared" si="8"/>
        <v>38.273528279240516</v>
      </c>
      <c r="L112" s="202">
        <f>(G112*(uPostT))/(1+oDR)^'Markov Model_b (3)'!cycle</f>
        <v>22.604222922868772</v>
      </c>
      <c r="M112" s="80"/>
      <c r="N112" s="3"/>
      <c r="O112" s="80"/>
      <c r="P112" s="173">
        <v>101</v>
      </c>
      <c r="Q112" s="165"/>
      <c r="R112" s="174">
        <v>1.9912413875918739E-3</v>
      </c>
      <c r="S112" s="502"/>
      <c r="T112" s="219">
        <f t="shared" si="6"/>
        <v>36.058975242133926</v>
      </c>
      <c r="U112" s="249">
        <f t="shared" si="11"/>
        <v>63.941024757866074</v>
      </c>
      <c r="V112" s="516">
        <f t="shared" si="2"/>
        <v>100</v>
      </c>
      <c r="W112" s="153">
        <f>(T112*0)/(1+cDR)^'Markov Model_b (3)'!cycle2</f>
        <v>0</v>
      </c>
      <c r="X112" s="178">
        <f t="shared" si="7"/>
        <v>36.058975242133926</v>
      </c>
      <c r="Y112" s="202">
        <f>(T112*(uPostT))/(1+oDR)^'Markov Model_b (3)'!cycle</f>
        <v>21.296315009073822</v>
      </c>
      <c r="Z112" s="80"/>
      <c r="AA112" s="3"/>
      <c r="AB112" s="3"/>
      <c r="AC112" s="14">
        <v>100</v>
      </c>
      <c r="AD112" s="14"/>
      <c r="AE112" s="14"/>
      <c r="AF112" s="3"/>
      <c r="AG112" s="3"/>
      <c r="AH112" s="3"/>
      <c r="AI112" s="14"/>
      <c r="AJ112" s="14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</row>
    <row r="113" spans="1:60" ht="14.25" customHeight="1" x14ac:dyDescent="0.2">
      <c r="A113" s="637"/>
      <c r="B113" s="80"/>
      <c r="C113" s="173">
        <v>102</v>
      </c>
      <c r="D113" s="165"/>
      <c r="E113" s="174">
        <v>2.1151060489952331E-3</v>
      </c>
      <c r="F113" s="502"/>
      <c r="G113" s="219">
        <f t="shared" si="9"/>
        <v>38.192575708060701</v>
      </c>
      <c r="H113" s="176">
        <f t="shared" si="10"/>
        <v>61.807424291939299</v>
      </c>
      <c r="I113" s="516">
        <f t="shared" si="0"/>
        <v>100</v>
      </c>
      <c r="J113" s="153">
        <f>(G113*0)/(1+cDR)^'Markov Model_b (3)'!cycle</f>
        <v>0</v>
      </c>
      <c r="K113" s="178">
        <f t="shared" si="8"/>
        <v>38.192575708060701</v>
      </c>
      <c r="L113" s="202">
        <f>(G113*(uPostT))/(1+oDR)^'Markov Model_b (3)'!cycle</f>
        <v>22.500162188759884</v>
      </c>
      <c r="M113" s="80"/>
      <c r="N113" s="3"/>
      <c r="O113" s="80"/>
      <c r="P113" s="173">
        <v>102</v>
      </c>
      <c r="Q113" s="165"/>
      <c r="R113" s="174">
        <v>2.1188810298308678E-3</v>
      </c>
      <c r="S113" s="502"/>
      <c r="T113" s="219">
        <f t="shared" si="6"/>
        <v>35.982570563538232</v>
      </c>
      <c r="U113" s="249">
        <f t="shared" si="11"/>
        <v>64.017429436461768</v>
      </c>
      <c r="V113" s="516">
        <f t="shared" si="2"/>
        <v>100</v>
      </c>
      <c r="W113" s="153">
        <f>(T113*0)/(1+cDR)^'Markov Model_b (3)'!cycle2</f>
        <v>0</v>
      </c>
      <c r="X113" s="178">
        <f t="shared" si="7"/>
        <v>35.982570563538232</v>
      </c>
      <c r="Y113" s="202">
        <f>(T113*(uPostT))/(1+oDR)^'Markov Model_b (3)'!cycle</f>
        <v>21.198195163287586</v>
      </c>
      <c r="Z113" s="80"/>
      <c r="AA113" s="3"/>
      <c r="AB113" s="3"/>
      <c r="AC113" s="14">
        <v>101</v>
      </c>
      <c r="AD113" s="14"/>
      <c r="AE113" s="14"/>
      <c r="AF113" s="3"/>
      <c r="AG113" s="3"/>
      <c r="AH113" s="3"/>
      <c r="AI113" s="14"/>
      <c r="AJ113" s="14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</row>
    <row r="114" spans="1:60" ht="14.25" customHeight="1" x14ac:dyDescent="0.2">
      <c r="A114" s="637"/>
      <c r="B114" s="80"/>
      <c r="C114" s="173">
        <v>103</v>
      </c>
      <c r="D114" s="165"/>
      <c r="E114" s="174">
        <v>2.2469588744253124E-3</v>
      </c>
      <c r="F114" s="502"/>
      <c r="G114" s="219">
        <f t="shared" si="9"/>
        <v>38.106758561136317</v>
      </c>
      <c r="H114" s="176">
        <f t="shared" si="10"/>
        <v>61.893241438863683</v>
      </c>
      <c r="I114" s="516">
        <f t="shared" si="0"/>
        <v>100</v>
      </c>
      <c r="J114" s="153">
        <f>(G114*0)/(1+cDR)^'Markov Model_b (3)'!cycle</f>
        <v>0</v>
      </c>
      <c r="K114" s="178">
        <f t="shared" si="8"/>
        <v>38.106758561136317</v>
      </c>
      <c r="L114" s="202">
        <f>(G114*(uPostT))/(1+oDR)^'Markov Model_b (3)'!cycle</f>
        <v>22.393621196662181</v>
      </c>
      <c r="M114" s="80"/>
      <c r="N114" s="3"/>
      <c r="O114" s="80"/>
      <c r="P114" s="173">
        <v>103</v>
      </c>
      <c r="Q114" s="165"/>
      <c r="R114" s="174">
        <v>2.2506635029923027E-3</v>
      </c>
      <c r="S114" s="502"/>
      <c r="T114" s="219">
        <f t="shared" si="6"/>
        <v>35.901585905227037</v>
      </c>
      <c r="U114" s="249">
        <f t="shared" si="11"/>
        <v>64.098414094772963</v>
      </c>
      <c r="V114" s="516">
        <f t="shared" si="2"/>
        <v>100</v>
      </c>
      <c r="W114" s="153">
        <f>(T114*0)/(1+cDR)^'Markov Model_b (3)'!cycle2</f>
        <v>0</v>
      </c>
      <c r="X114" s="178">
        <f t="shared" si="7"/>
        <v>35.901585905227037</v>
      </c>
      <c r="Y114" s="202">
        <f>(T114*(uPostT))/(1+oDR)^'Markov Model_b (3)'!cycle</f>
        <v>21.097740807086552</v>
      </c>
      <c r="Z114" s="80"/>
      <c r="AA114" s="3"/>
      <c r="AB114" s="3"/>
      <c r="AC114" s="14">
        <v>102</v>
      </c>
      <c r="AD114" s="14"/>
      <c r="AE114" s="14"/>
      <c r="AF114" s="3"/>
      <c r="AG114" s="3"/>
      <c r="AH114" s="3"/>
      <c r="AI114" s="14"/>
      <c r="AJ114" s="14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</row>
    <row r="115" spans="1:60" ht="14.25" customHeight="1" x14ac:dyDescent="0.2">
      <c r="A115" s="637"/>
      <c r="B115" s="80"/>
      <c r="C115" s="173">
        <v>104</v>
      </c>
      <c r="D115" s="165"/>
      <c r="E115" s="174">
        <v>2.3827756744426308E-3</v>
      </c>
      <c r="F115" s="502"/>
      <c r="G115" s="219">
        <f t="shared" si="9"/>
        <v>38.015958703804984</v>
      </c>
      <c r="H115" s="176">
        <f t="shared" si="10"/>
        <v>61.984041296195016</v>
      </c>
      <c r="I115" s="516">
        <f t="shared" si="0"/>
        <v>100</v>
      </c>
      <c r="J115" s="153">
        <f>(G115*0)/(1+cDR)^'Markov Model_b (3)'!cycle</f>
        <v>0</v>
      </c>
      <c r="K115" s="178">
        <f t="shared" si="8"/>
        <v>38.015958703804984</v>
      </c>
      <c r="L115" s="202">
        <f>(G115*(uPostT))/(1+oDR)^'Markov Model_b (3)'!cycle</f>
        <v>22.284550843702839</v>
      </c>
      <c r="M115" s="80"/>
      <c r="N115" s="3"/>
      <c r="O115" s="80"/>
      <c r="P115" s="173">
        <v>104</v>
      </c>
      <c r="Q115" s="165"/>
      <c r="R115" s="174">
        <v>2.386393154362679E-3</v>
      </c>
      <c r="S115" s="502"/>
      <c r="T115" s="219">
        <f t="shared" si="6"/>
        <v>35.815910606392038</v>
      </c>
      <c r="U115" s="249">
        <f t="shared" si="11"/>
        <v>64.184089393607962</v>
      </c>
      <c r="V115" s="516">
        <f t="shared" si="2"/>
        <v>100</v>
      </c>
      <c r="W115" s="153">
        <f>(T115*0)/(1+cDR)^'Markov Model_b (3)'!cycle2</f>
        <v>0</v>
      </c>
      <c r="X115" s="178">
        <f t="shared" si="7"/>
        <v>35.815910606392038</v>
      </c>
      <c r="Y115" s="202">
        <f>(T115*(uPostT))/(1+oDR)^'Markov Model_b (3)'!cycle</f>
        <v>20.994906037757605</v>
      </c>
      <c r="Z115" s="80"/>
      <c r="AA115" s="3"/>
      <c r="AB115" s="3"/>
      <c r="AC115" s="14">
        <v>103</v>
      </c>
      <c r="AD115" s="14"/>
      <c r="AE115" s="14"/>
      <c r="AF115" s="3"/>
      <c r="AG115" s="3"/>
      <c r="AH115" s="3"/>
      <c r="AI115" s="14"/>
      <c r="AJ115" s="14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</row>
    <row r="116" spans="1:60" ht="14.25" customHeight="1" x14ac:dyDescent="0.2">
      <c r="A116" s="637"/>
      <c r="B116" s="80"/>
      <c r="C116" s="173">
        <v>105</v>
      </c>
      <c r="D116" s="165"/>
      <c r="E116" s="174">
        <v>2.521518314126905E-3</v>
      </c>
      <c r="F116" s="502"/>
      <c r="G116" s="219">
        <f t="shared" si="9"/>
        <v>37.920100767704248</v>
      </c>
      <c r="H116" s="176">
        <f t="shared" si="10"/>
        <v>62.079899232295752</v>
      </c>
      <c r="I116" s="516">
        <f t="shared" si="0"/>
        <v>100</v>
      </c>
      <c r="J116" s="153">
        <f>(G116*0)/(1+cDR)^'Markov Model_b (3)'!cycle</f>
        <v>0</v>
      </c>
      <c r="K116" s="178">
        <f t="shared" si="8"/>
        <v>37.920100767704248</v>
      </c>
      <c r="L116" s="202">
        <f>(G116*(uPostT))/(1+oDR)^'Markov Model_b (3)'!cycle</f>
        <v>22.172927621574416</v>
      </c>
      <c r="M116" s="80"/>
      <c r="N116" s="3"/>
      <c r="O116" s="80"/>
      <c r="P116" s="173">
        <v>105</v>
      </c>
      <c r="Q116" s="165"/>
      <c r="R116" s="174">
        <v>2.5250370379067064E-3</v>
      </c>
      <c r="S116" s="502"/>
      <c r="T116" s="219">
        <f t="shared" si="6"/>
        <v>35.725474105564544</v>
      </c>
      <c r="U116" s="249">
        <f t="shared" si="11"/>
        <v>64.274525894435456</v>
      </c>
      <c r="V116" s="516">
        <f t="shared" si="2"/>
        <v>100</v>
      </c>
      <c r="W116" s="153">
        <f>(T116*0)/(1+cDR)^'Markov Model_b (3)'!cycle2</f>
        <v>0</v>
      </c>
      <c r="X116" s="178">
        <f t="shared" si="7"/>
        <v>35.725474105564544</v>
      </c>
      <c r="Y116" s="202">
        <f>(T116*(uPostT))/(1+oDR)^'Markov Model_b (3)'!cycle</f>
        <v>20.889668950029826</v>
      </c>
      <c r="Z116" s="80"/>
      <c r="AA116" s="3"/>
      <c r="AB116" s="3"/>
      <c r="AC116" s="14">
        <v>104</v>
      </c>
      <c r="AD116" s="14"/>
      <c r="AE116" s="14"/>
      <c r="AF116" s="3"/>
      <c r="AG116" s="3"/>
      <c r="AH116" s="3"/>
      <c r="AI116" s="14"/>
      <c r="AJ116" s="14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</row>
    <row r="117" spans="1:60" ht="14.25" customHeight="1" x14ac:dyDescent="0.2">
      <c r="A117" s="637"/>
      <c r="B117" s="80"/>
      <c r="C117" s="173">
        <v>106</v>
      </c>
      <c r="D117" s="165"/>
      <c r="E117" s="174">
        <v>2.6629858468983293E-3</v>
      </c>
      <c r="F117" s="502"/>
      <c r="G117" s="219">
        <f t="shared" si="9"/>
        <v>37.819120076046893</v>
      </c>
      <c r="H117" s="176">
        <f t="shared" si="10"/>
        <v>62.180879923953107</v>
      </c>
      <c r="I117" s="516">
        <f t="shared" si="0"/>
        <v>100</v>
      </c>
      <c r="J117" s="153">
        <f>(G117*0)/(1+cDR)^'Markov Model_b (3)'!cycle</f>
        <v>0</v>
      </c>
      <c r="K117" s="178">
        <f t="shared" si="8"/>
        <v>37.819120076046893</v>
      </c>
      <c r="L117" s="202">
        <f>(G117*(uPostT))/(1+oDR)^'Markov Model_b (3)'!cycle</f>
        <v>22.058734592652236</v>
      </c>
      <c r="M117" s="80"/>
      <c r="N117" s="3"/>
      <c r="O117" s="80"/>
      <c r="P117" s="173">
        <v>106</v>
      </c>
      <c r="Q117" s="165"/>
      <c r="R117" s="174">
        <v>2.6663953898056801E-3</v>
      </c>
      <c r="S117" s="502"/>
      <c r="T117" s="219">
        <f t="shared" si="6"/>
        <v>35.630215866110845</v>
      </c>
      <c r="U117" s="249">
        <f t="shared" si="11"/>
        <v>64.369784133889155</v>
      </c>
      <c r="V117" s="516">
        <f t="shared" si="2"/>
        <v>100</v>
      </c>
      <c r="W117" s="153">
        <f>(T117*0)/(1+cDR)^'Markov Model_b (3)'!cycle2</f>
        <v>0</v>
      </c>
      <c r="X117" s="178">
        <f t="shared" si="7"/>
        <v>35.630215866110845</v>
      </c>
      <c r="Y117" s="202">
        <f>(T117*(uPostT))/(1+oDR)^'Markov Model_b (3)'!cycle</f>
        <v>20.782013798550526</v>
      </c>
      <c r="Z117" s="80"/>
      <c r="AA117" s="3"/>
      <c r="AB117" s="3"/>
      <c r="AC117" s="14">
        <v>105</v>
      </c>
      <c r="AD117" s="14"/>
      <c r="AE117" s="14"/>
      <c r="AF117" s="3"/>
      <c r="AG117" s="3"/>
      <c r="AH117" s="3"/>
      <c r="AI117" s="14"/>
      <c r="AJ117" s="14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</row>
    <row r="118" spans="1:60" ht="14.25" customHeight="1" x14ac:dyDescent="0.2">
      <c r="A118" s="637"/>
      <c r="B118" s="80"/>
      <c r="C118" s="173">
        <v>107</v>
      </c>
      <c r="D118" s="165"/>
      <c r="E118" s="174">
        <v>2.8072605546590476E-3</v>
      </c>
      <c r="F118" s="502"/>
      <c r="G118" s="219">
        <f t="shared" si="9"/>
        <v>37.712951952045493</v>
      </c>
      <c r="H118" s="176">
        <f t="shared" si="10"/>
        <v>62.287048047954507</v>
      </c>
      <c r="I118" s="516">
        <f t="shared" si="0"/>
        <v>100</v>
      </c>
      <c r="J118" s="153">
        <f>(G118*0)/(1+cDR)^'Markov Model_b (3)'!cycle</f>
        <v>0</v>
      </c>
      <c r="K118" s="178">
        <f t="shared" si="8"/>
        <v>37.712951952045493</v>
      </c>
      <c r="L118" s="202">
        <f>(G118*(uPostT))/(1+oDR)^'Markov Model_b (3)'!cycle</f>
        <v>21.94195508942104</v>
      </c>
      <c r="M118" s="80"/>
      <c r="N118" s="3"/>
      <c r="O118" s="80"/>
      <c r="P118" s="173">
        <v>107</v>
      </c>
      <c r="Q118" s="165"/>
      <c r="R118" s="174">
        <v>2.8105503230685018E-3</v>
      </c>
      <c r="S118" s="502"/>
      <c r="T118" s="219">
        <f t="shared" si="6"/>
        <v>35.530075351397343</v>
      </c>
      <c r="U118" s="249">
        <f t="shared" si="11"/>
        <v>64.469924648602657</v>
      </c>
      <c r="V118" s="516">
        <f t="shared" si="2"/>
        <v>100</v>
      </c>
      <c r="W118" s="153">
        <f>(T118*0)/(1+cDR)^'Markov Model_b (3)'!cycle2</f>
        <v>0</v>
      </c>
      <c r="X118" s="178">
        <f t="shared" si="7"/>
        <v>35.530075351397343</v>
      </c>
      <c r="Y118" s="202">
        <f>(T118*(uPostT))/(1+oDR)^'Markov Model_b (3)'!cycle</f>
        <v>20.671925090229422</v>
      </c>
      <c r="Z118" s="80"/>
      <c r="AA118" s="3"/>
      <c r="AB118" s="3"/>
      <c r="AC118" s="14">
        <v>106</v>
      </c>
      <c r="AD118" s="14"/>
      <c r="AE118" s="14"/>
      <c r="AF118" s="3"/>
      <c r="AG118" s="3"/>
      <c r="AH118" s="3"/>
      <c r="AI118" s="14"/>
      <c r="AJ118" s="14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</row>
    <row r="119" spans="1:60" ht="14.25" customHeight="1" x14ac:dyDescent="0.2">
      <c r="A119" s="597"/>
      <c r="B119" s="417"/>
      <c r="C119" s="173">
        <v>108</v>
      </c>
      <c r="D119" s="504"/>
      <c r="E119" s="174">
        <v>2.9538831834532145E-3</v>
      </c>
      <c r="F119" s="505"/>
      <c r="G119" s="219">
        <f t="shared" si="9"/>
        <v>37.601552297475969</v>
      </c>
      <c r="H119" s="176">
        <f t="shared" si="10"/>
        <v>62.398447702524031</v>
      </c>
      <c r="I119" s="516">
        <f t="shared" si="0"/>
        <v>100</v>
      </c>
      <c r="J119" s="180">
        <f>(G119*0)/(1+cDR)^'Markov Model_b (3)'!cycle</f>
        <v>0</v>
      </c>
      <c r="K119" s="176">
        <f t="shared" si="8"/>
        <v>37.601552297475969</v>
      </c>
      <c r="L119" s="202">
        <f>(G119*(uPostT))/(1+oDR)^'Markov Model_b (3)'!cycle</f>
        <v>21.822584655631236</v>
      </c>
      <c r="M119" s="80"/>
      <c r="N119" s="3"/>
      <c r="O119" s="417"/>
      <c r="P119" s="173">
        <v>108</v>
      </c>
      <c r="Q119" s="504"/>
      <c r="R119" s="174">
        <v>2.9570437242197631E-3</v>
      </c>
      <c r="S119" s="505"/>
      <c r="T119" s="219">
        <f t="shared" si="6"/>
        <v>35.425011365058438</v>
      </c>
      <c r="U119" s="249">
        <f>U118+(T118*R119)</f>
        <v>64.574988634941562</v>
      </c>
      <c r="V119" s="516">
        <f t="shared" si="2"/>
        <v>100</v>
      </c>
      <c r="W119" s="180">
        <f>(T119*0)/(1+cDR)^'Markov Model_b (3)'!cycle2</f>
        <v>0</v>
      </c>
      <c r="X119" s="176">
        <f t="shared" si="7"/>
        <v>35.425011365058438</v>
      </c>
      <c r="Y119" s="202">
        <f>(T119*(uPostT))/(1+oDR)^'Markov Model_b (3)'!cycle</f>
        <v>20.559398806856677</v>
      </c>
      <c r="Z119" s="80"/>
      <c r="AA119" s="3"/>
      <c r="AB119" s="3"/>
      <c r="AC119" s="14">
        <v>107</v>
      </c>
      <c r="AD119" s="14"/>
      <c r="AE119" s="14"/>
      <c r="AF119" s="3"/>
      <c r="AG119" s="3"/>
      <c r="AH119" s="3"/>
      <c r="AI119" s="14"/>
      <c r="AJ119" s="14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</row>
    <row r="120" spans="1:60" ht="14.25" customHeight="1" x14ac:dyDescent="0.25">
      <c r="A120" s="637" t="s">
        <v>551</v>
      </c>
      <c r="B120" s="417"/>
      <c r="C120" s="506">
        <v>109</v>
      </c>
      <c r="D120" s="506"/>
      <c r="E120" s="507">
        <v>3.1007488251188387E-3</v>
      </c>
      <c r="F120" s="508"/>
      <c r="G120" s="509">
        <f t="shared" si="9"/>
        <v>37.484959328366926</v>
      </c>
      <c r="H120" s="176">
        <f t="shared" si="10"/>
        <v>62.515040671633074</v>
      </c>
      <c r="I120" s="518">
        <f t="shared" si="0"/>
        <v>100</v>
      </c>
      <c r="J120" s="511">
        <f>(G120*0)/(1+cDR)^'Markov Model_b (3)'!cycle</f>
        <v>0</v>
      </c>
      <c r="K120" s="512">
        <f t="shared" si="8"/>
        <v>37.484959328366926</v>
      </c>
      <c r="L120" s="513">
        <f>(G120*(uPostT))/(1+oDR)^'Markov Model_b (3)'!cycle</f>
        <v>21.700666635310952</v>
      </c>
      <c r="M120" s="80"/>
      <c r="N120" s="3"/>
      <c r="O120" s="80"/>
      <c r="P120" s="506">
        <v>109</v>
      </c>
      <c r="Q120" s="506"/>
      <c r="R120" s="507">
        <v>3.1037758075627628E-3</v>
      </c>
      <c r="S120" s="508"/>
      <c r="T120" s="509">
        <f t="shared" si="6"/>
        <v>35.315060071800929</v>
      </c>
      <c r="U120" s="249">
        <f t="shared" ref="U120:U183" si="12">U119+(T119*R120)</f>
        <v>64.684939928199071</v>
      </c>
      <c r="V120" s="518">
        <f t="shared" ref="V120:V183" si="13">SUM(T120:U120)</f>
        <v>100</v>
      </c>
      <c r="W120" s="511">
        <f>(T120*0)/(1+cDR)^'Markov Model_b (3)'!cycle2</f>
        <v>0</v>
      </c>
      <c r="X120" s="512">
        <f t="shared" ref="X120:X183" si="14">T120</f>
        <v>35.315060071800929</v>
      </c>
      <c r="Y120" s="513">
        <f>(T120*(uPostT))/(1+oDR)^'Markov Model_b (3)'!cycle</f>
        <v>20.44447585259044</v>
      </c>
      <c r="Z120" s="80"/>
      <c r="AA120" s="3"/>
      <c r="AB120" s="3"/>
      <c r="AC120" s="14">
        <v>108</v>
      </c>
      <c r="AD120" s="14"/>
      <c r="AE120" s="14"/>
      <c r="AF120" s="3"/>
      <c r="AG120" s="3"/>
      <c r="AH120" s="3"/>
      <c r="AI120" s="14"/>
      <c r="AJ120" s="14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</row>
    <row r="121" spans="1:60" ht="14.25" customHeight="1" x14ac:dyDescent="0.2">
      <c r="A121" s="637"/>
      <c r="B121" s="417"/>
      <c r="C121" s="173">
        <v>110</v>
      </c>
      <c r="D121" s="165"/>
      <c r="E121" s="174">
        <v>3.2473688443966807E-3</v>
      </c>
      <c r="F121" s="502"/>
      <c r="G121" s="219">
        <f t="shared" si="9"/>
        <v>37.363231839310508</v>
      </c>
      <c r="H121" s="176">
        <f t="shared" si="10"/>
        <v>62.636768160689492</v>
      </c>
      <c r="I121" s="516">
        <f t="shared" ref="I121:I184" si="15">SUM(G121:H121)</f>
        <v>100</v>
      </c>
      <c r="J121" s="153">
        <f>(G121*0)/(1+cDR)^'Markov Model_b (3)'!cycle</f>
        <v>0</v>
      </c>
      <c r="K121" s="178">
        <f t="shared" si="8"/>
        <v>37.363231839310508</v>
      </c>
      <c r="L121" s="202">
        <f>(G121*(uPostT))/(1+oDR)^'Markov Model_b (3)'!cycle</f>
        <v>21.576255926759909</v>
      </c>
      <c r="M121" s="80"/>
      <c r="N121" s="3"/>
      <c r="O121" s="80"/>
      <c r="P121" s="173">
        <v>110</v>
      </c>
      <c r="Q121" s="165"/>
      <c r="R121" s="174">
        <v>3.2502590953527176E-3</v>
      </c>
      <c r="S121" s="502"/>
      <c r="T121" s="219">
        <f t="shared" ref="T121:T184" si="16">$T$10-U121</f>
        <v>35.200276976599625</v>
      </c>
      <c r="U121" s="249">
        <f t="shared" si="12"/>
        <v>64.799723023400375</v>
      </c>
      <c r="V121" s="516">
        <f t="shared" si="13"/>
        <v>100</v>
      </c>
      <c r="W121" s="153">
        <f>(T121*0)/(1+cDR)^'Markov Model_b (3)'!cycle2</f>
        <v>0</v>
      </c>
      <c r="X121" s="178">
        <f t="shared" si="14"/>
        <v>35.200276976599625</v>
      </c>
      <c r="Y121" s="202">
        <f>(T121*(uPostT))/(1+oDR)^'Markov Model_b (3)'!cycle</f>
        <v>20.32720798902827</v>
      </c>
      <c r="Z121" s="80"/>
      <c r="AA121" s="3"/>
      <c r="AB121" s="3"/>
      <c r="AC121" s="14">
        <v>109</v>
      </c>
      <c r="AD121" s="14"/>
      <c r="AE121" s="14"/>
      <c r="AF121" s="3"/>
      <c r="AG121" s="3"/>
      <c r="AH121" s="3"/>
      <c r="AI121" s="14"/>
      <c r="AJ121" s="14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</row>
    <row r="122" spans="1:60" ht="14.25" customHeight="1" x14ac:dyDescent="0.2">
      <c r="A122" s="637"/>
      <c r="B122" s="417"/>
      <c r="C122" s="173">
        <v>112</v>
      </c>
      <c r="D122" s="165"/>
      <c r="E122" s="174">
        <v>3.3937967399977377E-3</v>
      </c>
      <c r="F122" s="502"/>
      <c r="G122" s="219">
        <f t="shared" si="9"/>
        <v>37.23642862489848</v>
      </c>
      <c r="H122" s="176">
        <f t="shared" si="10"/>
        <v>62.76357137510152</v>
      </c>
      <c r="I122" s="516">
        <f t="shared" si="15"/>
        <v>100</v>
      </c>
      <c r="J122" s="153">
        <f>(G122*0)/(1+cDR)^'Markov Model_b (3)'!cycle</f>
        <v>0</v>
      </c>
      <c r="K122" s="178">
        <f t="shared" si="8"/>
        <v>37.23642862489848</v>
      </c>
      <c r="L122" s="202">
        <f>(G122*(uPostT))/(1+oDR)^'Markov Model_b (3)'!cycle</f>
        <v>21.395917189305351</v>
      </c>
      <c r="M122" s="80"/>
      <c r="N122" s="3"/>
      <c r="O122" s="80"/>
      <c r="P122" s="173">
        <v>112</v>
      </c>
      <c r="Q122" s="165"/>
      <c r="R122" s="174">
        <v>3.3965469149484051E-3</v>
      </c>
      <c r="S122" s="502"/>
      <c r="T122" s="219">
        <f t="shared" si="16"/>
        <v>35.080717584429422</v>
      </c>
      <c r="U122" s="249">
        <f t="shared" si="12"/>
        <v>64.919282415570578</v>
      </c>
      <c r="V122" s="516">
        <f t="shared" si="13"/>
        <v>100</v>
      </c>
      <c r="W122" s="153">
        <f>(T122*0)/(1+cDR)^'Markov Model_b (3)'!cycle2</f>
        <v>0</v>
      </c>
      <c r="X122" s="178">
        <f t="shared" si="14"/>
        <v>35.080717584429422</v>
      </c>
      <c r="Y122" s="202">
        <f>(T122*(uPostT))/(1+oDR)^'Markov Model_b (3)'!cycle</f>
        <v>20.157253423492257</v>
      </c>
      <c r="Z122" s="80"/>
      <c r="AA122" s="252"/>
      <c r="AB122" s="252"/>
      <c r="AC122" s="14">
        <v>110</v>
      </c>
      <c r="AD122" s="254"/>
      <c r="AE122" s="254"/>
      <c r="AF122" s="252"/>
      <c r="AG122" s="252"/>
      <c r="AH122" s="252"/>
      <c r="AI122" s="254"/>
      <c r="AJ122" s="254"/>
      <c r="AK122" s="252"/>
      <c r="AL122" s="252"/>
      <c r="AM122" s="252"/>
      <c r="AN122" s="252"/>
      <c r="AO122" s="252"/>
      <c r="AP122" s="252"/>
      <c r="AQ122" s="252"/>
      <c r="AR122" s="252"/>
      <c r="AS122" s="252"/>
      <c r="AT122" s="3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</row>
    <row r="123" spans="1:60" ht="14.25" customHeight="1" x14ac:dyDescent="0.2">
      <c r="A123" s="637"/>
      <c r="B123" s="417"/>
      <c r="C123" s="173">
        <v>113</v>
      </c>
      <c r="D123" s="165"/>
      <c r="E123" s="174">
        <v>3.5397049503761474E-3</v>
      </c>
      <c r="F123" s="502"/>
      <c r="G123" s="219">
        <f t="shared" si="9"/>
        <v>37.1046226541606</v>
      </c>
      <c r="H123" s="176">
        <f t="shared" si="10"/>
        <v>62.8953773458394</v>
      </c>
      <c r="I123" s="516">
        <f t="shared" si="15"/>
        <v>100</v>
      </c>
      <c r="J123" s="153">
        <f>(G123*0)/(1+cDR)^'Markov Model_b (3)'!cycle</f>
        <v>0</v>
      </c>
      <c r="K123" s="178">
        <f t="shared" si="8"/>
        <v>37.1046226541606</v>
      </c>
      <c r="L123" s="202">
        <f>(G123*(uPostT))/(1+oDR)^'Markov Model_b (3)'!cycle</f>
        <v>21.267014419264374</v>
      </c>
      <c r="M123" s="80"/>
      <c r="N123" s="3"/>
      <c r="O123" s="80"/>
      <c r="P123" s="173">
        <v>113</v>
      </c>
      <c r="Q123" s="165"/>
      <c r="R123" s="174">
        <v>3.5423122416901667E-3</v>
      </c>
      <c r="S123" s="502"/>
      <c r="T123" s="219">
        <f t="shared" si="16"/>
        <v>34.956450729082817</v>
      </c>
      <c r="U123" s="249">
        <f t="shared" si="12"/>
        <v>65.043549270917183</v>
      </c>
      <c r="V123" s="516">
        <f t="shared" si="13"/>
        <v>100</v>
      </c>
      <c r="W123" s="153">
        <f>(T123*0)/(1+cDR)^'Markov Model_b (3)'!cycle2</f>
        <v>0</v>
      </c>
      <c r="X123" s="178">
        <f t="shared" si="14"/>
        <v>34.956450729082817</v>
      </c>
      <c r="Y123" s="202">
        <f>(T123*(uPostT))/(1+oDR)^'Markov Model_b (3)'!cycle</f>
        <v>20.035760736091145</v>
      </c>
      <c r="Z123" s="80"/>
      <c r="AA123" s="3"/>
      <c r="AB123" s="3"/>
      <c r="AC123" s="14">
        <v>111</v>
      </c>
      <c r="AD123" s="14"/>
      <c r="AE123" s="14"/>
      <c r="AF123" s="3"/>
      <c r="AG123" s="3"/>
      <c r="AH123" s="3"/>
      <c r="AI123" s="14"/>
      <c r="AJ123" s="14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</row>
    <row r="124" spans="1:60" ht="14.25" customHeight="1" x14ac:dyDescent="0.2">
      <c r="A124" s="637"/>
      <c r="B124" s="417"/>
      <c r="C124" s="173">
        <v>114</v>
      </c>
      <c r="D124" s="165"/>
      <c r="E124" s="174">
        <v>3.6836127281861253E-3</v>
      </c>
      <c r="F124" s="502"/>
      <c r="G124" s="219">
        <f t="shared" si="9"/>
        <v>36.967943593877195</v>
      </c>
      <c r="H124" s="176">
        <f t="shared" si="10"/>
        <v>63.032056406122805</v>
      </c>
      <c r="I124" s="516">
        <f t="shared" si="15"/>
        <v>100</v>
      </c>
      <c r="J124" s="153">
        <f>(G124*0)/(1+cDR)^'Markov Model_b (3)'!cycle</f>
        <v>0</v>
      </c>
      <c r="K124" s="178">
        <f t="shared" si="8"/>
        <v>36.967943593877195</v>
      </c>
      <c r="L124" s="202">
        <f>(G124*(uPostT))/(1+oDR)^'Markov Model_b (3)'!cycle</f>
        <v>21.135835385794564</v>
      </c>
      <c r="M124" s="80"/>
      <c r="N124" s="3"/>
      <c r="O124" s="80"/>
      <c r="P124" s="173">
        <v>114</v>
      </c>
      <c r="Q124" s="165"/>
      <c r="R124" s="174">
        <v>3.6860770121833497E-3</v>
      </c>
      <c r="S124" s="502"/>
      <c r="T124" s="219">
        <f t="shared" si="16"/>
        <v>34.827598559622828</v>
      </c>
      <c r="U124" s="249">
        <f t="shared" si="12"/>
        <v>65.172401440377172</v>
      </c>
      <c r="V124" s="516">
        <f t="shared" si="13"/>
        <v>100</v>
      </c>
      <c r="W124" s="153">
        <f>(T124*0)/(1+cDR)^'Markov Model_b (3)'!cycle2</f>
        <v>0</v>
      </c>
      <c r="X124" s="178">
        <f t="shared" si="14"/>
        <v>34.827598559622828</v>
      </c>
      <c r="Y124" s="202">
        <f>(T124*(uPostT))/(1+oDR)^'Markov Model_b (3)'!cycle</f>
        <v>19.912127061366814</v>
      </c>
      <c r="Z124" s="80"/>
      <c r="AA124" s="252"/>
      <c r="AB124" s="252"/>
      <c r="AC124" s="14">
        <v>112</v>
      </c>
      <c r="AD124" s="254"/>
      <c r="AE124" s="254"/>
      <c r="AF124" s="252"/>
      <c r="AG124" s="252"/>
      <c r="AH124" s="252"/>
      <c r="AI124" s="254"/>
      <c r="AJ124" s="254"/>
      <c r="AK124" s="252"/>
      <c r="AL124" s="252"/>
      <c r="AM124" s="252"/>
      <c r="AN124" s="252"/>
      <c r="AO124" s="252"/>
      <c r="AP124" s="252"/>
      <c r="AQ124" s="252"/>
      <c r="AR124" s="252"/>
      <c r="AS124" s="252"/>
      <c r="AT124" s="3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</row>
    <row r="125" spans="1:60" ht="16.5" customHeight="1" x14ac:dyDescent="0.2">
      <c r="A125" s="637"/>
      <c r="B125" s="417"/>
      <c r="C125" s="173">
        <v>115</v>
      </c>
      <c r="D125" s="165"/>
      <c r="E125" s="174">
        <v>3.8251602567937978E-3</v>
      </c>
      <c r="F125" s="502"/>
      <c r="G125" s="219">
        <f t="shared" si="9"/>
        <v>36.826535285266502</v>
      </c>
      <c r="H125" s="176">
        <f t="shared" si="10"/>
        <v>63.173464714733498</v>
      </c>
      <c r="I125" s="516">
        <f t="shared" si="15"/>
        <v>100</v>
      </c>
      <c r="J125" s="153">
        <f>(G125*0)/(1+cDR)^'Markov Model_b (3)'!cycle</f>
        <v>0</v>
      </c>
      <c r="K125" s="178">
        <f t="shared" si="8"/>
        <v>36.826535285266502</v>
      </c>
      <c r="L125" s="202">
        <f>(G125*(uPostT))/(1+oDR)^'Markov Model_b (3)'!cycle</f>
        <v>21.002481225219643</v>
      </c>
      <c r="M125" s="80"/>
      <c r="N125" s="3"/>
      <c r="O125" s="80"/>
      <c r="P125" s="173">
        <v>115</v>
      </c>
      <c r="Q125" s="165"/>
      <c r="R125" s="174">
        <v>3.8274819742279546E-3</v>
      </c>
      <c r="S125" s="502"/>
      <c r="T125" s="219">
        <f t="shared" si="16"/>
        <v>34.694296553930229</v>
      </c>
      <c r="U125" s="249">
        <f t="shared" si="12"/>
        <v>65.305703446069771</v>
      </c>
      <c r="V125" s="516">
        <f t="shared" si="13"/>
        <v>100</v>
      </c>
      <c r="W125" s="153">
        <f>(T125*0)/(1+cDR)^'Markov Model_b (3)'!cycle2</f>
        <v>0</v>
      </c>
      <c r="X125" s="178">
        <f t="shared" si="14"/>
        <v>34.694296553930229</v>
      </c>
      <c r="Y125" s="202">
        <f>(T125*(uPostT))/(1+oDR)^'Markov Model_b (3)'!cycle</f>
        <v>19.786447634883693</v>
      </c>
      <c r="Z125" s="80"/>
      <c r="AA125" s="3"/>
      <c r="AB125" s="3"/>
      <c r="AC125" s="14">
        <v>113</v>
      </c>
      <c r="AD125" s="14"/>
      <c r="AE125" s="14"/>
      <c r="AF125" s="3"/>
      <c r="AG125" s="3"/>
      <c r="AH125" s="3"/>
      <c r="AI125" s="14"/>
      <c r="AJ125" s="14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</row>
    <row r="126" spans="1:60" ht="14.25" customHeight="1" x14ac:dyDescent="0.2">
      <c r="A126" s="637"/>
      <c r="B126" s="417"/>
      <c r="C126" s="173">
        <v>116</v>
      </c>
      <c r="D126" s="165"/>
      <c r="E126" s="174">
        <v>3.9641929909633149E-3</v>
      </c>
      <c r="F126" s="502"/>
      <c r="G126" s="219">
        <f t="shared" si="9"/>
        <v>36.680547792207186</v>
      </c>
      <c r="H126" s="176">
        <f t="shared" si="10"/>
        <v>63.319452207792814</v>
      </c>
      <c r="I126" s="516">
        <f t="shared" si="15"/>
        <v>100</v>
      </c>
      <c r="J126" s="153">
        <f>(G126*0)/(1+cDR)^'Markov Model_b (3)'!cycle</f>
        <v>0</v>
      </c>
      <c r="K126" s="178">
        <f t="shared" si="8"/>
        <v>36.680547792207186</v>
      </c>
      <c r="L126" s="202">
        <f>(G126*(uPostT))/(1+oDR)^'Markov Model_b (3)'!cycle</f>
        <v>20.867055697111013</v>
      </c>
      <c r="M126" s="80"/>
      <c r="N126" s="3"/>
      <c r="O126" s="80"/>
      <c r="P126" s="173">
        <v>116</v>
      </c>
      <c r="Q126" s="165"/>
      <c r="R126" s="174">
        <v>3.9663728967668605E-3</v>
      </c>
      <c r="S126" s="502"/>
      <c r="T126" s="219">
        <f t="shared" si="16"/>
        <v>34.556686036406333</v>
      </c>
      <c r="U126" s="249">
        <f t="shared" si="12"/>
        <v>65.443313963593667</v>
      </c>
      <c r="V126" s="516">
        <f t="shared" si="13"/>
        <v>100</v>
      </c>
      <c r="W126" s="153">
        <f>(T126*0)/(1+cDR)^'Markov Model_b (3)'!cycle2</f>
        <v>0</v>
      </c>
      <c r="X126" s="178">
        <f t="shared" si="14"/>
        <v>34.556686036406333</v>
      </c>
      <c r="Y126" s="202">
        <f>(T126*(uPostT))/(1+oDR)^'Markov Model_b (3)'!cycle</f>
        <v>19.65882015487421</v>
      </c>
      <c r="Z126" s="80"/>
      <c r="AA126" s="3"/>
      <c r="AB126" s="3"/>
      <c r="AC126" s="14">
        <v>114</v>
      </c>
      <c r="AD126" s="14"/>
      <c r="AE126" s="14"/>
      <c r="AF126" s="3"/>
      <c r="AG126" s="3"/>
      <c r="AH126" s="3"/>
      <c r="AI126" s="14"/>
      <c r="AJ126" s="14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</row>
    <row r="127" spans="1:60" ht="14.25" customHeight="1" x14ac:dyDescent="0.2">
      <c r="A127" s="637"/>
      <c r="B127" s="417"/>
      <c r="C127" s="173">
        <v>117</v>
      </c>
      <c r="D127" s="165"/>
      <c r="E127" s="174">
        <v>4.1000402676395322E-3</v>
      </c>
      <c r="F127" s="502"/>
      <c r="G127" s="219">
        <f t="shared" si="9"/>
        <v>36.530156069220062</v>
      </c>
      <c r="H127" s="176">
        <f t="shared" si="10"/>
        <v>63.469843930779938</v>
      </c>
      <c r="I127" s="516">
        <f t="shared" si="15"/>
        <v>100</v>
      </c>
      <c r="J127" s="153">
        <f>(G127*0)/(1+cDR)^'Markov Model_b (3)'!cycle</f>
        <v>0</v>
      </c>
      <c r="K127" s="178">
        <f t="shared" si="8"/>
        <v>36.530156069220062</v>
      </c>
      <c r="L127" s="202">
        <f>(G127*(uPostT))/(1+oDR)^'Markov Model_b (3)'!cycle</f>
        <v>20.729675739137939</v>
      </c>
      <c r="M127" s="80"/>
      <c r="N127" s="3"/>
      <c r="O127" s="80"/>
      <c r="P127" s="173">
        <v>117</v>
      </c>
      <c r="Q127" s="165"/>
      <c r="R127" s="174">
        <v>4.1020808164894144E-3</v>
      </c>
      <c r="S127" s="502"/>
      <c r="T127" s="219">
        <f t="shared" si="16"/>
        <v>34.414931717534941</v>
      </c>
      <c r="U127" s="249">
        <f t="shared" si="12"/>
        <v>65.585068282465059</v>
      </c>
      <c r="V127" s="516">
        <f t="shared" si="13"/>
        <v>100</v>
      </c>
      <c r="W127" s="153">
        <f>(T127*0)/(1+cDR)^'Markov Model_b (3)'!cycle2</f>
        <v>0</v>
      </c>
      <c r="X127" s="178">
        <f t="shared" si="14"/>
        <v>34.414931717534941</v>
      </c>
      <c r="Y127" s="202">
        <f>(T127*(uPostT))/(1+oDR)^'Markov Model_b (3)'!cycle</f>
        <v>19.529354699094352</v>
      </c>
      <c r="Z127" s="80"/>
      <c r="AA127" s="3"/>
      <c r="AB127" s="3"/>
      <c r="AC127" s="14">
        <v>115</v>
      </c>
      <c r="AD127" s="14"/>
      <c r="AE127" s="14"/>
      <c r="AF127" s="3"/>
      <c r="AG127" s="3"/>
      <c r="AH127" s="3"/>
      <c r="AI127" s="14"/>
      <c r="AJ127" s="14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</row>
    <row r="128" spans="1:60" ht="14.25" customHeight="1" x14ac:dyDescent="0.2">
      <c r="A128" s="637"/>
      <c r="B128" s="417"/>
      <c r="C128" s="173">
        <v>118</v>
      </c>
      <c r="D128" s="165"/>
      <c r="E128" s="174">
        <v>4.2325243680978609E-3</v>
      </c>
      <c r="F128" s="502"/>
      <c r="G128" s="219">
        <f t="shared" si="9"/>
        <v>36.37554129348667</v>
      </c>
      <c r="H128" s="176">
        <f t="shared" si="10"/>
        <v>63.62445870651333</v>
      </c>
      <c r="I128" s="516">
        <f t="shared" si="15"/>
        <v>100</v>
      </c>
      <c r="J128" s="153">
        <f>(G128*0)/(1+cDR)^'Markov Model_b (3)'!cycle</f>
        <v>0</v>
      </c>
      <c r="K128" s="178">
        <f t="shared" si="8"/>
        <v>36.37554129348667</v>
      </c>
      <c r="L128" s="202">
        <f>(G128*(uPostT))/(1+oDR)^'Markov Model_b (3)'!cycle</f>
        <v>20.590460729605262</v>
      </c>
      <c r="M128" s="80"/>
      <c r="N128" s="3"/>
      <c r="O128" s="80"/>
      <c r="P128" s="173">
        <v>118</v>
      </c>
      <c r="Q128" s="165"/>
      <c r="R128" s="174">
        <v>4.2344283699494749E-3</v>
      </c>
      <c r="S128" s="502"/>
      <c r="T128" s="219">
        <f t="shared" si="16"/>
        <v>34.269204154320335</v>
      </c>
      <c r="U128" s="249">
        <f t="shared" si="12"/>
        <v>65.730795845679665</v>
      </c>
      <c r="V128" s="516">
        <f t="shared" si="13"/>
        <v>100</v>
      </c>
      <c r="W128" s="153">
        <f>(T128*0)/(1+cDR)^'Markov Model_b (3)'!cycle2</f>
        <v>0</v>
      </c>
      <c r="X128" s="178">
        <f t="shared" si="14"/>
        <v>34.269204154320335</v>
      </c>
      <c r="Y128" s="202">
        <f>(T128*(uPostT))/(1+oDR)^'Markov Model_b (3)'!cycle</f>
        <v>19.398163636418655</v>
      </c>
      <c r="Z128" s="80"/>
      <c r="AA128" s="3"/>
      <c r="AB128" s="3"/>
      <c r="AC128" s="14">
        <v>116</v>
      </c>
      <c r="AD128" s="14"/>
      <c r="AE128" s="14"/>
      <c r="AF128" s="3"/>
      <c r="AG128" s="3"/>
      <c r="AH128" s="3"/>
      <c r="AI128" s="14"/>
      <c r="AJ128" s="14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</row>
    <row r="129" spans="1:60" ht="14.25" customHeight="1" x14ac:dyDescent="0.2">
      <c r="A129" s="637"/>
      <c r="B129" s="417"/>
      <c r="C129" s="173">
        <v>119</v>
      </c>
      <c r="D129" s="165"/>
      <c r="E129" s="174">
        <v>4.3616299759821559E-3</v>
      </c>
      <c r="F129" s="502"/>
      <c r="G129" s="219">
        <f t="shared" si="9"/>
        <v>36.216884642188418</v>
      </c>
      <c r="H129" s="176">
        <f t="shared" si="10"/>
        <v>63.783115357811582</v>
      </c>
      <c r="I129" s="516">
        <f t="shared" si="15"/>
        <v>100</v>
      </c>
      <c r="J129" s="153">
        <f>(G129*0)/(1+cDR)^'Markov Model_b (3)'!cycle</f>
        <v>0</v>
      </c>
      <c r="K129" s="178">
        <f t="shared" si="8"/>
        <v>36.216884642188418</v>
      </c>
      <c r="L129" s="202">
        <f>(G129*(uPostT))/(1+oDR)^'Markov Model_b (3)'!cycle</f>
        <v>20.449528936526413</v>
      </c>
      <c r="M129" s="80"/>
      <c r="N129" s="3"/>
      <c r="O129" s="80"/>
      <c r="P129" s="173">
        <v>119</v>
      </c>
      <c r="Q129" s="165"/>
      <c r="R129" s="174">
        <v>4.3634001501738073E-3</v>
      </c>
      <c r="S129" s="502"/>
      <c r="T129" s="219">
        <f t="shared" si="16"/>
        <v>34.119673903767037</v>
      </c>
      <c r="U129" s="249">
        <f t="shared" si="12"/>
        <v>65.880326096232963</v>
      </c>
      <c r="V129" s="516">
        <f t="shared" si="13"/>
        <v>100</v>
      </c>
      <c r="W129" s="153">
        <f>(T129*0)/(1+cDR)^'Markov Model_b (3)'!cycle2</f>
        <v>0</v>
      </c>
      <c r="X129" s="178">
        <f t="shared" si="14"/>
        <v>34.119673903767037</v>
      </c>
      <c r="Y129" s="202">
        <f>(T129*(uPostT))/(1+oDR)^'Markov Model_b (3)'!cycle</f>
        <v>19.265358290567992</v>
      </c>
      <c r="Z129" s="80"/>
      <c r="AA129" s="3"/>
      <c r="AB129" s="3"/>
      <c r="AC129" s="14">
        <v>117</v>
      </c>
      <c r="AD129" s="14"/>
      <c r="AE129" s="14"/>
      <c r="AF129" s="3"/>
      <c r="AG129" s="3"/>
      <c r="AH129" s="3"/>
      <c r="AI129" s="14"/>
      <c r="AJ129" s="14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</row>
    <row r="130" spans="1:60" ht="14.25" customHeight="1" x14ac:dyDescent="0.2">
      <c r="A130" s="637"/>
      <c r="B130" s="417"/>
      <c r="C130" s="173">
        <v>120</v>
      </c>
      <c r="D130" s="165"/>
      <c r="E130" s="174">
        <v>4.4872510650515512E-3</v>
      </c>
      <c r="F130" s="502"/>
      <c r="G130" s="219">
        <f t="shared" si="9"/>
        <v>36.054370388004912</v>
      </c>
      <c r="H130" s="176">
        <f t="shared" si="10"/>
        <v>63.945629611995088</v>
      </c>
      <c r="I130" s="516">
        <f t="shared" si="15"/>
        <v>100</v>
      </c>
      <c r="J130" s="153">
        <f>(G130*0)/(1+cDR)^'Markov Model_b (3)'!cycle</f>
        <v>0</v>
      </c>
      <c r="K130" s="178">
        <f t="shared" si="8"/>
        <v>36.054370388004912</v>
      </c>
      <c r="L130" s="202">
        <f>(G130*(uPostT))/(1+oDR)^'Markov Model_b (3)'!cycle</f>
        <v>20.306999267856547</v>
      </c>
      <c r="M130" s="80"/>
      <c r="N130" s="3"/>
      <c r="O130" s="80"/>
      <c r="P130" s="173">
        <v>120</v>
      </c>
      <c r="Q130" s="165"/>
      <c r="R130" s="174">
        <v>4.488890374069068E-3</v>
      </c>
      <c r="S130" s="502"/>
      <c r="T130" s="219">
        <f t="shared" si="16"/>
        <v>33.966514428014037</v>
      </c>
      <c r="U130" s="249">
        <f t="shared" si="12"/>
        <v>66.033485571985963</v>
      </c>
      <c r="V130" s="516">
        <f t="shared" si="13"/>
        <v>100</v>
      </c>
      <c r="W130" s="153">
        <f>(T130*0)/(1+cDR)^'Markov Model_b (3)'!cycle2</f>
        <v>0</v>
      </c>
      <c r="X130" s="178">
        <f t="shared" si="14"/>
        <v>33.966514428014037</v>
      </c>
      <c r="Y130" s="202">
        <f>(T130*(uPostT))/(1+oDR)^'Markov Model_b (3)'!cycle</f>
        <v>19.131050582727649</v>
      </c>
      <c r="Z130" s="80"/>
      <c r="AA130" s="3"/>
      <c r="AB130" s="3"/>
      <c r="AC130" s="14">
        <v>118</v>
      </c>
      <c r="AD130" s="14"/>
      <c r="AE130" s="14"/>
      <c r="AF130" s="3"/>
      <c r="AG130" s="3"/>
      <c r="AH130" s="3"/>
      <c r="AI130" s="14"/>
      <c r="AJ130" s="14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</row>
    <row r="131" spans="1:60" ht="14.25" customHeight="1" x14ac:dyDescent="0.2">
      <c r="A131" s="597"/>
      <c r="B131" s="417"/>
      <c r="C131" s="173">
        <v>121</v>
      </c>
      <c r="D131" s="504"/>
      <c r="E131" s="174">
        <v>4.6090168988632283E-3</v>
      </c>
      <c r="F131" s="505"/>
      <c r="G131" s="219">
        <f t="shared" si="9"/>
        <v>35.888195185608723</v>
      </c>
      <c r="H131" s="176">
        <f t="shared" si="10"/>
        <v>64.111804814391277</v>
      </c>
      <c r="I131" s="516">
        <f t="shared" si="15"/>
        <v>100</v>
      </c>
      <c r="J131" s="180">
        <f>(G131*0)/(1+cDR)^'Markov Model_b (3)'!cycle</f>
        <v>0</v>
      </c>
      <c r="K131" s="176">
        <f t="shared" si="8"/>
        <v>35.888195185608723</v>
      </c>
      <c r="L131" s="202">
        <f>(G131*(uPostT))/(1+oDR)^'Markov Model_b (3)'!cycle</f>
        <v>20.162996473881087</v>
      </c>
      <c r="M131" s="80"/>
      <c r="N131" s="3"/>
      <c r="O131" s="80"/>
      <c r="P131" s="173">
        <v>121</v>
      </c>
      <c r="Q131" s="504"/>
      <c r="R131" s="174">
        <v>4.6105295439216034E-3</v>
      </c>
      <c r="S131" s="505"/>
      <c r="T131" s="219">
        <f t="shared" si="16"/>
        <v>33.809910809739634</v>
      </c>
      <c r="U131" s="249">
        <f t="shared" si="12"/>
        <v>66.190089190260366</v>
      </c>
      <c r="V131" s="516">
        <f t="shared" si="13"/>
        <v>100</v>
      </c>
      <c r="W131" s="180">
        <f>(T131*0)/(1+cDR)^'Markov Model_b (3)'!cycle2</f>
        <v>0</v>
      </c>
      <c r="X131" s="176">
        <f t="shared" si="14"/>
        <v>33.809910809739634</v>
      </c>
      <c r="Y131" s="202">
        <f>(T131*(uPostT))/(1+oDR)^'Markov Model_b (3)'!cycle</f>
        <v>18.995357914024659</v>
      </c>
      <c r="Z131" s="80"/>
      <c r="AA131" s="3"/>
      <c r="AB131" s="3"/>
      <c r="AC131" s="14">
        <v>119</v>
      </c>
      <c r="AD131" s="14"/>
      <c r="AE131" s="14"/>
      <c r="AF131" s="3"/>
      <c r="AG131" s="3"/>
      <c r="AH131" s="3"/>
      <c r="AI131" s="14"/>
      <c r="AJ131" s="14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</row>
    <row r="132" spans="1:60" ht="14.25" customHeight="1" x14ac:dyDescent="0.25">
      <c r="A132" s="637" t="s">
        <v>552</v>
      </c>
      <c r="B132" s="417"/>
      <c r="C132" s="506">
        <v>122</v>
      </c>
      <c r="D132" s="506"/>
      <c r="E132" s="507">
        <v>4.7268022134021913E-3</v>
      </c>
      <c r="F132" s="508"/>
      <c r="G132" s="509">
        <f t="shared" si="9"/>
        <v>35.718558785170373</v>
      </c>
      <c r="H132" s="176">
        <f t="shared" si="10"/>
        <v>64.281441214829627</v>
      </c>
      <c r="I132" s="518">
        <f t="shared" si="15"/>
        <v>100</v>
      </c>
      <c r="J132" s="511">
        <f>(G132*0)/(1+cDR)^'Markov Model_b (3)'!cycle</f>
        <v>0</v>
      </c>
      <c r="K132" s="512">
        <f t="shared" si="8"/>
        <v>35.718558785170373</v>
      </c>
      <c r="L132" s="513">
        <f>(G132*(uPostT))/(1+oDR)^'Markov Model_b (3)'!cycle</f>
        <v>20.017645862862366</v>
      </c>
      <c r="M132" s="80"/>
      <c r="N132" s="3"/>
      <c r="O132" s="80"/>
      <c r="P132" s="506">
        <v>122</v>
      </c>
      <c r="Q132" s="506"/>
      <c r="R132" s="507">
        <v>4.7281926853606345E-3</v>
      </c>
      <c r="S132" s="508"/>
      <c r="T132" s="509">
        <f t="shared" si="16"/>
        <v>33.650051036756324</v>
      </c>
      <c r="U132" s="249">
        <f t="shared" si="12"/>
        <v>66.349948963243676</v>
      </c>
      <c r="V132" s="518">
        <f t="shared" si="13"/>
        <v>100</v>
      </c>
      <c r="W132" s="511">
        <f>(T132*0)/(1+cDR)^'Markov Model_b (3)'!cycle2</f>
        <v>0</v>
      </c>
      <c r="X132" s="512">
        <f t="shared" si="14"/>
        <v>33.650051036756324</v>
      </c>
      <c r="Y132" s="513">
        <f>(T132*(uPostT))/(1+oDR)^'Markov Model_b (3)'!cycle</f>
        <v>18.858398206164349</v>
      </c>
      <c r="Z132" s="80"/>
      <c r="AA132" s="3"/>
      <c r="AB132" s="3"/>
      <c r="AC132" s="14">
        <v>120</v>
      </c>
      <c r="AD132" s="14"/>
      <c r="AE132" s="14"/>
      <c r="AF132" s="3"/>
      <c r="AG132" s="3"/>
      <c r="AH132" s="3"/>
      <c r="AI132" s="14"/>
      <c r="AJ132" s="14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</row>
    <row r="133" spans="1:60" ht="14.25" customHeight="1" x14ac:dyDescent="0.2">
      <c r="A133" s="637"/>
      <c r="B133" s="417"/>
      <c r="C133" s="173">
        <v>123</v>
      </c>
      <c r="D133" s="165"/>
      <c r="E133" s="174">
        <v>4.8405605990306817E-3</v>
      </c>
      <c r="F133" s="502"/>
      <c r="G133" s="219">
        <f t="shared" si="9"/>
        <v>35.545660936860713</v>
      </c>
      <c r="H133" s="176">
        <f t="shared" si="10"/>
        <v>64.454339063139287</v>
      </c>
      <c r="I133" s="516">
        <f t="shared" si="15"/>
        <v>100</v>
      </c>
      <c r="J133" s="153">
        <f>(G133*0)/(1+cDR)^'Markov Model_b (3)'!cycle</f>
        <v>0</v>
      </c>
      <c r="K133" s="178">
        <f t="shared" si="8"/>
        <v>35.545660936860713</v>
      </c>
      <c r="L133" s="202">
        <f>(G133*(uPostT))/(1+oDR)^'Markov Model_b (3)'!cycle</f>
        <v>19.871071556122939</v>
      </c>
      <c r="M133" s="80"/>
      <c r="N133" s="3"/>
      <c r="O133" s="80"/>
      <c r="P133" s="173">
        <v>123</v>
      </c>
      <c r="Q133" s="165"/>
      <c r="R133" s="174">
        <v>4.8418333660543459E-3</v>
      </c>
      <c r="S133" s="502"/>
      <c r="T133" s="219">
        <f t="shared" si="16"/>
        <v>33.487123096877127</v>
      </c>
      <c r="U133" s="249">
        <f t="shared" si="12"/>
        <v>66.512876903122873</v>
      </c>
      <c r="V133" s="516">
        <f t="shared" si="13"/>
        <v>100</v>
      </c>
      <c r="W133" s="153">
        <f>(T133*0)/(1+cDR)^'Markov Model_b (3)'!cycle2</f>
        <v>0</v>
      </c>
      <c r="X133" s="178">
        <f t="shared" si="14"/>
        <v>33.487123096877127</v>
      </c>
      <c r="Y133" s="202">
        <f>(T133*(uPostT))/(1+oDR)^'Markov Model_b (3)'!cycle</f>
        <v>18.720288263839802</v>
      </c>
      <c r="Z133" s="80"/>
      <c r="AA133" s="3"/>
      <c r="AB133" s="3"/>
      <c r="AC133" s="14">
        <v>121</v>
      </c>
      <c r="AD133" s="14"/>
      <c r="AE133" s="14"/>
      <c r="AF133" s="3"/>
      <c r="AG133" s="3"/>
      <c r="AH133" s="3"/>
      <c r="AI133" s="14"/>
      <c r="AJ133" s="14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</row>
    <row r="134" spans="1:60" ht="14.25" customHeight="1" x14ac:dyDescent="0.2">
      <c r="A134" s="637"/>
      <c r="B134" s="417"/>
      <c r="C134" s="173">
        <v>124</v>
      </c>
      <c r="D134" s="165"/>
      <c r="E134" s="174">
        <v>4.9502583650035212E-3</v>
      </c>
      <c r="F134" s="502"/>
      <c r="G134" s="219">
        <f t="shared" si="9"/>
        <v>35.369700731468441</v>
      </c>
      <c r="H134" s="176">
        <f t="shared" si="10"/>
        <v>64.630299268531559</v>
      </c>
      <c r="I134" s="516">
        <f t="shared" si="15"/>
        <v>100</v>
      </c>
      <c r="J134" s="153">
        <f>(G134*0)/(1+cDR)^'Markov Model_b (3)'!cycle</f>
        <v>0</v>
      </c>
      <c r="K134" s="178">
        <f t="shared" si="8"/>
        <v>35.369700731468441</v>
      </c>
      <c r="L134" s="202">
        <f>(G134*(uPostT))/(1+oDR)^'Markov Model_b (3)'!cycle</f>
        <v>19.723396127611629</v>
      </c>
      <c r="M134" s="80"/>
      <c r="N134" s="3"/>
      <c r="O134" s="80"/>
      <c r="P134" s="173">
        <v>124</v>
      </c>
      <c r="Q134" s="165"/>
      <c r="R134" s="174">
        <v>4.951417979523985E-3</v>
      </c>
      <c r="S134" s="502"/>
      <c r="T134" s="219">
        <f t="shared" si="16"/>
        <v>33.32131435349271</v>
      </c>
      <c r="U134" s="249">
        <f t="shared" si="12"/>
        <v>66.67868564650729</v>
      </c>
      <c r="V134" s="516">
        <f t="shared" si="13"/>
        <v>100</v>
      </c>
      <c r="W134" s="153">
        <f>(T134*0)/(1+cDR)^'Markov Model_b (3)'!cycle2</f>
        <v>0</v>
      </c>
      <c r="X134" s="178">
        <f t="shared" si="14"/>
        <v>33.32131435349271</v>
      </c>
      <c r="Y134" s="202">
        <f>(T134*(uPostT))/(1+oDR)^'Markov Model_b (3)'!cycle</f>
        <v>18.581143433364939</v>
      </c>
      <c r="Z134" s="80"/>
      <c r="AA134" s="3"/>
      <c r="AB134" s="3"/>
      <c r="AC134" s="14">
        <v>122</v>
      </c>
      <c r="AD134" s="14"/>
      <c r="AE134" s="14"/>
      <c r="AF134" s="3"/>
      <c r="AG134" s="3"/>
      <c r="AH134" s="3"/>
      <c r="AI134" s="14"/>
      <c r="AJ134" s="14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</row>
    <row r="135" spans="1:60" ht="14.25" customHeight="1" x14ac:dyDescent="0.2">
      <c r="A135" s="637"/>
      <c r="B135" s="417"/>
      <c r="C135" s="173">
        <v>125</v>
      </c>
      <c r="D135" s="165"/>
      <c r="E135" s="174">
        <v>5.0559124198219689E-3</v>
      </c>
      <c r="F135" s="502"/>
      <c r="G135" s="219">
        <f t="shared" si="9"/>
        <v>35.190874622254825</v>
      </c>
      <c r="H135" s="176">
        <f t="shared" si="10"/>
        <v>64.809125377745175</v>
      </c>
      <c r="I135" s="516">
        <f t="shared" si="15"/>
        <v>100</v>
      </c>
      <c r="J135" s="153">
        <f>(G135*0)/(1+cDR)^'Markov Model_b (3)'!cycle</f>
        <v>0</v>
      </c>
      <c r="K135" s="178">
        <f t="shared" si="8"/>
        <v>35.190874622254825</v>
      </c>
      <c r="L135" s="202">
        <f>(G135*(uPostT))/(1+oDR)^'Markov Model_b (3)'!cycle</f>
        <v>19.574739515380514</v>
      </c>
      <c r="M135" s="80"/>
      <c r="N135" s="3"/>
      <c r="O135" s="80"/>
      <c r="P135" s="173">
        <v>125</v>
      </c>
      <c r="Q135" s="165"/>
      <c r="R135" s="174">
        <v>5.0569638219938942E-3</v>
      </c>
      <c r="S135" s="502"/>
      <c r="T135" s="219">
        <f t="shared" si="16"/>
        <v>33.152809672305807</v>
      </c>
      <c r="U135" s="249">
        <f t="shared" si="12"/>
        <v>66.847190327694193</v>
      </c>
      <c r="V135" s="516">
        <f t="shared" si="13"/>
        <v>100</v>
      </c>
      <c r="W135" s="153">
        <f>(T135*0)/(1+cDR)^'Markov Model_b (3)'!cycle2</f>
        <v>0</v>
      </c>
      <c r="X135" s="178">
        <f t="shared" si="14"/>
        <v>33.152809672305807</v>
      </c>
      <c r="Y135" s="202">
        <f>(T135*(uPostT))/(1+oDR)^'Markov Model_b (3)'!cycle</f>
        <v>18.441076571821576</v>
      </c>
      <c r="Z135" s="80"/>
      <c r="AA135" s="3"/>
      <c r="AB135" s="3"/>
      <c r="AC135" s="14">
        <v>123</v>
      </c>
      <c r="AD135" s="14"/>
      <c r="AE135" s="14"/>
      <c r="AF135" s="3"/>
      <c r="AG135" s="3"/>
      <c r="AH135" s="3"/>
      <c r="AI135" s="14"/>
      <c r="AJ135" s="14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</row>
    <row r="136" spans="1:60" ht="14.25" customHeight="1" x14ac:dyDescent="0.2">
      <c r="A136" s="637"/>
      <c r="B136" s="417"/>
      <c r="C136" s="173">
        <v>126</v>
      </c>
      <c r="D136" s="165"/>
      <c r="E136" s="174">
        <v>5.1574796336867953E-3</v>
      </c>
      <c r="F136" s="502"/>
      <c r="G136" s="219">
        <f t="shared" si="9"/>
        <v>35.009378403098921</v>
      </c>
      <c r="H136" s="176">
        <f t="shared" si="10"/>
        <v>64.990621596901079</v>
      </c>
      <c r="I136" s="516">
        <f t="shared" si="15"/>
        <v>100</v>
      </c>
      <c r="J136" s="153">
        <f>(G136*0)/(1+cDR)^'Markov Model_b (3)'!cycle</f>
        <v>0</v>
      </c>
      <c r="K136" s="178">
        <f t="shared" si="8"/>
        <v>35.009378403098921</v>
      </c>
      <c r="L136" s="202">
        <f>(G136*(uPostT))/(1+oDR)^'Markov Model_b (3)'!cycle</f>
        <v>19.425220144633638</v>
      </c>
      <c r="M136" s="80"/>
      <c r="N136" s="3"/>
      <c r="O136" s="80"/>
      <c r="P136" s="173">
        <v>126</v>
      </c>
      <c r="Q136" s="165"/>
      <c r="R136" s="174">
        <v>5.1584278798354147E-3</v>
      </c>
      <c r="S136" s="502"/>
      <c r="T136" s="219">
        <f t="shared" si="16"/>
        <v>32.98179329459731</v>
      </c>
      <c r="U136" s="249">
        <f t="shared" si="12"/>
        <v>67.01820670540269</v>
      </c>
      <c r="V136" s="516">
        <f t="shared" si="13"/>
        <v>100</v>
      </c>
      <c r="W136" s="153">
        <f>(T136*0)/(1+cDR)^'Markov Model_b (3)'!cycle2</f>
        <v>0</v>
      </c>
      <c r="X136" s="178">
        <f t="shared" si="14"/>
        <v>32.98179329459731</v>
      </c>
      <c r="Y136" s="202">
        <f>(T136*(uPostT))/(1+oDR)^'Markov Model_b (3)'!cycle</f>
        <v>18.30019911052301</v>
      </c>
      <c r="Z136" s="80"/>
      <c r="AA136" s="3"/>
      <c r="AB136" s="3"/>
      <c r="AC136" s="14">
        <v>124</v>
      </c>
      <c r="AD136" s="14"/>
      <c r="AE136" s="14"/>
      <c r="AF136" s="3"/>
      <c r="AG136" s="3"/>
      <c r="AH136" s="3"/>
      <c r="AI136" s="14"/>
      <c r="AJ136" s="14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</row>
    <row r="137" spans="1:60" ht="14.25" customHeight="1" x14ac:dyDescent="0.2">
      <c r="A137" s="637"/>
      <c r="B137" s="417"/>
      <c r="C137" s="173">
        <v>127</v>
      </c>
      <c r="D137" s="165"/>
      <c r="E137" s="174">
        <v>5.2549833449973583E-3</v>
      </c>
      <c r="F137" s="502"/>
      <c r="G137" s="219">
        <f t="shared" si="9"/>
        <v>34.825404702671932</v>
      </c>
      <c r="H137" s="176">
        <f t="shared" si="10"/>
        <v>65.174595297328068</v>
      </c>
      <c r="I137" s="516">
        <f t="shared" si="15"/>
        <v>100</v>
      </c>
      <c r="J137" s="153">
        <f>(G137*0)/(1+cDR)^'Markov Model_b (3)'!cycle</f>
        <v>0</v>
      </c>
      <c r="K137" s="178">
        <f t="shared" si="8"/>
        <v>34.825404702671932</v>
      </c>
      <c r="L137" s="202">
        <f>(G137*(uPostT))/(1+oDR)^'Markov Model_b (3)'!cycle</f>
        <v>19.274953552419642</v>
      </c>
      <c r="M137" s="80"/>
      <c r="N137" s="3"/>
      <c r="O137" s="80"/>
      <c r="P137" s="173">
        <v>127</v>
      </c>
      <c r="Q137" s="165"/>
      <c r="R137" s="174">
        <v>5.2558335068517157E-3</v>
      </c>
      <c r="S137" s="502"/>
      <c r="T137" s="219">
        <f t="shared" si="16"/>
        <v>32.808446480283507</v>
      </c>
      <c r="U137" s="249">
        <f t="shared" si="12"/>
        <v>67.191553519716493</v>
      </c>
      <c r="V137" s="516">
        <f t="shared" si="13"/>
        <v>100</v>
      </c>
      <c r="W137" s="153">
        <f>(T137*0)/(1+cDR)^'Markov Model_b (3)'!cycle2</f>
        <v>0</v>
      </c>
      <c r="X137" s="178">
        <f t="shared" si="14"/>
        <v>32.808446480283507</v>
      </c>
      <c r="Y137" s="202">
        <f>(T137*(uPostT))/(1+oDR)^'Markov Model_b (3)'!cycle</f>
        <v>18.158619761452236</v>
      </c>
      <c r="Z137" s="80"/>
      <c r="AA137" s="3"/>
      <c r="AB137" s="3"/>
      <c r="AC137" s="14">
        <v>125</v>
      </c>
      <c r="AD137" s="14"/>
      <c r="AE137" s="14"/>
      <c r="AF137" s="3"/>
      <c r="AG137" s="3"/>
      <c r="AH137" s="3"/>
      <c r="AI137" s="14"/>
      <c r="AJ137" s="14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</row>
    <row r="138" spans="1:60" ht="14.25" customHeight="1" x14ac:dyDescent="0.2">
      <c r="A138" s="637"/>
      <c r="B138" s="417"/>
      <c r="C138" s="173">
        <v>128</v>
      </c>
      <c r="D138" s="165"/>
      <c r="E138" s="174">
        <v>5.3487164169597045E-3</v>
      </c>
      <c r="F138" s="502"/>
      <c r="G138" s="219">
        <f t="shared" si="9"/>
        <v>34.639133488811481</v>
      </c>
      <c r="H138" s="176">
        <f t="shared" si="10"/>
        <v>65.360866511188519</v>
      </c>
      <c r="I138" s="516">
        <f t="shared" si="15"/>
        <v>100</v>
      </c>
      <c r="J138" s="153">
        <f>(G138*0)/(1+cDR)^'Markov Model_b (3)'!cycle</f>
        <v>0</v>
      </c>
      <c r="K138" s="178">
        <f t="shared" si="8"/>
        <v>34.639133488811481</v>
      </c>
      <c r="L138" s="202">
        <f>(G138*(uPostT))/(1+oDR)^'Markov Model_b (3)'!cycle</f>
        <v>19.124047173982714</v>
      </c>
      <c r="M138" s="80"/>
      <c r="N138" s="3"/>
      <c r="O138" s="80"/>
      <c r="P138" s="173">
        <v>128</v>
      </c>
      <c r="Q138" s="165"/>
      <c r="R138" s="174">
        <v>5.349473543822857E-3</v>
      </c>
      <c r="S138" s="502"/>
      <c r="T138" s="219">
        <f t="shared" si="16"/>
        <v>32.632938563823302</v>
      </c>
      <c r="U138" s="249">
        <f t="shared" si="12"/>
        <v>67.367061436176698</v>
      </c>
      <c r="V138" s="516">
        <f t="shared" si="13"/>
        <v>100</v>
      </c>
      <c r="W138" s="153">
        <f>(T138*0)/(1+cDR)^'Markov Model_b (3)'!cycle2</f>
        <v>0</v>
      </c>
      <c r="X138" s="178">
        <f t="shared" si="14"/>
        <v>32.632938563823302</v>
      </c>
      <c r="Y138" s="202">
        <f>(T138*(uPostT))/(1+oDR)^'Markov Model_b (3)'!cycle</f>
        <v>18.01643960642993</v>
      </c>
      <c r="Z138" s="80"/>
      <c r="AA138" s="3"/>
      <c r="AB138" s="3"/>
      <c r="AC138" s="14">
        <v>126</v>
      </c>
      <c r="AD138" s="14"/>
      <c r="AE138" s="14"/>
      <c r="AF138" s="3"/>
      <c r="AG138" s="3"/>
      <c r="AH138" s="3"/>
      <c r="AI138" s="14"/>
      <c r="AJ138" s="14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</row>
    <row r="139" spans="1:60" ht="14.25" customHeight="1" x14ac:dyDescent="0.2">
      <c r="A139" s="637"/>
      <c r="B139" s="417"/>
      <c r="C139" s="173">
        <v>129</v>
      </c>
      <c r="D139" s="165"/>
      <c r="E139" s="174">
        <v>5.438702002319112E-3</v>
      </c>
      <c r="F139" s="502"/>
      <c r="G139" s="219">
        <f t="shared" si="9"/>
        <v>34.450741564147279</v>
      </c>
      <c r="H139" s="176">
        <f t="shared" si="10"/>
        <v>65.549258435852721</v>
      </c>
      <c r="I139" s="516">
        <f t="shared" si="15"/>
        <v>100</v>
      </c>
      <c r="J139" s="153">
        <f>(G139*0)/(1+cDR)^'Markov Model_b (3)'!cycle</f>
        <v>0</v>
      </c>
      <c r="K139" s="178">
        <f t="shared" si="8"/>
        <v>34.450741564147279</v>
      </c>
      <c r="L139" s="202">
        <f>(G139*(uPostT))/(1+oDR)^'Markov Model_b (3)'!cycle</f>
        <v>18.97260566615973</v>
      </c>
      <c r="M139" s="80"/>
      <c r="N139" s="3"/>
      <c r="O139" s="80"/>
      <c r="P139" s="173">
        <v>129</v>
      </c>
      <c r="Q139" s="165"/>
      <c r="R139" s="174">
        <v>5.4393711790447193E-3</v>
      </c>
      <c r="S139" s="502"/>
      <c r="T139" s="219">
        <f t="shared" si="16"/>
        <v>32.455435898311706</v>
      </c>
      <c r="U139" s="249">
        <f t="shared" si="12"/>
        <v>67.544564101688294</v>
      </c>
      <c r="V139" s="516">
        <f t="shared" si="13"/>
        <v>100</v>
      </c>
      <c r="W139" s="153">
        <f>(T139*0)/(1+cDR)^'Markov Model_b (3)'!cycle2</f>
        <v>0</v>
      </c>
      <c r="X139" s="178">
        <f t="shared" si="14"/>
        <v>32.455435898311706</v>
      </c>
      <c r="Y139" s="202">
        <f>(T139*(uPostT))/(1+oDR)^'Markov Model_b (3)'!cycle</f>
        <v>17.873757111307448</v>
      </c>
      <c r="Z139" s="80"/>
      <c r="AA139" s="3"/>
      <c r="AB139" s="3"/>
      <c r="AC139" s="14">
        <v>127</v>
      </c>
      <c r="AD139" s="14"/>
      <c r="AE139" s="14"/>
      <c r="AF139" s="3"/>
      <c r="AG139" s="3"/>
      <c r="AH139" s="3"/>
      <c r="AI139" s="14"/>
      <c r="AJ139" s="14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</row>
    <row r="140" spans="1:60" ht="14.25" customHeight="1" x14ac:dyDescent="0.2">
      <c r="A140" s="637"/>
      <c r="B140" s="417"/>
      <c r="C140" s="173">
        <v>130</v>
      </c>
      <c r="D140" s="165"/>
      <c r="E140" s="174">
        <v>5.5248689635350855E-3</v>
      </c>
      <c r="F140" s="502"/>
      <c r="G140" s="219">
        <f t="shared" ref="G140:G203" si="17">$G$10-H140</f>
        <v>34.260405731308751</v>
      </c>
      <c r="H140" s="176">
        <f t="shared" ref="H140:H203" si="18">H139+(G139*E140)</f>
        <v>65.739594268691249</v>
      </c>
      <c r="I140" s="516">
        <f t="shared" si="15"/>
        <v>100</v>
      </c>
      <c r="J140" s="153">
        <f>(G140*0)/(1+cDR)^'Markov Model_b (3)'!cycle</f>
        <v>0</v>
      </c>
      <c r="K140" s="178">
        <f t="shared" si="8"/>
        <v>34.260405731308751</v>
      </c>
      <c r="L140" s="202">
        <f>(G140*(uPostT))/(1+oDR)^'Markov Model_b (3)'!cycle</f>
        <v>18.820732674271696</v>
      </c>
      <c r="M140" s="80"/>
      <c r="N140" s="3"/>
      <c r="O140" s="80"/>
      <c r="P140" s="173">
        <v>130</v>
      </c>
      <c r="Q140" s="165"/>
      <c r="R140" s="174">
        <v>5.5254553360637587E-3</v>
      </c>
      <c r="S140" s="502"/>
      <c r="T140" s="219">
        <f t="shared" si="16"/>
        <v>32.276104836843103</v>
      </c>
      <c r="U140" s="249">
        <f t="shared" si="12"/>
        <v>67.723895163156897</v>
      </c>
      <c r="V140" s="516">
        <f t="shared" si="13"/>
        <v>100</v>
      </c>
      <c r="W140" s="153">
        <f>(T140*0)/(1+cDR)^'Markov Model_b (3)'!cycle2</f>
        <v>0</v>
      </c>
      <c r="X140" s="178">
        <f t="shared" si="14"/>
        <v>32.276104836843103</v>
      </c>
      <c r="Y140" s="202">
        <f>(T140*(uPostT))/(1+oDR)^'Markov Model_b (3)'!cycle</f>
        <v>17.730669790225704</v>
      </c>
      <c r="Z140" s="80"/>
      <c r="AA140" s="3"/>
      <c r="AB140" s="3"/>
      <c r="AC140" s="14">
        <v>128</v>
      </c>
      <c r="AD140" s="14"/>
      <c r="AE140" s="14"/>
      <c r="AF140" s="3"/>
      <c r="AG140" s="3"/>
      <c r="AH140" s="3"/>
      <c r="AI140" s="14"/>
      <c r="AJ140" s="14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</row>
    <row r="141" spans="1:60" ht="14.25" customHeight="1" x14ac:dyDescent="0.2">
      <c r="A141" s="637"/>
      <c r="B141" s="417"/>
      <c r="C141" s="173">
        <v>131</v>
      </c>
      <c r="D141" s="165"/>
      <c r="E141" s="174">
        <v>5.6072616123090712E-3</v>
      </c>
      <c r="F141" s="502"/>
      <c r="G141" s="219">
        <f t="shared" si="17"/>
        <v>34.068298673429453</v>
      </c>
      <c r="H141" s="176">
        <f t="shared" si="18"/>
        <v>65.931701326570547</v>
      </c>
      <c r="I141" s="516">
        <f t="shared" si="15"/>
        <v>100</v>
      </c>
      <c r="J141" s="153">
        <f>(G141*0)/(1+cDR)^'Markov Model_b (3)'!cycle</f>
        <v>0</v>
      </c>
      <c r="K141" s="178">
        <f t="shared" si="8"/>
        <v>34.068298673429453</v>
      </c>
      <c r="L141" s="202">
        <f>(G141*(uPostT))/(1+oDR)^'Markov Model_b (3)'!cycle</f>
        <v>18.668528580979274</v>
      </c>
      <c r="M141" s="80"/>
      <c r="N141" s="3"/>
      <c r="O141" s="80"/>
      <c r="P141" s="173">
        <v>131</v>
      </c>
      <c r="Q141" s="165"/>
      <c r="R141" s="174">
        <v>5.6077703197317755E-3</v>
      </c>
      <c r="S141" s="502"/>
      <c r="T141" s="219">
        <f t="shared" si="16"/>
        <v>32.095107854102508</v>
      </c>
      <c r="U141" s="249">
        <f t="shared" si="12"/>
        <v>67.904892145897492</v>
      </c>
      <c r="V141" s="516">
        <f t="shared" si="13"/>
        <v>100</v>
      </c>
      <c r="W141" s="153">
        <f>(T141*0)/(1+cDR)^'Markov Model_b (3)'!cycle2</f>
        <v>0</v>
      </c>
      <c r="X141" s="178">
        <f t="shared" si="14"/>
        <v>32.095107854102508</v>
      </c>
      <c r="Y141" s="202">
        <f>(T141*(uPostT))/(1+oDR)^'Markov Model_b (3)'!cycle</f>
        <v>17.587272086211588</v>
      </c>
      <c r="Z141" s="80"/>
      <c r="AA141" s="3"/>
      <c r="AB141" s="3"/>
      <c r="AC141" s="14">
        <v>129</v>
      </c>
      <c r="AD141" s="14"/>
      <c r="AE141" s="14"/>
      <c r="AF141" s="3"/>
      <c r="AG141" s="3"/>
      <c r="AH141" s="3"/>
      <c r="AI141" s="14"/>
      <c r="AJ141" s="14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</row>
    <row r="142" spans="1:60" ht="14.25" customHeight="1" x14ac:dyDescent="0.2">
      <c r="A142" s="637"/>
      <c r="B142" s="417"/>
      <c r="C142" s="173">
        <v>132</v>
      </c>
      <c r="D142" s="165"/>
      <c r="E142" s="174">
        <v>5.6862856471797917E-3</v>
      </c>
      <c r="F142" s="502"/>
      <c r="G142" s="219">
        <f t="shared" si="17"/>
        <v>33.874576595658894</v>
      </c>
      <c r="H142" s="176">
        <f t="shared" si="18"/>
        <v>66.125423404341106</v>
      </c>
      <c r="I142" s="516">
        <f t="shared" si="15"/>
        <v>100</v>
      </c>
      <c r="J142" s="153">
        <f>(G142*0)/(1+cDR)^'Markov Model_b (3)'!cycle</f>
        <v>0</v>
      </c>
      <c r="K142" s="178">
        <f t="shared" si="8"/>
        <v>33.874576595658894</v>
      </c>
      <c r="L142" s="202">
        <f>(G142*(uPostT))/(1+oDR)^'Markov Model_b (3)'!cycle</f>
        <v>18.516083785391807</v>
      </c>
      <c r="M142" s="80"/>
      <c r="N142" s="3"/>
      <c r="O142" s="80"/>
      <c r="P142" s="173">
        <v>132</v>
      </c>
      <c r="Q142" s="165"/>
      <c r="R142" s="174">
        <v>5.6867215962406693E-3</v>
      </c>
      <c r="S142" s="502"/>
      <c r="T142" s="219">
        <f t="shared" si="16"/>
        <v>31.912591911134911</v>
      </c>
      <c r="U142" s="249">
        <f t="shared" si="12"/>
        <v>68.087408088865089</v>
      </c>
      <c r="V142" s="516">
        <f t="shared" si="13"/>
        <v>100</v>
      </c>
      <c r="W142" s="153">
        <f>(T142*0)/(1+cDR)^'Markov Model_b (3)'!cycle2</f>
        <v>0</v>
      </c>
      <c r="X142" s="178">
        <f t="shared" si="14"/>
        <v>31.912591911134911</v>
      </c>
      <c r="Y142" s="202">
        <f>(T142*(uPostT))/(1+oDR)^'Markov Model_b (3)'!cycle</f>
        <v>17.443649043610943</v>
      </c>
      <c r="Z142" s="80"/>
      <c r="AA142" s="3"/>
      <c r="AB142" s="3"/>
      <c r="AC142" s="14">
        <v>130</v>
      </c>
      <c r="AD142" s="14"/>
      <c r="AE142" s="14"/>
      <c r="AF142" s="3"/>
      <c r="AG142" s="3"/>
      <c r="AH142" s="3"/>
      <c r="AI142" s="14"/>
      <c r="AJ142" s="14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</row>
    <row r="143" spans="1:60" ht="14.25" customHeight="1" x14ac:dyDescent="0.2">
      <c r="A143" s="597"/>
      <c r="B143" s="417"/>
      <c r="C143" s="173">
        <v>133</v>
      </c>
      <c r="D143" s="504"/>
      <c r="E143" s="174">
        <v>5.7619911929309292E-3</v>
      </c>
      <c r="F143" s="505"/>
      <c r="G143" s="219">
        <f t="shared" si="17"/>
        <v>33.679391583650442</v>
      </c>
      <c r="H143" s="176">
        <f t="shared" si="18"/>
        <v>66.320608416349558</v>
      </c>
      <c r="I143" s="516">
        <f t="shared" si="15"/>
        <v>100</v>
      </c>
      <c r="J143" s="180">
        <f>(G143*0)/(1+cDR)^'Markov Model_b (3)'!cycle</f>
        <v>0</v>
      </c>
      <c r="K143" s="176">
        <f t="shared" si="8"/>
        <v>33.679391583650442</v>
      </c>
      <c r="L143" s="202">
        <f>(G143*(uPostT))/(1+oDR)^'Markov Model_b (3)'!cycle</f>
        <v>18.363485559793325</v>
      </c>
      <c r="M143" s="80"/>
      <c r="N143" s="3"/>
      <c r="O143" s="80"/>
      <c r="P143" s="173">
        <v>133</v>
      </c>
      <c r="Q143" s="504"/>
      <c r="R143" s="174">
        <v>5.7623592928952132E-3</v>
      </c>
      <c r="S143" s="505"/>
      <c r="T143" s="219">
        <f t="shared" si="16"/>
        <v>31.728700090575416</v>
      </c>
      <c r="U143" s="249">
        <f t="shared" si="12"/>
        <v>68.271299909424584</v>
      </c>
      <c r="V143" s="516">
        <f t="shared" si="13"/>
        <v>100</v>
      </c>
      <c r="W143" s="180">
        <f>(T143*0)/(1+cDR)^'Markov Model_b (3)'!cycle2</f>
        <v>0</v>
      </c>
      <c r="X143" s="176">
        <f t="shared" si="14"/>
        <v>31.728700090575416</v>
      </c>
      <c r="Y143" s="202">
        <f>(T143*(uPostT))/(1+oDR)^'Markov Model_b (3)'!cycle</f>
        <v>17.299882763533656</v>
      </c>
      <c r="Z143" s="80"/>
      <c r="AA143" s="3"/>
      <c r="AB143" s="3"/>
      <c r="AC143" s="14">
        <v>131</v>
      </c>
      <c r="AD143" s="14"/>
      <c r="AE143" s="14"/>
      <c r="AF143" s="3"/>
      <c r="AG143" s="3"/>
      <c r="AH143" s="3"/>
      <c r="AI143" s="14"/>
      <c r="AJ143" s="14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</row>
    <row r="144" spans="1:60" ht="14.25" customHeight="1" x14ac:dyDescent="0.25">
      <c r="A144" s="637" t="s">
        <v>553</v>
      </c>
      <c r="B144" s="417"/>
      <c r="C144" s="506">
        <v>134</v>
      </c>
      <c r="D144" s="506"/>
      <c r="E144" s="507">
        <v>5.8344212511793267E-3</v>
      </c>
      <c r="F144" s="508"/>
      <c r="G144" s="509">
        <f t="shared" si="17"/>
        <v>33.482891825668005</v>
      </c>
      <c r="H144" s="176">
        <f t="shared" si="18"/>
        <v>66.517108174331995</v>
      </c>
      <c r="I144" s="518">
        <f t="shared" si="15"/>
        <v>100</v>
      </c>
      <c r="J144" s="511">
        <f>(G144*0)/(1+cDR)^'Markov Model_b (3)'!cycle</f>
        <v>0</v>
      </c>
      <c r="K144" s="512">
        <f t="shared" si="8"/>
        <v>33.482891825668005</v>
      </c>
      <c r="L144" s="513">
        <f>(G144*(uPostT))/(1+oDR)^'Markov Model_b (3)'!cycle</f>
        <v>18.210818203887825</v>
      </c>
      <c r="M144" s="80"/>
      <c r="N144" s="3"/>
      <c r="O144" s="80"/>
      <c r="P144" s="506">
        <v>134</v>
      </c>
      <c r="Q144" s="506"/>
      <c r="R144" s="507">
        <v>5.8347263746456133E-3</v>
      </c>
      <c r="S144" s="508"/>
      <c r="T144" s="509">
        <f t="shared" si="16"/>
        <v>31.543571807323715</v>
      </c>
      <c r="U144" s="249">
        <f t="shared" si="12"/>
        <v>68.456428192676285</v>
      </c>
      <c r="V144" s="518">
        <f t="shared" si="13"/>
        <v>100</v>
      </c>
      <c r="W144" s="511">
        <f>(T144*0)/(1+cDR)^'Markov Model_b (3)'!cycle2</f>
        <v>0</v>
      </c>
      <c r="X144" s="512">
        <f t="shared" si="14"/>
        <v>31.543571807323715</v>
      </c>
      <c r="Y144" s="513">
        <f>(T144*(uPostT))/(1+oDR)^'Markov Model_b (3)'!cycle</f>
        <v>17.156052549920194</v>
      </c>
      <c r="Z144" s="80"/>
      <c r="AA144" s="3"/>
      <c r="AB144" s="3"/>
      <c r="AC144" s="14">
        <v>132</v>
      </c>
      <c r="AD144" s="14"/>
      <c r="AE144" s="14"/>
      <c r="AF144" s="3"/>
      <c r="AG144" s="3"/>
      <c r="AH144" s="3"/>
      <c r="AI144" s="14"/>
      <c r="AJ144" s="14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</row>
    <row r="145" spans="1:60" ht="14.25" customHeight="1" x14ac:dyDescent="0.2">
      <c r="A145" s="637"/>
      <c r="B145" s="417"/>
      <c r="C145" s="173">
        <v>135</v>
      </c>
      <c r="D145" s="165"/>
      <c r="E145" s="174">
        <v>5.9039675031909468E-3</v>
      </c>
      <c r="F145" s="502"/>
      <c r="G145" s="219">
        <f t="shared" si="17"/>
        <v>33.285209920416406</v>
      </c>
      <c r="H145" s="176">
        <f t="shared" si="18"/>
        <v>66.714790079583594</v>
      </c>
      <c r="I145" s="516">
        <f t="shared" si="15"/>
        <v>100</v>
      </c>
      <c r="J145" s="153">
        <f>(G145*0)/(1+cDR)^'Markov Model_b (3)'!cycle</f>
        <v>0</v>
      </c>
      <c r="K145" s="178">
        <f t="shared" si="8"/>
        <v>33.285209920416406</v>
      </c>
      <c r="L145" s="202">
        <f>(G145*(uPostT))/(1+oDR)^'Markov Model_b (3)'!cycle</f>
        <v>18.058156733172623</v>
      </c>
      <c r="M145" s="80"/>
      <c r="N145" s="3"/>
      <c r="O145" s="80"/>
      <c r="P145" s="173">
        <v>135</v>
      </c>
      <c r="Q145" s="165"/>
      <c r="R145" s="174">
        <v>5.9042141176780744E-3</v>
      </c>
      <c r="S145" s="502"/>
      <c r="T145" s="219">
        <f t="shared" si="16"/>
        <v>31.357331805336926</v>
      </c>
      <c r="U145" s="249">
        <f t="shared" si="12"/>
        <v>68.642668194663074</v>
      </c>
      <c r="V145" s="516">
        <f t="shared" si="13"/>
        <v>100</v>
      </c>
      <c r="W145" s="153">
        <f>(T145*0)/(1+cDR)^'Markov Model_b (3)'!cycle2</f>
        <v>0</v>
      </c>
      <c r="X145" s="178">
        <f t="shared" si="14"/>
        <v>31.357331805336926</v>
      </c>
      <c r="Y145" s="202">
        <f>(T145*(uPostT))/(1+oDR)^'Markov Model_b (3)'!cycle</f>
        <v>17.012228969826761</v>
      </c>
      <c r="Z145" s="80"/>
      <c r="AA145" s="3"/>
      <c r="AB145" s="3"/>
      <c r="AC145" s="14">
        <v>133</v>
      </c>
      <c r="AD145" s="14"/>
      <c r="AE145" s="14"/>
      <c r="AF145" s="3"/>
      <c r="AG145" s="3"/>
      <c r="AH145" s="3"/>
      <c r="AI145" s="14"/>
      <c r="AJ145" s="14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</row>
    <row r="146" spans="1:60" ht="14.25" customHeight="1" x14ac:dyDescent="0.2">
      <c r="A146" s="637"/>
      <c r="B146" s="417"/>
      <c r="C146" s="173">
        <v>136</v>
      </c>
      <c r="D146" s="165"/>
      <c r="E146" s="174">
        <v>5.9706804217452957E-3</v>
      </c>
      <c r="F146" s="502"/>
      <c r="G146" s="219">
        <f t="shared" si="17"/>
        <v>33.086474569210893</v>
      </c>
      <c r="H146" s="176">
        <f t="shared" si="18"/>
        <v>66.913525430789107</v>
      </c>
      <c r="I146" s="516">
        <f t="shared" si="15"/>
        <v>100</v>
      </c>
      <c r="J146" s="153">
        <f>(G146*0)/(1+cDR)^'Markov Model_b (3)'!cycle</f>
        <v>0</v>
      </c>
      <c r="K146" s="178">
        <f t="shared" si="8"/>
        <v>33.086474569210893</v>
      </c>
      <c r="L146" s="202">
        <f>(G146*(uPostT))/(1+oDR)^'Markov Model_b (3)'!cycle</f>
        <v>17.905573317020508</v>
      </c>
      <c r="M146" s="80"/>
      <c r="N146" s="3"/>
      <c r="O146" s="80"/>
      <c r="P146" s="173">
        <v>136</v>
      </c>
      <c r="Q146" s="165"/>
      <c r="R146" s="174">
        <v>5.9708729576327261E-3</v>
      </c>
      <c r="S146" s="502"/>
      <c r="T146" s="219">
        <f t="shared" si="16"/>
        <v>31.170101160836921</v>
      </c>
      <c r="U146" s="249">
        <f t="shared" si="12"/>
        <v>68.829898839163079</v>
      </c>
      <c r="V146" s="516">
        <f t="shared" si="13"/>
        <v>100</v>
      </c>
      <c r="W146" s="153">
        <f>(T146*0)/(1+cDR)^'Markov Model_b (3)'!cycle2</f>
        <v>0</v>
      </c>
      <c r="X146" s="178">
        <f t="shared" si="14"/>
        <v>31.170101160836921</v>
      </c>
      <c r="Y146" s="202">
        <f>(T146*(uPostT))/(1+oDR)^'Markov Model_b (3)'!cycle</f>
        <v>16.86847991214141</v>
      </c>
      <c r="Z146" s="80"/>
      <c r="AA146" s="3"/>
      <c r="AB146" s="3"/>
      <c r="AC146" s="14">
        <v>134</v>
      </c>
      <c r="AD146" s="14"/>
      <c r="AE146" s="14"/>
      <c r="AF146" s="3"/>
      <c r="AG146" s="3"/>
      <c r="AH146" s="3"/>
      <c r="AI146" s="14"/>
      <c r="AJ146" s="14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</row>
    <row r="147" spans="1:60" ht="14.25" customHeight="1" x14ac:dyDescent="0.2">
      <c r="A147" s="637"/>
      <c r="B147" s="417"/>
      <c r="C147" s="173">
        <v>137</v>
      </c>
      <c r="D147" s="165"/>
      <c r="E147" s="174">
        <v>6.034492899106886E-3</v>
      </c>
      <c r="F147" s="502"/>
      <c r="G147" s="219">
        <f t="shared" si="17"/>
        <v>32.886814473366513</v>
      </c>
      <c r="H147" s="176">
        <f t="shared" si="18"/>
        <v>67.113185526633487</v>
      </c>
      <c r="I147" s="516">
        <f t="shared" si="15"/>
        <v>100</v>
      </c>
      <c r="J147" s="153">
        <f>(G147*0)/(1+cDR)^'Markov Model_b (3)'!cycle</f>
        <v>0</v>
      </c>
      <c r="K147" s="178">
        <f t="shared" si="8"/>
        <v>32.886814473366513</v>
      </c>
      <c r="L147" s="202">
        <f>(G147*(uPostT))/(1+oDR)^'Markov Model_b (3)'!cycle</f>
        <v>17.753139413450885</v>
      </c>
      <c r="M147" s="80"/>
      <c r="N147" s="3"/>
      <c r="O147" s="80"/>
      <c r="P147" s="173">
        <v>137</v>
      </c>
      <c r="Q147" s="165"/>
      <c r="R147" s="174">
        <v>6.0346358781771456E-3</v>
      </c>
      <c r="S147" s="502"/>
      <c r="T147" s="219">
        <f t="shared" si="16"/>
        <v>30.982000950045318</v>
      </c>
      <c r="U147" s="249">
        <f t="shared" si="12"/>
        <v>69.017999049954682</v>
      </c>
      <c r="V147" s="516">
        <f t="shared" si="13"/>
        <v>100</v>
      </c>
      <c r="W147" s="153">
        <f>(T147*0)/(1+cDR)^'Markov Model_b (3)'!cycle2</f>
        <v>0</v>
      </c>
      <c r="X147" s="178">
        <f t="shared" si="14"/>
        <v>30.982000950045318</v>
      </c>
      <c r="Y147" s="202">
        <f>(T147*(uPostT))/(1+oDR)^'Markov Model_b (3)'!cycle</f>
        <v>16.724872596561884</v>
      </c>
      <c r="Z147" s="80"/>
      <c r="AA147" s="3"/>
      <c r="AB147" s="3"/>
      <c r="AC147" s="14">
        <v>135</v>
      </c>
      <c r="AD147" s="14"/>
      <c r="AE147" s="14"/>
      <c r="AF147" s="3"/>
      <c r="AG147" s="3"/>
      <c r="AH147" s="3"/>
      <c r="AI147" s="14"/>
      <c r="AJ147" s="14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</row>
    <row r="148" spans="1:60" ht="14.25" customHeight="1" x14ac:dyDescent="0.2">
      <c r="A148" s="637"/>
      <c r="B148" s="417"/>
      <c r="C148" s="173">
        <v>138</v>
      </c>
      <c r="D148" s="165"/>
      <c r="E148" s="174">
        <v>6.0954951345153375E-3</v>
      </c>
      <c r="F148" s="502"/>
      <c r="G148" s="219">
        <f t="shared" si="17"/>
        <v>32.686353055754395</v>
      </c>
      <c r="H148" s="176">
        <f t="shared" si="18"/>
        <v>67.313646944245605</v>
      </c>
      <c r="I148" s="516">
        <f t="shared" si="15"/>
        <v>100</v>
      </c>
      <c r="J148" s="153">
        <f>(G148*0)/(1+cDR)^'Markov Model_b (3)'!cycle</f>
        <v>0</v>
      </c>
      <c r="K148" s="178">
        <f t="shared" si="8"/>
        <v>32.686353055754395</v>
      </c>
      <c r="L148" s="202">
        <f>(G148*(uPostT))/(1+oDR)^'Markov Model_b (3)'!cycle</f>
        <v>17.600922931205812</v>
      </c>
      <c r="M148" s="80"/>
      <c r="N148" s="3"/>
      <c r="O148" s="80"/>
      <c r="P148" s="173">
        <v>138</v>
      </c>
      <c r="Q148" s="165"/>
      <c r="R148" s="174">
        <v>6.0955929941742103E-3</v>
      </c>
      <c r="S148" s="502"/>
      <c r="T148" s="219">
        <f t="shared" si="16"/>
        <v>30.79314728210872</v>
      </c>
      <c r="U148" s="249">
        <f t="shared" si="12"/>
        <v>69.20685271789128</v>
      </c>
      <c r="V148" s="516">
        <f t="shared" si="13"/>
        <v>100</v>
      </c>
      <c r="W148" s="153">
        <f>(T148*0)/(1+cDR)^'Markov Model_b (3)'!cycle2</f>
        <v>0</v>
      </c>
      <c r="X148" s="178">
        <f t="shared" si="14"/>
        <v>30.79314728210872</v>
      </c>
      <c r="Y148" s="202">
        <f>(T148*(uPostT))/(1+oDR)^'Markov Model_b (3)'!cycle</f>
        <v>16.581470903076134</v>
      </c>
      <c r="Z148" s="80"/>
      <c r="AA148" s="3"/>
      <c r="AB148" s="3"/>
      <c r="AC148" s="14">
        <v>136</v>
      </c>
      <c r="AD148" s="14"/>
      <c r="AE148" s="14"/>
      <c r="AF148" s="3"/>
      <c r="AG148" s="3"/>
      <c r="AH148" s="3"/>
      <c r="AI148" s="14"/>
      <c r="AJ148" s="14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</row>
    <row r="149" spans="1:60" ht="14.25" customHeight="1" x14ac:dyDescent="0.2">
      <c r="A149" s="637"/>
      <c r="B149" s="417"/>
      <c r="C149" s="173">
        <v>139</v>
      </c>
      <c r="D149" s="165"/>
      <c r="E149" s="174">
        <v>6.1542635222294594E-3</v>
      </c>
      <c r="F149" s="502"/>
      <c r="G149" s="219">
        <f t="shared" si="17"/>
        <v>32.485192625468656</v>
      </c>
      <c r="H149" s="176">
        <f t="shared" si="18"/>
        <v>67.514807374531344</v>
      </c>
      <c r="I149" s="516">
        <f t="shared" si="15"/>
        <v>100</v>
      </c>
      <c r="J149" s="153">
        <f>(G149*0)/(1+cDR)^'Markov Model_b (3)'!cycle</f>
        <v>0</v>
      </c>
      <c r="K149" s="178">
        <f t="shared" si="8"/>
        <v>32.485192625468656</v>
      </c>
      <c r="L149" s="202">
        <f>(G149*(uPostT))/(1+oDR)^'Markov Model_b (3)'!cycle</f>
        <v>17.448979763843116</v>
      </c>
      <c r="M149" s="80"/>
      <c r="N149" s="3"/>
      <c r="O149" s="80"/>
      <c r="P149" s="173">
        <v>139</v>
      </c>
      <c r="Q149" s="165"/>
      <c r="R149" s="174">
        <v>6.1543200667379628E-3</v>
      </c>
      <c r="S149" s="502"/>
      <c r="T149" s="219">
        <f t="shared" si="16"/>
        <v>30.603636397872421</v>
      </c>
      <c r="U149" s="249">
        <f t="shared" si="12"/>
        <v>69.396363602127579</v>
      </c>
      <c r="V149" s="516">
        <f t="shared" si="13"/>
        <v>100</v>
      </c>
      <c r="W149" s="153">
        <f>(T149*0)/(1+cDR)^'Markov Model_b (3)'!cycle2</f>
        <v>0</v>
      </c>
      <c r="X149" s="178">
        <f t="shared" si="14"/>
        <v>30.603636397872421</v>
      </c>
      <c r="Y149" s="202">
        <f>(T149*(uPostT))/(1+oDR)^'Markov Model_b (3)'!cycle</f>
        <v>16.438327405447687</v>
      </c>
      <c r="Z149" s="80"/>
      <c r="AA149" s="3"/>
      <c r="AB149" s="3"/>
      <c r="AC149" s="14">
        <v>137</v>
      </c>
      <c r="AD149" s="14"/>
      <c r="AE149" s="14"/>
      <c r="AF149" s="3"/>
      <c r="AG149" s="3"/>
      <c r="AH149" s="3"/>
      <c r="AI149" s="14"/>
      <c r="AJ149" s="14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</row>
    <row r="150" spans="1:60" ht="14.25" customHeight="1" x14ac:dyDescent="0.2">
      <c r="A150" s="637"/>
      <c r="B150" s="417"/>
      <c r="C150" s="173">
        <v>140</v>
      </c>
      <c r="D150" s="165"/>
      <c r="E150" s="174">
        <v>6.210903984344208E-3</v>
      </c>
      <c r="F150" s="502"/>
      <c r="G150" s="219">
        <f t="shared" si="17"/>
        <v>32.283430213158937</v>
      </c>
      <c r="H150" s="176">
        <f t="shared" si="18"/>
        <v>67.716569786841063</v>
      </c>
      <c r="I150" s="516">
        <f t="shared" si="15"/>
        <v>100</v>
      </c>
      <c r="J150" s="153">
        <f>(G150*0)/(1+cDR)^'Markov Model_b (3)'!cycle</f>
        <v>0</v>
      </c>
      <c r="K150" s="178">
        <f t="shared" si="8"/>
        <v>32.283430213158937</v>
      </c>
      <c r="L150" s="202">
        <f>(G150*(uPostT))/(1+oDR)^'Markov Model_b (3)'!cycle</f>
        <v>17.297362419855475</v>
      </c>
      <c r="M150" s="80"/>
      <c r="N150" s="3"/>
      <c r="O150" s="80"/>
      <c r="P150" s="173">
        <v>140</v>
      </c>
      <c r="Q150" s="165"/>
      <c r="R150" s="174">
        <v>6.2109229208729081E-3</v>
      </c>
      <c r="S150" s="502"/>
      <c r="T150" s="219">
        <f t="shared" si="16"/>
        <v>30.413559571106816</v>
      </c>
      <c r="U150" s="249">
        <f t="shared" si="12"/>
        <v>69.586440428893184</v>
      </c>
      <c r="V150" s="516">
        <f t="shared" si="13"/>
        <v>100</v>
      </c>
      <c r="W150" s="153">
        <f>(T150*0)/(1+cDR)^'Markov Model_b (3)'!cycle2</f>
        <v>0</v>
      </c>
      <c r="X150" s="178">
        <f t="shared" si="14"/>
        <v>30.413559571106816</v>
      </c>
      <c r="Y150" s="202">
        <f>(T150*(uPostT))/(1+oDR)^'Markov Model_b (3)'!cycle</f>
        <v>16.295491492253742</v>
      </c>
      <c r="Z150" s="80"/>
      <c r="AA150" s="3"/>
      <c r="AB150" s="3"/>
      <c r="AC150" s="14">
        <v>138</v>
      </c>
      <c r="AD150" s="14"/>
      <c r="AE150" s="14"/>
      <c r="AF150" s="3"/>
      <c r="AG150" s="3"/>
      <c r="AH150" s="3"/>
      <c r="AI150" s="14"/>
      <c r="AJ150" s="14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</row>
    <row r="151" spans="1:60" ht="14.25" customHeight="1" x14ac:dyDescent="0.2">
      <c r="A151" s="637"/>
      <c r="B151" s="417"/>
      <c r="C151" s="173">
        <v>141</v>
      </c>
      <c r="D151" s="165"/>
      <c r="E151" s="174">
        <v>6.2653615910096888E-3</v>
      </c>
      <c r="F151" s="502"/>
      <c r="G151" s="219">
        <f t="shared" si="17"/>
        <v>32.081162849475362</v>
      </c>
      <c r="H151" s="176">
        <f t="shared" si="18"/>
        <v>67.918837150524638</v>
      </c>
      <c r="I151" s="516">
        <f t="shared" si="15"/>
        <v>100</v>
      </c>
      <c r="J151" s="153">
        <f>(G151*0)/(1+cDR)^'Markov Model_b (3)'!cycle</f>
        <v>0</v>
      </c>
      <c r="K151" s="178">
        <f t="shared" si="8"/>
        <v>32.081162849475362</v>
      </c>
      <c r="L151" s="202">
        <f>(G151*(uPostT))/(1+oDR)^'Markov Model_b (3)'!cycle</f>
        <v>17.146122882518039</v>
      </c>
      <c r="M151" s="80"/>
      <c r="N151" s="3"/>
      <c r="O151" s="80"/>
      <c r="P151" s="173">
        <v>141</v>
      </c>
      <c r="Q151" s="165"/>
      <c r="R151" s="174">
        <v>6.2653467141587206E-3</v>
      </c>
      <c r="S151" s="502"/>
      <c r="T151" s="219">
        <f t="shared" si="16"/>
        <v>30.223008075582115</v>
      </c>
      <c r="U151" s="249">
        <f t="shared" si="12"/>
        <v>69.776991924417885</v>
      </c>
      <c r="V151" s="516">
        <f t="shared" si="13"/>
        <v>100</v>
      </c>
      <c r="W151" s="153">
        <f>(T151*0)/(1+cDR)^'Markov Model_b (3)'!cycle2</f>
        <v>0</v>
      </c>
      <c r="X151" s="178">
        <f t="shared" si="14"/>
        <v>30.223008075582115</v>
      </c>
      <c r="Y151" s="202">
        <f>(T151*(uPostT))/(1+oDR)^'Markov Model_b (3)'!cycle</f>
        <v>16.153012058032072</v>
      </c>
      <c r="Z151" s="80"/>
      <c r="AA151" s="3"/>
      <c r="AB151" s="3"/>
      <c r="AC151" s="14">
        <v>139</v>
      </c>
      <c r="AD151" s="14"/>
      <c r="AE151" s="14"/>
      <c r="AF151" s="3"/>
      <c r="AG151" s="3"/>
      <c r="AH151" s="3"/>
      <c r="AI151" s="14"/>
      <c r="AJ151" s="14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</row>
    <row r="152" spans="1:60" ht="14.25" customHeight="1" x14ac:dyDescent="0.2">
      <c r="A152" s="637"/>
      <c r="B152" s="417"/>
      <c r="C152" s="173">
        <v>142</v>
      </c>
      <c r="D152" s="165"/>
      <c r="E152" s="174">
        <v>6.3177052356282884E-3</v>
      </c>
      <c r="F152" s="502"/>
      <c r="G152" s="219">
        <f t="shared" si="17"/>
        <v>31.878483518976182</v>
      </c>
      <c r="H152" s="176">
        <f t="shared" si="18"/>
        <v>68.121516481023818</v>
      </c>
      <c r="I152" s="516">
        <f t="shared" si="15"/>
        <v>100</v>
      </c>
      <c r="J152" s="153">
        <f>(G152*0)/(1+cDR)^'Markov Model_b (3)'!cycle</f>
        <v>0</v>
      </c>
      <c r="K152" s="178">
        <f t="shared" si="8"/>
        <v>31.878483518976182</v>
      </c>
      <c r="L152" s="202">
        <f>(G152*(uPostT))/(1+oDR)^'Markov Model_b (3)'!cycle</f>
        <v>16.99531045607225</v>
      </c>
      <c r="M152" s="80"/>
      <c r="N152" s="3"/>
      <c r="O152" s="80"/>
      <c r="P152" s="173">
        <v>142</v>
      </c>
      <c r="Q152" s="165"/>
      <c r="R152" s="174">
        <v>6.317660281977798E-3</v>
      </c>
      <c r="S152" s="502"/>
      <c r="T152" s="219">
        <f t="shared" si="16"/>
        <v>30.03206937786112</v>
      </c>
      <c r="U152" s="249">
        <f t="shared" si="12"/>
        <v>69.96793062213888</v>
      </c>
      <c r="V152" s="516">
        <f t="shared" si="13"/>
        <v>100</v>
      </c>
      <c r="W152" s="153">
        <f>(T152*0)/(1+cDR)^'Markov Model_b (3)'!cycle2</f>
        <v>0</v>
      </c>
      <c r="X152" s="178">
        <f t="shared" si="14"/>
        <v>30.03206937786112</v>
      </c>
      <c r="Y152" s="202">
        <f>(T152*(uPostT))/(1+oDR)^'Markov Model_b (3)'!cycle</f>
        <v>16.010935476627171</v>
      </c>
      <c r="Z152" s="80"/>
      <c r="AA152" s="3"/>
      <c r="AB152" s="3"/>
      <c r="AC152" s="14">
        <v>140</v>
      </c>
      <c r="AD152" s="14"/>
      <c r="AE152" s="14"/>
      <c r="AF152" s="3"/>
      <c r="AG152" s="3"/>
      <c r="AH152" s="3"/>
      <c r="AI152" s="14"/>
      <c r="AJ152" s="14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</row>
    <row r="153" spans="1:60" ht="14.25" customHeight="1" x14ac:dyDescent="0.2">
      <c r="A153" s="637"/>
      <c r="B153" s="417"/>
      <c r="C153" s="173">
        <v>143</v>
      </c>
      <c r="D153" s="165"/>
      <c r="E153" s="174">
        <v>6.3683862816565004E-3</v>
      </c>
      <c r="F153" s="502"/>
      <c r="G153" s="219">
        <f t="shared" si="17"/>
        <v>31.675469021853928</v>
      </c>
      <c r="H153" s="176">
        <f t="shared" si="18"/>
        <v>68.324530978146072</v>
      </c>
      <c r="I153" s="516">
        <f t="shared" si="15"/>
        <v>100</v>
      </c>
      <c r="J153" s="153">
        <f>(G153*0)/(1+cDR)^'Markov Model_b (3)'!cycle</f>
        <v>0</v>
      </c>
      <c r="K153" s="178">
        <f t="shared" si="8"/>
        <v>31.675469021853928</v>
      </c>
      <c r="L153" s="202">
        <f>(G153*(uPostT))/(1+oDR)^'Markov Model_b (3)'!cycle</f>
        <v>16.844965340759412</v>
      </c>
      <c r="M153" s="80"/>
      <c r="N153" s="3"/>
      <c r="O153" s="80"/>
      <c r="P153" s="173">
        <v>143</v>
      </c>
      <c r="Q153" s="165"/>
      <c r="R153" s="174">
        <v>6.3683144767068883E-3</v>
      </c>
      <c r="S153" s="502"/>
      <c r="T153" s="219">
        <f t="shared" si="16"/>
        <v>29.840815715676626</v>
      </c>
      <c r="U153" s="249">
        <f t="shared" si="12"/>
        <v>70.159184284323374</v>
      </c>
      <c r="V153" s="516">
        <f t="shared" si="13"/>
        <v>100</v>
      </c>
      <c r="W153" s="153">
        <f>(T153*0)/(1+cDR)^'Markov Model_b (3)'!cycle2</f>
        <v>0</v>
      </c>
      <c r="X153" s="178">
        <f t="shared" si="14"/>
        <v>29.840815715676626</v>
      </c>
      <c r="Y153" s="202">
        <f>(T153*(uPostT))/(1+oDR)^'Markov Model_b (3)'!cycle</f>
        <v>15.869299555556859</v>
      </c>
      <c r="Z153" s="80"/>
      <c r="AA153" s="3"/>
      <c r="AB153" s="3"/>
      <c r="AC153" s="14">
        <v>141</v>
      </c>
      <c r="AD153" s="14"/>
      <c r="AE153" s="14"/>
      <c r="AF153" s="3"/>
      <c r="AG153" s="3"/>
      <c r="AH153" s="3"/>
      <c r="AI153" s="14"/>
      <c r="AJ153" s="14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</row>
    <row r="154" spans="1:60" ht="14.25" customHeight="1" x14ac:dyDescent="0.2">
      <c r="A154" s="637"/>
      <c r="B154" s="417"/>
      <c r="C154" s="173">
        <v>144</v>
      </c>
      <c r="D154" s="165"/>
      <c r="E154" s="174">
        <v>6.4174869677331185E-3</v>
      </c>
      <c r="F154" s="502"/>
      <c r="G154" s="219">
        <f t="shared" si="17"/>
        <v>31.472192112209342</v>
      </c>
      <c r="H154" s="176">
        <f t="shared" si="18"/>
        <v>68.527807887790658</v>
      </c>
      <c r="I154" s="516">
        <f t="shared" si="15"/>
        <v>100</v>
      </c>
      <c r="J154" s="153">
        <f>(G154*0)/(1+cDR)^'Markov Model_b (3)'!cycle</f>
        <v>0</v>
      </c>
      <c r="K154" s="178">
        <f t="shared" si="8"/>
        <v>31.472192112209342</v>
      </c>
      <c r="L154" s="202">
        <f>(G154*(uPostT))/(1+oDR)^'Markov Model_b (3)'!cycle</f>
        <v>16.695125182257524</v>
      </c>
      <c r="M154" s="80"/>
      <c r="N154" s="3"/>
      <c r="O154" s="80"/>
      <c r="P154" s="173">
        <v>144</v>
      </c>
      <c r="Q154" s="165"/>
      <c r="R154" s="174">
        <v>6.4173914663463128E-3</v>
      </c>
      <c r="S154" s="502"/>
      <c r="T154" s="219">
        <f t="shared" si="16"/>
        <v>29.649315519554037</v>
      </c>
      <c r="U154" s="249">
        <f t="shared" si="12"/>
        <v>70.350684480445963</v>
      </c>
      <c r="V154" s="516">
        <f t="shared" si="13"/>
        <v>100</v>
      </c>
      <c r="W154" s="153">
        <f>(T154*0)/(1+cDR)^'Markov Model_b (3)'!cycle2</f>
        <v>0</v>
      </c>
      <c r="X154" s="178">
        <f t="shared" si="14"/>
        <v>29.649315519554037</v>
      </c>
      <c r="Y154" s="202">
        <f>(T154*(uPostT))/(1+oDR)^'Markov Model_b (3)'!cycle</f>
        <v>15.728139698765224</v>
      </c>
      <c r="Z154" s="80"/>
      <c r="AA154" s="3"/>
      <c r="AB154" s="3"/>
      <c r="AC154" s="14">
        <v>142</v>
      </c>
      <c r="AD154" s="14"/>
      <c r="AE154" s="14"/>
      <c r="AF154" s="3"/>
      <c r="AG154" s="3"/>
      <c r="AH154" s="3"/>
      <c r="AI154" s="14"/>
      <c r="AJ154" s="14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</row>
    <row r="155" spans="1:60" ht="14.25" customHeight="1" x14ac:dyDescent="0.2">
      <c r="A155" s="597"/>
      <c r="B155" s="417"/>
      <c r="C155" s="173">
        <v>145</v>
      </c>
      <c r="D155" s="504"/>
      <c r="E155" s="174">
        <v>6.4650641354807459E-3</v>
      </c>
      <c r="F155" s="505"/>
      <c r="G155" s="219">
        <f t="shared" si="17"/>
        <v>31.268722371719733</v>
      </c>
      <c r="H155" s="176">
        <f t="shared" si="18"/>
        <v>68.731277628280267</v>
      </c>
      <c r="I155" s="516">
        <f t="shared" si="15"/>
        <v>100</v>
      </c>
      <c r="J155" s="180">
        <f>(G155*0)/(1+cDR)^'Markov Model_b (3)'!cycle</f>
        <v>0</v>
      </c>
      <c r="K155" s="176">
        <f t="shared" si="8"/>
        <v>31.268722371719733</v>
      </c>
      <c r="L155" s="202">
        <f>(G155*(uPostT))/(1+oDR)^'Markov Model_b (3)'!cycle</f>
        <v>16.545825563296109</v>
      </c>
      <c r="M155" s="80"/>
      <c r="N155" s="3"/>
      <c r="O155" s="80"/>
      <c r="P155" s="173">
        <v>145</v>
      </c>
      <c r="Q155" s="504"/>
      <c r="R155" s="174">
        <v>6.4649480263880314E-3</v>
      </c>
      <c r="S155" s="505"/>
      <c r="T155" s="219">
        <f t="shared" si="16"/>
        <v>29.457634235702145</v>
      </c>
      <c r="U155" s="249">
        <f t="shared" si="12"/>
        <v>70.542365764297855</v>
      </c>
      <c r="V155" s="516">
        <f t="shared" si="13"/>
        <v>100</v>
      </c>
      <c r="W155" s="180">
        <f>(T155*0)/(1+cDR)^'Markov Model_b (3)'!cycle2</f>
        <v>0</v>
      </c>
      <c r="X155" s="176">
        <f t="shared" si="14"/>
        <v>29.457634235702145</v>
      </c>
      <c r="Y155" s="202">
        <f>(T155*(uPostT))/(1+oDR)^'Markov Model_b (3)'!cycle</f>
        <v>15.587489369636847</v>
      </c>
      <c r="Z155" s="80"/>
      <c r="AA155" s="3"/>
      <c r="AB155" s="3"/>
      <c r="AC155" s="14">
        <v>143</v>
      </c>
      <c r="AD155" s="14"/>
      <c r="AE155" s="14"/>
      <c r="AF155" s="3"/>
      <c r="AG155" s="3"/>
      <c r="AH155" s="3"/>
      <c r="AI155" s="14"/>
      <c r="AJ155" s="14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</row>
    <row r="156" spans="1:60" ht="14.25" customHeight="1" x14ac:dyDescent="0.25">
      <c r="A156" s="637" t="s">
        <v>554</v>
      </c>
      <c r="B156" s="417"/>
      <c r="C156" s="506">
        <v>146</v>
      </c>
      <c r="D156" s="506"/>
      <c r="E156" s="507">
        <v>6.5114806077420191E-3</v>
      </c>
      <c r="F156" s="508"/>
      <c r="G156" s="509">
        <f t="shared" si="17"/>
        <v>31.065116692367411</v>
      </c>
      <c r="H156" s="176">
        <f t="shared" si="18"/>
        <v>68.934883307632589</v>
      </c>
      <c r="I156" s="518">
        <f t="shared" si="15"/>
        <v>100</v>
      </c>
      <c r="J156" s="511">
        <f>(G156*0)/(1+cDR)^'Markov Model_b (3)'!cycle</f>
        <v>0</v>
      </c>
      <c r="K156" s="512">
        <f t="shared" si="8"/>
        <v>31.065116692367411</v>
      </c>
      <c r="L156" s="513">
        <f>(G156*(uPostT))/(1+oDR)^'Markov Model_b (3)'!cycle</f>
        <v>16.39709500349289</v>
      </c>
      <c r="M156" s="80"/>
      <c r="N156" s="3"/>
      <c r="O156" s="80"/>
      <c r="P156" s="506">
        <v>146</v>
      </c>
      <c r="Q156" s="506"/>
      <c r="R156" s="507">
        <v>6.5113464681094057E-3</v>
      </c>
      <c r="S156" s="508"/>
      <c r="T156" s="509">
        <f t="shared" si="16"/>
        <v>29.26582537306264</v>
      </c>
      <c r="U156" s="249">
        <f t="shared" si="12"/>
        <v>70.73417462693736</v>
      </c>
      <c r="V156" s="518">
        <f t="shared" si="13"/>
        <v>100</v>
      </c>
      <c r="W156" s="511">
        <f>(T156*0)/(1+cDR)^'Markov Model_b (3)'!cycle2</f>
        <v>0</v>
      </c>
      <c r="X156" s="512">
        <f t="shared" si="14"/>
        <v>29.26582537306264</v>
      </c>
      <c r="Y156" s="513">
        <f>(T156*(uPostT))/(1+oDR)^'Markov Model_b (3)'!cycle</f>
        <v>15.447375387314876</v>
      </c>
      <c r="Z156" s="80"/>
      <c r="AA156" s="3"/>
      <c r="AB156" s="3"/>
      <c r="AC156" s="14">
        <v>144</v>
      </c>
      <c r="AD156" s="14"/>
      <c r="AE156" s="14"/>
      <c r="AF156" s="3"/>
      <c r="AG156" s="3"/>
      <c r="AH156" s="3"/>
      <c r="AI156" s="14"/>
      <c r="AJ156" s="14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</row>
    <row r="157" spans="1:60" ht="14.25" customHeight="1" x14ac:dyDescent="0.2">
      <c r="A157" s="637"/>
      <c r="B157" s="417"/>
      <c r="C157" s="173">
        <v>147</v>
      </c>
      <c r="D157" s="165"/>
      <c r="E157" s="174">
        <v>6.5568045558506271E-3</v>
      </c>
      <c r="F157" s="502"/>
      <c r="G157" s="219">
        <f t="shared" si="17"/>
        <v>30.861428793710871</v>
      </c>
      <c r="H157" s="176">
        <f t="shared" si="18"/>
        <v>69.138571206289129</v>
      </c>
      <c r="I157" s="516">
        <f t="shared" si="15"/>
        <v>100</v>
      </c>
      <c r="J157" s="153">
        <f>(G157*0)/(1+cDR)^'Markov Model_b (3)'!cycle</f>
        <v>0</v>
      </c>
      <c r="K157" s="178">
        <f t="shared" si="8"/>
        <v>30.861428793710871</v>
      </c>
      <c r="L157" s="202">
        <f>(G157*(uPostT))/(1+oDR)^'Markov Model_b (3)'!cycle</f>
        <v>16.248960056130951</v>
      </c>
      <c r="M157" s="80"/>
      <c r="N157" s="3"/>
      <c r="O157" s="80"/>
      <c r="P157" s="173">
        <v>147</v>
      </c>
      <c r="Q157" s="165"/>
      <c r="R157" s="174">
        <v>6.5566548817968034E-3</v>
      </c>
      <c r="S157" s="502"/>
      <c r="T157" s="219">
        <f t="shared" si="16"/>
        <v>29.073939456260533</v>
      </c>
      <c r="U157" s="249">
        <f t="shared" si="12"/>
        <v>70.926060543739467</v>
      </c>
      <c r="V157" s="516">
        <f t="shared" si="13"/>
        <v>100</v>
      </c>
      <c r="W157" s="153">
        <f>(T157*0)/(1+cDR)^'Markov Model_b (3)'!cycle2</f>
        <v>0</v>
      </c>
      <c r="X157" s="178">
        <f t="shared" si="14"/>
        <v>29.073939456260533</v>
      </c>
      <c r="Y157" s="202">
        <f>(T157*(uPostT))/(1+oDR)^'Markov Model_b (3)'!cycle</f>
        <v>15.307822721267524</v>
      </c>
      <c r="Z157" s="80"/>
      <c r="AA157" s="3"/>
      <c r="AB157" s="3"/>
      <c r="AC157" s="14">
        <v>145</v>
      </c>
      <c r="AD157" s="14"/>
      <c r="AE157" s="14"/>
      <c r="AF157" s="3"/>
      <c r="AG157" s="3"/>
      <c r="AH157" s="3"/>
      <c r="AI157" s="14"/>
      <c r="AJ157" s="14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</row>
    <row r="158" spans="1:60" ht="14.25" customHeight="1" x14ac:dyDescent="0.2">
      <c r="A158" s="637"/>
      <c r="B158" s="417"/>
      <c r="C158" s="173">
        <v>148</v>
      </c>
      <c r="D158" s="165"/>
      <c r="E158" s="174">
        <v>6.6010034650009451E-3</v>
      </c>
      <c r="F158" s="502"/>
      <c r="G158" s="219">
        <f t="shared" si="17"/>
        <v>30.657712395308707</v>
      </c>
      <c r="H158" s="176">
        <f t="shared" si="18"/>
        <v>69.342287604691293</v>
      </c>
      <c r="I158" s="516">
        <f t="shared" si="15"/>
        <v>100</v>
      </c>
      <c r="J158" s="153">
        <f>(G158*0)/(1+cDR)^'Markov Model_b (3)'!cycle</f>
        <v>0</v>
      </c>
      <c r="K158" s="178">
        <f t="shared" si="8"/>
        <v>30.657712395308707</v>
      </c>
      <c r="L158" s="202">
        <f>(G158*(uPostT))/(1+oDR)^'Markov Model_b (3)'!cycle</f>
        <v>16.101446997005255</v>
      </c>
      <c r="M158" s="80"/>
      <c r="N158" s="3"/>
      <c r="O158" s="80"/>
      <c r="P158" s="173">
        <v>148</v>
      </c>
      <c r="Q158" s="165"/>
      <c r="R158" s="174">
        <v>6.6008408192540068E-3</v>
      </c>
      <c r="S158" s="502"/>
      <c r="T158" s="219">
        <f t="shared" si="16"/>
        <v>28.882027009921131</v>
      </c>
      <c r="U158" s="249">
        <f t="shared" si="12"/>
        <v>71.117972990078869</v>
      </c>
      <c r="V158" s="516">
        <f t="shared" si="13"/>
        <v>100</v>
      </c>
      <c r="W158" s="153">
        <f>(T158*0)/(1+cDR)^'Markov Model_b (3)'!cycle2</f>
        <v>0</v>
      </c>
      <c r="X158" s="178">
        <f t="shared" si="14"/>
        <v>28.882027009921131</v>
      </c>
      <c r="Y158" s="202">
        <f>(T158*(uPostT))/(1+oDR)^'Markov Model_b (3)'!cycle</f>
        <v>15.16885607999509</v>
      </c>
      <c r="Z158" s="80"/>
      <c r="AA158" s="3"/>
      <c r="AB158" s="3"/>
      <c r="AC158" s="14">
        <v>146</v>
      </c>
      <c r="AD158" s="14"/>
      <c r="AE158" s="14"/>
      <c r="AF158" s="3"/>
      <c r="AG158" s="3"/>
      <c r="AH158" s="3"/>
      <c r="AI158" s="14"/>
      <c r="AJ158" s="14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</row>
    <row r="159" spans="1:60" ht="14.25" customHeight="1" x14ac:dyDescent="0.2">
      <c r="A159" s="637"/>
      <c r="B159" s="417"/>
      <c r="C159" s="173">
        <v>149</v>
      </c>
      <c r="D159" s="165"/>
      <c r="E159" s="174">
        <v>6.6441340459424351E-3</v>
      </c>
      <c r="F159" s="502"/>
      <c r="G159" s="219">
        <f t="shared" si="17"/>
        <v>30.454018444612331</v>
      </c>
      <c r="H159" s="176">
        <f t="shared" si="18"/>
        <v>69.545981555387669</v>
      </c>
      <c r="I159" s="516">
        <f t="shared" si="15"/>
        <v>100</v>
      </c>
      <c r="J159" s="153">
        <f>(G159*0)/(1+cDR)^'Markov Model_b (3)'!cycle</f>
        <v>0</v>
      </c>
      <c r="K159" s="178">
        <f t="shared" si="8"/>
        <v>30.454018444612331</v>
      </c>
      <c r="L159" s="202">
        <f>(G159*(uPostT))/(1+oDR)^'Markov Model_b (3)'!cycle</f>
        <v>15.954580373888801</v>
      </c>
      <c r="M159" s="80"/>
      <c r="N159" s="3"/>
      <c r="O159" s="80"/>
      <c r="P159" s="173">
        <v>149</v>
      </c>
      <c r="Q159" s="165"/>
      <c r="R159" s="174">
        <v>6.6439609210112733E-3</v>
      </c>
      <c r="S159" s="502"/>
      <c r="T159" s="219">
        <f t="shared" si="16"/>
        <v>28.690135951147624</v>
      </c>
      <c r="U159" s="249">
        <f t="shared" si="12"/>
        <v>71.309864048852376</v>
      </c>
      <c r="V159" s="516">
        <f t="shared" si="13"/>
        <v>100</v>
      </c>
      <c r="W159" s="153">
        <f>(T159*0)/(1+cDR)^'Markov Model_b (3)'!cycle2</f>
        <v>0</v>
      </c>
      <c r="X159" s="178">
        <f t="shared" si="14"/>
        <v>28.690135951147624</v>
      </c>
      <c r="Y159" s="202">
        <f>(T159*(uPostT))/(1+oDR)^'Markov Model_b (3)'!cycle</f>
        <v>15.030498546616618</v>
      </c>
      <c r="Z159" s="80"/>
      <c r="AA159" s="3"/>
      <c r="AB159" s="3"/>
      <c r="AC159" s="14">
        <v>147</v>
      </c>
      <c r="AD159" s="14"/>
      <c r="AE159" s="14"/>
      <c r="AF159" s="3"/>
      <c r="AG159" s="3"/>
      <c r="AH159" s="3"/>
      <c r="AI159" s="14"/>
      <c r="AJ159" s="14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</row>
    <row r="160" spans="1:60" ht="14.25" customHeight="1" x14ac:dyDescent="0.2">
      <c r="A160" s="637"/>
      <c r="B160" s="417"/>
      <c r="C160" s="173">
        <v>150</v>
      </c>
      <c r="D160" s="165"/>
      <c r="E160" s="174">
        <v>6.6865278990473551E-3</v>
      </c>
      <c r="F160" s="502"/>
      <c r="G160" s="219">
        <f t="shared" si="17"/>
        <v>30.250386800644321</v>
      </c>
      <c r="H160" s="176">
        <f t="shared" si="18"/>
        <v>69.749613199355679</v>
      </c>
      <c r="I160" s="516">
        <f t="shared" si="15"/>
        <v>100</v>
      </c>
      <c r="J160" s="153">
        <f>(G160*0)/(1+cDR)^'Markov Model_b (3)'!cycle</f>
        <v>0</v>
      </c>
      <c r="K160" s="178">
        <f t="shared" si="8"/>
        <v>30.250386800644321</v>
      </c>
      <c r="L160" s="202">
        <f>(G160*(uPostT))/(1+oDR)^'Markov Model_b (3)'!cycle</f>
        <v>15.8083786804002</v>
      </c>
      <c r="M160" s="80"/>
      <c r="N160" s="3"/>
      <c r="O160" s="80"/>
      <c r="P160" s="173">
        <v>150</v>
      </c>
      <c r="Q160" s="165"/>
      <c r="R160" s="174">
        <v>6.6863462940169437E-3</v>
      </c>
      <c r="S160" s="502"/>
      <c r="T160" s="219">
        <f t="shared" si="16"/>
        <v>28.498303766955829</v>
      </c>
      <c r="U160" s="249">
        <f t="shared" si="12"/>
        <v>71.501696233044171</v>
      </c>
      <c r="V160" s="516">
        <f t="shared" si="13"/>
        <v>100</v>
      </c>
      <c r="W160" s="153">
        <f>(T160*0)/(1+cDR)^'Markov Model_b (3)'!cycle2</f>
        <v>0</v>
      </c>
      <c r="X160" s="178">
        <f t="shared" si="14"/>
        <v>28.498303766955829</v>
      </c>
      <c r="Y160" s="202">
        <f>(T160*(uPostT))/(1+oDR)^'Markov Model_b (3)'!cycle</f>
        <v>14.892767509588257</v>
      </c>
      <c r="Z160" s="80"/>
      <c r="AA160" s="3"/>
      <c r="AB160" s="3"/>
      <c r="AC160" s="14">
        <v>148</v>
      </c>
      <c r="AD160" s="14"/>
      <c r="AE160" s="14"/>
      <c r="AF160" s="3"/>
      <c r="AG160" s="3"/>
      <c r="AH160" s="3"/>
      <c r="AI160" s="14"/>
      <c r="AJ160" s="14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</row>
    <row r="161" spans="1:58" ht="14.25" customHeight="1" x14ac:dyDescent="0.2">
      <c r="A161" s="637"/>
      <c r="B161" s="417"/>
      <c r="C161" s="173">
        <v>151</v>
      </c>
      <c r="D161" s="165"/>
      <c r="E161" s="174">
        <v>6.72825282087654E-3</v>
      </c>
      <c r="F161" s="502"/>
      <c r="G161" s="219">
        <f t="shared" si="17"/>
        <v>30.046854550320276</v>
      </c>
      <c r="H161" s="176">
        <f t="shared" si="18"/>
        <v>69.953145449679724</v>
      </c>
      <c r="I161" s="516">
        <f t="shared" si="15"/>
        <v>100</v>
      </c>
      <c r="J161" s="153">
        <f>(G161*0)/(1+cDR)^'Markov Model_b (3)'!cycle</f>
        <v>0</v>
      </c>
      <c r="K161" s="178">
        <f t="shared" si="8"/>
        <v>30.046854550320276</v>
      </c>
      <c r="L161" s="202">
        <f>(G161*(uPostT))/(1+oDR)^'Markov Model_b (3)'!cycle</f>
        <v>15.662858765037715</v>
      </c>
      <c r="M161" s="80"/>
      <c r="N161" s="3"/>
      <c r="O161" s="80"/>
      <c r="P161" s="173">
        <v>151</v>
      </c>
      <c r="Q161" s="165"/>
      <c r="R161" s="174">
        <v>6.72806464846971E-3</v>
      </c>
      <c r="S161" s="502"/>
      <c r="T161" s="219">
        <f t="shared" si="16"/>
        <v>28.306565336840023</v>
      </c>
      <c r="U161" s="249">
        <f t="shared" si="12"/>
        <v>71.693434663159977</v>
      </c>
      <c r="V161" s="516">
        <f t="shared" si="13"/>
        <v>100</v>
      </c>
      <c r="W161" s="153">
        <f>(T161*0)/(1+cDR)^'Markov Model_b (3)'!cycle2</f>
        <v>0</v>
      </c>
      <c r="X161" s="178">
        <f t="shared" si="14"/>
        <v>28.306565336840023</v>
      </c>
      <c r="Y161" s="202">
        <f>(T161*(uPostT))/(1+oDR)^'Markov Model_b (3)'!cycle</f>
        <v>14.755678809964206</v>
      </c>
      <c r="Z161" s="80"/>
      <c r="AA161" s="3"/>
      <c r="AB161" s="3"/>
      <c r="AC161" s="14">
        <v>149</v>
      </c>
      <c r="AD161" s="14"/>
      <c r="AE161" s="14"/>
      <c r="AF161" s="3"/>
      <c r="AG161" s="3"/>
      <c r="AH161" s="3"/>
      <c r="AI161" s="14"/>
      <c r="AJ161" s="14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</row>
    <row r="162" spans="1:58" ht="14.25" customHeight="1" x14ac:dyDescent="0.2">
      <c r="A162" s="637"/>
      <c r="B162" s="417"/>
      <c r="C162" s="173">
        <v>152</v>
      </c>
      <c r="D162" s="165"/>
      <c r="E162" s="174">
        <v>6.769363910235345E-3</v>
      </c>
      <c r="F162" s="502"/>
      <c r="G162" s="219">
        <f t="shared" si="17"/>
        <v>29.843456457511252</v>
      </c>
      <c r="H162" s="176">
        <f t="shared" si="18"/>
        <v>70.156543542488748</v>
      </c>
      <c r="I162" s="516">
        <f t="shared" si="15"/>
        <v>100</v>
      </c>
      <c r="J162" s="153">
        <f>(G162*0)/(1+cDR)^'Markov Model_b (3)'!cycle</f>
        <v>0</v>
      </c>
      <c r="K162" s="178">
        <f t="shared" si="8"/>
        <v>29.843456457511252</v>
      </c>
      <c r="L162" s="202">
        <f>(G162*(uPostT))/(1+oDR)^'Markov Model_b (3)'!cycle</f>
        <v>15.518036083972627</v>
      </c>
      <c r="M162" s="80"/>
      <c r="N162" s="3"/>
      <c r="O162" s="80"/>
      <c r="P162" s="173">
        <v>152</v>
      </c>
      <c r="Q162" s="165"/>
      <c r="R162" s="174">
        <v>6.7691710293416064E-3</v>
      </c>
      <c r="S162" s="502"/>
      <c r="T162" s="219">
        <f t="shared" si="16"/>
        <v>28.114953354821722</v>
      </c>
      <c r="U162" s="249">
        <f t="shared" si="12"/>
        <v>71.885046645178278</v>
      </c>
      <c r="V162" s="516">
        <f t="shared" si="13"/>
        <v>100</v>
      </c>
      <c r="W162" s="153">
        <f>(T162*0)/(1+cDR)^'Markov Model_b (3)'!cycle2</f>
        <v>0</v>
      </c>
      <c r="X162" s="178">
        <f t="shared" si="14"/>
        <v>28.114953354821722</v>
      </c>
      <c r="Y162" s="202">
        <f>(T162*(uPostT))/(1+oDR)^'Markov Model_b (3)'!cycle</f>
        <v>14.619246978998033</v>
      </c>
      <c r="Z162" s="80"/>
      <c r="AA162" s="3"/>
      <c r="AB162" s="3"/>
      <c r="AC162" s="14">
        <v>150</v>
      </c>
      <c r="AD162" s="14"/>
      <c r="AE162" s="14"/>
      <c r="AF162" s="3"/>
      <c r="AG162" s="3"/>
      <c r="AH162" s="3"/>
      <c r="AI162" s="14"/>
      <c r="AJ162" s="14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</row>
    <row r="163" spans="1:58" ht="14.25" customHeight="1" x14ac:dyDescent="0.2">
      <c r="A163" s="637"/>
      <c r="B163" s="417"/>
      <c r="C163" s="173">
        <v>153</v>
      </c>
      <c r="D163" s="165"/>
      <c r="E163" s="174">
        <v>6.810151628712971E-3</v>
      </c>
      <c r="F163" s="502"/>
      <c r="G163" s="219">
        <f t="shared" si="17"/>
        <v>29.64021799391071</v>
      </c>
      <c r="H163" s="176">
        <f t="shared" si="18"/>
        <v>70.35978200608929</v>
      </c>
      <c r="I163" s="516">
        <f t="shared" si="15"/>
        <v>100</v>
      </c>
      <c r="J163" s="153">
        <f>(G163*0)/(1+cDR)^'Markov Model_b (3)'!cycle</f>
        <v>0</v>
      </c>
      <c r="K163" s="178">
        <f t="shared" si="8"/>
        <v>29.64021799391071</v>
      </c>
      <c r="L163" s="202">
        <f>(G163*(uPostT))/(1+oDR)^'Markov Model_b (3)'!cycle</f>
        <v>15.373921102504671</v>
      </c>
      <c r="M163" s="80"/>
      <c r="N163" s="3"/>
      <c r="O163" s="80"/>
      <c r="P163" s="173">
        <v>153</v>
      </c>
      <c r="Q163" s="165"/>
      <c r="R163" s="174">
        <v>6.8099555198359741E-3</v>
      </c>
      <c r="S163" s="502"/>
      <c r="T163" s="219">
        <f t="shared" si="16"/>
        <v>27.92349177303312</v>
      </c>
      <c r="U163" s="249">
        <f t="shared" si="12"/>
        <v>72.07650822696688</v>
      </c>
      <c r="V163" s="516">
        <f t="shared" si="13"/>
        <v>100</v>
      </c>
      <c r="W163" s="153">
        <f>(T163*0)/(1+cDR)^'Markov Model_b (3)'!cycle2</f>
        <v>0</v>
      </c>
      <c r="X163" s="178">
        <f t="shared" si="14"/>
        <v>27.92349177303312</v>
      </c>
      <c r="Y163" s="202">
        <f>(T163*(uPostT))/(1+oDR)^'Markov Model_b (3)'!cycle</f>
        <v>14.483481852705793</v>
      </c>
      <c r="Z163" s="80"/>
      <c r="AA163" s="3"/>
      <c r="AB163" s="3"/>
      <c r="AC163" s="14">
        <v>151</v>
      </c>
      <c r="AD163" s="14"/>
      <c r="AE163" s="14"/>
      <c r="AF163" s="3"/>
      <c r="AG163" s="3"/>
      <c r="AH163" s="3"/>
      <c r="AI163" s="14"/>
      <c r="AJ163" s="14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</row>
    <row r="164" spans="1:58" ht="14.25" customHeight="1" x14ac:dyDescent="0.2">
      <c r="A164" s="637"/>
      <c r="B164" s="417"/>
      <c r="C164" s="173">
        <v>154</v>
      </c>
      <c r="D164" s="165"/>
      <c r="E164" s="174">
        <v>6.8506812528996725E-3</v>
      </c>
      <c r="F164" s="502"/>
      <c r="G164" s="219">
        <f t="shared" si="17"/>
        <v>29.43716230816797</v>
      </c>
      <c r="H164" s="176">
        <f t="shared" si="18"/>
        <v>70.56283769183203</v>
      </c>
      <c r="I164" s="516">
        <f t="shared" si="15"/>
        <v>100</v>
      </c>
      <c r="J164" s="153">
        <f>(G164*0)/(1+cDR)^'Markov Model_b (3)'!cycle</f>
        <v>0</v>
      </c>
      <c r="K164" s="178">
        <f t="shared" si="8"/>
        <v>29.43716230816797</v>
      </c>
      <c r="L164" s="202">
        <f>(G164*(uPostT))/(1+oDR)^'Markov Model_b (3)'!cycle</f>
        <v>15.230522962019139</v>
      </c>
      <c r="M164" s="80"/>
      <c r="N164" s="3"/>
      <c r="O164" s="80"/>
      <c r="P164" s="173">
        <v>154</v>
      </c>
      <c r="Q164" s="165"/>
      <c r="R164" s="174">
        <v>6.8504833297436864E-3</v>
      </c>
      <c r="S164" s="502"/>
      <c r="T164" s="219">
        <f t="shared" si="16"/>
        <v>27.732202358133719</v>
      </c>
      <c r="U164" s="249">
        <f t="shared" si="12"/>
        <v>72.267797641866281</v>
      </c>
      <c r="V164" s="516">
        <f t="shared" si="13"/>
        <v>100</v>
      </c>
      <c r="W164" s="153">
        <f>(T164*0)/(1+cDR)^'Markov Model_b (3)'!cycle2</f>
        <v>0</v>
      </c>
      <c r="X164" s="178">
        <f t="shared" si="14"/>
        <v>27.732202358133719</v>
      </c>
      <c r="Y164" s="202">
        <f>(T164*(uPostT))/(1+oDR)^'Markov Model_b (3)'!cycle</f>
        <v>14.348392021663029</v>
      </c>
      <c r="Z164" s="80"/>
      <c r="AA164" s="3"/>
      <c r="AB164" s="3"/>
      <c r="AC164" s="14">
        <v>152</v>
      </c>
      <c r="AD164" s="14"/>
      <c r="AE164" s="14"/>
      <c r="AF164" s="3"/>
      <c r="AG164" s="3"/>
      <c r="AH164" s="3"/>
      <c r="AI164" s="14"/>
      <c r="AJ164" s="14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</row>
    <row r="165" spans="1:58" ht="14.25" customHeight="1" x14ac:dyDescent="0.2">
      <c r="A165" s="637"/>
      <c r="B165" s="417"/>
      <c r="C165" s="173">
        <v>155</v>
      </c>
      <c r="D165" s="165"/>
      <c r="E165" s="174">
        <v>6.8909413588296468E-3</v>
      </c>
      <c r="F165" s="502"/>
      <c r="G165" s="219">
        <f t="shared" si="17"/>
        <v>29.234312548932039</v>
      </c>
      <c r="H165" s="176">
        <f t="shared" si="18"/>
        <v>70.765687451067961</v>
      </c>
      <c r="I165" s="516">
        <f t="shared" si="15"/>
        <v>100</v>
      </c>
      <c r="J165" s="153">
        <f>(G165*0)/(1+cDR)^'Markov Model_b (3)'!cycle</f>
        <v>0</v>
      </c>
      <c r="K165" s="178">
        <f t="shared" si="8"/>
        <v>29.234312548932039</v>
      </c>
      <c r="L165" s="202">
        <f>(G165*(uPostT))/(1+oDR)^'Markov Model_b (3)'!cycle</f>
        <v>15.087850694686843</v>
      </c>
      <c r="M165" s="80"/>
      <c r="N165" s="3"/>
      <c r="O165" s="80"/>
      <c r="P165" s="173">
        <v>155</v>
      </c>
      <c r="Q165" s="165"/>
      <c r="R165" s="174">
        <v>6.890743074887927E-3</v>
      </c>
      <c r="S165" s="502"/>
      <c r="T165" s="219">
        <f t="shared" si="16"/>
        <v>27.541106876783019</v>
      </c>
      <c r="U165" s="249">
        <f t="shared" si="12"/>
        <v>72.458893123216981</v>
      </c>
      <c r="V165" s="516">
        <f t="shared" si="13"/>
        <v>100</v>
      </c>
      <c r="W165" s="153">
        <f>(T165*0)/(1+cDR)^'Markov Model_b (3)'!cycle2</f>
        <v>0</v>
      </c>
      <c r="X165" s="178">
        <f t="shared" si="14"/>
        <v>27.541106876783019</v>
      </c>
      <c r="Y165" s="202">
        <f>(T165*(uPostT))/(1+oDR)^'Markov Model_b (3)'!cycle</f>
        <v>14.213985973769555</v>
      </c>
      <c r="Z165" s="80"/>
      <c r="AA165" s="3"/>
      <c r="AB165" s="3"/>
      <c r="AC165" s="14">
        <v>153</v>
      </c>
      <c r="AD165" s="14"/>
      <c r="AE165" s="14"/>
      <c r="AF165" s="3"/>
      <c r="AG165" s="3"/>
      <c r="AH165" s="3"/>
      <c r="AI165" s="14"/>
      <c r="AJ165" s="14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</row>
    <row r="166" spans="1:58" ht="14.25" customHeight="1" x14ac:dyDescent="0.2">
      <c r="A166" s="637"/>
      <c r="B166" s="417"/>
      <c r="C166" s="173">
        <v>156</v>
      </c>
      <c r="D166" s="165"/>
      <c r="E166" s="174">
        <v>6.930988992896599E-3</v>
      </c>
      <c r="F166" s="502"/>
      <c r="G166" s="219">
        <f t="shared" si="17"/>
        <v>29.031689850440486</v>
      </c>
      <c r="H166" s="176">
        <f t="shared" si="18"/>
        <v>70.968310149559514</v>
      </c>
      <c r="I166" s="516">
        <f t="shared" si="15"/>
        <v>100</v>
      </c>
      <c r="J166" s="153">
        <f>(G166*0)/(1+cDR)^'Markov Model_b (3)'!cycle</f>
        <v>0</v>
      </c>
      <c r="K166" s="178">
        <f t="shared" si="8"/>
        <v>29.031689850440486</v>
      </c>
      <c r="L166" s="202">
        <f>(G166*(uPostT))/(1+oDR)^'Markov Model_b (3)'!cycle</f>
        <v>14.94591218712768</v>
      </c>
      <c r="M166" s="80"/>
      <c r="N166" s="3"/>
      <c r="O166" s="80"/>
      <c r="P166" s="173">
        <v>156</v>
      </c>
      <c r="Q166" s="165"/>
      <c r="R166" s="174">
        <v>6.9307917276708536E-3</v>
      </c>
      <c r="S166" s="502"/>
      <c r="T166" s="219">
        <f t="shared" si="16"/>
        <v>27.350225201070515</v>
      </c>
      <c r="U166" s="249">
        <f t="shared" si="12"/>
        <v>72.649774798929485</v>
      </c>
      <c r="V166" s="516">
        <f t="shared" si="13"/>
        <v>100</v>
      </c>
      <c r="W166" s="153">
        <f>(T166*0)/(1+cDR)^'Markov Model_b (3)'!cycle2</f>
        <v>0</v>
      </c>
      <c r="X166" s="178">
        <f t="shared" si="14"/>
        <v>27.350225201070515</v>
      </c>
      <c r="Y166" s="202">
        <f>(T166*(uPostT))/(1+oDR)^'Markov Model_b (3)'!cycle</f>
        <v>14.080271119566408</v>
      </c>
      <c r="Z166" s="80"/>
      <c r="AA166" s="3"/>
      <c r="AB166" s="3"/>
      <c r="AC166" s="14">
        <v>154</v>
      </c>
      <c r="AD166" s="14"/>
      <c r="AE166" s="14"/>
      <c r="AF166" s="3"/>
      <c r="AG166" s="3"/>
      <c r="AH166" s="3"/>
      <c r="AI166" s="14"/>
      <c r="AJ166" s="14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</row>
    <row r="167" spans="1:58" ht="14.25" customHeight="1" x14ac:dyDescent="0.2">
      <c r="A167" s="597"/>
      <c r="B167" s="417"/>
      <c r="C167" s="173">
        <v>157</v>
      </c>
      <c r="D167" s="504"/>
      <c r="E167" s="174">
        <v>6.9710913212306467E-3</v>
      </c>
      <c r="F167" s="505"/>
      <c r="G167" s="219">
        <f t="shared" si="17"/>
        <v>28.82930728928342</v>
      </c>
      <c r="H167" s="176">
        <f t="shared" si="18"/>
        <v>71.17069271071658</v>
      </c>
      <c r="I167" s="516">
        <f t="shared" si="15"/>
        <v>100</v>
      </c>
      <c r="J167" s="180">
        <f>(G167*0)/(1+cDR)^'Markov Model_b (3)'!cycle</f>
        <v>0</v>
      </c>
      <c r="K167" s="176">
        <f t="shared" si="8"/>
        <v>28.82930728928342</v>
      </c>
      <c r="L167" s="202">
        <f>(G167*(uPostT))/(1+oDR)^'Markov Model_b (3)'!cycle</f>
        <v>14.804711090665453</v>
      </c>
      <c r="M167" s="80"/>
      <c r="N167" s="3"/>
      <c r="O167" s="80"/>
      <c r="P167" s="173">
        <v>157</v>
      </c>
      <c r="Q167" s="504"/>
      <c r="R167" s="174">
        <v>6.970896029709274E-3</v>
      </c>
      <c r="S167" s="505"/>
      <c r="T167" s="219">
        <f t="shared" si="16"/>
        <v>27.159569624804718</v>
      </c>
      <c r="U167" s="249">
        <f t="shared" si="12"/>
        <v>72.840430375195282</v>
      </c>
      <c r="V167" s="516">
        <f t="shared" si="13"/>
        <v>100</v>
      </c>
      <c r="W167" s="180">
        <f>(T167*0)/(1+cDR)^'Markov Model_b (3)'!cycle2</f>
        <v>0</v>
      </c>
      <c r="X167" s="176">
        <f t="shared" si="14"/>
        <v>27.159569624804718</v>
      </c>
      <c r="Y167" s="202">
        <f>(T167*(uPostT))/(1+oDR)^'Markov Model_b (3)'!cycle</f>
        <v>13.947250886306028</v>
      </c>
      <c r="Z167" s="80"/>
      <c r="AA167" s="3"/>
      <c r="AB167" s="3"/>
      <c r="AC167" s="14">
        <v>155</v>
      </c>
      <c r="AD167" s="14"/>
      <c r="AE167" s="14"/>
      <c r="AF167" s="3"/>
      <c r="AG167" s="3"/>
      <c r="AH167" s="3"/>
      <c r="AI167" s="14"/>
      <c r="AJ167" s="14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</row>
    <row r="168" spans="1:58" ht="14.25" customHeight="1" x14ac:dyDescent="0.25">
      <c r="A168" s="637" t="s">
        <v>555</v>
      </c>
      <c r="B168" s="417"/>
      <c r="C168" s="506">
        <v>158</v>
      </c>
      <c r="D168" s="506"/>
      <c r="E168" s="507">
        <v>7.0113152430628135E-3</v>
      </c>
      <c r="F168" s="508"/>
      <c r="G168" s="509">
        <f t="shared" si="17"/>
        <v>28.627175927639129</v>
      </c>
      <c r="H168" s="176">
        <f t="shared" si="18"/>
        <v>71.372824072360871</v>
      </c>
      <c r="I168" s="518">
        <f t="shared" si="15"/>
        <v>100</v>
      </c>
      <c r="J168" s="511">
        <f>(G168*0)/(1+cDR)^'Markov Model_b (3)'!cycle</f>
        <v>0</v>
      </c>
      <c r="K168" s="512">
        <f t="shared" si="8"/>
        <v>28.627175927639129</v>
      </c>
      <c r="L168" s="513">
        <f>(G168*(uPostT))/(1+oDR)^'Markov Model_b (3)'!cycle</f>
        <v>14.664249969203327</v>
      </c>
      <c r="M168" s="80"/>
      <c r="N168" s="3"/>
      <c r="O168" s="80"/>
      <c r="P168" s="506">
        <v>158</v>
      </c>
      <c r="Q168" s="506"/>
      <c r="R168" s="507">
        <v>7.0111227906419398E-3</v>
      </c>
      <c r="S168" s="508"/>
      <c r="T168" s="509">
        <f t="shared" si="16"/>
        <v>26.969150547224217</v>
      </c>
      <c r="U168" s="249">
        <f t="shared" si="12"/>
        <v>73.030849452775783</v>
      </c>
      <c r="V168" s="518">
        <f t="shared" si="13"/>
        <v>100</v>
      </c>
      <c r="W168" s="511">
        <f>(T168*0)/(1+cDR)^'Markov Model_b (3)'!cycle2</f>
        <v>0</v>
      </c>
      <c r="X168" s="512">
        <f t="shared" si="14"/>
        <v>26.969150547224217</v>
      </c>
      <c r="Y168" s="513">
        <f>(T168*(uPostT))/(1+oDR)^'Markov Model_b (3)'!cycle</f>
        <v>13.814927678553861</v>
      </c>
      <c r="Z168" s="80"/>
      <c r="AA168" s="3"/>
      <c r="AB168" s="3"/>
      <c r="AC168" s="14">
        <v>156</v>
      </c>
      <c r="AD168" s="14"/>
      <c r="AE168" s="14"/>
      <c r="AF168" s="3"/>
      <c r="AG168" s="3"/>
      <c r="AH168" s="3"/>
      <c r="AI168" s="14"/>
      <c r="AJ168" s="14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</row>
    <row r="169" spans="1:58" ht="14.25" customHeight="1" x14ac:dyDescent="0.2">
      <c r="A169" s="637"/>
      <c r="B169" s="417"/>
      <c r="C169" s="173">
        <v>159</v>
      </c>
      <c r="D169" s="165"/>
      <c r="E169" s="174">
        <v>7.0516596000748432E-3</v>
      </c>
      <c r="F169" s="502"/>
      <c r="G169" s="219">
        <f t="shared" si="17"/>
        <v>28.425306827685958</v>
      </c>
      <c r="H169" s="176">
        <f t="shared" si="18"/>
        <v>71.574693172314042</v>
      </c>
      <c r="I169" s="516">
        <f t="shared" si="15"/>
        <v>100</v>
      </c>
      <c r="J169" s="153">
        <f>(G169*0)/(1+cDR)^'Markov Model_b (3)'!cycle</f>
        <v>0</v>
      </c>
      <c r="K169" s="178">
        <f t="shared" si="8"/>
        <v>28.425306827685958</v>
      </c>
      <c r="L169" s="202">
        <f>(G169*(uPostT))/(1+oDR)^'Markov Model_b (3)'!cycle</f>
        <v>14.524531341775658</v>
      </c>
      <c r="M169" s="80"/>
      <c r="N169" s="3"/>
      <c r="O169" s="80"/>
      <c r="P169" s="173">
        <v>159</v>
      </c>
      <c r="Q169" s="165"/>
      <c r="R169" s="174">
        <v>7.0514708768412981E-3</v>
      </c>
      <c r="S169" s="502"/>
      <c r="T169" s="219">
        <f t="shared" si="16"/>
        <v>26.778978367567319</v>
      </c>
      <c r="U169" s="249">
        <f t="shared" si="12"/>
        <v>73.221021632432681</v>
      </c>
      <c r="V169" s="516">
        <f t="shared" si="13"/>
        <v>100</v>
      </c>
      <c r="W169" s="153">
        <f>(T169*0)/(1+cDR)^'Markov Model_b (3)'!cycle2</f>
        <v>0</v>
      </c>
      <c r="X169" s="178">
        <f t="shared" si="14"/>
        <v>26.778978367567319</v>
      </c>
      <c r="Y169" s="202">
        <f>(T169*(uPostT))/(1+oDR)^'Markov Model_b (3)'!cycle</f>
        <v>13.683303858716084</v>
      </c>
      <c r="Z169" s="80"/>
      <c r="AA169" s="3"/>
      <c r="AB169" s="3"/>
      <c r="AC169" s="14">
        <v>157</v>
      </c>
      <c r="AD169" s="14"/>
      <c r="AE169" s="14"/>
      <c r="AF169" s="3"/>
      <c r="AG169" s="3"/>
      <c r="AH169" s="3"/>
      <c r="AI169" s="14"/>
      <c r="AJ169" s="14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</row>
    <row r="170" spans="1:58" ht="14.25" customHeight="1" x14ac:dyDescent="0.2">
      <c r="A170" s="637"/>
      <c r="B170" s="417"/>
      <c r="C170" s="173">
        <v>160</v>
      </c>
      <c r="D170" s="165"/>
      <c r="E170" s="174">
        <v>7.0921508733013845E-3</v>
      </c>
      <c r="F170" s="502"/>
      <c r="G170" s="219">
        <f t="shared" si="17"/>
        <v>28.223710263044126</v>
      </c>
      <c r="H170" s="176">
        <f t="shared" si="18"/>
        <v>71.776289736955874</v>
      </c>
      <c r="I170" s="516">
        <f t="shared" si="15"/>
        <v>100</v>
      </c>
      <c r="J170" s="153">
        <f>(G170*0)/(1+cDR)^'Markov Model_b (3)'!cycle</f>
        <v>0</v>
      </c>
      <c r="K170" s="178">
        <f t="shared" si="8"/>
        <v>28.223710263044126</v>
      </c>
      <c r="L170" s="202">
        <f>(G170*(uPostT))/(1+oDR)^'Markov Model_b (3)'!cycle</f>
        <v>14.385557280933456</v>
      </c>
      <c r="M170" s="80"/>
      <c r="N170" s="3"/>
      <c r="O170" s="80"/>
      <c r="P170" s="173">
        <v>160</v>
      </c>
      <c r="Q170" s="165"/>
      <c r="R170" s="174">
        <v>7.0919667248996766E-3</v>
      </c>
      <c r="S170" s="502"/>
      <c r="T170" s="219">
        <f t="shared" si="16"/>
        <v>26.589062744057728</v>
      </c>
      <c r="U170" s="249">
        <f t="shared" si="12"/>
        <v>73.410937255942272</v>
      </c>
      <c r="V170" s="516">
        <f t="shared" si="13"/>
        <v>100</v>
      </c>
      <c r="W170" s="153">
        <f>(T170*0)/(1+cDR)^'Markov Model_b (3)'!cycle2</f>
        <v>0</v>
      </c>
      <c r="X170" s="178">
        <f t="shared" si="14"/>
        <v>26.589062744057728</v>
      </c>
      <c r="Y170" s="202">
        <f>(T170*(uPostT))/(1+oDR)^'Markov Model_b (3)'!cycle</f>
        <v>13.552381369639278</v>
      </c>
      <c r="Z170" s="80"/>
      <c r="AA170" s="3"/>
      <c r="AB170" s="3"/>
      <c r="AC170" s="14">
        <v>158</v>
      </c>
      <c r="AD170" s="14"/>
      <c r="AE170" s="14"/>
      <c r="AF170" s="3"/>
      <c r="AG170" s="3"/>
      <c r="AH170" s="3"/>
      <c r="AI170" s="14"/>
      <c r="AJ170" s="14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</row>
    <row r="171" spans="1:58" ht="14.25" customHeight="1" x14ac:dyDescent="0.2">
      <c r="A171" s="637"/>
      <c r="B171" s="417"/>
      <c r="C171" s="173">
        <v>161</v>
      </c>
      <c r="D171" s="165"/>
      <c r="E171" s="174">
        <v>7.13290024830861E-3</v>
      </c>
      <c r="F171" s="502"/>
      <c r="G171" s="219">
        <f t="shared" si="17"/>
        <v>28.022393353100668</v>
      </c>
      <c r="H171" s="176">
        <f t="shared" si="18"/>
        <v>71.977606646899332</v>
      </c>
      <c r="I171" s="516">
        <f t="shared" si="15"/>
        <v>100</v>
      </c>
      <c r="J171" s="153">
        <f>(G171*0)/(1+cDR)^'Markov Model_b (3)'!cycle</f>
        <v>0</v>
      </c>
      <c r="K171" s="178">
        <f t="shared" si="8"/>
        <v>28.022393353100668</v>
      </c>
      <c r="L171" s="202">
        <f>(G171*(uPostT))/(1+oDR)^'Markov Model_b (3)'!cycle</f>
        <v>14.247328215293992</v>
      </c>
      <c r="M171" s="80"/>
      <c r="N171" s="3"/>
      <c r="O171" s="80"/>
      <c r="P171" s="173">
        <v>161</v>
      </c>
      <c r="Q171" s="165"/>
      <c r="R171" s="174">
        <v>7.1327212630195496E-3</v>
      </c>
      <c r="S171" s="502"/>
      <c r="T171" s="219">
        <f t="shared" si="16"/>
        <v>26.399410370859428</v>
      </c>
      <c r="U171" s="249">
        <f t="shared" si="12"/>
        <v>73.600589629140572</v>
      </c>
      <c r="V171" s="516">
        <f t="shared" si="13"/>
        <v>100</v>
      </c>
      <c r="W171" s="153">
        <f>(T171*0)/(1+cDR)^'Markov Model_b (3)'!cycle2</f>
        <v>0</v>
      </c>
      <c r="X171" s="178">
        <f t="shared" si="14"/>
        <v>26.399410370859428</v>
      </c>
      <c r="Y171" s="202">
        <f>(T171*(uPostT))/(1+oDR)^'Markov Model_b (3)'!cycle</f>
        <v>13.422160609356112</v>
      </c>
      <c r="Z171" s="80"/>
      <c r="AA171" s="3"/>
      <c r="AB171" s="3"/>
      <c r="AC171" s="14">
        <v>159</v>
      </c>
      <c r="AD171" s="14"/>
      <c r="AE171" s="14"/>
      <c r="AF171" s="3"/>
      <c r="AG171" s="3"/>
      <c r="AH171" s="3"/>
      <c r="AI171" s="14"/>
      <c r="AJ171" s="14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</row>
    <row r="172" spans="1:58" ht="14.25" customHeight="1" x14ac:dyDescent="0.2">
      <c r="A172" s="637"/>
      <c r="B172" s="417"/>
      <c r="C172" s="173">
        <v>162</v>
      </c>
      <c r="D172" s="165"/>
      <c r="E172" s="174">
        <v>7.1739384242825261E-3</v>
      </c>
      <c r="F172" s="502"/>
      <c r="G172" s="219">
        <f t="shared" si="17"/>
        <v>27.821362428684495</v>
      </c>
      <c r="H172" s="176">
        <f t="shared" si="18"/>
        <v>72.178637571315505</v>
      </c>
      <c r="I172" s="516">
        <f t="shared" si="15"/>
        <v>100</v>
      </c>
      <c r="J172" s="153">
        <f>(G172*0)/(1+cDR)^'Markov Model_b (3)'!cycle</f>
        <v>0</v>
      </c>
      <c r="K172" s="178">
        <f t="shared" si="8"/>
        <v>27.821362428684495</v>
      </c>
      <c r="L172" s="202">
        <f>(G172*(uPostT))/(1+oDR)^'Markov Model_b (3)'!cycle</f>
        <v>14.109844149592947</v>
      </c>
      <c r="M172" s="80"/>
      <c r="N172" s="3"/>
      <c r="O172" s="80"/>
      <c r="P172" s="173">
        <v>162</v>
      </c>
      <c r="Q172" s="165"/>
      <c r="R172" s="174">
        <v>7.1737651363247027E-3</v>
      </c>
      <c r="S172" s="502"/>
      <c r="T172" s="219">
        <f t="shared" si="16"/>
        <v>26.210027201121434</v>
      </c>
      <c r="U172" s="249">
        <f t="shared" si="12"/>
        <v>73.789972798878566</v>
      </c>
      <c r="V172" s="516">
        <f t="shared" si="13"/>
        <v>100</v>
      </c>
      <c r="W172" s="153">
        <f>(T172*0)/(1+cDR)^'Markov Model_b (3)'!cycle2</f>
        <v>0</v>
      </c>
      <c r="X172" s="178">
        <f t="shared" si="14"/>
        <v>26.210027201121434</v>
      </c>
      <c r="Y172" s="202">
        <f>(T172*(uPostT))/(1+oDR)^'Markov Model_b (3)'!cycle</f>
        <v>13.292641577578623</v>
      </c>
      <c r="Z172" s="80"/>
      <c r="AA172" s="3"/>
      <c r="AB172" s="3"/>
      <c r="AC172" s="14">
        <v>160</v>
      </c>
      <c r="AD172" s="14"/>
      <c r="AE172" s="14"/>
      <c r="AF172" s="3"/>
      <c r="AG172" s="3"/>
      <c r="AH172" s="3"/>
      <c r="AI172" s="14"/>
      <c r="AJ172" s="14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</row>
    <row r="173" spans="1:58" ht="14.25" customHeight="1" x14ac:dyDescent="0.2">
      <c r="A173" s="637"/>
      <c r="B173" s="417"/>
      <c r="C173" s="173">
        <v>163</v>
      </c>
      <c r="D173" s="165"/>
      <c r="E173" s="174">
        <v>7.2153032925126297E-3</v>
      </c>
      <c r="F173" s="502"/>
      <c r="G173" s="219">
        <f t="shared" si="17"/>
        <v>27.620622860750615</v>
      </c>
      <c r="H173" s="176">
        <f t="shared" si="18"/>
        <v>72.379377139249385</v>
      </c>
      <c r="I173" s="516">
        <f t="shared" si="15"/>
        <v>100</v>
      </c>
      <c r="J173" s="153">
        <f>(G173*0)/(1+cDR)^'Markov Model_b (3)'!cycle</f>
        <v>0</v>
      </c>
      <c r="K173" s="178">
        <f t="shared" si="8"/>
        <v>27.620622860750615</v>
      </c>
      <c r="L173" s="202">
        <f>(G173*(uPostT))/(1+oDR)^'Markov Model_b (3)'!cycle</f>
        <v>13.973104583185584</v>
      </c>
      <c r="M173" s="80"/>
      <c r="N173" s="3"/>
      <c r="O173" s="80"/>
      <c r="P173" s="173">
        <v>163</v>
      </c>
      <c r="Q173" s="165"/>
      <c r="R173" s="174">
        <v>7.2151362001987348E-3</v>
      </c>
      <c r="S173" s="502"/>
      <c r="T173" s="219">
        <f t="shared" si="16"/>
        <v>26.020918285054435</v>
      </c>
      <c r="U173" s="249">
        <f t="shared" si="12"/>
        <v>73.979081714945565</v>
      </c>
      <c r="V173" s="516">
        <f t="shared" si="13"/>
        <v>100</v>
      </c>
      <c r="W173" s="153">
        <f>(T173*0)/(1+cDR)^'Markov Model_b (3)'!cycle2</f>
        <v>0</v>
      </c>
      <c r="X173" s="178">
        <f t="shared" si="14"/>
        <v>26.020918285054435</v>
      </c>
      <c r="Y173" s="202">
        <f>(T173*(uPostT))/(1+oDR)^'Markov Model_b (3)'!cycle</f>
        <v>13.163823798639374</v>
      </c>
      <c r="Z173" s="80"/>
      <c r="AA173" s="3"/>
      <c r="AB173" s="3"/>
      <c r="AC173" s="14">
        <v>161</v>
      </c>
      <c r="AD173" s="14"/>
      <c r="AE173" s="14"/>
      <c r="AF173" s="3"/>
      <c r="AG173" s="3"/>
      <c r="AH173" s="3"/>
      <c r="AI173" s="14"/>
      <c r="AJ173" s="14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</row>
    <row r="174" spans="1:58" ht="14.25" customHeight="1" x14ac:dyDescent="0.2">
      <c r="A174" s="637"/>
      <c r="B174" s="417"/>
      <c r="C174" s="173">
        <v>164</v>
      </c>
      <c r="D174" s="165"/>
      <c r="E174" s="174">
        <v>7.2571382985074893E-3</v>
      </c>
      <c r="F174" s="502"/>
      <c r="G174" s="219">
        <f t="shared" si="17"/>
        <v>27.420176180759228</v>
      </c>
      <c r="H174" s="176">
        <f t="shared" si="18"/>
        <v>72.579823819240772</v>
      </c>
      <c r="I174" s="516">
        <f t="shared" si="15"/>
        <v>100</v>
      </c>
      <c r="J174" s="153">
        <f>(G174*0)/(1+cDR)^'Markov Model_b (3)'!cycle</f>
        <v>0</v>
      </c>
      <c r="K174" s="178">
        <f t="shared" si="8"/>
        <v>27.420176180759228</v>
      </c>
      <c r="L174" s="202">
        <f>(G174*(uPostT))/(1+oDR)^'Markov Model_b (3)'!cycle</f>
        <v>13.837107063108123</v>
      </c>
      <c r="M174" s="80"/>
      <c r="N174" s="3"/>
      <c r="O174" s="80"/>
      <c r="P174" s="173">
        <v>164</v>
      </c>
      <c r="Q174" s="165"/>
      <c r="R174" s="174">
        <v>7.2569777081487154E-3</v>
      </c>
      <c r="S174" s="502"/>
      <c r="T174" s="219">
        <f t="shared" si="16"/>
        <v>25.832085061114242</v>
      </c>
      <c r="U174" s="249">
        <f t="shared" si="12"/>
        <v>74.167914938885758</v>
      </c>
      <c r="V174" s="516">
        <f t="shared" si="13"/>
        <v>100</v>
      </c>
      <c r="W174" s="153">
        <f>(T174*0)/(1+cDR)^'Markov Model_b (3)'!cycle2</f>
        <v>0</v>
      </c>
      <c r="X174" s="178">
        <f t="shared" si="14"/>
        <v>25.832085061114242</v>
      </c>
      <c r="Y174" s="202">
        <f>(T174*(uPostT))/(1+oDR)^'Markov Model_b (3)'!cycle</f>
        <v>13.035704960377705</v>
      </c>
      <c r="Z174" s="80"/>
      <c r="AA174" s="3"/>
      <c r="AB174" s="3"/>
      <c r="AC174" s="14">
        <v>162</v>
      </c>
      <c r="AD174" s="14"/>
      <c r="AE174" s="14"/>
      <c r="AF174" s="3"/>
      <c r="AG174" s="3"/>
      <c r="AH174" s="3"/>
      <c r="AI174" s="14"/>
      <c r="AJ174" s="14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</row>
    <row r="175" spans="1:58" ht="14.25" customHeight="1" x14ac:dyDescent="0.2">
      <c r="A175" s="637"/>
      <c r="B175" s="417"/>
      <c r="C175" s="173">
        <v>165</v>
      </c>
      <c r="D175" s="165"/>
      <c r="E175" s="174">
        <v>7.2994870325860236E-3</v>
      </c>
      <c r="F175" s="502"/>
      <c r="G175" s="219">
        <f t="shared" si="17"/>
        <v>27.220022960296546</v>
      </c>
      <c r="H175" s="176">
        <f t="shared" si="18"/>
        <v>72.779977039703454</v>
      </c>
      <c r="I175" s="516">
        <f t="shared" si="15"/>
        <v>100</v>
      </c>
      <c r="J175" s="153">
        <f>(G175*0)/(1+cDR)^'Markov Model_b (3)'!cycle</f>
        <v>0</v>
      </c>
      <c r="K175" s="178">
        <f t="shared" si="8"/>
        <v>27.220022960296546</v>
      </c>
      <c r="L175" s="202">
        <f>(G175*(uPostT))/(1+oDR)^'Markov Model_b (3)'!cycle</f>
        <v>13.701848657887739</v>
      </c>
      <c r="M175" s="80"/>
      <c r="N175" s="3"/>
      <c r="O175" s="80"/>
      <c r="P175" s="173">
        <v>165</v>
      </c>
      <c r="Q175" s="165"/>
      <c r="R175" s="174">
        <v>7.2993332071376914E-3</v>
      </c>
      <c r="S175" s="502"/>
      <c r="T175" s="219">
        <f t="shared" si="16"/>
        <v>25.643528064818042</v>
      </c>
      <c r="U175" s="249">
        <f t="shared" si="12"/>
        <v>74.356471935181958</v>
      </c>
      <c r="V175" s="516">
        <f t="shared" si="13"/>
        <v>100</v>
      </c>
      <c r="W175" s="153">
        <f>(T175*0)/(1+cDR)^'Markov Model_b (3)'!cycle2</f>
        <v>0</v>
      </c>
      <c r="X175" s="178">
        <f t="shared" si="14"/>
        <v>25.643528064818042</v>
      </c>
      <c r="Y175" s="202">
        <f>(T175*(uPostT))/(1+oDR)^'Markov Model_b (3)'!cycle</f>
        <v>12.908282300530644</v>
      </c>
      <c r="Z175" s="80"/>
      <c r="AA175" s="3"/>
      <c r="AB175" s="3"/>
      <c r="AC175" s="14">
        <v>163</v>
      </c>
      <c r="AD175" s="14"/>
      <c r="AE175" s="14"/>
      <c r="AF175" s="3"/>
      <c r="AG175" s="3"/>
      <c r="AH175" s="3"/>
      <c r="AI175" s="14"/>
      <c r="AJ175" s="14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</row>
    <row r="176" spans="1:58" ht="14.25" customHeight="1" x14ac:dyDescent="0.2">
      <c r="A176" s="637"/>
      <c r="B176" s="417"/>
      <c r="C176" s="173">
        <v>166</v>
      </c>
      <c r="D176" s="165"/>
      <c r="E176" s="174">
        <v>7.3423593227374103E-3</v>
      </c>
      <c r="F176" s="502"/>
      <c r="G176" s="219">
        <f t="shared" si="17"/>
        <v>27.020163770948884</v>
      </c>
      <c r="H176" s="176">
        <f t="shared" si="18"/>
        <v>72.979836229051116</v>
      </c>
      <c r="I176" s="516">
        <f t="shared" si="15"/>
        <v>100</v>
      </c>
      <c r="J176" s="153">
        <f>(G176*0)/(1+cDR)^'Markov Model_b (3)'!cycle</f>
        <v>0</v>
      </c>
      <c r="K176" s="178">
        <f t="shared" si="8"/>
        <v>27.020163770948884</v>
      </c>
      <c r="L176" s="202">
        <f>(G176*(uPostT))/(1+oDR)^'Markov Model_b (3)'!cycle</f>
        <v>13.567326445541909</v>
      </c>
      <c r="M176" s="80"/>
      <c r="N176" s="3"/>
      <c r="O176" s="80"/>
      <c r="P176" s="173">
        <v>166</v>
      </c>
      <c r="Q176" s="165"/>
      <c r="R176" s="174">
        <v>7.3422125324955319E-3</v>
      </c>
      <c r="S176" s="502"/>
      <c r="T176" s="219">
        <f t="shared" si="16"/>
        <v>25.455247831683138</v>
      </c>
      <c r="U176" s="249">
        <f t="shared" si="12"/>
        <v>74.544752168316862</v>
      </c>
      <c r="V176" s="516">
        <f t="shared" si="13"/>
        <v>100</v>
      </c>
      <c r="W176" s="153">
        <f>(T176*0)/(1+cDR)^'Markov Model_b (3)'!cycle2</f>
        <v>0</v>
      </c>
      <c r="X176" s="178">
        <f t="shared" si="14"/>
        <v>25.455247831683138</v>
      </c>
      <c r="Y176" s="202">
        <f>(T176*(uPostT))/(1+oDR)^'Markov Model_b (3)'!cycle</f>
        <v>12.781553065786239</v>
      </c>
      <c r="Z176" s="80"/>
      <c r="AA176" s="3"/>
      <c r="AB176" s="3"/>
      <c r="AC176" s="14">
        <v>164</v>
      </c>
      <c r="AD176" s="14"/>
      <c r="AE176" s="14"/>
      <c r="AF176" s="3"/>
      <c r="AG176" s="3"/>
      <c r="AH176" s="3"/>
      <c r="AI176" s="14"/>
      <c r="AJ176" s="14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</row>
    <row r="177" spans="1:58" ht="14.25" customHeight="1" x14ac:dyDescent="0.2">
      <c r="A177" s="637"/>
      <c r="B177" s="417"/>
      <c r="C177" s="173">
        <v>167</v>
      </c>
      <c r="D177" s="165"/>
      <c r="E177" s="174">
        <v>7.3857918143835398E-3</v>
      </c>
      <c r="F177" s="502"/>
      <c r="G177" s="219">
        <f t="shared" si="17"/>
        <v>26.820598466546102</v>
      </c>
      <c r="H177" s="176">
        <f t="shared" si="18"/>
        <v>73.179401533453898</v>
      </c>
      <c r="I177" s="516">
        <f t="shared" si="15"/>
        <v>100</v>
      </c>
      <c r="J177" s="153">
        <f>(G177*0)/(1+cDR)^'Markov Model_b (3)'!cycle</f>
        <v>0</v>
      </c>
      <c r="K177" s="178">
        <f t="shared" si="8"/>
        <v>26.820598466546102</v>
      </c>
      <c r="L177" s="202">
        <f>(G177*(uPostT))/(1+oDR)^'Markov Model_b (3)'!cycle</f>
        <v>13.433537154052221</v>
      </c>
      <c r="M177" s="80"/>
      <c r="N177" s="3"/>
      <c r="O177" s="80"/>
      <c r="P177" s="173">
        <v>167</v>
      </c>
      <c r="Q177" s="165"/>
      <c r="R177" s="174">
        <v>7.3856522922318554E-3</v>
      </c>
      <c r="S177" s="502"/>
      <c r="T177" s="219">
        <f t="shared" si="16"/>
        <v>25.267244222185738</v>
      </c>
      <c r="U177" s="249">
        <f t="shared" si="12"/>
        <v>74.732755777814262</v>
      </c>
      <c r="V177" s="516">
        <f t="shared" si="13"/>
        <v>100</v>
      </c>
      <c r="W177" s="153">
        <f>(T177*0)/(1+cDR)^'Markov Model_b (3)'!cycle2</f>
        <v>0</v>
      </c>
      <c r="X177" s="178">
        <f t="shared" si="14"/>
        <v>25.267244222185738</v>
      </c>
      <c r="Y177" s="202">
        <f>(T177*(uPostT))/(1+oDR)^'Markov Model_b (3)'!cycle</f>
        <v>12.655514173653497</v>
      </c>
      <c r="Z177" s="80"/>
      <c r="AA177" s="3"/>
      <c r="AB177" s="3"/>
      <c r="AC177" s="14">
        <v>165</v>
      </c>
      <c r="AD177" s="14"/>
      <c r="AE177" s="14"/>
      <c r="AF177" s="3"/>
      <c r="AG177" s="3"/>
      <c r="AH177" s="3"/>
      <c r="AI177" s="14"/>
      <c r="AJ177" s="14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</row>
    <row r="178" spans="1:58" ht="14.25" customHeight="1" x14ac:dyDescent="0.2">
      <c r="A178" s="637"/>
      <c r="B178" s="417"/>
      <c r="C178" s="173">
        <v>168</v>
      </c>
      <c r="D178" s="165"/>
      <c r="E178" s="174">
        <v>7.429902688505457E-3</v>
      </c>
      <c r="F178" s="502"/>
      <c r="G178" s="219">
        <f t="shared" si="17"/>
        <v>26.621324029892179</v>
      </c>
      <c r="H178" s="176">
        <f t="shared" si="18"/>
        <v>73.378675970107821</v>
      </c>
      <c r="I178" s="516">
        <f t="shared" si="15"/>
        <v>100</v>
      </c>
      <c r="J178" s="153">
        <f>(G178*0)/(1+cDR)^'Markov Model_b (3)'!cycle</f>
        <v>0</v>
      </c>
      <c r="K178" s="178">
        <f t="shared" ref="K178:K241" si="19">G178</f>
        <v>26.621324029892179</v>
      </c>
      <c r="L178" s="202">
        <f>(G178*(uPostT))/(1+oDR)^'Markov Model_b (3)'!cycle</f>
        <v>13.300476090010161</v>
      </c>
      <c r="M178" s="80"/>
      <c r="N178" s="3"/>
      <c r="O178" s="80"/>
      <c r="P178" s="173">
        <v>168</v>
      </c>
      <c r="Q178" s="165"/>
      <c r="R178" s="174">
        <v>7.4297704924135037E-3</v>
      </c>
      <c r="S178" s="502"/>
      <c r="T178" s="219">
        <f t="shared" si="16"/>
        <v>25.079514396639141</v>
      </c>
      <c r="U178" s="249">
        <f t="shared" si="12"/>
        <v>74.920485603360859</v>
      </c>
      <c r="V178" s="516">
        <f t="shared" si="13"/>
        <v>100</v>
      </c>
      <c r="W178" s="153">
        <f>(T178*0)/(1+cDR)^'Markov Model_b (3)'!cycle2</f>
        <v>0</v>
      </c>
      <c r="X178" s="178">
        <f t="shared" si="14"/>
        <v>25.079514396639141</v>
      </c>
      <c r="Y178" s="202">
        <f>(T178*(uPostT))/(1+oDR)^'Markov Model_b (3)'!cycle</f>
        <v>12.530161204867598</v>
      </c>
      <c r="Z178" s="80"/>
      <c r="AA178" s="3"/>
      <c r="AB178" s="3"/>
      <c r="AC178" s="14">
        <v>166</v>
      </c>
      <c r="AD178" s="14"/>
      <c r="AE178" s="14"/>
      <c r="AF178" s="3"/>
      <c r="AG178" s="3"/>
      <c r="AH178" s="3"/>
      <c r="AI178" s="14"/>
      <c r="AJ178" s="14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</row>
    <row r="179" spans="1:58" ht="14.25" customHeight="1" x14ac:dyDescent="0.2">
      <c r="A179" s="597"/>
      <c r="B179" s="417"/>
      <c r="C179" s="173">
        <v>169</v>
      </c>
      <c r="D179" s="504"/>
      <c r="E179" s="174">
        <v>7.4747335494823033E-3</v>
      </c>
      <c r="F179" s="505"/>
      <c r="G179" s="219">
        <f t="shared" si="17"/>
        <v>26.422336726034303</v>
      </c>
      <c r="H179" s="176">
        <f t="shared" si="18"/>
        <v>73.577663273965697</v>
      </c>
      <c r="I179" s="516">
        <f t="shared" si="15"/>
        <v>100</v>
      </c>
      <c r="J179" s="180">
        <f>(G179*0)/(1+cDR)^'Markov Model_b (3)'!cycle</f>
        <v>0</v>
      </c>
      <c r="K179" s="176">
        <f t="shared" si="19"/>
        <v>26.422336726034303</v>
      </c>
      <c r="L179" s="202">
        <f>(G179*(uPostT))/(1+oDR)^'Markov Model_b (3)'!cycle</f>
        <v>13.168138229582119</v>
      </c>
      <c r="M179" s="80"/>
      <c r="N179" s="3"/>
      <c r="O179" s="80"/>
      <c r="P179" s="173">
        <v>169</v>
      </c>
      <c r="Q179" s="504"/>
      <c r="R179" s="174">
        <v>7.4746086929426509E-3</v>
      </c>
      <c r="S179" s="505"/>
      <c r="T179" s="219">
        <f t="shared" si="16"/>
        <v>24.89205484031524</v>
      </c>
      <c r="U179" s="249">
        <f t="shared" si="12"/>
        <v>75.10794515968476</v>
      </c>
      <c r="V179" s="516">
        <f t="shared" si="13"/>
        <v>100</v>
      </c>
      <c r="W179" s="180">
        <f>(T179*0)/(1+cDR)^'Markov Model_b (3)'!cycle2</f>
        <v>0</v>
      </c>
      <c r="X179" s="176">
        <f t="shared" si="14"/>
        <v>24.89205484031524</v>
      </c>
      <c r="Y179" s="202">
        <f>(T179*(uPostT))/(1+oDR)^'Markov Model_b (3)'!cycle</f>
        <v>12.405489429428151</v>
      </c>
      <c r="Z179" s="80"/>
      <c r="AA179" s="3"/>
      <c r="AB179" s="3"/>
      <c r="AC179" s="14">
        <v>167</v>
      </c>
      <c r="AD179" s="14"/>
      <c r="AE179" s="14"/>
      <c r="AF179" s="3"/>
      <c r="AG179" s="3"/>
      <c r="AH179" s="3"/>
      <c r="AI179" s="14"/>
      <c r="AJ179" s="14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</row>
    <row r="180" spans="1:58" ht="14.25" customHeight="1" x14ac:dyDescent="0.25">
      <c r="A180" s="637" t="s">
        <v>556</v>
      </c>
      <c r="B180" s="417"/>
      <c r="C180" s="506">
        <v>170</v>
      </c>
      <c r="D180" s="506"/>
      <c r="E180" s="507">
        <v>7.5203002699799314E-3</v>
      </c>
      <c r="F180" s="508"/>
      <c r="G180" s="509">
        <f t="shared" si="17"/>
        <v>26.223632820020001</v>
      </c>
      <c r="H180" s="176">
        <f t="shared" si="18"/>
        <v>73.776367179979999</v>
      </c>
      <c r="I180" s="518">
        <f t="shared" si="15"/>
        <v>100</v>
      </c>
      <c r="J180" s="511">
        <f>(G180*0)/(1+cDR)^'Markov Model_b (3)'!cycle</f>
        <v>0</v>
      </c>
      <c r="K180" s="512">
        <f t="shared" si="19"/>
        <v>26.223632820020001</v>
      </c>
      <c r="L180" s="513">
        <f>(G180*(uPostT))/(1+oDR)^'Markov Model_b (3)'!cycle</f>
        <v>13.036518579649934</v>
      </c>
      <c r="M180" s="80"/>
      <c r="N180" s="3"/>
      <c r="O180" s="80"/>
      <c r="P180" s="506">
        <v>170</v>
      </c>
      <c r="Q180" s="506"/>
      <c r="R180" s="507">
        <v>7.5201827663350781E-3</v>
      </c>
      <c r="S180" s="508"/>
      <c r="T180" s="509">
        <f t="shared" si="16"/>
        <v>24.704862038486439</v>
      </c>
      <c r="U180" s="249">
        <f t="shared" si="12"/>
        <v>75.295137961513561</v>
      </c>
      <c r="V180" s="518">
        <f t="shared" si="13"/>
        <v>100</v>
      </c>
      <c r="W180" s="511">
        <f>(T180*0)/(1+cDR)^'Markov Model_b (3)'!cycle2</f>
        <v>0</v>
      </c>
      <c r="X180" s="512">
        <f t="shared" si="14"/>
        <v>24.704862038486439</v>
      </c>
      <c r="Y180" s="513">
        <f>(T180*(uPostT))/(1+oDR)^'Markov Model_b (3)'!cycle</f>
        <v>12.281494146247399</v>
      </c>
      <c r="Z180" s="80"/>
      <c r="AA180" s="3"/>
      <c r="AB180" s="3"/>
      <c r="AC180" s="14">
        <v>168</v>
      </c>
      <c r="AD180" s="14"/>
      <c r="AE180" s="14"/>
      <c r="AF180" s="3"/>
      <c r="AG180" s="3"/>
      <c r="AH180" s="3"/>
      <c r="AI180" s="14"/>
      <c r="AJ180" s="14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</row>
    <row r="181" spans="1:58" ht="14.25" customHeight="1" x14ac:dyDescent="0.2">
      <c r="A181" s="637"/>
      <c r="B181" s="417"/>
      <c r="C181" s="173">
        <v>171</v>
      </c>
      <c r="D181" s="165"/>
      <c r="E181" s="174">
        <v>7.5666164328525723E-3</v>
      </c>
      <c r="F181" s="502"/>
      <c r="G181" s="219">
        <f t="shared" si="17"/>
        <v>26.025208648994948</v>
      </c>
      <c r="H181" s="176">
        <f t="shared" si="18"/>
        <v>73.974791351005052</v>
      </c>
      <c r="I181" s="516">
        <f t="shared" si="15"/>
        <v>100</v>
      </c>
      <c r="J181" s="153">
        <f>(G181*0)/(1+cDR)^'Markov Model_b (3)'!cycle</f>
        <v>0</v>
      </c>
      <c r="K181" s="178">
        <f t="shared" si="19"/>
        <v>26.025208648994948</v>
      </c>
      <c r="L181" s="202">
        <f>(G181*(uPostT))/(1+oDR)^'Markov Model_b (3)'!cycle</f>
        <v>12.905612213404458</v>
      </c>
      <c r="M181" s="80"/>
      <c r="N181" s="3"/>
      <c r="O181" s="80"/>
      <c r="P181" s="173">
        <v>171</v>
      </c>
      <c r="Q181" s="165"/>
      <c r="R181" s="174">
        <v>7.5665062738133797E-3</v>
      </c>
      <c r="S181" s="502"/>
      <c r="T181" s="219">
        <f t="shared" si="16"/>
        <v>24.517932544878533</v>
      </c>
      <c r="U181" s="249">
        <f t="shared" si="12"/>
        <v>75.482067455121467</v>
      </c>
      <c r="V181" s="516">
        <f t="shared" si="13"/>
        <v>100</v>
      </c>
      <c r="W181" s="153">
        <f>(T181*0)/(1+cDR)^'Markov Model_b (3)'!cycle2</f>
        <v>0</v>
      </c>
      <c r="X181" s="178">
        <f t="shared" si="14"/>
        <v>24.517932544878533</v>
      </c>
      <c r="Y181" s="202">
        <f>(T181*(uPostT))/(1+oDR)^'Markov Model_b (3)'!cycle</f>
        <v>12.158170716945651</v>
      </c>
      <c r="Z181" s="80"/>
      <c r="AA181" s="3"/>
      <c r="AB181" s="3"/>
      <c r="AC181" s="14">
        <v>169</v>
      </c>
      <c r="AD181" s="14"/>
      <c r="AE181" s="14"/>
      <c r="AF181" s="3"/>
      <c r="AG181" s="3"/>
      <c r="AH181" s="3"/>
      <c r="AI181" s="14"/>
      <c r="AJ181" s="14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</row>
    <row r="182" spans="1:58" ht="14.25" customHeight="1" x14ac:dyDescent="0.2">
      <c r="A182" s="637"/>
      <c r="B182" s="417"/>
      <c r="C182" s="173">
        <v>172</v>
      </c>
      <c r="D182" s="165"/>
      <c r="E182" s="174">
        <v>7.6136876813801728E-3</v>
      </c>
      <c r="F182" s="502"/>
      <c r="G182" s="219">
        <f t="shared" si="17"/>
        <v>25.827060838498753</v>
      </c>
      <c r="H182" s="176">
        <f t="shared" si="18"/>
        <v>74.172939161501247</v>
      </c>
      <c r="I182" s="516">
        <f t="shared" si="15"/>
        <v>100</v>
      </c>
      <c r="J182" s="153">
        <f>(G182*0)/(1+cDR)^'Markov Model_b (3)'!cycle</f>
        <v>0</v>
      </c>
      <c r="K182" s="178">
        <f t="shared" si="19"/>
        <v>25.827060838498753</v>
      </c>
      <c r="L182" s="202">
        <f>(G182*(uPostT))/(1+oDR)^'Markov Model_b (3)'!cycle</f>
        <v>12.775414376732762</v>
      </c>
      <c r="M182" s="80"/>
      <c r="N182" s="3"/>
      <c r="O182" s="80"/>
      <c r="P182" s="173">
        <v>172</v>
      </c>
      <c r="Q182" s="165"/>
      <c r="R182" s="174">
        <v>7.6135847712044107E-3</v>
      </c>
      <c r="S182" s="502"/>
      <c r="T182" s="219">
        <f t="shared" si="16"/>
        <v>24.331263187033429</v>
      </c>
      <c r="U182" s="249">
        <f t="shared" si="12"/>
        <v>75.668736812966571</v>
      </c>
      <c r="V182" s="516">
        <f t="shared" si="13"/>
        <v>100</v>
      </c>
      <c r="W182" s="153">
        <f>(T182*0)/(1+cDR)^'Markov Model_b (3)'!cycle2</f>
        <v>0</v>
      </c>
      <c r="X182" s="178">
        <f t="shared" si="14"/>
        <v>24.331263187033429</v>
      </c>
      <c r="Y182" s="202">
        <f>(T182*(uPostT))/(1+oDR)^'Markov Model_b (3)'!cycle</f>
        <v>12.035514666862255</v>
      </c>
      <c r="Z182" s="80"/>
      <c r="AA182" s="3"/>
      <c r="AB182" s="3"/>
      <c r="AC182" s="14">
        <v>170</v>
      </c>
      <c r="AD182" s="14"/>
      <c r="AE182" s="14"/>
      <c r="AF182" s="3"/>
      <c r="AG182" s="3"/>
      <c r="AH182" s="3"/>
      <c r="AI182" s="14"/>
      <c r="AJ182" s="14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</row>
    <row r="183" spans="1:58" ht="14.25" customHeight="1" x14ac:dyDescent="0.2">
      <c r="A183" s="637"/>
      <c r="B183" s="417"/>
      <c r="C183" s="173">
        <v>173</v>
      </c>
      <c r="D183" s="165"/>
      <c r="E183" s="174">
        <v>7.6615280990335989E-3</v>
      </c>
      <c r="F183" s="502"/>
      <c r="G183" s="219">
        <f t="shared" si="17"/>
        <v>25.629186086169142</v>
      </c>
      <c r="H183" s="176">
        <f t="shared" si="18"/>
        <v>74.370813913830858</v>
      </c>
      <c r="I183" s="516">
        <f t="shared" si="15"/>
        <v>100</v>
      </c>
      <c r="J183" s="153">
        <f>(G183*0)/(1+cDR)^'Markov Model_b (3)'!cycle</f>
        <v>0</v>
      </c>
      <c r="K183" s="178">
        <f t="shared" si="19"/>
        <v>25.629186086169142</v>
      </c>
      <c r="L183" s="202">
        <f>(G183*(uPostT))/(1+oDR)^'Markov Model_b (3)'!cycle</f>
        <v>12.645920379559724</v>
      </c>
      <c r="M183" s="80"/>
      <c r="N183" s="3"/>
      <c r="O183" s="80"/>
      <c r="P183" s="173">
        <v>173</v>
      </c>
      <c r="Q183" s="165"/>
      <c r="R183" s="174">
        <v>7.6614323166931571E-3</v>
      </c>
      <c r="S183" s="502"/>
      <c r="T183" s="219">
        <f t="shared" si="16"/>
        <v>24.14485086094632</v>
      </c>
      <c r="U183" s="249">
        <f t="shared" si="12"/>
        <v>75.85514913905368</v>
      </c>
      <c r="V183" s="516">
        <f t="shared" si="13"/>
        <v>100</v>
      </c>
      <c r="W183" s="153">
        <f>(T183*0)/(1+cDR)^'Markov Model_b (3)'!cycle2</f>
        <v>0</v>
      </c>
      <c r="X183" s="178">
        <f t="shared" si="14"/>
        <v>24.14485086094632</v>
      </c>
      <c r="Y183" s="202">
        <f>(T183*(uPostT))/(1+oDR)^'Markov Model_b (3)'!cycle</f>
        <v>11.913521581890791</v>
      </c>
      <c r="Z183" s="80"/>
      <c r="AA183" s="3"/>
      <c r="AB183" s="3"/>
      <c r="AC183" s="14">
        <v>171</v>
      </c>
      <c r="AD183" s="14"/>
      <c r="AE183" s="14"/>
      <c r="AF183" s="3"/>
      <c r="AG183" s="3"/>
      <c r="AH183" s="3"/>
      <c r="AI183" s="14"/>
      <c r="AJ183" s="14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</row>
    <row r="184" spans="1:58" ht="14.25" customHeight="1" x14ac:dyDescent="0.2">
      <c r="A184" s="637"/>
      <c r="B184" s="417"/>
      <c r="C184" s="173">
        <v>174</v>
      </c>
      <c r="D184" s="165"/>
      <c r="E184" s="174">
        <v>7.7101565933327433E-3</v>
      </c>
      <c r="F184" s="502"/>
      <c r="G184" s="219">
        <f t="shared" si="17"/>
        <v>25.431581048085107</v>
      </c>
      <c r="H184" s="176">
        <f t="shared" si="18"/>
        <v>74.568418951914893</v>
      </c>
      <c r="I184" s="516">
        <f t="shared" si="15"/>
        <v>100</v>
      </c>
      <c r="J184" s="153">
        <f>(G184*0)/(1+cDR)^'Markov Model_b (3)'!cycle</f>
        <v>0</v>
      </c>
      <c r="K184" s="178">
        <f t="shared" si="19"/>
        <v>25.431581048085107</v>
      </c>
      <c r="L184" s="202">
        <f>(G184*(uPostT))/(1+oDR)^'Markov Model_b (3)'!cycle</f>
        <v>12.517125539318208</v>
      </c>
      <c r="M184" s="80"/>
      <c r="N184" s="3"/>
      <c r="O184" s="80"/>
      <c r="P184" s="173">
        <v>174</v>
      </c>
      <c r="Q184" s="165"/>
      <c r="R184" s="174">
        <v>7.7100678026593558E-3</v>
      </c>
      <c r="S184" s="502"/>
      <c r="T184" s="219">
        <f t="shared" si="16"/>
        <v>23.958692423723321</v>
      </c>
      <c r="U184" s="249">
        <f t="shared" ref="U184:U247" si="20">U183+(T183*R184)</f>
        <v>76.041307576276679</v>
      </c>
      <c r="V184" s="516">
        <f t="shared" ref="V184:V247" si="21">SUM(T184:U184)</f>
        <v>100</v>
      </c>
      <c r="W184" s="153">
        <f>(T184*0)/(1+cDR)^'Markov Model_b (3)'!cycle2</f>
        <v>0</v>
      </c>
      <c r="X184" s="178">
        <f t="shared" ref="X184:X247" si="22">T184</f>
        <v>23.958692423723321</v>
      </c>
      <c r="Y184" s="202">
        <f>(T184*(uPostT))/(1+oDR)^'Markov Model_b (3)'!cycle</f>
        <v>11.792187055088249</v>
      </c>
      <c r="Z184" s="80"/>
      <c r="AA184" s="3"/>
      <c r="AB184" s="3"/>
      <c r="AC184" s="14">
        <v>172</v>
      </c>
      <c r="AD184" s="14"/>
      <c r="AE184" s="14"/>
      <c r="AF184" s="3"/>
      <c r="AG184" s="3"/>
      <c r="AH184" s="3"/>
      <c r="AI184" s="14"/>
      <c r="AJ184" s="14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</row>
    <row r="185" spans="1:58" ht="14.25" customHeight="1" x14ac:dyDescent="0.2">
      <c r="A185" s="637"/>
      <c r="B185" s="417"/>
      <c r="C185" s="173">
        <v>175</v>
      </c>
      <c r="D185" s="165"/>
      <c r="E185" s="174">
        <v>7.7595975500888374E-3</v>
      </c>
      <c r="F185" s="502"/>
      <c r="G185" s="219">
        <f t="shared" si="17"/>
        <v>25.234242214089505</v>
      </c>
      <c r="H185" s="176">
        <f t="shared" si="18"/>
        <v>74.765757785910495</v>
      </c>
      <c r="I185" s="516">
        <f t="shared" ref="I185:I248" si="23">SUM(G185:H185)</f>
        <v>100</v>
      </c>
      <c r="J185" s="153">
        <f>(G185*0)/(1+cDR)^'Markov Model_b (3)'!cycle</f>
        <v>0</v>
      </c>
      <c r="K185" s="178">
        <f t="shared" si="19"/>
        <v>25.234242214089505</v>
      </c>
      <c r="L185" s="202">
        <f>(G185*(uPostT))/(1+oDR)^'Markov Model_b (3)'!cycle</f>
        <v>12.389025119849538</v>
      </c>
      <c r="M185" s="80"/>
      <c r="N185" s="3"/>
      <c r="O185" s="80"/>
      <c r="P185" s="173">
        <v>175</v>
      </c>
      <c r="Q185" s="165"/>
      <c r="R185" s="174">
        <v>7.7595155663509338E-3</v>
      </c>
      <c r="S185" s="502"/>
      <c r="T185" s="219">
        <f t="shared" ref="T185:T248" si="24">$T$10-U185</f>
        <v>23.772784576912031</v>
      </c>
      <c r="U185" s="249">
        <f t="shared" si="20"/>
        <v>76.227215423087969</v>
      </c>
      <c r="V185" s="516">
        <f t="shared" si="21"/>
        <v>100</v>
      </c>
      <c r="W185" s="153">
        <f>(T185*0)/(1+cDR)^'Markov Model_b (3)'!cycle2</f>
        <v>0</v>
      </c>
      <c r="X185" s="178">
        <f t="shared" si="22"/>
        <v>23.772784576912031</v>
      </c>
      <c r="Y185" s="202">
        <f>(T185*(uPostT))/(1+oDR)^'Markov Model_b (3)'!cycle</f>
        <v>11.671506629499225</v>
      </c>
      <c r="Z185" s="80"/>
      <c r="AA185" s="3"/>
      <c r="AB185" s="3"/>
      <c r="AC185" s="14">
        <v>173</v>
      </c>
      <c r="AD185" s="14"/>
      <c r="AE185" s="14"/>
      <c r="AF185" s="3"/>
      <c r="AG185" s="3"/>
      <c r="AH185" s="3"/>
      <c r="AI185" s="14"/>
      <c r="AJ185" s="14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</row>
    <row r="186" spans="1:58" ht="14.25" customHeight="1" x14ac:dyDescent="0.2">
      <c r="A186" s="637"/>
      <c r="B186" s="417"/>
      <c r="C186" s="173">
        <v>176</v>
      </c>
      <c r="D186" s="165"/>
      <c r="E186" s="174">
        <v>7.8098712040253274E-3</v>
      </c>
      <c r="F186" s="502"/>
      <c r="G186" s="219">
        <f t="shared" si="17"/>
        <v>25.037166032466288</v>
      </c>
      <c r="H186" s="176">
        <f t="shared" si="18"/>
        <v>74.962833967533712</v>
      </c>
      <c r="I186" s="516">
        <f t="shared" si="23"/>
        <v>100</v>
      </c>
      <c r="J186" s="153">
        <f>(G186*0)/(1+cDR)^'Markov Model_b (3)'!cycle</f>
        <v>0</v>
      </c>
      <c r="K186" s="178">
        <f t="shared" si="19"/>
        <v>25.037166032466288</v>
      </c>
      <c r="L186" s="202">
        <f>(G186*(uPostT))/(1+oDR)^'Markov Model_b (3)'!cycle</f>
        <v>12.261614393336735</v>
      </c>
      <c r="M186" s="80"/>
      <c r="N186" s="3"/>
      <c r="O186" s="80"/>
      <c r="P186" s="173">
        <v>176</v>
      </c>
      <c r="Q186" s="165"/>
      <c r="R186" s="174">
        <v>7.8097958251769749E-3</v>
      </c>
      <c r="S186" s="502"/>
      <c r="T186" s="219">
        <f t="shared" si="24"/>
        <v>23.587123983170429</v>
      </c>
      <c r="U186" s="249">
        <f t="shared" si="20"/>
        <v>76.412876016829571</v>
      </c>
      <c r="V186" s="516">
        <f t="shared" si="21"/>
        <v>100</v>
      </c>
      <c r="W186" s="153">
        <f>(T186*0)/(1+cDR)^'Markov Model_b (3)'!cycle2</f>
        <v>0</v>
      </c>
      <c r="X186" s="178">
        <f t="shared" si="22"/>
        <v>23.587123983170429</v>
      </c>
      <c r="Y186" s="202">
        <f>(T186*(uPostT))/(1+oDR)^'Markov Model_b (3)'!cycle</f>
        <v>11.551475856110358</v>
      </c>
      <c r="Z186" s="80"/>
      <c r="AA186" s="3"/>
      <c r="AB186" s="3"/>
      <c r="AC186" s="14">
        <v>174</v>
      </c>
      <c r="AD186" s="14"/>
      <c r="AE186" s="14"/>
      <c r="AF186" s="3"/>
      <c r="AG186" s="3"/>
      <c r="AH186" s="3"/>
      <c r="AI186" s="14"/>
      <c r="AJ186" s="14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</row>
    <row r="187" spans="1:58" ht="14.25" customHeight="1" x14ac:dyDescent="0.2">
      <c r="A187" s="637"/>
      <c r="B187" s="417"/>
      <c r="C187" s="173">
        <v>177</v>
      </c>
      <c r="D187" s="165"/>
      <c r="E187" s="174">
        <v>7.8609967562449663E-3</v>
      </c>
      <c r="F187" s="502"/>
      <c r="G187" s="219">
        <f t="shared" si="17"/>
        <v>24.840348951499507</v>
      </c>
      <c r="H187" s="176">
        <f t="shared" si="18"/>
        <v>75.159651048500493</v>
      </c>
      <c r="I187" s="516">
        <f t="shared" si="23"/>
        <v>100</v>
      </c>
      <c r="J187" s="153">
        <f>(G187*0)/(1+cDR)^'Markov Model_b (3)'!cycle</f>
        <v>0</v>
      </c>
      <c r="K187" s="178">
        <f t="shared" si="19"/>
        <v>24.840348951499507</v>
      </c>
      <c r="L187" s="202">
        <f>(G187*(uPostT))/(1+oDR)^'Markov Model_b (3)'!cycle</f>
        <v>12.134888660712612</v>
      </c>
      <c r="M187" s="80"/>
      <c r="N187" s="3"/>
      <c r="O187" s="80"/>
      <c r="P187" s="173">
        <v>177</v>
      </c>
      <c r="Q187" s="165"/>
      <c r="R187" s="174">
        <v>7.8609277733945795E-3</v>
      </c>
      <c r="S187" s="502"/>
      <c r="T187" s="219">
        <f t="shared" si="24"/>
        <v>23.40170730515662</v>
      </c>
      <c r="U187" s="249">
        <f t="shared" si="20"/>
        <v>76.59829269484338</v>
      </c>
      <c r="V187" s="516">
        <f t="shared" si="21"/>
        <v>100</v>
      </c>
      <c r="W187" s="153">
        <f>(T187*0)/(1+cDR)^'Markov Model_b (3)'!cycle2</f>
        <v>0</v>
      </c>
      <c r="X187" s="178">
        <f t="shared" si="22"/>
        <v>23.40170730515662</v>
      </c>
      <c r="Y187" s="202">
        <f>(T187*(uPostT))/(1+oDR)^'Markov Model_b (3)'!cycle</f>
        <v>11.432090312946997</v>
      </c>
      <c r="Z187" s="80"/>
      <c r="AA187" s="3"/>
      <c r="AB187" s="3"/>
      <c r="AC187" s="14">
        <v>175</v>
      </c>
      <c r="AD187" s="14"/>
      <c r="AE187" s="14"/>
      <c r="AF187" s="3"/>
      <c r="AG187" s="3"/>
      <c r="AH187" s="3"/>
      <c r="AI187" s="14"/>
      <c r="AJ187" s="14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</row>
    <row r="188" spans="1:58" ht="14.25" customHeight="1" x14ac:dyDescent="0.2">
      <c r="A188" s="637"/>
      <c r="B188" s="417"/>
      <c r="C188" s="173">
        <v>178</v>
      </c>
      <c r="D188" s="165"/>
      <c r="E188" s="174">
        <v>7.9129956483883126E-3</v>
      </c>
      <c r="F188" s="502"/>
      <c r="G188" s="219">
        <f t="shared" si="17"/>
        <v>24.643787378341841</v>
      </c>
      <c r="H188" s="176">
        <f t="shared" si="18"/>
        <v>75.356212621658159</v>
      </c>
      <c r="I188" s="516">
        <f t="shared" si="23"/>
        <v>100</v>
      </c>
      <c r="J188" s="153">
        <f>(G188*0)/(1+cDR)^'Markov Model_b (3)'!cycle</f>
        <v>0</v>
      </c>
      <c r="K188" s="178">
        <f t="shared" si="19"/>
        <v>24.643787378341841</v>
      </c>
      <c r="L188" s="202">
        <f>(G188*(uPostT))/(1+oDR)^'Markov Model_b (3)'!cycle</f>
        <v>12.008843231468042</v>
      </c>
      <c r="M188" s="80"/>
      <c r="N188" s="3"/>
      <c r="O188" s="80"/>
      <c r="P188" s="173">
        <v>178</v>
      </c>
      <c r="Q188" s="165"/>
      <c r="R188" s="174">
        <v>7.9129328411178864E-3</v>
      </c>
      <c r="S188" s="502"/>
      <c r="T188" s="219">
        <f t="shared" si="24"/>
        <v>23.216531166883414</v>
      </c>
      <c r="U188" s="249">
        <f t="shared" si="20"/>
        <v>76.783468833116586</v>
      </c>
      <c r="V188" s="516">
        <f t="shared" si="21"/>
        <v>100</v>
      </c>
      <c r="W188" s="153">
        <f>(T188*0)/(1+cDR)^'Markov Model_b (3)'!cycle2</f>
        <v>0</v>
      </c>
      <c r="X188" s="178">
        <f t="shared" si="22"/>
        <v>23.216531166883414</v>
      </c>
      <c r="Y188" s="202">
        <f>(T188*(uPostT))/(1+oDR)^'Markov Model_b (3)'!cycle</f>
        <v>11.313345586101791</v>
      </c>
      <c r="Z188" s="80"/>
      <c r="AA188" s="3"/>
      <c r="AB188" s="3"/>
      <c r="AC188" s="14">
        <v>176</v>
      </c>
      <c r="AD188" s="14"/>
      <c r="AE188" s="14"/>
      <c r="AF188" s="3"/>
      <c r="AG188" s="3"/>
      <c r="AH188" s="3"/>
      <c r="AI188" s="14"/>
      <c r="AJ188" s="14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</row>
    <row r="189" spans="1:58" ht="14.25" customHeight="1" x14ac:dyDescent="0.2">
      <c r="A189" s="637"/>
      <c r="B189" s="417"/>
      <c r="C189" s="173">
        <v>179</v>
      </c>
      <c r="D189" s="165"/>
      <c r="E189" s="174">
        <v>7.9658950025414746E-3</v>
      </c>
      <c r="F189" s="502"/>
      <c r="G189" s="219">
        <f t="shared" si="17"/>
        <v>24.447477555621006</v>
      </c>
      <c r="H189" s="176">
        <f t="shared" si="18"/>
        <v>75.552522444378994</v>
      </c>
      <c r="I189" s="516">
        <f t="shared" si="23"/>
        <v>100</v>
      </c>
      <c r="J189" s="153">
        <f>(G189*0)/(1+cDR)^'Markov Model_b (3)'!cycle</f>
        <v>0</v>
      </c>
      <c r="K189" s="178">
        <f t="shared" si="19"/>
        <v>24.447477555621006</v>
      </c>
      <c r="L189" s="202">
        <f>(G189*(uPostT))/(1+oDR)^'Markov Model_b (3)'!cycle</f>
        <v>11.883473363774748</v>
      </c>
      <c r="M189" s="80"/>
      <c r="N189" s="3"/>
      <c r="O189" s="80"/>
      <c r="P189" s="173">
        <v>179</v>
      </c>
      <c r="Q189" s="165"/>
      <c r="R189" s="174">
        <v>7.9658381250126316E-3</v>
      </c>
      <c r="S189" s="502"/>
      <c r="T189" s="219">
        <f t="shared" si="24"/>
        <v>23.03159203778371</v>
      </c>
      <c r="U189" s="249">
        <f t="shared" si="20"/>
        <v>76.96840796221629</v>
      </c>
      <c r="V189" s="516">
        <f t="shared" si="21"/>
        <v>100</v>
      </c>
      <c r="W189" s="153">
        <f>(T189*0)/(1+cDR)^'Markov Model_b (3)'!cycle2</f>
        <v>0</v>
      </c>
      <c r="X189" s="178">
        <f t="shared" si="22"/>
        <v>23.03159203778371</v>
      </c>
      <c r="Y189" s="202">
        <f>(T189*(uPostT))/(1+oDR)^'Markov Model_b (3)'!cycle</f>
        <v>11.195237213476888</v>
      </c>
      <c r="Z189" s="80"/>
      <c r="AA189" s="3"/>
      <c r="AB189" s="3"/>
      <c r="AC189" s="14">
        <v>177</v>
      </c>
      <c r="AD189" s="14"/>
      <c r="AE189" s="14"/>
      <c r="AF189" s="3"/>
      <c r="AG189" s="3"/>
      <c r="AH189" s="3"/>
      <c r="AI189" s="14"/>
      <c r="AJ189" s="14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</row>
    <row r="190" spans="1:58" ht="14.25" customHeight="1" x14ac:dyDescent="0.2">
      <c r="A190" s="637"/>
      <c r="B190" s="417"/>
      <c r="C190" s="173">
        <v>180</v>
      </c>
      <c r="D190" s="165"/>
      <c r="E190" s="174">
        <v>8.0197177946593236E-3</v>
      </c>
      <c r="F190" s="502"/>
      <c r="G190" s="219">
        <f t="shared" si="17"/>
        <v>24.25141568483366</v>
      </c>
      <c r="H190" s="176">
        <f t="shared" si="18"/>
        <v>75.74858431516634</v>
      </c>
      <c r="I190" s="516">
        <f t="shared" si="23"/>
        <v>100</v>
      </c>
      <c r="J190" s="153">
        <f>(G190*0)/(1+cDR)^'Markov Model_b (3)'!cycle</f>
        <v>0</v>
      </c>
      <c r="K190" s="178">
        <f t="shared" si="19"/>
        <v>24.25141568483366</v>
      </c>
      <c r="L190" s="202">
        <f>(G190*(uPostT))/(1+oDR)^'Markov Model_b (3)'!cycle</f>
        <v>11.758774325164016</v>
      </c>
      <c r="M190" s="80"/>
      <c r="N190" s="3"/>
      <c r="O190" s="80"/>
      <c r="P190" s="173">
        <v>180</v>
      </c>
      <c r="Q190" s="165"/>
      <c r="R190" s="174">
        <v>8.0196665882100171E-3</v>
      </c>
      <c r="S190" s="502"/>
      <c r="T190" s="219">
        <f t="shared" si="24"/>
        <v>22.846886348645015</v>
      </c>
      <c r="U190" s="249">
        <f t="shared" si="20"/>
        <v>77.153113651354985</v>
      </c>
      <c r="V190" s="516">
        <f t="shared" si="21"/>
        <v>100</v>
      </c>
      <c r="W190" s="153">
        <f>(T190*0)/(1+cDR)^'Markov Model_b (3)'!cycle2</f>
        <v>0</v>
      </c>
      <c r="X190" s="178">
        <f t="shared" si="22"/>
        <v>22.846886348645015</v>
      </c>
      <c r="Y190" s="202">
        <f>(T190*(uPostT))/(1+oDR)^'Markov Model_b (3)'!cycle</f>
        <v>11.0777607417944</v>
      </c>
      <c r="Z190" s="80"/>
      <c r="AA190" s="3"/>
      <c r="AB190" s="3"/>
      <c r="AC190" s="14">
        <v>178</v>
      </c>
      <c r="AD190" s="14"/>
      <c r="AE190" s="14"/>
      <c r="AF190" s="3"/>
      <c r="AG190" s="3"/>
      <c r="AH190" s="3"/>
      <c r="AI190" s="14"/>
      <c r="AJ190" s="14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</row>
    <row r="191" spans="1:58" ht="14.25" customHeight="1" x14ac:dyDescent="0.2">
      <c r="A191" s="597"/>
      <c r="B191" s="417"/>
      <c r="C191" s="173">
        <v>181</v>
      </c>
      <c r="D191" s="504"/>
      <c r="E191" s="174">
        <v>8.0744577149432228E-3</v>
      </c>
      <c r="F191" s="505"/>
      <c r="G191" s="219">
        <f t="shared" si="17"/>
        <v>24.05559865435896</v>
      </c>
      <c r="H191" s="176">
        <f t="shared" si="18"/>
        <v>75.94440134564104</v>
      </c>
      <c r="I191" s="516">
        <f t="shared" si="23"/>
        <v>100</v>
      </c>
      <c r="J191" s="180">
        <f>(G191*0)/(1+cDR)^'Markov Model_b (3)'!cycle</f>
        <v>0</v>
      </c>
      <c r="K191" s="176">
        <f t="shared" si="19"/>
        <v>24.05559865435896</v>
      </c>
      <c r="L191" s="202">
        <f>(G191*(uPostT))/(1+oDR)^'Markov Model_b (3)'!cycle</f>
        <v>11.634741744734084</v>
      </c>
      <c r="M191" s="80"/>
      <c r="N191" s="3"/>
      <c r="O191" s="80"/>
      <c r="P191" s="173">
        <v>181</v>
      </c>
      <c r="Q191" s="504"/>
      <c r="R191" s="174">
        <v>8.0744119148798889E-3</v>
      </c>
      <c r="S191" s="505"/>
      <c r="T191" s="219">
        <f t="shared" si="24"/>
        <v>22.662411177293606</v>
      </c>
      <c r="U191" s="249">
        <f t="shared" si="20"/>
        <v>77.337588822706394</v>
      </c>
      <c r="V191" s="516">
        <f t="shared" si="21"/>
        <v>100</v>
      </c>
      <c r="W191" s="180">
        <f>(T191*0)/(1+cDR)^'Markov Model_b (3)'!cycle2</f>
        <v>0</v>
      </c>
      <c r="X191" s="176">
        <f t="shared" si="22"/>
        <v>22.662411177293606</v>
      </c>
      <c r="Y191" s="202">
        <f>(T191*(uPostT))/(1+oDR)^'Markov Model_b (3)'!cycle</f>
        <v>10.960912058324853</v>
      </c>
      <c r="Z191" s="80"/>
      <c r="AA191" s="3"/>
      <c r="AB191" s="3"/>
      <c r="AC191" s="14">
        <v>179</v>
      </c>
      <c r="AD191" s="14"/>
      <c r="AE191" s="14"/>
      <c r="AF191" s="3"/>
      <c r="AG191" s="3"/>
      <c r="AH191" s="3"/>
      <c r="AI191" s="14"/>
      <c r="AJ191" s="14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</row>
    <row r="192" spans="1:58" ht="14.25" customHeight="1" x14ac:dyDescent="0.25">
      <c r="A192" s="637" t="s">
        <v>557</v>
      </c>
      <c r="B192" s="417"/>
      <c r="C192" s="506">
        <v>182</v>
      </c>
      <c r="D192" s="506"/>
      <c r="E192" s="507">
        <v>8.1300223312716184E-3</v>
      </c>
      <c r="F192" s="508"/>
      <c r="G192" s="509">
        <f t="shared" si="17"/>
        <v>23.860026100106907</v>
      </c>
      <c r="H192" s="176">
        <f t="shared" si="18"/>
        <v>76.139973899893093</v>
      </c>
      <c r="I192" s="518">
        <f t="shared" si="23"/>
        <v>100</v>
      </c>
      <c r="J192" s="511">
        <f>(G192*0)/(1+cDR)^'Markov Model_b (3)'!cycle</f>
        <v>0</v>
      </c>
      <c r="K192" s="512">
        <f t="shared" si="19"/>
        <v>23.860026100106907</v>
      </c>
      <c r="L192" s="513">
        <f>(G192*(uPostT))/(1+oDR)^'Markov Model_b (3)'!cycle</f>
        <v>11.511372603023258</v>
      </c>
      <c r="M192" s="80"/>
      <c r="N192" s="3"/>
      <c r="O192" s="80"/>
      <c r="P192" s="506">
        <v>182</v>
      </c>
      <c r="Q192" s="506"/>
      <c r="R192" s="507">
        <v>8.1299816749776203E-3</v>
      </c>
      <c r="S192" s="508"/>
      <c r="T192" s="509">
        <f t="shared" si="24"/>
        <v>22.478166189711402</v>
      </c>
      <c r="U192" s="249">
        <f t="shared" si="20"/>
        <v>77.521833810288598</v>
      </c>
      <c r="V192" s="518">
        <f t="shared" si="21"/>
        <v>100</v>
      </c>
      <c r="W192" s="511">
        <f>(T192*0)/(1+cDR)^'Markov Model_b (3)'!cycle2</f>
        <v>0</v>
      </c>
      <c r="X192" s="512">
        <f t="shared" si="22"/>
        <v>22.478166189711402</v>
      </c>
      <c r="Y192" s="513">
        <f>(T192*(uPostT))/(1+oDR)^'Markov Model_b (3)'!cycle</f>
        <v>10.844688323341281</v>
      </c>
      <c r="Z192" s="80"/>
      <c r="AA192" s="3"/>
      <c r="AB192" s="3"/>
      <c r="AC192" s="14">
        <v>180</v>
      </c>
      <c r="AD192" s="14"/>
      <c r="AE192" s="14"/>
      <c r="AF192" s="3"/>
      <c r="AG192" s="3"/>
      <c r="AH192" s="3"/>
      <c r="AI192" s="14"/>
      <c r="AJ192" s="14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</row>
    <row r="193" spans="1:58" ht="14.25" customHeight="1" x14ac:dyDescent="0.2">
      <c r="A193" s="637"/>
      <c r="B193" s="417"/>
      <c r="C193" s="173">
        <v>183</v>
      </c>
      <c r="D193" s="165"/>
      <c r="E193" s="174">
        <v>8.1864015746360586E-3</v>
      </c>
      <c r="F193" s="502"/>
      <c r="G193" s="219">
        <f t="shared" si="17"/>
        <v>23.664698344870132</v>
      </c>
      <c r="H193" s="176">
        <f t="shared" si="18"/>
        <v>76.335301655129868</v>
      </c>
      <c r="I193" s="516">
        <f t="shared" si="23"/>
        <v>100</v>
      </c>
      <c r="J193" s="153">
        <f>(G193*0)/(1+cDR)^'Markov Model_b (3)'!cycle</f>
        <v>0</v>
      </c>
      <c r="K193" s="178">
        <f t="shared" si="19"/>
        <v>23.664698344870132</v>
      </c>
      <c r="L193" s="202">
        <f>(G193*(uPostT))/(1+oDR)^'Markov Model_b (3)'!cycle</f>
        <v>11.388664223660493</v>
      </c>
      <c r="M193" s="80"/>
      <c r="N193" s="3"/>
      <c r="O193" s="80"/>
      <c r="P193" s="173">
        <v>183</v>
      </c>
      <c r="Q193" s="165"/>
      <c r="R193" s="174">
        <v>8.1863657933457547E-3</v>
      </c>
      <c r="S193" s="502"/>
      <c r="T193" s="219">
        <f t="shared" si="24"/>
        <v>22.29415169891881</v>
      </c>
      <c r="U193" s="249">
        <f t="shared" si="20"/>
        <v>77.70584830108119</v>
      </c>
      <c r="V193" s="516">
        <f t="shared" si="21"/>
        <v>100</v>
      </c>
      <c r="W193" s="153">
        <f>(T193*0)/(1+cDR)^'Markov Model_b (3)'!cycle2</f>
        <v>0</v>
      </c>
      <c r="X193" s="178">
        <f t="shared" si="22"/>
        <v>22.29415169891881</v>
      </c>
      <c r="Y193" s="202">
        <f>(T193*(uPostT))/(1+oDR)^'Markov Model_b (3)'!cycle</f>
        <v>10.729087020260931</v>
      </c>
      <c r="Z193" s="80"/>
      <c r="AA193" s="3"/>
      <c r="AB193" s="3"/>
      <c r="AC193" s="14">
        <v>181</v>
      </c>
      <c r="AD193" s="14"/>
      <c r="AE193" s="14"/>
      <c r="AF193" s="3"/>
      <c r="AG193" s="3"/>
      <c r="AH193" s="3"/>
      <c r="AI193" s="14"/>
      <c r="AJ193" s="14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</row>
    <row r="194" spans="1:58" ht="14.25" customHeight="1" x14ac:dyDescent="0.2">
      <c r="A194" s="637"/>
      <c r="B194" s="417"/>
      <c r="C194" s="173">
        <v>184</v>
      </c>
      <c r="D194" s="165"/>
      <c r="E194" s="174">
        <v>8.2436137822630776E-3</v>
      </c>
      <c r="F194" s="502"/>
      <c r="G194" s="219">
        <f t="shared" si="17"/>
        <v>23.469615711441264</v>
      </c>
      <c r="H194" s="176">
        <f t="shared" si="18"/>
        <v>76.530384288558736</v>
      </c>
      <c r="I194" s="516">
        <f t="shared" si="23"/>
        <v>100</v>
      </c>
      <c r="J194" s="153">
        <f>(G194*0)/(1+cDR)^'Markov Model_b (3)'!cycle</f>
        <v>0</v>
      </c>
      <c r="K194" s="178">
        <f t="shared" si="19"/>
        <v>23.469615711441264</v>
      </c>
      <c r="L194" s="202">
        <f>(G194*(uPostT))/(1+oDR)^'Markov Model_b (3)'!cycle</f>
        <v>11.266613939456121</v>
      </c>
      <c r="M194" s="80"/>
      <c r="N194" s="3"/>
      <c r="O194" s="80"/>
      <c r="P194" s="173">
        <v>184</v>
      </c>
      <c r="Q194" s="165"/>
      <c r="R194" s="174">
        <v>8.2435825979963063E-3</v>
      </c>
      <c r="S194" s="502"/>
      <c r="T194" s="219">
        <f t="shared" si="24"/>
        <v>22.110368017936509</v>
      </c>
      <c r="U194" s="249">
        <f t="shared" si="20"/>
        <v>77.889631982063491</v>
      </c>
      <c r="V194" s="516">
        <f t="shared" si="21"/>
        <v>100</v>
      </c>
      <c r="W194" s="153">
        <f>(T194*0)/(1+cDR)^'Markov Model_b (3)'!cycle2</f>
        <v>0</v>
      </c>
      <c r="X194" s="178">
        <f t="shared" si="22"/>
        <v>22.110368017936509</v>
      </c>
      <c r="Y194" s="202">
        <f>(T194*(uPostT))/(1+oDR)^'Markov Model_b (3)'!cycle</f>
        <v>10.614105641105555</v>
      </c>
      <c r="Z194" s="80"/>
      <c r="AA194" s="3"/>
      <c r="AB194" s="3"/>
      <c r="AC194" s="14">
        <v>182</v>
      </c>
      <c r="AD194" s="14"/>
      <c r="AE194" s="14"/>
      <c r="AF194" s="3"/>
      <c r="AG194" s="3"/>
      <c r="AH194" s="3"/>
      <c r="AI194" s="14"/>
      <c r="AJ194" s="14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</row>
    <row r="195" spans="1:58" ht="14.25" customHeight="1" x14ac:dyDescent="0.2">
      <c r="A195" s="637"/>
      <c r="B195" s="417"/>
      <c r="C195" s="173">
        <v>185</v>
      </c>
      <c r="D195" s="165"/>
      <c r="E195" s="174">
        <v>8.3016470605503448E-3</v>
      </c>
      <c r="F195" s="502"/>
      <c r="G195" s="219">
        <f t="shared" si="17"/>
        <v>23.274779245158129</v>
      </c>
      <c r="H195" s="176">
        <f t="shared" si="18"/>
        <v>76.725220754841871</v>
      </c>
      <c r="I195" s="516">
        <f t="shared" si="23"/>
        <v>100</v>
      </c>
      <c r="J195" s="153">
        <f>(G195*0)/(1+cDR)^'Markov Model_b (3)'!cycle</f>
        <v>0</v>
      </c>
      <c r="K195" s="178">
        <f t="shared" si="19"/>
        <v>23.274779245158129</v>
      </c>
      <c r="L195" s="202">
        <f>(G195*(uPostT))/(1+oDR)^'Markov Model_b (3)'!cycle</f>
        <v>11.145219438367358</v>
      </c>
      <c r="M195" s="80"/>
      <c r="N195" s="3"/>
      <c r="O195" s="80"/>
      <c r="P195" s="173">
        <v>185</v>
      </c>
      <c r="Q195" s="165"/>
      <c r="R195" s="174">
        <v>8.3016201935353379E-3</v>
      </c>
      <c r="S195" s="502"/>
      <c r="T195" s="219">
        <f t="shared" si="24"/>
        <v>21.926816140312312</v>
      </c>
      <c r="U195" s="249">
        <f t="shared" si="20"/>
        <v>78.073183859687688</v>
      </c>
      <c r="V195" s="516">
        <f t="shared" si="21"/>
        <v>100</v>
      </c>
      <c r="W195" s="153">
        <f>(T195*0)/(1+cDR)^'Markov Model_b (3)'!cycle2</f>
        <v>0</v>
      </c>
      <c r="X195" s="178">
        <f t="shared" si="22"/>
        <v>21.926816140312312</v>
      </c>
      <c r="Y195" s="202">
        <f>(T195*(uPostT))/(1+oDR)^'Markov Model_b (3)'!cycle</f>
        <v>10.499742012348165</v>
      </c>
      <c r="Z195" s="80"/>
      <c r="AA195" s="3"/>
      <c r="AB195" s="3"/>
      <c r="AC195" s="14">
        <v>183</v>
      </c>
      <c r="AD195" s="14"/>
      <c r="AE195" s="14"/>
      <c r="AF195" s="3"/>
      <c r="AG195" s="3"/>
      <c r="AH195" s="3"/>
      <c r="AI195" s="14"/>
      <c r="AJ195" s="14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</row>
    <row r="196" spans="1:58" ht="14.25" customHeight="1" x14ac:dyDescent="0.2">
      <c r="A196" s="637"/>
      <c r="B196" s="417"/>
      <c r="C196" s="173">
        <v>186</v>
      </c>
      <c r="D196" s="165"/>
      <c r="E196" s="174">
        <v>8.3603956698804788E-3</v>
      </c>
      <c r="F196" s="502"/>
      <c r="G196" s="219">
        <f t="shared" si="17"/>
        <v>23.080192881539489</v>
      </c>
      <c r="H196" s="176">
        <f t="shared" si="18"/>
        <v>76.919807118460511</v>
      </c>
      <c r="I196" s="516">
        <f t="shared" si="23"/>
        <v>100</v>
      </c>
      <c r="J196" s="153">
        <f>(G196*0)/(1+cDR)^'Markov Model_b (3)'!cycle</f>
        <v>0</v>
      </c>
      <c r="K196" s="178">
        <f t="shared" si="19"/>
        <v>23.080192881539489</v>
      </c>
      <c r="L196" s="202">
        <f>(G196*(uPostT))/(1+oDR)^'Markov Model_b (3)'!cycle</f>
        <v>11.024479794548597</v>
      </c>
      <c r="M196" s="80"/>
      <c r="N196" s="3"/>
      <c r="O196" s="80"/>
      <c r="P196" s="173">
        <v>186</v>
      </c>
      <c r="Q196" s="165"/>
      <c r="R196" s="174">
        <v>8.3603728619028057E-3</v>
      </c>
      <c r="S196" s="502"/>
      <c r="T196" s="219">
        <f t="shared" si="24"/>
        <v>21.743499781704912</v>
      </c>
      <c r="U196" s="249">
        <f t="shared" si="20"/>
        <v>78.256500218295088</v>
      </c>
      <c r="V196" s="516">
        <f t="shared" si="21"/>
        <v>100</v>
      </c>
      <c r="W196" s="153">
        <f>(T196*0)/(1+cDR)^'Markov Model_b (3)'!cycle2</f>
        <v>0</v>
      </c>
      <c r="X196" s="178">
        <f t="shared" si="22"/>
        <v>21.743499781704912</v>
      </c>
      <c r="Y196" s="202">
        <f>(T196*(uPostT))/(1+oDR)^'Markov Model_b (3)'!cycle</f>
        <v>10.385995266006134</v>
      </c>
      <c r="Z196" s="80"/>
      <c r="AA196" s="3"/>
      <c r="AB196" s="3"/>
      <c r="AC196" s="14">
        <v>184</v>
      </c>
      <c r="AD196" s="14"/>
      <c r="AE196" s="14"/>
      <c r="AF196" s="3"/>
      <c r="AG196" s="3"/>
      <c r="AH196" s="3"/>
      <c r="AI196" s="14"/>
      <c r="AJ196" s="14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</row>
    <row r="197" spans="1:58" ht="14.25" customHeight="1" x14ac:dyDescent="0.2">
      <c r="A197" s="637"/>
      <c r="B197" s="417"/>
      <c r="C197" s="173">
        <v>187</v>
      </c>
      <c r="D197" s="165"/>
      <c r="E197" s="174">
        <v>8.419843104770338E-3</v>
      </c>
      <c r="F197" s="502"/>
      <c r="G197" s="219">
        <f t="shared" si="17"/>
        <v>22.885861278649088</v>
      </c>
      <c r="H197" s="176">
        <f t="shared" si="18"/>
        <v>77.114138721350912</v>
      </c>
      <c r="I197" s="516">
        <f t="shared" si="23"/>
        <v>100</v>
      </c>
      <c r="J197" s="153">
        <f>(G197*0)/(1+cDR)^'Markov Model_b (3)'!cycle</f>
        <v>0</v>
      </c>
      <c r="K197" s="178">
        <f t="shared" si="19"/>
        <v>22.885861278649088</v>
      </c>
      <c r="L197" s="202">
        <f>(G197*(uPostT))/(1+oDR)^'Markov Model_b (3)'!cycle</f>
        <v>10.904394418320985</v>
      </c>
      <c r="M197" s="80"/>
      <c r="N197" s="3"/>
      <c r="O197" s="80"/>
      <c r="P197" s="173">
        <v>187</v>
      </c>
      <c r="Q197" s="165"/>
      <c r="R197" s="174">
        <v>8.4198240965213701E-3</v>
      </c>
      <c r="S197" s="502"/>
      <c r="T197" s="219">
        <f t="shared" si="24"/>
        <v>21.560423338300211</v>
      </c>
      <c r="U197" s="249">
        <f t="shared" si="20"/>
        <v>78.439576661699789</v>
      </c>
      <c r="V197" s="516">
        <f t="shared" si="21"/>
        <v>100</v>
      </c>
      <c r="W197" s="153">
        <f>(T197*0)/(1+cDR)^'Markov Model_b (3)'!cycle2</f>
        <v>0</v>
      </c>
      <c r="X197" s="178">
        <f t="shared" si="22"/>
        <v>21.560423338300211</v>
      </c>
      <c r="Y197" s="202">
        <f>(T197*(uPostT))/(1+oDR)^'Markov Model_b (3)'!cycle</f>
        <v>10.272864850672381</v>
      </c>
      <c r="Z197" s="80"/>
      <c r="AA197" s="3"/>
      <c r="AB197" s="3"/>
      <c r="AC197" s="14">
        <v>185</v>
      </c>
      <c r="AD197" s="14"/>
      <c r="AE197" s="14"/>
      <c r="AF197" s="3"/>
      <c r="AG197" s="3"/>
      <c r="AH197" s="3"/>
      <c r="AI197" s="14"/>
      <c r="AJ197" s="14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</row>
    <row r="198" spans="1:58" ht="14.25" customHeight="1" x14ac:dyDescent="0.2">
      <c r="A198" s="637"/>
      <c r="B198" s="417"/>
      <c r="C198" s="173">
        <v>188</v>
      </c>
      <c r="D198" s="165"/>
      <c r="E198" s="174">
        <v>8.4800035154960728E-3</v>
      </c>
      <c r="F198" s="502"/>
      <c r="G198" s="219">
        <f t="shared" si="17"/>
        <v>22.691789094550984</v>
      </c>
      <c r="H198" s="176">
        <f t="shared" si="18"/>
        <v>77.308210905449016</v>
      </c>
      <c r="I198" s="516">
        <f t="shared" si="23"/>
        <v>100</v>
      </c>
      <c r="J198" s="153">
        <f>(G198*0)/(1+cDR)^'Markov Model_b (3)'!cycle</f>
        <v>0</v>
      </c>
      <c r="K198" s="178">
        <f t="shared" si="19"/>
        <v>22.691789094550984</v>
      </c>
      <c r="L198" s="202">
        <f>(G198*(uPostT))/(1+oDR)^'Markov Model_b (3)'!cycle</f>
        <v>10.784962708547896</v>
      </c>
      <c r="M198" s="80"/>
      <c r="N198" s="3"/>
      <c r="O198" s="80"/>
      <c r="P198" s="173">
        <v>188</v>
      </c>
      <c r="Q198" s="165"/>
      <c r="R198" s="174">
        <v>8.4799880386027641E-3</v>
      </c>
      <c r="S198" s="502"/>
      <c r="T198" s="219">
        <f t="shared" si="24"/>
        <v>21.377591206284208</v>
      </c>
      <c r="U198" s="249">
        <f t="shared" si="20"/>
        <v>78.622408793715792</v>
      </c>
      <c r="V198" s="516">
        <f t="shared" si="21"/>
        <v>100</v>
      </c>
      <c r="W198" s="153">
        <f>(T198*0)/(1+cDR)^'Markov Model_b (3)'!cycle2</f>
        <v>0</v>
      </c>
      <c r="X198" s="178">
        <f t="shared" si="22"/>
        <v>21.377591206284208</v>
      </c>
      <c r="Y198" s="202">
        <f>(T198*(uPostT))/(1+oDR)^'Markov Model_b (3)'!cycle</f>
        <v>10.16035020410623</v>
      </c>
      <c r="Z198" s="80"/>
      <c r="AA198" s="3"/>
      <c r="AB198" s="3"/>
      <c r="AC198" s="14">
        <v>186</v>
      </c>
      <c r="AD198" s="14"/>
      <c r="AE198" s="14"/>
      <c r="AF198" s="3"/>
      <c r="AG198" s="3"/>
      <c r="AH198" s="3"/>
      <c r="AI198" s="14"/>
      <c r="AJ198" s="14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</row>
    <row r="199" spans="1:58" ht="14.25" customHeight="1" x14ac:dyDescent="0.2">
      <c r="A199" s="637"/>
      <c r="B199" s="417"/>
      <c r="C199" s="173">
        <v>189</v>
      </c>
      <c r="D199" s="165"/>
      <c r="E199" s="174">
        <v>8.5408887730203126E-3</v>
      </c>
      <c r="F199" s="502"/>
      <c r="G199" s="219">
        <f t="shared" si="17"/>
        <v>22.497981047833591</v>
      </c>
      <c r="H199" s="176">
        <f t="shared" si="18"/>
        <v>77.502018952166409</v>
      </c>
      <c r="I199" s="516">
        <f t="shared" si="23"/>
        <v>100</v>
      </c>
      <c r="J199" s="153">
        <f>(G199*0)/(1+cDR)^'Markov Model_b (3)'!cycle</f>
        <v>0</v>
      </c>
      <c r="K199" s="178">
        <f t="shared" si="19"/>
        <v>22.497981047833591</v>
      </c>
      <c r="L199" s="202">
        <f>(G199*(uPostT))/(1+oDR)^'Markov Model_b (3)'!cycle</f>
        <v>10.66618408142944</v>
      </c>
      <c r="M199" s="80"/>
      <c r="N199" s="3"/>
      <c r="O199" s="80"/>
      <c r="P199" s="173">
        <v>189</v>
      </c>
      <c r="Q199" s="165"/>
      <c r="R199" s="174">
        <v>8.5408765583995828E-3</v>
      </c>
      <c r="S199" s="502"/>
      <c r="T199" s="219">
        <f t="shared" si="24"/>
        <v>21.195007838675409</v>
      </c>
      <c r="U199" s="249">
        <f t="shared" si="20"/>
        <v>78.804992161324591</v>
      </c>
      <c r="V199" s="516">
        <f t="shared" si="21"/>
        <v>100</v>
      </c>
      <c r="W199" s="153">
        <f>(T199*0)/(1+cDR)^'Markov Model_b (3)'!cycle2</f>
        <v>0</v>
      </c>
      <c r="X199" s="178">
        <f t="shared" si="22"/>
        <v>21.195007838675409</v>
      </c>
      <c r="Y199" s="202">
        <f>(T199*(uPostT))/(1+oDR)^'Markov Model_b (3)'!cycle</f>
        <v>10.048450780272166</v>
      </c>
      <c r="Z199" s="80"/>
      <c r="AA199" s="3"/>
      <c r="AB199" s="3"/>
      <c r="AC199" s="14">
        <v>187</v>
      </c>
      <c r="AD199" s="14"/>
      <c r="AE199" s="14"/>
      <c r="AF199" s="3"/>
      <c r="AG199" s="3"/>
      <c r="AH199" s="3"/>
      <c r="AI199" s="14"/>
      <c r="AJ199" s="14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</row>
    <row r="200" spans="1:58" ht="14.25" customHeight="1" x14ac:dyDescent="0.2">
      <c r="A200" s="637"/>
      <c r="B200" s="417"/>
      <c r="C200" s="173">
        <v>190</v>
      </c>
      <c r="D200" s="165"/>
      <c r="E200" s="174">
        <v>8.6025029640404791E-3</v>
      </c>
      <c r="F200" s="502"/>
      <c r="G200" s="219">
        <f t="shared" si="17"/>
        <v>22.304442099184669</v>
      </c>
      <c r="H200" s="176">
        <f t="shared" si="18"/>
        <v>77.695557900815331</v>
      </c>
      <c r="I200" s="516">
        <f t="shared" si="23"/>
        <v>100</v>
      </c>
      <c r="J200" s="153">
        <f>(G200*0)/(1+cDR)^'Markov Model_b (3)'!cycle</f>
        <v>0</v>
      </c>
      <c r="K200" s="178">
        <f t="shared" si="19"/>
        <v>22.304442099184669</v>
      </c>
      <c r="L200" s="202">
        <f>(G200*(uPostT))/(1+oDR)^'Markov Model_b (3)'!cycle</f>
        <v>10.548058056113661</v>
      </c>
      <c r="M200" s="80"/>
      <c r="N200" s="3"/>
      <c r="O200" s="80"/>
      <c r="P200" s="173">
        <v>190</v>
      </c>
      <c r="Q200" s="165"/>
      <c r="R200" s="174">
        <v>8.6024937684142707E-3</v>
      </c>
      <c r="S200" s="502"/>
      <c r="T200" s="219">
        <f t="shared" si="24"/>
        <v>21.012677915821712</v>
      </c>
      <c r="U200" s="249">
        <f t="shared" si="20"/>
        <v>78.987322084178288</v>
      </c>
      <c r="V200" s="516">
        <f t="shared" si="21"/>
        <v>100</v>
      </c>
      <c r="W200" s="153">
        <f>(T200*0)/(1+cDR)^'Markov Model_b (3)'!cycle2</f>
        <v>0</v>
      </c>
      <c r="X200" s="178">
        <f t="shared" si="22"/>
        <v>21.012677915821712</v>
      </c>
      <c r="Y200" s="202">
        <f>(T200*(uPostT))/(1+oDR)^'Markov Model_b (3)'!cycle</f>
        <v>9.9371661297283413</v>
      </c>
      <c r="Z200" s="80"/>
      <c r="AA200" s="3"/>
      <c r="AB200" s="3"/>
      <c r="AC200" s="14">
        <v>188</v>
      </c>
      <c r="AD200" s="14"/>
      <c r="AE200" s="14"/>
      <c r="AF200" s="3"/>
      <c r="AG200" s="3"/>
      <c r="AH200" s="3"/>
      <c r="AI200" s="14"/>
      <c r="AJ200" s="14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</row>
    <row r="201" spans="1:58" ht="14.25" customHeight="1" x14ac:dyDescent="0.2">
      <c r="A201" s="637"/>
      <c r="B201" s="417"/>
      <c r="C201" s="173">
        <v>191</v>
      </c>
      <c r="D201" s="165"/>
      <c r="E201" s="174">
        <v>8.6648582604572314E-3</v>
      </c>
      <c r="F201" s="502"/>
      <c r="G201" s="219">
        <f t="shared" si="17"/>
        <v>22.111177269816665</v>
      </c>
      <c r="H201" s="176">
        <f t="shared" si="18"/>
        <v>77.888822730183335</v>
      </c>
      <c r="I201" s="516">
        <f t="shared" si="23"/>
        <v>100</v>
      </c>
      <c r="J201" s="153">
        <f>(G201*0)/(1+cDR)^'Markov Model_b (3)'!cycle</f>
        <v>0</v>
      </c>
      <c r="K201" s="178">
        <f t="shared" si="19"/>
        <v>22.111177269816665</v>
      </c>
      <c r="L201" s="202">
        <f>(G201*(uPostT))/(1+oDR)^'Markov Model_b (3)'!cycle</f>
        <v>10.430584167715077</v>
      </c>
      <c r="M201" s="80"/>
      <c r="N201" s="3"/>
      <c r="O201" s="80"/>
      <c r="P201" s="173">
        <v>191</v>
      </c>
      <c r="Q201" s="165"/>
      <c r="R201" s="174">
        <v>8.6648518407692575E-3</v>
      </c>
      <c r="S201" s="502"/>
      <c r="T201" s="219">
        <f t="shared" si="24"/>
        <v>20.830606174903309</v>
      </c>
      <c r="U201" s="249">
        <f t="shared" si="20"/>
        <v>79.169393825096691</v>
      </c>
      <c r="V201" s="516">
        <f t="shared" si="21"/>
        <v>100</v>
      </c>
      <c r="W201" s="153">
        <f>(T201*0)/(1+cDR)^'Markov Model_b (3)'!cycle2</f>
        <v>0</v>
      </c>
      <c r="X201" s="178">
        <f t="shared" si="22"/>
        <v>20.830606174903309</v>
      </c>
      <c r="Y201" s="202">
        <f>(T201*(uPostT))/(1+oDR)^'Markov Model_b (3)'!cycle</f>
        <v>9.826495817952253</v>
      </c>
      <c r="Z201" s="80"/>
      <c r="AA201" s="3"/>
      <c r="AB201" s="3"/>
      <c r="AC201" s="14">
        <v>189</v>
      </c>
      <c r="AD201" s="14"/>
      <c r="AE201" s="14"/>
      <c r="AF201" s="3"/>
      <c r="AG201" s="3"/>
      <c r="AH201" s="3"/>
      <c r="AI201" s="14"/>
      <c r="AJ201" s="14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ht="14.25" customHeight="1" x14ac:dyDescent="0.2">
      <c r="A202" s="637"/>
      <c r="B202" s="417"/>
      <c r="C202" s="173">
        <v>192</v>
      </c>
      <c r="D202" s="165"/>
      <c r="E202" s="174">
        <v>8.7279544791258237E-3</v>
      </c>
      <c r="F202" s="502"/>
      <c r="G202" s="219">
        <f t="shared" si="17"/>
        <v>21.918191921125825</v>
      </c>
      <c r="H202" s="176">
        <f t="shared" si="18"/>
        <v>78.081808078874175</v>
      </c>
      <c r="I202" s="516">
        <f t="shared" si="23"/>
        <v>100</v>
      </c>
      <c r="J202" s="153">
        <f>(G202*0)/(1+cDR)^'Markov Model_b (3)'!cycle</f>
        <v>0</v>
      </c>
      <c r="K202" s="178">
        <f t="shared" si="19"/>
        <v>21.918191921125825</v>
      </c>
      <c r="L202" s="202">
        <f>(G202*(uPostT))/(1+oDR)^'Markov Model_b (3)'!cycle</f>
        <v>10.313762098661913</v>
      </c>
      <c r="M202" s="80"/>
      <c r="N202" s="3"/>
      <c r="O202" s="80"/>
      <c r="P202" s="173">
        <v>192</v>
      </c>
      <c r="Q202" s="165"/>
      <c r="R202" s="174">
        <v>8.7279505930817174E-3</v>
      </c>
      <c r="S202" s="502"/>
      <c r="T202" s="219">
        <f t="shared" si="24"/>
        <v>20.648797673384806</v>
      </c>
      <c r="U202" s="249">
        <f t="shared" si="20"/>
        <v>79.351202326615194</v>
      </c>
      <c r="V202" s="516">
        <f t="shared" si="21"/>
        <v>100</v>
      </c>
      <c r="W202" s="153">
        <f>(T202*0)/(1+cDR)^'Markov Model_b (3)'!cycle2</f>
        <v>0</v>
      </c>
      <c r="X202" s="178">
        <f t="shared" si="22"/>
        <v>20.648797673384806</v>
      </c>
      <c r="Y202" s="202">
        <f>(T202*(uPostT))/(1+oDR)^'Markov Model_b (3)'!cycle</f>
        <v>9.7164395490773448</v>
      </c>
      <c r="Z202" s="80"/>
      <c r="AA202" s="3"/>
      <c r="AB202" s="3"/>
      <c r="AC202" s="14">
        <v>190</v>
      </c>
      <c r="AD202" s="14"/>
      <c r="AE202" s="14"/>
      <c r="AF202" s="3"/>
      <c r="AG202" s="3"/>
      <c r="AH202" s="3"/>
      <c r="AI202" s="14"/>
      <c r="AJ202" s="14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ht="14.25" customHeight="1" x14ac:dyDescent="0.2">
      <c r="A203" s="597"/>
      <c r="B203" s="417"/>
      <c r="C203" s="173">
        <v>193</v>
      </c>
      <c r="D203" s="504"/>
      <c r="E203" s="174">
        <v>8.791744618992613E-3</v>
      </c>
      <c r="F203" s="505"/>
      <c r="G203" s="219">
        <f t="shared" si="17"/>
        <v>21.725492775245215</v>
      </c>
      <c r="H203" s="176">
        <f t="shared" si="18"/>
        <v>78.274507224754785</v>
      </c>
      <c r="I203" s="516">
        <f t="shared" si="23"/>
        <v>100</v>
      </c>
      <c r="J203" s="180">
        <f>(G203*0)/(1+cDR)^'Markov Model_b (3)'!cycle</f>
        <v>0</v>
      </c>
      <c r="K203" s="176">
        <f t="shared" si="19"/>
        <v>21.725492775245215</v>
      </c>
      <c r="L203" s="202">
        <f>(G203*(uPostT))/(1+oDR)^'Markov Model_b (3)'!cycle</f>
        <v>10.19759215583983</v>
      </c>
      <c r="M203" s="80"/>
      <c r="N203" s="3"/>
      <c r="O203" s="80"/>
      <c r="P203" s="173">
        <v>193</v>
      </c>
      <c r="Q203" s="504"/>
      <c r="R203" s="174">
        <v>8.7917430539402961E-3</v>
      </c>
      <c r="S203" s="505"/>
      <c r="T203" s="219">
        <f t="shared" si="24"/>
        <v>20.467258749867611</v>
      </c>
      <c r="U203" s="249">
        <f t="shared" si="20"/>
        <v>79.532741250132389</v>
      </c>
      <c r="V203" s="516">
        <f t="shared" si="21"/>
        <v>100</v>
      </c>
      <c r="W203" s="180">
        <f>(T203*0)/(1+cDR)^'Markov Model_b (3)'!cycle2</f>
        <v>0</v>
      </c>
      <c r="X203" s="176">
        <f t="shared" si="22"/>
        <v>20.467258749867611</v>
      </c>
      <c r="Y203" s="202">
        <f>(T203*(uPostT))/(1+oDR)^'Markov Model_b (3)'!cycle</f>
        <v>9.6069976151249019</v>
      </c>
      <c r="Z203" s="80"/>
      <c r="AA203" s="3"/>
      <c r="AB203" s="3"/>
      <c r="AC203" s="14">
        <v>191</v>
      </c>
      <c r="AD203" s="14"/>
      <c r="AE203" s="14"/>
      <c r="AF203" s="3"/>
      <c r="AG203" s="3"/>
      <c r="AH203" s="3"/>
      <c r="AI203" s="14"/>
      <c r="AJ203" s="14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  <row r="204" spans="1:58" ht="14.25" customHeight="1" x14ac:dyDescent="0.25">
      <c r="A204" s="637" t="s">
        <v>558</v>
      </c>
      <c r="B204" s="417"/>
      <c r="C204" s="506">
        <v>194</v>
      </c>
      <c r="D204" s="506"/>
      <c r="E204" s="507">
        <v>8.8562263118364595E-3</v>
      </c>
      <c r="F204" s="508"/>
      <c r="G204" s="509">
        <f t="shared" ref="G204:G267" si="25">$G$10-H204</f>
        <v>21.533086894491476</v>
      </c>
      <c r="H204" s="176">
        <f t="shared" ref="H204:H267" si="26">H203+(G203*E204)</f>
        <v>78.466913105508524</v>
      </c>
      <c r="I204" s="518">
        <f t="shared" si="23"/>
        <v>100</v>
      </c>
      <c r="J204" s="511">
        <f>(G204*0)/(1+cDR)^'Markov Model_b (3)'!cycle</f>
        <v>0</v>
      </c>
      <c r="K204" s="512">
        <f t="shared" si="19"/>
        <v>21.533086894491476</v>
      </c>
      <c r="L204" s="513">
        <f>(G204*(uPostT))/(1+oDR)^'Markov Model_b (3)'!cycle</f>
        <v>10.082074784909631</v>
      </c>
      <c r="M204" s="80"/>
      <c r="N204" s="3"/>
      <c r="O204" s="80"/>
      <c r="P204" s="506">
        <v>194</v>
      </c>
      <c r="Q204" s="506"/>
      <c r="R204" s="507">
        <v>8.8562268570417935E-3</v>
      </c>
      <c r="S204" s="508"/>
      <c r="T204" s="509">
        <f t="shared" si="24"/>
        <v>20.285996063237008</v>
      </c>
      <c r="U204" s="249">
        <f t="shared" si="20"/>
        <v>79.714003936762992</v>
      </c>
      <c r="V204" s="518">
        <f t="shared" si="21"/>
        <v>100</v>
      </c>
      <c r="W204" s="511">
        <f>(T204*0)/(1+cDR)^'Markov Model_b (3)'!cycle2</f>
        <v>0</v>
      </c>
      <c r="X204" s="512">
        <f t="shared" si="22"/>
        <v>20.285996063237008</v>
      </c>
      <c r="Y204" s="513">
        <f>(T204*(uPostT))/(1+oDR)^'Markov Model_b (3)'!cycle</f>
        <v>9.4981704387334638</v>
      </c>
      <c r="Z204" s="80"/>
      <c r="AA204" s="3"/>
      <c r="AB204" s="3"/>
      <c r="AC204" s="14">
        <v>192</v>
      </c>
      <c r="AD204" s="14"/>
      <c r="AE204" s="14"/>
      <c r="AF204" s="3"/>
      <c r="AG204" s="3"/>
      <c r="AH204" s="3"/>
      <c r="AI204" s="14"/>
      <c r="AJ204" s="14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</row>
    <row r="205" spans="1:58" ht="14.25" customHeight="1" x14ac:dyDescent="0.2">
      <c r="A205" s="637"/>
      <c r="B205" s="417"/>
      <c r="C205" s="173">
        <v>195</v>
      </c>
      <c r="D205" s="165"/>
      <c r="E205" s="174">
        <v>8.9214126265802964E-3</v>
      </c>
      <c r="F205" s="502"/>
      <c r="G205" s="219">
        <f t="shared" si="25"/>
        <v>21.340981341181703</v>
      </c>
      <c r="H205" s="176">
        <f t="shared" si="26"/>
        <v>78.659018658818297</v>
      </c>
      <c r="I205" s="516">
        <f t="shared" si="23"/>
        <v>100</v>
      </c>
      <c r="J205" s="153">
        <f>(G205*0)/(1+cDR)^'Markov Model_b (3)'!cycle</f>
        <v>0</v>
      </c>
      <c r="K205" s="178">
        <f t="shared" si="19"/>
        <v>21.340981341181703</v>
      </c>
      <c r="L205" s="202">
        <f>(G205*(uPostT))/(1+oDR)^'Markov Model_b (3)'!cycle</f>
        <v>9.967210409597417</v>
      </c>
      <c r="M205" s="80"/>
      <c r="N205" s="3"/>
      <c r="O205" s="80"/>
      <c r="P205" s="173">
        <v>195</v>
      </c>
      <c r="Q205" s="165"/>
      <c r="R205" s="174">
        <v>8.9214150635803027E-3</v>
      </c>
      <c r="S205" s="502"/>
      <c r="T205" s="219">
        <f t="shared" si="24"/>
        <v>20.10501627237872</v>
      </c>
      <c r="U205" s="249">
        <f t="shared" si="20"/>
        <v>79.89498372762128</v>
      </c>
      <c r="V205" s="516">
        <f t="shared" si="21"/>
        <v>100</v>
      </c>
      <c r="W205" s="153">
        <f>(T205*0)/(1+cDR)^'Markov Model_b (3)'!cycle2</f>
        <v>0</v>
      </c>
      <c r="X205" s="178">
        <f t="shared" si="22"/>
        <v>20.10501627237872</v>
      </c>
      <c r="Y205" s="202">
        <f>(T205*(uPostT))/(1+oDR)^'Markov Model_b (3)'!cycle</f>
        <v>9.3899584218502703</v>
      </c>
      <c r="Z205" s="80"/>
      <c r="AA205" s="3"/>
      <c r="AB205" s="3"/>
      <c r="AC205" s="14">
        <v>193</v>
      </c>
      <c r="AD205" s="14"/>
      <c r="AE205" s="14"/>
      <c r="AF205" s="3"/>
      <c r="AG205" s="3"/>
      <c r="AH205" s="3"/>
      <c r="AI205" s="14"/>
      <c r="AJ205" s="14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</row>
    <row r="206" spans="1:58" ht="14.25" customHeight="1" x14ac:dyDescent="0.2">
      <c r="A206" s="637"/>
      <c r="B206" s="417"/>
      <c r="C206" s="173">
        <v>196</v>
      </c>
      <c r="D206" s="165"/>
      <c r="E206" s="174">
        <v>8.9872940288960937E-3</v>
      </c>
      <c r="F206" s="502"/>
      <c r="G206" s="219">
        <f t="shared" si="25"/>
        <v>21.149183667003314</v>
      </c>
      <c r="H206" s="176">
        <f t="shared" si="26"/>
        <v>78.850816332996686</v>
      </c>
      <c r="I206" s="516">
        <f t="shared" si="23"/>
        <v>100</v>
      </c>
      <c r="J206" s="153">
        <f>(G206*0)/(1+cDR)^'Markov Model_b (3)'!cycle</f>
        <v>0</v>
      </c>
      <c r="K206" s="178">
        <f t="shared" si="19"/>
        <v>21.149183667003314</v>
      </c>
      <c r="L206" s="202">
        <f>(G206*(uPostT))/(1+oDR)^'Markov Model_b (3)'!cycle</f>
        <v>9.8529996598488658</v>
      </c>
      <c r="M206" s="80"/>
      <c r="N206" s="3"/>
      <c r="O206" s="80"/>
      <c r="P206" s="173">
        <v>196</v>
      </c>
      <c r="Q206" s="165"/>
      <c r="R206" s="174">
        <v>8.9872981432817817E-3</v>
      </c>
      <c r="S206" s="502"/>
      <c r="T206" s="219">
        <f t="shared" si="24"/>
        <v>19.924326496963317</v>
      </c>
      <c r="U206" s="249">
        <f t="shared" si="20"/>
        <v>80.075673503036683</v>
      </c>
      <c r="V206" s="516">
        <f t="shared" si="21"/>
        <v>100</v>
      </c>
      <c r="W206" s="153">
        <f>(T206*0)/(1+cDR)^'Markov Model_b (3)'!cycle2</f>
        <v>0</v>
      </c>
      <c r="X206" s="178">
        <f t="shared" si="22"/>
        <v>19.924326496963317</v>
      </c>
      <c r="Y206" s="202">
        <f>(T206*(uPostT))/(1+oDR)^'Markov Model_b (3)'!cycle</f>
        <v>9.2823621605586855</v>
      </c>
      <c r="Z206" s="80"/>
      <c r="AA206" s="3"/>
      <c r="AB206" s="3"/>
      <c r="AC206" s="14">
        <v>194</v>
      </c>
      <c r="AD206" s="14"/>
      <c r="AE206" s="14"/>
      <c r="AF206" s="3"/>
      <c r="AG206" s="3"/>
      <c r="AH206" s="3"/>
      <c r="AI206" s="14"/>
      <c r="AJ206" s="14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</row>
    <row r="207" spans="1:58" ht="14.25" customHeight="1" x14ac:dyDescent="0.2">
      <c r="A207" s="637"/>
      <c r="B207" s="417"/>
      <c r="C207" s="173">
        <v>197</v>
      </c>
      <c r="D207" s="165"/>
      <c r="E207" s="174">
        <v>9.0537908645360893E-3</v>
      </c>
      <c r="F207" s="502"/>
      <c r="G207" s="219">
        <f t="shared" si="25"/>
        <v>20.957703381126606</v>
      </c>
      <c r="H207" s="176">
        <f t="shared" si="26"/>
        <v>79.042296618873394</v>
      </c>
      <c r="I207" s="516">
        <f t="shared" si="23"/>
        <v>100</v>
      </c>
      <c r="J207" s="153">
        <f>(G207*0)/(1+cDR)^'Markov Model_b (3)'!cycle</f>
        <v>0</v>
      </c>
      <c r="K207" s="178">
        <f t="shared" si="19"/>
        <v>20.957703381126606</v>
      </c>
      <c r="L207" s="202">
        <f>(G207*(uPostT))/(1+oDR)^'Markov Model_b (3)'!cycle</f>
        <v>9.7394440514117218</v>
      </c>
      <c r="M207" s="80"/>
      <c r="N207" s="3"/>
      <c r="O207" s="80"/>
      <c r="P207" s="173">
        <v>197</v>
      </c>
      <c r="Q207" s="165"/>
      <c r="R207" s="174">
        <v>9.0537964828218739E-3</v>
      </c>
      <c r="S207" s="502"/>
      <c r="T207" s="219">
        <f t="shared" si="24"/>
        <v>19.74393569980252</v>
      </c>
      <c r="U207" s="249">
        <f t="shared" si="20"/>
        <v>80.25606430019748</v>
      </c>
      <c r="V207" s="516">
        <f t="shared" si="21"/>
        <v>100</v>
      </c>
      <c r="W207" s="153">
        <f>(T207*0)/(1+cDR)^'Markov Model_b (3)'!cycle2</f>
        <v>0</v>
      </c>
      <c r="X207" s="178">
        <f t="shared" si="22"/>
        <v>19.74393569980252</v>
      </c>
      <c r="Y207" s="202">
        <f>(T207*(uPostT))/(1+oDR)^'Markov Model_b (3)'!cycle</f>
        <v>9.1753830849647304</v>
      </c>
      <c r="Z207" s="80"/>
      <c r="AA207" s="3"/>
      <c r="AB207" s="3"/>
      <c r="AC207" s="14">
        <v>195</v>
      </c>
      <c r="AD207" s="14"/>
      <c r="AE207" s="14"/>
      <c r="AF207" s="3"/>
      <c r="AG207" s="3"/>
      <c r="AH207" s="3"/>
      <c r="AI207" s="14"/>
      <c r="AJ207" s="14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</row>
    <row r="208" spans="1:58" ht="14.25" customHeight="1" x14ac:dyDescent="0.2">
      <c r="A208" s="637"/>
      <c r="B208" s="417"/>
      <c r="C208" s="173">
        <v>198</v>
      </c>
      <c r="D208" s="165"/>
      <c r="E208" s="174">
        <v>9.1208896107525823E-3</v>
      </c>
      <c r="F208" s="502"/>
      <c r="G208" s="219">
        <f t="shared" si="25"/>
        <v>20.766550482092455</v>
      </c>
      <c r="H208" s="176">
        <f t="shared" si="26"/>
        <v>79.233449517907545</v>
      </c>
      <c r="I208" s="516">
        <f t="shared" si="23"/>
        <v>100</v>
      </c>
      <c r="J208" s="153">
        <f>(G208*0)/(1+cDR)^'Markov Model_b (3)'!cycle</f>
        <v>0</v>
      </c>
      <c r="K208" s="178">
        <f t="shared" si="19"/>
        <v>20.766550482092455</v>
      </c>
      <c r="L208" s="202">
        <f>(G208*(uPostT))/(1+oDR)^'Markov Model_b (3)'!cycle</f>
        <v>9.6265452941134146</v>
      </c>
      <c r="M208" s="80"/>
      <c r="N208" s="3"/>
      <c r="O208" s="80"/>
      <c r="P208" s="173">
        <v>198</v>
      </c>
      <c r="Q208" s="165"/>
      <c r="R208" s="174">
        <v>9.1208965652730227E-3</v>
      </c>
      <c r="S208" s="502"/>
      <c r="T208" s="219">
        <f t="shared" si="24"/>
        <v>19.563853304493222</v>
      </c>
      <c r="U208" s="249">
        <f t="shared" si="20"/>
        <v>80.436146695506778</v>
      </c>
      <c r="V208" s="516">
        <f t="shared" si="21"/>
        <v>100</v>
      </c>
      <c r="W208" s="153">
        <f>(T208*0)/(1+cDR)^'Markov Model_b (3)'!cycle2</f>
        <v>0</v>
      </c>
      <c r="X208" s="178">
        <f t="shared" si="22"/>
        <v>19.563853304493222</v>
      </c>
      <c r="Y208" s="202">
        <f>(T208*(uPostT))/(1+oDR)^'Markov Model_b (3)'!cycle</f>
        <v>9.0690228078803123</v>
      </c>
      <c r="Z208" s="80"/>
      <c r="AA208" s="3"/>
      <c r="AB208" s="3"/>
      <c r="AC208" s="14">
        <v>196</v>
      </c>
      <c r="AD208" s="14"/>
      <c r="AE208" s="14"/>
      <c r="AF208" s="3"/>
      <c r="AG208" s="3"/>
      <c r="AH208" s="3"/>
      <c r="AI208" s="14"/>
      <c r="AJ208" s="14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</row>
    <row r="209" spans="1:58" ht="14.25" customHeight="1" x14ac:dyDescent="0.2">
      <c r="A209" s="637"/>
      <c r="B209" s="417"/>
      <c r="C209" s="173">
        <v>199</v>
      </c>
      <c r="D209" s="165"/>
      <c r="E209" s="174">
        <v>9.1885994169014565E-3</v>
      </c>
      <c r="F209" s="502"/>
      <c r="G209" s="219">
        <f t="shared" si="25"/>
        <v>20.575734968441651</v>
      </c>
      <c r="H209" s="176">
        <f t="shared" si="26"/>
        <v>79.424265031558349</v>
      </c>
      <c r="I209" s="516">
        <f t="shared" si="23"/>
        <v>100</v>
      </c>
      <c r="J209" s="153">
        <f>(G209*0)/(1+cDR)^'Markov Model_b (3)'!cycle</f>
        <v>0</v>
      </c>
      <c r="K209" s="178">
        <f t="shared" si="19"/>
        <v>20.575734968441651</v>
      </c>
      <c r="L209" s="202">
        <f>(G209*(uPostT))/(1+oDR)^'Markov Model_b (3)'!cycle</f>
        <v>9.5143050629797017</v>
      </c>
      <c r="M209" s="80"/>
      <c r="N209" s="3"/>
      <c r="O209" s="80"/>
      <c r="P209" s="173">
        <v>199</v>
      </c>
      <c r="Q209" s="165"/>
      <c r="R209" s="174">
        <v>9.1886075336560132E-3</v>
      </c>
      <c r="S209" s="502"/>
      <c r="T209" s="219">
        <f t="shared" si="24"/>
        <v>19.384088734632215</v>
      </c>
      <c r="U209" s="249">
        <f t="shared" si="20"/>
        <v>80.615911265367785</v>
      </c>
      <c r="V209" s="516">
        <f t="shared" si="21"/>
        <v>100</v>
      </c>
      <c r="W209" s="153">
        <f>(T209*0)/(1+cDR)^'Markov Model_b (3)'!cycle2</f>
        <v>0</v>
      </c>
      <c r="X209" s="178">
        <f t="shared" si="22"/>
        <v>19.384088734632215</v>
      </c>
      <c r="Y209" s="202">
        <f>(T209*(uPostT))/(1+oDR)^'Markov Model_b (3)'!cycle</f>
        <v>8.9632829093116477</v>
      </c>
      <c r="Z209" s="80"/>
      <c r="AA209" s="3"/>
      <c r="AB209" s="3"/>
      <c r="AC209" s="14">
        <v>197</v>
      </c>
      <c r="AD209" s="14"/>
      <c r="AE209" s="14"/>
      <c r="AF209" s="3"/>
      <c r="AG209" s="3"/>
      <c r="AH209" s="3"/>
      <c r="AI209" s="14"/>
      <c r="AJ209" s="14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</row>
    <row r="210" spans="1:58" ht="14.25" customHeight="1" x14ac:dyDescent="0.2">
      <c r="A210" s="637"/>
      <c r="B210" s="417"/>
      <c r="C210" s="173">
        <v>200</v>
      </c>
      <c r="D210" s="165"/>
      <c r="E210" s="174">
        <v>9.2569346190075896E-3</v>
      </c>
      <c r="F210" s="502"/>
      <c r="G210" s="219">
        <f t="shared" si="25"/>
        <v>20.385266735100757</v>
      </c>
      <c r="H210" s="176">
        <f t="shared" si="26"/>
        <v>79.614733264899243</v>
      </c>
      <c r="I210" s="516">
        <f t="shared" si="23"/>
        <v>100</v>
      </c>
      <c r="J210" s="153">
        <f>(G210*0)/(1+cDR)^'Markov Model_b (3)'!cycle</f>
        <v>0</v>
      </c>
      <c r="K210" s="178">
        <f t="shared" si="19"/>
        <v>20.385266735100757</v>
      </c>
      <c r="L210" s="202">
        <f>(G210*(uPostT))/(1+oDR)^'Markov Model_b (3)'!cycle</f>
        <v>9.4027249506896808</v>
      </c>
      <c r="M210" s="80"/>
      <c r="N210" s="3"/>
      <c r="O210" s="80"/>
      <c r="P210" s="173">
        <v>200</v>
      </c>
      <c r="Q210" s="165"/>
      <c r="R210" s="174">
        <v>9.256943726351852E-3</v>
      </c>
      <c r="S210" s="502"/>
      <c r="T210" s="219">
        <f t="shared" si="24"/>
        <v>19.204651316029114</v>
      </c>
      <c r="U210" s="249">
        <f t="shared" si="20"/>
        <v>80.795348683970886</v>
      </c>
      <c r="V210" s="516">
        <f t="shared" si="21"/>
        <v>100</v>
      </c>
      <c r="W210" s="153">
        <f>(T210*0)/(1+cDR)^'Markov Model_b (3)'!cycle2</f>
        <v>0</v>
      </c>
      <c r="X210" s="178">
        <f t="shared" si="22"/>
        <v>19.204651316029114</v>
      </c>
      <c r="Y210" s="202">
        <f>(T210*(uPostT))/(1+oDR)^'Markov Model_b (3)'!cycle</f>
        <v>8.8581648915878084</v>
      </c>
      <c r="Z210" s="80"/>
      <c r="AA210" s="3"/>
      <c r="AB210" s="3"/>
      <c r="AC210" s="14">
        <v>198</v>
      </c>
      <c r="AD210" s="14"/>
      <c r="AE210" s="14"/>
      <c r="AF210" s="3"/>
      <c r="AG210" s="3"/>
      <c r="AH210" s="3"/>
      <c r="AI210" s="14"/>
      <c r="AJ210" s="14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</row>
    <row r="211" spans="1:58" ht="14.25" customHeight="1" x14ac:dyDescent="0.2">
      <c r="A211" s="637"/>
      <c r="B211" s="417"/>
      <c r="C211" s="173">
        <v>201</v>
      </c>
      <c r="D211" s="165"/>
      <c r="E211" s="174">
        <v>9.3259251906302743E-3</v>
      </c>
      <c r="F211" s="502"/>
      <c r="G211" s="219">
        <f t="shared" si="25"/>
        <v>20.195155262538165</v>
      </c>
      <c r="H211" s="176">
        <f t="shared" si="26"/>
        <v>79.804844737461835</v>
      </c>
      <c r="I211" s="516">
        <f t="shared" si="23"/>
        <v>100</v>
      </c>
      <c r="J211" s="153">
        <f>(G211*0)/(1+cDR)^'Markov Model_b (3)'!cycle</f>
        <v>0</v>
      </c>
      <c r="K211" s="178">
        <f t="shared" si="19"/>
        <v>20.195155262538165</v>
      </c>
      <c r="L211" s="202">
        <f>(G211*(uPostT))/(1+oDR)^'Markov Model_b (3)'!cycle</f>
        <v>9.2918063253979817</v>
      </c>
      <c r="M211" s="80"/>
      <c r="N211" s="3"/>
      <c r="O211" s="80"/>
      <c r="P211" s="173">
        <v>201</v>
      </c>
      <c r="Q211" s="165"/>
      <c r="R211" s="174">
        <v>9.3259351464927975E-3</v>
      </c>
      <c r="S211" s="502"/>
      <c r="T211" s="219">
        <f t="shared" si="24"/>
        <v>19.025549983344817</v>
      </c>
      <c r="U211" s="249">
        <f t="shared" si="20"/>
        <v>80.974450016655183</v>
      </c>
      <c r="V211" s="516">
        <f t="shared" si="21"/>
        <v>100</v>
      </c>
      <c r="W211" s="153">
        <f>(T211*0)/(1+cDR)^'Markov Model_b (3)'!cycle2</f>
        <v>0</v>
      </c>
      <c r="X211" s="178">
        <f t="shared" si="22"/>
        <v>19.025549983344817</v>
      </c>
      <c r="Y211" s="202">
        <f>(T211*(uPostT))/(1+oDR)^'Markov Model_b (3)'!cycle</f>
        <v>8.7536700451789731</v>
      </c>
      <c r="Z211" s="80"/>
      <c r="AA211" s="3"/>
      <c r="AB211" s="3"/>
      <c r="AC211" s="14">
        <v>199</v>
      </c>
      <c r="AD211" s="14"/>
      <c r="AE211" s="14"/>
      <c r="AF211" s="3"/>
      <c r="AG211" s="3"/>
      <c r="AH211" s="3"/>
      <c r="AI211" s="14"/>
      <c r="AJ211" s="14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</row>
    <row r="212" spans="1:58" ht="14.25" customHeight="1" x14ac:dyDescent="0.2">
      <c r="A212" s="637"/>
      <c r="B212" s="417"/>
      <c r="C212" s="173">
        <v>202</v>
      </c>
      <c r="D212" s="165"/>
      <c r="E212" s="174">
        <v>9.3955868357396433E-3</v>
      </c>
      <c r="F212" s="502"/>
      <c r="G212" s="219">
        <f t="shared" si="25"/>
        <v>20.005409927607744</v>
      </c>
      <c r="H212" s="176">
        <f t="shared" si="26"/>
        <v>79.994590072392256</v>
      </c>
      <c r="I212" s="516">
        <f t="shared" si="23"/>
        <v>100</v>
      </c>
      <c r="J212" s="153">
        <f>(G212*0)/(1+cDR)^'Markov Model_b (3)'!cycle</f>
        <v>0</v>
      </c>
      <c r="K212" s="178">
        <f t="shared" si="19"/>
        <v>20.005409927607744</v>
      </c>
      <c r="L212" s="202">
        <f>(G212*(uPostT))/(1+oDR)^'Markov Model_b (3)'!cycle</f>
        <v>9.1815504760167883</v>
      </c>
      <c r="M212" s="80"/>
      <c r="N212" s="3"/>
      <c r="O212" s="80"/>
      <c r="P212" s="173">
        <v>202</v>
      </c>
      <c r="Q212" s="165"/>
      <c r="R212" s="174">
        <v>9.3955975017061648E-3</v>
      </c>
      <c r="S212" s="502"/>
      <c r="T212" s="219">
        <f t="shared" si="24"/>
        <v>18.846793573452715</v>
      </c>
      <c r="U212" s="249">
        <f t="shared" si="20"/>
        <v>81.153206426547285</v>
      </c>
      <c r="V212" s="516">
        <f t="shared" si="21"/>
        <v>100</v>
      </c>
      <c r="W212" s="153">
        <f>(T212*0)/(1+cDR)^'Markov Model_b (3)'!cycle2</f>
        <v>0</v>
      </c>
      <c r="X212" s="178">
        <f t="shared" si="22"/>
        <v>18.846793573452715</v>
      </c>
      <c r="Y212" s="202">
        <f>(T212*(uPostT))/(1+oDR)^'Markov Model_b (3)'!cycle</f>
        <v>8.6497995858072105</v>
      </c>
      <c r="Z212" s="80"/>
      <c r="AA212" s="3"/>
      <c r="AB212" s="3"/>
      <c r="AC212" s="14">
        <v>200</v>
      </c>
      <c r="AD212" s="14"/>
      <c r="AE212" s="14"/>
      <c r="AF212" s="3"/>
      <c r="AG212" s="3"/>
      <c r="AH212" s="3"/>
      <c r="AI212" s="14"/>
      <c r="AJ212" s="14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</row>
    <row r="213" spans="1:58" ht="14.25" customHeight="1" x14ac:dyDescent="0.2">
      <c r="A213" s="637"/>
      <c r="B213" s="417"/>
      <c r="C213" s="173">
        <v>203</v>
      </c>
      <c r="D213" s="165"/>
      <c r="E213" s="174">
        <v>9.4659297300004903E-3</v>
      </c>
      <c r="F213" s="502"/>
      <c r="G213" s="219">
        <f t="shared" si="25"/>
        <v>19.816040123013153</v>
      </c>
      <c r="H213" s="176">
        <f t="shared" si="26"/>
        <v>80.183959876986847</v>
      </c>
      <c r="I213" s="516">
        <f t="shared" si="23"/>
        <v>100</v>
      </c>
      <c r="J213" s="153">
        <f>(G213*0)/(1+cDR)^'Markov Model_b (3)'!cycle</f>
        <v>0</v>
      </c>
      <c r="K213" s="178">
        <f t="shared" si="19"/>
        <v>19.816040123013153</v>
      </c>
      <c r="L213" s="202">
        <f>(G213*(uPostT))/(1+oDR)^'Markov Model_b (3)'!cycle</f>
        <v>9.0719586677290405</v>
      </c>
      <c r="M213" s="80"/>
      <c r="N213" s="3"/>
      <c r="O213" s="80"/>
      <c r="P213" s="173">
        <v>203</v>
      </c>
      <c r="Q213" s="165"/>
      <c r="R213" s="174">
        <v>9.4659409703828721E-3</v>
      </c>
      <c r="S213" s="502"/>
      <c r="T213" s="219">
        <f t="shared" si="24"/>
        <v>18.668390938005416</v>
      </c>
      <c r="U213" s="249">
        <f t="shared" si="20"/>
        <v>81.331609061994584</v>
      </c>
      <c r="V213" s="516">
        <f t="shared" si="21"/>
        <v>100</v>
      </c>
      <c r="W213" s="153">
        <f>(T213*0)/(1+cDR)^'Markov Model_b (3)'!cycle2</f>
        <v>0</v>
      </c>
      <c r="X213" s="178">
        <f t="shared" si="22"/>
        <v>18.668390938005416</v>
      </c>
      <c r="Y213" s="202">
        <f>(T213*(uPostT))/(1+oDR)^'Markov Model_b (3)'!cycle</f>
        <v>8.5465547067554297</v>
      </c>
      <c r="Z213" s="80"/>
      <c r="AA213" s="3"/>
      <c r="AB213" s="3"/>
      <c r="AC213" s="14">
        <v>201</v>
      </c>
      <c r="AD213" s="14"/>
      <c r="AE213" s="14"/>
      <c r="AF213" s="3"/>
      <c r="AG213" s="3"/>
      <c r="AH213" s="3"/>
      <c r="AI213" s="14"/>
      <c r="AJ213" s="14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</row>
    <row r="214" spans="1:58" ht="14.25" customHeight="1" x14ac:dyDescent="0.2">
      <c r="A214" s="637"/>
      <c r="B214" s="417"/>
      <c r="C214" s="173">
        <v>204</v>
      </c>
      <c r="D214" s="165"/>
      <c r="E214" s="174">
        <v>9.536961824087602E-3</v>
      </c>
      <c r="F214" s="502"/>
      <c r="G214" s="219">
        <f t="shared" si="25"/>
        <v>19.627055304855389</v>
      </c>
      <c r="H214" s="176">
        <f t="shared" si="26"/>
        <v>80.372944695144611</v>
      </c>
      <c r="I214" s="516">
        <f t="shared" si="23"/>
        <v>100</v>
      </c>
      <c r="J214" s="153">
        <f>(G214*0)/(1+cDR)^'Markov Model_b (3)'!cycle</f>
        <v>0</v>
      </c>
      <c r="K214" s="178">
        <f t="shared" si="19"/>
        <v>19.627055304855389</v>
      </c>
      <c r="L214" s="202">
        <f>(G214*(uPostT))/(1+oDR)^'Markov Model_b (3)'!cycle</f>
        <v>8.963032163835619</v>
      </c>
      <c r="M214" s="80"/>
      <c r="N214" s="3"/>
      <c r="O214" s="80"/>
      <c r="P214" s="173">
        <v>204</v>
      </c>
      <c r="Q214" s="165"/>
      <c r="R214" s="174">
        <v>9.5369735305276451E-3</v>
      </c>
      <c r="S214" s="502"/>
      <c r="T214" s="219">
        <f t="shared" si="24"/>
        <v>18.490350987772118</v>
      </c>
      <c r="U214" s="249">
        <f t="shared" si="20"/>
        <v>81.509649012227882</v>
      </c>
      <c r="V214" s="516">
        <f t="shared" si="21"/>
        <v>100</v>
      </c>
      <c r="W214" s="153">
        <f>(T214*0)/(1+cDR)^'Markov Model_b (3)'!cycle2</f>
        <v>0</v>
      </c>
      <c r="X214" s="178">
        <f t="shared" si="22"/>
        <v>18.490350987772118</v>
      </c>
      <c r="Y214" s="202">
        <f>(T214*(uPostT))/(1+oDR)^'Markov Model_b (3)'!cycle</f>
        <v>8.4439365992417912</v>
      </c>
      <c r="Z214" s="80"/>
      <c r="AA214" s="3"/>
      <c r="AB214" s="3"/>
      <c r="AC214" s="14">
        <v>202</v>
      </c>
      <c r="AD214" s="14"/>
      <c r="AE214" s="14"/>
      <c r="AF214" s="3"/>
      <c r="AG214" s="3"/>
      <c r="AH214" s="3"/>
      <c r="AI214" s="14"/>
      <c r="AJ214" s="14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</row>
    <row r="215" spans="1:58" ht="14.25" customHeight="1" x14ac:dyDescent="0.2">
      <c r="A215" s="597"/>
      <c r="B215" s="417"/>
      <c r="C215" s="173">
        <v>205</v>
      </c>
      <c r="D215" s="504"/>
      <c r="E215" s="174">
        <v>9.6086935528941226E-3</v>
      </c>
      <c r="F215" s="505"/>
      <c r="G215" s="219">
        <f t="shared" si="25"/>
        <v>19.438464945085329</v>
      </c>
      <c r="H215" s="176">
        <f t="shared" si="26"/>
        <v>80.561535054914671</v>
      </c>
      <c r="I215" s="516">
        <f t="shared" si="23"/>
        <v>100</v>
      </c>
      <c r="J215" s="180">
        <f>(G215*0)/(1+cDR)^'Markov Model_b (3)'!cycle</f>
        <v>0</v>
      </c>
      <c r="K215" s="176">
        <f t="shared" si="19"/>
        <v>19.438464945085329</v>
      </c>
      <c r="L215" s="202">
        <f>(G215*(uPostT))/(1+oDR)^'Markov Model_b (3)'!cycle</f>
        <v>8.8547722039586905</v>
      </c>
      <c r="M215" s="80"/>
      <c r="N215" s="3"/>
      <c r="O215" s="80"/>
      <c r="P215" s="173">
        <v>205</v>
      </c>
      <c r="Q215" s="504"/>
      <c r="R215" s="174">
        <v>9.6087056210121587E-3</v>
      </c>
      <c r="S215" s="505"/>
      <c r="T215" s="219">
        <f t="shared" si="24"/>
        <v>18.312682648301418</v>
      </c>
      <c r="U215" s="249">
        <f t="shared" si="20"/>
        <v>81.687317351698582</v>
      </c>
      <c r="V215" s="516">
        <f t="shared" si="21"/>
        <v>100</v>
      </c>
      <c r="W215" s="180">
        <f>(T215*0)/(1+cDR)^'Markov Model_b (3)'!cycle2</f>
        <v>0</v>
      </c>
      <c r="X215" s="176">
        <f t="shared" si="22"/>
        <v>18.312682648301418</v>
      </c>
      <c r="Y215" s="202">
        <f>(T215*(uPostT))/(1+oDR)^'Markov Model_b (3)'!cycle</f>
        <v>8.3419464320969414</v>
      </c>
      <c r="Z215" s="80"/>
      <c r="AA215" s="3"/>
      <c r="AB215" s="3"/>
      <c r="AC215" s="14">
        <v>203</v>
      </c>
      <c r="AD215" s="14"/>
      <c r="AE215" s="14"/>
      <c r="AF215" s="3"/>
      <c r="AG215" s="3"/>
      <c r="AH215" s="3"/>
      <c r="AI215" s="14"/>
      <c r="AJ215" s="14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</row>
    <row r="216" spans="1:58" ht="14.25" customHeight="1" x14ac:dyDescent="0.25">
      <c r="A216" s="637" t="s">
        <v>559</v>
      </c>
      <c r="B216" s="417"/>
      <c r="C216" s="506">
        <v>206</v>
      </c>
      <c r="D216" s="506"/>
      <c r="E216" s="507">
        <v>9.6811363429937687E-3</v>
      </c>
      <c r="F216" s="508"/>
      <c r="G216" s="509">
        <f t="shared" si="25"/>
        <v>19.250278515653449</v>
      </c>
      <c r="H216" s="176">
        <f t="shared" si="26"/>
        <v>80.749721484346551</v>
      </c>
      <c r="I216" s="518">
        <f t="shared" si="23"/>
        <v>100</v>
      </c>
      <c r="J216" s="511">
        <f>(G216*0)/(1+cDR)^'Markov Model_b (3)'!cycle</f>
        <v>0</v>
      </c>
      <c r="K216" s="512">
        <f t="shared" si="19"/>
        <v>19.250278515653449</v>
      </c>
      <c r="L216" s="513">
        <f>(G216*(uPostT))/(1+oDR)^'Markov Model_b (3)'!cycle</f>
        <v>8.747179996973582</v>
      </c>
      <c r="M216" s="80"/>
      <c r="N216" s="3"/>
      <c r="O216" s="80"/>
      <c r="P216" s="506">
        <v>206</v>
      </c>
      <c r="Q216" s="506"/>
      <c r="R216" s="507">
        <v>9.6811486642806102E-3</v>
      </c>
      <c r="S216" s="508"/>
      <c r="T216" s="509">
        <f t="shared" si="24"/>
        <v>18.13539484514142</v>
      </c>
      <c r="U216" s="249">
        <f t="shared" si="20"/>
        <v>81.86460515485858</v>
      </c>
      <c r="V216" s="518">
        <f t="shared" si="21"/>
        <v>100</v>
      </c>
      <c r="W216" s="511">
        <f>(T216*0)/(1+cDR)^'Markov Model_b (3)'!cycle2</f>
        <v>0</v>
      </c>
      <c r="X216" s="512">
        <f t="shared" si="22"/>
        <v>18.13539484514142</v>
      </c>
      <c r="Y216" s="513">
        <f>(T216*(uPostT))/(1+oDR)^'Markov Model_b (3)'!cycle</f>
        <v>8.2405853451754094</v>
      </c>
      <c r="Z216" s="80"/>
      <c r="AA216" s="3"/>
      <c r="AB216" s="3"/>
      <c r="AC216" s="14">
        <v>204</v>
      </c>
      <c r="AD216" s="14"/>
      <c r="AE216" s="14"/>
      <c r="AF216" s="3"/>
      <c r="AG216" s="3"/>
      <c r="AH216" s="3"/>
      <c r="AI216" s="14"/>
      <c r="AJ216" s="14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</row>
    <row r="217" spans="1:58" ht="14.25" customHeight="1" x14ac:dyDescent="0.2">
      <c r="A217" s="637"/>
      <c r="B217" s="417"/>
      <c r="C217" s="173">
        <v>207</v>
      </c>
      <c r="D217" s="165"/>
      <c r="E217" s="174">
        <v>9.7542814681375531E-3</v>
      </c>
      <c r="F217" s="502"/>
      <c r="G217" s="219">
        <f t="shared" si="25"/>
        <v>19.062505880671722</v>
      </c>
      <c r="H217" s="176">
        <f t="shared" si="26"/>
        <v>80.937494119328278</v>
      </c>
      <c r="I217" s="516">
        <f t="shared" si="23"/>
        <v>100</v>
      </c>
      <c r="J217" s="153">
        <f>(G217*0)/(1+cDR)^'Markov Model_b (3)'!cycle</f>
        <v>0</v>
      </c>
      <c r="K217" s="178">
        <f t="shared" si="19"/>
        <v>19.062505880671722</v>
      </c>
      <c r="L217" s="202">
        <f>(G217*(uPostT))/(1+oDR)^'Markov Model_b (3)'!cycle</f>
        <v>8.6402568989831803</v>
      </c>
      <c r="M217" s="80"/>
      <c r="N217" s="3"/>
      <c r="O217" s="80"/>
      <c r="P217" s="173">
        <v>207</v>
      </c>
      <c r="Q217" s="165"/>
      <c r="R217" s="174">
        <v>9.7542939371068546E-3</v>
      </c>
      <c r="S217" s="502"/>
      <c r="T217" s="219">
        <f t="shared" si="24"/>
        <v>17.95849687315642</v>
      </c>
      <c r="U217" s="249">
        <f t="shared" si="20"/>
        <v>82.04150312684358</v>
      </c>
      <c r="V217" s="516">
        <f t="shared" si="21"/>
        <v>100</v>
      </c>
      <c r="W217" s="153">
        <f>(T217*0)/(1+cDR)^'Markov Model_b (3)'!cycle2</f>
        <v>0</v>
      </c>
      <c r="X217" s="178">
        <f t="shared" si="22"/>
        <v>17.95849687315642</v>
      </c>
      <c r="Y217" s="202">
        <f>(T217*(uPostT))/(1+oDR)^'Markov Model_b (3)'!cycle</f>
        <v>8.1398546169623494</v>
      </c>
      <c r="Z217" s="80"/>
      <c r="AA217" s="3"/>
      <c r="AB217" s="3"/>
      <c r="AC217" s="14">
        <v>205</v>
      </c>
      <c r="AD217" s="14"/>
      <c r="AE217" s="14"/>
      <c r="AF217" s="3"/>
      <c r="AG217" s="3"/>
      <c r="AH217" s="3"/>
      <c r="AI217" s="14"/>
      <c r="AJ217" s="14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</row>
    <row r="218" spans="1:58" ht="14.25" customHeight="1" x14ac:dyDescent="0.2">
      <c r="A218" s="637"/>
      <c r="B218" s="417"/>
      <c r="C218" s="173">
        <v>208</v>
      </c>
      <c r="D218" s="165"/>
      <c r="E218" s="174">
        <v>9.8280577038624885E-3</v>
      </c>
      <c r="F218" s="502"/>
      <c r="G218" s="219">
        <f t="shared" si="25"/>
        <v>18.87515847289626</v>
      </c>
      <c r="H218" s="176">
        <f t="shared" si="26"/>
        <v>81.12484152710374</v>
      </c>
      <c r="I218" s="516">
        <f t="shared" si="23"/>
        <v>100</v>
      </c>
      <c r="J218" s="153">
        <f>(G218*0)/(1+cDR)^'Markov Model_b (3)'!cycle</f>
        <v>0</v>
      </c>
      <c r="K218" s="178">
        <f t="shared" si="19"/>
        <v>18.87515847289626</v>
      </c>
      <c r="L218" s="202">
        <f>(G218*(uPostT))/(1+oDR)^'Markov Model_b (3)'!cycle</f>
        <v>8.5340049432456606</v>
      </c>
      <c r="M218" s="80"/>
      <c r="N218" s="3"/>
      <c r="O218" s="80"/>
      <c r="P218" s="173">
        <v>208</v>
      </c>
      <c r="Q218" s="165"/>
      <c r="R218" s="174">
        <v>9.8280702404728512E-3</v>
      </c>
      <c r="S218" s="502"/>
      <c r="T218" s="219">
        <f t="shared" si="24"/>
        <v>17.781999504473731</v>
      </c>
      <c r="U218" s="249">
        <f t="shared" si="20"/>
        <v>82.218000495526269</v>
      </c>
      <c r="V218" s="516">
        <f t="shared" si="21"/>
        <v>100</v>
      </c>
      <c r="W218" s="153">
        <f>(T218*0)/(1+cDR)^'Markov Model_b (3)'!cycle2</f>
        <v>0</v>
      </c>
      <c r="X218" s="178">
        <f t="shared" si="22"/>
        <v>17.781999504473731</v>
      </c>
      <c r="Y218" s="202">
        <f>(T218*(uPostT))/(1+oDR)^'Markov Model_b (3)'!cycle</f>
        <v>8.0397561636305301</v>
      </c>
      <c r="Z218" s="80"/>
      <c r="AA218" s="3"/>
      <c r="AB218" s="3"/>
      <c r="AC218" s="14">
        <v>206</v>
      </c>
      <c r="AD218" s="14"/>
      <c r="AE218" s="14"/>
      <c r="AF218" s="3"/>
      <c r="AG218" s="3"/>
      <c r="AH218" s="3"/>
      <c r="AI218" s="14"/>
      <c r="AJ218" s="14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</row>
    <row r="219" spans="1:58" ht="14.25" customHeight="1" x14ac:dyDescent="0.2">
      <c r="A219" s="637"/>
      <c r="B219" s="417"/>
      <c r="C219" s="173">
        <v>209</v>
      </c>
      <c r="D219" s="165"/>
      <c r="E219" s="174">
        <v>9.9024522586174477E-3</v>
      </c>
      <c r="F219" s="502"/>
      <c r="G219" s="219">
        <f t="shared" si="25"/>
        <v>18.688248117244569</v>
      </c>
      <c r="H219" s="176">
        <f t="shared" si="26"/>
        <v>81.311751882755431</v>
      </c>
      <c r="I219" s="516">
        <f t="shared" si="23"/>
        <v>100</v>
      </c>
      <c r="J219" s="153">
        <f>(G219*0)/(1+cDR)^'Markov Model_b (3)'!cycle</f>
        <v>0</v>
      </c>
      <c r="K219" s="178">
        <f t="shared" si="19"/>
        <v>18.688248117244569</v>
      </c>
      <c r="L219" s="202">
        <f>(G219*(uPostT))/(1+oDR)^'Markov Model_b (3)'!cycle</f>
        <v>8.4284263009679492</v>
      </c>
      <c r="M219" s="80"/>
      <c r="N219" s="3"/>
      <c r="O219" s="80"/>
      <c r="P219" s="173">
        <v>209</v>
      </c>
      <c r="Q219" s="165"/>
      <c r="R219" s="174">
        <v>9.9024647871120176E-3</v>
      </c>
      <c r="S219" s="502"/>
      <c r="T219" s="219">
        <f t="shared" si="24"/>
        <v>17.605913880536235</v>
      </c>
      <c r="U219" s="249">
        <f t="shared" si="20"/>
        <v>82.394086119463765</v>
      </c>
      <c r="V219" s="516">
        <f t="shared" si="21"/>
        <v>100</v>
      </c>
      <c r="W219" s="153">
        <f>(T219*0)/(1+cDR)^'Markov Model_b (3)'!cycle2</f>
        <v>0</v>
      </c>
      <c r="X219" s="178">
        <f t="shared" si="22"/>
        <v>17.605913880536235</v>
      </c>
      <c r="Y219" s="202">
        <f>(T219*(uPostT))/(1+oDR)^'Markov Model_b (3)'!cycle</f>
        <v>7.9402920312451002</v>
      </c>
      <c r="Z219" s="80"/>
      <c r="AA219" s="3"/>
      <c r="AB219" s="3"/>
      <c r="AC219" s="14">
        <v>207</v>
      </c>
      <c r="AD219" s="14"/>
      <c r="AE219" s="14"/>
      <c r="AF219" s="3"/>
      <c r="AG219" s="3"/>
      <c r="AH219" s="3"/>
      <c r="AI219" s="14"/>
      <c r="AJ219" s="14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</row>
    <row r="220" spans="1:58" ht="14.25" customHeight="1" x14ac:dyDescent="0.2">
      <c r="A220" s="637"/>
      <c r="B220" s="417"/>
      <c r="C220" s="173">
        <v>210</v>
      </c>
      <c r="D220" s="165"/>
      <c r="E220" s="174">
        <v>9.9774771754923535E-3</v>
      </c>
      <c r="F220" s="502"/>
      <c r="G220" s="219">
        <f t="shared" si="25"/>
        <v>18.501786548204819</v>
      </c>
      <c r="H220" s="176">
        <f t="shared" si="26"/>
        <v>81.498213451795181</v>
      </c>
      <c r="I220" s="516">
        <f t="shared" si="23"/>
        <v>100</v>
      </c>
      <c r="J220" s="153">
        <f>(G220*0)/(1+cDR)^'Markov Model_b (3)'!cycle</f>
        <v>0</v>
      </c>
      <c r="K220" s="178">
        <f t="shared" si="19"/>
        <v>18.501786548204819</v>
      </c>
      <c r="L220" s="202">
        <f>(G220*(uPostT))/(1+oDR)^'Markov Model_b (3)'!cycle</f>
        <v>8.3235230622690466</v>
      </c>
      <c r="M220" s="80"/>
      <c r="N220" s="3"/>
      <c r="O220" s="80"/>
      <c r="P220" s="173">
        <v>210</v>
      </c>
      <c r="Q220" s="165"/>
      <c r="R220" s="174">
        <v>9.9774896222397033E-3</v>
      </c>
      <c r="S220" s="502"/>
      <c r="T220" s="219">
        <f t="shared" si="24"/>
        <v>17.430251057503142</v>
      </c>
      <c r="U220" s="249">
        <f t="shared" si="20"/>
        <v>82.569748942496858</v>
      </c>
      <c r="V220" s="516">
        <f t="shared" si="21"/>
        <v>100</v>
      </c>
      <c r="W220" s="153">
        <f>(T220*0)/(1+cDR)^'Markov Model_b (3)'!cycle2</f>
        <v>0</v>
      </c>
      <c r="X220" s="178">
        <f t="shared" si="22"/>
        <v>17.430251057503142</v>
      </c>
      <c r="Y220" s="202">
        <f>(T220*(uPostT))/(1+oDR)^'Markov Model_b (3)'!cycle</f>
        <v>7.8414641894322186</v>
      </c>
      <c r="Z220" s="80"/>
      <c r="AA220" s="3"/>
      <c r="AB220" s="3"/>
      <c r="AC220" s="14">
        <v>208</v>
      </c>
      <c r="AD220" s="14"/>
      <c r="AE220" s="14"/>
      <c r="AF220" s="3"/>
      <c r="AG220" s="3"/>
      <c r="AH220" s="3"/>
      <c r="AI220" s="14"/>
      <c r="AJ220" s="14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</row>
    <row r="221" spans="1:58" ht="14.25" customHeight="1" x14ac:dyDescent="0.2">
      <c r="A221" s="637"/>
      <c r="B221" s="417"/>
      <c r="C221" s="173">
        <v>211</v>
      </c>
      <c r="D221" s="165"/>
      <c r="E221" s="174">
        <v>1.0053159416332313E-2</v>
      </c>
      <c r="F221" s="502"/>
      <c r="G221" s="219">
        <f t="shared" si="25"/>
        <v>18.315785138548762</v>
      </c>
      <c r="H221" s="176">
        <f t="shared" si="26"/>
        <v>81.684214861451238</v>
      </c>
      <c r="I221" s="516">
        <f t="shared" si="23"/>
        <v>100</v>
      </c>
      <c r="J221" s="153">
        <f>(G221*0)/(1+cDR)^'Markov Model_b (3)'!cycle</f>
        <v>0</v>
      </c>
      <c r="K221" s="178">
        <f t="shared" si="19"/>
        <v>18.315785138548762</v>
      </c>
      <c r="L221" s="202">
        <f>(G221*(uPostT))/(1+oDR)^'Markov Model_b (3)'!cycle</f>
        <v>8.2192971152304608</v>
      </c>
      <c r="M221" s="80"/>
      <c r="N221" s="3"/>
      <c r="O221" s="80"/>
      <c r="P221" s="173">
        <v>211</v>
      </c>
      <c r="Q221" s="165"/>
      <c r="R221" s="174">
        <v>1.005317172579486E-2</v>
      </c>
      <c r="S221" s="502"/>
      <c r="T221" s="219">
        <f t="shared" si="24"/>
        <v>17.255021750398342</v>
      </c>
      <c r="U221" s="249">
        <f t="shared" si="20"/>
        <v>82.744978249601658</v>
      </c>
      <c r="V221" s="516">
        <f t="shared" si="21"/>
        <v>100</v>
      </c>
      <c r="W221" s="153">
        <f>(T221*0)/(1+cDR)^'Markov Model_b (3)'!cycle2</f>
        <v>0</v>
      </c>
      <c r="X221" s="178">
        <f t="shared" si="22"/>
        <v>17.255021750398342</v>
      </c>
      <c r="Y221" s="202">
        <f>(T221*(uPostT))/(1+oDR)^'Markov Model_b (3)'!cycle</f>
        <v>7.743274417310908</v>
      </c>
      <c r="Z221" s="80"/>
      <c r="AA221" s="3"/>
      <c r="AB221" s="3"/>
      <c r="AC221" s="14">
        <v>209</v>
      </c>
      <c r="AD221" s="14"/>
      <c r="AE221" s="14"/>
      <c r="AF221" s="3"/>
      <c r="AG221" s="3"/>
      <c r="AH221" s="3"/>
      <c r="AI221" s="14"/>
      <c r="AJ221" s="14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</row>
    <row r="222" spans="1:58" ht="14.25" customHeight="1" x14ac:dyDescent="0.2">
      <c r="A222" s="637"/>
      <c r="B222" s="417"/>
      <c r="C222" s="173">
        <v>212</v>
      </c>
      <c r="D222" s="165"/>
      <c r="E222" s="174">
        <v>1.0129512140849489E-2</v>
      </c>
      <c r="F222" s="502"/>
      <c r="G222" s="219">
        <f t="shared" si="25"/>
        <v>18.130255170618639</v>
      </c>
      <c r="H222" s="176">
        <f t="shared" si="26"/>
        <v>81.869744829381361</v>
      </c>
      <c r="I222" s="516">
        <f t="shared" si="23"/>
        <v>100</v>
      </c>
      <c r="J222" s="153">
        <f>(G222*0)/(1+cDR)^'Markov Model_b (3)'!cycle</f>
        <v>0</v>
      </c>
      <c r="K222" s="178">
        <f t="shared" si="19"/>
        <v>18.130255170618639</v>
      </c>
      <c r="L222" s="202">
        <f>(G222*(uPostT))/(1+oDR)^'Markov Model_b (3)'!cycle</f>
        <v>8.1157502696383883</v>
      </c>
      <c r="M222" s="80"/>
      <c r="N222" s="3"/>
      <c r="O222" s="80"/>
      <c r="P222" s="173">
        <v>212</v>
      </c>
      <c r="Q222" s="165"/>
      <c r="R222" s="174">
        <v>1.0129524260533736E-2</v>
      </c>
      <c r="S222" s="502"/>
      <c r="T222" s="219">
        <f t="shared" si="24"/>
        <v>17.08023658896164</v>
      </c>
      <c r="U222" s="249">
        <f t="shared" si="20"/>
        <v>82.91976341103836</v>
      </c>
      <c r="V222" s="516">
        <f t="shared" si="21"/>
        <v>100</v>
      </c>
      <c r="W222" s="153">
        <f>(T222*0)/(1+cDR)^'Markov Model_b (3)'!cycle2</f>
        <v>0</v>
      </c>
      <c r="X222" s="178">
        <f t="shared" si="22"/>
        <v>17.08023658896164</v>
      </c>
      <c r="Y222" s="202">
        <f>(T222*(uPostT))/(1+oDR)^'Markov Model_b (3)'!cycle</f>
        <v>7.6457244201942993</v>
      </c>
      <c r="Z222" s="80"/>
      <c r="AA222" s="3"/>
      <c r="AB222" s="3"/>
      <c r="AC222" s="14">
        <v>210</v>
      </c>
      <c r="AD222" s="14"/>
      <c r="AE222" s="14"/>
      <c r="AF222" s="3"/>
      <c r="AG222" s="3"/>
      <c r="AH222" s="3"/>
      <c r="AI222" s="14"/>
      <c r="AJ222" s="14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</row>
    <row r="223" spans="1:58" ht="14.25" customHeight="1" x14ac:dyDescent="0.2">
      <c r="A223" s="637"/>
      <c r="B223" s="417"/>
      <c r="C223" s="173">
        <v>213</v>
      </c>
      <c r="D223" s="165"/>
      <c r="E223" s="174">
        <v>1.0206543819722065E-2</v>
      </c>
      <c r="F223" s="502"/>
      <c r="G223" s="219">
        <f t="shared" si="25"/>
        <v>17.945207926756979</v>
      </c>
      <c r="H223" s="176">
        <f t="shared" si="26"/>
        <v>82.054792073243021</v>
      </c>
      <c r="I223" s="516">
        <f t="shared" si="23"/>
        <v>100</v>
      </c>
      <c r="J223" s="153">
        <f>(G223*0)/(1+cDR)^'Markov Model_b (3)'!cycle</f>
        <v>0</v>
      </c>
      <c r="K223" s="178">
        <f t="shared" si="19"/>
        <v>17.945207926756979</v>
      </c>
      <c r="L223" s="202">
        <f>(G223*(uPostT))/(1+oDR)^'Markov Model_b (3)'!cycle</f>
        <v>8.0128842981360631</v>
      </c>
      <c r="M223" s="80"/>
      <c r="N223" s="3"/>
      <c r="O223" s="80"/>
      <c r="P223" s="173">
        <v>213</v>
      </c>
      <c r="Q223" s="165"/>
      <c r="R223" s="174">
        <v>1.0206555694981547E-2</v>
      </c>
      <c r="S223" s="502"/>
      <c r="T223" s="219">
        <f t="shared" si="24"/>
        <v>16.90590620293294</v>
      </c>
      <c r="U223" s="249">
        <f t="shared" si="20"/>
        <v>83.09409379706706</v>
      </c>
      <c r="V223" s="516">
        <f t="shared" si="21"/>
        <v>100</v>
      </c>
      <c r="W223" s="153">
        <f>(T223*0)/(1+cDR)^'Markov Model_b (3)'!cycle2</f>
        <v>0</v>
      </c>
      <c r="X223" s="178">
        <f t="shared" si="22"/>
        <v>16.90590620293294</v>
      </c>
      <c r="Y223" s="202">
        <f>(T223*(uPostT))/(1+oDR)^'Markov Model_b (3)'!cycle</f>
        <v>7.548815868400105</v>
      </c>
      <c r="Z223" s="80"/>
      <c r="AA223" s="3"/>
      <c r="AB223" s="3"/>
      <c r="AC223" s="14">
        <v>211</v>
      </c>
      <c r="AD223" s="14"/>
      <c r="AE223" s="14"/>
      <c r="AF223" s="3"/>
      <c r="AG223" s="3"/>
      <c r="AH223" s="3"/>
      <c r="AI223" s="14"/>
      <c r="AJ223" s="14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</row>
    <row r="224" spans="1:58" ht="14.25" customHeight="1" x14ac:dyDescent="0.2">
      <c r="A224" s="637"/>
      <c r="B224" s="417"/>
      <c r="C224" s="173">
        <v>214</v>
      </c>
      <c r="D224" s="165"/>
      <c r="E224" s="174">
        <v>1.0284280049134007E-2</v>
      </c>
      <c r="F224" s="502"/>
      <c r="G224" s="219">
        <f t="shared" si="25"/>
        <v>17.760654382898267</v>
      </c>
      <c r="H224" s="176">
        <f t="shared" si="26"/>
        <v>82.239345617101733</v>
      </c>
      <c r="I224" s="516">
        <f t="shared" si="23"/>
        <v>100</v>
      </c>
      <c r="J224" s="153">
        <f>(G224*0)/(1+cDR)^'Markov Model_b (3)'!cycle</f>
        <v>0</v>
      </c>
      <c r="K224" s="178">
        <f t="shared" si="19"/>
        <v>17.760654382898267</v>
      </c>
      <c r="L224" s="202">
        <f>(G224*(uPostT))/(1+oDR)^'Markov Model_b (3)'!cycle</f>
        <v>7.9107008000126928</v>
      </c>
      <c r="M224" s="80"/>
      <c r="N224" s="3"/>
      <c r="O224" s="80"/>
      <c r="P224" s="173">
        <v>214</v>
      </c>
      <c r="Q224" s="165"/>
      <c r="R224" s="174">
        <v>1.0284291628504104E-2</v>
      </c>
      <c r="S224" s="502"/>
      <c r="T224" s="219">
        <f t="shared" si="24"/>
        <v>16.732040933297839</v>
      </c>
      <c r="U224" s="249">
        <f t="shared" si="20"/>
        <v>83.267959066702161</v>
      </c>
      <c r="V224" s="516">
        <f t="shared" si="21"/>
        <v>100</v>
      </c>
      <c r="W224" s="153">
        <f>(T224*0)/(1+cDR)^'Markov Model_b (3)'!cycle2</f>
        <v>0</v>
      </c>
      <c r="X224" s="178">
        <f t="shared" si="22"/>
        <v>16.732040933297839</v>
      </c>
      <c r="Y224" s="202">
        <f>(T224*(uPostT))/(1+oDR)^'Markov Model_b (3)'!cycle</f>
        <v>7.4525502688873813</v>
      </c>
      <c r="Z224" s="80"/>
      <c r="AA224" s="3"/>
      <c r="AB224" s="3"/>
      <c r="AC224" s="14">
        <v>212</v>
      </c>
      <c r="AD224" s="14"/>
      <c r="AE224" s="14"/>
      <c r="AF224" s="3"/>
      <c r="AG224" s="3"/>
      <c r="AH224" s="3"/>
      <c r="AI224" s="14"/>
      <c r="AJ224" s="14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</row>
    <row r="225" spans="1:58" ht="14.25" customHeight="1" x14ac:dyDescent="0.2">
      <c r="A225" s="637"/>
      <c r="B225" s="417"/>
      <c r="C225" s="173">
        <v>215</v>
      </c>
      <c r="D225" s="165"/>
      <c r="E225" s="174">
        <v>1.0362799116802929E-2</v>
      </c>
      <c r="F225" s="502"/>
      <c r="G225" s="219">
        <f t="shared" si="25"/>
        <v>17.576604289345326</v>
      </c>
      <c r="H225" s="176">
        <f t="shared" si="26"/>
        <v>82.423395710654674</v>
      </c>
      <c r="I225" s="516">
        <f t="shared" si="23"/>
        <v>100</v>
      </c>
      <c r="J225" s="153">
        <f>(G225*0)/(1+cDR)^'Markov Model_b (3)'!cycle</f>
        <v>0</v>
      </c>
      <c r="K225" s="178">
        <f t="shared" si="19"/>
        <v>17.576604289345326</v>
      </c>
      <c r="L225" s="202">
        <f>(G225*(uPostT))/(1+oDR)^'Markov Model_b (3)'!cycle</f>
        <v>7.8092007947621225</v>
      </c>
      <c r="M225" s="80"/>
      <c r="N225" s="3"/>
      <c r="O225" s="80"/>
      <c r="P225" s="173">
        <v>215</v>
      </c>
      <c r="Q225" s="165"/>
      <c r="R225" s="174">
        <v>1.0362810368676726E-2</v>
      </c>
      <c r="S225" s="502"/>
      <c r="T225" s="219">
        <f t="shared" si="24"/>
        <v>16.558649966025143</v>
      </c>
      <c r="U225" s="249">
        <f t="shared" si="20"/>
        <v>83.441350033974857</v>
      </c>
      <c r="V225" s="516">
        <f t="shared" si="21"/>
        <v>100</v>
      </c>
      <c r="W225" s="153">
        <f>(T225*0)/(1+cDR)^'Markov Model_b (3)'!cycle2</f>
        <v>0</v>
      </c>
      <c r="X225" s="178">
        <f t="shared" si="22"/>
        <v>16.558649966025143</v>
      </c>
      <c r="Y225" s="202">
        <f>(T225*(uPostT))/(1+oDR)^'Markov Model_b (3)'!cycle</f>
        <v>7.3569285822322925</v>
      </c>
      <c r="Z225" s="80"/>
      <c r="AA225" s="3"/>
      <c r="AB225" s="3"/>
      <c r="AC225" s="14">
        <v>213</v>
      </c>
      <c r="AD225" s="14"/>
      <c r="AE225" s="14"/>
      <c r="AF225" s="3"/>
      <c r="AG225" s="3"/>
      <c r="AH225" s="3"/>
      <c r="AI225" s="14"/>
      <c r="AJ225" s="14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</row>
    <row r="226" spans="1:58" ht="14.25" customHeight="1" x14ac:dyDescent="0.2">
      <c r="A226" s="637"/>
      <c r="B226" s="417"/>
      <c r="C226" s="173">
        <v>216</v>
      </c>
      <c r="D226" s="165"/>
      <c r="E226" s="174">
        <v>1.0442130705762401E-2</v>
      </c>
      <c r="F226" s="502"/>
      <c r="G226" s="219">
        <f t="shared" si="25"/>
        <v>17.393067089992513</v>
      </c>
      <c r="H226" s="176">
        <f t="shared" si="26"/>
        <v>82.606932910007487</v>
      </c>
      <c r="I226" s="516">
        <f t="shared" si="23"/>
        <v>100</v>
      </c>
      <c r="J226" s="153">
        <f>(G226*0)/(1+cDR)^'Markov Model_b (3)'!cycle</f>
        <v>0</v>
      </c>
      <c r="K226" s="178">
        <f t="shared" si="19"/>
        <v>17.393067089992513</v>
      </c>
      <c r="L226" s="202">
        <f>(G226*(uPostT))/(1+oDR)^'Markov Model_b (3)'!cycle</f>
        <v>7.7083851365143845</v>
      </c>
      <c r="M226" s="80"/>
      <c r="N226" s="3"/>
      <c r="O226" s="80"/>
      <c r="P226" s="173">
        <v>216</v>
      </c>
      <c r="Q226" s="165"/>
      <c r="R226" s="174">
        <v>1.0442141602761485E-2</v>
      </c>
      <c r="S226" s="502"/>
      <c r="T226" s="219">
        <f t="shared" si="24"/>
        <v>16.385742198329353</v>
      </c>
      <c r="U226" s="249">
        <f t="shared" si="20"/>
        <v>83.614257801670647</v>
      </c>
      <c r="V226" s="516">
        <f t="shared" si="21"/>
        <v>100</v>
      </c>
      <c r="W226" s="153">
        <f>(T226*0)/(1+cDR)^'Markov Model_b (3)'!cycle2</f>
        <v>0</v>
      </c>
      <c r="X226" s="178">
        <f t="shared" si="22"/>
        <v>16.385742198329353</v>
      </c>
      <c r="Y226" s="202">
        <f>(T226*(uPostT))/(1+oDR)^'Markov Model_b (3)'!cycle</f>
        <v>7.2619516131822666</v>
      </c>
      <c r="Z226" s="80"/>
      <c r="AA226" s="3"/>
      <c r="AB226" s="3"/>
      <c r="AC226" s="14">
        <v>214</v>
      </c>
      <c r="AD226" s="14"/>
      <c r="AE226" s="14"/>
      <c r="AF226" s="3"/>
      <c r="AG226" s="3"/>
      <c r="AH226" s="3"/>
      <c r="AI226" s="14"/>
      <c r="AJ226" s="14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</row>
    <row r="227" spans="1:58" ht="14.25" customHeight="1" x14ac:dyDescent="0.2">
      <c r="A227" s="597"/>
      <c r="B227" s="417"/>
      <c r="C227" s="173">
        <v>217</v>
      </c>
      <c r="D227" s="504"/>
      <c r="E227" s="174">
        <v>1.0522288007674177E-2</v>
      </c>
      <c r="F227" s="505"/>
      <c r="G227" s="219">
        <f t="shared" si="25"/>
        <v>17.21005222873481</v>
      </c>
      <c r="H227" s="176">
        <f t="shared" si="26"/>
        <v>82.78994777126519</v>
      </c>
      <c r="I227" s="516">
        <f t="shared" si="23"/>
        <v>100</v>
      </c>
      <c r="J227" s="180">
        <f>(G227*0)/(1+cDR)^'Markov Model_b (3)'!cycle</f>
        <v>0</v>
      </c>
      <c r="K227" s="176">
        <f t="shared" si="19"/>
        <v>17.21005222873481</v>
      </c>
      <c r="L227" s="202">
        <f>(G227*(uPostT))/(1+oDR)^'Markov Model_b (3)'!cycle</f>
        <v>7.6082546514053897</v>
      </c>
      <c r="M227" s="80"/>
      <c r="N227" s="3"/>
      <c r="O227" s="80"/>
      <c r="P227" s="173">
        <v>217</v>
      </c>
      <c r="Q227" s="504"/>
      <c r="R227" s="174">
        <v>1.052229852134386E-2</v>
      </c>
      <c r="S227" s="505"/>
      <c r="T227" s="219">
        <f t="shared" si="24"/>
        <v>16.213326527424755</v>
      </c>
      <c r="U227" s="249">
        <f t="shared" si="20"/>
        <v>83.786673472575245</v>
      </c>
      <c r="V227" s="516">
        <f t="shared" si="21"/>
        <v>100</v>
      </c>
      <c r="W227" s="180">
        <f>(T227*0)/(1+cDR)^'Markov Model_b (3)'!cycle2</f>
        <v>0</v>
      </c>
      <c r="X227" s="176">
        <f t="shared" si="22"/>
        <v>16.213326527424755</v>
      </c>
      <c r="Y227" s="202">
        <f>(T227*(uPostT))/(1+oDR)^'Markov Model_b (3)'!cycle</f>
        <v>7.1676201401105333</v>
      </c>
      <c r="Z227" s="80"/>
      <c r="AA227" s="3"/>
      <c r="AB227" s="3"/>
      <c r="AC227" s="14">
        <v>215</v>
      </c>
      <c r="AD227" s="14"/>
      <c r="AE227" s="14"/>
      <c r="AF227" s="3"/>
      <c r="AG227" s="3"/>
      <c r="AH227" s="3"/>
      <c r="AI227" s="14"/>
      <c r="AJ227" s="14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</row>
    <row r="228" spans="1:58" ht="14.25" customHeight="1" x14ac:dyDescent="0.25">
      <c r="A228" s="637" t="s">
        <v>560</v>
      </c>
      <c r="B228" s="417"/>
      <c r="C228" s="506">
        <v>218</v>
      </c>
      <c r="D228" s="506"/>
      <c r="E228" s="507">
        <v>1.0603276584053948E-2</v>
      </c>
      <c r="F228" s="508"/>
      <c r="G228" s="509">
        <f t="shared" si="25"/>
        <v>17.027569284927523</v>
      </c>
      <c r="H228" s="176">
        <f t="shared" si="26"/>
        <v>82.972430715072477</v>
      </c>
      <c r="I228" s="518">
        <f t="shared" si="23"/>
        <v>100</v>
      </c>
      <c r="J228" s="511">
        <f>(G228*0)/(1+cDR)^'Markov Model_b (3)'!cycle</f>
        <v>0</v>
      </c>
      <c r="K228" s="512">
        <f t="shared" si="19"/>
        <v>17.027569284927523</v>
      </c>
      <c r="L228" s="513">
        <f>(G228*(uPostT))/(1+oDR)^'Markov Model_b (3)'!cycle</f>
        <v>7.5088101975208232</v>
      </c>
      <c r="M228" s="80"/>
      <c r="N228" s="3"/>
      <c r="O228" s="80"/>
      <c r="P228" s="506">
        <v>218</v>
      </c>
      <c r="Q228" s="506"/>
      <c r="R228" s="507">
        <v>1.0603286687762989E-2</v>
      </c>
      <c r="S228" s="508"/>
      <c r="T228" s="509">
        <f t="shared" si="24"/>
        <v>16.041411978092157</v>
      </c>
      <c r="U228" s="249">
        <f t="shared" si="20"/>
        <v>83.958588021907843</v>
      </c>
      <c r="V228" s="518">
        <f t="shared" si="21"/>
        <v>100</v>
      </c>
      <c r="W228" s="511">
        <f>(T228*0)/(1+cDR)^'Markov Model_b (3)'!cycle2</f>
        <v>0</v>
      </c>
      <c r="X228" s="512">
        <f t="shared" si="22"/>
        <v>16.041411978092157</v>
      </c>
      <c r="Y228" s="513">
        <f>(T228*(uPostT))/(1+oDR)^'Markov Model_b (3)'!cycle</f>
        <v>7.0739349714672892</v>
      </c>
      <c r="Z228" s="80"/>
      <c r="AA228" s="3"/>
      <c r="AB228" s="3"/>
      <c r="AC228" s="14">
        <v>216</v>
      </c>
      <c r="AD228" s="14"/>
      <c r="AE228" s="14"/>
      <c r="AF228" s="3"/>
      <c r="AG228" s="3"/>
      <c r="AH228" s="3"/>
      <c r="AI228" s="14"/>
      <c r="AJ228" s="14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</row>
    <row r="229" spans="1:58" ht="14.25" customHeight="1" x14ac:dyDescent="0.2">
      <c r="A229" s="637"/>
      <c r="B229" s="417"/>
      <c r="C229" s="173">
        <v>219</v>
      </c>
      <c r="D229" s="165"/>
      <c r="E229" s="174">
        <v>1.0685077952949757E-2</v>
      </c>
      <c r="F229" s="502"/>
      <c r="G229" s="219">
        <f t="shared" si="25"/>
        <v>16.845628379768826</v>
      </c>
      <c r="H229" s="176">
        <f t="shared" si="26"/>
        <v>83.154371620231174</v>
      </c>
      <c r="I229" s="516">
        <f t="shared" si="23"/>
        <v>100</v>
      </c>
      <c r="J229" s="153">
        <f>(G229*0)/(1+cDR)^'Markov Model_b (3)'!cycle</f>
        <v>0</v>
      </c>
      <c r="K229" s="178">
        <f t="shared" si="19"/>
        <v>16.845628379768826</v>
      </c>
      <c r="L229" s="202">
        <f>(G229*(uPostT))/(1+oDR)^'Markov Model_b (3)'!cycle</f>
        <v>7.4100528431186161</v>
      </c>
      <c r="M229" s="80"/>
      <c r="N229" s="3"/>
      <c r="O229" s="80"/>
      <c r="P229" s="173">
        <v>219</v>
      </c>
      <c r="Q229" s="165"/>
      <c r="R229" s="174">
        <v>1.0685087631262946E-2</v>
      </c>
      <c r="S229" s="502"/>
      <c r="T229" s="219">
        <f t="shared" si="24"/>
        <v>15.870008085377052</v>
      </c>
      <c r="U229" s="249">
        <f t="shared" si="20"/>
        <v>84.129991914622948</v>
      </c>
      <c r="V229" s="516">
        <f t="shared" si="21"/>
        <v>100</v>
      </c>
      <c r="W229" s="153">
        <f>(T229*0)/(1+cDR)^'Markov Model_b (3)'!cycle2</f>
        <v>0</v>
      </c>
      <c r="X229" s="178">
        <f t="shared" si="22"/>
        <v>15.870008085377052</v>
      </c>
      <c r="Y229" s="202">
        <f>(T229*(uPostT))/(1+oDR)^'Markov Model_b (3)'!cycle</f>
        <v>6.9808971136152689</v>
      </c>
      <c r="Z229" s="80"/>
      <c r="AA229" s="3"/>
      <c r="AB229" s="3"/>
      <c r="AC229" s="14">
        <v>217</v>
      </c>
      <c r="AD229" s="14"/>
      <c r="AE229" s="14"/>
      <c r="AF229" s="3"/>
      <c r="AG229" s="3"/>
      <c r="AH229" s="3"/>
      <c r="AI229" s="14"/>
      <c r="AJ229" s="14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</row>
    <row r="230" spans="1:58" ht="14.25" customHeight="1" x14ac:dyDescent="0.2">
      <c r="A230" s="637"/>
      <c r="B230" s="417"/>
      <c r="C230" s="173">
        <v>220</v>
      </c>
      <c r="D230" s="165"/>
      <c r="E230" s="174">
        <v>1.0767696268841428E-2</v>
      </c>
      <c r="F230" s="502"/>
      <c r="G230" s="219">
        <f t="shared" si="25"/>
        <v>16.6642397699177</v>
      </c>
      <c r="H230" s="176">
        <f t="shared" si="26"/>
        <v>83.3357602300823</v>
      </c>
      <c r="I230" s="516">
        <f t="shared" si="23"/>
        <v>100</v>
      </c>
      <c r="J230" s="153">
        <f>(G230*0)/(1+cDR)^'Markov Model_b (3)'!cycle</f>
        <v>0</v>
      </c>
      <c r="K230" s="178">
        <f t="shared" si="19"/>
        <v>16.6642397699177</v>
      </c>
      <c r="L230" s="202">
        <f>(G230*(uPostT))/(1+oDR)^'Markov Model_b (3)'!cycle</f>
        <v>7.311983685553967</v>
      </c>
      <c r="M230" s="80"/>
      <c r="N230" s="3"/>
      <c r="O230" s="80"/>
      <c r="P230" s="173">
        <v>220</v>
      </c>
      <c r="Q230" s="165"/>
      <c r="R230" s="174">
        <v>1.0767705508811865E-2</v>
      </c>
      <c r="S230" s="502"/>
      <c r="T230" s="219">
        <f t="shared" si="24"/>
        <v>15.699124511891242</v>
      </c>
      <c r="U230" s="249">
        <f t="shared" si="20"/>
        <v>84.300875488108758</v>
      </c>
      <c r="V230" s="516">
        <f t="shared" si="21"/>
        <v>100</v>
      </c>
      <c r="W230" s="153">
        <f>(T230*0)/(1+cDR)^'Markov Model_b (3)'!cycle2</f>
        <v>0</v>
      </c>
      <c r="X230" s="178">
        <f t="shared" si="22"/>
        <v>15.699124511891242</v>
      </c>
      <c r="Y230" s="202">
        <f>(T230*(uPostT))/(1+oDR)^'Markov Model_b (3)'!cycle</f>
        <v>6.8885076003077739</v>
      </c>
      <c r="Z230" s="80"/>
      <c r="AA230" s="3"/>
      <c r="AB230" s="3"/>
      <c r="AC230" s="14">
        <v>218</v>
      </c>
      <c r="AD230" s="14"/>
      <c r="AE230" s="14"/>
      <c r="AF230" s="3"/>
      <c r="AG230" s="3"/>
      <c r="AH230" s="3"/>
      <c r="AI230" s="14"/>
      <c r="AJ230" s="14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</row>
    <row r="231" spans="1:58" ht="14.25" customHeight="1" x14ac:dyDescent="0.2">
      <c r="A231" s="637"/>
      <c r="B231" s="417"/>
      <c r="C231" s="173">
        <v>221</v>
      </c>
      <c r="D231" s="165"/>
      <c r="E231" s="174">
        <v>1.0851144518848643E-2</v>
      </c>
      <c r="F231" s="502"/>
      <c r="G231" s="219">
        <f t="shared" si="25"/>
        <v>16.483413695877573</v>
      </c>
      <c r="H231" s="176">
        <f t="shared" si="26"/>
        <v>83.516586304122427</v>
      </c>
      <c r="I231" s="516">
        <f t="shared" si="23"/>
        <v>100</v>
      </c>
      <c r="J231" s="153">
        <f>(G231*0)/(1+cDR)^'Markov Model_b (3)'!cycle</f>
        <v>0</v>
      </c>
      <c r="K231" s="178">
        <f t="shared" si="19"/>
        <v>16.483413695877573</v>
      </c>
      <c r="L231" s="202">
        <f>(G231*(uPostT))/(1+oDR)^'Markov Model_b (3)'!cycle</f>
        <v>7.2146037844015485</v>
      </c>
      <c r="M231" s="80"/>
      <c r="N231" s="3"/>
      <c r="O231" s="80"/>
      <c r="P231" s="173">
        <v>221</v>
      </c>
      <c r="Q231" s="165"/>
      <c r="R231" s="174">
        <v>1.0851153309050288E-2</v>
      </c>
      <c r="S231" s="502"/>
      <c r="T231" s="219">
        <f t="shared" si="24"/>
        <v>15.528770904994843</v>
      </c>
      <c r="U231" s="249">
        <f t="shared" si="20"/>
        <v>84.471229095005157</v>
      </c>
      <c r="V231" s="516">
        <f t="shared" si="21"/>
        <v>100</v>
      </c>
      <c r="W231" s="153">
        <f>(T231*0)/(1+cDR)^'Markov Model_b (3)'!cycle2</f>
        <v>0</v>
      </c>
      <c r="X231" s="178">
        <f t="shared" si="22"/>
        <v>15.528770904994843</v>
      </c>
      <c r="Y231" s="202">
        <f>(T231*(uPostT))/(1+oDR)^'Markov Model_b (3)'!cycle</f>
        <v>6.7967674296920446</v>
      </c>
      <c r="Z231" s="80"/>
      <c r="AA231" s="3"/>
      <c r="AB231" s="3"/>
      <c r="AC231" s="14">
        <v>219</v>
      </c>
      <c r="AD231" s="14"/>
      <c r="AE231" s="14"/>
      <c r="AF231" s="3"/>
      <c r="AG231" s="3"/>
      <c r="AH231" s="3"/>
      <c r="AI231" s="14"/>
      <c r="AJ231" s="14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</row>
    <row r="232" spans="1:58" ht="14.25" customHeight="1" x14ac:dyDescent="0.2">
      <c r="A232" s="637"/>
      <c r="B232" s="417"/>
      <c r="C232" s="173">
        <v>222</v>
      </c>
      <c r="D232" s="165"/>
      <c r="E232" s="174">
        <v>1.0935438840207501E-2</v>
      </c>
      <c r="F232" s="502"/>
      <c r="G232" s="219">
        <f t="shared" si="25"/>
        <v>16.303160333528467</v>
      </c>
      <c r="H232" s="176">
        <f t="shared" si="26"/>
        <v>83.696839666471533</v>
      </c>
      <c r="I232" s="516">
        <f t="shared" si="23"/>
        <v>100</v>
      </c>
      <c r="J232" s="153">
        <f>(G232*0)/(1+cDR)^'Markov Model_b (3)'!cycle</f>
        <v>0</v>
      </c>
      <c r="K232" s="178">
        <f t="shared" si="19"/>
        <v>16.303160333528467</v>
      </c>
      <c r="L232" s="202">
        <f>(G232*(uPostT))/(1+oDR)^'Markov Model_b (3)'!cycle</f>
        <v>7.1179141406093756</v>
      </c>
      <c r="M232" s="80"/>
      <c r="N232" s="3"/>
      <c r="O232" s="80"/>
      <c r="P232" s="173">
        <v>222</v>
      </c>
      <c r="Q232" s="165"/>
      <c r="R232" s="174">
        <v>1.0935447176909412E-2</v>
      </c>
      <c r="S232" s="502"/>
      <c r="T232" s="219">
        <f t="shared" si="24"/>
        <v>15.358956851040944</v>
      </c>
      <c r="U232" s="249">
        <f t="shared" si="20"/>
        <v>84.641043148959056</v>
      </c>
      <c r="V232" s="516">
        <f t="shared" si="21"/>
        <v>100</v>
      </c>
      <c r="W232" s="153">
        <f>(T232*0)/(1+cDR)^'Markov Model_b (3)'!cycle2</f>
        <v>0</v>
      </c>
      <c r="X232" s="178">
        <f t="shared" si="22"/>
        <v>15.358956851040944</v>
      </c>
      <c r="Y232" s="202">
        <f>(T232*(uPostT))/(1+oDR)^'Markov Model_b (3)'!cycle</f>
        <v>6.7056775446293369</v>
      </c>
      <c r="Z232" s="80"/>
      <c r="AA232" s="3"/>
      <c r="AB232" s="3"/>
      <c r="AC232" s="14">
        <v>220</v>
      </c>
      <c r="AD232" s="14"/>
      <c r="AE232" s="14"/>
      <c r="AF232" s="3"/>
      <c r="AG232" s="3"/>
      <c r="AH232" s="3"/>
      <c r="AI232" s="14"/>
      <c r="AJ232" s="14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</row>
    <row r="233" spans="1:58" ht="14.25" customHeight="1" x14ac:dyDescent="0.2">
      <c r="A233" s="637"/>
      <c r="B233" s="417"/>
      <c r="C233" s="173">
        <v>223</v>
      </c>
      <c r="D233" s="165"/>
      <c r="E233" s="174">
        <v>1.1020592772061853E-2</v>
      </c>
      <c r="F233" s="502"/>
      <c r="G233" s="219">
        <f t="shared" si="25"/>
        <v>16.123489842595021</v>
      </c>
      <c r="H233" s="176">
        <f t="shared" si="26"/>
        <v>83.876510157404979</v>
      </c>
      <c r="I233" s="516">
        <f t="shared" si="23"/>
        <v>100</v>
      </c>
      <c r="J233" s="153">
        <f>(G233*0)/(1+cDR)^'Markov Model_b (3)'!cycle</f>
        <v>0</v>
      </c>
      <c r="K233" s="178">
        <f t="shared" si="19"/>
        <v>16.123489842595021</v>
      </c>
      <c r="L233" s="202">
        <f>(G233*(uPostT))/(1+oDR)^'Markov Model_b (3)'!cycle</f>
        <v>7.0219157181837621</v>
      </c>
      <c r="M233" s="80"/>
      <c r="N233" s="3"/>
      <c r="O233" s="80"/>
      <c r="P233" s="173">
        <v>223</v>
      </c>
      <c r="Q233" s="165"/>
      <c r="R233" s="174">
        <v>1.1020600653502367E-2</v>
      </c>
      <c r="S233" s="502"/>
      <c r="T233" s="219">
        <f t="shared" si="24"/>
        <v>15.189691921131242</v>
      </c>
      <c r="U233" s="249">
        <f t="shared" si="20"/>
        <v>84.810308078868758</v>
      </c>
      <c r="V233" s="516">
        <f t="shared" si="21"/>
        <v>100</v>
      </c>
      <c r="W233" s="153">
        <f>(T233*0)/(1+cDR)^'Markov Model_b (3)'!cycle2</f>
        <v>0</v>
      </c>
      <c r="X233" s="178">
        <f t="shared" si="22"/>
        <v>15.189691921131242</v>
      </c>
      <c r="Y233" s="202">
        <f>(T233*(uPostT))/(1+oDR)^'Markov Model_b (3)'!cycle</f>
        <v>6.615238853165903</v>
      </c>
      <c r="Z233" s="80"/>
      <c r="AA233" s="3"/>
      <c r="AB233" s="3"/>
      <c r="AC233" s="14">
        <v>221</v>
      </c>
      <c r="AD233" s="14"/>
      <c r="AE233" s="14"/>
      <c r="AF233" s="3"/>
      <c r="AG233" s="3"/>
      <c r="AH233" s="3"/>
      <c r="AI233" s="14"/>
      <c r="AJ233" s="14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</row>
    <row r="234" spans="1:58" ht="14.25" customHeight="1" x14ac:dyDescent="0.2">
      <c r="A234" s="637"/>
      <c r="B234" s="417"/>
      <c r="C234" s="173">
        <v>224</v>
      </c>
      <c r="D234" s="165"/>
      <c r="E234" s="174">
        <v>1.1106619072018875E-2</v>
      </c>
      <c r="F234" s="502"/>
      <c r="G234" s="219">
        <f t="shared" si="25"/>
        <v>15.944412382801758</v>
      </c>
      <c r="H234" s="176">
        <f t="shared" si="26"/>
        <v>84.055587617198242</v>
      </c>
      <c r="I234" s="516">
        <f t="shared" si="23"/>
        <v>100</v>
      </c>
      <c r="J234" s="153">
        <f>(G234*0)/(1+cDR)^'Markov Model_b (3)'!cycle</f>
        <v>0</v>
      </c>
      <c r="K234" s="178">
        <f t="shared" si="19"/>
        <v>15.944412382801758</v>
      </c>
      <c r="L234" s="202">
        <f>(G234*(uPostT))/(1+oDR)^'Markov Model_b (3)'!cycle</f>
        <v>6.9266094515172814</v>
      </c>
      <c r="M234" s="80"/>
      <c r="N234" s="3"/>
      <c r="O234" s="80"/>
      <c r="P234" s="173">
        <v>224</v>
      </c>
      <c r="Q234" s="165"/>
      <c r="R234" s="174">
        <v>1.1106626496439802E-2</v>
      </c>
      <c r="S234" s="502"/>
      <c r="T234" s="219">
        <f t="shared" si="24"/>
        <v>15.020985686367254</v>
      </c>
      <c r="U234" s="249">
        <f t="shared" si="20"/>
        <v>84.979014313632746</v>
      </c>
      <c r="V234" s="516">
        <f t="shared" si="21"/>
        <v>100</v>
      </c>
      <c r="W234" s="153">
        <f>(T234*0)/(1+cDR)^'Markov Model_b (3)'!cycle2</f>
        <v>0</v>
      </c>
      <c r="X234" s="178">
        <f t="shared" si="22"/>
        <v>15.020985686367254</v>
      </c>
      <c r="Y234" s="202">
        <f>(T234*(uPostT))/(1+oDR)^'Markov Model_b (3)'!cycle</f>
        <v>6.5254522354504276</v>
      </c>
      <c r="Z234" s="80"/>
      <c r="AA234" s="3"/>
      <c r="AB234" s="3"/>
      <c r="AC234" s="14">
        <v>222</v>
      </c>
      <c r="AD234" s="14"/>
      <c r="AE234" s="14"/>
      <c r="AF234" s="3"/>
      <c r="AG234" s="3"/>
      <c r="AH234" s="3"/>
      <c r="AI234" s="14"/>
      <c r="AJ234" s="14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</row>
    <row r="235" spans="1:58" ht="14.25" customHeight="1" x14ac:dyDescent="0.2">
      <c r="A235" s="637"/>
      <c r="B235" s="417"/>
      <c r="C235" s="173">
        <v>225</v>
      </c>
      <c r="D235" s="165"/>
      <c r="E235" s="174">
        <v>1.1193550915622295E-2</v>
      </c>
      <c r="F235" s="502"/>
      <c r="G235" s="219">
        <f t="shared" si="25"/>
        <v>15.765937790975187</v>
      </c>
      <c r="H235" s="176">
        <f t="shared" si="26"/>
        <v>84.234062209024813</v>
      </c>
      <c r="I235" s="516">
        <f t="shared" si="23"/>
        <v>100</v>
      </c>
      <c r="J235" s="153">
        <f>(G235*0)/(1+cDR)^'Markov Model_b (3)'!cycle</f>
        <v>0</v>
      </c>
      <c r="K235" s="178">
        <f t="shared" si="19"/>
        <v>15.765937790975187</v>
      </c>
      <c r="L235" s="202">
        <f>(G235*(uPostT))/(1+oDR)^'Markov Model_b (3)'!cycle</f>
        <v>6.8319961056848797</v>
      </c>
      <c r="M235" s="80"/>
      <c r="N235" s="3"/>
      <c r="O235" s="80"/>
      <c r="P235" s="173">
        <v>225</v>
      </c>
      <c r="Q235" s="165"/>
      <c r="R235" s="174">
        <v>1.1193557882662537E-2</v>
      </c>
      <c r="S235" s="502"/>
      <c r="T235" s="219">
        <f t="shared" si="24"/>
        <v>14.852847413632261</v>
      </c>
      <c r="U235" s="249">
        <f t="shared" si="20"/>
        <v>85.147152586367739</v>
      </c>
      <c r="V235" s="516">
        <f t="shared" si="21"/>
        <v>100</v>
      </c>
      <c r="W235" s="153">
        <f>(T235*0)/(1+cDR)^'Markov Model_b (3)'!cycle2</f>
        <v>0</v>
      </c>
      <c r="X235" s="178">
        <f t="shared" si="22"/>
        <v>14.852847413632261</v>
      </c>
      <c r="Y235" s="202">
        <f>(T235*(uPostT))/(1+oDR)^'Markov Model_b (3)'!cycle</f>
        <v>6.4363184121120858</v>
      </c>
      <c r="Z235" s="80"/>
      <c r="AA235" s="3"/>
      <c r="AB235" s="3"/>
      <c r="AC235" s="14">
        <v>223</v>
      </c>
      <c r="AD235" s="14"/>
      <c r="AE235" s="14"/>
      <c r="AF235" s="3"/>
      <c r="AG235" s="3"/>
      <c r="AH235" s="3"/>
      <c r="AI235" s="14"/>
      <c r="AJ235" s="14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</row>
    <row r="236" spans="1:58" ht="14.25" customHeight="1" x14ac:dyDescent="0.2">
      <c r="A236" s="637"/>
      <c r="B236" s="417"/>
      <c r="C236" s="173">
        <v>226</v>
      </c>
      <c r="D236" s="165"/>
      <c r="E236" s="174">
        <v>1.1281484234106869E-2</v>
      </c>
      <c r="F236" s="502"/>
      <c r="G236" s="219">
        <f t="shared" si="25"/>
        <v>15.588074612350397</v>
      </c>
      <c r="H236" s="176">
        <f t="shared" si="26"/>
        <v>84.411925387649603</v>
      </c>
      <c r="I236" s="516">
        <f t="shared" si="23"/>
        <v>100</v>
      </c>
      <c r="J236" s="153">
        <f>(G236*0)/(1+cDR)^'Markov Model_b (3)'!cycle</f>
        <v>0</v>
      </c>
      <c r="K236" s="178">
        <f t="shared" si="19"/>
        <v>15.588074612350397</v>
      </c>
      <c r="L236" s="202">
        <f>(G236*(uPostT))/(1+oDR)^'Markov Model_b (3)'!cycle</f>
        <v>6.7380758596819152</v>
      </c>
      <c r="M236" s="80"/>
      <c r="N236" s="3"/>
      <c r="O236" s="80"/>
      <c r="P236" s="173">
        <v>226</v>
      </c>
      <c r="Q236" s="165"/>
      <c r="R236" s="174">
        <v>1.1281490749100842E-2</v>
      </c>
      <c r="S236" s="502"/>
      <c r="T236" s="219">
        <f t="shared" si="24"/>
        <v>14.685285152937567</v>
      </c>
      <c r="U236" s="249">
        <f t="shared" si="20"/>
        <v>85.314714847062433</v>
      </c>
      <c r="V236" s="516">
        <f t="shared" si="21"/>
        <v>100</v>
      </c>
      <c r="W236" s="153">
        <f>(T236*0)/(1+cDR)^'Markov Model_b (3)'!cycle2</f>
        <v>0</v>
      </c>
      <c r="X236" s="178">
        <f t="shared" si="22"/>
        <v>14.685285152937567</v>
      </c>
      <c r="Y236" s="202">
        <f>(T236*(uPostT))/(1+oDR)^'Markov Model_b (3)'!cycle</f>
        <v>6.3478375516085581</v>
      </c>
      <c r="Z236" s="80"/>
      <c r="AA236" s="3"/>
      <c r="AB236" s="3"/>
      <c r="AC236" s="14">
        <v>224</v>
      </c>
      <c r="AD236" s="14"/>
      <c r="AE236" s="14"/>
      <c r="AF236" s="3"/>
      <c r="AG236" s="3"/>
      <c r="AH236" s="3"/>
      <c r="AI236" s="14"/>
      <c r="AJ236" s="14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</row>
    <row r="237" spans="1:58" ht="14.25" customHeight="1" x14ac:dyDescent="0.2">
      <c r="A237" s="637"/>
      <c r="B237" s="417"/>
      <c r="C237" s="173">
        <v>227</v>
      </c>
      <c r="D237" s="165"/>
      <c r="E237" s="174">
        <v>1.137045770525473E-2</v>
      </c>
      <c r="F237" s="502"/>
      <c r="G237" s="219">
        <f t="shared" si="25"/>
        <v>15.410831069264319</v>
      </c>
      <c r="H237" s="176">
        <f t="shared" si="26"/>
        <v>84.589168930735681</v>
      </c>
      <c r="I237" s="516">
        <f t="shared" si="23"/>
        <v>100</v>
      </c>
      <c r="J237" s="153">
        <f>(G237*0)/(1+cDR)^'Markov Model_b (3)'!cycle</f>
        <v>0</v>
      </c>
      <c r="K237" s="178">
        <f t="shared" si="19"/>
        <v>15.410831069264319</v>
      </c>
      <c r="L237" s="202">
        <f>(G237*(uPostT))/(1+oDR)^'Markov Model_b (3)'!cycle</f>
        <v>6.6448487312764168</v>
      </c>
      <c r="M237" s="80"/>
      <c r="N237" s="3"/>
      <c r="O237" s="80"/>
      <c r="P237" s="173">
        <v>227</v>
      </c>
      <c r="Q237" s="165"/>
      <c r="R237" s="174">
        <v>1.1370463775298415E-2</v>
      </c>
      <c r="S237" s="502"/>
      <c r="T237" s="219">
        <f t="shared" si="24"/>
        <v>14.51830665007617</v>
      </c>
      <c r="U237" s="249">
        <f t="shared" si="20"/>
        <v>85.48169334992383</v>
      </c>
      <c r="V237" s="516">
        <f t="shared" si="21"/>
        <v>100</v>
      </c>
      <c r="W237" s="153">
        <f>(T237*0)/(1+cDR)^'Markov Model_b (3)'!cycle2</f>
        <v>0</v>
      </c>
      <c r="X237" s="178">
        <f t="shared" si="22"/>
        <v>14.51830665007617</v>
      </c>
      <c r="Y237" s="202">
        <f>(T237*(uPostT))/(1+oDR)^'Markov Model_b (3)'!cycle</f>
        <v>6.2600096705002661</v>
      </c>
      <c r="Z237" s="80"/>
      <c r="AA237" s="3"/>
      <c r="AB237" s="3"/>
      <c r="AC237" s="14">
        <v>225</v>
      </c>
      <c r="AD237" s="14"/>
      <c r="AE237" s="14"/>
      <c r="AF237" s="3"/>
      <c r="AG237" s="3"/>
      <c r="AH237" s="3"/>
      <c r="AI237" s="14"/>
      <c r="AJ237" s="14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</row>
    <row r="238" spans="1:58" ht="14.25" customHeight="1" x14ac:dyDescent="0.2">
      <c r="A238" s="637"/>
      <c r="B238" s="417"/>
      <c r="C238" s="173">
        <v>228</v>
      </c>
      <c r="D238" s="165"/>
      <c r="E238" s="174">
        <v>1.1460483552283142E-2</v>
      </c>
      <c r="F238" s="502"/>
      <c r="G238" s="219">
        <f t="shared" si="25"/>
        <v>15.234215493267996</v>
      </c>
      <c r="H238" s="176">
        <f t="shared" si="26"/>
        <v>84.765784506732004</v>
      </c>
      <c r="I238" s="516">
        <f t="shared" si="23"/>
        <v>100</v>
      </c>
      <c r="J238" s="153">
        <f>(G238*0)/(1+cDR)^'Markov Model_b (3)'!cycle</f>
        <v>0</v>
      </c>
      <c r="K238" s="178">
        <f t="shared" si="19"/>
        <v>15.234215493267996</v>
      </c>
      <c r="L238" s="202">
        <f>(G238*(uPostT))/(1+oDR)^'Markov Model_b (3)'!cycle</f>
        <v>6.5523147647722801</v>
      </c>
      <c r="M238" s="80"/>
      <c r="N238" s="3"/>
      <c r="O238" s="80"/>
      <c r="P238" s="173">
        <v>228</v>
      </c>
      <c r="Q238" s="165"/>
      <c r="R238" s="174">
        <v>1.1460489185405549E-2</v>
      </c>
      <c r="S238" s="502"/>
      <c r="T238" s="219">
        <f t="shared" si="24"/>
        <v>14.351919753722569</v>
      </c>
      <c r="U238" s="249">
        <f t="shared" si="20"/>
        <v>85.648080246277431</v>
      </c>
      <c r="V238" s="516">
        <f t="shared" si="21"/>
        <v>100</v>
      </c>
      <c r="W238" s="153">
        <f>(T238*0)/(1+cDR)^'Markov Model_b (3)'!cycle2</f>
        <v>0</v>
      </c>
      <c r="X238" s="178">
        <f t="shared" si="22"/>
        <v>14.351919753722569</v>
      </c>
      <c r="Y238" s="202">
        <f>(T238*(uPostT))/(1+oDR)^'Markov Model_b (3)'!cycle</f>
        <v>6.1728348103450994</v>
      </c>
      <c r="Z238" s="80"/>
      <c r="AA238" s="3"/>
      <c r="AB238" s="3"/>
      <c r="AC238" s="14">
        <v>226</v>
      </c>
      <c r="AD238" s="14"/>
      <c r="AE238" s="14"/>
      <c r="AF238" s="3"/>
      <c r="AG238" s="3"/>
      <c r="AH238" s="3"/>
      <c r="AI238" s="14"/>
      <c r="AJ238" s="14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</row>
    <row r="239" spans="1:58" ht="14.25" customHeight="1" x14ac:dyDescent="0.2">
      <c r="A239" s="597"/>
      <c r="B239" s="417"/>
      <c r="C239" s="173">
        <v>229</v>
      </c>
      <c r="D239" s="504"/>
      <c r="E239" s="174">
        <v>1.1551552528377425E-2</v>
      </c>
      <c r="F239" s="505"/>
      <c r="G239" s="219">
        <f t="shared" si="25"/>
        <v>15.058236652768883</v>
      </c>
      <c r="H239" s="176">
        <f t="shared" si="26"/>
        <v>84.941763347231117</v>
      </c>
      <c r="I239" s="516">
        <f t="shared" si="23"/>
        <v>100</v>
      </c>
      <c r="J239" s="180">
        <f>(G239*0)/(1+cDR)^'Markov Model_b (3)'!cycle</f>
        <v>0</v>
      </c>
      <c r="K239" s="176">
        <f t="shared" si="19"/>
        <v>15.058236652768883</v>
      </c>
      <c r="L239" s="202">
        <f>(G239*(uPostT))/(1+oDR)^'Markov Model_b (3)'!cycle</f>
        <v>6.4604741711566547</v>
      </c>
      <c r="M239" s="80"/>
      <c r="N239" s="3"/>
      <c r="O239" s="80"/>
      <c r="P239" s="173">
        <v>229</v>
      </c>
      <c r="Q239" s="504"/>
      <c r="R239" s="174">
        <v>1.1551557735215316E-2</v>
      </c>
      <c r="S239" s="505"/>
      <c r="T239" s="219">
        <f t="shared" si="24"/>
        <v>14.186132724076259</v>
      </c>
      <c r="U239" s="249">
        <f t="shared" si="20"/>
        <v>85.813867275923741</v>
      </c>
      <c r="V239" s="516">
        <f t="shared" si="21"/>
        <v>100</v>
      </c>
      <c r="W239" s="180">
        <f>(T239*0)/(1+cDR)^'Markov Model_b (3)'!cycle2</f>
        <v>0</v>
      </c>
      <c r="X239" s="176">
        <f t="shared" si="22"/>
        <v>14.186132724076259</v>
      </c>
      <c r="Y239" s="202">
        <f>(T239*(uPostT))/(1+oDR)^'Markov Model_b (3)'!cycle</f>
        <v>6.0863131697191504</v>
      </c>
      <c r="Z239" s="80"/>
      <c r="AA239" s="3"/>
      <c r="AB239" s="3"/>
      <c r="AC239" s="14">
        <v>227</v>
      </c>
      <c r="AD239" s="14"/>
      <c r="AE239" s="14"/>
      <c r="AF239" s="3"/>
      <c r="AG239" s="3"/>
      <c r="AH239" s="3"/>
      <c r="AI239" s="14"/>
      <c r="AJ239" s="14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</row>
    <row r="240" spans="1:58" ht="14.25" customHeight="1" x14ac:dyDescent="0.25">
      <c r="A240" s="637" t="s">
        <v>561</v>
      </c>
      <c r="B240" s="417"/>
      <c r="C240" s="506">
        <v>230</v>
      </c>
      <c r="D240" s="506"/>
      <c r="E240" s="507">
        <v>1.1643675911288886E-2</v>
      </c>
      <c r="F240" s="508"/>
      <c r="G240" s="509">
        <f t="shared" si="25"/>
        <v>14.882903425388548</v>
      </c>
      <c r="H240" s="176">
        <f t="shared" si="26"/>
        <v>85.117096574611452</v>
      </c>
      <c r="I240" s="518">
        <f t="shared" si="23"/>
        <v>100</v>
      </c>
      <c r="J240" s="511">
        <f>(G240*0)/(1+cDR)^'Markov Model_b (3)'!cycle</f>
        <v>0</v>
      </c>
      <c r="K240" s="512">
        <f t="shared" si="19"/>
        <v>14.882903425388548</v>
      </c>
      <c r="L240" s="513">
        <f>(G240*(uPostT))/(1+oDR)^'Markov Model_b (3)'!cycle</f>
        <v>6.3693271857101807</v>
      </c>
      <c r="M240" s="80"/>
      <c r="N240" s="3"/>
      <c r="O240" s="80"/>
      <c r="P240" s="506">
        <v>230</v>
      </c>
      <c r="Q240" s="506"/>
      <c r="R240" s="507">
        <v>1.1643680703597649E-2</v>
      </c>
      <c r="S240" s="508"/>
      <c r="T240" s="509">
        <f t="shared" si="24"/>
        <v>14.020953924218261</v>
      </c>
      <c r="U240" s="249">
        <f t="shared" si="20"/>
        <v>85.979046075781739</v>
      </c>
      <c r="V240" s="518">
        <f t="shared" si="21"/>
        <v>100</v>
      </c>
      <c r="W240" s="511">
        <f>(T240*0)/(1+cDR)^'Markov Model_b (3)'!cycle2</f>
        <v>0</v>
      </c>
      <c r="X240" s="512">
        <f t="shared" si="22"/>
        <v>14.020953924218261</v>
      </c>
      <c r="Y240" s="513">
        <f>(T240*(uPostT))/(1+oDR)^'Markov Model_b (3)'!cycle</f>
        <v>6.0004449700836338</v>
      </c>
      <c r="Z240" s="80"/>
      <c r="AA240" s="3"/>
      <c r="AB240" s="3"/>
      <c r="AC240" s="14">
        <v>228</v>
      </c>
      <c r="AD240" s="14"/>
      <c r="AE240" s="14"/>
      <c r="AF240" s="3"/>
      <c r="AG240" s="3"/>
      <c r="AH240" s="3"/>
      <c r="AI240" s="14"/>
      <c r="AJ240" s="14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</row>
    <row r="241" spans="1:58" ht="14.25" customHeight="1" x14ac:dyDescent="0.2">
      <c r="A241" s="637"/>
      <c r="B241" s="417"/>
      <c r="C241" s="173">
        <v>231</v>
      </c>
      <c r="D241" s="165"/>
      <c r="E241" s="174">
        <v>1.1736872278700392E-2</v>
      </c>
      <c r="F241" s="502"/>
      <c r="G241" s="219">
        <f t="shared" si="25"/>
        <v>14.70822468874853</v>
      </c>
      <c r="H241" s="176">
        <f t="shared" si="26"/>
        <v>85.29177531125147</v>
      </c>
      <c r="I241" s="516">
        <f t="shared" si="23"/>
        <v>100</v>
      </c>
      <c r="J241" s="153">
        <f>(G241*0)/(1+cDR)^'Markov Model_b (3)'!cycle</f>
        <v>0</v>
      </c>
      <c r="K241" s="178">
        <f t="shared" si="19"/>
        <v>14.70822468874853</v>
      </c>
      <c r="L241" s="202">
        <f>(G241*(uPostT))/(1+oDR)^'Markov Model_b (3)'!cycle</f>
        <v>6.2788740209778</v>
      </c>
      <c r="M241" s="80"/>
      <c r="N241" s="3"/>
      <c r="O241" s="80"/>
      <c r="P241" s="173">
        <v>231</v>
      </c>
      <c r="Q241" s="165"/>
      <c r="R241" s="174">
        <v>1.1736876668893989E-2</v>
      </c>
      <c r="S241" s="502"/>
      <c r="T241" s="219">
        <f t="shared" si="24"/>
        <v>13.856391717229471</v>
      </c>
      <c r="U241" s="249">
        <f t="shared" si="20"/>
        <v>86.143608282770529</v>
      </c>
      <c r="V241" s="516">
        <f t="shared" si="21"/>
        <v>100</v>
      </c>
      <c r="W241" s="153">
        <f>(T241*0)/(1+cDR)^'Markov Model_b (3)'!cycle2</f>
        <v>0</v>
      </c>
      <c r="X241" s="178">
        <f t="shared" si="22"/>
        <v>13.856391717229471</v>
      </c>
      <c r="Y241" s="202">
        <f>(T241*(uPostT))/(1+oDR)^'Markov Model_b (3)'!cycle</f>
        <v>5.9152304114825727</v>
      </c>
      <c r="Z241" s="80"/>
      <c r="AA241" s="3"/>
      <c r="AB241" s="3"/>
      <c r="AC241" s="14">
        <v>229</v>
      </c>
      <c r="AD241" s="14"/>
      <c r="AE241" s="14"/>
      <c r="AF241" s="3"/>
      <c r="AG241" s="3"/>
      <c r="AH241" s="3"/>
      <c r="AI241" s="14"/>
      <c r="AJ241" s="14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</row>
    <row r="242" spans="1:58" ht="14.25" customHeight="1" x14ac:dyDescent="0.2">
      <c r="A242" s="637"/>
      <c r="B242" s="417"/>
      <c r="C242" s="173">
        <v>232</v>
      </c>
      <c r="D242" s="165"/>
      <c r="E242" s="174">
        <v>1.1831138287155894E-2</v>
      </c>
      <c r="F242" s="502"/>
      <c r="G242" s="219">
        <f t="shared" si="25"/>
        <v>14.534209648497381</v>
      </c>
      <c r="H242" s="176">
        <f t="shared" si="26"/>
        <v>85.465790351502619</v>
      </c>
      <c r="I242" s="516">
        <f t="shared" si="23"/>
        <v>100</v>
      </c>
      <c r="J242" s="153">
        <f>(G242*0)/(1+cDR)^'Markov Model_b (3)'!cycle</f>
        <v>0</v>
      </c>
      <c r="K242" s="178">
        <f t="shared" ref="K242:K305" si="27">G242</f>
        <v>14.534209648497381</v>
      </c>
      <c r="L242" s="202">
        <f>(G242*(uPostT))/(1+oDR)^'Markov Model_b (3)'!cycle</f>
        <v>6.1891150066314005</v>
      </c>
      <c r="M242" s="80"/>
      <c r="N242" s="3"/>
      <c r="O242" s="80"/>
      <c r="P242" s="173">
        <v>232</v>
      </c>
      <c r="Q242" s="165"/>
      <c r="R242" s="174">
        <v>1.1831142288425432E-2</v>
      </c>
      <c r="S242" s="502"/>
      <c r="T242" s="219">
        <f t="shared" si="24"/>
        <v>13.692454775218764</v>
      </c>
      <c r="U242" s="249">
        <f t="shared" si="20"/>
        <v>86.307545224781236</v>
      </c>
      <c r="V242" s="516">
        <f t="shared" si="21"/>
        <v>100</v>
      </c>
      <c r="W242" s="153">
        <f>(T242*0)/(1+cDR)^'Markov Model_b (3)'!cycle2</f>
        <v>0</v>
      </c>
      <c r="X242" s="178">
        <f t="shared" si="22"/>
        <v>13.692454775218764</v>
      </c>
      <c r="Y242" s="202">
        <f>(T242*(uPostT))/(1+oDR)^'Markov Model_b (3)'!cycle</f>
        <v>5.8306698043047351</v>
      </c>
      <c r="Z242" s="80"/>
      <c r="AA242" s="3"/>
      <c r="AB242" s="3"/>
      <c r="AC242" s="14">
        <v>230</v>
      </c>
      <c r="AD242" s="14"/>
      <c r="AE242" s="14"/>
      <c r="AF242" s="3"/>
      <c r="AG242" s="3"/>
      <c r="AH242" s="3"/>
      <c r="AI242" s="14"/>
      <c r="AJ242" s="14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</row>
    <row r="243" spans="1:58" ht="14.25" customHeight="1" x14ac:dyDescent="0.2">
      <c r="A243" s="637"/>
      <c r="B243" s="417"/>
      <c r="C243" s="173">
        <v>233</v>
      </c>
      <c r="D243" s="165"/>
      <c r="E243" s="174">
        <v>1.1926401937037473E-2</v>
      </c>
      <c r="F243" s="502"/>
      <c r="G243" s="219">
        <f t="shared" si="25"/>
        <v>14.360868822392234</v>
      </c>
      <c r="H243" s="176">
        <f t="shared" si="26"/>
        <v>85.639131177607766</v>
      </c>
      <c r="I243" s="516">
        <f t="shared" si="23"/>
        <v>100</v>
      </c>
      <c r="J243" s="153">
        <f>(G243*0)/(1+cDR)^'Markov Model_b (3)'!cycle</f>
        <v>0</v>
      </c>
      <c r="K243" s="178">
        <f t="shared" si="27"/>
        <v>14.360868822392234</v>
      </c>
      <c r="L243" s="202">
        <f>(G243*(uPostT))/(1+oDR)^'Markov Model_b (3)'!cycle</f>
        <v>6.1000510059129827</v>
      </c>
      <c r="M243" s="80"/>
      <c r="N243" s="3"/>
      <c r="O243" s="80"/>
      <c r="P243" s="173">
        <v>233</v>
      </c>
      <c r="Q243" s="165"/>
      <c r="R243" s="174">
        <v>1.192640556368669E-2</v>
      </c>
      <c r="S243" s="502"/>
      <c r="T243" s="219">
        <f t="shared" si="24"/>
        <v>13.529153006407071</v>
      </c>
      <c r="U243" s="249">
        <f t="shared" si="20"/>
        <v>86.470846993592929</v>
      </c>
      <c r="V243" s="516">
        <f t="shared" si="21"/>
        <v>100</v>
      </c>
      <c r="W243" s="153">
        <f>(T243*0)/(1+cDR)^'Markov Model_b (3)'!cycle2</f>
        <v>0</v>
      </c>
      <c r="X243" s="178">
        <f t="shared" si="22"/>
        <v>13.529153006407071</v>
      </c>
      <c r="Y243" s="202">
        <f>(T243*(uPostT))/(1+oDR)^'Markov Model_b (3)'!cycle</f>
        <v>5.7467639616066428</v>
      </c>
      <c r="Z243" s="80"/>
      <c r="AA243" s="3"/>
      <c r="AB243" s="3"/>
      <c r="AC243" s="14">
        <v>231</v>
      </c>
      <c r="AD243" s="14"/>
      <c r="AE243" s="14"/>
      <c r="AF243" s="3"/>
      <c r="AG243" s="3"/>
      <c r="AH243" s="3"/>
      <c r="AI243" s="14"/>
      <c r="AJ243" s="14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</row>
    <row r="244" spans="1:58" ht="14.25" customHeight="1" x14ac:dyDescent="0.2">
      <c r="A244" s="637"/>
      <c r="B244" s="417"/>
      <c r="C244" s="173">
        <v>234</v>
      </c>
      <c r="D244" s="165"/>
      <c r="E244" s="174">
        <v>1.2022654639521867E-2</v>
      </c>
      <c r="F244" s="502"/>
      <c r="G244" s="219">
        <f t="shared" si="25"/>
        <v>14.188213056217137</v>
      </c>
      <c r="H244" s="176">
        <f t="shared" si="26"/>
        <v>85.811786943782863</v>
      </c>
      <c r="I244" s="516">
        <f t="shared" si="23"/>
        <v>100</v>
      </c>
      <c r="J244" s="153">
        <f>(G244*0)/(1+cDR)^'Markov Model_b (3)'!cycle</f>
        <v>0</v>
      </c>
      <c r="K244" s="178">
        <f t="shared" si="27"/>
        <v>14.188213056217137</v>
      </c>
      <c r="L244" s="202">
        <f>(G244*(uPostT))/(1+oDR)^'Markov Model_b (3)'!cycle</f>
        <v>6.0116829919056602</v>
      </c>
      <c r="M244" s="80"/>
      <c r="N244" s="3"/>
      <c r="O244" s="80"/>
      <c r="P244" s="173">
        <v>234</v>
      </c>
      <c r="Q244" s="165"/>
      <c r="R244" s="174">
        <v>1.202265790672721E-2</v>
      </c>
      <c r="S244" s="502"/>
      <c r="T244" s="219">
        <f t="shared" si="24"/>
        <v>13.366496628043265</v>
      </c>
      <c r="U244" s="249">
        <f t="shared" si="20"/>
        <v>86.633503371956735</v>
      </c>
      <c r="V244" s="516">
        <f t="shared" si="21"/>
        <v>100</v>
      </c>
      <c r="W244" s="153">
        <f>(T244*0)/(1+cDR)^'Markov Model_b (3)'!cycle2</f>
        <v>0</v>
      </c>
      <c r="X244" s="178">
        <f t="shared" si="22"/>
        <v>13.366496628043265</v>
      </c>
      <c r="Y244" s="202">
        <f>(T244*(uPostT))/(1+oDR)^'Markov Model_b (3)'!cycle</f>
        <v>5.6635137999257221</v>
      </c>
      <c r="Z244" s="80"/>
      <c r="AA244" s="3"/>
      <c r="AB244" s="3"/>
      <c r="AC244" s="14">
        <v>232</v>
      </c>
      <c r="AD244" s="14"/>
      <c r="AE244" s="14"/>
      <c r="AF244" s="3"/>
      <c r="AG244" s="3"/>
      <c r="AH244" s="3"/>
      <c r="AI244" s="14"/>
      <c r="AJ244" s="14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</row>
    <row r="245" spans="1:58" ht="14.25" customHeight="1" x14ac:dyDescent="0.2">
      <c r="A245" s="637"/>
      <c r="B245" s="417"/>
      <c r="C245" s="173">
        <v>235</v>
      </c>
      <c r="D245" s="165"/>
      <c r="E245" s="174">
        <v>1.2119909658769881E-2</v>
      </c>
      <c r="F245" s="502"/>
      <c r="G245" s="219">
        <f t="shared" si="25"/>
        <v>14.016253195756406</v>
      </c>
      <c r="H245" s="176">
        <f t="shared" si="26"/>
        <v>85.983746804243594</v>
      </c>
      <c r="I245" s="516">
        <f t="shared" si="23"/>
        <v>100</v>
      </c>
      <c r="J245" s="153">
        <f>(G245*0)/(1+cDR)^'Markov Model_b (3)'!cycle</f>
        <v>0</v>
      </c>
      <c r="K245" s="178">
        <f t="shared" si="27"/>
        <v>14.016253195756406</v>
      </c>
      <c r="L245" s="202">
        <f>(G245*(uPostT))/(1+oDR)^'Markov Model_b (3)'!cycle</f>
        <v>5.924011907378155</v>
      </c>
      <c r="M245" s="80"/>
      <c r="N245" s="3"/>
      <c r="O245" s="80"/>
      <c r="P245" s="173">
        <v>235</v>
      </c>
      <c r="Q245" s="165"/>
      <c r="R245" s="174">
        <v>1.2119912582547807E-2</v>
      </c>
      <c r="S245" s="502"/>
      <c r="T245" s="219">
        <f t="shared" si="24"/>
        <v>13.204495857376457</v>
      </c>
      <c r="U245" s="249">
        <f t="shared" si="20"/>
        <v>86.795504142623543</v>
      </c>
      <c r="V245" s="516">
        <f t="shared" si="21"/>
        <v>100</v>
      </c>
      <c r="W245" s="153">
        <f>(T245*0)/(1+cDR)^'Markov Model_b (3)'!cycle2</f>
        <v>0</v>
      </c>
      <c r="X245" s="178">
        <f t="shared" si="22"/>
        <v>13.204495857376457</v>
      </c>
      <c r="Y245" s="202">
        <f>(T245*(uPostT))/(1+oDR)^'Markov Model_b (3)'!cycle</f>
        <v>5.5809202072424622</v>
      </c>
      <c r="Z245" s="80"/>
      <c r="AA245" s="3"/>
      <c r="AB245" s="3"/>
      <c r="AC245" s="14">
        <v>233</v>
      </c>
      <c r="AD245" s="14"/>
      <c r="AE245" s="14"/>
      <c r="AF245" s="3"/>
      <c r="AG245" s="3"/>
      <c r="AH245" s="3"/>
      <c r="AI245" s="14"/>
      <c r="AJ245" s="14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</row>
    <row r="246" spans="1:58" ht="14.25" customHeight="1" x14ac:dyDescent="0.2">
      <c r="A246" s="637"/>
      <c r="B246" s="417"/>
      <c r="C246" s="173">
        <v>236</v>
      </c>
      <c r="D246" s="165"/>
      <c r="E246" s="174">
        <v>1.2218193442897301E-2</v>
      </c>
      <c r="F246" s="502"/>
      <c r="G246" s="219">
        <f t="shared" si="25"/>
        <v>13.844999902866022</v>
      </c>
      <c r="H246" s="176">
        <f t="shared" si="26"/>
        <v>86.155000097133978</v>
      </c>
      <c r="I246" s="516">
        <f t="shared" si="23"/>
        <v>100</v>
      </c>
      <c r="J246" s="153">
        <f>(G246*0)/(1+cDR)^'Markov Model_b (3)'!cycle</f>
        <v>0</v>
      </c>
      <c r="K246" s="178">
        <f t="shared" si="27"/>
        <v>13.844999902866022</v>
      </c>
      <c r="L246" s="202">
        <f>(G246*(uPostT))/(1+oDR)^'Markov Model_b (3)'!cycle</f>
        <v>5.837038587467112</v>
      </c>
      <c r="M246" s="80"/>
      <c r="N246" s="3"/>
      <c r="O246" s="80"/>
      <c r="P246" s="173">
        <v>236</v>
      </c>
      <c r="Q246" s="165"/>
      <c r="R246" s="174">
        <v>1.221819603976587E-2</v>
      </c>
      <c r="S246" s="502"/>
      <c r="T246" s="219">
        <f t="shared" si="24"/>
        <v>13.043160738384756</v>
      </c>
      <c r="U246" s="249">
        <f t="shared" si="20"/>
        <v>86.956839261615244</v>
      </c>
      <c r="V246" s="516">
        <f t="shared" si="21"/>
        <v>100</v>
      </c>
      <c r="W246" s="153">
        <f>(T246*0)/(1+cDR)^'Markov Model_b (3)'!cycle2</f>
        <v>0</v>
      </c>
      <c r="X246" s="178">
        <f t="shared" si="22"/>
        <v>13.043160738384756</v>
      </c>
      <c r="Y246" s="202">
        <f>(T246*(uPostT))/(1+oDR)^'Markov Model_b (3)'!cycle</f>
        <v>5.4989839701427261</v>
      </c>
      <c r="Z246" s="80"/>
      <c r="AA246" s="3"/>
      <c r="AB246" s="3"/>
      <c r="AC246" s="14">
        <v>234</v>
      </c>
      <c r="AD246" s="14"/>
      <c r="AE246" s="14"/>
      <c r="AF246" s="3"/>
      <c r="AG246" s="3"/>
      <c r="AH246" s="3"/>
      <c r="AI246" s="14"/>
      <c r="AJ246" s="14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</row>
    <row r="247" spans="1:58" ht="14.25" customHeight="1" x14ac:dyDescent="0.2">
      <c r="A247" s="637"/>
      <c r="B247" s="417"/>
      <c r="C247" s="173">
        <v>237</v>
      </c>
      <c r="D247" s="165"/>
      <c r="E247" s="174">
        <v>1.2317573158020704E-2</v>
      </c>
      <c r="F247" s="502"/>
      <c r="G247" s="219">
        <f t="shared" si="25"/>
        <v>13.674463103689675</v>
      </c>
      <c r="H247" s="176">
        <f t="shared" si="26"/>
        <v>86.325536896310325</v>
      </c>
      <c r="I247" s="516">
        <f t="shared" si="23"/>
        <v>100</v>
      </c>
      <c r="J247" s="153">
        <f>(G247*0)/(1+cDR)^'Markov Model_b (3)'!cycle</f>
        <v>0</v>
      </c>
      <c r="K247" s="178">
        <f t="shared" si="27"/>
        <v>13.674463103689675</v>
      </c>
      <c r="L247" s="202">
        <f>(G247*(uPostT))/(1+oDR)^'Markov Model_b (3)'!cycle</f>
        <v>5.7507635288177497</v>
      </c>
      <c r="M247" s="80"/>
      <c r="N247" s="3"/>
      <c r="O247" s="80"/>
      <c r="P247" s="173">
        <v>237</v>
      </c>
      <c r="Q247" s="165"/>
      <c r="R247" s="174">
        <v>1.2317575443871479E-2</v>
      </c>
      <c r="S247" s="502"/>
      <c r="T247" s="219">
        <f t="shared" si="24"/>
        <v>12.88250062196316</v>
      </c>
      <c r="U247" s="249">
        <f t="shared" si="20"/>
        <v>87.11749937803684</v>
      </c>
      <c r="V247" s="516">
        <f t="shared" si="21"/>
        <v>100</v>
      </c>
      <c r="W247" s="153">
        <f>(T247*0)/(1+cDR)^'Markov Model_b (3)'!cycle2</f>
        <v>0</v>
      </c>
      <c r="X247" s="178">
        <f t="shared" si="22"/>
        <v>12.88250062196316</v>
      </c>
      <c r="Y247" s="202">
        <f>(T247*(uPostT))/(1+oDR)^'Markov Model_b (3)'!cycle</f>
        <v>5.4177055563350152</v>
      </c>
      <c r="Z247" s="80"/>
      <c r="AA247" s="3"/>
      <c r="AB247" s="3"/>
      <c r="AC247" s="14">
        <v>235</v>
      </c>
      <c r="AD247" s="14"/>
      <c r="AE247" s="14"/>
      <c r="AF247" s="3"/>
      <c r="AG247" s="3"/>
      <c r="AH247" s="3"/>
      <c r="AI247" s="14"/>
      <c r="AJ247" s="14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</row>
    <row r="248" spans="1:58" ht="14.25" customHeight="1" x14ac:dyDescent="0.2">
      <c r="A248" s="637"/>
      <c r="B248" s="417"/>
      <c r="C248" s="173">
        <v>238</v>
      </c>
      <c r="D248" s="165"/>
      <c r="E248" s="174">
        <v>1.2418079010396155E-2</v>
      </c>
      <c r="F248" s="502"/>
      <c r="G248" s="219">
        <f t="shared" si="25"/>
        <v>13.504652540443303</v>
      </c>
      <c r="H248" s="176">
        <f t="shared" si="26"/>
        <v>86.495347459556697</v>
      </c>
      <c r="I248" s="516">
        <f t="shared" si="23"/>
        <v>100</v>
      </c>
      <c r="J248" s="153">
        <f>(G248*0)/(1+cDR)^'Markov Model_b (3)'!cycle</f>
        <v>0</v>
      </c>
      <c r="K248" s="178">
        <f t="shared" si="27"/>
        <v>13.504652540443303</v>
      </c>
      <c r="L248" s="202">
        <f>(G248*(uPostT))/(1+oDR)^'Markov Model_b (3)'!cycle</f>
        <v>5.6651871251339507</v>
      </c>
      <c r="M248" s="80"/>
      <c r="N248" s="3"/>
      <c r="O248" s="80"/>
      <c r="P248" s="173">
        <v>238</v>
      </c>
      <c r="Q248" s="165"/>
      <c r="R248" s="174">
        <v>1.2418081001615287E-2</v>
      </c>
      <c r="S248" s="502"/>
      <c r="T248" s="219">
        <f t="shared" si="24"/>
        <v>12.722524685736261</v>
      </c>
      <c r="U248" s="249">
        <f t="shared" ref="U248:U311" si="28">U247+(T247*R248)</f>
        <v>87.277475314263739</v>
      </c>
      <c r="V248" s="516">
        <f t="shared" ref="V248:V311" si="29">SUM(T248:U248)</f>
        <v>100</v>
      </c>
      <c r="W248" s="153">
        <f>(T248*0)/(1+cDR)^'Markov Model_b (3)'!cycle2</f>
        <v>0</v>
      </c>
      <c r="X248" s="178">
        <f t="shared" ref="X248:X311" si="30">T248</f>
        <v>12.722524685736261</v>
      </c>
      <c r="Y248" s="202">
        <f>(T248*(uPostT))/(1+oDR)^'Markov Model_b (3)'!cycle</f>
        <v>5.3370853365521667</v>
      </c>
      <c r="Z248" s="80"/>
      <c r="AA248" s="3"/>
      <c r="AB248" s="3"/>
      <c r="AC248" s="14">
        <v>236</v>
      </c>
      <c r="AD248" s="14"/>
      <c r="AE248" s="14"/>
      <c r="AF248" s="3"/>
      <c r="AG248" s="3"/>
      <c r="AH248" s="3"/>
      <c r="AI248" s="14"/>
      <c r="AJ248" s="14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</row>
    <row r="249" spans="1:58" ht="14.25" customHeight="1" x14ac:dyDescent="0.2">
      <c r="A249" s="637"/>
      <c r="B249" s="417"/>
      <c r="C249" s="173">
        <v>239</v>
      </c>
      <c r="D249" s="165"/>
      <c r="E249" s="174">
        <v>1.2519731375994788E-2</v>
      </c>
      <c r="F249" s="502"/>
      <c r="G249" s="219">
        <f t="shared" si="25"/>
        <v>13.335577918310804</v>
      </c>
      <c r="H249" s="176">
        <f t="shared" si="26"/>
        <v>86.664422081689196</v>
      </c>
      <c r="I249" s="516">
        <f t="shared" ref="I249:I312" si="31">SUM(G249:H249)</f>
        <v>100</v>
      </c>
      <c r="J249" s="153">
        <f>(G249*0)/(1+cDR)^'Markov Model_b (3)'!cycle</f>
        <v>0</v>
      </c>
      <c r="K249" s="178">
        <f t="shared" si="27"/>
        <v>13.335577918310804</v>
      </c>
      <c r="L249" s="202">
        <f>(G249*(uPostT))/(1+oDR)^'Markov Model_b (3)'!cycle</f>
        <v>5.5803097298080084</v>
      </c>
      <c r="M249" s="80"/>
      <c r="N249" s="3"/>
      <c r="O249" s="80"/>
      <c r="P249" s="173">
        <v>239</v>
      </c>
      <c r="Q249" s="165"/>
      <c r="R249" s="174">
        <v>1.2519733089398648E-2</v>
      </c>
      <c r="S249" s="502"/>
      <c r="T249" s="219">
        <f t="shared" ref="T249:T312" si="32">$T$10-U249</f>
        <v>12.563242072447551</v>
      </c>
      <c r="U249" s="249">
        <f t="shared" si="28"/>
        <v>87.436757927552449</v>
      </c>
      <c r="V249" s="516">
        <f t="shared" si="29"/>
        <v>100</v>
      </c>
      <c r="W249" s="153">
        <f>(T249*0)/(1+cDR)^'Markov Model_b (3)'!cycle2</f>
        <v>0</v>
      </c>
      <c r="X249" s="178">
        <f t="shared" si="30"/>
        <v>12.563242072447551</v>
      </c>
      <c r="Y249" s="202">
        <f>(T249*(uPostT))/(1+oDR)^'Markov Model_b (3)'!cycle</f>
        <v>5.2571236435543014</v>
      </c>
      <c r="Z249" s="80"/>
      <c r="AA249" s="3"/>
      <c r="AB249" s="3"/>
      <c r="AC249" s="14">
        <v>237</v>
      </c>
      <c r="AD249" s="14"/>
      <c r="AE249" s="14"/>
      <c r="AF249" s="3"/>
      <c r="AG249" s="3"/>
      <c r="AH249" s="3"/>
      <c r="AI249" s="14"/>
      <c r="AJ249" s="14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</row>
    <row r="250" spans="1:58" ht="14.25" customHeight="1" x14ac:dyDescent="0.2">
      <c r="A250" s="637"/>
      <c r="B250" s="417"/>
      <c r="C250" s="173">
        <v>240</v>
      </c>
      <c r="D250" s="165"/>
      <c r="E250" s="174">
        <v>1.2622559366503059E-2</v>
      </c>
      <c r="F250" s="502"/>
      <c r="G250" s="219">
        <f t="shared" si="25"/>
        <v>13.1672487943503</v>
      </c>
      <c r="H250" s="176">
        <f t="shared" si="26"/>
        <v>86.8327512056497</v>
      </c>
      <c r="I250" s="516">
        <f t="shared" si="31"/>
        <v>100</v>
      </c>
      <c r="J250" s="153">
        <f>(G250*0)/(1+cDR)^'Markov Model_b (3)'!cycle</f>
        <v>0</v>
      </c>
      <c r="K250" s="178">
        <f t="shared" si="27"/>
        <v>13.1672487943503</v>
      </c>
      <c r="L250" s="202">
        <f>(G250*(uPostT))/(1+oDR)^'Markov Model_b (3)'!cycle</f>
        <v>5.4961316099351922</v>
      </c>
      <c r="M250" s="80"/>
      <c r="N250" s="3"/>
      <c r="O250" s="80"/>
      <c r="P250" s="173">
        <v>240</v>
      </c>
      <c r="Q250" s="165"/>
      <c r="R250" s="174">
        <v>1.2622560817941868E-2</v>
      </c>
      <c r="S250" s="502"/>
      <c r="T250" s="219">
        <f t="shared" si="32"/>
        <v>12.404661785317558</v>
      </c>
      <c r="U250" s="249">
        <f t="shared" si="28"/>
        <v>87.595338214682442</v>
      </c>
      <c r="V250" s="516">
        <f t="shared" si="29"/>
        <v>100</v>
      </c>
      <c r="W250" s="153">
        <f>(T250*0)/(1+cDR)^'Markov Model_b (3)'!cycle2</f>
        <v>0</v>
      </c>
      <c r="X250" s="178">
        <f t="shared" si="30"/>
        <v>12.404661785317558</v>
      </c>
      <c r="Y250" s="202">
        <f>(T250*(uPostT))/(1+oDR)^'Markov Model_b (3)'!cycle</f>
        <v>5.1778207288140621</v>
      </c>
      <c r="Z250" s="80"/>
      <c r="AA250" s="3"/>
      <c r="AB250" s="3"/>
      <c r="AC250" s="14">
        <v>238</v>
      </c>
      <c r="AD250" s="14"/>
      <c r="AE250" s="14"/>
      <c r="AF250" s="3"/>
      <c r="AG250" s="3"/>
      <c r="AH250" s="3"/>
      <c r="AI250" s="14"/>
      <c r="AJ250" s="14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</row>
    <row r="251" spans="1:58" ht="14.25" customHeight="1" x14ac:dyDescent="0.2">
      <c r="A251" s="597"/>
      <c r="B251" s="417"/>
      <c r="C251" s="173">
        <v>241</v>
      </c>
      <c r="D251" s="504"/>
      <c r="E251" s="174">
        <v>1.2726584602406108E-2</v>
      </c>
      <c r="F251" s="505"/>
      <c r="G251" s="219">
        <f t="shared" si="25"/>
        <v>12.999674688588073</v>
      </c>
      <c r="H251" s="176">
        <f t="shared" si="26"/>
        <v>87.000325311411927</v>
      </c>
      <c r="I251" s="516">
        <f t="shared" si="31"/>
        <v>100</v>
      </c>
      <c r="J251" s="180">
        <f>(G251*0)/(1+cDR)^'Markov Model_b (3)'!cycle</f>
        <v>0</v>
      </c>
      <c r="K251" s="176">
        <f t="shared" si="27"/>
        <v>12.999674688588073</v>
      </c>
      <c r="L251" s="202">
        <f>(G251*(uPostT))/(1+oDR)^'Markov Model_b (3)'!cycle</f>
        <v>5.4126529935315677</v>
      </c>
      <c r="M251" s="80"/>
      <c r="N251" s="3"/>
      <c r="O251" s="80"/>
      <c r="P251" s="173">
        <v>241</v>
      </c>
      <c r="Q251" s="504"/>
      <c r="R251" s="174">
        <v>1.2726585808124384E-2</v>
      </c>
      <c r="S251" s="505"/>
      <c r="T251" s="219">
        <f t="shared" si="32"/>
        <v>12.246792792685952</v>
      </c>
      <c r="U251" s="249">
        <f t="shared" si="28"/>
        <v>87.753207207314048</v>
      </c>
      <c r="V251" s="516">
        <f t="shared" si="29"/>
        <v>100</v>
      </c>
      <c r="W251" s="180">
        <f>(T251*0)/(1+cDR)^'Markov Model_b (3)'!cycle2</f>
        <v>0</v>
      </c>
      <c r="X251" s="176">
        <f t="shared" si="30"/>
        <v>12.246792792685952</v>
      </c>
      <c r="Y251" s="202">
        <f>(T251*(uPostT))/(1+oDR)^'Markov Model_b (3)'!cycle</f>
        <v>5.0991768069922454</v>
      </c>
      <c r="Z251" s="80"/>
      <c r="AA251" s="3"/>
      <c r="AB251" s="3"/>
      <c r="AC251" s="14">
        <v>239</v>
      </c>
      <c r="AD251" s="14"/>
      <c r="AE251" s="14"/>
      <c r="AF251" s="3"/>
      <c r="AG251" s="3"/>
      <c r="AH251" s="3"/>
      <c r="AI251" s="14"/>
      <c r="AJ251" s="14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</row>
    <row r="252" spans="1:58" ht="14.25" customHeight="1" x14ac:dyDescent="0.25">
      <c r="A252" s="637" t="s">
        <v>562</v>
      </c>
      <c r="B252" s="417"/>
      <c r="C252" s="506">
        <v>242</v>
      </c>
      <c r="D252" s="506"/>
      <c r="E252" s="507">
        <v>1.2831826298245058E-2</v>
      </c>
      <c r="F252" s="508"/>
      <c r="G252" s="509">
        <f t="shared" si="25"/>
        <v>12.832865121050418</v>
      </c>
      <c r="H252" s="176">
        <f t="shared" si="26"/>
        <v>87.167134878949582</v>
      </c>
      <c r="I252" s="518">
        <f t="shared" si="31"/>
        <v>100</v>
      </c>
      <c r="J252" s="511">
        <f>(G252*0)/(1+cDR)^'Markov Model_b (3)'!cycle</f>
        <v>0</v>
      </c>
      <c r="K252" s="512">
        <f t="shared" si="27"/>
        <v>12.832865121050418</v>
      </c>
      <c r="L252" s="513">
        <f>(G252*(uPostT))/(1+oDR)^'Markov Model_b (3)'!cycle</f>
        <v>5.3298740852926612</v>
      </c>
      <c r="M252" s="80"/>
      <c r="N252" s="3"/>
      <c r="O252" s="80"/>
      <c r="P252" s="506">
        <v>242</v>
      </c>
      <c r="Q252" s="506"/>
      <c r="R252" s="507">
        <v>1.2831827275403287E-2</v>
      </c>
      <c r="S252" s="508"/>
      <c r="T252" s="509">
        <f t="shared" si="32"/>
        <v>12.089644062892546</v>
      </c>
      <c r="U252" s="249">
        <f t="shared" si="28"/>
        <v>87.910355937107454</v>
      </c>
      <c r="V252" s="518">
        <f t="shared" si="29"/>
        <v>100</v>
      </c>
      <c r="W252" s="511">
        <f>(T252*0)/(1+cDR)^'Markov Model_b (3)'!cycle2</f>
        <v>0</v>
      </c>
      <c r="X252" s="512">
        <f t="shared" si="30"/>
        <v>12.089644062892546</v>
      </c>
      <c r="Y252" s="513">
        <f>(T252*(uPostT))/(1+oDR)^'Markov Model_b (3)'!cycle</f>
        <v>5.0211920707812219</v>
      </c>
      <c r="Z252" s="80"/>
      <c r="AA252" s="3"/>
      <c r="AB252" s="3"/>
      <c r="AC252" s="14">
        <v>240</v>
      </c>
      <c r="AD252" s="14"/>
      <c r="AE252" s="14"/>
      <c r="AF252" s="3"/>
      <c r="AG252" s="3"/>
      <c r="AH252" s="3"/>
      <c r="AI252" s="14"/>
      <c r="AJ252" s="14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</row>
    <row r="253" spans="1:58" ht="14.25" customHeight="1" x14ac:dyDescent="0.2">
      <c r="A253" s="637"/>
      <c r="B253" s="417"/>
      <c r="C253" s="173">
        <v>243</v>
      </c>
      <c r="D253" s="165"/>
      <c r="E253" s="174">
        <v>1.2938276599534438E-2</v>
      </c>
      <c r="F253" s="502"/>
      <c r="G253" s="219">
        <f t="shared" si="25"/>
        <v>12.666829962549755</v>
      </c>
      <c r="H253" s="176">
        <f t="shared" si="26"/>
        <v>87.333170037450245</v>
      </c>
      <c r="I253" s="516">
        <f t="shared" si="31"/>
        <v>100</v>
      </c>
      <c r="J253" s="153">
        <f>(G253*0)/(1+cDR)^'Markov Model_b (3)'!cycle</f>
        <v>0</v>
      </c>
      <c r="K253" s="178">
        <f t="shared" si="27"/>
        <v>12.666829962549755</v>
      </c>
      <c r="L253" s="202">
        <f>(G253*(uPostT))/(1+oDR)^'Markov Model_b (3)'!cycle</f>
        <v>5.247795212106193</v>
      </c>
      <c r="M253" s="80"/>
      <c r="N253" s="3"/>
      <c r="O253" s="80"/>
      <c r="P253" s="173">
        <v>243</v>
      </c>
      <c r="Q253" s="165"/>
      <c r="R253" s="174">
        <v>1.2938277365427952E-2</v>
      </c>
      <c r="S253" s="502"/>
      <c r="T253" s="219">
        <f t="shared" si="32"/>
        <v>11.933224894757544</v>
      </c>
      <c r="U253" s="249">
        <f t="shared" si="28"/>
        <v>88.066775105242456</v>
      </c>
      <c r="V253" s="516">
        <f t="shared" si="29"/>
        <v>100</v>
      </c>
      <c r="W253" s="153">
        <f>(T253*0)/(1+cDR)^'Markov Model_b (3)'!cycle2</f>
        <v>0</v>
      </c>
      <c r="X253" s="178">
        <f t="shared" si="30"/>
        <v>11.933224894757544</v>
      </c>
      <c r="Y253" s="202">
        <f>(T253*(uPostT))/(1+oDR)^'Markov Model_b (3)'!cycle</f>
        <v>4.9438668279943823</v>
      </c>
      <c r="Z253" s="80"/>
      <c r="AA253" s="3"/>
      <c r="AB253" s="3"/>
      <c r="AC253" s="14">
        <v>241</v>
      </c>
      <c r="AD253" s="14"/>
      <c r="AE253" s="14"/>
      <c r="AF253" s="3"/>
      <c r="AG253" s="3"/>
      <c r="AH253" s="3"/>
      <c r="AI253" s="14"/>
      <c r="AJ253" s="14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</row>
    <row r="254" spans="1:58" ht="14.25" customHeight="1" x14ac:dyDescent="0.2">
      <c r="A254" s="637"/>
      <c r="B254" s="417"/>
      <c r="C254" s="173">
        <v>244</v>
      </c>
      <c r="D254" s="165"/>
      <c r="E254" s="174">
        <v>1.3045843040201783E-2</v>
      </c>
      <c r="F254" s="502"/>
      <c r="G254" s="219">
        <f t="shared" si="25"/>
        <v>12.501580487041409</v>
      </c>
      <c r="H254" s="176">
        <f t="shared" si="26"/>
        <v>87.498419512958591</v>
      </c>
      <c r="I254" s="516">
        <f t="shared" si="31"/>
        <v>100</v>
      </c>
      <c r="J254" s="153">
        <f>(G254*0)/(1+cDR)^'Markov Model_b (3)'!cycle</f>
        <v>0</v>
      </c>
      <c r="K254" s="178">
        <f t="shared" si="27"/>
        <v>12.501580487041409</v>
      </c>
      <c r="L254" s="202">
        <f>(G254*(uPostT))/(1+oDR)^'Markov Model_b (3)'!cycle</f>
        <v>5.1664172563211315</v>
      </c>
      <c r="M254" s="80"/>
      <c r="N254" s="3"/>
      <c r="O254" s="80"/>
      <c r="P254" s="173">
        <v>244</v>
      </c>
      <c r="Q254" s="165"/>
      <c r="R254" s="174">
        <v>1.3045843609499959E-2</v>
      </c>
      <c r="S254" s="502"/>
      <c r="T254" s="219">
        <f t="shared" si="32"/>
        <v>11.777545909023544</v>
      </c>
      <c r="U254" s="249">
        <f t="shared" si="28"/>
        <v>88.222454090976456</v>
      </c>
      <c r="V254" s="516">
        <f t="shared" si="29"/>
        <v>100</v>
      </c>
      <c r="W254" s="153">
        <f>(T254*0)/(1+cDR)^'Markov Model_b (3)'!cycle2</f>
        <v>0</v>
      </c>
      <c r="X254" s="178">
        <f t="shared" si="30"/>
        <v>11.777545909023544</v>
      </c>
      <c r="Y254" s="202">
        <f>(T254*(uPostT))/(1+oDR)^'Markov Model_b (3)'!cycle</f>
        <v>4.8672019097557842</v>
      </c>
      <c r="Z254" s="80"/>
      <c r="AA254" s="3"/>
      <c r="AB254" s="3"/>
      <c r="AC254" s="14">
        <v>242</v>
      </c>
      <c r="AD254" s="14"/>
      <c r="AE254" s="14"/>
      <c r="AF254" s="3"/>
      <c r="AG254" s="3"/>
      <c r="AH254" s="3"/>
      <c r="AI254" s="14"/>
      <c r="AJ254" s="14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</row>
    <row r="255" spans="1:58" ht="14.25" customHeight="1" x14ac:dyDescent="0.2">
      <c r="A255" s="637"/>
      <c r="B255" s="417"/>
      <c r="C255" s="173">
        <v>245</v>
      </c>
      <c r="D255" s="165"/>
      <c r="E255" s="174">
        <v>1.3154510179319708E-2</v>
      </c>
      <c r="F255" s="502"/>
      <c r="G255" s="219">
        <f t="shared" si="25"/>
        <v>12.337128319267038</v>
      </c>
      <c r="H255" s="176">
        <f t="shared" si="26"/>
        <v>87.662871680732962</v>
      </c>
      <c r="I255" s="516">
        <f t="shared" si="31"/>
        <v>100</v>
      </c>
      <c r="J255" s="153">
        <f>(G255*0)/(1+cDR)^'Markov Model_b (3)'!cycle</f>
        <v>0</v>
      </c>
      <c r="K255" s="178">
        <f t="shared" si="27"/>
        <v>12.337128319267038</v>
      </c>
      <c r="L255" s="202">
        <f>(G255*(uPostT))/(1+oDR)^'Markov Model_b (3)'!cycle</f>
        <v>5.0857412148950036</v>
      </c>
      <c r="M255" s="80"/>
      <c r="N255" s="3"/>
      <c r="O255" s="80"/>
      <c r="P255" s="173">
        <v>245</v>
      </c>
      <c r="Q255" s="165"/>
      <c r="R255" s="174">
        <v>1.3154510566670675E-2</v>
      </c>
      <c r="S255" s="502"/>
      <c r="T255" s="219">
        <f t="shared" si="32"/>
        <v>11.622618056913851</v>
      </c>
      <c r="U255" s="249">
        <f t="shared" si="28"/>
        <v>88.377381943086149</v>
      </c>
      <c r="V255" s="516">
        <f t="shared" si="29"/>
        <v>100</v>
      </c>
      <c r="W255" s="153">
        <f>(T255*0)/(1+cDR)^'Markov Model_b (3)'!cycle2</f>
        <v>0</v>
      </c>
      <c r="X255" s="178">
        <f t="shared" si="30"/>
        <v>11.622618056913851</v>
      </c>
      <c r="Y255" s="202">
        <f>(T255*(uPostT))/(1+oDR)^'Markov Model_b (3)'!cycle</f>
        <v>4.7911982551658694</v>
      </c>
      <c r="Z255" s="80"/>
      <c r="AA255" s="3"/>
      <c r="AB255" s="3"/>
      <c r="AC255" s="14">
        <v>243</v>
      </c>
      <c r="AD255" s="14"/>
      <c r="AE255" s="14"/>
      <c r="AF255" s="3"/>
      <c r="AG255" s="3"/>
      <c r="AH255" s="3"/>
      <c r="AI255" s="14"/>
      <c r="AJ255" s="14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</row>
    <row r="256" spans="1:58" ht="14.25" customHeight="1" x14ac:dyDescent="0.2">
      <c r="A256" s="637"/>
      <c r="B256" s="417"/>
      <c r="C256" s="173">
        <v>246</v>
      </c>
      <c r="D256" s="165"/>
      <c r="E256" s="174">
        <v>1.3264288987208611E-2</v>
      </c>
      <c r="F256" s="502"/>
      <c r="G256" s="219">
        <f t="shared" si="25"/>
        <v>12.173485083968004</v>
      </c>
      <c r="H256" s="176">
        <f t="shared" si="26"/>
        <v>87.826514916031996</v>
      </c>
      <c r="I256" s="516">
        <f t="shared" si="31"/>
        <v>100</v>
      </c>
      <c r="J256" s="153">
        <f>(G256*0)/(1+cDR)^'Markov Model_b (3)'!cycle</f>
        <v>0</v>
      </c>
      <c r="K256" s="178">
        <f t="shared" si="27"/>
        <v>12.173485083968004</v>
      </c>
      <c r="L256" s="202">
        <f>(G256*(uPostT))/(1+oDR)^'Markov Model_b (3)'!cycle</f>
        <v>5.0057680535725488</v>
      </c>
      <c r="M256" s="80"/>
      <c r="N256" s="3"/>
      <c r="O256" s="80"/>
      <c r="P256" s="173">
        <v>246</v>
      </c>
      <c r="Q256" s="165"/>
      <c r="R256" s="174">
        <v>1.3264289208118434E-2</v>
      </c>
      <c r="S256" s="502"/>
      <c r="T256" s="219">
        <f t="shared" si="32"/>
        <v>11.468452289651452</v>
      </c>
      <c r="U256" s="249">
        <f t="shared" si="28"/>
        <v>88.531547710348548</v>
      </c>
      <c r="V256" s="516">
        <f t="shared" si="29"/>
        <v>100</v>
      </c>
      <c r="W256" s="153">
        <f>(T256*0)/(1+cDR)^'Markov Model_b (3)'!cycle2</f>
        <v>0</v>
      </c>
      <c r="X256" s="178">
        <f t="shared" si="30"/>
        <v>11.468452289651452</v>
      </c>
      <c r="Y256" s="202">
        <f>(T256*(uPostT))/(1+oDR)^'Markov Model_b (3)'!cycle</f>
        <v>4.715856773921117</v>
      </c>
      <c r="Z256" s="80"/>
      <c r="AA256" s="3"/>
      <c r="AB256" s="3"/>
      <c r="AC256" s="14">
        <v>244</v>
      </c>
      <c r="AD256" s="14"/>
      <c r="AE256" s="14"/>
      <c r="AF256" s="3"/>
      <c r="AG256" s="3"/>
      <c r="AH256" s="3"/>
      <c r="AI256" s="14"/>
      <c r="AJ256" s="14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</row>
    <row r="257" spans="1:58" ht="14.25" customHeight="1" x14ac:dyDescent="0.2">
      <c r="A257" s="637"/>
      <c r="B257" s="417"/>
      <c r="C257" s="173">
        <v>247</v>
      </c>
      <c r="D257" s="165"/>
      <c r="E257" s="174">
        <v>1.3375196206811277E-2</v>
      </c>
      <c r="F257" s="502"/>
      <c r="G257" s="219">
        <f t="shared" si="25"/>
        <v>12.010662332449243</v>
      </c>
      <c r="H257" s="176">
        <f t="shared" si="26"/>
        <v>87.989337667550757</v>
      </c>
      <c r="I257" s="516">
        <f t="shared" si="31"/>
        <v>100</v>
      </c>
      <c r="J257" s="153">
        <f>(G257*0)/(1+cDR)^'Markov Model_b (3)'!cycle</f>
        <v>0</v>
      </c>
      <c r="K257" s="178">
        <f t="shared" si="27"/>
        <v>12.010662332449243</v>
      </c>
      <c r="L257" s="202">
        <f>(G257*(uPostT))/(1+oDR)^'Markov Model_b (3)'!cycle</f>
        <v>4.9264986769977348</v>
      </c>
      <c r="M257" s="80"/>
      <c r="N257" s="3"/>
      <c r="O257" s="80"/>
      <c r="P257" s="173">
        <v>247</v>
      </c>
      <c r="Q257" s="165"/>
      <c r="R257" s="174">
        <v>1.3375196276834872E-2</v>
      </c>
      <c r="S257" s="502"/>
      <c r="T257" s="219">
        <f t="shared" si="32"/>
        <v>11.315059489285844</v>
      </c>
      <c r="U257" s="249">
        <f t="shared" si="28"/>
        <v>88.684940510714156</v>
      </c>
      <c r="V257" s="516">
        <f t="shared" si="29"/>
        <v>100</v>
      </c>
      <c r="W257" s="153">
        <f>(T257*0)/(1+cDR)^'Markov Model_b (3)'!cycle2</f>
        <v>0</v>
      </c>
      <c r="X257" s="178">
        <f t="shared" si="30"/>
        <v>11.315059489285844</v>
      </c>
      <c r="Y257" s="202">
        <f>(T257*(uPostT))/(1+oDR)^'Markov Model_b (3)'!cycle</f>
        <v>4.6411783181610762</v>
      </c>
      <c r="Z257" s="80"/>
      <c r="AA257" s="3"/>
      <c r="AB257" s="3"/>
      <c r="AC257" s="14">
        <v>245</v>
      </c>
      <c r="AD257" s="14"/>
      <c r="AE257" s="14"/>
      <c r="AF257" s="3"/>
      <c r="AG257" s="3"/>
      <c r="AH257" s="3"/>
      <c r="AI257" s="14"/>
      <c r="AJ257" s="14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</row>
    <row r="258" spans="1:58" ht="14.25" customHeight="1" x14ac:dyDescent="0.2">
      <c r="A258" s="637"/>
      <c r="B258" s="417"/>
      <c r="C258" s="173">
        <v>248</v>
      </c>
      <c r="D258" s="165"/>
      <c r="E258" s="174">
        <v>1.3487267037805317E-2</v>
      </c>
      <c r="F258" s="502"/>
      <c r="G258" s="219">
        <f t="shared" si="25"/>
        <v>11.84867132227059</v>
      </c>
      <c r="H258" s="176">
        <f t="shared" si="26"/>
        <v>88.15132867772941</v>
      </c>
      <c r="I258" s="516">
        <f t="shared" si="31"/>
        <v>100</v>
      </c>
      <c r="J258" s="153">
        <f>(G258*0)/(1+cDR)^'Markov Model_b (3)'!cycle</f>
        <v>0</v>
      </c>
      <c r="K258" s="178">
        <f t="shared" si="27"/>
        <v>11.84867132227059</v>
      </c>
      <c r="L258" s="202">
        <f>(G258*(uPostT))/(1+oDR)^'Markov Model_b (3)'!cycle</f>
        <v>4.8479338391817182</v>
      </c>
      <c r="M258" s="80"/>
      <c r="N258" s="3"/>
      <c r="O258" s="80"/>
      <c r="P258" s="173">
        <v>248</v>
      </c>
      <c r="Q258" s="165"/>
      <c r="R258" s="174">
        <v>1.3487266970032578E-2</v>
      </c>
      <c r="S258" s="502"/>
      <c r="T258" s="219">
        <f t="shared" si="32"/>
        <v>11.16245026117204</v>
      </c>
      <c r="U258" s="249">
        <f t="shared" si="28"/>
        <v>88.83754973882796</v>
      </c>
      <c r="V258" s="516">
        <f t="shared" si="29"/>
        <v>100</v>
      </c>
      <c r="W258" s="153">
        <f>(T258*0)/(1+cDR)^'Markov Model_b (3)'!cycle2</f>
        <v>0</v>
      </c>
      <c r="X258" s="178">
        <f t="shared" si="30"/>
        <v>11.16245026117204</v>
      </c>
      <c r="Y258" s="202">
        <f>(T258*(uPostT))/(1+oDR)^'Markov Model_b (3)'!cycle</f>
        <v>4.5671635981331775</v>
      </c>
      <c r="Z258" s="80"/>
      <c r="AA258" s="3"/>
      <c r="AB258" s="3"/>
      <c r="AC258" s="14">
        <v>246</v>
      </c>
      <c r="AD258" s="14"/>
      <c r="AE258" s="14"/>
      <c r="AF258" s="3"/>
      <c r="AG258" s="3"/>
      <c r="AH258" s="3"/>
      <c r="AI258" s="14"/>
      <c r="AJ258" s="14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</row>
    <row r="259" spans="1:58" ht="14.25" customHeight="1" x14ac:dyDescent="0.2">
      <c r="A259" s="637"/>
      <c r="B259" s="417"/>
      <c r="C259" s="173">
        <v>249</v>
      </c>
      <c r="D259" s="165"/>
      <c r="E259" s="174">
        <v>1.3600519444946255E-2</v>
      </c>
      <c r="F259" s="502"/>
      <c r="G259" s="219">
        <f t="shared" si="25"/>
        <v>11.687523237555268</v>
      </c>
      <c r="H259" s="176">
        <f t="shared" si="26"/>
        <v>88.312476762444732</v>
      </c>
      <c r="I259" s="516">
        <f t="shared" si="31"/>
        <v>100</v>
      </c>
      <c r="J259" s="153">
        <f>(G259*0)/(1+cDR)^'Markov Model_b (3)'!cycle</f>
        <v>0</v>
      </c>
      <c r="K259" s="178">
        <f t="shared" si="27"/>
        <v>11.687523237555268</v>
      </c>
      <c r="L259" s="202">
        <f>(G259*(uPostT))/(1+oDR)^'Markov Model_b (3)'!cycle</f>
        <v>4.7700742351462457</v>
      </c>
      <c r="M259" s="80"/>
      <c r="N259" s="3"/>
      <c r="O259" s="80"/>
      <c r="P259" s="173">
        <v>249</v>
      </c>
      <c r="Q259" s="165"/>
      <c r="R259" s="174">
        <v>1.3600519252397388E-2</v>
      </c>
      <c r="S259" s="502"/>
      <c r="T259" s="219">
        <f t="shared" si="32"/>
        <v>11.010635141491036</v>
      </c>
      <c r="U259" s="249">
        <f t="shared" si="28"/>
        <v>88.989364858508964</v>
      </c>
      <c r="V259" s="516">
        <f t="shared" si="29"/>
        <v>100</v>
      </c>
      <c r="W259" s="153">
        <f>(T259*0)/(1+cDR)^'Markov Model_b (3)'!cycle2</f>
        <v>0</v>
      </c>
      <c r="X259" s="178">
        <f t="shared" si="30"/>
        <v>11.010635141491036</v>
      </c>
      <c r="Y259" s="202">
        <f>(T259*(uPostT))/(1+oDR)^'Markov Model_b (3)'!cycle</f>
        <v>4.4938132685166234</v>
      </c>
      <c r="Z259" s="80"/>
      <c r="AA259" s="3"/>
      <c r="AB259" s="3"/>
      <c r="AC259" s="14">
        <v>247</v>
      </c>
      <c r="AD259" s="14"/>
      <c r="AE259" s="14"/>
      <c r="AF259" s="3"/>
      <c r="AG259" s="3"/>
      <c r="AH259" s="3"/>
      <c r="AI259" s="14"/>
      <c r="AJ259" s="14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</row>
    <row r="260" spans="1:58" ht="14.25" customHeight="1" x14ac:dyDescent="0.25">
      <c r="A260" s="637"/>
      <c r="B260" s="417"/>
      <c r="C260" s="173">
        <v>250</v>
      </c>
      <c r="D260" s="165"/>
      <c r="E260" s="174">
        <v>1.3714978515509438E-2</v>
      </c>
      <c r="F260" s="502"/>
      <c r="G260" s="219">
        <f t="shared" si="25"/>
        <v>11.527229107452683</v>
      </c>
      <c r="H260" s="176">
        <f t="shared" si="26"/>
        <v>88.472770892547317</v>
      </c>
      <c r="I260" s="516">
        <f t="shared" si="31"/>
        <v>100</v>
      </c>
      <c r="J260" s="153">
        <f>(G260*0)/(1+cDR)^'Markov Model_b (3)'!cycle</f>
        <v>0</v>
      </c>
      <c r="K260" s="178">
        <f t="shared" si="27"/>
        <v>11.527229107452683</v>
      </c>
      <c r="L260" s="202">
        <f>(G260*(uPostT))/(1+oDR)^'Markov Model_b (3)'!cycle</f>
        <v>4.6929204683230248</v>
      </c>
      <c r="M260" s="80"/>
      <c r="N260" s="3"/>
      <c r="O260" s="80"/>
      <c r="P260" s="173">
        <v>250</v>
      </c>
      <c r="Q260" s="165"/>
      <c r="R260" s="174">
        <v>1.3714978211161848E-2</v>
      </c>
      <c r="S260" s="502"/>
      <c r="T260" s="219">
        <f t="shared" si="32"/>
        <v>10.859624520434437</v>
      </c>
      <c r="U260" s="249">
        <f t="shared" si="28"/>
        <v>89.140375479565563</v>
      </c>
      <c r="V260" s="516">
        <f t="shared" si="29"/>
        <v>100</v>
      </c>
      <c r="W260" s="153">
        <f>(T260*0)/(1+cDR)^'Markov Model_b (3)'!cycle2</f>
        <v>0</v>
      </c>
      <c r="X260" s="178">
        <f t="shared" si="30"/>
        <v>10.859624520434437</v>
      </c>
      <c r="Y260" s="202">
        <f>(T260*(uPostT))/(1+oDR)^'Markov Model_b (3)'!cycle</f>
        <v>4.4211278977096162</v>
      </c>
      <c r="Z260" s="80"/>
      <c r="AA260" s="3"/>
      <c r="AB260" s="3"/>
      <c r="AC260" s="14">
        <v>248</v>
      </c>
      <c r="AD260" s="14"/>
      <c r="AE260" s="14"/>
      <c r="AF260" s="3"/>
      <c r="AG260" s="3"/>
      <c r="AH260" s="3"/>
      <c r="AI260" s="14"/>
      <c r="AJ260" s="14"/>
      <c r="AK260" s="3"/>
      <c r="AL260" s="3"/>
      <c r="AM260" s="3"/>
      <c r="AN260" s="3"/>
      <c r="AO260" s="3"/>
      <c r="AP260" s="3"/>
      <c r="AQ260" s="3"/>
      <c r="AR260" s="3"/>
      <c r="AS260" s="3"/>
      <c r="AT260" s="4"/>
      <c r="AU260" s="4"/>
      <c r="AV260" s="402"/>
      <c r="AW260" s="402"/>
      <c r="AX260" s="402"/>
      <c r="AY260" s="402"/>
      <c r="AZ260" s="402"/>
      <c r="BA260" s="402"/>
      <c r="BB260" s="402"/>
      <c r="BC260" s="402"/>
      <c r="BD260" s="402"/>
      <c r="BE260" s="402"/>
      <c r="BF260" s="402"/>
    </row>
    <row r="261" spans="1:58" ht="14.25" customHeight="1" x14ac:dyDescent="0.25">
      <c r="A261" s="637"/>
      <c r="B261" s="417"/>
      <c r="C261" s="173">
        <v>251</v>
      </c>
      <c r="D261" s="165"/>
      <c r="E261" s="174">
        <v>1.3830710290328481E-2</v>
      </c>
      <c r="F261" s="502"/>
      <c r="G261" s="219">
        <f t="shared" si="25"/>
        <v>11.367799341217264</v>
      </c>
      <c r="H261" s="176">
        <f t="shared" si="26"/>
        <v>88.632200658782736</v>
      </c>
      <c r="I261" s="516">
        <f t="shared" si="31"/>
        <v>100</v>
      </c>
      <c r="J261" s="153">
        <f>(G261*0)/(1+cDR)^'Markov Model_b (3)'!cycle</f>
        <v>0</v>
      </c>
      <c r="K261" s="178">
        <f t="shared" si="27"/>
        <v>11.367799341217264</v>
      </c>
      <c r="L261" s="202">
        <f>(G261*(uPostT))/(1+oDR)^'Markov Model_b (3)'!cycle</f>
        <v>4.6164728627532128</v>
      </c>
      <c r="M261" s="80"/>
      <c r="N261" s="3"/>
      <c r="O261" s="80"/>
      <c r="P261" s="173">
        <v>251</v>
      </c>
      <c r="Q261" s="165"/>
      <c r="R261" s="174">
        <v>1.3830709884764434E-2</v>
      </c>
      <c r="S261" s="502"/>
      <c r="T261" s="219">
        <f t="shared" si="32"/>
        <v>10.70942820423484</v>
      </c>
      <c r="U261" s="249">
        <f t="shared" si="28"/>
        <v>89.29057179576516</v>
      </c>
      <c r="V261" s="516">
        <f t="shared" si="29"/>
        <v>100</v>
      </c>
      <c r="W261" s="153">
        <f>(T261*0)/(1+cDR)^'Markov Model_b (3)'!cycle2</f>
        <v>0</v>
      </c>
      <c r="X261" s="178">
        <f t="shared" si="30"/>
        <v>10.70942820423484</v>
      </c>
      <c r="Y261" s="202">
        <f>(T261*(uPostT))/(1+oDR)^'Markov Model_b (3)'!cycle</f>
        <v>4.349107790915669</v>
      </c>
      <c r="Z261" s="80"/>
      <c r="AA261" s="3"/>
      <c r="AB261" s="3"/>
      <c r="AC261" s="14">
        <v>249</v>
      </c>
      <c r="AD261" s="14"/>
      <c r="AE261" s="14"/>
      <c r="AF261" s="3"/>
      <c r="AG261" s="3"/>
      <c r="AH261" s="3"/>
      <c r="AI261" s="14"/>
      <c r="AJ261" s="14"/>
      <c r="AK261" s="3"/>
      <c r="AL261" s="3"/>
      <c r="AM261" s="3"/>
      <c r="AN261" s="3"/>
      <c r="AO261" s="3"/>
      <c r="AP261" s="3"/>
      <c r="AQ261" s="3"/>
      <c r="AR261" s="3"/>
      <c r="AS261" s="3"/>
      <c r="AT261" s="4"/>
      <c r="AU261" s="4"/>
      <c r="AV261" s="402"/>
      <c r="AW261" s="402"/>
      <c r="AX261" s="402"/>
      <c r="AY261" s="402"/>
      <c r="AZ261" s="402"/>
      <c r="BA261" s="402"/>
      <c r="BB261" s="402"/>
      <c r="BC261" s="402"/>
      <c r="BD261" s="402"/>
      <c r="BE261" s="402"/>
      <c r="BF261" s="402"/>
    </row>
    <row r="262" spans="1:58" ht="14.25" customHeight="1" x14ac:dyDescent="0.25">
      <c r="A262" s="637"/>
      <c r="B262" s="417"/>
      <c r="C262" s="173">
        <v>252</v>
      </c>
      <c r="D262" s="165"/>
      <c r="E262" s="174">
        <v>1.3947743387142955E-2</v>
      </c>
      <c r="F262" s="502"/>
      <c r="G262" s="219">
        <f t="shared" si="25"/>
        <v>11.209244193129436</v>
      </c>
      <c r="H262" s="176">
        <f t="shared" si="26"/>
        <v>88.790755806870564</v>
      </c>
      <c r="I262" s="516">
        <f t="shared" si="31"/>
        <v>100</v>
      </c>
      <c r="J262" s="153">
        <f>(G262*0)/(1+cDR)^'Markov Model_b (3)'!cycle</f>
        <v>0</v>
      </c>
      <c r="K262" s="178">
        <f t="shared" si="27"/>
        <v>11.209244193129436</v>
      </c>
      <c r="L262" s="202">
        <f>(G262*(uPostT))/(1+oDR)^'Markov Model_b (3)'!cycle</f>
        <v>4.5407316547728911</v>
      </c>
      <c r="M262" s="80"/>
      <c r="N262" s="3"/>
      <c r="O262" s="80"/>
      <c r="P262" s="173">
        <v>252</v>
      </c>
      <c r="Q262" s="165"/>
      <c r="R262" s="174">
        <v>1.3947742890748464E-2</v>
      </c>
      <c r="S262" s="502"/>
      <c r="T262" s="219">
        <f t="shared" si="32"/>
        <v>10.560055853135239</v>
      </c>
      <c r="U262" s="249">
        <f t="shared" si="28"/>
        <v>89.439944146864761</v>
      </c>
      <c r="V262" s="516">
        <f t="shared" si="29"/>
        <v>100</v>
      </c>
      <c r="W262" s="153">
        <f>(T262*0)/(1+cDR)^'Markov Model_b (3)'!cycle2</f>
        <v>0</v>
      </c>
      <c r="X262" s="178">
        <f t="shared" si="30"/>
        <v>10.560055853135239</v>
      </c>
      <c r="Y262" s="202">
        <f>(T262*(uPostT))/(1+oDR)^'Markov Model_b (3)'!cycle</f>
        <v>4.2777531707170322</v>
      </c>
      <c r="Z262" s="80"/>
      <c r="AA262" s="3"/>
      <c r="AB262" s="3"/>
      <c r="AC262" s="14">
        <v>250</v>
      </c>
      <c r="AD262" s="14"/>
      <c r="AE262" s="14"/>
      <c r="AF262" s="3"/>
      <c r="AG262" s="3"/>
      <c r="AH262" s="3"/>
      <c r="AI262" s="14"/>
      <c r="AJ262" s="14"/>
      <c r="AK262" s="3"/>
      <c r="AL262" s="3"/>
      <c r="AM262" s="3"/>
      <c r="AN262" s="3"/>
      <c r="AO262" s="3"/>
      <c r="AP262" s="3"/>
      <c r="AQ262" s="3"/>
      <c r="AR262" s="3"/>
      <c r="AS262" s="3"/>
      <c r="AT262" s="4"/>
      <c r="AU262" s="4"/>
      <c r="AV262" s="402"/>
      <c r="AW262" s="402"/>
      <c r="AX262" s="402"/>
      <c r="AY262" s="402"/>
      <c r="AZ262" s="402"/>
      <c r="BA262" s="402"/>
      <c r="BB262" s="402"/>
      <c r="BC262" s="402"/>
      <c r="BD262" s="402"/>
      <c r="BE262" s="402"/>
      <c r="BF262" s="402"/>
    </row>
    <row r="263" spans="1:58" ht="14.25" customHeight="1" x14ac:dyDescent="0.25">
      <c r="A263" s="597"/>
      <c r="B263" s="417"/>
      <c r="C263" s="173">
        <v>253</v>
      </c>
      <c r="D263" s="504"/>
      <c r="E263" s="174">
        <v>1.4066093390701135E-2</v>
      </c>
      <c r="F263" s="505"/>
      <c r="G263" s="219">
        <f t="shared" si="25"/>
        <v>11.051573917469696</v>
      </c>
      <c r="H263" s="176">
        <f t="shared" si="26"/>
        <v>88.948426082530304</v>
      </c>
      <c r="I263" s="516">
        <f t="shared" si="31"/>
        <v>100</v>
      </c>
      <c r="J263" s="180">
        <f>(G263*0)/(1+cDR)^'Markov Model_b (3)'!cycle</f>
        <v>0</v>
      </c>
      <c r="K263" s="176">
        <f t="shared" si="27"/>
        <v>11.051573917469696</v>
      </c>
      <c r="L263" s="202">
        <f>(G263*(uPostT))/(1+oDR)^'Markov Model_b (3)'!cycle</f>
        <v>4.465697056613207</v>
      </c>
      <c r="M263" s="80"/>
      <c r="N263" s="3"/>
      <c r="O263" s="80"/>
      <c r="P263" s="173">
        <v>253</v>
      </c>
      <c r="Q263" s="504"/>
      <c r="R263" s="174">
        <v>1.4066092814518327E-2</v>
      </c>
      <c r="S263" s="505"/>
      <c r="T263" s="219">
        <f t="shared" si="32"/>
        <v>10.411517127378545</v>
      </c>
      <c r="U263" s="249">
        <f t="shared" si="28"/>
        <v>89.588482872621455</v>
      </c>
      <c r="V263" s="516">
        <f t="shared" si="29"/>
        <v>100</v>
      </c>
      <c r="W263" s="180">
        <f>(T263*0)/(1+cDR)^'Markov Model_b (3)'!cycle2</f>
        <v>0</v>
      </c>
      <c r="X263" s="176">
        <f t="shared" si="30"/>
        <v>10.411517127378545</v>
      </c>
      <c r="Y263" s="202">
        <f>(T263*(uPostT))/(1+oDR)^'Markov Model_b (3)'!cycle</f>
        <v>4.2070642369876587</v>
      </c>
      <c r="Z263" s="80"/>
      <c r="AA263" s="3"/>
      <c r="AB263" s="3"/>
      <c r="AC263" s="14">
        <v>251</v>
      </c>
      <c r="AD263" s="14"/>
      <c r="AE263" s="14"/>
      <c r="AF263" s="3"/>
      <c r="AG263" s="3"/>
      <c r="AH263" s="3"/>
      <c r="AI263" s="14"/>
      <c r="AJ263" s="14"/>
      <c r="AK263" s="3"/>
      <c r="AL263" s="3"/>
      <c r="AM263" s="3"/>
      <c r="AN263" s="3"/>
      <c r="AO263" s="3"/>
      <c r="AP263" s="3"/>
      <c r="AQ263" s="3"/>
      <c r="AR263" s="3"/>
      <c r="AS263" s="3"/>
      <c r="AT263" s="4"/>
      <c r="AU263" s="4"/>
      <c r="AV263" s="402"/>
      <c r="AW263" s="402"/>
      <c r="AX263" s="402"/>
      <c r="AY263" s="402"/>
      <c r="AZ263" s="402"/>
      <c r="BA263" s="402"/>
      <c r="BB263" s="402"/>
      <c r="BC263" s="402"/>
      <c r="BD263" s="402"/>
      <c r="BE263" s="402"/>
      <c r="BF263" s="402"/>
    </row>
    <row r="264" spans="1:58" ht="14.25" customHeight="1" x14ac:dyDescent="0.25">
      <c r="A264" s="637" t="s">
        <v>563</v>
      </c>
      <c r="B264" s="417"/>
      <c r="C264" s="506">
        <v>254</v>
      </c>
      <c r="D264" s="506"/>
      <c r="E264" s="507">
        <v>1.4185751306270353E-2</v>
      </c>
      <c r="F264" s="508"/>
      <c r="G264" s="509">
        <f t="shared" si="25"/>
        <v>10.894799038333602</v>
      </c>
      <c r="H264" s="176">
        <f t="shared" si="26"/>
        <v>89.105200961666398</v>
      </c>
      <c r="I264" s="518">
        <f t="shared" si="31"/>
        <v>100</v>
      </c>
      <c r="J264" s="511">
        <f>(G264*0)/(1+cDR)^'Markov Model_b (3)'!cycle</f>
        <v>0</v>
      </c>
      <c r="K264" s="512">
        <f t="shared" si="27"/>
        <v>10.894799038333602</v>
      </c>
      <c r="L264" s="513">
        <f>(G264*(uPostT))/(1+oDR)^'Markov Model_b (3)'!cycle</f>
        <v>4.3913693653455832</v>
      </c>
      <c r="M264" s="80"/>
      <c r="N264" s="3"/>
      <c r="O264" s="80"/>
      <c r="P264" s="506">
        <v>254</v>
      </c>
      <c r="Q264" s="506"/>
      <c r="R264" s="507">
        <v>1.4185750661352638E-2</v>
      </c>
      <c r="S264" s="508"/>
      <c r="T264" s="509">
        <f t="shared" si="32"/>
        <v>10.263821941403151</v>
      </c>
      <c r="U264" s="249">
        <f t="shared" si="28"/>
        <v>89.736178058596849</v>
      </c>
      <c r="V264" s="518">
        <f t="shared" si="29"/>
        <v>100</v>
      </c>
      <c r="W264" s="511">
        <f>(T264*0)/(1+cDR)^'Markov Model_b (3)'!cycle2</f>
        <v>0</v>
      </c>
      <c r="X264" s="512">
        <f t="shared" si="30"/>
        <v>10.263821941403151</v>
      </c>
      <c r="Y264" s="513">
        <f>(T264*(uPostT))/(1+oDR)^'Markov Model_b (3)'!cycle</f>
        <v>4.1370412695316299</v>
      </c>
      <c r="Z264" s="80"/>
      <c r="AA264" s="3"/>
      <c r="AB264" s="3"/>
      <c r="AC264" s="14">
        <v>252</v>
      </c>
      <c r="AD264" s="14"/>
      <c r="AE264" s="14"/>
      <c r="AF264" s="3"/>
      <c r="AG264" s="3"/>
      <c r="AH264" s="3"/>
      <c r="AI264" s="14"/>
      <c r="AJ264" s="14"/>
      <c r="AK264" s="3"/>
      <c r="AL264" s="3"/>
      <c r="AM264" s="3"/>
      <c r="AN264" s="3"/>
      <c r="AO264" s="3"/>
      <c r="AP264" s="3"/>
      <c r="AQ264" s="3"/>
      <c r="AR264" s="3"/>
      <c r="AS264" s="3"/>
      <c r="AT264" s="4"/>
      <c r="AU264" s="4"/>
      <c r="AV264" s="402"/>
      <c r="AW264" s="402"/>
      <c r="AX264" s="402"/>
      <c r="AY264" s="402"/>
      <c r="AZ264" s="402"/>
      <c r="BA264" s="402"/>
      <c r="BB264" s="402"/>
      <c r="BC264" s="402"/>
      <c r="BD264" s="402"/>
      <c r="BE264" s="402"/>
      <c r="BF264" s="402"/>
    </row>
    <row r="265" spans="1:58" ht="14.25" customHeight="1" x14ac:dyDescent="0.25">
      <c r="A265" s="637"/>
      <c r="B265" s="417"/>
      <c r="C265" s="173">
        <v>255</v>
      </c>
      <c r="D265" s="165"/>
      <c r="E265" s="174">
        <v>1.4306631880791813E-2</v>
      </c>
      <c r="F265" s="502"/>
      <c r="G265" s="219">
        <f t="shared" si="25"/>
        <v>10.738931159076955</v>
      </c>
      <c r="H265" s="176">
        <f t="shared" si="26"/>
        <v>89.261068840923045</v>
      </c>
      <c r="I265" s="516">
        <f t="shared" si="31"/>
        <v>100</v>
      </c>
      <c r="J265" s="153">
        <f>(G265*0)/(1+cDR)^'Markov Model_b (3)'!cycle</f>
        <v>0</v>
      </c>
      <c r="K265" s="178">
        <f t="shared" si="27"/>
        <v>10.738931159076955</v>
      </c>
      <c r="L265" s="202">
        <f>(G265*(uPostT))/(1+oDR)^'Markov Model_b (3)'!cycle</f>
        <v>4.3177492871650855</v>
      </c>
      <c r="M265" s="80"/>
      <c r="N265" s="3"/>
      <c r="O265" s="80"/>
      <c r="P265" s="173">
        <v>255</v>
      </c>
      <c r="Q265" s="165"/>
      <c r="R265" s="174">
        <v>1.4306631176167171E-2</v>
      </c>
      <c r="S265" s="502"/>
      <c r="T265" s="219">
        <f t="shared" si="32"/>
        <v>10.116981226429644</v>
      </c>
      <c r="U265" s="249">
        <f t="shared" si="28"/>
        <v>89.883018773570356</v>
      </c>
      <c r="V265" s="516">
        <f t="shared" si="29"/>
        <v>100</v>
      </c>
      <c r="W265" s="153">
        <f>(T265*0)/(1+cDR)^'Markov Model_b (3)'!cycle2</f>
        <v>0</v>
      </c>
      <c r="X265" s="178">
        <f t="shared" si="30"/>
        <v>10.116981226429644</v>
      </c>
      <c r="Y265" s="202">
        <f>(T265*(uPostT))/(1+oDR)^'Markov Model_b (3)'!cycle</f>
        <v>4.067684933593875</v>
      </c>
      <c r="Z265" s="80"/>
      <c r="AA265" s="3"/>
      <c r="AB265" s="3"/>
      <c r="AC265" s="14">
        <v>253</v>
      </c>
      <c r="AD265" s="14"/>
      <c r="AE265" s="14"/>
      <c r="AF265" s="3"/>
      <c r="AG265" s="3"/>
      <c r="AH265" s="3"/>
      <c r="AI265" s="14"/>
      <c r="AJ265" s="14"/>
      <c r="AK265" s="3"/>
      <c r="AL265" s="3"/>
      <c r="AM265" s="3"/>
      <c r="AN265" s="3"/>
      <c r="AO265" s="3"/>
      <c r="AP265" s="3"/>
      <c r="AQ265" s="3"/>
      <c r="AR265" s="3"/>
      <c r="AS265" s="3"/>
      <c r="AT265" s="4"/>
      <c r="AU265" s="4"/>
      <c r="AV265" s="402"/>
      <c r="AW265" s="402"/>
      <c r="AX265" s="402"/>
      <c r="AY265" s="402"/>
      <c r="AZ265" s="402"/>
      <c r="BA265" s="402"/>
      <c r="BB265" s="402"/>
      <c r="BC265" s="402"/>
      <c r="BD265" s="402"/>
      <c r="BE265" s="402"/>
      <c r="BF265" s="402"/>
    </row>
    <row r="266" spans="1:58" ht="14.25" customHeight="1" x14ac:dyDescent="0.25">
      <c r="A266" s="637"/>
      <c r="B266" s="417"/>
      <c r="C266" s="173">
        <v>256</v>
      </c>
      <c r="D266" s="165"/>
      <c r="E266" s="174">
        <v>1.4428717710485654E-2</v>
      </c>
      <c r="F266" s="502"/>
      <c r="G266" s="219">
        <f t="shared" si="25"/>
        <v>10.583982152870291</v>
      </c>
      <c r="H266" s="176">
        <f t="shared" si="26"/>
        <v>89.416017847129709</v>
      </c>
      <c r="I266" s="516">
        <f t="shared" si="31"/>
        <v>100</v>
      </c>
      <c r="J266" s="153">
        <f>(G266*0)/(1+cDR)^'Markov Model_b (3)'!cycle</f>
        <v>0</v>
      </c>
      <c r="K266" s="178">
        <f t="shared" si="27"/>
        <v>10.583982152870291</v>
      </c>
      <c r="L266" s="202">
        <f>(G266*(uPostT))/(1+oDR)^'Markov Model_b (3)'!cycle</f>
        <v>4.2448376075370833</v>
      </c>
      <c r="M266" s="80"/>
      <c r="N266" s="3"/>
      <c r="O266" s="80"/>
      <c r="P266" s="173">
        <v>256</v>
      </c>
      <c r="Q266" s="165"/>
      <c r="R266" s="174">
        <v>1.4428716955050663E-2</v>
      </c>
      <c r="S266" s="502"/>
      <c r="T266" s="219">
        <f t="shared" si="32"/>
        <v>9.9710061678739237</v>
      </c>
      <c r="U266" s="249">
        <f t="shared" si="28"/>
        <v>90.028993832126076</v>
      </c>
      <c r="V266" s="516">
        <f t="shared" si="29"/>
        <v>100</v>
      </c>
      <c r="W266" s="153">
        <f>(T266*0)/(1+cDR)^'Markov Model_b (3)'!cycle2</f>
        <v>0</v>
      </c>
      <c r="X266" s="178">
        <f t="shared" si="30"/>
        <v>9.9710061678739237</v>
      </c>
      <c r="Y266" s="202">
        <f>(T266*(uPostT))/(1+oDR)^'Markov Model_b (3)'!cycle</f>
        <v>3.998995969101967</v>
      </c>
      <c r="Z266" s="80"/>
      <c r="AA266" s="3"/>
      <c r="AB266" s="3"/>
      <c r="AC266" s="14">
        <v>254</v>
      </c>
      <c r="AD266" s="14"/>
      <c r="AE266" s="14"/>
      <c r="AF266" s="3"/>
      <c r="AG266" s="3"/>
      <c r="AH266" s="3"/>
      <c r="AI266" s="14"/>
      <c r="AJ266" s="14"/>
      <c r="AK266" s="3"/>
      <c r="AL266" s="3"/>
      <c r="AM266" s="3"/>
      <c r="AN266" s="3"/>
      <c r="AO266" s="3"/>
      <c r="AP266" s="3"/>
      <c r="AQ266" s="3"/>
      <c r="AR266" s="3"/>
      <c r="AS266" s="3"/>
      <c r="AT266" s="4"/>
      <c r="AU266" s="4"/>
      <c r="AV266" s="402"/>
      <c r="AW266" s="402"/>
      <c r="AX266" s="402"/>
      <c r="AY266" s="402"/>
      <c r="AZ266" s="402"/>
      <c r="BA266" s="402"/>
      <c r="BB266" s="402"/>
      <c r="BC266" s="402"/>
      <c r="BD266" s="402"/>
      <c r="BE266" s="402"/>
      <c r="BF266" s="402"/>
    </row>
    <row r="267" spans="1:58" ht="14.25" customHeight="1" x14ac:dyDescent="0.25">
      <c r="A267" s="637"/>
      <c r="B267" s="417"/>
      <c r="C267" s="173">
        <v>257</v>
      </c>
      <c r="D267" s="165"/>
      <c r="E267" s="174">
        <v>1.455200543093646E-2</v>
      </c>
      <c r="F267" s="502"/>
      <c r="G267" s="219">
        <f t="shared" si="25"/>
        <v>10.429963987100791</v>
      </c>
      <c r="H267" s="176">
        <f t="shared" si="26"/>
        <v>89.570036012899209</v>
      </c>
      <c r="I267" s="516">
        <f t="shared" si="31"/>
        <v>100</v>
      </c>
      <c r="J267" s="153">
        <f>(G267*0)/(1+cDR)^'Markov Model_b (3)'!cycle</f>
        <v>0</v>
      </c>
      <c r="K267" s="178">
        <f t="shared" si="27"/>
        <v>10.429963987100791</v>
      </c>
      <c r="L267" s="202">
        <f>(G267*(uPostT))/(1+oDR)^'Markov Model_b (3)'!cycle</f>
        <v>4.1726351198192138</v>
      </c>
      <c r="M267" s="80"/>
      <c r="N267" s="3"/>
      <c r="O267" s="80"/>
      <c r="P267" s="173">
        <v>257</v>
      </c>
      <c r="Q267" s="165"/>
      <c r="R267" s="174">
        <v>1.4552004633590028E-2</v>
      </c>
      <c r="S267" s="502"/>
      <c r="T267" s="219">
        <f t="shared" si="32"/>
        <v>9.825908039917465</v>
      </c>
      <c r="U267" s="249">
        <f t="shared" si="28"/>
        <v>90.174091960082535</v>
      </c>
      <c r="V267" s="516">
        <f t="shared" si="29"/>
        <v>100</v>
      </c>
      <c r="W267" s="153">
        <f>(T267*0)/(1+cDR)^'Markov Model_b (3)'!cycle2</f>
        <v>0</v>
      </c>
      <c r="X267" s="178">
        <f t="shared" si="30"/>
        <v>9.825908039917465</v>
      </c>
      <c r="Y267" s="202">
        <f>(T267*(uPostT))/(1+oDR)^'Markov Model_b (3)'!cycle</f>
        <v>3.9309751234213328</v>
      </c>
      <c r="Z267" s="80"/>
      <c r="AA267" s="3"/>
      <c r="AB267" s="3"/>
      <c r="AC267" s="14">
        <v>255</v>
      </c>
      <c r="AD267" s="14"/>
      <c r="AE267" s="14"/>
      <c r="AF267" s="3"/>
      <c r="AG267" s="3"/>
      <c r="AH267" s="3"/>
      <c r="AI267" s="14"/>
      <c r="AJ267" s="14"/>
      <c r="AK267" s="3"/>
      <c r="AL267" s="3"/>
      <c r="AM267" s="3"/>
      <c r="AN267" s="3"/>
      <c r="AO267" s="3"/>
      <c r="AP267" s="3"/>
      <c r="AQ267" s="3"/>
      <c r="AR267" s="3"/>
      <c r="AS267" s="3"/>
      <c r="AT267" s="4"/>
      <c r="AU267" s="4"/>
      <c r="AV267" s="402"/>
      <c r="AW267" s="402"/>
      <c r="AX267" s="402"/>
      <c r="AY267" s="402"/>
      <c r="AZ267" s="402"/>
      <c r="BA267" s="402"/>
      <c r="BB267" s="402"/>
      <c r="BC267" s="402"/>
      <c r="BD267" s="402"/>
      <c r="BE267" s="402"/>
      <c r="BF267" s="402"/>
    </row>
    <row r="268" spans="1:58" ht="14.25" customHeight="1" x14ac:dyDescent="0.25">
      <c r="A268" s="637"/>
      <c r="B268" s="417"/>
      <c r="C268" s="173">
        <v>258</v>
      </c>
      <c r="D268" s="165"/>
      <c r="E268" s="174">
        <v>1.4676463050954932E-2</v>
      </c>
      <c r="F268" s="502"/>
      <c r="G268" s="219">
        <f t="shared" ref="G268:G331" si="33">$G$10-H268</f>
        <v>10.276889006021321</v>
      </c>
      <c r="H268" s="176">
        <f t="shared" ref="H268:H331" si="34">H267+(G267*E268)</f>
        <v>89.723110993978679</v>
      </c>
      <c r="I268" s="516">
        <f t="shared" si="31"/>
        <v>100</v>
      </c>
      <c r="J268" s="153">
        <f>(G268*0)/(1+cDR)^'Markov Model_b (3)'!cycle</f>
        <v>0</v>
      </c>
      <c r="K268" s="178">
        <f t="shared" si="27"/>
        <v>10.276889006021321</v>
      </c>
      <c r="L268" s="202">
        <f>(G268*(uPostT))/(1+oDR)^'Markov Model_b (3)'!cycle</f>
        <v>4.1011427378135394</v>
      </c>
      <c r="M268" s="80"/>
      <c r="N268" s="3"/>
      <c r="O268" s="80"/>
      <c r="P268" s="173">
        <v>258</v>
      </c>
      <c r="Q268" s="165"/>
      <c r="R268" s="174">
        <v>1.4676462218855392E-2</v>
      </c>
      <c r="S268" s="502"/>
      <c r="T268" s="219">
        <f t="shared" si="32"/>
        <v>9.6816984718036707</v>
      </c>
      <c r="U268" s="249">
        <f t="shared" si="28"/>
        <v>90.318301528196329</v>
      </c>
      <c r="V268" s="516">
        <f t="shared" si="29"/>
        <v>100</v>
      </c>
      <c r="W268" s="153">
        <f>(T268*0)/(1+cDR)^'Markov Model_b (3)'!cycle2</f>
        <v>0</v>
      </c>
      <c r="X268" s="178">
        <f t="shared" si="30"/>
        <v>9.6816984718036707</v>
      </c>
      <c r="Y268" s="202">
        <f>(T268*(uPostT))/(1+oDR)^'Markov Model_b (3)'!cycle</f>
        <v>3.863623257395691</v>
      </c>
      <c r="Z268" s="80"/>
      <c r="AA268" s="3"/>
      <c r="AB268" s="3"/>
      <c r="AC268" s="14">
        <v>256</v>
      </c>
      <c r="AD268" s="14"/>
      <c r="AE268" s="14"/>
      <c r="AF268" s="3"/>
      <c r="AG268" s="3"/>
      <c r="AH268" s="3"/>
      <c r="AI268" s="14"/>
      <c r="AJ268" s="14"/>
      <c r="AK268" s="3"/>
      <c r="AL268" s="3"/>
      <c r="AM268" s="3"/>
      <c r="AN268" s="3"/>
      <c r="AO268" s="3"/>
      <c r="AP268" s="3"/>
      <c r="AQ268" s="3"/>
      <c r="AR268" s="3"/>
      <c r="AS268" s="3"/>
      <c r="AT268" s="4"/>
      <c r="AU268" s="4"/>
      <c r="AV268" s="402"/>
      <c r="AW268" s="402"/>
      <c r="AX268" s="402"/>
      <c r="AY268" s="402"/>
      <c r="AZ268" s="402"/>
      <c r="BA268" s="402"/>
      <c r="BB268" s="402"/>
      <c r="BC268" s="402"/>
      <c r="BD268" s="402"/>
      <c r="BE268" s="402"/>
      <c r="BF268" s="402"/>
    </row>
    <row r="269" spans="1:58" ht="14.25" customHeight="1" x14ac:dyDescent="0.25">
      <c r="A269" s="637"/>
      <c r="B269" s="417"/>
      <c r="C269" s="173">
        <v>259</v>
      </c>
      <c r="D269" s="165"/>
      <c r="E269" s="174">
        <v>1.4802082403653693E-2</v>
      </c>
      <c r="F269" s="502"/>
      <c r="G269" s="219">
        <f t="shared" si="33"/>
        <v>10.124769648100994</v>
      </c>
      <c r="H269" s="176">
        <f t="shared" si="34"/>
        <v>89.875230351899006</v>
      </c>
      <c r="I269" s="516">
        <f t="shared" si="31"/>
        <v>100</v>
      </c>
      <c r="J269" s="153">
        <f>(G269*0)/(1+cDR)^'Markov Model_b (3)'!cycle</f>
        <v>0</v>
      </c>
      <c r="K269" s="178">
        <f t="shared" si="27"/>
        <v>10.124769648100994</v>
      </c>
      <c r="L269" s="202">
        <f>(G269*(uPostT))/(1+oDR)^'Markov Model_b (3)'!cycle</f>
        <v>4.0303613816052657</v>
      </c>
      <c r="M269" s="80"/>
      <c r="N269" s="3"/>
      <c r="O269" s="80"/>
      <c r="P269" s="173">
        <v>259</v>
      </c>
      <c r="Q269" s="165"/>
      <c r="R269" s="174">
        <v>1.4802081543812158E-2</v>
      </c>
      <c r="S269" s="502"/>
      <c r="T269" s="219">
        <f t="shared" si="32"/>
        <v>9.538389181541433</v>
      </c>
      <c r="U269" s="249">
        <f t="shared" si="28"/>
        <v>90.461610818458567</v>
      </c>
      <c r="V269" s="516">
        <f t="shared" si="29"/>
        <v>100</v>
      </c>
      <c r="W269" s="153">
        <f>(T269*0)/(1+cDR)^'Markov Model_b (3)'!cycle2</f>
        <v>0</v>
      </c>
      <c r="X269" s="178">
        <f t="shared" si="30"/>
        <v>9.538389181541433</v>
      </c>
      <c r="Y269" s="202">
        <f>(T269*(uPostT))/(1+oDR)^'Markov Model_b (3)'!cycle</f>
        <v>3.7969412377906755</v>
      </c>
      <c r="Z269" s="80"/>
      <c r="AA269" s="3"/>
      <c r="AB269" s="3"/>
      <c r="AC269" s="14">
        <v>257</v>
      </c>
      <c r="AD269" s="14"/>
      <c r="AE269" s="14"/>
      <c r="AF269" s="3"/>
      <c r="AG269" s="3"/>
      <c r="AH269" s="3"/>
      <c r="AI269" s="14"/>
      <c r="AJ269" s="14"/>
      <c r="AK269" s="3"/>
      <c r="AL269" s="3"/>
      <c r="AM269" s="3"/>
      <c r="AN269" s="3"/>
      <c r="AO269" s="3"/>
      <c r="AP269" s="3"/>
      <c r="AQ269" s="3"/>
      <c r="AR269" s="3"/>
      <c r="AS269" s="3"/>
      <c r="AT269" s="4"/>
      <c r="AU269" s="4"/>
      <c r="AV269" s="402"/>
      <c r="AW269" s="402"/>
      <c r="AX269" s="402"/>
      <c r="AY269" s="402"/>
      <c r="AZ269" s="402"/>
      <c r="BA269" s="402"/>
      <c r="BB269" s="402"/>
      <c r="BC269" s="402"/>
      <c r="BD269" s="402"/>
      <c r="BE269" s="402"/>
      <c r="BF269" s="402"/>
    </row>
    <row r="270" spans="1:58" ht="14.25" customHeight="1" x14ac:dyDescent="0.25">
      <c r="A270" s="637"/>
      <c r="B270" s="417"/>
      <c r="C270" s="173">
        <v>260</v>
      </c>
      <c r="D270" s="165"/>
      <c r="E270" s="174">
        <v>1.4928862734197407E-2</v>
      </c>
      <c r="F270" s="502"/>
      <c r="G270" s="219">
        <f t="shared" si="33"/>
        <v>9.9736183518091224</v>
      </c>
      <c r="H270" s="176">
        <f t="shared" si="34"/>
        <v>90.026381648190878</v>
      </c>
      <c r="I270" s="516">
        <f t="shared" si="31"/>
        <v>100</v>
      </c>
      <c r="J270" s="153">
        <f>(G270*0)/(1+cDR)^'Markov Model_b (3)'!cycle</f>
        <v>0</v>
      </c>
      <c r="K270" s="178">
        <f t="shared" si="27"/>
        <v>9.9736183518091224</v>
      </c>
      <c r="L270" s="202">
        <f>(G270*(uPostT))/(1+oDR)^'Markov Model_b (3)'!cycle</f>
        <v>3.9602919399202685</v>
      </c>
      <c r="M270" s="80"/>
      <c r="N270" s="3"/>
      <c r="O270" s="80"/>
      <c r="P270" s="173">
        <v>260</v>
      </c>
      <c r="Q270" s="165"/>
      <c r="R270" s="174">
        <v>1.4928861854091983E-2</v>
      </c>
      <c r="S270" s="502"/>
      <c r="T270" s="219">
        <f t="shared" si="32"/>
        <v>9.3959918871396297</v>
      </c>
      <c r="U270" s="249">
        <f t="shared" si="28"/>
        <v>90.60400811286037</v>
      </c>
      <c r="V270" s="516">
        <f t="shared" si="29"/>
        <v>100</v>
      </c>
      <c r="W270" s="153">
        <f>(T270*0)/(1+cDR)^'Markov Model_b (3)'!cycle2</f>
        <v>0</v>
      </c>
      <c r="X270" s="178">
        <f t="shared" si="30"/>
        <v>9.3959918871396297</v>
      </c>
      <c r="Y270" s="202">
        <f>(T270*(uPostT))/(1+oDR)^'Markov Model_b (3)'!cycle</f>
        <v>3.7309299018290187</v>
      </c>
      <c r="Z270" s="80"/>
      <c r="AA270" s="3"/>
      <c r="AB270" s="3"/>
      <c r="AC270" s="14">
        <v>258</v>
      </c>
      <c r="AD270" s="14"/>
      <c r="AE270" s="14"/>
      <c r="AF270" s="3"/>
      <c r="AG270" s="3"/>
      <c r="AH270" s="3"/>
      <c r="AI270" s="14"/>
      <c r="AJ270" s="14"/>
      <c r="AK270" s="3"/>
      <c r="AL270" s="3"/>
      <c r="AM270" s="3"/>
      <c r="AN270" s="3"/>
      <c r="AO270" s="3"/>
      <c r="AP270" s="3"/>
      <c r="AQ270" s="3"/>
      <c r="AR270" s="3"/>
      <c r="AS270" s="3"/>
      <c r="AT270" s="4"/>
      <c r="AU270" s="4"/>
      <c r="AV270" s="402"/>
      <c r="AW270" s="402"/>
      <c r="AX270" s="402"/>
      <c r="AY270" s="402"/>
      <c r="AZ270" s="402"/>
      <c r="BA270" s="402"/>
      <c r="BB270" s="402"/>
      <c r="BC270" s="402"/>
      <c r="BD270" s="402"/>
      <c r="BE270" s="402"/>
      <c r="BF270" s="402"/>
    </row>
    <row r="271" spans="1:58" ht="14.25" customHeight="1" x14ac:dyDescent="0.25">
      <c r="A271" s="637"/>
      <c r="B271" s="417"/>
      <c r="C271" s="173">
        <v>261</v>
      </c>
      <c r="D271" s="165"/>
      <c r="E271" s="174">
        <v>1.5056829243434214E-2</v>
      </c>
      <c r="F271" s="502"/>
      <c r="G271" s="219">
        <f t="shared" si="33"/>
        <v>9.8234472833467521</v>
      </c>
      <c r="H271" s="176">
        <f t="shared" si="34"/>
        <v>90.176552716653248</v>
      </c>
      <c r="I271" s="516">
        <f t="shared" si="31"/>
        <v>100</v>
      </c>
      <c r="J271" s="153">
        <f>(G271*0)/(1+cDR)^'Markov Model_b (3)'!cycle</f>
        <v>0</v>
      </c>
      <c r="K271" s="178">
        <f t="shared" si="27"/>
        <v>9.8234472833467521</v>
      </c>
      <c r="L271" s="202">
        <f>(G271*(uPostT))/(1+oDR)^'Markov Model_b (3)'!cycle</f>
        <v>3.8909351625204391</v>
      </c>
      <c r="M271" s="80"/>
      <c r="N271" s="3"/>
      <c r="O271" s="80"/>
      <c r="P271" s="173">
        <v>261</v>
      </c>
      <c r="Q271" s="165"/>
      <c r="R271" s="174">
        <v>1.5056828350249393E-2</v>
      </c>
      <c r="S271" s="502"/>
      <c r="T271" s="219">
        <f t="shared" si="32"/>
        <v>9.2545180501146262</v>
      </c>
      <c r="U271" s="249">
        <f t="shared" si="28"/>
        <v>90.745481949885374</v>
      </c>
      <c r="V271" s="516">
        <f t="shared" si="29"/>
        <v>100</v>
      </c>
      <c r="W271" s="153">
        <f>(T271*0)/(1+cDR)^'Markov Model_b (3)'!cycle2</f>
        <v>0</v>
      </c>
      <c r="X271" s="178">
        <f t="shared" si="30"/>
        <v>9.2545180501146262</v>
      </c>
      <c r="Y271" s="202">
        <f>(T271*(uPostT))/(1+oDR)^'Markov Model_b (3)'!cycle</f>
        <v>3.6655899558208112</v>
      </c>
      <c r="Z271" s="80"/>
      <c r="AA271" s="3"/>
      <c r="AB271" s="3"/>
      <c r="AC271" s="14">
        <v>259</v>
      </c>
      <c r="AD271" s="14"/>
      <c r="AE271" s="14"/>
      <c r="AF271" s="3"/>
      <c r="AG271" s="3"/>
      <c r="AH271" s="3"/>
      <c r="AI271" s="14"/>
      <c r="AJ271" s="14"/>
      <c r="AK271" s="3"/>
      <c r="AL271" s="3"/>
      <c r="AM271" s="3"/>
      <c r="AN271" s="3"/>
      <c r="AO271" s="3"/>
      <c r="AP271" s="3"/>
      <c r="AQ271" s="3"/>
      <c r="AR271" s="3"/>
      <c r="AS271" s="3"/>
      <c r="AT271" s="4"/>
      <c r="AU271" s="4"/>
      <c r="AV271" s="402"/>
      <c r="AW271" s="402"/>
      <c r="AX271" s="402"/>
      <c r="AY271" s="402"/>
      <c r="AZ271" s="402"/>
      <c r="BA271" s="402"/>
      <c r="BB271" s="402"/>
      <c r="BC271" s="402"/>
      <c r="BD271" s="402"/>
      <c r="BE271" s="402"/>
      <c r="BF271" s="402"/>
    </row>
    <row r="272" spans="1:58" ht="14.25" customHeight="1" x14ac:dyDescent="0.25">
      <c r="A272" s="637"/>
      <c r="B272" s="417"/>
      <c r="C272" s="173">
        <v>262</v>
      </c>
      <c r="D272" s="165"/>
      <c r="E272" s="174">
        <v>1.5186090910967448E-2</v>
      </c>
      <c r="F272" s="502"/>
      <c r="G272" s="219">
        <f t="shared" si="33"/>
        <v>9.6742675198427577</v>
      </c>
      <c r="H272" s="176">
        <f t="shared" si="34"/>
        <v>90.325732480157242</v>
      </c>
      <c r="I272" s="516">
        <f t="shared" si="31"/>
        <v>100</v>
      </c>
      <c r="J272" s="153">
        <f>(G272*0)/(1+cDR)^'Markov Model_b (3)'!cycle</f>
        <v>0</v>
      </c>
      <c r="K272" s="178">
        <f t="shared" si="27"/>
        <v>9.6742675198427577</v>
      </c>
      <c r="L272" s="202">
        <f>(G272*(uPostT))/(1+oDR)^'Markov Model_b (3)'!cycle</f>
        <v>3.8222913390660618</v>
      </c>
      <c r="M272" s="80"/>
      <c r="N272" s="3"/>
      <c r="O272" s="80"/>
      <c r="P272" s="173">
        <v>262</v>
      </c>
      <c r="Q272" s="165"/>
      <c r="R272" s="174">
        <v>1.5186090009316078E-2</v>
      </c>
      <c r="S272" s="502"/>
      <c r="T272" s="219">
        <f t="shared" si="32"/>
        <v>9.1139781060127518</v>
      </c>
      <c r="U272" s="249">
        <f t="shared" si="28"/>
        <v>90.886021893987248</v>
      </c>
      <c r="V272" s="516">
        <f t="shared" si="29"/>
        <v>100</v>
      </c>
      <c r="W272" s="153">
        <f>(T272*0)/(1+cDR)^'Markov Model_b (3)'!cycle2</f>
        <v>0</v>
      </c>
      <c r="X272" s="178">
        <f t="shared" si="30"/>
        <v>9.1139781060127518</v>
      </c>
      <c r="Y272" s="202">
        <f>(T272*(uPostT))/(1+oDR)^'Markov Model_b (3)'!cycle</f>
        <v>3.600921672632893</v>
      </c>
      <c r="Z272" s="80"/>
      <c r="AA272" s="3"/>
      <c r="AB272" s="3"/>
      <c r="AC272" s="14">
        <v>260</v>
      </c>
      <c r="AD272" s="14"/>
      <c r="AE272" s="14"/>
      <c r="AF272" s="3"/>
      <c r="AG272" s="3"/>
      <c r="AH272" s="3"/>
      <c r="AI272" s="14"/>
      <c r="AJ272" s="14"/>
      <c r="AK272" s="3"/>
      <c r="AL272" s="3"/>
      <c r="AM272" s="3"/>
      <c r="AN272" s="3"/>
      <c r="AO272" s="3"/>
      <c r="AP272" s="3"/>
      <c r="AQ272" s="3"/>
      <c r="AR272" s="3"/>
      <c r="AS272" s="3"/>
      <c r="AT272" s="4"/>
      <c r="AU272" s="4"/>
      <c r="AV272" s="402"/>
      <c r="AW272" s="402"/>
      <c r="AX272" s="402"/>
      <c r="AY272" s="402"/>
      <c r="AZ272" s="402"/>
      <c r="BA272" s="402"/>
      <c r="BB272" s="402"/>
      <c r="BC272" s="402"/>
      <c r="BD272" s="402"/>
      <c r="BE272" s="402"/>
      <c r="BF272" s="402"/>
    </row>
    <row r="273" spans="1:58" ht="14.25" customHeight="1" x14ac:dyDescent="0.25">
      <c r="A273" s="637"/>
      <c r="B273" s="417"/>
      <c r="C273" s="173">
        <v>263</v>
      </c>
      <c r="D273" s="165"/>
      <c r="E273" s="174">
        <v>1.5316679364190754E-2</v>
      </c>
      <c r="F273" s="502"/>
      <c r="G273" s="219">
        <f t="shared" si="33"/>
        <v>9.5260898661579176</v>
      </c>
      <c r="H273" s="176">
        <f t="shared" si="34"/>
        <v>90.473910133842082</v>
      </c>
      <c r="I273" s="516">
        <f t="shared" si="31"/>
        <v>100</v>
      </c>
      <c r="J273" s="153">
        <f>(G273*0)/(1+cDR)^'Markov Model_b (3)'!cycle</f>
        <v>0</v>
      </c>
      <c r="K273" s="178">
        <f t="shared" si="27"/>
        <v>9.5260898661579176</v>
      </c>
      <c r="L273" s="202">
        <f>(G273*(uPostT))/(1+oDR)^'Markov Model_b (3)'!cycle</f>
        <v>3.7543606266225065</v>
      </c>
      <c r="M273" s="80"/>
      <c r="N273" s="3"/>
      <c r="O273" s="80"/>
      <c r="P273" s="173">
        <v>263</v>
      </c>
      <c r="Q273" s="165"/>
      <c r="R273" s="174">
        <v>1.5316678458206565E-2</v>
      </c>
      <c r="S273" s="502"/>
      <c r="T273" s="219">
        <f t="shared" si="32"/>
        <v>8.9743822338878232</v>
      </c>
      <c r="U273" s="249">
        <f t="shared" si="28"/>
        <v>91.025617766112177</v>
      </c>
      <c r="V273" s="516">
        <f t="shared" si="29"/>
        <v>100</v>
      </c>
      <c r="W273" s="153">
        <f>(T273*0)/(1+cDR)^'Markov Model_b (3)'!cycle2</f>
        <v>0</v>
      </c>
      <c r="X273" s="178">
        <f t="shared" si="30"/>
        <v>8.9743822338878232</v>
      </c>
      <c r="Y273" s="202">
        <f>(T273*(uPostT))/(1+oDR)^'Markov Model_b (3)'!cycle</f>
        <v>3.5369252002194402</v>
      </c>
      <c r="Z273" s="80"/>
      <c r="AA273" s="3"/>
      <c r="AB273" s="3"/>
      <c r="AC273" s="14">
        <v>261</v>
      </c>
      <c r="AD273" s="14"/>
      <c r="AE273" s="14"/>
      <c r="AF273" s="3"/>
      <c r="AG273" s="3"/>
      <c r="AH273" s="3"/>
      <c r="AI273" s="14"/>
      <c r="AJ273" s="14"/>
      <c r="AK273" s="3"/>
      <c r="AL273" s="3"/>
      <c r="AM273" s="3"/>
      <c r="AN273" s="3"/>
      <c r="AO273" s="3"/>
      <c r="AP273" s="3"/>
      <c r="AQ273" s="3"/>
      <c r="AR273" s="3"/>
      <c r="AS273" s="3"/>
      <c r="AT273" s="4"/>
      <c r="AU273" s="4"/>
      <c r="AV273" s="402"/>
      <c r="AW273" s="402"/>
      <c r="AX273" s="402"/>
      <c r="AY273" s="402"/>
      <c r="AZ273" s="402"/>
      <c r="BA273" s="402"/>
      <c r="BB273" s="402"/>
      <c r="BC273" s="402"/>
      <c r="BD273" s="402"/>
      <c r="BE273" s="402"/>
      <c r="BF273" s="402"/>
    </row>
    <row r="274" spans="1:58" ht="14.25" customHeight="1" x14ac:dyDescent="0.25">
      <c r="A274" s="637"/>
      <c r="B274" s="417"/>
      <c r="C274" s="173">
        <v>264</v>
      </c>
      <c r="D274" s="165"/>
      <c r="E274" s="174">
        <v>1.5448598645673585E-2</v>
      </c>
      <c r="F274" s="502"/>
      <c r="G274" s="219">
        <f t="shared" si="33"/>
        <v>9.3789251271530247</v>
      </c>
      <c r="H274" s="176">
        <f t="shared" si="34"/>
        <v>90.621074872846975</v>
      </c>
      <c r="I274" s="516">
        <f t="shared" si="31"/>
        <v>100</v>
      </c>
      <c r="J274" s="153">
        <f>(G274*0)/(1+cDR)^'Markov Model_b (3)'!cycle</f>
        <v>0</v>
      </c>
      <c r="K274" s="178">
        <f t="shared" si="27"/>
        <v>9.3789251271530247</v>
      </c>
      <c r="L274" s="202">
        <f>(G274*(uPostT))/(1+oDR)^'Markov Model_b (3)'!cycle</f>
        <v>3.6871431582351071</v>
      </c>
      <c r="M274" s="80"/>
      <c r="N274" s="3"/>
      <c r="O274" s="80"/>
      <c r="P274" s="173">
        <v>264</v>
      </c>
      <c r="Q274" s="165"/>
      <c r="R274" s="174">
        <v>1.5448597739762574E-2</v>
      </c>
      <c r="S274" s="502"/>
      <c r="T274" s="219">
        <f t="shared" si="32"/>
        <v>8.8357406127936144</v>
      </c>
      <c r="U274" s="249">
        <f t="shared" si="28"/>
        <v>91.164259387206386</v>
      </c>
      <c r="V274" s="516">
        <f t="shared" si="29"/>
        <v>100</v>
      </c>
      <c r="W274" s="153">
        <f>(T274*0)/(1+cDR)^'Markov Model_b (3)'!cycle2</f>
        <v>0</v>
      </c>
      <c r="X274" s="178">
        <f t="shared" si="30"/>
        <v>8.8357406127936144</v>
      </c>
      <c r="Y274" s="202">
        <f>(T274*(uPostT))/(1+oDR)^'Markov Model_b (3)'!cycle</f>
        <v>3.4736006639058545</v>
      </c>
      <c r="Z274" s="80"/>
      <c r="AA274" s="3"/>
      <c r="AB274" s="3"/>
      <c r="AC274" s="14">
        <v>262</v>
      </c>
      <c r="AD274" s="14"/>
      <c r="AE274" s="14"/>
      <c r="AF274" s="3"/>
      <c r="AG274" s="3"/>
      <c r="AH274" s="3"/>
      <c r="AI274" s="14"/>
      <c r="AJ274" s="14"/>
      <c r="AK274" s="3"/>
      <c r="AL274" s="3"/>
      <c r="AM274" s="3"/>
      <c r="AN274" s="3"/>
      <c r="AO274" s="3"/>
      <c r="AP274" s="3"/>
      <c r="AQ274" s="3"/>
      <c r="AR274" s="3"/>
      <c r="AS274" s="3"/>
      <c r="AT274" s="4"/>
      <c r="AU274" s="4"/>
      <c r="AV274" s="402"/>
      <c r="AW274" s="402"/>
      <c r="AX274" s="402"/>
      <c r="AY274" s="402"/>
      <c r="AZ274" s="402"/>
      <c r="BA274" s="402"/>
      <c r="BB274" s="402"/>
      <c r="BC274" s="402"/>
      <c r="BD274" s="402"/>
      <c r="BE274" s="402"/>
      <c r="BF274" s="402"/>
    </row>
    <row r="275" spans="1:58" ht="14.25" customHeight="1" x14ac:dyDescent="0.25">
      <c r="A275" s="597"/>
      <c r="B275" s="417"/>
      <c r="C275" s="173">
        <v>265</v>
      </c>
      <c r="D275" s="504"/>
      <c r="E275" s="174">
        <v>1.55818463768854E-2</v>
      </c>
      <c r="F275" s="505"/>
      <c r="G275" s="219">
        <f t="shared" si="33"/>
        <v>9.2327841566414151</v>
      </c>
      <c r="H275" s="176">
        <f t="shared" si="34"/>
        <v>90.767215843358585</v>
      </c>
      <c r="I275" s="516">
        <f t="shared" si="31"/>
        <v>100</v>
      </c>
      <c r="J275" s="180">
        <f>(G275*0)/(1+cDR)^'Markov Model_b (3)'!cycle</f>
        <v>0</v>
      </c>
      <c r="K275" s="176">
        <f t="shared" si="27"/>
        <v>9.2327841566414151</v>
      </c>
      <c r="L275" s="202">
        <f>(G275*(uPostT))/(1+oDR)^'Markov Model_b (3)'!cycle</f>
        <v>3.6206390623181077</v>
      </c>
      <c r="M275" s="80"/>
      <c r="N275" s="3"/>
      <c r="O275" s="80"/>
      <c r="P275" s="173">
        <v>265</v>
      </c>
      <c r="Q275" s="504"/>
      <c r="R275" s="174">
        <v>1.5581845475421846E-2</v>
      </c>
      <c r="S275" s="505"/>
      <c r="T275" s="219">
        <f t="shared" si="32"/>
        <v>8.6980634679041486</v>
      </c>
      <c r="U275" s="249">
        <f t="shared" si="28"/>
        <v>91.301936532095851</v>
      </c>
      <c r="V275" s="516">
        <f t="shared" si="29"/>
        <v>100</v>
      </c>
      <c r="W275" s="180">
        <f>(T275*0)/(1+cDR)^'Markov Model_b (3)'!cycle2</f>
        <v>0</v>
      </c>
      <c r="X275" s="176">
        <f t="shared" si="30"/>
        <v>8.6980634679041486</v>
      </c>
      <c r="Y275" s="202">
        <f>(T275*(uPostT))/(1+oDR)^'Markov Model_b (3)'!cycle</f>
        <v>3.4109481846559082</v>
      </c>
      <c r="Z275" s="80"/>
      <c r="AA275" s="3"/>
      <c r="AB275" s="3"/>
      <c r="AC275" s="14">
        <v>263</v>
      </c>
      <c r="AD275" s="14"/>
      <c r="AE275" s="14"/>
      <c r="AF275" s="3"/>
      <c r="AG275" s="3"/>
      <c r="AH275" s="3"/>
      <c r="AI275" s="14"/>
      <c r="AJ275" s="14"/>
      <c r="AK275" s="3"/>
      <c r="AL275" s="3"/>
      <c r="AM275" s="3"/>
      <c r="AN275" s="3"/>
      <c r="AO275" s="3"/>
      <c r="AP275" s="3"/>
      <c r="AQ275" s="3"/>
      <c r="AR275" s="3"/>
      <c r="AS275" s="3"/>
      <c r="AT275" s="4"/>
      <c r="AU275" s="4"/>
      <c r="AV275" s="402"/>
      <c r="AW275" s="402"/>
      <c r="AX275" s="402"/>
      <c r="AY275" s="402"/>
      <c r="AZ275" s="402"/>
      <c r="BA275" s="402"/>
      <c r="BB275" s="402"/>
      <c r="BC275" s="402"/>
      <c r="BD275" s="402"/>
      <c r="BE275" s="402"/>
      <c r="BF275" s="402"/>
    </row>
    <row r="276" spans="1:58" ht="14.25" customHeight="1" x14ac:dyDescent="0.25">
      <c r="A276" s="637" t="s">
        <v>564</v>
      </c>
      <c r="B276" s="417"/>
      <c r="C276" s="506">
        <v>266</v>
      </c>
      <c r="D276" s="506"/>
      <c r="E276" s="507">
        <v>1.5716402542602807E-2</v>
      </c>
      <c r="F276" s="508"/>
      <c r="G276" s="509">
        <f t="shared" si="33"/>
        <v>9.0876780042466692</v>
      </c>
      <c r="H276" s="176">
        <f t="shared" si="34"/>
        <v>90.912321995753331</v>
      </c>
      <c r="I276" s="518">
        <f t="shared" si="31"/>
        <v>100</v>
      </c>
      <c r="J276" s="511">
        <f>(G276*0)/(1+cDR)^'Markov Model_b (3)'!cycle</f>
        <v>0</v>
      </c>
      <c r="K276" s="512">
        <f t="shared" si="27"/>
        <v>9.0876780042466692</v>
      </c>
      <c r="L276" s="513">
        <f>(G276*(uPostT))/(1+oDR)^'Markov Model_b (3)'!cycle</f>
        <v>3.5548485200531106</v>
      </c>
      <c r="M276" s="80"/>
      <c r="N276" s="3"/>
      <c r="O276" s="80"/>
      <c r="P276" s="506">
        <v>266</v>
      </c>
      <c r="Q276" s="506"/>
      <c r="R276" s="507">
        <v>1.5716401648985943E-2</v>
      </c>
      <c r="S276" s="508"/>
      <c r="T276" s="509">
        <f t="shared" si="32"/>
        <v>8.5613612088741888</v>
      </c>
      <c r="U276" s="249">
        <f t="shared" si="28"/>
        <v>91.438638791125811</v>
      </c>
      <c r="V276" s="518">
        <f t="shared" si="29"/>
        <v>100</v>
      </c>
      <c r="W276" s="511">
        <f>(T276*0)/(1+cDR)^'Markov Model_b (3)'!cycle2</f>
        <v>0</v>
      </c>
      <c r="X276" s="512">
        <f t="shared" si="30"/>
        <v>8.5613612088741888</v>
      </c>
      <c r="Y276" s="513">
        <f>(T276*(uPostT))/(1+oDR)^'Markov Model_b (3)'!cycle</f>
        <v>3.3489679331491016</v>
      </c>
      <c r="Z276" s="80"/>
      <c r="AA276" s="3"/>
      <c r="AB276" s="3"/>
      <c r="AC276" s="14">
        <v>264</v>
      </c>
      <c r="AD276" s="14"/>
      <c r="AE276" s="14"/>
      <c r="AF276" s="3"/>
      <c r="AG276" s="3"/>
      <c r="AH276" s="3"/>
      <c r="AI276" s="14"/>
      <c r="AJ276" s="14"/>
      <c r="AK276" s="3"/>
      <c r="AL276" s="3"/>
      <c r="AM276" s="3"/>
      <c r="AN276" s="3"/>
      <c r="AO276" s="3"/>
      <c r="AP276" s="3"/>
      <c r="AQ276" s="3"/>
      <c r="AR276" s="3"/>
      <c r="AS276" s="3"/>
      <c r="AT276" s="4"/>
      <c r="AU276" s="4"/>
      <c r="AV276" s="402"/>
      <c r="AW276" s="402"/>
      <c r="AX276" s="402"/>
      <c r="AY276" s="402"/>
      <c r="AZ276" s="402"/>
      <c r="BA276" s="402"/>
      <c r="BB276" s="402"/>
      <c r="BC276" s="402"/>
      <c r="BD276" s="402"/>
      <c r="BE276" s="402"/>
      <c r="BF276" s="402"/>
    </row>
    <row r="277" spans="1:58" ht="14.25" customHeight="1" x14ac:dyDescent="0.25">
      <c r="A277" s="637"/>
      <c r="B277" s="417"/>
      <c r="C277" s="173">
        <v>267</v>
      </c>
      <c r="D277" s="165"/>
      <c r="E277" s="174">
        <v>1.5852260130084648E-2</v>
      </c>
      <c r="F277" s="502"/>
      <c r="G277" s="219">
        <f t="shared" si="33"/>
        <v>8.9436177685448968</v>
      </c>
      <c r="H277" s="176">
        <f t="shared" si="34"/>
        <v>91.056382231455103</v>
      </c>
      <c r="I277" s="516">
        <f t="shared" si="31"/>
        <v>100</v>
      </c>
      <c r="J277" s="153">
        <f>(G277*0)/(1+cDR)^'Markov Model_b (3)'!cycle</f>
        <v>0</v>
      </c>
      <c r="K277" s="178">
        <f t="shared" si="27"/>
        <v>8.9436177685448968</v>
      </c>
      <c r="L277" s="202">
        <f>(G277*(uPostT))/(1+oDR)^'Markov Model_b (3)'!cycle</f>
        <v>3.4897717073218759</v>
      </c>
      <c r="M277" s="80"/>
      <c r="N277" s="3"/>
      <c r="O277" s="80"/>
      <c r="P277" s="173">
        <v>267</v>
      </c>
      <c r="Q277" s="165"/>
      <c r="R277" s="174">
        <v>1.58522592476108E-2</v>
      </c>
      <c r="S277" s="502"/>
      <c r="T277" s="219">
        <f t="shared" si="32"/>
        <v>8.425644291478676</v>
      </c>
      <c r="U277" s="249">
        <f t="shared" si="28"/>
        <v>91.574355708521324</v>
      </c>
      <c r="V277" s="516">
        <f t="shared" si="29"/>
        <v>100</v>
      </c>
      <c r="W277" s="153">
        <f>(T277*0)/(1+cDR)^'Markov Model_b (3)'!cycle2</f>
        <v>0</v>
      </c>
      <c r="X277" s="178">
        <f t="shared" si="30"/>
        <v>8.425644291478676</v>
      </c>
      <c r="Y277" s="202">
        <f>(T277*(uPostT))/(1+oDR)^'Markov Model_b (3)'!cycle</f>
        <v>3.2876600750732043</v>
      </c>
      <c r="Z277" s="80"/>
      <c r="AA277" s="3"/>
      <c r="AB277" s="3"/>
      <c r="AC277" s="14">
        <v>265</v>
      </c>
      <c r="AD277" s="14"/>
      <c r="AE277" s="14"/>
      <c r="AF277" s="3"/>
      <c r="AG277" s="3"/>
      <c r="AH277" s="3"/>
      <c r="AI277" s="14"/>
      <c r="AJ277" s="14"/>
      <c r="AK277" s="3"/>
      <c r="AL277" s="3"/>
      <c r="AM277" s="3"/>
      <c r="AN277" s="3"/>
      <c r="AO277" s="3"/>
      <c r="AP277" s="3"/>
      <c r="AQ277" s="3"/>
      <c r="AR277" s="3"/>
      <c r="AS277" s="3"/>
      <c r="AT277" s="4"/>
      <c r="AU277" s="4"/>
      <c r="AV277" s="402"/>
      <c r="AW277" s="402"/>
      <c r="AX277" s="402"/>
      <c r="AY277" s="402"/>
      <c r="AZ277" s="402"/>
      <c r="BA277" s="402"/>
      <c r="BB277" s="402"/>
      <c r="BC277" s="402"/>
      <c r="BD277" s="402"/>
      <c r="BE277" s="402"/>
      <c r="BF277" s="402"/>
    </row>
    <row r="278" spans="1:58" ht="14.25" customHeight="1" x14ac:dyDescent="0.25">
      <c r="A278" s="637"/>
      <c r="B278" s="417"/>
      <c r="C278" s="173">
        <v>268</v>
      </c>
      <c r="D278" s="165"/>
      <c r="E278" s="174">
        <v>1.5989401114099348E-2</v>
      </c>
      <c r="F278" s="502"/>
      <c r="G278" s="219">
        <f t="shared" si="33"/>
        <v>8.8006146766324491</v>
      </c>
      <c r="H278" s="176">
        <f t="shared" si="34"/>
        <v>91.199385323367551</v>
      </c>
      <c r="I278" s="516">
        <f t="shared" si="31"/>
        <v>100</v>
      </c>
      <c r="J278" s="153">
        <f>(G278*0)/(1+cDR)^'Markov Model_b (3)'!cycle</f>
        <v>0</v>
      </c>
      <c r="K278" s="178">
        <f t="shared" si="27"/>
        <v>8.8006146766324491</v>
      </c>
      <c r="L278" s="202">
        <f>(G278*(uPostT))/(1+oDR)^'Markov Model_b (3)'!cycle</f>
        <v>3.4254088256327901</v>
      </c>
      <c r="M278" s="80"/>
      <c r="N278" s="3"/>
      <c r="O278" s="80"/>
      <c r="P278" s="173">
        <v>268</v>
      </c>
      <c r="Q278" s="165"/>
      <c r="R278" s="174">
        <v>1.59894002459883E-2</v>
      </c>
      <c r="S278" s="502"/>
      <c r="T278" s="219">
        <f t="shared" si="32"/>
        <v>8.2909232925719039</v>
      </c>
      <c r="U278" s="249">
        <f t="shared" si="28"/>
        <v>91.709076707428096</v>
      </c>
      <c r="V278" s="516">
        <f t="shared" si="29"/>
        <v>100</v>
      </c>
      <c r="W278" s="153">
        <f>(T278*0)/(1+cDR)^'Markov Model_b (3)'!cycle2</f>
        <v>0</v>
      </c>
      <c r="X278" s="178">
        <f t="shared" si="30"/>
        <v>8.2909232925719039</v>
      </c>
      <c r="Y278" s="202">
        <f>(T278*(uPostT))/(1+oDR)^'Markov Model_b (3)'!cycle</f>
        <v>3.2270248002594566</v>
      </c>
      <c r="Z278" s="80"/>
      <c r="AA278" s="3"/>
      <c r="AB278" s="3"/>
      <c r="AC278" s="14">
        <v>266</v>
      </c>
      <c r="AD278" s="14"/>
      <c r="AE278" s="14"/>
      <c r="AF278" s="3"/>
      <c r="AG278" s="3"/>
      <c r="AH278" s="3"/>
      <c r="AI278" s="14"/>
      <c r="AJ278" s="14"/>
      <c r="AK278" s="3"/>
      <c r="AL278" s="3"/>
      <c r="AM278" s="3"/>
      <c r="AN278" s="3"/>
      <c r="AO278" s="3"/>
      <c r="AP278" s="3"/>
      <c r="AQ278" s="3"/>
      <c r="AR278" s="3"/>
      <c r="AS278" s="3"/>
      <c r="AT278" s="4"/>
      <c r="AU278" s="4"/>
      <c r="AV278" s="402"/>
      <c r="AW278" s="402"/>
      <c r="AX278" s="402"/>
      <c r="AY278" s="402"/>
      <c r="AZ278" s="402"/>
      <c r="BA278" s="402"/>
      <c r="BB278" s="402"/>
      <c r="BC278" s="402"/>
      <c r="BD278" s="402"/>
      <c r="BE278" s="402"/>
      <c r="BF278" s="402"/>
    </row>
    <row r="279" spans="1:58" ht="14.25" customHeight="1" x14ac:dyDescent="0.25">
      <c r="A279" s="637"/>
      <c r="B279" s="417"/>
      <c r="C279" s="173">
        <v>269</v>
      </c>
      <c r="D279" s="165"/>
      <c r="E279" s="174">
        <v>1.612776063505943E-2</v>
      </c>
      <c r="F279" s="502"/>
      <c r="G279" s="219">
        <f t="shared" si="33"/>
        <v>8.6586804696863311</v>
      </c>
      <c r="H279" s="176">
        <f t="shared" si="34"/>
        <v>91.341319530313669</v>
      </c>
      <c r="I279" s="516">
        <f t="shared" si="31"/>
        <v>100</v>
      </c>
      <c r="J279" s="153">
        <f>(G279*0)/(1+cDR)^'Markov Model_b (3)'!cycle</f>
        <v>0</v>
      </c>
      <c r="K279" s="178">
        <f t="shared" si="27"/>
        <v>8.6586804696863311</v>
      </c>
      <c r="L279" s="202">
        <f>(G279*(uPostT))/(1+oDR)^'Markov Model_b (3)'!cycle</f>
        <v>3.3617602513872962</v>
      </c>
      <c r="M279" s="80"/>
      <c r="N279" s="3"/>
      <c r="O279" s="80"/>
      <c r="P279" s="173">
        <v>269</v>
      </c>
      <c r="Q279" s="165"/>
      <c r="R279" s="174">
        <v>1.6127759783558765E-2</v>
      </c>
      <c r="S279" s="502"/>
      <c r="T279" s="219">
        <f t="shared" si="32"/>
        <v>8.1572092733253925</v>
      </c>
      <c r="U279" s="249">
        <f t="shared" si="28"/>
        <v>91.842790726674608</v>
      </c>
      <c r="V279" s="516">
        <f t="shared" si="29"/>
        <v>100</v>
      </c>
      <c r="W279" s="153">
        <f>(T279*0)/(1+cDR)^'Markov Model_b (3)'!cycle2</f>
        <v>0</v>
      </c>
      <c r="X279" s="178">
        <f t="shared" si="30"/>
        <v>8.1572092733253925</v>
      </c>
      <c r="Y279" s="202">
        <f>(T279*(uPostT))/(1+oDR)^'Markov Model_b (3)'!cycle</f>
        <v>3.1670624633070177</v>
      </c>
      <c r="Z279" s="80"/>
      <c r="AA279" s="3"/>
      <c r="AB279" s="3"/>
      <c r="AC279" s="14">
        <v>267</v>
      </c>
      <c r="AD279" s="14"/>
      <c r="AE279" s="14"/>
      <c r="AF279" s="3"/>
      <c r="AG279" s="3"/>
      <c r="AH279" s="3"/>
      <c r="AI279" s="14"/>
      <c r="AJ279" s="14"/>
      <c r="AK279" s="3"/>
      <c r="AL279" s="3"/>
      <c r="AM279" s="3"/>
      <c r="AN279" s="3"/>
      <c r="AO279" s="3"/>
      <c r="AP279" s="3"/>
      <c r="AQ279" s="3"/>
      <c r="AR279" s="3"/>
      <c r="AS279" s="3"/>
      <c r="AT279" s="4"/>
      <c r="AU279" s="4"/>
      <c r="AV279" s="402"/>
      <c r="AW279" s="402"/>
      <c r="AX279" s="402"/>
      <c r="AY279" s="402"/>
      <c r="AZ279" s="402"/>
      <c r="BA279" s="402"/>
      <c r="BB279" s="402"/>
      <c r="BC279" s="402"/>
      <c r="BD279" s="402"/>
      <c r="BE279" s="402"/>
      <c r="BF279" s="402"/>
    </row>
    <row r="280" spans="1:58" ht="14.25" customHeight="1" x14ac:dyDescent="0.25">
      <c r="A280" s="637"/>
      <c r="B280" s="417"/>
      <c r="C280" s="173">
        <v>270</v>
      </c>
      <c r="D280" s="165"/>
      <c r="E280" s="174">
        <v>1.6267311488823974E-2</v>
      </c>
      <c r="F280" s="502"/>
      <c r="G280" s="219">
        <f t="shared" si="33"/>
        <v>8.5178270174037465</v>
      </c>
      <c r="H280" s="176">
        <f t="shared" si="34"/>
        <v>91.482172982596254</v>
      </c>
      <c r="I280" s="516">
        <f t="shared" si="31"/>
        <v>100</v>
      </c>
      <c r="J280" s="153">
        <f>(G280*0)/(1+cDR)^'Markov Model_b (3)'!cycle</f>
        <v>0</v>
      </c>
      <c r="K280" s="178">
        <f t="shared" si="27"/>
        <v>8.5178270174037465</v>
      </c>
      <c r="L280" s="202">
        <f>(G280*(uPostT))/(1+oDR)^'Markov Model_b (3)'!cycle</f>
        <v>3.2988263842665666</v>
      </c>
      <c r="M280" s="80"/>
      <c r="N280" s="3"/>
      <c r="O280" s="80"/>
      <c r="P280" s="173">
        <v>270</v>
      </c>
      <c r="Q280" s="165"/>
      <c r="R280" s="174">
        <v>1.6267310656025578E-2</v>
      </c>
      <c r="S280" s="502"/>
      <c r="T280" s="219">
        <f t="shared" si="32"/>
        <v>8.0245134159900005</v>
      </c>
      <c r="U280" s="249">
        <f t="shared" si="28"/>
        <v>91.97548658401</v>
      </c>
      <c r="V280" s="516">
        <f t="shared" si="29"/>
        <v>100</v>
      </c>
      <c r="W280" s="153">
        <f>(T280*0)/(1+cDR)^'Markov Model_b (3)'!cycle2</f>
        <v>0</v>
      </c>
      <c r="X280" s="178">
        <f t="shared" si="30"/>
        <v>8.0245134159900005</v>
      </c>
      <c r="Y280" s="202">
        <f>(T280*(uPostT))/(1+oDR)^'Markov Model_b (3)'!cycle</f>
        <v>3.1077734407474988</v>
      </c>
      <c r="Z280" s="80"/>
      <c r="AA280" s="3"/>
      <c r="AB280" s="3"/>
      <c r="AC280" s="14">
        <v>268</v>
      </c>
      <c r="AD280" s="14"/>
      <c r="AE280" s="14"/>
      <c r="AF280" s="3"/>
      <c r="AG280" s="3"/>
      <c r="AH280" s="3"/>
      <c r="AI280" s="14"/>
      <c r="AJ280" s="14"/>
      <c r="AK280" s="3"/>
      <c r="AL280" s="3"/>
      <c r="AM280" s="3"/>
      <c r="AN280" s="3"/>
      <c r="AO280" s="3"/>
      <c r="AP280" s="3"/>
      <c r="AQ280" s="3"/>
      <c r="AR280" s="3"/>
      <c r="AS280" s="3"/>
      <c r="AT280" s="4"/>
      <c r="AU280" s="4"/>
      <c r="AV280" s="402"/>
      <c r="AW280" s="402"/>
      <c r="AX280" s="402"/>
      <c r="AY280" s="402"/>
      <c r="AZ280" s="402"/>
      <c r="BA280" s="402"/>
      <c r="BB280" s="402"/>
      <c r="BC280" s="402"/>
      <c r="BD280" s="402"/>
      <c r="BE280" s="402"/>
      <c r="BF280" s="402"/>
    </row>
    <row r="281" spans="1:58" ht="14.25" customHeight="1" x14ac:dyDescent="0.25">
      <c r="A281" s="637"/>
      <c r="B281" s="417"/>
      <c r="C281" s="173">
        <v>271</v>
      </c>
      <c r="D281" s="165"/>
      <c r="E281" s="174">
        <v>1.6408037828929075E-2</v>
      </c>
      <c r="F281" s="502"/>
      <c r="G281" s="219">
        <f t="shared" si="33"/>
        <v>8.3780661894819133</v>
      </c>
      <c r="H281" s="176">
        <f t="shared" si="34"/>
        <v>91.621933810518087</v>
      </c>
      <c r="I281" s="516">
        <f t="shared" si="31"/>
        <v>100</v>
      </c>
      <c r="J281" s="153">
        <f>(G281*0)/(1+cDR)^'Markov Model_b (3)'!cycle</f>
        <v>0</v>
      </c>
      <c r="K281" s="178">
        <f t="shared" si="27"/>
        <v>8.3780661894819133</v>
      </c>
      <c r="L281" s="202">
        <f>(G281*(uPostT))/(1+oDR)^'Markov Model_b (3)'!cycle</f>
        <v>3.2366075971695283</v>
      </c>
      <c r="M281" s="80"/>
      <c r="N281" s="3"/>
      <c r="O281" s="80"/>
      <c r="P281" s="173">
        <v>271</v>
      </c>
      <c r="Q281" s="165"/>
      <c r="R281" s="174">
        <v>1.6408037017055628E-2</v>
      </c>
      <c r="S281" s="502"/>
      <c r="T281" s="219">
        <f t="shared" si="32"/>
        <v>7.8928469028165722</v>
      </c>
      <c r="U281" s="249">
        <f t="shared" si="28"/>
        <v>92.107153097183428</v>
      </c>
      <c r="V281" s="516">
        <f t="shared" si="29"/>
        <v>100</v>
      </c>
      <c r="W281" s="153">
        <f>(T281*0)/(1+cDR)^'Markov Model_b (3)'!cycle2</f>
        <v>0</v>
      </c>
      <c r="X281" s="178">
        <f t="shared" si="30"/>
        <v>7.8928469028165722</v>
      </c>
      <c r="Y281" s="202">
        <f>(T281*(uPostT))/(1+oDR)^'Markov Model_b (3)'!cycle</f>
        <v>3.0491580838813865</v>
      </c>
      <c r="Z281" s="80"/>
      <c r="AA281" s="3"/>
      <c r="AB281" s="3"/>
      <c r="AC281" s="14">
        <v>269</v>
      </c>
      <c r="AD281" s="14"/>
      <c r="AE281" s="14"/>
      <c r="AF281" s="3"/>
      <c r="AG281" s="3"/>
      <c r="AH281" s="3"/>
      <c r="AI281" s="14"/>
      <c r="AJ281" s="14"/>
      <c r="AK281" s="3"/>
      <c r="AL281" s="3"/>
      <c r="AM281" s="3"/>
      <c r="AN281" s="3"/>
      <c r="AO281" s="3"/>
      <c r="AP281" s="3"/>
      <c r="AQ281" s="3"/>
      <c r="AR281" s="3"/>
      <c r="AS281" s="3"/>
      <c r="AT281" s="4"/>
      <c r="AU281" s="4"/>
      <c r="AV281" s="402"/>
      <c r="AW281" s="402"/>
      <c r="AX281" s="402"/>
      <c r="AY281" s="402"/>
      <c r="AZ281" s="402"/>
      <c r="BA281" s="402"/>
      <c r="BB281" s="402"/>
      <c r="BC281" s="402"/>
      <c r="BD281" s="402"/>
      <c r="BE281" s="402"/>
      <c r="BF281" s="402"/>
    </row>
    <row r="282" spans="1:58" ht="14.25" customHeight="1" x14ac:dyDescent="0.25">
      <c r="A282" s="637"/>
      <c r="B282" s="417"/>
      <c r="C282" s="173">
        <v>272</v>
      </c>
      <c r="D282" s="165"/>
      <c r="E282" s="174">
        <v>1.6549956722704248E-2</v>
      </c>
      <c r="F282" s="502"/>
      <c r="G282" s="219">
        <f t="shared" si="33"/>
        <v>8.239409556626029</v>
      </c>
      <c r="H282" s="176">
        <f t="shared" si="34"/>
        <v>91.760590443373971</v>
      </c>
      <c r="I282" s="516">
        <f t="shared" si="31"/>
        <v>100</v>
      </c>
      <c r="J282" s="153">
        <f>(G282*0)/(1+cDR)^'Markov Model_b (3)'!cycle</f>
        <v>0</v>
      </c>
      <c r="K282" s="178">
        <f t="shared" si="27"/>
        <v>8.239409556626029</v>
      </c>
      <c r="L282" s="202">
        <f>(G282*(uPostT))/(1+oDR)^'Markov Model_b (3)'!cycle</f>
        <v>3.1751041212049813</v>
      </c>
      <c r="M282" s="80"/>
      <c r="N282" s="3"/>
      <c r="O282" s="80"/>
      <c r="P282" s="173">
        <v>272</v>
      </c>
      <c r="Q282" s="165"/>
      <c r="R282" s="174">
        <v>1.6549955933950315E-2</v>
      </c>
      <c r="S282" s="502"/>
      <c r="T282" s="219">
        <f t="shared" si="32"/>
        <v>7.762220634381535</v>
      </c>
      <c r="U282" s="249">
        <f t="shared" si="28"/>
        <v>92.237779365618465</v>
      </c>
      <c r="V282" s="516">
        <f t="shared" si="29"/>
        <v>100</v>
      </c>
      <c r="W282" s="153">
        <f>(T282*0)/(1+cDR)^'Markov Model_b (3)'!cycle2</f>
        <v>0</v>
      </c>
      <c r="X282" s="178">
        <f t="shared" si="30"/>
        <v>7.762220634381535</v>
      </c>
      <c r="Y282" s="202">
        <f>(T282*(uPostT))/(1+oDR)^'Markov Model_b (3)'!cycle</f>
        <v>2.9912166104314197</v>
      </c>
      <c r="Z282" s="80"/>
      <c r="AA282" s="3"/>
      <c r="AB282" s="3"/>
      <c r="AC282" s="14">
        <v>270</v>
      </c>
      <c r="AD282" s="14"/>
      <c r="AE282" s="14"/>
      <c r="AF282" s="3"/>
      <c r="AG282" s="3"/>
      <c r="AH282" s="3"/>
      <c r="AI282" s="14"/>
      <c r="AJ282" s="14"/>
      <c r="AK282" s="3"/>
      <c r="AL282" s="3"/>
      <c r="AM282" s="3"/>
      <c r="AN282" s="3"/>
      <c r="AO282" s="3"/>
      <c r="AP282" s="3"/>
      <c r="AQ282" s="3"/>
      <c r="AR282" s="3"/>
      <c r="AS282" s="3"/>
      <c r="AT282" s="4"/>
      <c r="AU282" s="4"/>
      <c r="AV282" s="402"/>
      <c r="AW282" s="402"/>
      <c r="AX282" s="402"/>
      <c r="AY282" s="402"/>
      <c r="AZ282" s="402"/>
      <c r="BA282" s="402"/>
      <c r="BB282" s="402"/>
      <c r="BC282" s="402"/>
      <c r="BD282" s="402"/>
      <c r="BE282" s="402"/>
      <c r="BF282" s="402"/>
    </row>
    <row r="283" spans="1:58" ht="14.25" customHeight="1" x14ac:dyDescent="0.2">
      <c r="A283" s="637"/>
      <c r="B283" s="417"/>
      <c r="C283" s="173">
        <v>273</v>
      </c>
      <c r="D283" s="165"/>
      <c r="E283" s="174">
        <v>1.6693194106616779E-2</v>
      </c>
      <c r="F283" s="502"/>
      <c r="G283" s="219">
        <f t="shared" si="33"/>
        <v>8.1018674935733515</v>
      </c>
      <c r="H283" s="176">
        <f t="shared" si="34"/>
        <v>91.898132506426649</v>
      </c>
      <c r="I283" s="516">
        <f t="shared" si="31"/>
        <v>100</v>
      </c>
      <c r="J283" s="153">
        <f>(G283*0)/(1+cDR)^'Markov Model_b (3)'!cycle</f>
        <v>0</v>
      </c>
      <c r="K283" s="178">
        <f t="shared" si="27"/>
        <v>8.1018674935733515</v>
      </c>
      <c r="L283" s="202">
        <f>(G283*(uPostT))/(1+oDR)^'Markov Model_b (3)'!cycle</f>
        <v>3.1143157025446242</v>
      </c>
      <c r="M283" s="80"/>
      <c r="N283" s="3"/>
      <c r="O283" s="80"/>
      <c r="P283" s="173">
        <v>273</v>
      </c>
      <c r="Q283" s="165"/>
      <c r="R283" s="174">
        <v>1.6693193342624757E-2</v>
      </c>
      <c r="S283" s="502"/>
      <c r="T283" s="219">
        <f t="shared" si="32"/>
        <v>7.6326443845636902</v>
      </c>
      <c r="U283" s="249">
        <f t="shared" si="28"/>
        <v>92.36735561543631</v>
      </c>
      <c r="V283" s="516">
        <f t="shared" si="29"/>
        <v>100</v>
      </c>
      <c r="W283" s="153">
        <f>(T283*0)/(1+cDR)^'Markov Model_b (3)'!cycle2</f>
        <v>0</v>
      </c>
      <c r="X283" s="178">
        <f t="shared" si="30"/>
        <v>7.6326443845636902</v>
      </c>
      <c r="Y283" s="202">
        <f>(T283*(uPostT))/(1+oDR)^'Markov Model_b (3)'!cycle</f>
        <v>2.9339487812706402</v>
      </c>
      <c r="Z283" s="80"/>
      <c r="AA283" s="3"/>
      <c r="AB283" s="3"/>
      <c r="AC283" s="14">
        <v>271</v>
      </c>
      <c r="AD283" s="14"/>
      <c r="AE283" s="14"/>
      <c r="AF283" s="3"/>
      <c r="AG283" s="3"/>
      <c r="AH283" s="3"/>
      <c r="AI283" s="14"/>
      <c r="AJ283" s="14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</row>
    <row r="284" spans="1:58" ht="14.25" customHeight="1" x14ac:dyDescent="0.2">
      <c r="A284" s="637"/>
      <c r="B284" s="417"/>
      <c r="C284" s="173">
        <v>274</v>
      </c>
      <c r="D284" s="165"/>
      <c r="E284" s="174">
        <v>1.6837774452924469E-2</v>
      </c>
      <c r="F284" s="502"/>
      <c r="G284" s="219">
        <f t="shared" si="33"/>
        <v>7.9654500760690894</v>
      </c>
      <c r="H284" s="176">
        <f t="shared" si="34"/>
        <v>92.034549923930911</v>
      </c>
      <c r="I284" s="516">
        <f t="shared" si="31"/>
        <v>100</v>
      </c>
      <c r="J284" s="153">
        <f>(G284*0)/(1+cDR)^'Markov Model_b (3)'!cycle</f>
        <v>0</v>
      </c>
      <c r="K284" s="178">
        <f t="shared" si="27"/>
        <v>7.9654500760690894</v>
      </c>
      <c r="L284" s="202">
        <f>(G284*(uPostT))/(1+oDR)^'Markov Model_b (3)'!cycle</f>
        <v>3.0542419522892561</v>
      </c>
      <c r="M284" s="80"/>
      <c r="N284" s="3"/>
      <c r="O284" s="80"/>
      <c r="P284" s="173">
        <v>274</v>
      </c>
      <c r="Q284" s="165"/>
      <c r="R284" s="174">
        <v>1.6837773715259786E-2</v>
      </c>
      <c r="S284" s="502"/>
      <c r="T284" s="219">
        <f t="shared" si="32"/>
        <v>7.5041276455673653</v>
      </c>
      <c r="U284" s="249">
        <f t="shared" si="28"/>
        <v>92.495872354432635</v>
      </c>
      <c r="V284" s="516">
        <f t="shared" si="29"/>
        <v>100</v>
      </c>
      <c r="W284" s="153">
        <f>(T284*0)/(1+cDR)^'Markov Model_b (3)'!cycle2</f>
        <v>0</v>
      </c>
      <c r="X284" s="178">
        <f t="shared" si="30"/>
        <v>7.5041276455673653</v>
      </c>
      <c r="Y284" s="202">
        <f>(T284*(uPostT))/(1+oDR)^'Markov Model_b (3)'!cycle</f>
        <v>2.8773542300243844</v>
      </c>
      <c r="Z284" s="80"/>
      <c r="AA284" s="3"/>
      <c r="AB284" s="3"/>
      <c r="AC284" s="14">
        <v>272</v>
      </c>
      <c r="AD284" s="14"/>
      <c r="AE284" s="14"/>
      <c r="AF284" s="3"/>
      <c r="AG284" s="3"/>
      <c r="AH284" s="3"/>
      <c r="AI284" s="14"/>
      <c r="AJ284" s="14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</row>
    <row r="285" spans="1:58" ht="14.25" customHeight="1" x14ac:dyDescent="0.2">
      <c r="A285" s="637"/>
      <c r="B285" s="417"/>
      <c r="C285" s="173">
        <v>275</v>
      </c>
      <c r="D285" s="165"/>
      <c r="E285" s="174">
        <v>1.6983710920038923E-2</v>
      </c>
      <c r="F285" s="502"/>
      <c r="G285" s="219">
        <f t="shared" si="33"/>
        <v>7.8301671746291248</v>
      </c>
      <c r="H285" s="176">
        <f t="shared" si="34"/>
        <v>92.169832825370875</v>
      </c>
      <c r="I285" s="516">
        <f t="shared" si="31"/>
        <v>100</v>
      </c>
      <c r="J285" s="153">
        <f>(G285*0)/(1+cDR)^'Markov Model_b (3)'!cycle</f>
        <v>0</v>
      </c>
      <c r="K285" s="178">
        <f t="shared" si="27"/>
        <v>7.8301671746291248</v>
      </c>
      <c r="L285" s="202">
        <f>(G285*(uPostT))/(1+oDR)^'Markov Model_b (3)'!cycle</f>
        <v>2.994882383931889</v>
      </c>
      <c r="M285" s="80"/>
      <c r="N285" s="3"/>
      <c r="O285" s="80"/>
      <c r="P285" s="173">
        <v>275</v>
      </c>
      <c r="Q285" s="165"/>
      <c r="R285" s="174">
        <v>1.6983710210276483E-2</v>
      </c>
      <c r="S285" s="502"/>
      <c r="T285" s="219">
        <f t="shared" si="32"/>
        <v>7.3766797162541309</v>
      </c>
      <c r="U285" s="249">
        <f t="shared" si="28"/>
        <v>92.623320283745869</v>
      </c>
      <c r="V285" s="516">
        <f t="shared" si="29"/>
        <v>100</v>
      </c>
      <c r="W285" s="153">
        <f>(T285*0)/(1+cDR)^'Markov Model_b (3)'!cycle2</f>
        <v>0</v>
      </c>
      <c r="X285" s="178">
        <f t="shared" si="30"/>
        <v>7.3766797162541309</v>
      </c>
      <c r="Y285" s="202">
        <f>(T285*(uPostT))/(1+oDR)^'Markov Model_b (3)'!cycle</f>
        <v>2.8214324983634311</v>
      </c>
      <c r="Z285" s="80"/>
      <c r="AA285" s="3"/>
      <c r="AB285" s="3"/>
      <c r="AC285" s="14">
        <v>273</v>
      </c>
      <c r="AD285" s="14"/>
      <c r="AE285" s="14"/>
      <c r="AF285" s="3"/>
      <c r="AG285" s="3"/>
      <c r="AH285" s="3"/>
      <c r="AI285" s="14"/>
      <c r="AJ285" s="14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</row>
    <row r="286" spans="1:58" ht="14.25" customHeight="1" x14ac:dyDescent="0.2">
      <c r="A286" s="637"/>
      <c r="B286" s="417"/>
      <c r="C286" s="173">
        <v>276</v>
      </c>
      <c r="D286" s="165"/>
      <c r="E286" s="174">
        <v>1.7131094750049234E-2</v>
      </c>
      <c r="F286" s="502"/>
      <c r="G286" s="219">
        <f t="shared" si="33"/>
        <v>7.6960278388518333</v>
      </c>
      <c r="H286" s="176">
        <f t="shared" si="34"/>
        <v>92.303972161148167</v>
      </c>
      <c r="I286" s="516">
        <f t="shared" si="31"/>
        <v>100</v>
      </c>
      <c r="J286" s="153">
        <f>(G286*0)/(1+cDR)^'Markov Model_b (3)'!cycle</f>
        <v>0</v>
      </c>
      <c r="K286" s="178">
        <f t="shared" si="27"/>
        <v>7.6960278388518333</v>
      </c>
      <c r="L286" s="202">
        <f>(G286*(uPostT))/(1+oDR)^'Markov Model_b (3)'!cycle</f>
        <v>2.9362361795985037</v>
      </c>
      <c r="M286" s="80"/>
      <c r="N286" s="3"/>
      <c r="O286" s="80"/>
      <c r="P286" s="173">
        <v>276</v>
      </c>
      <c r="Q286" s="165"/>
      <c r="R286" s="174">
        <v>1.7131094069506352E-2</v>
      </c>
      <c r="S286" s="502"/>
      <c r="T286" s="219">
        <f t="shared" si="32"/>
        <v>7.2503091221143592</v>
      </c>
      <c r="U286" s="249">
        <f t="shared" si="28"/>
        <v>92.749690877885641</v>
      </c>
      <c r="V286" s="516">
        <f t="shared" si="29"/>
        <v>100</v>
      </c>
      <c r="W286" s="153">
        <f>(T286*0)/(1+cDR)^'Markov Model_b (3)'!cycle2</f>
        <v>0</v>
      </c>
      <c r="X286" s="178">
        <f t="shared" si="30"/>
        <v>7.2503091221143592</v>
      </c>
      <c r="Y286" s="202">
        <f>(T286*(uPostT))/(1+oDR)^'Markov Model_b (3)'!cycle</f>
        <v>2.7661828157837443</v>
      </c>
      <c r="Z286" s="80"/>
      <c r="AA286" s="3"/>
      <c r="AB286" s="3"/>
      <c r="AC286" s="14">
        <v>274</v>
      </c>
      <c r="AD286" s="14"/>
      <c r="AE286" s="14"/>
      <c r="AF286" s="3"/>
      <c r="AG286" s="3"/>
      <c r="AH286" s="3"/>
      <c r="AI286" s="14"/>
      <c r="AJ286" s="14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</row>
    <row r="287" spans="1:58" ht="14.25" customHeight="1" x14ac:dyDescent="0.2">
      <c r="A287" s="597"/>
      <c r="B287" s="417"/>
      <c r="C287" s="173">
        <v>277</v>
      </c>
      <c r="D287" s="504"/>
      <c r="E287" s="174">
        <v>1.7279943437089721E-2</v>
      </c>
      <c r="F287" s="505"/>
      <c r="G287" s="219">
        <f t="shared" si="33"/>
        <v>7.5630409131062066</v>
      </c>
      <c r="H287" s="176">
        <f t="shared" si="34"/>
        <v>92.436959086893793</v>
      </c>
      <c r="I287" s="516">
        <f t="shared" si="31"/>
        <v>100</v>
      </c>
      <c r="J287" s="180">
        <f>(G287*0)/(1+cDR)^'Markov Model_b (3)'!cycle</f>
        <v>0</v>
      </c>
      <c r="K287" s="176">
        <f t="shared" si="27"/>
        <v>7.5630409131062066</v>
      </c>
      <c r="L287" s="202">
        <f>(G287*(uPostT))/(1+oDR)^'Markov Model_b (3)'!cycle</f>
        <v>2.8783024284260406</v>
      </c>
      <c r="M287" s="80"/>
      <c r="N287" s="3"/>
      <c r="O287" s="80"/>
      <c r="P287" s="173">
        <v>277</v>
      </c>
      <c r="Q287" s="504"/>
      <c r="R287" s="174">
        <v>1.7279942787066294E-2</v>
      </c>
      <c r="S287" s="505"/>
      <c r="T287" s="219">
        <f t="shared" si="32"/>
        <v>7.1250241952956799</v>
      </c>
      <c r="U287" s="249">
        <f t="shared" si="28"/>
        <v>92.87497580470432</v>
      </c>
      <c r="V287" s="516">
        <f t="shared" si="29"/>
        <v>100</v>
      </c>
      <c r="W287" s="180">
        <f>(T287*0)/(1+cDR)^'Markov Model_b (3)'!cycle2</f>
        <v>0</v>
      </c>
      <c r="X287" s="176">
        <f t="shared" si="30"/>
        <v>7.1250241952956799</v>
      </c>
      <c r="Y287" s="202">
        <f>(T287*(uPostT))/(1+oDR)^'Markov Model_b (3)'!cycle</f>
        <v>2.7116043241779915</v>
      </c>
      <c r="Z287" s="80"/>
      <c r="AA287" s="3"/>
      <c r="AB287" s="3"/>
      <c r="AC287" s="14">
        <v>275</v>
      </c>
      <c r="AD287" s="14"/>
      <c r="AE287" s="14"/>
      <c r="AF287" s="3"/>
      <c r="AG287" s="3"/>
      <c r="AH287" s="3"/>
      <c r="AI287" s="14"/>
      <c r="AJ287" s="14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</row>
    <row r="288" spans="1:58" ht="14.25" customHeight="1" x14ac:dyDescent="0.25">
      <c r="A288" s="3">
        <v>25</v>
      </c>
      <c r="B288" s="417"/>
      <c r="C288" s="506">
        <v>278</v>
      </c>
      <c r="D288" s="506"/>
      <c r="E288" s="507">
        <v>1.7430247020944544E-2</v>
      </c>
      <c r="F288" s="508"/>
      <c r="G288" s="509">
        <f t="shared" si="33"/>
        <v>7.4312152417612509</v>
      </c>
      <c r="H288" s="176">
        <f t="shared" si="34"/>
        <v>92.568784758238749</v>
      </c>
      <c r="I288" s="518">
        <f t="shared" si="31"/>
        <v>100</v>
      </c>
      <c r="J288" s="511">
        <f>(G288*0)/(1+cDR)^'Markov Model_b (3)'!cycle</f>
        <v>0</v>
      </c>
      <c r="K288" s="512">
        <f t="shared" si="27"/>
        <v>7.4312152417612509</v>
      </c>
      <c r="L288" s="513">
        <f>(G288*(uPostT))/(1+oDR)^'Markov Model_b (3)'!cycle</f>
        <v>2.8210802055836304</v>
      </c>
      <c r="M288" s="80"/>
      <c r="N288" s="3"/>
      <c r="O288" s="80"/>
      <c r="P288" s="506">
        <v>278</v>
      </c>
      <c r="Q288" s="506"/>
      <c r="R288" s="507">
        <v>1.7430246402808595E-2</v>
      </c>
      <c r="S288" s="508"/>
      <c r="T288" s="509">
        <f t="shared" si="32"/>
        <v>7.0008332679457084</v>
      </c>
      <c r="U288" s="249">
        <f t="shared" si="28"/>
        <v>92.999166732054292</v>
      </c>
      <c r="V288" s="518">
        <f t="shared" si="29"/>
        <v>100</v>
      </c>
      <c r="W288" s="511">
        <f>(T288*0)/(1+cDR)^'Markov Model_b (3)'!cycle2</f>
        <v>0</v>
      </c>
      <c r="X288" s="512">
        <f t="shared" si="30"/>
        <v>7.0008332679457084</v>
      </c>
      <c r="Y288" s="513">
        <f>(T288*(uPostT))/(1+oDR)^'Markov Model_b (3)'!cycle</f>
        <v>2.65769615227995</v>
      </c>
      <c r="Z288" s="80"/>
      <c r="AA288" s="3"/>
      <c r="AB288" s="3"/>
      <c r="AC288" s="14">
        <v>276</v>
      </c>
      <c r="AD288" s="14"/>
      <c r="AE288" s="14"/>
      <c r="AF288" s="3"/>
      <c r="AG288" s="3"/>
      <c r="AH288" s="3"/>
      <c r="AI288" s="14"/>
      <c r="AJ288" s="14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</row>
    <row r="289" spans="1:47" ht="14.25" customHeight="1" x14ac:dyDescent="0.2">
      <c r="A289" s="3"/>
      <c r="B289" s="417"/>
      <c r="C289" s="173">
        <v>279</v>
      </c>
      <c r="D289" s="165"/>
      <c r="E289" s="174">
        <v>1.7581985785934923E-2</v>
      </c>
      <c r="F289" s="502"/>
      <c r="G289" s="219">
        <f t="shared" si="33"/>
        <v>7.3005597210083835</v>
      </c>
      <c r="H289" s="176">
        <f t="shared" si="34"/>
        <v>92.699440278991617</v>
      </c>
      <c r="I289" s="516">
        <f t="shared" si="31"/>
        <v>100</v>
      </c>
      <c r="J289" s="153">
        <f>(G289*0)/(1+cDR)^'Markov Model_b (3)'!cycle</f>
        <v>0</v>
      </c>
      <c r="K289" s="178">
        <f t="shared" si="27"/>
        <v>7.3005597210083835</v>
      </c>
      <c r="L289" s="202">
        <f>(G289*(uPostT))/(1+oDR)^'Markov Model_b (3)'!cycle</f>
        <v>2.7645685920280072</v>
      </c>
      <c r="M289" s="80"/>
      <c r="N289" s="3"/>
      <c r="O289" s="80"/>
      <c r="P289" s="173">
        <v>279</v>
      </c>
      <c r="Q289" s="165"/>
      <c r="R289" s="174">
        <v>1.7581985200887079E-2</v>
      </c>
      <c r="S289" s="502"/>
      <c r="T289" s="219">
        <f t="shared" si="32"/>
        <v>6.8777447210348157</v>
      </c>
      <c r="U289" s="249">
        <f t="shared" si="28"/>
        <v>93.122255278965184</v>
      </c>
      <c r="V289" s="516">
        <f t="shared" si="29"/>
        <v>100</v>
      </c>
      <c r="W289" s="153">
        <f>(T289*0)/(1+cDR)^'Markov Model_b (3)'!cycle2</f>
        <v>0</v>
      </c>
      <c r="X289" s="178">
        <f t="shared" si="30"/>
        <v>6.8777447210348157</v>
      </c>
      <c r="Y289" s="202">
        <f>(T289*(uPostT))/(1+oDR)^'Markov Model_b (3)'!cycle</f>
        <v>2.6044574342764211</v>
      </c>
      <c r="Z289" s="80"/>
      <c r="AA289" s="3"/>
      <c r="AB289" s="3"/>
      <c r="AC289" s="14">
        <v>277</v>
      </c>
      <c r="AD289" s="14"/>
      <c r="AE289" s="14"/>
      <c r="AF289" s="3"/>
      <c r="AG289" s="3"/>
      <c r="AH289" s="3"/>
      <c r="AI289" s="14"/>
      <c r="AJ289" s="14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</row>
    <row r="290" spans="1:47" ht="14.25" customHeight="1" x14ac:dyDescent="0.2">
      <c r="A290" s="3"/>
      <c r="B290" s="417"/>
      <c r="C290" s="173">
        <v>280</v>
      </c>
      <c r="D290" s="165"/>
      <c r="E290" s="174">
        <v>1.7735115063458224E-2</v>
      </c>
      <c r="F290" s="502"/>
      <c r="G290" s="219">
        <f t="shared" si="33"/>
        <v>7.1710834543286524</v>
      </c>
      <c r="H290" s="176">
        <f t="shared" si="34"/>
        <v>92.828916545671348</v>
      </c>
      <c r="I290" s="516">
        <f t="shared" si="31"/>
        <v>100</v>
      </c>
      <c r="J290" s="153">
        <f>(G290*0)/(1+cDR)^'Markov Model_b (3)'!cycle</f>
        <v>0</v>
      </c>
      <c r="K290" s="178">
        <f t="shared" si="27"/>
        <v>7.1710834543286524</v>
      </c>
      <c r="L290" s="202">
        <f>(G290*(uPostT))/(1+oDR)^'Markov Model_b (3)'!cycle</f>
        <v>2.7087667331147811</v>
      </c>
      <c r="M290" s="80"/>
      <c r="N290" s="3"/>
      <c r="O290" s="80"/>
      <c r="P290" s="173">
        <v>280</v>
      </c>
      <c r="Q290" s="165"/>
      <c r="R290" s="174">
        <v>1.7735114511784899E-2</v>
      </c>
      <c r="S290" s="502"/>
      <c r="T290" s="219">
        <f t="shared" si="32"/>
        <v>6.755767130824438</v>
      </c>
      <c r="U290" s="249">
        <f t="shared" si="28"/>
        <v>93.244232869175562</v>
      </c>
      <c r="V290" s="516">
        <f t="shared" si="29"/>
        <v>100</v>
      </c>
      <c r="W290" s="153">
        <f>(T290*0)/(1+cDR)^'Markov Model_b (3)'!cycle2</f>
        <v>0</v>
      </c>
      <c r="X290" s="178">
        <f t="shared" si="30"/>
        <v>6.755767130824438</v>
      </c>
      <c r="Y290" s="202">
        <f>(T290*(uPostT))/(1+oDR)^'Markov Model_b (3)'!cycle</f>
        <v>2.5518873650258942</v>
      </c>
      <c r="Z290" s="80"/>
      <c r="AA290" s="3"/>
      <c r="AB290" s="3"/>
      <c r="AC290" s="14">
        <v>278</v>
      </c>
      <c r="AD290" s="14"/>
      <c r="AE290" s="14"/>
      <c r="AF290" s="3"/>
      <c r="AG290" s="3"/>
      <c r="AH290" s="3"/>
      <c r="AI290" s="14"/>
      <c r="AJ290" s="14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</row>
    <row r="291" spans="1:47" ht="14.25" customHeight="1" x14ac:dyDescent="0.2">
      <c r="A291" s="3"/>
      <c r="B291" s="417"/>
      <c r="C291" s="173">
        <v>281</v>
      </c>
      <c r="D291" s="165"/>
      <c r="E291" s="174">
        <v>1.7889605959854855E-2</v>
      </c>
      <c r="F291" s="502"/>
      <c r="G291" s="219">
        <f t="shared" si="33"/>
        <v>7.0427955970254743</v>
      </c>
      <c r="H291" s="176">
        <f t="shared" si="34"/>
        <v>92.957204402974526</v>
      </c>
      <c r="I291" s="516">
        <f t="shared" si="31"/>
        <v>100</v>
      </c>
      <c r="J291" s="153">
        <f>(G291*0)/(1+cDR)^'Markov Model_b (3)'!cycle</f>
        <v>0</v>
      </c>
      <c r="K291" s="178">
        <f t="shared" si="27"/>
        <v>7.0427955970254743</v>
      </c>
      <c r="L291" s="202">
        <f>(G291*(uPostT))/(1+oDR)^'Markov Model_b (3)'!cycle</f>
        <v>2.6536737791742571</v>
      </c>
      <c r="M291" s="80"/>
      <c r="N291" s="3"/>
      <c r="O291" s="80"/>
      <c r="P291" s="173">
        <v>281</v>
      </c>
      <c r="Q291" s="165"/>
      <c r="R291" s="174">
        <v>1.7889605441581042E-2</v>
      </c>
      <c r="S291" s="502"/>
      <c r="T291" s="219">
        <f t="shared" si="32"/>
        <v>6.6349091223987813</v>
      </c>
      <c r="U291" s="249">
        <f t="shared" si="28"/>
        <v>93.365090877601219</v>
      </c>
      <c r="V291" s="516">
        <f t="shared" si="29"/>
        <v>100</v>
      </c>
      <c r="W291" s="153">
        <f>(T291*0)/(1+cDR)^'Markov Model_b (3)'!cycle2</f>
        <v>0</v>
      </c>
      <c r="X291" s="178">
        <f t="shared" si="30"/>
        <v>6.6349091223987813</v>
      </c>
      <c r="Y291" s="202">
        <f>(T291*(uPostT))/(1+oDR)^'Markov Model_b (3)'!cycle</f>
        <v>2.4999851440740377</v>
      </c>
      <c r="Z291" s="80"/>
      <c r="AA291" s="3"/>
      <c r="AB291" s="3"/>
      <c r="AC291" s="14">
        <v>279</v>
      </c>
      <c r="AD291" s="14"/>
      <c r="AE291" s="14"/>
      <c r="AF291" s="3"/>
      <c r="AG291" s="3"/>
      <c r="AH291" s="3"/>
      <c r="AI291" s="14"/>
      <c r="AJ291" s="14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</row>
    <row r="292" spans="1:47" ht="14.25" customHeight="1" x14ac:dyDescent="0.2">
      <c r="A292" s="3"/>
      <c r="B292" s="417"/>
      <c r="C292" s="173">
        <v>282</v>
      </c>
      <c r="D292" s="165"/>
      <c r="E292" s="174">
        <v>1.8045432509339421E-2</v>
      </c>
      <c r="F292" s="502"/>
      <c r="G292" s="219">
        <f t="shared" si="33"/>
        <v>6.9157053044022803</v>
      </c>
      <c r="H292" s="176">
        <f t="shared" si="34"/>
        <v>93.08429469559772</v>
      </c>
      <c r="I292" s="516">
        <f t="shared" si="31"/>
        <v>100</v>
      </c>
      <c r="J292" s="153">
        <f>(G292*0)/(1+cDR)^'Markov Model_b (3)'!cycle</f>
        <v>0</v>
      </c>
      <c r="K292" s="178">
        <f t="shared" si="27"/>
        <v>6.9157053044022803</v>
      </c>
      <c r="L292" s="202">
        <f>(G292*(uPostT))/(1+oDR)^'Markov Model_b (3)'!cycle</f>
        <v>2.5992888659255513</v>
      </c>
      <c r="M292" s="80"/>
      <c r="N292" s="3"/>
      <c r="O292" s="80"/>
      <c r="P292" s="173">
        <v>282</v>
      </c>
      <c r="Q292" s="165"/>
      <c r="R292" s="174">
        <v>1.8045432024460989E-2</v>
      </c>
      <c r="S292" s="502"/>
      <c r="T292" s="219">
        <f t="shared" si="32"/>
        <v>6.5151793208420514</v>
      </c>
      <c r="U292" s="249">
        <f t="shared" si="28"/>
        <v>93.484820679157949</v>
      </c>
      <c r="V292" s="516">
        <f t="shared" si="29"/>
        <v>100</v>
      </c>
      <c r="W292" s="153">
        <f>(T292*0)/(1+cDR)^'Markov Model_b (3)'!cycle2</f>
        <v>0</v>
      </c>
      <c r="X292" s="178">
        <f t="shared" si="30"/>
        <v>6.5151793208420514</v>
      </c>
      <c r="Y292" s="202">
        <f>(T292*(uPostT))/(1+oDR)^'Markov Model_b (3)'!cycle</f>
        <v>2.448749957201481</v>
      </c>
      <c r="Z292" s="80"/>
      <c r="AA292" s="3"/>
      <c r="AB292" s="3"/>
      <c r="AC292" s="14">
        <v>280</v>
      </c>
      <c r="AD292" s="14"/>
      <c r="AE292" s="14"/>
      <c r="AF292" s="3"/>
      <c r="AG292" s="3"/>
      <c r="AH292" s="3"/>
      <c r="AI292" s="14"/>
      <c r="AJ292" s="14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</row>
    <row r="293" spans="1:47" ht="14.25" customHeight="1" x14ac:dyDescent="0.2">
      <c r="A293" s="3"/>
      <c r="B293" s="417"/>
      <c r="C293" s="173">
        <v>283</v>
      </c>
      <c r="D293" s="165"/>
      <c r="E293" s="174">
        <v>1.8202600808374676E-2</v>
      </c>
      <c r="F293" s="502"/>
      <c r="G293" s="219">
        <f t="shared" si="33"/>
        <v>6.7898214814378832</v>
      </c>
      <c r="H293" s="176">
        <f t="shared" si="34"/>
        <v>93.210178518562117</v>
      </c>
      <c r="I293" s="516">
        <f t="shared" si="31"/>
        <v>100</v>
      </c>
      <c r="J293" s="153">
        <f>(G293*0)/(1+cDR)^'Markov Model_b (3)'!cycle</f>
        <v>0</v>
      </c>
      <c r="K293" s="178">
        <f t="shared" si="27"/>
        <v>6.7898214814378832</v>
      </c>
      <c r="L293" s="202">
        <f>(G293*(uPostT))/(1+oDR)^'Markov Model_b (3)'!cycle</f>
        <v>2.5456110207615512</v>
      </c>
      <c r="M293" s="80"/>
      <c r="N293" s="3"/>
      <c r="O293" s="80"/>
      <c r="P293" s="173">
        <v>283</v>
      </c>
      <c r="Q293" s="165"/>
      <c r="R293" s="174">
        <v>1.8202600356774123E-2</v>
      </c>
      <c r="S293" s="502"/>
      <c r="T293" s="219">
        <f t="shared" si="32"/>
        <v>6.3965861154120489</v>
      </c>
      <c r="U293" s="249">
        <f t="shared" si="28"/>
        <v>93.603413884587951</v>
      </c>
      <c r="V293" s="516">
        <f t="shared" si="29"/>
        <v>100</v>
      </c>
      <c r="W293" s="153">
        <f>(T293*0)/(1+cDR)^'Markov Model_b (3)'!cycle2</f>
        <v>0</v>
      </c>
      <c r="X293" s="178">
        <f t="shared" si="30"/>
        <v>6.3965861154120489</v>
      </c>
      <c r="Y293" s="202">
        <f>(T293*(uPostT))/(1+oDR)^'Markov Model_b (3)'!cycle</f>
        <v>2.3981808881365358</v>
      </c>
      <c r="Z293" s="80"/>
      <c r="AA293" s="3"/>
      <c r="AB293" s="3"/>
      <c r="AC293" s="14">
        <v>281</v>
      </c>
      <c r="AD293" s="14"/>
      <c r="AE293" s="14"/>
      <c r="AF293" s="3"/>
      <c r="AG293" s="3"/>
      <c r="AH293" s="3"/>
      <c r="AI293" s="14"/>
      <c r="AJ293" s="14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</row>
    <row r="294" spans="1:47" ht="14.25" customHeight="1" x14ac:dyDescent="0.2">
      <c r="A294" s="3"/>
      <c r="B294" s="417"/>
      <c r="C294" s="173">
        <v>284</v>
      </c>
      <c r="D294" s="165"/>
      <c r="E294" s="174">
        <v>1.8361226427831299E-2</v>
      </c>
      <c r="F294" s="502"/>
      <c r="G294" s="219">
        <f t="shared" si="33"/>
        <v>6.6651520318126529</v>
      </c>
      <c r="H294" s="176">
        <f t="shared" si="34"/>
        <v>93.334847968187347</v>
      </c>
      <c r="I294" s="516">
        <f t="shared" si="31"/>
        <v>100</v>
      </c>
      <c r="J294" s="153">
        <f>(G294*0)/(1+cDR)^'Markov Model_b (3)'!cycle</f>
        <v>0</v>
      </c>
      <c r="K294" s="178">
        <f t="shared" si="27"/>
        <v>6.6651520318126529</v>
      </c>
      <c r="L294" s="202">
        <f>(G294*(uPostT))/(1+oDR)^'Markov Model_b (3)'!cycle</f>
        <v>2.4926388832041564</v>
      </c>
      <c r="M294" s="80"/>
      <c r="N294" s="3"/>
      <c r="O294" s="80"/>
      <c r="P294" s="173">
        <v>284</v>
      </c>
      <c r="Q294" s="165"/>
      <c r="R294" s="174">
        <v>1.8361226009031516E-2</v>
      </c>
      <c r="S294" s="502"/>
      <c r="T294" s="219">
        <f t="shared" si="32"/>
        <v>6.279136952060739</v>
      </c>
      <c r="U294" s="249">
        <f t="shared" si="28"/>
        <v>93.720863047939261</v>
      </c>
      <c r="V294" s="516">
        <f t="shared" si="29"/>
        <v>100</v>
      </c>
      <c r="W294" s="153">
        <f>(T294*0)/(1+cDR)^'Markov Model_b (3)'!cycle2</f>
        <v>0</v>
      </c>
      <c r="X294" s="178">
        <f t="shared" si="30"/>
        <v>6.279136952060739</v>
      </c>
      <c r="Y294" s="202">
        <f>(T294*(uPostT))/(1+oDR)^'Markov Model_b (3)'!cycle</f>
        <v>2.34827665520092</v>
      </c>
      <c r="Z294" s="80"/>
      <c r="AA294" s="3"/>
      <c r="AB294" s="3"/>
      <c r="AC294" s="14">
        <v>282</v>
      </c>
      <c r="AD294" s="14"/>
      <c r="AE294" s="14"/>
      <c r="AF294" s="297"/>
      <c r="AG294" s="297"/>
      <c r="AH294" s="297"/>
      <c r="AI294" s="14"/>
      <c r="AJ294" s="14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</row>
    <row r="295" spans="1:47" ht="14.25" customHeight="1" x14ac:dyDescent="0.2">
      <c r="A295" s="3"/>
      <c r="B295" s="417"/>
      <c r="C295" s="173">
        <v>285</v>
      </c>
      <c r="D295" s="165"/>
      <c r="E295" s="174">
        <v>1.8521321395392799E-2</v>
      </c>
      <c r="F295" s="502"/>
      <c r="G295" s="219">
        <f t="shared" si="33"/>
        <v>6.5417046088822985</v>
      </c>
      <c r="H295" s="176">
        <f t="shared" si="34"/>
        <v>93.458295391117701</v>
      </c>
      <c r="I295" s="516">
        <f t="shared" si="31"/>
        <v>100</v>
      </c>
      <c r="J295" s="153">
        <f>(G295*0)/(1+cDR)^'Markov Model_b (3)'!cycle</f>
        <v>0</v>
      </c>
      <c r="K295" s="178">
        <f t="shared" si="27"/>
        <v>6.5417046088822985</v>
      </c>
      <c r="L295" s="202">
        <f>(G295*(uPostT))/(1+oDR)^'Markov Model_b (3)'!cycle</f>
        <v>2.4403709898510524</v>
      </c>
      <c r="M295" s="80"/>
      <c r="N295" s="3"/>
      <c r="O295" s="80"/>
      <c r="P295" s="173">
        <v>285</v>
      </c>
      <c r="Q295" s="165"/>
      <c r="R295" s="174">
        <v>1.8521321008753946E-2</v>
      </c>
      <c r="S295" s="502"/>
      <c r="T295" s="219">
        <f t="shared" si="32"/>
        <v>6.1628390409136955</v>
      </c>
      <c r="U295" s="249">
        <f t="shared" si="28"/>
        <v>93.837160959086305</v>
      </c>
      <c r="V295" s="516">
        <f t="shared" si="29"/>
        <v>100</v>
      </c>
      <c r="W295" s="153">
        <f>(T295*0)/(1+cDR)^'Markov Model_b (3)'!cycle2</f>
        <v>0</v>
      </c>
      <c r="X295" s="178">
        <f t="shared" si="30"/>
        <v>6.1628390409136955</v>
      </c>
      <c r="Y295" s="202">
        <f>(T295*(uPostT))/(1+oDR)^'Markov Model_b (3)'!cycle</f>
        <v>2.2990358797531978</v>
      </c>
      <c r="Z295" s="80"/>
      <c r="AA295" s="3"/>
      <c r="AB295" s="3"/>
      <c r="AC295" s="14">
        <v>283</v>
      </c>
      <c r="AD295" s="14"/>
      <c r="AE295" s="14"/>
      <c r="AF295" s="297"/>
      <c r="AG295" s="297"/>
      <c r="AH295" s="297"/>
      <c r="AI295" s="14"/>
      <c r="AJ295" s="14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</row>
    <row r="296" spans="1:47" ht="14.25" customHeight="1" x14ac:dyDescent="0.2">
      <c r="A296" s="3"/>
      <c r="B296" s="417"/>
      <c r="C296" s="173">
        <v>286</v>
      </c>
      <c r="D296" s="165"/>
      <c r="E296" s="174">
        <v>1.8682909211003129E-2</v>
      </c>
      <c r="F296" s="502"/>
      <c r="G296" s="219">
        <f t="shared" si="33"/>
        <v>6.4194865355893569</v>
      </c>
      <c r="H296" s="176">
        <f t="shared" si="34"/>
        <v>93.580513464410643</v>
      </c>
      <c r="I296" s="516">
        <f t="shared" si="31"/>
        <v>100</v>
      </c>
      <c r="J296" s="153">
        <f>(G296*0)/(1+cDR)^'Markov Model_b (3)'!cycle</f>
        <v>0</v>
      </c>
      <c r="K296" s="178">
        <f t="shared" si="27"/>
        <v>6.4194865355893569</v>
      </c>
      <c r="L296" s="202">
        <f>(G296*(uPostT))/(1+oDR)^'Markov Model_b (3)'!cycle</f>
        <v>2.3888057458418981</v>
      </c>
      <c r="M296" s="80"/>
      <c r="N296" s="3"/>
      <c r="O296" s="80"/>
      <c r="P296" s="173">
        <v>286</v>
      </c>
      <c r="Q296" s="165"/>
      <c r="R296" s="174">
        <v>1.8682908855885753E-2</v>
      </c>
      <c r="S296" s="502"/>
      <c r="T296" s="219">
        <f t="shared" si="32"/>
        <v>6.0476992808188044</v>
      </c>
      <c r="U296" s="249">
        <f t="shared" si="28"/>
        <v>93.952300719181196</v>
      </c>
      <c r="V296" s="516">
        <f t="shared" si="29"/>
        <v>100</v>
      </c>
      <c r="W296" s="153">
        <f>(T296*0)/(1+cDR)^'Markov Model_b (3)'!cycle2</f>
        <v>0</v>
      </c>
      <c r="X296" s="178">
        <f t="shared" si="30"/>
        <v>6.0476992808188044</v>
      </c>
      <c r="Y296" s="202">
        <f>(T296*(uPostT))/(1+oDR)^'Markov Model_b (3)'!cycle</f>
        <v>2.2504570593070889</v>
      </c>
      <c r="Z296" s="80"/>
      <c r="AA296" s="3"/>
      <c r="AB296" s="3"/>
      <c r="AC296" s="14">
        <v>284</v>
      </c>
      <c r="AD296" s="14"/>
      <c r="AE296" s="14"/>
      <c r="AF296" s="297"/>
      <c r="AG296" s="297"/>
      <c r="AH296" s="297"/>
      <c r="AI296" s="14"/>
      <c r="AJ296" s="14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</row>
    <row r="297" spans="1:47" ht="14.25" customHeight="1" x14ac:dyDescent="0.2">
      <c r="A297" s="3"/>
      <c r="B297" s="417"/>
      <c r="C297" s="173">
        <v>287</v>
      </c>
      <c r="D297" s="165"/>
      <c r="E297" s="174">
        <v>1.8846168100047883E-2</v>
      </c>
      <c r="F297" s="502"/>
      <c r="G297" s="219">
        <f t="shared" si="33"/>
        <v>6.2985038132236468</v>
      </c>
      <c r="H297" s="176">
        <f t="shared" si="34"/>
        <v>93.701496186776353</v>
      </c>
      <c r="I297" s="516">
        <f t="shared" si="31"/>
        <v>100</v>
      </c>
      <c r="J297" s="153">
        <f>(G297*0)/(1+cDR)^'Markov Model_b (3)'!cycle</f>
        <v>0</v>
      </c>
      <c r="K297" s="178">
        <f t="shared" si="27"/>
        <v>6.2985038132236468</v>
      </c>
      <c r="L297" s="202">
        <f>(G297*(uPostT))/(1+oDR)^'Markov Model_b (3)'!cycle</f>
        <v>2.3379410585510243</v>
      </c>
      <c r="M297" s="80"/>
      <c r="N297" s="3"/>
      <c r="O297" s="80"/>
      <c r="P297" s="173">
        <v>287</v>
      </c>
      <c r="Q297" s="165"/>
      <c r="R297" s="174">
        <v>1.8846167776056202E-2</v>
      </c>
      <c r="S297" s="502"/>
      <c r="T297" s="219">
        <f t="shared" si="32"/>
        <v>5.9337233255133555</v>
      </c>
      <c r="U297" s="249">
        <f t="shared" si="28"/>
        <v>94.066276674486645</v>
      </c>
      <c r="V297" s="516">
        <f t="shared" si="29"/>
        <v>100</v>
      </c>
      <c r="W297" s="153">
        <f>(T297*0)/(1+cDR)^'Markov Model_b (3)'!cycle2</f>
        <v>0</v>
      </c>
      <c r="X297" s="178">
        <f t="shared" si="30"/>
        <v>5.9337233255133555</v>
      </c>
      <c r="Y297" s="202">
        <f>(T297*(uPostT))/(1+oDR)^'Markov Model_b (3)'!cycle</f>
        <v>2.2025382224384802</v>
      </c>
      <c r="Z297" s="80"/>
      <c r="AA297" s="3"/>
      <c r="AB297" s="3"/>
      <c r="AC297" s="14">
        <v>285</v>
      </c>
      <c r="AD297" s="14"/>
      <c r="AE297" s="14"/>
      <c r="AF297" s="297"/>
      <c r="AG297" s="297"/>
      <c r="AH297" s="297"/>
      <c r="AI297" s="14"/>
      <c r="AJ297" s="14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</row>
    <row r="298" spans="1:47" ht="14.25" customHeight="1" x14ac:dyDescent="0.2">
      <c r="A298" s="3"/>
      <c r="B298" s="417"/>
      <c r="C298" s="173">
        <v>288</v>
      </c>
      <c r="D298" s="165"/>
      <c r="E298" s="174">
        <v>1.9011134090354875E-2</v>
      </c>
      <c r="F298" s="502"/>
      <c r="G298" s="219">
        <f t="shared" si="33"/>
        <v>6.1787621126618433</v>
      </c>
      <c r="H298" s="176">
        <f t="shared" si="34"/>
        <v>93.821237887338157</v>
      </c>
      <c r="I298" s="516">
        <f t="shared" si="31"/>
        <v>100</v>
      </c>
      <c r="J298" s="153">
        <f>(G298*0)/(1+cDR)^'Markov Model_b (3)'!cycle</f>
        <v>0</v>
      </c>
      <c r="K298" s="178">
        <f t="shared" si="27"/>
        <v>6.1787621126618433</v>
      </c>
      <c r="L298" s="202">
        <f>(G298*(uPostT))/(1+oDR)^'Markov Model_b (3)'!cycle</f>
        <v>2.2877747108145288</v>
      </c>
      <c r="M298" s="80"/>
      <c r="N298" s="3"/>
      <c r="O298" s="80"/>
      <c r="P298" s="173">
        <v>288</v>
      </c>
      <c r="Q298" s="165"/>
      <c r="R298" s="174">
        <v>1.9011133797115328E-2</v>
      </c>
      <c r="S298" s="502"/>
      <c r="T298" s="219">
        <f t="shared" si="32"/>
        <v>5.8209165174569506</v>
      </c>
      <c r="U298" s="249">
        <f t="shared" si="28"/>
        <v>94.179083482543049</v>
      </c>
      <c r="V298" s="516">
        <f t="shared" si="29"/>
        <v>100</v>
      </c>
      <c r="W298" s="153">
        <f>(T298*0)/(1+cDR)^'Markov Model_b (3)'!cycle2</f>
        <v>0</v>
      </c>
      <c r="X298" s="178">
        <f t="shared" si="30"/>
        <v>5.8209165174569506</v>
      </c>
      <c r="Y298" s="202">
        <f>(T298*(uPostT))/(1+oDR)^'Markov Model_b (3)'!cycle</f>
        <v>2.1552772803974451</v>
      </c>
      <c r="Z298" s="80"/>
      <c r="AA298" s="3"/>
      <c r="AB298" s="3"/>
      <c r="AC298" s="14">
        <v>286</v>
      </c>
      <c r="AD298" s="14"/>
      <c r="AE298" s="14"/>
      <c r="AF298" s="297"/>
      <c r="AG298" s="297"/>
      <c r="AH298" s="297"/>
      <c r="AI298" s="14"/>
      <c r="AJ298" s="14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</row>
    <row r="299" spans="1:47" ht="14.25" customHeight="1" x14ac:dyDescent="0.2">
      <c r="A299" s="3"/>
      <c r="B299" s="417"/>
      <c r="C299" s="173">
        <v>289</v>
      </c>
      <c r="D299" s="504"/>
      <c r="E299" s="174">
        <v>1.917779091032696E-2</v>
      </c>
      <c r="F299" s="505"/>
      <c r="G299" s="219">
        <f t="shared" si="33"/>
        <v>6.0602671047805643</v>
      </c>
      <c r="H299" s="176">
        <f t="shared" si="34"/>
        <v>93.939732895219436</v>
      </c>
      <c r="I299" s="516">
        <f t="shared" si="31"/>
        <v>100</v>
      </c>
      <c r="J299" s="180">
        <f>(G299*0)/(1+cDR)^'Markov Model_b (3)'!cycle</f>
        <v>0</v>
      </c>
      <c r="K299" s="176">
        <f t="shared" si="27"/>
        <v>6.0602671047805643</v>
      </c>
      <c r="L299" s="202">
        <f>(G299*(uPostT))/(1+oDR)^'Markov Model_b (3)'!cycle</f>
        <v>2.238304484549221</v>
      </c>
      <c r="M299" s="80"/>
      <c r="N299" s="3"/>
      <c r="O299" s="80"/>
      <c r="P299" s="173">
        <v>289</v>
      </c>
      <c r="Q299" s="504"/>
      <c r="R299" s="174">
        <v>1.9177790647395228E-2</v>
      </c>
      <c r="S299" s="505"/>
      <c r="T299" s="219">
        <f t="shared" si="32"/>
        <v>5.7092841991091916</v>
      </c>
      <c r="U299" s="249">
        <f t="shared" si="28"/>
        <v>94.290715800890808</v>
      </c>
      <c r="V299" s="516">
        <f t="shared" si="29"/>
        <v>100</v>
      </c>
      <c r="W299" s="180">
        <f>(T299*0)/(1+cDR)^'Markov Model_b (3)'!cycle2</f>
        <v>0</v>
      </c>
      <c r="X299" s="176">
        <f t="shared" si="30"/>
        <v>5.7092841991091916</v>
      </c>
      <c r="Y299" s="202">
        <f>(T299*(uPostT))/(1+oDR)^'Markov Model_b (3)'!cycle</f>
        <v>2.1086721435679738</v>
      </c>
      <c r="Z299" s="80"/>
      <c r="AA299" s="3"/>
      <c r="AB299" s="3"/>
      <c r="AC299" s="14">
        <v>287</v>
      </c>
      <c r="AD299" s="14"/>
      <c r="AE299" s="14"/>
      <c r="AF299" s="297"/>
      <c r="AG299" s="297"/>
      <c r="AH299" s="297"/>
      <c r="AI299" s="14"/>
      <c r="AJ299" s="14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</row>
    <row r="300" spans="1:47" ht="14.25" customHeight="1" x14ac:dyDescent="0.25">
      <c r="A300" s="3">
        <v>26</v>
      </c>
      <c r="B300" s="417"/>
      <c r="C300" s="506">
        <v>290</v>
      </c>
      <c r="D300" s="506"/>
      <c r="E300" s="507">
        <v>1.934612087449792E-2</v>
      </c>
      <c r="F300" s="508"/>
      <c r="G300" s="509">
        <f t="shared" si="33"/>
        <v>5.943024444839736</v>
      </c>
      <c r="H300" s="176">
        <f t="shared" si="34"/>
        <v>94.056975555160264</v>
      </c>
      <c r="I300" s="518">
        <f t="shared" si="31"/>
        <v>100</v>
      </c>
      <c r="J300" s="511">
        <f>(G300*0)/(1+cDR)^'Markov Model_b (3)'!cycle</f>
        <v>0</v>
      </c>
      <c r="K300" s="512">
        <f t="shared" si="27"/>
        <v>5.943024444839736</v>
      </c>
      <c r="L300" s="513">
        <f>(G300*(uPostT))/(1+oDR)^'Markov Model_b (3)'!cycle</f>
        <v>2.1895281550495773</v>
      </c>
      <c r="M300" s="80"/>
      <c r="N300" s="3"/>
      <c r="O300" s="80"/>
      <c r="P300" s="506">
        <v>290</v>
      </c>
      <c r="Q300" s="506"/>
      <c r="R300" s="507">
        <v>1.9346120641297954E-2</v>
      </c>
      <c r="S300" s="508"/>
      <c r="T300" s="509">
        <f t="shared" si="32"/>
        <v>5.5988316982177651</v>
      </c>
      <c r="U300" s="249">
        <f t="shared" si="28"/>
        <v>94.401168301782235</v>
      </c>
      <c r="V300" s="518">
        <f t="shared" si="29"/>
        <v>100</v>
      </c>
      <c r="W300" s="511">
        <f>(T300*0)/(1+cDR)^'Markov Model_b (3)'!cycle2</f>
        <v>0</v>
      </c>
      <c r="X300" s="512">
        <f t="shared" si="30"/>
        <v>5.5988316982177651</v>
      </c>
      <c r="Y300" s="513">
        <f>(T300*(uPostT))/(1+oDR)^'Markov Model_b (3)'!cycle</f>
        <v>2.062720716095324</v>
      </c>
      <c r="Z300" s="80"/>
      <c r="AA300" s="3"/>
      <c r="AB300" s="3"/>
      <c r="AC300" s="14">
        <v>288</v>
      </c>
      <c r="AD300" s="14"/>
      <c r="AE300" s="14"/>
      <c r="AF300" s="297"/>
      <c r="AG300" s="297"/>
      <c r="AH300" s="297"/>
      <c r="AI300" s="14"/>
      <c r="AJ300" s="14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</row>
    <row r="301" spans="1:47" ht="14.25" customHeight="1" x14ac:dyDescent="0.2">
      <c r="A301" s="3"/>
      <c r="B301" s="417"/>
      <c r="C301" s="173">
        <v>291</v>
      </c>
      <c r="D301" s="165"/>
      <c r="E301" s="174">
        <v>1.9516110068867665E-2</v>
      </c>
      <c r="F301" s="502"/>
      <c r="G301" s="219">
        <f t="shared" si="33"/>
        <v>5.8270397256322752</v>
      </c>
      <c r="H301" s="176">
        <f t="shared" si="34"/>
        <v>94.172960274367725</v>
      </c>
      <c r="I301" s="516">
        <f t="shared" si="31"/>
        <v>100</v>
      </c>
      <c r="J301" s="153">
        <f>(G301*0)/(1+cDR)^'Markov Model_b (3)'!cycle</f>
        <v>0</v>
      </c>
      <c r="K301" s="178">
        <f t="shared" si="27"/>
        <v>5.8270397256322752</v>
      </c>
      <c r="L301" s="202">
        <f>(G301*(uPostT))/(1+oDR)^'Markov Model_b (3)'!cycle</f>
        <v>2.1414434738920165</v>
      </c>
      <c r="M301" s="80"/>
      <c r="N301" s="3"/>
      <c r="O301" s="80"/>
      <c r="P301" s="173">
        <v>291</v>
      </c>
      <c r="Q301" s="165"/>
      <c r="R301" s="174">
        <v>1.9516109864502047E-2</v>
      </c>
      <c r="S301" s="502"/>
      <c r="T301" s="219">
        <f t="shared" si="32"/>
        <v>5.4895642836824976</v>
      </c>
      <c r="U301" s="249">
        <f t="shared" si="28"/>
        <v>94.510435716317502</v>
      </c>
      <c r="V301" s="516">
        <f t="shared" si="29"/>
        <v>100</v>
      </c>
      <c r="W301" s="153">
        <f>(T301*0)/(1+cDR)^'Markov Model_b (3)'!cycle2</f>
        <v>0</v>
      </c>
      <c r="X301" s="178">
        <f t="shared" si="30"/>
        <v>5.4895642836824976</v>
      </c>
      <c r="Y301" s="202">
        <f>(T301*(uPostT))/(1+oDR)^'Markov Model_b (3)'!cycle</f>
        <v>2.017420879780774</v>
      </c>
      <c r="Z301" s="80"/>
      <c r="AA301" s="3"/>
      <c r="AB301" s="3"/>
      <c r="AC301" s="14">
        <v>289</v>
      </c>
      <c r="AD301" s="14"/>
      <c r="AE301" s="14"/>
      <c r="AF301" s="297"/>
      <c r="AG301" s="297"/>
      <c r="AH301" s="297"/>
      <c r="AI301" s="14"/>
      <c r="AJ301" s="14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</row>
    <row r="302" spans="1:47" ht="14.25" customHeight="1" x14ac:dyDescent="0.2">
      <c r="A302" s="3"/>
      <c r="B302" s="417"/>
      <c r="C302" s="173">
        <v>292</v>
      </c>
      <c r="D302" s="165"/>
      <c r="E302" s="174">
        <v>1.968773282826573E-2</v>
      </c>
      <c r="F302" s="502"/>
      <c r="G302" s="219">
        <f t="shared" si="33"/>
        <v>5.7123185243343357</v>
      </c>
      <c r="H302" s="176">
        <f t="shared" si="34"/>
        <v>94.287681475665664</v>
      </c>
      <c r="I302" s="516">
        <f t="shared" si="31"/>
        <v>100</v>
      </c>
      <c r="J302" s="153">
        <f>(G302*0)/(1+cDR)^'Markov Model_b (3)'!cycle</f>
        <v>0</v>
      </c>
      <c r="K302" s="178">
        <f t="shared" si="27"/>
        <v>5.7123185243343357</v>
      </c>
      <c r="L302" s="202">
        <f>(G302*(uPostT))/(1+oDR)^'Markov Model_b (3)'!cycle</f>
        <v>2.0940481864450837</v>
      </c>
      <c r="M302" s="80"/>
      <c r="N302" s="3"/>
      <c r="O302" s="80"/>
      <c r="P302" s="173">
        <v>292</v>
      </c>
      <c r="Q302" s="165"/>
      <c r="R302" s="174">
        <v>1.9687732651659906E-2</v>
      </c>
      <c r="S302" s="502"/>
      <c r="T302" s="219">
        <f t="shared" si="32"/>
        <v>5.381487209691258</v>
      </c>
      <c r="U302" s="249">
        <f t="shared" si="28"/>
        <v>94.618512790308742</v>
      </c>
      <c r="V302" s="516">
        <f t="shared" si="29"/>
        <v>100</v>
      </c>
      <c r="W302" s="153">
        <f>(T302*0)/(1+cDR)^'Markov Model_b (3)'!cycle2</f>
        <v>0</v>
      </c>
      <c r="X302" s="178">
        <f t="shared" si="30"/>
        <v>5.381487209691258</v>
      </c>
      <c r="Y302" s="202">
        <f>(T302*(uPostT))/(1+oDR)^'Markov Model_b (3)'!cycle</f>
        <v>1.9727705105773312</v>
      </c>
      <c r="Z302" s="80"/>
      <c r="AA302" s="3"/>
      <c r="AB302" s="3"/>
      <c r="AC302" s="14">
        <v>290</v>
      </c>
      <c r="AD302" s="14"/>
      <c r="AE302" s="14"/>
      <c r="AF302" s="297"/>
      <c r="AG302" s="297"/>
      <c r="AH302" s="297"/>
      <c r="AI302" s="14"/>
      <c r="AJ302" s="14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</row>
    <row r="303" spans="1:47" ht="14.25" customHeight="1" x14ac:dyDescent="0.2">
      <c r="A303" s="3"/>
      <c r="B303" s="417"/>
      <c r="C303" s="173">
        <v>293</v>
      </c>
      <c r="D303" s="165"/>
      <c r="E303" s="174">
        <v>1.9860955884888037E-2</v>
      </c>
      <c r="F303" s="502"/>
      <c r="G303" s="219">
        <f t="shared" si="33"/>
        <v>5.5988664181220997</v>
      </c>
      <c r="H303" s="176">
        <f t="shared" si="34"/>
        <v>94.4011335818779</v>
      </c>
      <c r="I303" s="516">
        <f t="shared" si="31"/>
        <v>100</v>
      </c>
      <c r="J303" s="153">
        <f>(G303*0)/(1+cDR)^'Markov Model_b (3)'!cycle</f>
        <v>0</v>
      </c>
      <c r="K303" s="178">
        <f t="shared" si="27"/>
        <v>5.5988664181220997</v>
      </c>
      <c r="L303" s="202">
        <f>(G303*(uPostT))/(1+oDR)^'Markov Model_b (3)'!cycle</f>
        <v>2.0473400376990196</v>
      </c>
      <c r="M303" s="80"/>
      <c r="N303" s="3"/>
      <c r="O303" s="80"/>
      <c r="P303" s="173">
        <v>293</v>
      </c>
      <c r="Q303" s="165"/>
      <c r="R303" s="174">
        <v>1.9860955734849254E-2</v>
      </c>
      <c r="S303" s="502"/>
      <c r="T303" s="219">
        <f t="shared" si="32"/>
        <v>5.2746057304319294</v>
      </c>
      <c r="U303" s="249">
        <f t="shared" si="28"/>
        <v>94.725394269568071</v>
      </c>
      <c r="V303" s="516">
        <f t="shared" si="29"/>
        <v>100</v>
      </c>
      <c r="W303" s="153">
        <f>(T303*0)/(1+cDR)^'Markov Model_b (3)'!cycle2</f>
        <v>0</v>
      </c>
      <c r="X303" s="178">
        <f t="shared" si="30"/>
        <v>5.2746057304319294</v>
      </c>
      <c r="Y303" s="202">
        <f>(T303*(uPostT))/(1+oDR)^'Markov Model_b (3)'!cycle</f>
        <v>1.9287674840815372</v>
      </c>
      <c r="Z303" s="80"/>
      <c r="AA303" s="3"/>
      <c r="AB303" s="3"/>
      <c r="AC303" s="14">
        <v>291</v>
      </c>
      <c r="AD303" s="14"/>
      <c r="AE303" s="14"/>
      <c r="AF303" s="297"/>
      <c r="AG303" s="297"/>
      <c r="AH303" s="297"/>
      <c r="AI303" s="14"/>
      <c r="AJ303" s="14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</row>
    <row r="304" spans="1:47" ht="14.25" customHeight="1" x14ac:dyDescent="0.2">
      <c r="A304" s="3"/>
      <c r="B304" s="417"/>
      <c r="C304" s="173">
        <v>294</v>
      </c>
      <c r="D304" s="165"/>
      <c r="E304" s="174">
        <v>2.0035765369768987E-2</v>
      </c>
      <c r="F304" s="502"/>
      <c r="G304" s="219">
        <f t="shared" si="33"/>
        <v>5.4866888442319208</v>
      </c>
      <c r="H304" s="176">
        <f t="shared" si="34"/>
        <v>94.513311155768079</v>
      </c>
      <c r="I304" s="516">
        <f t="shared" si="31"/>
        <v>100</v>
      </c>
      <c r="J304" s="153">
        <f>(G304*0)/(1+cDR)^'Markov Model_b (3)'!cycle</f>
        <v>0</v>
      </c>
      <c r="K304" s="178">
        <f t="shared" si="27"/>
        <v>5.4866888442319208</v>
      </c>
      <c r="L304" s="202">
        <f>(G304*(uPostT))/(1+oDR)^'Markov Model_b (3)'!cycle</f>
        <v>2.0013167212683758</v>
      </c>
      <c r="M304" s="80"/>
      <c r="N304" s="3"/>
      <c r="O304" s="80"/>
      <c r="P304" s="173">
        <v>294</v>
      </c>
      <c r="Q304" s="165"/>
      <c r="R304" s="174">
        <v>2.0035765244898748E-2</v>
      </c>
      <c r="S304" s="502"/>
      <c r="T304" s="219">
        <f t="shared" si="32"/>
        <v>5.1689249682575991</v>
      </c>
      <c r="U304" s="249">
        <f t="shared" si="28"/>
        <v>94.831075031742401</v>
      </c>
      <c r="V304" s="516">
        <f t="shared" si="29"/>
        <v>100</v>
      </c>
      <c r="W304" s="153">
        <f>(T304*0)/(1+cDR)^'Markov Model_b (3)'!cycle2</f>
        <v>0</v>
      </c>
      <c r="X304" s="178">
        <f t="shared" si="30"/>
        <v>5.1689249682575991</v>
      </c>
      <c r="Y304" s="202">
        <f>(T304*(uPostT))/(1+oDR)^'Markov Model_b (3)'!cycle</f>
        <v>1.8854096274897625</v>
      </c>
      <c r="Z304" s="80"/>
      <c r="AA304" s="3"/>
      <c r="AB304" s="3"/>
      <c r="AC304" s="14">
        <v>292</v>
      </c>
      <c r="AD304" s="14"/>
      <c r="AE304" s="14"/>
      <c r="AF304" s="297"/>
      <c r="AG304" s="297"/>
      <c r="AH304" s="297"/>
      <c r="AI304" s="14"/>
      <c r="AJ304" s="14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</row>
    <row r="305" spans="1:47" ht="14.25" customHeight="1" x14ac:dyDescent="0.2">
      <c r="A305" s="3"/>
      <c r="B305" s="417"/>
      <c r="C305" s="173">
        <v>295</v>
      </c>
      <c r="D305" s="165"/>
      <c r="E305" s="174">
        <v>2.0212220382724227E-2</v>
      </c>
      <c r="F305" s="502"/>
      <c r="G305" s="219">
        <f t="shared" si="33"/>
        <v>5.3757906801408666</v>
      </c>
      <c r="H305" s="176">
        <f t="shared" si="34"/>
        <v>94.624209319859133</v>
      </c>
      <c r="I305" s="516">
        <f t="shared" si="31"/>
        <v>100</v>
      </c>
      <c r="J305" s="153">
        <f>(G305*0)/(1+cDR)^'Markov Model_b (3)'!cycle</f>
        <v>0</v>
      </c>
      <c r="K305" s="178">
        <f t="shared" si="27"/>
        <v>5.3757906801408666</v>
      </c>
      <c r="L305" s="202">
        <f>(G305*(uPostT))/(1+oDR)^'Markov Model_b (3)'!cycle</f>
        <v>1.9559757273241565</v>
      </c>
      <c r="M305" s="80"/>
      <c r="N305" s="3"/>
      <c r="O305" s="80"/>
      <c r="P305" s="173">
        <v>295</v>
      </c>
      <c r="Q305" s="165"/>
      <c r="R305" s="174">
        <v>2.021222028118224E-2</v>
      </c>
      <c r="S305" s="502"/>
      <c r="T305" s="219">
        <f t="shared" si="32"/>
        <v>5.064449518182272</v>
      </c>
      <c r="U305" s="249">
        <f t="shared" si="28"/>
        <v>94.935550481817728</v>
      </c>
      <c r="V305" s="516">
        <f t="shared" si="29"/>
        <v>100</v>
      </c>
      <c r="W305" s="153">
        <f>(T305*0)/(1+cDR)^'Markov Model_b (3)'!cycle2</f>
        <v>0</v>
      </c>
      <c r="X305" s="178">
        <f t="shared" si="30"/>
        <v>5.064449518182272</v>
      </c>
      <c r="Y305" s="202">
        <f>(T305*(uPostT))/(1+oDR)^'Markov Model_b (3)'!cycle</f>
        <v>1.8426945763378324</v>
      </c>
      <c r="Z305" s="80"/>
      <c r="AA305" s="3"/>
      <c r="AB305" s="3"/>
      <c r="AC305" s="14">
        <v>293</v>
      </c>
      <c r="AD305" s="14"/>
      <c r="AE305" s="14"/>
      <c r="AF305" s="297"/>
      <c r="AG305" s="297"/>
      <c r="AH305" s="297"/>
      <c r="AI305" s="14"/>
      <c r="AJ305" s="14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</row>
    <row r="306" spans="1:47" ht="14.25" customHeight="1" x14ac:dyDescent="0.2">
      <c r="A306" s="3"/>
      <c r="B306" s="417"/>
      <c r="C306" s="173">
        <v>296</v>
      </c>
      <c r="D306" s="165"/>
      <c r="E306" s="174">
        <v>2.039030596179664E-2</v>
      </c>
      <c r="F306" s="502"/>
      <c r="G306" s="219">
        <f t="shared" si="33"/>
        <v>5.2661766633862186</v>
      </c>
      <c r="H306" s="176">
        <f t="shared" si="34"/>
        <v>94.733823336613781</v>
      </c>
      <c r="I306" s="516">
        <f t="shared" si="31"/>
        <v>100</v>
      </c>
      <c r="J306" s="153">
        <f>(G306*0)/(1+cDR)^'Markov Model_b (3)'!cycle</f>
        <v>0</v>
      </c>
      <c r="K306" s="178">
        <f t="shared" ref="K306:K369" si="35">G306</f>
        <v>5.2661766633862186</v>
      </c>
      <c r="L306" s="202">
        <f>(G306*(uPostT))/(1+oDR)^'Markov Model_b (3)'!cycle</f>
        <v>1.9113144975463028</v>
      </c>
      <c r="M306" s="80"/>
      <c r="N306" s="3"/>
      <c r="O306" s="80"/>
      <c r="P306" s="173">
        <v>296</v>
      </c>
      <c r="Q306" s="165"/>
      <c r="R306" s="174">
        <v>2.0390305881501546E-2</v>
      </c>
      <c r="S306" s="502"/>
      <c r="T306" s="219">
        <f t="shared" si="32"/>
        <v>4.9611838433851148</v>
      </c>
      <c r="U306" s="249">
        <f t="shared" si="28"/>
        <v>95.038816156614885</v>
      </c>
      <c r="V306" s="516">
        <f t="shared" si="29"/>
        <v>100</v>
      </c>
      <c r="W306" s="153">
        <f>(T306*0)/(1+cDR)^'Markov Model_b (3)'!cycle2</f>
        <v>0</v>
      </c>
      <c r="X306" s="178">
        <f t="shared" si="30"/>
        <v>4.9611838433851148</v>
      </c>
      <c r="Y306" s="202">
        <f>(T306*(uPostT))/(1+oDR)^'Markov Model_b (3)'!cycle</f>
        <v>1.8006199204789237</v>
      </c>
      <c r="Z306" s="80"/>
      <c r="AA306" s="3"/>
      <c r="AB306" s="3"/>
      <c r="AC306" s="14">
        <v>294</v>
      </c>
      <c r="AD306" s="14"/>
      <c r="AE306" s="14"/>
      <c r="AF306" s="297"/>
      <c r="AG306" s="297"/>
      <c r="AH306" s="297"/>
      <c r="AI306" s="14"/>
      <c r="AJ306" s="14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</row>
    <row r="307" spans="1:47" ht="14.25" customHeight="1" x14ac:dyDescent="0.2">
      <c r="A307" s="3"/>
      <c r="B307" s="417"/>
      <c r="C307" s="173">
        <v>297</v>
      </c>
      <c r="D307" s="165"/>
      <c r="E307" s="174">
        <v>2.0570053112270472E-2</v>
      </c>
      <c r="F307" s="502"/>
      <c r="G307" s="219">
        <f t="shared" si="33"/>
        <v>5.1578511297217631</v>
      </c>
      <c r="H307" s="176">
        <f t="shared" si="34"/>
        <v>94.842148870278237</v>
      </c>
      <c r="I307" s="516">
        <f t="shared" si="31"/>
        <v>100</v>
      </c>
      <c r="J307" s="153">
        <f>(G307*0)/(1+cDR)^'Markov Model_b (3)'!cycle</f>
        <v>0</v>
      </c>
      <c r="K307" s="178">
        <f t="shared" si="35"/>
        <v>5.1578511297217631</v>
      </c>
      <c r="L307" s="202">
        <f>(G307*(uPostT))/(1+oDR)^'Markov Model_b (3)'!cycle</f>
        <v>1.8673303309900473</v>
      </c>
      <c r="M307" s="80"/>
      <c r="N307" s="3"/>
      <c r="O307" s="80"/>
      <c r="P307" s="173">
        <v>297</v>
      </c>
      <c r="Q307" s="165"/>
      <c r="R307" s="174">
        <v>2.0570053051148229E-2</v>
      </c>
      <c r="S307" s="502"/>
      <c r="T307" s="219">
        <f t="shared" si="32"/>
        <v>4.8591320285301833</v>
      </c>
      <c r="U307" s="249">
        <f t="shared" si="28"/>
        <v>95.140867971469817</v>
      </c>
      <c r="V307" s="516">
        <f t="shared" si="29"/>
        <v>100</v>
      </c>
      <c r="W307" s="153">
        <f>(T307*0)/(1+cDR)^'Markov Model_b (3)'!cycle2</f>
        <v>0</v>
      </c>
      <c r="X307" s="178">
        <f t="shared" si="30"/>
        <v>4.8591320285301833</v>
      </c>
      <c r="Y307" s="202">
        <f>(T307*(uPostT))/(1+oDR)^'Markov Model_b (3)'!cycle</f>
        <v>1.759183115401215</v>
      </c>
      <c r="Z307" s="80"/>
      <c r="AA307" s="3"/>
      <c r="AB307" s="3"/>
      <c r="AC307" s="14">
        <v>295</v>
      </c>
      <c r="AD307" s="14"/>
      <c r="AE307" s="14"/>
      <c r="AF307" s="297"/>
      <c r="AG307" s="297"/>
      <c r="AH307" s="297"/>
      <c r="AI307" s="14"/>
      <c r="AJ307" s="14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</row>
    <row r="308" spans="1:47" ht="14.25" customHeight="1" x14ac:dyDescent="0.2">
      <c r="A308" s="3"/>
      <c r="B308" s="417"/>
      <c r="C308" s="173">
        <v>298</v>
      </c>
      <c r="D308" s="165"/>
      <c r="E308" s="174">
        <v>2.0751727659869816E-2</v>
      </c>
      <c r="F308" s="502"/>
      <c r="G308" s="219">
        <f t="shared" si="33"/>
        <v>5.0508168077676316</v>
      </c>
      <c r="H308" s="176">
        <f t="shared" si="34"/>
        <v>94.949183192232368</v>
      </c>
      <c r="I308" s="516">
        <f t="shared" si="31"/>
        <v>100</v>
      </c>
      <c r="J308" s="153">
        <f>(G308*0)/(1+cDR)^'Markov Model_b (3)'!cycle</f>
        <v>0</v>
      </c>
      <c r="K308" s="178">
        <f t="shared" si="35"/>
        <v>5.0508168077676316</v>
      </c>
      <c r="L308" s="202">
        <f>(G308*(uPostT))/(1+oDR)^'Markov Model_b (3)'!cycle</f>
        <v>1.8240199506337456</v>
      </c>
      <c r="M308" s="80"/>
      <c r="N308" s="3"/>
      <c r="O308" s="80"/>
      <c r="P308" s="173">
        <v>298</v>
      </c>
      <c r="Q308" s="165"/>
      <c r="R308" s="174">
        <v>2.0751727616621855E-2</v>
      </c>
      <c r="S308" s="502"/>
      <c r="T308" s="219">
        <f t="shared" si="32"/>
        <v>4.7582966442209198</v>
      </c>
      <c r="U308" s="249">
        <f t="shared" si="28"/>
        <v>95.24170335577908</v>
      </c>
      <c r="V308" s="516">
        <f t="shared" si="29"/>
        <v>100</v>
      </c>
      <c r="W308" s="153">
        <f>(T308*0)/(1+cDR)^'Markov Model_b (3)'!cycle2</f>
        <v>0</v>
      </c>
      <c r="X308" s="178">
        <f t="shared" si="30"/>
        <v>4.7582966442209198</v>
      </c>
      <c r="Y308" s="202">
        <f>(T308*(uPostT))/(1+oDR)^'Markov Model_b (3)'!cycle</f>
        <v>1.7183810738779532</v>
      </c>
      <c r="Z308" s="80"/>
      <c r="AA308" s="3"/>
      <c r="AB308" s="3"/>
      <c r="AC308" s="14">
        <v>296</v>
      </c>
      <c r="AD308" s="14"/>
      <c r="AE308" s="14"/>
      <c r="AF308" s="297"/>
      <c r="AG308" s="297"/>
      <c r="AH308" s="297"/>
      <c r="AI308" s="14"/>
      <c r="AJ308" s="14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</row>
    <row r="309" spans="1:47" ht="14.25" customHeight="1" x14ac:dyDescent="0.2">
      <c r="A309" s="3"/>
      <c r="B309" s="417"/>
      <c r="C309" s="173">
        <v>299</v>
      </c>
      <c r="D309" s="165"/>
      <c r="E309" s="174">
        <v>2.0935382816606701E-2</v>
      </c>
      <c r="F309" s="502"/>
      <c r="G309" s="219">
        <f t="shared" si="33"/>
        <v>4.9450760243604606</v>
      </c>
      <c r="H309" s="176">
        <f t="shared" si="34"/>
        <v>95.054923975639539</v>
      </c>
      <c r="I309" s="516">
        <f t="shared" si="31"/>
        <v>100</v>
      </c>
      <c r="J309" s="153">
        <f>(G309*0)/(1+cDR)^'Markov Model_b (3)'!cycle</f>
        <v>0</v>
      </c>
      <c r="K309" s="178">
        <f t="shared" si="35"/>
        <v>4.9450760243604606</v>
      </c>
      <c r="L309" s="202">
        <f>(G309*(uPostT))/(1+oDR)^'Markov Model_b (3)'!cycle</f>
        <v>1.7813799448399987</v>
      </c>
      <c r="M309" s="80"/>
      <c r="N309" s="3"/>
      <c r="O309" s="80"/>
      <c r="P309" s="173">
        <v>299</v>
      </c>
      <c r="Q309" s="165"/>
      <c r="R309" s="174">
        <v>2.0935382790034842E-2</v>
      </c>
      <c r="S309" s="502"/>
      <c r="T309" s="219">
        <f t="shared" si="32"/>
        <v>4.6586798825456128</v>
      </c>
      <c r="U309" s="249">
        <f t="shared" si="28"/>
        <v>95.341320117454387</v>
      </c>
      <c r="V309" s="516">
        <f t="shared" si="29"/>
        <v>100</v>
      </c>
      <c r="W309" s="153">
        <f>(T309*0)/(1+cDR)^'Markov Model_b (3)'!cycle2</f>
        <v>0</v>
      </c>
      <c r="X309" s="178">
        <f t="shared" si="30"/>
        <v>4.6586798825456128</v>
      </c>
      <c r="Y309" s="202">
        <f>(T309*(uPostT))/(1+oDR)^'Markov Model_b (3)'!cycle</f>
        <v>1.6782105818625097</v>
      </c>
      <c r="Z309" s="80"/>
      <c r="AA309" s="3"/>
      <c r="AB309" s="3"/>
      <c r="AC309" s="14">
        <v>297</v>
      </c>
      <c r="AD309" s="14"/>
      <c r="AE309" s="14"/>
      <c r="AF309" s="297"/>
      <c r="AG309" s="297"/>
      <c r="AH309" s="297"/>
      <c r="AI309" s="14"/>
      <c r="AJ309" s="14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</row>
    <row r="310" spans="1:47" ht="14.25" customHeight="1" x14ac:dyDescent="0.2">
      <c r="A310" s="3"/>
      <c r="B310" s="417"/>
      <c r="C310" s="173">
        <v>300</v>
      </c>
      <c r="D310" s="165"/>
      <c r="E310" s="174">
        <v>2.1120993389992709E-2</v>
      </c>
      <c r="F310" s="502"/>
      <c r="G310" s="219">
        <f t="shared" si="33"/>
        <v>4.8406311063369287</v>
      </c>
      <c r="H310" s="176">
        <f t="shared" si="34"/>
        <v>95.159368893663071</v>
      </c>
      <c r="I310" s="516">
        <f t="shared" si="31"/>
        <v>100</v>
      </c>
      <c r="J310" s="153">
        <f>(G310*0)/(1+cDR)^'Markov Model_b (3)'!cycle</f>
        <v>0</v>
      </c>
      <c r="K310" s="178">
        <f t="shared" si="35"/>
        <v>4.8406311063369287</v>
      </c>
      <c r="L310" s="202">
        <f>(G310*(uPostT))/(1+oDR)^'Markov Model_b (3)'!cycle</f>
        <v>1.7394069135161758</v>
      </c>
      <c r="M310" s="80"/>
      <c r="N310" s="3"/>
      <c r="O310" s="80"/>
      <c r="P310" s="173">
        <v>300</v>
      </c>
      <c r="Q310" s="165"/>
      <c r="R310" s="174">
        <v>2.1120993378760715E-2</v>
      </c>
      <c r="S310" s="502"/>
      <c r="T310" s="219">
        <f t="shared" si="32"/>
        <v>4.5602839355926079</v>
      </c>
      <c r="U310" s="249">
        <f t="shared" si="28"/>
        <v>95.439716064407392</v>
      </c>
      <c r="V310" s="516">
        <f t="shared" si="29"/>
        <v>100</v>
      </c>
      <c r="W310" s="153">
        <f>(T310*0)/(1+cDR)^'Markov Model_b (3)'!cycle2</f>
        <v>0</v>
      </c>
      <c r="X310" s="178">
        <f t="shared" si="30"/>
        <v>4.5602839355926079</v>
      </c>
      <c r="Y310" s="202">
        <f>(T310*(uPostT))/(1+oDR)^'Markov Model_b (3)'!cycle</f>
        <v>1.6386684361843671</v>
      </c>
      <c r="Z310" s="80"/>
      <c r="AA310" s="3"/>
      <c r="AB310" s="3"/>
      <c r="AC310" s="14">
        <v>298</v>
      </c>
      <c r="AD310" s="14"/>
      <c r="AE310" s="14"/>
      <c r="AF310" s="297"/>
      <c r="AG310" s="297"/>
      <c r="AH310" s="297"/>
      <c r="AI310" s="14"/>
      <c r="AJ310" s="14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</row>
    <row r="311" spans="1:47" ht="14.25" customHeight="1" x14ac:dyDescent="0.2">
      <c r="A311" s="3"/>
      <c r="B311" s="417"/>
      <c r="C311" s="173">
        <v>301</v>
      </c>
      <c r="D311" s="504"/>
      <c r="E311" s="174">
        <v>2.13085627418244E-2</v>
      </c>
      <c r="F311" s="505"/>
      <c r="G311" s="219">
        <f t="shared" si="33"/>
        <v>4.7374842146975169</v>
      </c>
      <c r="H311" s="176">
        <f t="shared" si="34"/>
        <v>95.262515785302483</v>
      </c>
      <c r="I311" s="516">
        <f t="shared" si="31"/>
        <v>100</v>
      </c>
      <c r="J311" s="180">
        <f>(G311*0)/(1+cDR)^'Markov Model_b (3)'!cycle</f>
        <v>0</v>
      </c>
      <c r="K311" s="176">
        <f t="shared" si="35"/>
        <v>4.7374842146975169</v>
      </c>
      <c r="L311" s="202">
        <f>(G311*(uPostT))/(1+oDR)^'Markov Model_b (3)'!cycle</f>
        <v>1.6980974086443408</v>
      </c>
      <c r="M311" s="80"/>
      <c r="N311" s="3"/>
      <c r="O311" s="80"/>
      <c r="P311" s="173">
        <v>301</v>
      </c>
      <c r="Q311" s="504"/>
      <c r="R311" s="174">
        <v>2.1308562744527693E-2</v>
      </c>
      <c r="S311" s="505"/>
      <c r="T311" s="219">
        <f t="shared" si="32"/>
        <v>4.4631108392181744</v>
      </c>
      <c r="U311" s="249">
        <f t="shared" si="28"/>
        <v>95.536889160781826</v>
      </c>
      <c r="V311" s="516">
        <f t="shared" si="29"/>
        <v>100</v>
      </c>
      <c r="W311" s="180">
        <f>(T311*0)/(1+cDR)^'Markov Model_b (3)'!cycle2</f>
        <v>0</v>
      </c>
      <c r="X311" s="176">
        <f t="shared" si="30"/>
        <v>4.4631108392181744</v>
      </c>
      <c r="Y311" s="202">
        <f>(T311*(uPostT))/(1+oDR)^'Markov Model_b (3)'!cycle</f>
        <v>1.5997513885231485</v>
      </c>
      <c r="Z311" s="80"/>
      <c r="AA311" s="3"/>
      <c r="AB311" s="3"/>
      <c r="AC311" s="14">
        <v>299</v>
      </c>
      <c r="AD311" s="14"/>
      <c r="AE311" s="14"/>
      <c r="AF311" s="297"/>
      <c r="AG311" s="297"/>
      <c r="AH311" s="297"/>
      <c r="AI311" s="14"/>
      <c r="AJ311" s="14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</row>
    <row r="312" spans="1:47" ht="14.25" customHeight="1" x14ac:dyDescent="0.25">
      <c r="A312" s="3">
        <v>27</v>
      </c>
      <c r="B312" s="417"/>
      <c r="C312" s="506">
        <v>302</v>
      </c>
      <c r="D312" s="506"/>
      <c r="E312" s="507">
        <v>2.1498196718760725E-2</v>
      </c>
      <c r="F312" s="508"/>
      <c r="G312" s="509">
        <f t="shared" si="33"/>
        <v>4.6356368470979277</v>
      </c>
      <c r="H312" s="176">
        <f t="shared" si="34"/>
        <v>95.364363152902072</v>
      </c>
      <c r="I312" s="518">
        <f t="shared" si="31"/>
        <v>100</v>
      </c>
      <c r="J312" s="511">
        <f>(G312*0)/(1+cDR)^'Markov Model_b (3)'!cycle</f>
        <v>0</v>
      </c>
      <c r="K312" s="512">
        <f t="shared" si="35"/>
        <v>4.6356368470979277</v>
      </c>
      <c r="L312" s="513">
        <f>(G312*(uPostT))/(1+oDR)^'Markov Model_b (3)'!cycle</f>
        <v>1.6574477571129056</v>
      </c>
      <c r="M312" s="80"/>
      <c r="N312" s="3"/>
      <c r="O312" s="80"/>
      <c r="P312" s="506">
        <v>302</v>
      </c>
      <c r="Q312" s="506"/>
      <c r="R312" s="507">
        <v>2.1498196734070926E-2</v>
      </c>
      <c r="S312" s="508"/>
      <c r="T312" s="509">
        <f t="shared" si="32"/>
        <v>4.3671620043507033</v>
      </c>
      <c r="U312" s="249">
        <f t="shared" ref="U312:U375" si="36">U311+(T311*R312)</f>
        <v>95.632837995649297</v>
      </c>
      <c r="V312" s="518">
        <f t="shared" ref="V312:V375" si="37">SUM(T312:U312)</f>
        <v>100</v>
      </c>
      <c r="W312" s="511">
        <f>(T312*0)/(1+cDR)^'Markov Model_b (3)'!cycle2</f>
        <v>0</v>
      </c>
      <c r="X312" s="512">
        <f t="shared" ref="X312:X375" si="38">T312</f>
        <v>4.3671620043507033</v>
      </c>
      <c r="Y312" s="513">
        <f>(T312*(uPostT))/(1+oDR)^'Markov Model_b (3)'!cycle</f>
        <v>1.5614559785008251</v>
      </c>
      <c r="Z312" s="80"/>
      <c r="AA312" s="3"/>
      <c r="AB312" s="3"/>
      <c r="AC312" s="14">
        <v>300</v>
      </c>
      <c r="AD312" s="14"/>
      <c r="AE312" s="14"/>
      <c r="AF312" s="297"/>
      <c r="AG312" s="297"/>
      <c r="AH312" s="297"/>
      <c r="AI312" s="14"/>
      <c r="AJ312" s="14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</row>
    <row r="313" spans="1:47" ht="14.25" customHeight="1" x14ac:dyDescent="0.2">
      <c r="A313" s="3"/>
      <c r="B313" s="417"/>
      <c r="C313" s="173">
        <v>303</v>
      </c>
      <c r="D313" s="165"/>
      <c r="E313" s="174">
        <v>2.1689902608140733E-2</v>
      </c>
      <c r="F313" s="502"/>
      <c r="G313" s="219">
        <f t="shared" si="33"/>
        <v>4.5350903353576655</v>
      </c>
      <c r="H313" s="176">
        <f t="shared" si="34"/>
        <v>95.464909664642335</v>
      </c>
      <c r="I313" s="516">
        <f t="shared" ref="I313:I376" si="39">SUM(G313:H313)</f>
        <v>100</v>
      </c>
      <c r="J313" s="153">
        <f>(G313*0)/(1+cDR)^'Markov Model_b (3)'!cycle</f>
        <v>0</v>
      </c>
      <c r="K313" s="178">
        <f t="shared" si="35"/>
        <v>4.5350903353576655</v>
      </c>
      <c r="L313" s="202">
        <f>(G313*(uPostT))/(1+oDR)^'Markov Model_b (3)'!cycle</f>
        <v>1.617454241080345</v>
      </c>
      <c r="M313" s="80"/>
      <c r="N313" s="3"/>
      <c r="O313" s="80"/>
      <c r="P313" s="173">
        <v>303</v>
      </c>
      <c r="Q313" s="165"/>
      <c r="R313" s="174">
        <v>2.1689902634656158E-2</v>
      </c>
      <c r="S313" s="502"/>
      <c r="T313" s="219">
        <f t="shared" ref="T313:T376" si="40">$T$10-U313</f>
        <v>4.2724386856865664</v>
      </c>
      <c r="U313" s="249">
        <f t="shared" si="36"/>
        <v>95.727561314313434</v>
      </c>
      <c r="V313" s="516">
        <f t="shared" si="37"/>
        <v>100</v>
      </c>
      <c r="W313" s="153">
        <f>(T313*0)/(1+cDR)^'Markov Model_b (3)'!cycle2</f>
        <v>0</v>
      </c>
      <c r="X313" s="178">
        <f t="shared" si="38"/>
        <v>4.2724386856865664</v>
      </c>
      <c r="Y313" s="202">
        <f>(T313*(uPostT))/(1+oDR)^'Markov Model_b (3)'!cycle</f>
        <v>1.5237787035998409</v>
      </c>
      <c r="Z313" s="80"/>
      <c r="AA313" s="3"/>
      <c r="AB313" s="3"/>
      <c r="AC313" s="14">
        <v>301</v>
      </c>
      <c r="AD313" s="14"/>
      <c r="AE313" s="14"/>
      <c r="AF313" s="297"/>
      <c r="AG313" s="297"/>
      <c r="AH313" s="297"/>
      <c r="AI313" s="14"/>
      <c r="AJ313" s="14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</row>
    <row r="314" spans="1:47" ht="14.25" customHeight="1" x14ac:dyDescent="0.2">
      <c r="A314" s="3"/>
      <c r="B314" s="417"/>
      <c r="C314" s="173">
        <v>304</v>
      </c>
      <c r="D314" s="165"/>
      <c r="E314" s="174">
        <v>2.1883661328866353E-2</v>
      </c>
      <c r="F314" s="502"/>
      <c r="G314" s="219">
        <f t="shared" si="33"/>
        <v>4.4358459543628896</v>
      </c>
      <c r="H314" s="176">
        <f t="shared" si="34"/>
        <v>95.56415404563711</v>
      </c>
      <c r="I314" s="516">
        <f t="shared" si="39"/>
        <v>100</v>
      </c>
      <c r="J314" s="153">
        <f>(G314*0)/(1+cDR)^'Markov Model_b (3)'!cycle</f>
        <v>0</v>
      </c>
      <c r="K314" s="178">
        <f t="shared" si="35"/>
        <v>4.4358459543628896</v>
      </c>
      <c r="L314" s="202">
        <f>(G314*(uPostT))/(1+oDR)^'Markov Model_b (3)'!cycle</f>
        <v>1.5781131374100805</v>
      </c>
      <c r="M314" s="80"/>
      <c r="N314" s="3"/>
      <c r="O314" s="80"/>
      <c r="P314" s="173">
        <v>304</v>
      </c>
      <c r="Q314" s="165"/>
      <c r="R314" s="174">
        <v>2.1883661365082973E-2</v>
      </c>
      <c r="S314" s="502"/>
      <c r="T314" s="219">
        <f t="shared" si="40"/>
        <v>4.1789420842859215</v>
      </c>
      <c r="U314" s="249">
        <f t="shared" si="36"/>
        <v>95.821057915714078</v>
      </c>
      <c r="V314" s="516">
        <f t="shared" si="37"/>
        <v>100</v>
      </c>
      <c r="W314" s="153">
        <f>(T314*0)/(1+cDR)^'Markov Model_b (3)'!cycle2</f>
        <v>0</v>
      </c>
      <c r="X314" s="178">
        <f t="shared" si="38"/>
        <v>4.1789420842859215</v>
      </c>
      <c r="Y314" s="202">
        <f>(T314*(uPostT))/(1+oDR)^'Markov Model_b (3)'!cycle</f>
        <v>1.486716056314151</v>
      </c>
      <c r="Z314" s="80"/>
      <c r="AA314" s="3"/>
      <c r="AB314" s="3"/>
      <c r="AC314" s="14">
        <v>302</v>
      </c>
      <c r="AD314" s="14"/>
      <c r="AE314" s="14"/>
      <c r="AF314" s="297"/>
      <c r="AG314" s="297"/>
      <c r="AH314" s="297"/>
      <c r="AI314" s="14"/>
      <c r="AJ314" s="14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</row>
    <row r="315" spans="1:47" ht="14.25" customHeight="1" x14ac:dyDescent="0.2">
      <c r="A315" s="3"/>
      <c r="B315" s="417"/>
      <c r="C315" s="173">
        <v>305</v>
      </c>
      <c r="D315" s="165"/>
      <c r="E315" s="174">
        <v>2.207948700298995E-2</v>
      </c>
      <c r="F315" s="502"/>
      <c r="G315" s="219">
        <f t="shared" si="33"/>
        <v>4.3379047512662652</v>
      </c>
      <c r="H315" s="176">
        <f t="shared" si="34"/>
        <v>95.662095248733735</v>
      </c>
      <c r="I315" s="516">
        <f t="shared" si="39"/>
        <v>100</v>
      </c>
      <c r="J315" s="153">
        <f>(G315*0)/(1+cDR)^'Markov Model_b (3)'!cycle</f>
        <v>0</v>
      </c>
      <c r="K315" s="178">
        <f t="shared" si="35"/>
        <v>4.3379047512662652</v>
      </c>
      <c r="L315" s="202">
        <f>(G315*(uPostT))/(1+oDR)^'Markov Model_b (3)'!cycle</f>
        <v>1.5394206572602356</v>
      </c>
      <c r="M315" s="80"/>
      <c r="N315" s="3"/>
      <c r="O315" s="80"/>
      <c r="P315" s="173">
        <v>305</v>
      </c>
      <c r="Q315" s="165"/>
      <c r="R315" s="174">
        <v>2.207948704741388E-2</v>
      </c>
      <c r="S315" s="502"/>
      <c r="T315" s="219">
        <f t="shared" si="40"/>
        <v>4.0866731866640436</v>
      </c>
      <c r="U315" s="249">
        <f t="shared" si="36"/>
        <v>95.913326813335956</v>
      </c>
      <c r="V315" s="516">
        <f t="shared" si="37"/>
        <v>100</v>
      </c>
      <c r="W315" s="153">
        <f>(T315*0)/(1+cDR)^'Markov Model_b (3)'!cycle2</f>
        <v>0</v>
      </c>
      <c r="X315" s="178">
        <f t="shared" si="38"/>
        <v>4.0866731866640436</v>
      </c>
      <c r="Y315" s="202">
        <f>(T315*(uPostT))/(1+oDR)^'Markov Model_b (3)'!cycle</f>
        <v>1.4502644672374894</v>
      </c>
      <c r="Z315" s="80"/>
      <c r="AA315" s="3"/>
      <c r="AB315" s="3"/>
      <c r="AC315" s="14">
        <v>303</v>
      </c>
      <c r="AD315" s="14"/>
      <c r="AE315" s="14"/>
      <c r="AF315" s="297"/>
      <c r="AG315" s="297"/>
      <c r="AH315" s="297"/>
      <c r="AI315" s="14"/>
      <c r="AJ315" s="14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</row>
    <row r="316" spans="1:47" ht="14.25" customHeight="1" x14ac:dyDescent="0.2">
      <c r="A316" s="3"/>
      <c r="B316" s="417"/>
      <c r="C316" s="173">
        <v>306</v>
      </c>
      <c r="D316" s="165"/>
      <c r="E316" s="174">
        <v>2.2277352897365332E-2</v>
      </c>
      <c r="F316" s="502"/>
      <c r="G316" s="219">
        <f t="shared" si="33"/>
        <v>4.2412677162871546</v>
      </c>
      <c r="H316" s="176">
        <f t="shared" si="34"/>
        <v>95.758732283712845</v>
      </c>
      <c r="I316" s="516">
        <f t="shared" si="39"/>
        <v>100</v>
      </c>
      <c r="J316" s="153">
        <f>(G316*0)/(1+cDR)^'Markov Model_b (3)'!cycle</f>
        <v>0</v>
      </c>
      <c r="K316" s="178">
        <f t="shared" si="35"/>
        <v>4.2412677162871546</v>
      </c>
      <c r="L316" s="202">
        <f>(G316*(uPostT))/(1+oDR)^'Markov Model_b (3)'!cycle</f>
        <v>1.5013730075022016</v>
      </c>
      <c r="M316" s="80"/>
      <c r="N316" s="3"/>
      <c r="O316" s="80"/>
      <c r="P316" s="173">
        <v>306</v>
      </c>
      <c r="Q316" s="165"/>
      <c r="R316" s="174">
        <v>2.2277352948409261E-2</v>
      </c>
      <c r="S316" s="502"/>
      <c r="T316" s="219">
        <f t="shared" si="40"/>
        <v>3.9956329256999226</v>
      </c>
      <c r="U316" s="249">
        <f t="shared" si="36"/>
        <v>96.004367074300077</v>
      </c>
      <c r="V316" s="516">
        <f t="shared" si="37"/>
        <v>100</v>
      </c>
      <c r="W316" s="153">
        <f>(T316*0)/(1+cDR)^'Markov Model_b (3)'!cycle2</f>
        <v>0</v>
      </c>
      <c r="X316" s="178">
        <f t="shared" si="38"/>
        <v>3.9956329256999226</v>
      </c>
      <c r="Y316" s="202">
        <f>(T316*(uPostT))/(1+oDR)^'Markov Model_b (3)'!cycle</f>
        <v>1.4144203629249881</v>
      </c>
      <c r="Z316" s="80"/>
      <c r="AA316" s="3"/>
      <c r="AB316" s="3"/>
      <c r="AC316" s="14">
        <v>304</v>
      </c>
      <c r="AD316" s="14"/>
      <c r="AE316" s="14"/>
      <c r="AF316" s="297"/>
      <c r="AG316" s="297"/>
      <c r="AH316" s="297"/>
      <c r="AI316" s="14"/>
      <c r="AJ316" s="14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</row>
    <row r="317" spans="1:47" ht="14.25" customHeight="1" x14ac:dyDescent="0.2">
      <c r="A317" s="3"/>
      <c r="B317" s="417"/>
      <c r="C317" s="173">
        <v>307</v>
      </c>
      <c r="D317" s="165"/>
      <c r="E317" s="174">
        <v>2.2477212715478912E-2</v>
      </c>
      <c r="F317" s="502"/>
      <c r="G317" s="219">
        <f t="shared" si="33"/>
        <v>4.1459358396448778</v>
      </c>
      <c r="H317" s="176">
        <f t="shared" si="34"/>
        <v>95.854064160355122</v>
      </c>
      <c r="I317" s="516">
        <f t="shared" si="39"/>
        <v>100</v>
      </c>
      <c r="J317" s="153">
        <f>(G317*0)/(1+cDR)^'Markov Model_b (3)'!cycle</f>
        <v>0</v>
      </c>
      <c r="K317" s="178">
        <f t="shared" si="35"/>
        <v>4.1459358396448778</v>
      </c>
      <c r="L317" s="202">
        <f>(G317*(uPostT))/(1+oDR)^'Markov Model_b (3)'!cycle</f>
        <v>1.4639664110197481</v>
      </c>
      <c r="M317" s="80"/>
      <c r="N317" s="3"/>
      <c r="O317" s="80"/>
      <c r="P317" s="173">
        <v>307</v>
      </c>
      <c r="Q317" s="165"/>
      <c r="R317" s="174">
        <v>2.24772127713899E-2</v>
      </c>
      <c r="S317" s="502"/>
      <c r="T317" s="219">
        <f t="shared" si="40"/>
        <v>3.9058222342725912</v>
      </c>
      <c r="U317" s="249">
        <f t="shared" si="36"/>
        <v>96.094177765727409</v>
      </c>
      <c r="V317" s="516">
        <f t="shared" si="37"/>
        <v>100</v>
      </c>
      <c r="W317" s="153">
        <f>(T317*0)/(1+cDR)^'Markov Model_b (3)'!cycle2</f>
        <v>0</v>
      </c>
      <c r="X317" s="178">
        <f t="shared" si="38"/>
        <v>3.9058222342725912</v>
      </c>
      <c r="Y317" s="202">
        <f>(T317*(uPostT))/(1+oDR)^'Markov Model_b (3)'!cycle</f>
        <v>1.3791801850167937</v>
      </c>
      <c r="Z317" s="80"/>
      <c r="AA317" s="3"/>
      <c r="AB317" s="3"/>
      <c r="AC317" s="14">
        <v>305</v>
      </c>
      <c r="AD317" s="14"/>
      <c r="AE317" s="14"/>
      <c r="AF317" s="297"/>
      <c r="AG317" s="297"/>
      <c r="AH317" s="297"/>
      <c r="AI317" s="14"/>
      <c r="AJ317" s="14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</row>
    <row r="318" spans="1:47" ht="14.25" customHeight="1" x14ac:dyDescent="0.2">
      <c r="A318" s="3"/>
      <c r="B318" s="417"/>
      <c r="C318" s="173">
        <v>308</v>
      </c>
      <c r="D318" s="165"/>
      <c r="E318" s="174">
        <v>2.2679102746451598E-2</v>
      </c>
      <c r="F318" s="502"/>
      <c r="G318" s="219">
        <f t="shared" si="33"/>
        <v>4.0519097347573734</v>
      </c>
      <c r="H318" s="176">
        <f t="shared" si="34"/>
        <v>95.948090265242627</v>
      </c>
      <c r="I318" s="516">
        <f t="shared" si="39"/>
        <v>100</v>
      </c>
      <c r="J318" s="153">
        <f>(G318*0)/(1+cDR)^'Markov Model_b (3)'!cycle</f>
        <v>0</v>
      </c>
      <c r="K318" s="178">
        <f t="shared" si="35"/>
        <v>4.0519097347573734</v>
      </c>
      <c r="L318" s="202">
        <f>(G318*(uPostT))/(1+oDR)^'Markov Model_b (3)'!cycle</f>
        <v>1.4271969739320463</v>
      </c>
      <c r="M318" s="80"/>
      <c r="N318" s="3"/>
      <c r="O318" s="80"/>
      <c r="P318" s="173">
        <v>308</v>
      </c>
      <c r="Q318" s="165"/>
      <c r="R318" s="174">
        <v>2.2679102805444138E-2</v>
      </c>
      <c r="S318" s="502"/>
      <c r="T318" s="219">
        <f t="shared" si="40"/>
        <v>3.8172416902817332</v>
      </c>
      <c r="U318" s="249">
        <f t="shared" si="36"/>
        <v>96.182758309718267</v>
      </c>
      <c r="V318" s="516">
        <f t="shared" si="37"/>
        <v>100</v>
      </c>
      <c r="W318" s="153">
        <f>(T318*0)/(1+cDR)^'Markov Model_b (3)'!cycle2</f>
        <v>0</v>
      </c>
      <c r="X318" s="178">
        <f t="shared" si="38"/>
        <v>3.8172416902817332</v>
      </c>
      <c r="Y318" s="202">
        <f>(T318*(uPostT))/(1+oDR)^'Markov Model_b (3)'!cycle</f>
        <v>1.3445402651506897</v>
      </c>
      <c r="Z318" s="80"/>
      <c r="AA318" s="3"/>
      <c r="AB318" s="3"/>
      <c r="AC318" s="14">
        <v>306</v>
      </c>
      <c r="AD318" s="14"/>
      <c r="AE318" s="14"/>
      <c r="AF318" s="297"/>
      <c r="AG318" s="297"/>
      <c r="AH318" s="297"/>
      <c r="AI318" s="14"/>
      <c r="AJ318" s="14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</row>
    <row r="319" spans="1:47" ht="14.25" customHeight="1" x14ac:dyDescent="0.2">
      <c r="A319" s="3"/>
      <c r="B319" s="417"/>
      <c r="C319" s="173">
        <v>309</v>
      </c>
      <c r="D319" s="165"/>
      <c r="E319" s="174">
        <v>2.2883339706419946E-2</v>
      </c>
      <c r="F319" s="502"/>
      <c r="G319" s="219">
        <f t="shared" si="33"/>
        <v>3.9591885078371689</v>
      </c>
      <c r="H319" s="176">
        <f t="shared" si="34"/>
        <v>96.040811492162831</v>
      </c>
      <c r="I319" s="516">
        <f t="shared" si="39"/>
        <v>100</v>
      </c>
      <c r="J319" s="153">
        <f>(G319*0)/(1+cDR)^'Markov Model_b (3)'!cycle</f>
        <v>0</v>
      </c>
      <c r="K319" s="178">
        <f t="shared" si="35"/>
        <v>3.9591885078371689</v>
      </c>
      <c r="L319" s="202">
        <f>(G319*(uPostT))/(1+oDR)^'Markov Model_b (3)'!cycle</f>
        <v>1.3910602900245228</v>
      </c>
      <c r="M319" s="80"/>
      <c r="N319" s="3"/>
      <c r="O319" s="80"/>
      <c r="P319" s="173">
        <v>309</v>
      </c>
      <c r="Q319" s="165"/>
      <c r="R319" s="174">
        <v>2.2883339767172151E-2</v>
      </c>
      <c r="S319" s="502"/>
      <c r="T319" s="219">
        <f t="shared" si="40"/>
        <v>3.7298904517096076</v>
      </c>
      <c r="U319" s="249">
        <f t="shared" si="36"/>
        <v>96.270109548290392</v>
      </c>
      <c r="V319" s="516">
        <f t="shared" si="37"/>
        <v>100</v>
      </c>
      <c r="W319" s="153">
        <f>(T319*0)/(1+cDR)^'Markov Model_b (3)'!cycle2</f>
        <v>0</v>
      </c>
      <c r="X319" s="178">
        <f t="shared" si="38"/>
        <v>3.7298904517096076</v>
      </c>
      <c r="Y319" s="202">
        <f>(T319*(uPostT))/(1+oDR)^'Markov Model_b (3)'!cycle</f>
        <v>1.3104964523018501</v>
      </c>
      <c r="Z319" s="80"/>
      <c r="AA319" s="3"/>
      <c r="AB319" s="3"/>
      <c r="AC319" s="14">
        <v>307</v>
      </c>
      <c r="AD319" s="14"/>
      <c r="AE319" s="14"/>
      <c r="AF319" s="297"/>
      <c r="AG319" s="297"/>
      <c r="AH319" s="297"/>
      <c r="AI319" s="14"/>
      <c r="AJ319" s="14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</row>
    <row r="320" spans="1:47" ht="14.25" customHeight="1" x14ac:dyDescent="0.2">
      <c r="A320" s="3"/>
      <c r="B320" s="417"/>
      <c r="C320" s="173">
        <v>310</v>
      </c>
      <c r="D320" s="165"/>
      <c r="E320" s="174">
        <v>2.3089989112864851E-2</v>
      </c>
      <c r="F320" s="502"/>
      <c r="G320" s="219">
        <f t="shared" si="33"/>
        <v>3.8677708882954249</v>
      </c>
      <c r="H320" s="176">
        <f t="shared" si="34"/>
        <v>96.132229111704575</v>
      </c>
      <c r="I320" s="516">
        <f t="shared" si="39"/>
        <v>100</v>
      </c>
      <c r="J320" s="153">
        <f>(G320*0)/(1+cDR)^'Markov Model_b (3)'!cycle</f>
        <v>0</v>
      </c>
      <c r="K320" s="178">
        <f t="shared" si="35"/>
        <v>3.8677708882954249</v>
      </c>
      <c r="L320" s="202">
        <f>(G320*(uPostT))/(1+oDR)^'Markov Model_b (3)'!cycle</f>
        <v>1.3555518434638574</v>
      </c>
      <c r="M320" s="80"/>
      <c r="N320" s="3"/>
      <c r="O320" s="80"/>
      <c r="P320" s="173">
        <v>310</v>
      </c>
      <c r="Q320" s="165"/>
      <c r="R320" s="174">
        <v>2.3089989174078455E-2</v>
      </c>
      <c r="S320" s="502"/>
      <c r="T320" s="219">
        <f t="shared" si="40"/>
        <v>3.6437673215591388</v>
      </c>
      <c r="U320" s="249">
        <f t="shared" si="36"/>
        <v>96.356232678440861</v>
      </c>
      <c r="V320" s="516">
        <f t="shared" si="37"/>
        <v>100</v>
      </c>
      <c r="W320" s="153">
        <f>(T320*0)/(1+cDR)^'Markov Model_b (3)'!cycle2</f>
        <v>0</v>
      </c>
      <c r="X320" s="178">
        <f t="shared" si="38"/>
        <v>3.6437673215591388</v>
      </c>
      <c r="Y320" s="202">
        <f>(T320*(uPostT))/(1+oDR)^'Markov Model_b (3)'!cycle</f>
        <v>1.2770444921750965</v>
      </c>
      <c r="Z320" s="80"/>
      <c r="AA320" s="3"/>
      <c r="AB320" s="3"/>
      <c r="AC320" s="14">
        <v>308</v>
      </c>
      <c r="AD320" s="14"/>
      <c r="AE320" s="14"/>
      <c r="AF320" s="297"/>
      <c r="AG320" s="297"/>
      <c r="AH320" s="297"/>
      <c r="AI320" s="14"/>
      <c r="AJ320" s="14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</row>
    <row r="321" spans="1:47" ht="14.25" customHeight="1" x14ac:dyDescent="0.2">
      <c r="A321" s="3"/>
      <c r="B321" s="417"/>
      <c r="C321" s="173">
        <v>311</v>
      </c>
      <c r="D321" s="165"/>
      <c r="E321" s="174">
        <v>2.3299022965615781E-2</v>
      </c>
      <c r="F321" s="502"/>
      <c r="G321" s="219">
        <f t="shared" si="33"/>
        <v>3.7776556055432877</v>
      </c>
      <c r="H321" s="176">
        <f t="shared" si="34"/>
        <v>96.222344394456712</v>
      </c>
      <c r="I321" s="516">
        <f t="shared" si="39"/>
        <v>100</v>
      </c>
      <c r="J321" s="153">
        <f>(G321*0)/(1+cDR)^'Markov Model_b (3)'!cycle</f>
        <v>0</v>
      </c>
      <c r="K321" s="178">
        <f t="shared" si="35"/>
        <v>3.7776556055432877</v>
      </c>
      <c r="L321" s="202">
        <f>(G321*(uPostT))/(1+oDR)^'Markov Model_b (3)'!cycle</f>
        <v>1.3206671420767175</v>
      </c>
      <c r="M321" s="80"/>
      <c r="N321" s="3"/>
      <c r="O321" s="80"/>
      <c r="P321" s="173">
        <v>311</v>
      </c>
      <c r="Q321" s="165"/>
      <c r="R321" s="174">
        <v>2.32990230258572E-2</v>
      </c>
      <c r="S321" s="502"/>
      <c r="T321" s="219">
        <f t="shared" si="40"/>
        <v>3.5588711028332654</v>
      </c>
      <c r="U321" s="249">
        <f t="shared" si="36"/>
        <v>96.441128897166735</v>
      </c>
      <c r="V321" s="516">
        <f t="shared" si="37"/>
        <v>100</v>
      </c>
      <c r="W321" s="153">
        <f>(T321*0)/(1+cDR)^'Markov Model_b (3)'!cycle2</f>
        <v>0</v>
      </c>
      <c r="X321" s="178">
        <f t="shared" si="38"/>
        <v>3.5588711028332654</v>
      </c>
      <c r="Y321" s="202">
        <f>(T321*(uPostT))/(1+oDR)^'Markov Model_b (3)'!cycle</f>
        <v>1.2441801527649521</v>
      </c>
      <c r="Z321" s="80"/>
      <c r="AA321" s="3"/>
      <c r="AB321" s="3"/>
      <c r="AC321" s="14">
        <v>309</v>
      </c>
      <c r="AD321" s="14"/>
      <c r="AE321" s="14"/>
      <c r="AF321" s="297"/>
      <c r="AG321" s="297"/>
      <c r="AH321" s="297"/>
      <c r="AI321" s="14"/>
      <c r="AJ321" s="14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</row>
    <row r="322" spans="1:47" ht="14.25" customHeight="1" x14ac:dyDescent="0.2">
      <c r="A322" s="3"/>
      <c r="B322" s="417"/>
      <c r="C322" s="173">
        <v>312</v>
      </c>
      <c r="D322" s="165"/>
      <c r="E322" s="174">
        <v>2.3510456698316966E-2</v>
      </c>
      <c r="F322" s="502"/>
      <c r="G322" s="219">
        <f t="shared" si="33"/>
        <v>3.6888411970080028</v>
      </c>
      <c r="H322" s="176">
        <f t="shared" si="34"/>
        <v>96.311158802991997</v>
      </c>
      <c r="I322" s="516">
        <f t="shared" si="39"/>
        <v>100</v>
      </c>
      <c r="J322" s="153">
        <f>(G322*0)/(1+cDR)^'Markov Model_b (3)'!cycle</f>
        <v>0</v>
      </c>
      <c r="K322" s="178">
        <f t="shared" si="35"/>
        <v>3.6888411970080028</v>
      </c>
      <c r="L322" s="202">
        <f>(G322*(uPostT))/(1+oDR)^'Markov Model_b (3)'!cycle</f>
        <v>1.2864016502942954</v>
      </c>
      <c r="M322" s="80"/>
      <c r="N322" s="3"/>
      <c r="O322" s="80"/>
      <c r="P322" s="173">
        <v>312</v>
      </c>
      <c r="Q322" s="165"/>
      <c r="R322" s="174">
        <v>2.3510456756212304E-2</v>
      </c>
      <c r="S322" s="502"/>
      <c r="T322" s="219">
        <f t="shared" si="40"/>
        <v>3.4752004176691713</v>
      </c>
      <c r="U322" s="249">
        <f t="shared" si="36"/>
        <v>96.524799582330829</v>
      </c>
      <c r="V322" s="516">
        <f t="shared" si="37"/>
        <v>100</v>
      </c>
      <c r="W322" s="153">
        <f>(T322*0)/(1+cDR)^'Markov Model_b (3)'!cycle2</f>
        <v>0</v>
      </c>
      <c r="X322" s="178">
        <f t="shared" si="38"/>
        <v>3.4752004176691713</v>
      </c>
      <c r="Y322" s="202">
        <f>(T322*(uPostT))/(1+oDR)^'Markov Model_b (3)'!cycle</f>
        <v>1.2118991611834755</v>
      </c>
      <c r="Z322" s="80"/>
      <c r="AA322" s="3"/>
      <c r="AB322" s="3"/>
      <c r="AC322" s="14">
        <v>310</v>
      </c>
      <c r="AD322" s="14"/>
      <c r="AE322" s="14"/>
      <c r="AF322" s="297"/>
      <c r="AG322" s="297"/>
      <c r="AH322" s="297"/>
      <c r="AI322" s="14"/>
      <c r="AJ322" s="14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</row>
    <row r="323" spans="1:47" ht="14.25" customHeight="1" x14ac:dyDescent="0.2">
      <c r="A323" s="3"/>
      <c r="B323" s="417"/>
      <c r="C323" s="173">
        <v>313</v>
      </c>
      <c r="D323" s="504"/>
      <c r="E323" s="174">
        <v>2.3724459837865582E-2</v>
      </c>
      <c r="F323" s="505"/>
      <c r="G323" s="219">
        <f t="shared" si="33"/>
        <v>3.6013254321813264</v>
      </c>
      <c r="H323" s="176">
        <f t="shared" si="34"/>
        <v>96.398674567818674</v>
      </c>
      <c r="I323" s="516">
        <f t="shared" si="39"/>
        <v>100</v>
      </c>
      <c r="J323" s="180">
        <f>(G323*0)/(1+cDR)^'Markov Model_b (3)'!cycle</f>
        <v>0</v>
      </c>
      <c r="K323" s="176">
        <f t="shared" si="35"/>
        <v>3.6013254321813264</v>
      </c>
      <c r="L323" s="202">
        <f>(G323*(uPostT))/(1+oDR)^'Markov Model_b (3)'!cycle</f>
        <v>1.2527505895326942</v>
      </c>
      <c r="M323" s="80"/>
      <c r="N323" s="3"/>
      <c r="O323" s="80"/>
      <c r="P323" s="173">
        <v>313</v>
      </c>
      <c r="Q323" s="504"/>
      <c r="R323" s="174">
        <v>2.3724459892687334E-2</v>
      </c>
      <c r="S323" s="505"/>
      <c r="T323" s="219">
        <f t="shared" si="40"/>
        <v>3.3927531647411229</v>
      </c>
      <c r="U323" s="249">
        <f t="shared" si="36"/>
        <v>96.607246835258877</v>
      </c>
      <c r="V323" s="516">
        <f t="shared" si="37"/>
        <v>100</v>
      </c>
      <c r="W323" s="180">
        <f>(T323*0)/(1+cDR)^'Markov Model_b (3)'!cycle2</f>
        <v>0</v>
      </c>
      <c r="X323" s="176">
        <f t="shared" si="38"/>
        <v>3.3927531647411229</v>
      </c>
      <c r="Y323" s="202">
        <f>(T323*(uPostT))/(1+oDR)^'Markov Model_b (3)'!cycle</f>
        <v>1.1801970156009922</v>
      </c>
      <c r="Z323" s="80"/>
      <c r="AA323" s="3"/>
      <c r="AB323" s="3"/>
      <c r="AC323" s="14">
        <v>311</v>
      </c>
      <c r="AD323" s="14"/>
      <c r="AE323" s="14"/>
      <c r="AF323" s="297"/>
      <c r="AG323" s="297"/>
      <c r="AH323" s="297"/>
      <c r="AI323" s="14"/>
      <c r="AJ323" s="14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</row>
    <row r="324" spans="1:47" ht="14.25" customHeight="1" x14ac:dyDescent="0.25">
      <c r="A324" s="3">
        <v>28</v>
      </c>
      <c r="B324" s="417"/>
      <c r="C324" s="506">
        <v>314</v>
      </c>
      <c r="D324" s="506"/>
      <c r="E324" s="507">
        <v>2.3941058711265818E-2</v>
      </c>
      <c r="F324" s="508"/>
      <c r="G324" s="509">
        <f t="shared" si="33"/>
        <v>3.5151058885710995</v>
      </c>
      <c r="H324" s="176">
        <f t="shared" si="34"/>
        <v>96.4848941114289</v>
      </c>
      <c r="I324" s="518">
        <f t="shared" si="39"/>
        <v>100</v>
      </c>
      <c r="J324" s="511">
        <f>(G324*0)/(1+cDR)^'Markov Model_b (3)'!cycle</f>
        <v>0</v>
      </c>
      <c r="K324" s="512">
        <f t="shared" si="35"/>
        <v>3.5151058885710995</v>
      </c>
      <c r="L324" s="513">
        <f>(G324*(uPostT))/(1+oDR)^'Markov Model_b (3)'!cycle</f>
        <v>1.219709141264957</v>
      </c>
      <c r="M324" s="80"/>
      <c r="N324" s="3"/>
      <c r="O324" s="80"/>
      <c r="P324" s="506">
        <v>314</v>
      </c>
      <c r="Q324" s="506"/>
      <c r="R324" s="507">
        <v>2.3941058762411694E-2</v>
      </c>
      <c r="S324" s="508"/>
      <c r="T324" s="509">
        <f t="shared" si="40"/>
        <v>3.3115270618577028</v>
      </c>
      <c r="U324" s="249">
        <f t="shared" si="36"/>
        <v>96.688472938142297</v>
      </c>
      <c r="V324" s="518">
        <f t="shared" si="37"/>
        <v>100</v>
      </c>
      <c r="W324" s="511">
        <f>(T324*0)/(1+cDR)^'Markov Model_b (3)'!cycle2</f>
        <v>0</v>
      </c>
      <c r="X324" s="512">
        <f t="shared" si="38"/>
        <v>3.3115270618577028</v>
      </c>
      <c r="Y324" s="513">
        <f>(T324*(uPostT))/(1+oDR)^'Markov Model_b (3)'!cycle</f>
        <v>1.1490691765578731</v>
      </c>
      <c r="Z324" s="80"/>
      <c r="AA324" s="3"/>
      <c r="AB324" s="3"/>
      <c r="AC324" s="14">
        <v>312</v>
      </c>
      <c r="AD324" s="14"/>
      <c r="AE324" s="14"/>
      <c r="AF324" s="297"/>
      <c r="AG324" s="297"/>
      <c r="AH324" s="297"/>
      <c r="AI324" s="14"/>
      <c r="AJ324" s="14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</row>
    <row r="325" spans="1:47" ht="14.25" customHeight="1" x14ac:dyDescent="0.2">
      <c r="A325" s="3"/>
      <c r="B325" s="417"/>
      <c r="C325" s="173">
        <v>315</v>
      </c>
      <c r="D325" s="165"/>
      <c r="E325" s="174">
        <v>2.416020688756667E-2</v>
      </c>
      <c r="F325" s="502"/>
      <c r="G325" s="219">
        <f t="shared" si="33"/>
        <v>3.4301802030715152</v>
      </c>
      <c r="H325" s="176">
        <f t="shared" si="34"/>
        <v>96.569819796928485</v>
      </c>
      <c r="I325" s="516">
        <f t="shared" si="39"/>
        <v>100</v>
      </c>
      <c r="J325" s="153">
        <f>(G325*0)/(1+cDR)^'Markov Model_b (3)'!cycle</f>
        <v>0</v>
      </c>
      <c r="K325" s="178">
        <f t="shared" si="35"/>
        <v>3.4301802030715152</v>
      </c>
      <c r="L325" s="202">
        <f>(G325*(uPostT))/(1+oDR)^'Markov Model_b (3)'!cycle</f>
        <v>1.187272534732507</v>
      </c>
      <c r="M325" s="80"/>
      <c r="N325" s="3"/>
      <c r="O325" s="80"/>
      <c r="P325" s="173">
        <v>315</v>
      </c>
      <c r="Q325" s="165"/>
      <c r="R325" s="174">
        <v>2.4160206934341202E-2</v>
      </c>
      <c r="S325" s="502"/>
      <c r="T325" s="219">
        <f t="shared" si="40"/>
        <v>3.231519882774549</v>
      </c>
      <c r="U325" s="249">
        <f t="shared" si="36"/>
        <v>96.768480117225451</v>
      </c>
      <c r="V325" s="516">
        <f t="shared" si="37"/>
        <v>100</v>
      </c>
      <c r="W325" s="153">
        <f>(T325*0)/(1+cDR)^'Markov Model_b (3)'!cycle2</f>
        <v>0</v>
      </c>
      <c r="X325" s="178">
        <f t="shared" si="38"/>
        <v>3.231519882774549</v>
      </c>
      <c r="Y325" s="202">
        <f>(T325*(uPostT))/(1+oDR)^'Markov Model_b (3)'!cycle</f>
        <v>1.1185111495963707</v>
      </c>
      <c r="Z325" s="80"/>
      <c r="AA325" s="3"/>
      <c r="AB325" s="3"/>
      <c r="AC325" s="14">
        <v>313</v>
      </c>
      <c r="AD325" s="14"/>
      <c r="AE325" s="14"/>
      <c r="AF325" s="297"/>
      <c r="AG325" s="297"/>
      <c r="AH325" s="297"/>
      <c r="AI325" s="14"/>
      <c r="AJ325" s="14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</row>
    <row r="326" spans="1:47" ht="14.25" customHeight="1" x14ac:dyDescent="0.2">
      <c r="A326" s="3"/>
      <c r="B326" s="417"/>
      <c r="C326" s="173">
        <v>316</v>
      </c>
      <c r="D326" s="165"/>
      <c r="E326" s="174">
        <v>2.4381795706962417E-2</v>
      </c>
      <c r="F326" s="502"/>
      <c r="G326" s="219">
        <f t="shared" si="33"/>
        <v>3.3465462501221594</v>
      </c>
      <c r="H326" s="176">
        <f t="shared" si="34"/>
        <v>96.653453749877841</v>
      </c>
      <c r="I326" s="516">
        <f t="shared" si="39"/>
        <v>100</v>
      </c>
      <c r="J326" s="153">
        <f>(G326*0)/(1+cDR)^'Markov Model_b (3)'!cycle</f>
        <v>0</v>
      </c>
      <c r="K326" s="178">
        <f t="shared" si="35"/>
        <v>3.3465462501221594</v>
      </c>
      <c r="L326" s="202">
        <f>(G326*(uPostT))/(1+oDR)^'Markov Model_b (3)'!cycle</f>
        <v>1.1554361080719924</v>
      </c>
      <c r="M326" s="80"/>
      <c r="N326" s="3"/>
      <c r="O326" s="80"/>
      <c r="P326" s="173">
        <v>316</v>
      </c>
      <c r="Q326" s="165"/>
      <c r="R326" s="174">
        <v>2.438179574846568E-2</v>
      </c>
      <c r="S326" s="502"/>
      <c r="T326" s="219">
        <f t="shared" si="40"/>
        <v>3.1527296250356329</v>
      </c>
      <c r="U326" s="249">
        <f t="shared" si="36"/>
        <v>96.847270374964367</v>
      </c>
      <c r="V326" s="516">
        <f t="shared" si="37"/>
        <v>100</v>
      </c>
      <c r="W326" s="153">
        <f>(T326*0)/(1+cDR)^'Markov Model_b (3)'!cycle2</f>
        <v>0</v>
      </c>
      <c r="X326" s="178">
        <f t="shared" si="38"/>
        <v>3.1527296250356329</v>
      </c>
      <c r="Y326" s="202">
        <f>(T326*(uPostT))/(1+oDR)^'Markov Model_b (3)'!cycle</f>
        <v>1.0885185428474118</v>
      </c>
      <c r="Z326" s="80"/>
      <c r="AA326" s="3"/>
      <c r="AB326" s="3"/>
      <c r="AC326" s="14">
        <v>314</v>
      </c>
      <c r="AD326" s="14"/>
      <c r="AE326" s="14"/>
      <c r="AF326" s="297"/>
      <c r="AG326" s="297"/>
      <c r="AH326" s="297"/>
      <c r="AI326" s="14"/>
      <c r="AJ326" s="14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</row>
    <row r="327" spans="1:47" ht="14.25" customHeight="1" x14ac:dyDescent="0.2">
      <c r="A327" s="3"/>
      <c r="B327" s="417"/>
      <c r="C327" s="173">
        <v>317</v>
      </c>
      <c r="D327" s="165"/>
      <c r="E327" s="174">
        <v>2.4605751846461566E-2</v>
      </c>
      <c r="F327" s="502"/>
      <c r="G327" s="219">
        <f t="shared" si="33"/>
        <v>3.2642019635489419</v>
      </c>
      <c r="H327" s="176">
        <f t="shared" si="34"/>
        <v>96.735798036451058</v>
      </c>
      <c r="I327" s="516">
        <f t="shared" si="39"/>
        <v>100</v>
      </c>
      <c r="J327" s="153">
        <f>(G327*0)/(1+cDR)^'Markov Model_b (3)'!cycle</f>
        <v>0</v>
      </c>
      <c r="K327" s="178">
        <f t="shared" si="35"/>
        <v>3.2642019635489419</v>
      </c>
      <c r="L327" s="202">
        <f>(G327*(uPostT))/(1+oDR)^'Markov Model_b (3)'!cycle</f>
        <v>1.1241952458078097</v>
      </c>
      <c r="M327" s="80"/>
      <c r="N327" s="3"/>
      <c r="O327" s="80"/>
      <c r="P327" s="173">
        <v>317</v>
      </c>
      <c r="Q327" s="165"/>
      <c r="R327" s="174">
        <v>2.4605751881653089E-2</v>
      </c>
      <c r="S327" s="502"/>
      <c r="T327" s="219">
        <f t="shared" si="40"/>
        <v>3.0751543421320662</v>
      </c>
      <c r="U327" s="249">
        <f t="shared" si="36"/>
        <v>96.924845657867934</v>
      </c>
      <c r="V327" s="516">
        <f t="shared" si="37"/>
        <v>100</v>
      </c>
      <c r="W327" s="153">
        <f>(T327*0)/(1+cDR)^'Markov Model_b (3)'!cycle2</f>
        <v>0</v>
      </c>
      <c r="X327" s="178">
        <f t="shared" si="38"/>
        <v>3.0751543421320662</v>
      </c>
      <c r="Y327" s="202">
        <f>(T327*(uPostT))/(1+oDR)^'Markov Model_b (3)'!cycle</f>
        <v>1.0590870081431707</v>
      </c>
      <c r="Z327" s="80"/>
      <c r="AA327" s="3"/>
      <c r="AB327" s="3"/>
      <c r="AC327" s="14">
        <v>315</v>
      </c>
      <c r="AD327" s="14"/>
      <c r="AE327" s="14"/>
      <c r="AF327" s="297"/>
      <c r="AG327" s="297"/>
      <c r="AH327" s="297"/>
      <c r="AI327" s="14"/>
      <c r="AJ327" s="14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</row>
    <row r="328" spans="1:47" ht="14.25" customHeight="1" x14ac:dyDescent="0.2">
      <c r="A328" s="3"/>
      <c r="B328" s="417"/>
      <c r="C328" s="173">
        <v>318</v>
      </c>
      <c r="D328" s="165"/>
      <c r="E328" s="174">
        <v>2.4832007111168487E-2</v>
      </c>
      <c r="F328" s="502"/>
      <c r="G328" s="219">
        <f t="shared" si="33"/>
        <v>3.1831452771778004</v>
      </c>
      <c r="H328" s="176">
        <f t="shared" si="34"/>
        <v>96.8168547228222</v>
      </c>
      <c r="I328" s="516">
        <f t="shared" si="39"/>
        <v>100</v>
      </c>
      <c r="J328" s="153">
        <f>(G328*0)/(1+cDR)^'Markov Model_b (3)'!cycle</f>
        <v>0</v>
      </c>
      <c r="K328" s="178">
        <f t="shared" si="35"/>
        <v>3.1831452771778004</v>
      </c>
      <c r="L328" s="202">
        <f>(G328*(uPostT))/(1+oDR)^'Markov Model_b (3)'!cycle</f>
        <v>1.0935453580743817</v>
      </c>
      <c r="M328" s="80"/>
      <c r="N328" s="3"/>
      <c r="O328" s="80"/>
      <c r="P328" s="173">
        <v>318</v>
      </c>
      <c r="Q328" s="165"/>
      <c r="R328" s="174">
        <v>2.4832007138933201E-2</v>
      </c>
      <c r="S328" s="502"/>
      <c r="T328" s="219">
        <f t="shared" si="40"/>
        <v>2.9987920875549179</v>
      </c>
      <c r="U328" s="249">
        <f t="shared" si="36"/>
        <v>97.001207912445082</v>
      </c>
      <c r="V328" s="516">
        <f t="shared" si="37"/>
        <v>100</v>
      </c>
      <c r="W328" s="153">
        <f>(T328*0)/(1+cDR)^'Markov Model_b (3)'!cycle2</f>
        <v>0</v>
      </c>
      <c r="X328" s="178">
        <f t="shared" si="38"/>
        <v>2.9987920875549179</v>
      </c>
      <c r="Y328" s="202">
        <f>(T328*(uPostT))/(1+oDR)^'Markov Model_b (3)'!cycle</f>
        <v>1.0302122214426008</v>
      </c>
      <c r="Z328" s="80"/>
      <c r="AA328" s="3"/>
      <c r="AB328" s="3"/>
      <c r="AC328" s="14">
        <v>316</v>
      </c>
      <c r="AD328" s="14"/>
      <c r="AE328" s="14"/>
      <c r="AF328" s="297"/>
      <c r="AG328" s="297"/>
      <c r="AH328" s="297"/>
      <c r="AI328" s="14"/>
      <c r="AJ328" s="14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</row>
    <row r="329" spans="1:47" ht="14.25" customHeight="1" x14ac:dyDescent="0.2">
      <c r="A329" s="3"/>
      <c r="B329" s="417"/>
      <c r="C329" s="173">
        <v>319</v>
      </c>
      <c r="D329" s="165"/>
      <c r="E329" s="174">
        <v>2.5060551282243323E-2</v>
      </c>
      <c r="F329" s="502"/>
      <c r="G329" s="219">
        <f t="shared" si="33"/>
        <v>3.1033739017202606</v>
      </c>
      <c r="H329" s="176">
        <f t="shared" si="34"/>
        <v>96.896626098279739</v>
      </c>
      <c r="I329" s="516">
        <f t="shared" si="39"/>
        <v>100</v>
      </c>
      <c r="J329" s="153">
        <f>(G329*0)/(1+cDR)^'Markov Model_b (3)'!cycle</f>
        <v>0</v>
      </c>
      <c r="K329" s="178">
        <f t="shared" si="35"/>
        <v>3.1033739017202606</v>
      </c>
      <c r="L329" s="202">
        <f>(G329*(uPostT))/(1+oDR)^'Markov Model_b (3)'!cycle</f>
        <v>1.0634818040388045</v>
      </c>
      <c r="M329" s="80"/>
      <c r="N329" s="3"/>
      <c r="O329" s="80"/>
      <c r="P329" s="173">
        <v>319</v>
      </c>
      <c r="Q329" s="165"/>
      <c r="R329" s="174">
        <v>2.5060551301502386E-2</v>
      </c>
      <c r="S329" s="502"/>
      <c r="T329" s="219">
        <f t="shared" si="40"/>
        <v>2.9236407046022066</v>
      </c>
      <c r="U329" s="249">
        <f t="shared" si="36"/>
        <v>97.076359295397793</v>
      </c>
      <c r="V329" s="516">
        <f t="shared" si="37"/>
        <v>100</v>
      </c>
      <c r="W329" s="153">
        <f>(T329*0)/(1+cDR)^'Markov Model_b (3)'!cycle2</f>
        <v>0</v>
      </c>
      <c r="X329" s="178">
        <f t="shared" si="38"/>
        <v>2.9236407046022066</v>
      </c>
      <c r="Y329" s="202">
        <f>(T329*(uPostT))/(1+oDR)^'Markov Model_b (3)'!cycle</f>
        <v>1.0018898106889809</v>
      </c>
      <c r="Z329" s="80"/>
      <c r="AA329" s="3"/>
      <c r="AB329" s="3"/>
      <c r="AC329" s="14">
        <v>317</v>
      </c>
      <c r="AD329" s="14"/>
      <c r="AE329" s="14"/>
      <c r="AF329" s="3"/>
      <c r="AG329" s="3"/>
      <c r="AH329" s="3"/>
      <c r="AI329" s="14"/>
      <c r="AJ329" s="14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</row>
    <row r="330" spans="1:47" ht="14.25" customHeight="1" x14ac:dyDescent="0.2">
      <c r="A330" s="3"/>
      <c r="B330" s="417"/>
      <c r="C330" s="173">
        <v>320</v>
      </c>
      <c r="D330" s="165"/>
      <c r="E330" s="174">
        <v>2.5291585473033864E-2</v>
      </c>
      <c r="F330" s="502"/>
      <c r="G330" s="219">
        <f t="shared" si="33"/>
        <v>3.0248846554301139</v>
      </c>
      <c r="H330" s="176">
        <f t="shared" si="34"/>
        <v>96.975115344569886</v>
      </c>
      <c r="I330" s="516">
        <f t="shared" si="39"/>
        <v>100</v>
      </c>
      <c r="J330" s="153">
        <f>(G330*0)/(1+cDR)^'Markov Model_b (3)'!cycle</f>
        <v>0</v>
      </c>
      <c r="K330" s="178">
        <f t="shared" si="35"/>
        <v>3.0248846554301139</v>
      </c>
      <c r="L330" s="202">
        <f>(G330*(uPostT))/(1+oDR)^'Markov Model_b (3)'!cycle</f>
        <v>1.0339996639331055</v>
      </c>
      <c r="M330" s="80"/>
      <c r="N330" s="3"/>
      <c r="O330" s="80"/>
      <c r="P330" s="173">
        <v>320</v>
      </c>
      <c r="Q330" s="165"/>
      <c r="R330" s="174">
        <v>2.5291585483188547E-2</v>
      </c>
      <c r="S330" s="502"/>
      <c r="T330" s="219">
        <f t="shared" si="40"/>
        <v>2.8496971957996351</v>
      </c>
      <c r="U330" s="249">
        <f t="shared" si="36"/>
        <v>97.150302804200365</v>
      </c>
      <c r="V330" s="516">
        <f t="shared" si="37"/>
        <v>100</v>
      </c>
      <c r="W330" s="153">
        <f>(T330*0)/(1+cDR)^'Markov Model_b (3)'!cycle2</f>
        <v>0</v>
      </c>
      <c r="X330" s="178">
        <f t="shared" si="38"/>
        <v>2.8496971957996351</v>
      </c>
      <c r="Y330" s="202">
        <f>(T330*(uPostT))/(1+oDR)^'Markov Model_b (3)'!cycle</f>
        <v>0.97411514104459473</v>
      </c>
      <c r="Z330" s="80"/>
      <c r="AA330" s="3"/>
      <c r="AB330" s="3"/>
      <c r="AC330" s="14">
        <v>318</v>
      </c>
      <c r="AD330" s="14"/>
      <c r="AE330" s="14"/>
      <c r="AF330" s="3"/>
      <c r="AG330" s="3"/>
      <c r="AH330" s="3"/>
      <c r="AI330" s="14"/>
      <c r="AJ330" s="14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</row>
    <row r="331" spans="1:47" ht="14.25" customHeight="1" x14ac:dyDescent="0.2">
      <c r="A331" s="3"/>
      <c r="B331" s="417"/>
      <c r="C331" s="173">
        <v>321</v>
      </c>
      <c r="D331" s="165"/>
      <c r="E331" s="174">
        <v>2.5525112782311329E-2</v>
      </c>
      <c r="F331" s="502"/>
      <c r="G331" s="219">
        <f t="shared" si="33"/>
        <v>2.9476741334467818</v>
      </c>
      <c r="H331" s="176">
        <f t="shared" si="34"/>
        <v>97.052325866553218</v>
      </c>
      <c r="I331" s="516">
        <f t="shared" si="39"/>
        <v>100</v>
      </c>
      <c r="J331" s="153">
        <f>(G331*0)/(1+cDR)^'Markov Model_b (3)'!cycle</f>
        <v>0</v>
      </c>
      <c r="K331" s="178">
        <f t="shared" si="35"/>
        <v>2.9476741334467818</v>
      </c>
      <c r="L331" s="202">
        <f>(G331*(uPostT))/(1+oDR)^'Markov Model_b (3)'!cycle</f>
        <v>1.0050939709669251</v>
      </c>
      <c r="M331" s="80"/>
      <c r="N331" s="3"/>
      <c r="O331" s="80"/>
      <c r="P331" s="173">
        <v>321</v>
      </c>
      <c r="Q331" s="165"/>
      <c r="R331" s="174">
        <v>2.5525112782879718E-2</v>
      </c>
      <c r="S331" s="502"/>
      <c r="T331" s="219">
        <f t="shared" si="40"/>
        <v>2.7769583534797988</v>
      </c>
      <c r="U331" s="249">
        <f t="shared" si="36"/>
        <v>97.223041646520201</v>
      </c>
      <c r="V331" s="516">
        <f t="shared" si="37"/>
        <v>100</v>
      </c>
      <c r="W331" s="153">
        <f>(T331*0)/(1+cDR)^'Markov Model_b (3)'!cycle2</f>
        <v>0</v>
      </c>
      <c r="X331" s="178">
        <f t="shared" si="38"/>
        <v>2.7769583534797988</v>
      </c>
      <c r="Y331" s="202">
        <f>(T331*(uPostT))/(1+oDR)^'Markov Model_b (3)'!cycle</f>
        <v>0.9468835333724912</v>
      </c>
      <c r="Z331" s="80"/>
      <c r="AA331" s="3"/>
      <c r="AB331" s="3"/>
      <c r="AC331" s="14">
        <v>319</v>
      </c>
      <c r="AD331" s="14"/>
      <c r="AE331" s="14"/>
      <c r="AF331" s="3"/>
      <c r="AG331" s="3"/>
      <c r="AH331" s="3"/>
      <c r="AI331" s="14"/>
      <c r="AJ331" s="14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</row>
    <row r="332" spans="1:47" ht="14.25" customHeight="1" x14ac:dyDescent="0.2">
      <c r="A332" s="3"/>
      <c r="B332" s="417"/>
      <c r="C332" s="173">
        <v>322</v>
      </c>
      <c r="D332" s="165"/>
      <c r="E332" s="174">
        <v>2.5761057396247181E-2</v>
      </c>
      <c r="F332" s="502"/>
      <c r="G332" s="219">
        <f t="shared" ref="G332:G395" si="41">$G$10-H332</f>
        <v>2.8717389309096291</v>
      </c>
      <c r="H332" s="176">
        <f t="shared" ref="H332:H395" si="42">H331+(G331*E332)</f>
        <v>97.128261069090371</v>
      </c>
      <c r="I332" s="516">
        <f t="shared" si="39"/>
        <v>100</v>
      </c>
      <c r="J332" s="153">
        <f>(G332*0)/(1+cDR)^'Markov Model_b (3)'!cycle</f>
        <v>0</v>
      </c>
      <c r="K332" s="178">
        <f t="shared" si="35"/>
        <v>2.8717389309096291</v>
      </c>
      <c r="L332" s="202">
        <f>(G332*(uPostT))/(1+oDR)^'Markov Model_b (3)'!cycle</f>
        <v>0.97675978802216989</v>
      </c>
      <c r="M332" s="80"/>
      <c r="N332" s="3"/>
      <c r="O332" s="80"/>
      <c r="P332" s="173">
        <v>322</v>
      </c>
      <c r="Q332" s="165"/>
      <c r="R332" s="174">
        <v>2.5761057386705116E-2</v>
      </c>
      <c r="S332" s="502"/>
      <c r="T332" s="219">
        <f t="shared" si="40"/>
        <v>2.7054209699753216</v>
      </c>
      <c r="U332" s="249">
        <f t="shared" si="36"/>
        <v>97.294579030024678</v>
      </c>
      <c r="V332" s="516">
        <f t="shared" si="37"/>
        <v>100</v>
      </c>
      <c r="W332" s="153">
        <f>(T332*0)/(1+cDR)^'Markov Model_b (3)'!cycle2</f>
        <v>0</v>
      </c>
      <c r="X332" s="178">
        <f t="shared" si="38"/>
        <v>2.7054209699753216</v>
      </c>
      <c r="Y332" s="202">
        <f>(T332*(uPostT))/(1+oDR)^'Markov Model_b (3)'!cycle</f>
        <v>0.92019033648953474</v>
      </c>
      <c r="Z332" s="80"/>
      <c r="AA332" s="3"/>
      <c r="AB332" s="3"/>
      <c r="AC332" s="14">
        <v>320</v>
      </c>
      <c r="AD332" s="14"/>
      <c r="AE332" s="14"/>
      <c r="AF332" s="3"/>
      <c r="AG332" s="3"/>
      <c r="AH332" s="3"/>
      <c r="AI332" s="14"/>
      <c r="AJ332" s="14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</row>
    <row r="333" spans="1:47" ht="14.25" customHeight="1" x14ac:dyDescent="0.2">
      <c r="A333" s="3"/>
      <c r="B333" s="417"/>
      <c r="C333" s="173">
        <v>323</v>
      </c>
      <c r="D333" s="165"/>
      <c r="E333" s="174">
        <v>2.5999398976753647E-2</v>
      </c>
      <c r="F333" s="502"/>
      <c r="G333" s="219">
        <f t="shared" si="41"/>
        <v>2.7970754446878345</v>
      </c>
      <c r="H333" s="176">
        <f t="shared" si="42"/>
        <v>97.202924555312165</v>
      </c>
      <c r="I333" s="516">
        <f t="shared" si="39"/>
        <v>100</v>
      </c>
      <c r="J333" s="153">
        <f>(G333*0)/(1+cDR)^'Markov Model_b (3)'!cycle</f>
        <v>0</v>
      </c>
      <c r="K333" s="178">
        <f t="shared" si="35"/>
        <v>2.7970754446878345</v>
      </c>
      <c r="L333" s="202">
        <f>(G333*(uPostT))/(1+oDR)^'Markov Model_b (3)'!cycle</f>
        <v>0.94899214023833689</v>
      </c>
      <c r="M333" s="80"/>
      <c r="N333" s="3"/>
      <c r="O333" s="80"/>
      <c r="P333" s="173">
        <v>323</v>
      </c>
      <c r="Q333" s="165"/>
      <c r="R333" s="174">
        <v>2.5999398956686848E-2</v>
      </c>
      <c r="S333" s="502"/>
      <c r="T333" s="219">
        <f t="shared" si="40"/>
        <v>2.6350816508311397</v>
      </c>
      <c r="U333" s="249">
        <f t="shared" si="36"/>
        <v>97.36491834916886</v>
      </c>
      <c r="V333" s="516">
        <f t="shared" si="37"/>
        <v>100</v>
      </c>
      <c r="W333" s="153">
        <f>(T333*0)/(1+cDR)^'Markov Model_b (3)'!cycle2</f>
        <v>0</v>
      </c>
      <c r="X333" s="178">
        <f t="shared" si="38"/>
        <v>2.6350816508311397</v>
      </c>
      <c r="Y333" s="202">
        <f>(T333*(uPostT))/(1+oDR)^'Markov Model_b (3)'!cycle</f>
        <v>0.89403086365591355</v>
      </c>
      <c r="Z333" s="80"/>
      <c r="AA333" s="3"/>
      <c r="AB333" s="3"/>
      <c r="AC333" s="14">
        <v>321</v>
      </c>
      <c r="AD333" s="14"/>
      <c r="AE333" s="14"/>
      <c r="AF333" s="3"/>
      <c r="AG333" s="3"/>
      <c r="AH333" s="3"/>
      <c r="AI333" s="14"/>
      <c r="AJ333" s="14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</row>
    <row r="334" spans="1:47" ht="14.25" customHeight="1" x14ac:dyDescent="0.2">
      <c r="A334" s="3"/>
      <c r="B334" s="417"/>
      <c r="C334" s="173">
        <v>324</v>
      </c>
      <c r="D334" s="165"/>
      <c r="E334" s="174">
        <v>2.6240324070488361E-2</v>
      </c>
      <c r="F334" s="502"/>
      <c r="G334" s="219">
        <f t="shared" si="41"/>
        <v>2.7236792785696196</v>
      </c>
      <c r="H334" s="176">
        <f t="shared" si="42"/>
        <v>97.27632072143038</v>
      </c>
      <c r="I334" s="516">
        <f t="shared" si="39"/>
        <v>100</v>
      </c>
      <c r="J334" s="153">
        <f>(G334*0)/(1+cDR)^'Markov Model_b (3)'!cycle</f>
        <v>0</v>
      </c>
      <c r="K334" s="178">
        <f t="shared" si="35"/>
        <v>2.7236792785696196</v>
      </c>
      <c r="L334" s="202">
        <f>(G334*(uPostT))/(1+oDR)^'Markov Model_b (3)'!cycle</f>
        <v>0.9217858144021307</v>
      </c>
      <c r="M334" s="80"/>
      <c r="N334" s="3"/>
      <c r="O334" s="80"/>
      <c r="P334" s="173">
        <v>324</v>
      </c>
      <c r="Q334" s="165"/>
      <c r="R334" s="174">
        <v>2.6240324039996675E-2</v>
      </c>
      <c r="S334" s="502"/>
      <c r="T334" s="219">
        <f t="shared" si="40"/>
        <v>2.5659362544414819</v>
      </c>
      <c r="U334" s="249">
        <f t="shared" si="36"/>
        <v>97.434063745558518</v>
      </c>
      <c r="V334" s="516">
        <f t="shared" si="37"/>
        <v>100</v>
      </c>
      <c r="W334" s="153">
        <f>(T334*0)/(1+cDR)^'Markov Model_b (3)'!cycle2</f>
        <v>0</v>
      </c>
      <c r="X334" s="178">
        <f t="shared" si="38"/>
        <v>2.5659362544414819</v>
      </c>
      <c r="Y334" s="202">
        <f>(T334*(uPostT))/(1+oDR)^'Markov Model_b (3)'!cycle</f>
        <v>0.86840020358286718</v>
      </c>
      <c r="Z334" s="80"/>
      <c r="AA334" s="3"/>
      <c r="AB334" s="3"/>
      <c r="AC334" s="14">
        <v>322</v>
      </c>
      <c r="AD334" s="14"/>
      <c r="AE334" s="14"/>
      <c r="AF334" s="3"/>
      <c r="AG334" s="3"/>
      <c r="AH334" s="3"/>
      <c r="AI334" s="14"/>
      <c r="AJ334" s="14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</row>
    <row r="335" spans="1:47" ht="14.25" customHeight="1" x14ac:dyDescent="0.2">
      <c r="A335" s="3"/>
      <c r="B335" s="417"/>
      <c r="C335" s="173">
        <v>325</v>
      </c>
      <c r="D335" s="504"/>
      <c r="E335" s="174">
        <v>2.6483823210827425E-2</v>
      </c>
      <c r="F335" s="505"/>
      <c r="G335" s="219">
        <f t="shared" si="41"/>
        <v>2.651545838072991</v>
      </c>
      <c r="H335" s="176">
        <f t="shared" si="42"/>
        <v>97.348454161927009</v>
      </c>
      <c r="I335" s="516">
        <f t="shared" si="39"/>
        <v>100</v>
      </c>
      <c r="J335" s="180">
        <f>(G335*0)/(1+cDR)^'Markov Model_b (3)'!cycle</f>
        <v>0</v>
      </c>
      <c r="K335" s="176">
        <f t="shared" si="35"/>
        <v>2.651545838072991</v>
      </c>
      <c r="L335" s="202">
        <f>(G335*(uPostT))/(1+oDR)^'Markov Model_b (3)'!cycle</f>
        <v>0.89513556294788765</v>
      </c>
      <c r="M335" s="80"/>
      <c r="N335" s="3"/>
      <c r="O335" s="80"/>
      <c r="P335" s="173">
        <v>325</v>
      </c>
      <c r="Q335" s="504"/>
      <c r="R335" s="174">
        <v>2.6483823170181334E-2</v>
      </c>
      <c r="S335" s="505"/>
      <c r="T335" s="219">
        <f t="shared" si="40"/>
        <v>2.4979804524128895</v>
      </c>
      <c r="U335" s="249">
        <f t="shared" si="36"/>
        <v>97.502019547587111</v>
      </c>
      <c r="V335" s="516">
        <f t="shared" si="37"/>
        <v>100</v>
      </c>
      <c r="W335" s="180">
        <f>(T335*0)/(1+cDR)^'Markov Model_b (3)'!cycle2</f>
        <v>0</v>
      </c>
      <c r="X335" s="176">
        <f t="shared" si="38"/>
        <v>2.4979804524128895</v>
      </c>
      <c r="Y335" s="202">
        <f>(T335*(uPostT))/(1+oDR)^'Markov Model_b (3)'!cycle</f>
        <v>0.84329341261868007</v>
      </c>
      <c r="Z335" s="80"/>
      <c r="AA335" s="3"/>
      <c r="AB335" s="3"/>
      <c r="AC335" s="14">
        <v>323</v>
      </c>
      <c r="AD335" s="14"/>
      <c r="AE335" s="14"/>
      <c r="AF335" s="3"/>
      <c r="AG335" s="3"/>
      <c r="AH335" s="3"/>
      <c r="AI335" s="14"/>
      <c r="AJ335" s="14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</row>
    <row r="336" spans="1:47" ht="14.25" customHeight="1" x14ac:dyDescent="0.25">
      <c r="A336" s="3">
        <v>29</v>
      </c>
      <c r="B336" s="417"/>
      <c r="C336" s="506">
        <v>326</v>
      </c>
      <c r="D336" s="506"/>
      <c r="E336" s="507">
        <v>2.672978667902318E-2</v>
      </c>
      <c r="F336" s="508"/>
      <c r="G336" s="509">
        <f t="shared" si="41"/>
        <v>2.5806705834516492</v>
      </c>
      <c r="H336" s="176">
        <f t="shared" si="42"/>
        <v>97.419329416548351</v>
      </c>
      <c r="I336" s="518">
        <f t="shared" si="39"/>
        <v>100</v>
      </c>
      <c r="J336" s="511">
        <f>(G336*0)/(1+cDR)^'Markov Model_b (3)'!cycle</f>
        <v>0</v>
      </c>
      <c r="K336" s="512">
        <f t="shared" si="35"/>
        <v>2.5806705834516492</v>
      </c>
      <c r="L336" s="513">
        <f>(G336*(uPostT))/(1+oDR)^'Markov Model_b (3)'!cycle</f>
        <v>0.86903618982691655</v>
      </c>
      <c r="M336" s="80"/>
      <c r="N336" s="3"/>
      <c r="O336" s="80"/>
      <c r="P336" s="506">
        <v>326</v>
      </c>
      <c r="Q336" s="506"/>
      <c r="R336" s="507">
        <v>2.67297866283977E-2</v>
      </c>
      <c r="S336" s="508"/>
      <c r="T336" s="509">
        <f t="shared" si="40"/>
        <v>2.4312099679179795</v>
      </c>
      <c r="U336" s="249">
        <f t="shared" si="36"/>
        <v>97.568790032082021</v>
      </c>
      <c r="V336" s="518">
        <f t="shared" si="37"/>
        <v>100</v>
      </c>
      <c r="W336" s="511">
        <f>(T336*0)/(1+cDR)^'Markov Model_b (3)'!cycle2</f>
        <v>0</v>
      </c>
      <c r="X336" s="512">
        <f t="shared" si="38"/>
        <v>2.4312099679179795</v>
      </c>
      <c r="Y336" s="513">
        <f>(T336*(uPostT))/(1+oDR)^'Markov Model_b (3)'!cycle</f>
        <v>0.81870559564513523</v>
      </c>
      <c r="Z336" s="80"/>
      <c r="AA336" s="3"/>
      <c r="AB336" s="3"/>
      <c r="AC336" s="14">
        <v>324</v>
      </c>
      <c r="AD336" s="14"/>
      <c r="AE336" s="14"/>
      <c r="AF336" s="3"/>
      <c r="AG336" s="3"/>
      <c r="AH336" s="3"/>
      <c r="AI336" s="14"/>
      <c r="AJ336" s="14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</row>
    <row r="337" spans="1:47" ht="14.25" customHeight="1" x14ac:dyDescent="0.2">
      <c r="A337" s="3"/>
      <c r="B337" s="417"/>
      <c r="C337" s="173">
        <v>327</v>
      </c>
      <c r="D337" s="165"/>
      <c r="E337" s="174">
        <v>2.6978022687569686E-2</v>
      </c>
      <c r="F337" s="502"/>
      <c r="G337" s="219">
        <f t="shared" si="41"/>
        <v>2.5110491939021529</v>
      </c>
      <c r="H337" s="176">
        <f t="shared" si="42"/>
        <v>97.488950806097847</v>
      </c>
      <c r="I337" s="516">
        <f t="shared" si="39"/>
        <v>100</v>
      </c>
      <c r="J337" s="153">
        <f>(G337*0)/(1+cDR)^'Markov Model_b (3)'!cycle</f>
        <v>0</v>
      </c>
      <c r="K337" s="178">
        <f t="shared" si="35"/>
        <v>2.5110491939021529</v>
      </c>
      <c r="L337" s="202">
        <f>(G337*(uPostT))/(1+oDR)^'Markov Model_b (3)'!cycle</f>
        <v>0.84348260526827823</v>
      </c>
      <c r="M337" s="80"/>
      <c r="N337" s="3"/>
      <c r="O337" s="80"/>
      <c r="P337" s="173">
        <v>327</v>
      </c>
      <c r="Q337" s="165"/>
      <c r="R337" s="174">
        <v>2.6978022626487349E-2</v>
      </c>
      <c r="S337" s="502"/>
      <c r="T337" s="219">
        <f t="shared" si="40"/>
        <v>2.3656207303937435</v>
      </c>
      <c r="U337" s="249">
        <f t="shared" si="36"/>
        <v>97.634379269606256</v>
      </c>
      <c r="V337" s="516">
        <f t="shared" si="37"/>
        <v>100</v>
      </c>
      <c r="W337" s="153">
        <f>(T337*0)/(1+cDR)^'Markov Model_b (3)'!cycle2</f>
        <v>0</v>
      </c>
      <c r="X337" s="178">
        <f t="shared" si="38"/>
        <v>2.3656207303937435</v>
      </c>
      <c r="Y337" s="202">
        <f>(T337*(uPostT))/(1+oDR)^'Markov Model_b (3)'!cycle</f>
        <v>0.79463195766721983</v>
      </c>
      <c r="Z337" s="80"/>
      <c r="AA337" s="3"/>
      <c r="AB337" s="3"/>
      <c r="AC337" s="14">
        <v>325</v>
      </c>
      <c r="AD337" s="14"/>
      <c r="AE337" s="14"/>
      <c r="AF337" s="3"/>
      <c r="AG337" s="3"/>
      <c r="AH337" s="3"/>
      <c r="AI337" s="14"/>
      <c r="AJ337" s="14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</row>
    <row r="338" spans="1:47" ht="14.25" customHeight="1" x14ac:dyDescent="0.2">
      <c r="A338" s="3"/>
      <c r="B338" s="417"/>
      <c r="C338" s="173">
        <v>328</v>
      </c>
      <c r="D338" s="165"/>
      <c r="E338" s="174">
        <v>2.722837557760734E-2</v>
      </c>
      <c r="F338" s="502"/>
      <c r="G338" s="219">
        <f t="shared" si="41"/>
        <v>2.4426774033567398</v>
      </c>
      <c r="H338" s="176">
        <f t="shared" si="42"/>
        <v>97.55732259664326</v>
      </c>
      <c r="I338" s="516">
        <f t="shared" si="39"/>
        <v>100</v>
      </c>
      <c r="J338" s="153">
        <f>(G338*0)/(1+cDR)^'Markov Model_b (3)'!cycle</f>
        <v>0</v>
      </c>
      <c r="K338" s="178">
        <f t="shared" si="35"/>
        <v>2.4426774033567398</v>
      </c>
      <c r="L338" s="202">
        <f>(G338*(uPostT))/(1+oDR)^'Markov Model_b (3)'!cycle</f>
        <v>0.81846976967466922</v>
      </c>
      <c r="M338" s="80"/>
      <c r="N338" s="3"/>
      <c r="O338" s="80"/>
      <c r="P338" s="173">
        <v>328</v>
      </c>
      <c r="Q338" s="165"/>
      <c r="R338" s="174">
        <v>2.7228375505390139E-2</v>
      </c>
      <c r="S338" s="502"/>
      <c r="T338" s="219">
        <f t="shared" si="40"/>
        <v>2.301208720843249</v>
      </c>
      <c r="U338" s="249">
        <f t="shared" si="36"/>
        <v>97.698791279156751</v>
      </c>
      <c r="V338" s="516">
        <f t="shared" si="37"/>
        <v>100</v>
      </c>
      <c r="W338" s="153">
        <f>(T338*0)/(1+cDR)^'Markov Model_b (3)'!cycle2</f>
        <v>0</v>
      </c>
      <c r="X338" s="178">
        <f t="shared" si="38"/>
        <v>2.301208720843249</v>
      </c>
      <c r="Y338" s="202">
        <f>(T338*(uPostT))/(1+oDR)^'Markov Model_b (3)'!cycle</f>
        <v>0.77106775095787938</v>
      </c>
      <c r="Z338" s="80"/>
      <c r="AA338" s="3"/>
      <c r="AB338" s="3"/>
      <c r="AC338" s="14">
        <v>326</v>
      </c>
      <c r="AD338" s="14"/>
      <c r="AE338" s="14"/>
      <c r="AF338" s="3"/>
      <c r="AG338" s="3"/>
      <c r="AH338" s="3"/>
      <c r="AI338" s="14"/>
      <c r="AJ338" s="14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</row>
    <row r="339" spans="1:47" ht="14.25" customHeight="1" x14ac:dyDescent="0.2">
      <c r="A339" s="3"/>
      <c r="B339" s="417"/>
      <c r="C339" s="173">
        <v>329</v>
      </c>
      <c r="D339" s="165"/>
      <c r="E339" s="174">
        <v>2.7480688819914625E-2</v>
      </c>
      <c r="F339" s="502"/>
      <c r="G339" s="219">
        <f t="shared" si="41"/>
        <v>2.375550945747662</v>
      </c>
      <c r="H339" s="176">
        <f t="shared" si="42"/>
        <v>97.624449054252338</v>
      </c>
      <c r="I339" s="516">
        <f t="shared" si="39"/>
        <v>100</v>
      </c>
      <c r="J339" s="153">
        <f>(G339*0)/(1+cDR)^'Markov Model_b (3)'!cycle</f>
        <v>0</v>
      </c>
      <c r="K339" s="178">
        <f t="shared" si="35"/>
        <v>2.375550945747662</v>
      </c>
      <c r="L339" s="202">
        <f>(G339*(uPostT))/(1+oDR)^'Markov Model_b (3)'!cycle</f>
        <v>0.79399267493838832</v>
      </c>
      <c r="M339" s="80"/>
      <c r="N339" s="3"/>
      <c r="O339" s="80"/>
      <c r="P339" s="173">
        <v>329</v>
      </c>
      <c r="Q339" s="165"/>
      <c r="R339" s="174">
        <v>2.7480688735835673E-2</v>
      </c>
      <c r="S339" s="502"/>
      <c r="T339" s="219">
        <f t="shared" si="40"/>
        <v>2.2379699202695633</v>
      </c>
      <c r="U339" s="249">
        <f t="shared" si="36"/>
        <v>97.762030079730437</v>
      </c>
      <c r="V339" s="516">
        <f t="shared" si="37"/>
        <v>100</v>
      </c>
      <c r="W339" s="153">
        <f>(T339*0)/(1+cDR)^'Markov Model_b (3)'!cycle2</f>
        <v>0</v>
      </c>
      <c r="X339" s="178">
        <f t="shared" si="38"/>
        <v>2.2379699202695633</v>
      </c>
      <c r="Y339" s="202">
        <f>(T339*(uPostT))/(1+oDR)^'Markov Model_b (3)'!cycle</f>
        <v>0.74800825745592459</v>
      </c>
      <c r="Z339" s="80"/>
      <c r="AA339" s="3"/>
      <c r="AB339" s="3"/>
      <c r="AC339" s="14">
        <v>327</v>
      </c>
      <c r="AD339" s="14"/>
      <c r="AE339" s="14"/>
      <c r="AF339" s="3"/>
      <c r="AG339" s="3"/>
      <c r="AH339" s="3"/>
      <c r="AI339" s="14"/>
      <c r="AJ339" s="14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</row>
    <row r="340" spans="1:47" ht="14.25" customHeight="1" x14ac:dyDescent="0.2">
      <c r="A340" s="3"/>
      <c r="B340" s="417"/>
      <c r="C340" s="173">
        <v>330</v>
      </c>
      <c r="D340" s="165"/>
      <c r="E340" s="174">
        <v>2.7734824875309139E-2</v>
      </c>
      <c r="F340" s="502"/>
      <c r="G340" s="219">
        <f t="shared" si="41"/>
        <v>2.309665456284975</v>
      </c>
      <c r="H340" s="176">
        <f t="shared" si="42"/>
        <v>97.690334543715025</v>
      </c>
      <c r="I340" s="516">
        <f t="shared" si="39"/>
        <v>100</v>
      </c>
      <c r="J340" s="153">
        <f>(G340*0)/(1+cDR)^'Markov Model_b (3)'!cycle</f>
        <v>0</v>
      </c>
      <c r="K340" s="178">
        <f t="shared" si="35"/>
        <v>2.309665456284975</v>
      </c>
      <c r="L340" s="202">
        <f>(G340*(uPostT))/(1+oDR)^'Markov Model_b (3)'!cycle</f>
        <v>0.77004631136827306</v>
      </c>
      <c r="M340" s="80"/>
      <c r="N340" s="3"/>
      <c r="O340" s="80"/>
      <c r="P340" s="173">
        <v>330</v>
      </c>
      <c r="Q340" s="165"/>
      <c r="R340" s="174">
        <v>2.7734824778600568E-2</v>
      </c>
      <c r="S340" s="502"/>
      <c r="T340" s="219">
        <f t="shared" si="40"/>
        <v>2.1759002166711099</v>
      </c>
      <c r="U340" s="249">
        <f t="shared" si="36"/>
        <v>97.82409978332889</v>
      </c>
      <c r="V340" s="516">
        <f t="shared" si="37"/>
        <v>100</v>
      </c>
      <c r="W340" s="153">
        <f>(T340*0)/(1+cDR)^'Markov Model_b (3)'!cycle2</f>
        <v>0</v>
      </c>
      <c r="X340" s="178">
        <f t="shared" si="38"/>
        <v>2.1759002166711099</v>
      </c>
      <c r="Y340" s="202">
        <f>(T340*(uPostT))/(1+oDR)^'Markov Model_b (3)'!cycle</f>
        <v>0.72544875760841765</v>
      </c>
      <c r="Z340" s="80"/>
      <c r="AA340" s="3"/>
      <c r="AB340" s="3"/>
      <c r="AC340" s="14">
        <v>328</v>
      </c>
      <c r="AD340" s="14"/>
      <c r="AE340" s="14"/>
      <c r="AF340" s="3"/>
      <c r="AG340" s="3"/>
      <c r="AH340" s="3"/>
      <c r="AI340" s="14"/>
      <c r="AJ340" s="14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</row>
    <row r="341" spans="1:47" ht="14.25" customHeight="1" x14ac:dyDescent="0.2">
      <c r="A341" s="3"/>
      <c r="B341" s="417"/>
      <c r="C341" s="173">
        <v>331</v>
      </c>
      <c r="D341" s="165"/>
      <c r="E341" s="174">
        <v>2.7990755465974883E-2</v>
      </c>
      <c r="F341" s="502"/>
      <c r="G341" s="219">
        <f t="shared" si="41"/>
        <v>2.2450161752898907</v>
      </c>
      <c r="H341" s="176">
        <f t="shared" si="42"/>
        <v>97.754983824710109</v>
      </c>
      <c r="I341" s="516">
        <f t="shared" si="39"/>
        <v>100</v>
      </c>
      <c r="J341" s="153">
        <f>(G341*0)/(1+cDR)^'Markov Model_b (3)'!cycle</f>
        <v>0</v>
      </c>
      <c r="K341" s="178">
        <f t="shared" si="35"/>
        <v>2.2450161752898907</v>
      </c>
      <c r="L341" s="202">
        <f>(G341*(uPostT))/(1+oDR)^'Markov Model_b (3)'!cycle</f>
        <v>0.74662556944567282</v>
      </c>
      <c r="M341" s="80"/>
      <c r="N341" s="3"/>
      <c r="O341" s="80"/>
      <c r="P341" s="173">
        <v>331</v>
      </c>
      <c r="Q341" s="165"/>
      <c r="R341" s="174">
        <v>2.7990755355691455E-2</v>
      </c>
      <c r="S341" s="502"/>
      <c r="T341" s="219">
        <f t="shared" si="40"/>
        <v>2.1149951260278783</v>
      </c>
      <c r="U341" s="249">
        <f t="shared" si="36"/>
        <v>97.885004873972122</v>
      </c>
      <c r="V341" s="516">
        <f t="shared" si="37"/>
        <v>100</v>
      </c>
      <c r="W341" s="153">
        <f>(T341*0)/(1+cDR)^'Markov Model_b (3)'!cycle2</f>
        <v>0</v>
      </c>
      <c r="X341" s="178">
        <f t="shared" si="38"/>
        <v>2.1149951260278783</v>
      </c>
      <c r="Y341" s="202">
        <f>(T341*(uPostT))/(1+oDR)^'Markov Model_b (3)'!cycle</f>
        <v>0.70338443781657067</v>
      </c>
      <c r="Z341" s="80"/>
      <c r="AA341" s="3"/>
      <c r="AB341" s="3"/>
      <c r="AC341" s="14">
        <v>329</v>
      </c>
      <c r="AD341" s="14"/>
      <c r="AE341" s="14"/>
      <c r="AF341" s="3"/>
      <c r="AG341" s="3"/>
      <c r="AH341" s="3"/>
      <c r="AI341" s="14"/>
      <c r="AJ341" s="14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</row>
    <row r="342" spans="1:47" ht="14.25" customHeight="1" x14ac:dyDescent="0.2">
      <c r="A342" s="3"/>
      <c r="B342" s="417"/>
      <c r="C342" s="173">
        <v>332</v>
      </c>
      <c r="D342" s="165"/>
      <c r="E342" s="174">
        <v>2.8248318041750434E-2</v>
      </c>
      <c r="F342" s="502"/>
      <c r="G342" s="219">
        <f t="shared" si="41"/>
        <v>2.1815982443614246</v>
      </c>
      <c r="H342" s="176">
        <f t="shared" si="42"/>
        <v>97.818401755638575</v>
      </c>
      <c r="I342" s="516">
        <f t="shared" si="39"/>
        <v>100</v>
      </c>
      <c r="J342" s="153">
        <f>(G342*0)/(1+cDR)^'Markov Model_b (3)'!cycle</f>
        <v>0</v>
      </c>
      <c r="K342" s="178">
        <f t="shared" si="35"/>
        <v>2.1815982443614246</v>
      </c>
      <c r="L342" s="202">
        <f>(G342*(uPostT))/(1+oDR)^'Markov Model_b (3)'!cycle</f>
        <v>0.7237253395529849</v>
      </c>
      <c r="M342" s="80"/>
      <c r="N342" s="3"/>
      <c r="O342" s="80"/>
      <c r="P342" s="173">
        <v>332</v>
      </c>
      <c r="Q342" s="165"/>
      <c r="R342" s="174">
        <v>2.8248317916907493E-2</v>
      </c>
      <c r="S342" s="502"/>
      <c r="T342" s="219">
        <f t="shared" si="40"/>
        <v>2.0552500713151289</v>
      </c>
      <c r="U342" s="249">
        <f t="shared" si="36"/>
        <v>97.944749928684871</v>
      </c>
      <c r="V342" s="516">
        <f t="shared" si="37"/>
        <v>100</v>
      </c>
      <c r="W342" s="153">
        <f>(T342*0)/(1+cDR)^'Markov Model_b (3)'!cycle2</f>
        <v>0</v>
      </c>
      <c r="X342" s="178">
        <f t="shared" si="38"/>
        <v>2.0552500713151289</v>
      </c>
      <c r="Y342" s="202">
        <f>(T342*(uPostT))/(1+oDR)^'Markov Model_b (3)'!cycle</f>
        <v>0.68181048438835068</v>
      </c>
      <c r="Z342" s="80"/>
      <c r="AA342" s="3"/>
      <c r="AB342" s="3"/>
      <c r="AC342" s="14">
        <v>330</v>
      </c>
      <c r="AD342" s="14"/>
      <c r="AE342" s="14"/>
      <c r="AF342" s="3"/>
      <c r="AG342" s="3"/>
      <c r="AH342" s="3"/>
      <c r="AI342" s="14"/>
      <c r="AJ342" s="14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</row>
    <row r="343" spans="1:47" ht="14.25" customHeight="1" x14ac:dyDescent="0.2">
      <c r="A343" s="3"/>
      <c r="B343" s="417"/>
      <c r="C343" s="173">
        <v>333</v>
      </c>
      <c r="D343" s="165"/>
      <c r="E343" s="174">
        <v>2.8507416281358847E-2</v>
      </c>
      <c r="F343" s="502"/>
      <c r="G343" s="219">
        <f t="shared" si="41"/>
        <v>2.1194065150507271</v>
      </c>
      <c r="H343" s="176">
        <f t="shared" si="42"/>
        <v>97.880593484949273</v>
      </c>
      <c r="I343" s="516">
        <f t="shared" si="39"/>
        <v>100</v>
      </c>
      <c r="J343" s="153">
        <f>(G343*0)/(1+cDR)^'Markov Model_b (3)'!cycle</f>
        <v>0</v>
      </c>
      <c r="K343" s="178">
        <f t="shared" si="35"/>
        <v>2.1194065150507271</v>
      </c>
      <c r="L343" s="202">
        <f>(G343*(uPostT))/(1+oDR)^'Markov Model_b (3)'!cycle</f>
        <v>0.70134044890272174</v>
      </c>
      <c r="M343" s="80"/>
      <c r="N343" s="3"/>
      <c r="O343" s="80"/>
      <c r="P343" s="173">
        <v>333</v>
      </c>
      <c r="Q343" s="165"/>
      <c r="R343" s="174">
        <v>2.850741614086566E-2</v>
      </c>
      <c r="S343" s="502"/>
      <c r="T343" s="219">
        <f t="shared" si="40"/>
        <v>1.9966602022586102</v>
      </c>
      <c r="U343" s="249">
        <f t="shared" si="36"/>
        <v>98.00333979774139</v>
      </c>
      <c r="V343" s="516">
        <f t="shared" si="37"/>
        <v>100</v>
      </c>
      <c r="W343" s="153">
        <f>(T343*0)/(1+cDR)^'Markov Model_b (3)'!cycle2</f>
        <v>0</v>
      </c>
      <c r="X343" s="178">
        <f t="shared" si="38"/>
        <v>1.9966602022586102</v>
      </c>
      <c r="Y343" s="202">
        <f>(T343*(uPostT))/(1+oDR)^'Markov Model_b (3)'!cycle</f>
        <v>0.6607220241203875</v>
      </c>
      <c r="Z343" s="80"/>
      <c r="AA343" s="3"/>
      <c r="AB343" s="3"/>
      <c r="AC343" s="14">
        <v>331</v>
      </c>
      <c r="AD343" s="14"/>
      <c r="AE343" s="14"/>
      <c r="AF343" s="3"/>
      <c r="AG343" s="3"/>
      <c r="AH343" s="3"/>
      <c r="AI343" s="14"/>
      <c r="AJ343" s="14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</row>
    <row r="344" spans="1:47" ht="14.25" customHeight="1" x14ac:dyDescent="0.2">
      <c r="A344" s="3"/>
      <c r="B344" s="417"/>
      <c r="C344" s="173">
        <v>334</v>
      </c>
      <c r="D344" s="165"/>
      <c r="E344" s="174">
        <v>2.8768353735034089E-2</v>
      </c>
      <c r="F344" s="502"/>
      <c r="G344" s="219">
        <f t="shared" si="41"/>
        <v>2.0584346787174184</v>
      </c>
      <c r="H344" s="176">
        <f t="shared" si="42"/>
        <v>97.941565321282582</v>
      </c>
      <c r="I344" s="516">
        <f t="shared" si="39"/>
        <v>100</v>
      </c>
      <c r="J344" s="153">
        <f>(G344*0)/(1+cDR)^'Markov Model_b (3)'!cycle</f>
        <v>0</v>
      </c>
      <c r="K344" s="178">
        <f t="shared" si="35"/>
        <v>2.0584346787174184</v>
      </c>
      <c r="L344" s="202">
        <f>(G344*(uPostT))/(1+oDR)^'Markov Model_b (3)'!cycle</f>
        <v>0.67946537534164897</v>
      </c>
      <c r="M344" s="80"/>
      <c r="N344" s="3"/>
      <c r="O344" s="80"/>
      <c r="P344" s="173">
        <v>334</v>
      </c>
      <c r="Q344" s="165"/>
      <c r="R344" s="174">
        <v>2.8768353577700908E-2</v>
      </c>
      <c r="S344" s="502"/>
      <c r="T344" s="219">
        <f t="shared" si="40"/>
        <v>1.9392195755855113</v>
      </c>
      <c r="U344" s="249">
        <f t="shared" si="36"/>
        <v>98.060780424414489</v>
      </c>
      <c r="V344" s="516">
        <f t="shared" si="37"/>
        <v>100</v>
      </c>
      <c r="W344" s="153">
        <f>(T344*0)/(1+cDR)^'Markov Model_b (3)'!cycle2</f>
        <v>0</v>
      </c>
      <c r="X344" s="178">
        <f t="shared" si="38"/>
        <v>1.9392195755855113</v>
      </c>
      <c r="Y344" s="202">
        <f>(T344*(uPostT))/(1+oDR)^'Markov Model_b (3)'!cycle</f>
        <v>0.64011385467722537</v>
      </c>
      <c r="Z344" s="80"/>
      <c r="AA344" s="3"/>
      <c r="AB344" s="3"/>
      <c r="AC344" s="14">
        <v>332</v>
      </c>
      <c r="AD344" s="14"/>
      <c r="AE344" s="14"/>
      <c r="AF344" s="3"/>
      <c r="AG344" s="3"/>
      <c r="AH344" s="3"/>
      <c r="AI344" s="14"/>
      <c r="AJ344" s="14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</row>
    <row r="345" spans="1:47" ht="14.25" customHeight="1" x14ac:dyDescent="0.2">
      <c r="A345" s="3"/>
      <c r="B345" s="417"/>
      <c r="C345" s="173">
        <v>335</v>
      </c>
      <c r="D345" s="165"/>
      <c r="E345" s="174">
        <v>2.9031060670542622E-2</v>
      </c>
      <c r="F345" s="502"/>
      <c r="G345" s="219">
        <f t="shared" si="41"/>
        <v>1.9986761366732253</v>
      </c>
      <c r="H345" s="176">
        <f t="shared" si="42"/>
        <v>98.001323863326775</v>
      </c>
      <c r="I345" s="516">
        <f t="shared" si="39"/>
        <v>100</v>
      </c>
      <c r="J345" s="153">
        <f>(G345*0)/(1+cDR)^'Markov Model_b (3)'!cycle</f>
        <v>0</v>
      </c>
      <c r="K345" s="178">
        <f t="shared" si="35"/>
        <v>1.9986761366732253</v>
      </c>
      <c r="L345" s="202">
        <f>(G345*(uPostT))/(1+oDR)^'Markov Model_b (3)'!cycle</f>
        <v>0.65809453846042187</v>
      </c>
      <c r="M345" s="80"/>
      <c r="N345" s="3"/>
      <c r="O345" s="80"/>
      <c r="P345" s="173">
        <v>335</v>
      </c>
      <c r="Q345" s="165"/>
      <c r="R345" s="174">
        <v>2.9031060495111369E-2</v>
      </c>
      <c r="S345" s="502"/>
      <c r="T345" s="219">
        <f t="shared" si="40"/>
        <v>1.8829219747733816</v>
      </c>
      <c r="U345" s="249">
        <f t="shared" si="36"/>
        <v>98.117078025226618</v>
      </c>
      <c r="V345" s="516">
        <f t="shared" si="37"/>
        <v>100</v>
      </c>
      <c r="W345" s="153">
        <f>(T345*0)/(1+cDR)^'Markov Model_b (3)'!cycle2</f>
        <v>0</v>
      </c>
      <c r="X345" s="178">
        <f t="shared" si="38"/>
        <v>1.8829219747733816</v>
      </c>
      <c r="Y345" s="202">
        <f>(T345*(uPostT))/(1+oDR)^'Markov Model_b (3)'!cycle</f>
        <v>0.61998071884122796</v>
      </c>
      <c r="Z345" s="80"/>
      <c r="AA345" s="3"/>
      <c r="AB345" s="3"/>
      <c r="AC345" s="14">
        <v>333</v>
      </c>
      <c r="AD345" s="14"/>
      <c r="AE345" s="14"/>
      <c r="AF345" s="3"/>
      <c r="AG345" s="3"/>
      <c r="AH345" s="3"/>
      <c r="AI345" s="14"/>
      <c r="AJ345" s="14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</row>
    <row r="346" spans="1:47" ht="14.25" customHeight="1" x14ac:dyDescent="0.2">
      <c r="A346" s="3"/>
      <c r="B346" s="417"/>
      <c r="C346" s="173">
        <v>336</v>
      </c>
      <c r="D346" s="165"/>
      <c r="E346" s="174">
        <v>2.9295314718076615E-2</v>
      </c>
      <c r="F346" s="502"/>
      <c r="G346" s="219">
        <f t="shared" si="41"/>
        <v>1.9401242902298748</v>
      </c>
      <c r="H346" s="176">
        <f t="shared" si="42"/>
        <v>98.059875709770125</v>
      </c>
      <c r="I346" s="516">
        <f t="shared" si="39"/>
        <v>100</v>
      </c>
      <c r="J346" s="153">
        <f>(G346*0)/(1+cDR)^'Markov Model_b (3)'!cycle</f>
        <v>0</v>
      </c>
      <c r="K346" s="178">
        <f t="shared" si="35"/>
        <v>1.9401242902298748</v>
      </c>
      <c r="L346" s="202">
        <f>(G346*(uPostT))/(1+oDR)^'Markov Model_b (3)'!cycle</f>
        <v>0.63722239585234575</v>
      </c>
      <c r="M346" s="80"/>
      <c r="N346" s="3"/>
      <c r="O346" s="80"/>
      <c r="P346" s="173">
        <v>336</v>
      </c>
      <c r="Q346" s="165"/>
      <c r="R346" s="174">
        <v>2.9295314523163724E-2</v>
      </c>
      <c r="S346" s="502"/>
      <c r="T346" s="219">
        <f t="shared" si="40"/>
        <v>1.8277611832998133</v>
      </c>
      <c r="U346" s="249">
        <f t="shared" si="36"/>
        <v>98.172238816700187</v>
      </c>
      <c r="V346" s="516">
        <f t="shared" si="37"/>
        <v>100</v>
      </c>
      <c r="W346" s="153">
        <f>(T346*0)/(1+cDR)^'Markov Model_b (3)'!cycle2</f>
        <v>0</v>
      </c>
      <c r="X346" s="178">
        <f t="shared" si="38"/>
        <v>1.8277611832998133</v>
      </c>
      <c r="Y346" s="202">
        <f>(T346*(uPostT))/(1+oDR)^'Markov Model_b (3)'!cycle</f>
        <v>0.60031739519648397</v>
      </c>
      <c r="Z346" s="80"/>
      <c r="AA346" s="3"/>
      <c r="AB346" s="3"/>
      <c r="AC346" s="14">
        <v>334</v>
      </c>
      <c r="AD346" s="14"/>
      <c r="AE346" s="14"/>
      <c r="AF346" s="3"/>
      <c r="AG346" s="3"/>
      <c r="AH346" s="3"/>
      <c r="AI346" s="14"/>
      <c r="AJ346" s="14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</row>
    <row r="347" spans="1:47" ht="14.25" customHeight="1" x14ac:dyDescent="0.2">
      <c r="A347" s="3"/>
      <c r="B347" s="417"/>
      <c r="C347" s="173">
        <v>337</v>
      </c>
      <c r="D347" s="504"/>
      <c r="E347" s="174">
        <v>2.9560968011417114E-2</v>
      </c>
      <c r="F347" s="505"/>
      <c r="G347" s="219">
        <f t="shared" si="41"/>
        <v>1.8827723381482144</v>
      </c>
      <c r="H347" s="176">
        <f t="shared" si="42"/>
        <v>98.117227661851786</v>
      </c>
      <c r="I347" s="516">
        <f t="shared" si="39"/>
        <v>100</v>
      </c>
      <c r="J347" s="180">
        <f>(G347*0)/(1+cDR)^'Markov Model_b (3)'!cycle</f>
        <v>0</v>
      </c>
      <c r="K347" s="176">
        <f t="shared" si="35"/>
        <v>1.8827723381482144</v>
      </c>
      <c r="L347" s="202">
        <f>(G347*(uPostT))/(1+oDR)^'Markov Model_b (3)'!cycle</f>
        <v>0.61684337655101817</v>
      </c>
      <c r="M347" s="80"/>
      <c r="N347" s="3"/>
      <c r="O347" s="80"/>
      <c r="P347" s="173">
        <v>337</v>
      </c>
      <c r="Q347" s="504"/>
      <c r="R347" s="174">
        <v>2.9560967795462096E-2</v>
      </c>
      <c r="S347" s="505"/>
      <c r="T347" s="219">
        <f t="shared" si="40"/>
        <v>1.7737307938224944</v>
      </c>
      <c r="U347" s="249">
        <f t="shared" si="36"/>
        <v>98.226269206177506</v>
      </c>
      <c r="V347" s="516">
        <f t="shared" si="37"/>
        <v>100</v>
      </c>
      <c r="W347" s="180">
        <f>(T347*0)/(1+cDR)^'Markov Model_b (3)'!cycle2</f>
        <v>0</v>
      </c>
      <c r="X347" s="176">
        <f t="shared" si="38"/>
        <v>1.7737307938224944</v>
      </c>
      <c r="Y347" s="202">
        <f>(T347*(uPostT))/(1+oDR)^'Markov Model_b (3)'!cycle</f>
        <v>0.58111863542147235</v>
      </c>
      <c r="Z347" s="80"/>
      <c r="AA347" s="3"/>
      <c r="AB347" s="3"/>
      <c r="AC347" s="14">
        <v>335</v>
      </c>
      <c r="AD347" s="14"/>
      <c r="AE347" s="14"/>
      <c r="AF347" s="3"/>
      <c r="AG347" s="3"/>
      <c r="AH347" s="3"/>
      <c r="AI347" s="14"/>
      <c r="AJ347" s="14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</row>
    <row r="348" spans="1:47" ht="14.25" customHeight="1" x14ac:dyDescent="0.25">
      <c r="A348" s="3">
        <v>30</v>
      </c>
      <c r="B348" s="417"/>
      <c r="C348" s="506">
        <v>338</v>
      </c>
      <c r="D348" s="506"/>
      <c r="E348" s="507">
        <v>2.9828178386100104E-2</v>
      </c>
      <c r="F348" s="508"/>
      <c r="G348" s="509">
        <f t="shared" si="41"/>
        <v>1.8266126689855184</v>
      </c>
      <c r="H348" s="176">
        <f t="shared" si="42"/>
        <v>98.173387331014482</v>
      </c>
      <c r="I348" s="518">
        <f t="shared" si="39"/>
        <v>100</v>
      </c>
      <c r="J348" s="511">
        <f>(G348*0)/(1+cDR)^'Markov Model_b (3)'!cycle</f>
        <v>0</v>
      </c>
      <c r="K348" s="512">
        <f t="shared" si="35"/>
        <v>1.8266126689855184</v>
      </c>
      <c r="L348" s="513">
        <f>(G348*(uPostT))/(1+oDR)^'Markov Model_b (3)'!cycle</f>
        <v>0.59695168307129287</v>
      </c>
      <c r="M348" s="80"/>
      <c r="N348" s="3"/>
      <c r="O348" s="80"/>
      <c r="P348" s="506">
        <v>338</v>
      </c>
      <c r="Q348" s="506"/>
      <c r="R348" s="507">
        <v>2.9828178146979776E-2</v>
      </c>
      <c r="S348" s="508"/>
      <c r="T348" s="509">
        <f t="shared" si="40"/>
        <v>1.7208236357195688</v>
      </c>
      <c r="U348" s="249">
        <f t="shared" si="36"/>
        <v>98.279176364280431</v>
      </c>
      <c r="V348" s="518">
        <f t="shared" si="37"/>
        <v>100</v>
      </c>
      <c r="W348" s="511">
        <f>(T348*0)/(1+cDR)^'Markov Model_b (3)'!cycle2</f>
        <v>0</v>
      </c>
      <c r="X348" s="512">
        <f t="shared" si="38"/>
        <v>1.7208236357195688</v>
      </c>
      <c r="Y348" s="513">
        <f>(T348*(uPostT))/(1+oDR)^'Markov Model_b (3)'!cycle</f>
        <v>0.56237897779510149</v>
      </c>
      <c r="Z348" s="80"/>
      <c r="AA348" s="3"/>
      <c r="AB348" s="3"/>
      <c r="AC348" s="14">
        <v>336</v>
      </c>
      <c r="AD348" s="14"/>
      <c r="AE348" s="14"/>
      <c r="AF348" s="3"/>
      <c r="AG348" s="3"/>
      <c r="AH348" s="3"/>
      <c r="AI348" s="14"/>
      <c r="AJ348" s="14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</row>
    <row r="349" spans="1:47" ht="14.25" customHeight="1" x14ac:dyDescent="0.2">
      <c r="A349" s="3"/>
      <c r="B349" s="417"/>
      <c r="C349" s="173">
        <v>339</v>
      </c>
      <c r="D349" s="165"/>
      <c r="E349" s="174">
        <v>3.0096802223490749E-2</v>
      </c>
      <c r="F349" s="502"/>
      <c r="G349" s="219">
        <f t="shared" si="41"/>
        <v>1.7716374687481391</v>
      </c>
      <c r="H349" s="176">
        <f t="shared" si="42"/>
        <v>98.228362531251861</v>
      </c>
      <c r="I349" s="516">
        <f t="shared" si="39"/>
        <v>100</v>
      </c>
      <c r="J349" s="153">
        <f>(G349*0)/(1+cDR)^'Markov Model_b (3)'!cycle</f>
        <v>0</v>
      </c>
      <c r="K349" s="178">
        <f t="shared" si="35"/>
        <v>1.7716374687481391</v>
      </c>
      <c r="L349" s="202">
        <f>(G349*(uPostT))/(1+oDR)^'Markov Model_b (3)'!cycle</f>
        <v>0.57754149259742282</v>
      </c>
      <c r="M349" s="80"/>
      <c r="N349" s="3"/>
      <c r="O349" s="80"/>
      <c r="P349" s="173">
        <v>339</v>
      </c>
      <c r="Q349" s="165"/>
      <c r="R349" s="174">
        <v>3.009680195877586E-2</v>
      </c>
      <c r="S349" s="502"/>
      <c r="T349" s="219">
        <f t="shared" si="40"/>
        <v>1.6690323475493329</v>
      </c>
      <c r="U349" s="249">
        <f t="shared" si="36"/>
        <v>98.330967652450667</v>
      </c>
      <c r="V349" s="516">
        <f t="shared" si="37"/>
        <v>100</v>
      </c>
      <c r="W349" s="153">
        <f>(T349*0)/(1+cDR)^'Markov Model_b (3)'!cycle2</f>
        <v>0</v>
      </c>
      <c r="X349" s="178">
        <f t="shared" si="38"/>
        <v>1.6690323475493329</v>
      </c>
      <c r="Y349" s="202">
        <f>(T349*(uPostT))/(1+oDR)^'Markov Model_b (3)'!cycle</f>
        <v>0.54409293673279047</v>
      </c>
      <c r="Z349" s="80"/>
      <c r="AA349" s="3"/>
      <c r="AB349" s="3"/>
      <c r="AC349" s="14">
        <v>337</v>
      </c>
      <c r="AD349" s="14"/>
      <c r="AE349" s="14"/>
      <c r="AF349" s="3"/>
      <c r="AG349" s="3"/>
      <c r="AH349" s="3"/>
      <c r="AI349" s="14"/>
      <c r="AJ349" s="14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</row>
    <row r="350" spans="1:47" ht="14.25" customHeight="1" x14ac:dyDescent="0.2">
      <c r="A350" s="3"/>
      <c r="B350" s="417"/>
      <c r="C350" s="173">
        <v>340</v>
      </c>
      <c r="D350" s="165"/>
      <c r="E350" s="174">
        <v>3.0366565538754674E-2</v>
      </c>
      <c r="F350" s="502"/>
      <c r="G350" s="219">
        <f t="shared" si="41"/>
        <v>1.7178389234424856</v>
      </c>
      <c r="H350" s="176">
        <f t="shared" si="42"/>
        <v>98.282161076557514</v>
      </c>
      <c r="I350" s="516">
        <f t="shared" si="39"/>
        <v>100</v>
      </c>
      <c r="J350" s="153">
        <f>(G350*0)/(1+cDR)^'Markov Model_b (3)'!cycle</f>
        <v>0</v>
      </c>
      <c r="K350" s="178">
        <f t="shared" si="35"/>
        <v>1.7178389234424856</v>
      </c>
      <c r="L350" s="202">
        <f>(G350*(uPostT))/(1+oDR)^'Markov Model_b (3)'!cycle</f>
        <v>0.55860702345248192</v>
      </c>
      <c r="M350" s="80"/>
      <c r="N350" s="3"/>
      <c r="O350" s="80"/>
      <c r="P350" s="173">
        <v>340</v>
      </c>
      <c r="Q350" s="165"/>
      <c r="R350" s="174">
        <v>3.0366565245855369E-2</v>
      </c>
      <c r="S350" s="502"/>
      <c r="T350" s="219">
        <f t="shared" si="40"/>
        <v>1.6183495678700268</v>
      </c>
      <c r="U350" s="249">
        <f t="shared" si="36"/>
        <v>98.381650432129973</v>
      </c>
      <c r="V350" s="516">
        <f t="shared" si="37"/>
        <v>100</v>
      </c>
      <c r="W350" s="153">
        <f>(T350*0)/(1+cDR)^'Markov Model_b (3)'!cycle2</f>
        <v>0</v>
      </c>
      <c r="X350" s="178">
        <f t="shared" si="38"/>
        <v>1.6183495678700268</v>
      </c>
      <c r="Y350" s="202">
        <f>(T350*(uPostT))/(1+oDR)^'Markov Model_b (3)'!cycle</f>
        <v>0.52625506540616784</v>
      </c>
      <c r="Z350" s="80"/>
      <c r="AA350" s="3"/>
      <c r="AB350" s="3"/>
      <c r="AC350" s="14">
        <v>338</v>
      </c>
      <c r="AD350" s="14"/>
      <c r="AE350" s="14"/>
      <c r="AF350" s="3"/>
      <c r="AG350" s="3"/>
      <c r="AH350" s="3"/>
      <c r="AI350" s="14"/>
      <c r="AJ350" s="14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</row>
    <row r="351" spans="1:47" ht="14.25" customHeight="1" x14ac:dyDescent="0.2">
      <c r="A351" s="3"/>
      <c r="B351" s="417"/>
      <c r="C351" s="173">
        <v>341</v>
      </c>
      <c r="D351" s="165"/>
      <c r="E351" s="174">
        <v>3.0637248080076927E-2</v>
      </c>
      <c r="F351" s="502"/>
      <c r="G351" s="219">
        <f t="shared" si="41"/>
        <v>1.6652090661833654</v>
      </c>
      <c r="H351" s="176">
        <f t="shared" si="42"/>
        <v>98.334790933816635</v>
      </c>
      <c r="I351" s="516">
        <f t="shared" si="39"/>
        <v>100</v>
      </c>
      <c r="J351" s="153">
        <f>(G351*0)/(1+cDR)^'Markov Model_b (3)'!cycle</f>
        <v>0</v>
      </c>
      <c r="K351" s="178">
        <f t="shared" si="35"/>
        <v>1.6652090661833654</v>
      </c>
      <c r="L351" s="202">
        <f>(G351*(uPostT))/(1+oDR)^'Markov Model_b (3)'!cycle</f>
        <v>0.54014248528248854</v>
      </c>
      <c r="M351" s="80"/>
      <c r="N351" s="3"/>
      <c r="O351" s="80"/>
      <c r="P351" s="173">
        <v>341</v>
      </c>
      <c r="Q351" s="165"/>
      <c r="R351" s="174">
        <v>3.0637247756213404E-2</v>
      </c>
      <c r="S351" s="502"/>
      <c r="T351" s="219">
        <f t="shared" si="40"/>
        <v>1.5687677912030296</v>
      </c>
      <c r="U351" s="249">
        <f t="shared" si="36"/>
        <v>98.43123220879697</v>
      </c>
      <c r="V351" s="516">
        <f t="shared" si="37"/>
        <v>100</v>
      </c>
      <c r="W351" s="153">
        <f>(T351*0)/(1+cDR)^'Markov Model_b (3)'!cycle2</f>
        <v>0</v>
      </c>
      <c r="X351" s="178">
        <f t="shared" si="38"/>
        <v>1.5687677912030296</v>
      </c>
      <c r="Y351" s="202">
        <f>(T351*(uPostT))/(1+oDR)^'Markov Model_b (3)'!cycle</f>
        <v>0.50885990881232512</v>
      </c>
      <c r="Z351" s="80"/>
      <c r="AA351" s="3"/>
      <c r="AB351" s="3"/>
      <c r="AC351" s="14">
        <v>339</v>
      </c>
      <c r="AD351" s="14"/>
      <c r="AE351" s="14"/>
      <c r="AF351" s="3"/>
      <c r="AG351" s="3"/>
      <c r="AH351" s="3"/>
      <c r="AI351" s="14"/>
      <c r="AJ351" s="14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</row>
    <row r="352" spans="1:47" ht="14.25" customHeight="1" x14ac:dyDescent="0.2">
      <c r="A352" s="3"/>
      <c r="B352" s="417"/>
      <c r="C352" s="173">
        <v>342</v>
      </c>
      <c r="D352" s="165"/>
      <c r="E352" s="174">
        <v>3.0908880277625297E-2</v>
      </c>
      <c r="F352" s="502"/>
      <c r="G352" s="219">
        <f t="shared" si="41"/>
        <v>1.6137393185194924</v>
      </c>
      <c r="H352" s="176">
        <f t="shared" si="42"/>
        <v>98.386260681480508</v>
      </c>
      <c r="I352" s="516">
        <f t="shared" si="39"/>
        <v>100</v>
      </c>
      <c r="J352" s="153">
        <f>(G352*0)/(1+cDR)^'Markov Model_b (3)'!cycle</f>
        <v>0</v>
      </c>
      <c r="K352" s="178">
        <f t="shared" si="35"/>
        <v>1.6137393185194924</v>
      </c>
      <c r="L352" s="202">
        <f>(G352*(uPostT))/(1+oDR)^'Markov Model_b (3)'!cycle</f>
        <v>0.52214193104442375</v>
      </c>
      <c r="M352" s="80"/>
      <c r="N352" s="3"/>
      <c r="O352" s="80"/>
      <c r="P352" s="173">
        <v>342</v>
      </c>
      <c r="Q352" s="165"/>
      <c r="R352" s="174">
        <v>3.0908879920290462E-2</v>
      </c>
      <c r="S352" s="502"/>
      <c r="T352" s="219">
        <f t="shared" si="40"/>
        <v>1.5202789359219224</v>
      </c>
      <c r="U352" s="249">
        <f t="shared" si="36"/>
        <v>98.479721064078078</v>
      </c>
      <c r="V352" s="516">
        <f t="shared" si="37"/>
        <v>100</v>
      </c>
      <c r="W352" s="153">
        <f>(T352*0)/(1+cDR)^'Markov Model_b (3)'!cycle2</f>
        <v>0</v>
      </c>
      <c r="X352" s="178">
        <f t="shared" si="38"/>
        <v>1.5202789359219224</v>
      </c>
      <c r="Y352" s="202">
        <f>(T352*(uPostT))/(1+oDR)^'Markov Model_b (3)'!cycle</f>
        <v>0.49190186433376293</v>
      </c>
      <c r="Z352" s="80"/>
      <c r="AA352" s="3"/>
      <c r="AB352" s="3"/>
      <c r="AC352" s="14">
        <v>340</v>
      </c>
      <c r="AD352" s="14"/>
      <c r="AE352" s="14"/>
      <c r="AF352" s="3"/>
      <c r="AG352" s="3"/>
      <c r="AH352" s="3"/>
      <c r="AI352" s="14"/>
      <c r="AJ352" s="14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</row>
    <row r="353" spans="1:47" ht="14.25" customHeight="1" x14ac:dyDescent="0.2">
      <c r="A353" s="3"/>
      <c r="B353" s="417"/>
      <c r="C353" s="173">
        <v>343</v>
      </c>
      <c r="D353" s="165"/>
      <c r="E353" s="174">
        <v>3.1181225389998738E-2</v>
      </c>
      <c r="F353" s="502"/>
      <c r="G353" s="219">
        <f t="shared" si="41"/>
        <v>1.5634209491080355</v>
      </c>
      <c r="H353" s="176">
        <f t="shared" si="42"/>
        <v>98.436579050891964</v>
      </c>
      <c r="I353" s="516">
        <f t="shared" si="39"/>
        <v>100</v>
      </c>
      <c r="J353" s="153">
        <f>(G353*0)/(1+cDR)^'Markov Model_b (3)'!cycle</f>
        <v>0</v>
      </c>
      <c r="K353" s="178">
        <f t="shared" si="35"/>
        <v>1.5634209491080355</v>
      </c>
      <c r="L353" s="202">
        <f>(G353*(uPostT))/(1+oDR)^'Markov Model_b (3)'!cycle</f>
        <v>0.50459940728873731</v>
      </c>
      <c r="M353" s="80"/>
      <c r="N353" s="3"/>
      <c r="O353" s="80"/>
      <c r="P353" s="173">
        <v>343</v>
      </c>
      <c r="Q353" s="165"/>
      <c r="R353" s="174">
        <v>3.1181224996570028E-2</v>
      </c>
      <c r="S353" s="502"/>
      <c r="T353" s="219">
        <f t="shared" si="40"/>
        <v>1.4728747763633976</v>
      </c>
      <c r="U353" s="249">
        <f t="shared" si="36"/>
        <v>98.527125223636602</v>
      </c>
      <c r="V353" s="516">
        <f t="shared" si="37"/>
        <v>100</v>
      </c>
      <c r="W353" s="153">
        <f>(T353*0)/(1+cDR)^'Markov Model_b (3)'!cycle2</f>
        <v>0</v>
      </c>
      <c r="X353" s="178">
        <f t="shared" si="38"/>
        <v>1.4728747763633976</v>
      </c>
      <c r="Y353" s="202">
        <f>(T353*(uPostT))/(1+oDR)^'Markov Model_b (3)'!cycle</f>
        <v>0.47537532331744681</v>
      </c>
      <c r="Z353" s="80"/>
      <c r="AA353" s="3"/>
      <c r="AB353" s="3"/>
      <c r="AC353" s="14">
        <v>341</v>
      </c>
      <c r="AD353" s="14"/>
      <c r="AE353" s="14"/>
      <c r="AF353" s="3"/>
      <c r="AG353" s="3"/>
      <c r="AH353" s="3"/>
      <c r="AI353" s="14"/>
      <c r="AJ353" s="14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</row>
    <row r="354" spans="1:47" ht="14.25" customHeight="1" x14ac:dyDescent="0.2">
      <c r="A354" s="3"/>
      <c r="B354" s="417"/>
      <c r="C354" s="173">
        <v>344</v>
      </c>
      <c r="D354" s="165"/>
      <c r="E354" s="174">
        <v>3.1454167171990309E-2</v>
      </c>
      <c r="F354" s="502"/>
      <c r="G354" s="219">
        <f t="shared" si="41"/>
        <v>1.5142448452146056</v>
      </c>
      <c r="H354" s="176">
        <f t="shared" si="42"/>
        <v>98.485755154785394</v>
      </c>
      <c r="I354" s="516">
        <f t="shared" si="39"/>
        <v>100</v>
      </c>
      <c r="J354" s="153">
        <f>(G354*0)/(1+cDR)^'Markov Model_b (3)'!cycle</f>
        <v>0</v>
      </c>
      <c r="K354" s="178">
        <f t="shared" si="35"/>
        <v>1.5142448452146056</v>
      </c>
      <c r="L354" s="202">
        <f>(G354*(uPostT))/(1+oDR)^'Markov Model_b (3)'!cycle</f>
        <v>0.48750888097455575</v>
      </c>
      <c r="M354" s="80"/>
      <c r="N354" s="3"/>
      <c r="O354" s="80"/>
      <c r="P354" s="173">
        <v>344</v>
      </c>
      <c r="Q354" s="165"/>
      <c r="R354" s="174">
        <v>3.1454166740688801E-2</v>
      </c>
      <c r="S354" s="502"/>
      <c r="T354" s="219">
        <f t="shared" si="40"/>
        <v>1.4265467275595114</v>
      </c>
      <c r="U354" s="249">
        <f t="shared" si="36"/>
        <v>98.573453272440489</v>
      </c>
      <c r="V354" s="516">
        <f t="shared" si="37"/>
        <v>100</v>
      </c>
      <c r="W354" s="153">
        <f>(T354*0)/(1+cDR)^'Markov Model_b (3)'!cycle2</f>
        <v>0</v>
      </c>
      <c r="X354" s="178">
        <f t="shared" si="38"/>
        <v>1.4265467275595114</v>
      </c>
      <c r="Y354" s="202">
        <f>(T354*(uPostT))/(1+oDR)^'Markov Model_b (3)'!cycle</f>
        <v>0.45927460212809174</v>
      </c>
      <c r="Z354" s="80"/>
      <c r="AA354" s="3"/>
      <c r="AB354" s="3"/>
      <c r="AC354" s="14">
        <v>342</v>
      </c>
      <c r="AD354" s="14"/>
      <c r="AE354" s="14"/>
      <c r="AF354" s="3"/>
      <c r="AG354" s="3"/>
      <c r="AH354" s="3"/>
      <c r="AI354" s="14"/>
      <c r="AJ354" s="14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</row>
    <row r="355" spans="1:47" ht="14.25" customHeight="1" x14ac:dyDescent="0.2">
      <c r="A355" s="3"/>
      <c r="B355" s="417"/>
      <c r="C355" s="173">
        <v>345</v>
      </c>
      <c r="D355" s="165"/>
      <c r="E355" s="174">
        <v>3.1728340913900595E-2</v>
      </c>
      <c r="F355" s="502"/>
      <c r="G355" s="219">
        <f t="shared" si="41"/>
        <v>1.466200368538523</v>
      </c>
      <c r="H355" s="176">
        <f t="shared" si="42"/>
        <v>98.533799631461477</v>
      </c>
      <c r="I355" s="516">
        <f t="shared" si="39"/>
        <v>100</v>
      </c>
      <c r="J355" s="153">
        <f>(G355*0)/(1+cDR)^'Markov Model_b (3)'!cycle</f>
        <v>0</v>
      </c>
      <c r="K355" s="178">
        <f t="shared" si="35"/>
        <v>1.466200368538523</v>
      </c>
      <c r="L355" s="202">
        <f>(G355*(uPostT))/(1+oDR)^'Markov Model_b (3)'!cycle</f>
        <v>0.47086387331714891</v>
      </c>
      <c r="M355" s="80"/>
      <c r="N355" s="3"/>
      <c r="O355" s="80"/>
      <c r="P355" s="173">
        <v>345</v>
      </c>
      <c r="Q355" s="165"/>
      <c r="R355" s="174">
        <v>3.1728340447017493E-2</v>
      </c>
      <c r="S355" s="502"/>
      <c r="T355" s="219">
        <f t="shared" si="40"/>
        <v>1.381284767323919</v>
      </c>
      <c r="U355" s="249">
        <f t="shared" si="36"/>
        <v>98.618715232676081</v>
      </c>
      <c r="V355" s="516">
        <f t="shared" si="37"/>
        <v>100</v>
      </c>
      <c r="W355" s="153">
        <f>(T355*0)/(1+cDR)^'Markov Model_b (3)'!cycle2</f>
        <v>0</v>
      </c>
      <c r="X355" s="178">
        <f t="shared" si="38"/>
        <v>1.381284767323919</v>
      </c>
      <c r="Y355" s="202">
        <f>(T355*(uPostT))/(1+oDR)^'Markov Model_b (3)'!cycle</f>
        <v>0.443593597200101</v>
      </c>
      <c r="Z355" s="80"/>
      <c r="AA355" s="3"/>
      <c r="AB355" s="3"/>
      <c r="AC355" s="14">
        <v>343</v>
      </c>
      <c r="AD355" s="14"/>
      <c r="AE355" s="14"/>
      <c r="AF355" s="3"/>
      <c r="AG355" s="3"/>
      <c r="AH355" s="3"/>
      <c r="AI355" s="14"/>
      <c r="AJ355" s="14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</row>
    <row r="356" spans="1:47" ht="14.25" customHeight="1" x14ac:dyDescent="0.2">
      <c r="A356" s="3"/>
      <c r="B356" s="417"/>
      <c r="C356" s="173">
        <v>346</v>
      </c>
      <c r="D356" s="165"/>
      <c r="E356" s="174">
        <v>3.2003722109048567E-2</v>
      </c>
      <c r="F356" s="502"/>
      <c r="G356" s="219">
        <f t="shared" si="41"/>
        <v>1.4192764993876352</v>
      </c>
      <c r="H356" s="176">
        <f t="shared" si="42"/>
        <v>98.580723500612365</v>
      </c>
      <c r="I356" s="516">
        <f t="shared" si="39"/>
        <v>100</v>
      </c>
      <c r="J356" s="153">
        <f>(G356*0)/(1+cDR)^'Markov Model_b (3)'!cycle</f>
        <v>0</v>
      </c>
      <c r="K356" s="178">
        <f t="shared" si="35"/>
        <v>1.4192764993876352</v>
      </c>
      <c r="L356" s="202">
        <f>(G356*(uPostT))/(1+oDR)^'Markov Model_b (3)'!cycle</f>
        <v>0.45465783218385825</v>
      </c>
      <c r="M356" s="80"/>
      <c r="N356" s="3"/>
      <c r="O356" s="80"/>
      <c r="P356" s="173">
        <v>346</v>
      </c>
      <c r="Q356" s="165"/>
      <c r="R356" s="174">
        <v>3.2003721610478472E-2</v>
      </c>
      <c r="S356" s="502"/>
      <c r="T356" s="219">
        <f t="shared" si="40"/>
        <v>1.3370785141656967</v>
      </c>
      <c r="U356" s="249">
        <f t="shared" si="36"/>
        <v>98.662921485834303</v>
      </c>
      <c r="V356" s="516">
        <f t="shared" si="37"/>
        <v>100</v>
      </c>
      <c r="W356" s="153">
        <f>(T356*0)/(1+cDR)^'Markov Model_b (3)'!cycle2</f>
        <v>0</v>
      </c>
      <c r="X356" s="178">
        <f t="shared" si="38"/>
        <v>1.3370785141656967</v>
      </c>
      <c r="Y356" s="202">
        <f>(T356*(uPostT))/(1+oDR)^'Markov Model_b (3)'!cycle</f>
        <v>0.42832613586745188</v>
      </c>
      <c r="Z356" s="80"/>
      <c r="AA356" s="3"/>
      <c r="AB356" s="3"/>
      <c r="AC356" s="14">
        <v>344</v>
      </c>
      <c r="AD356" s="14"/>
      <c r="AE356" s="14"/>
      <c r="AF356" s="3"/>
      <c r="AG356" s="3"/>
      <c r="AH356" s="3"/>
      <c r="AI356" s="14"/>
      <c r="AJ356" s="14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</row>
    <row r="357" spans="1:47" ht="14.25" customHeight="1" x14ac:dyDescent="0.2">
      <c r="A357" s="3"/>
      <c r="B357" s="417"/>
      <c r="C357" s="173">
        <v>347</v>
      </c>
      <c r="D357" s="165"/>
      <c r="E357" s="174">
        <v>3.2280025307063892E-2</v>
      </c>
      <c r="F357" s="502"/>
      <c r="G357" s="219">
        <f t="shared" si="41"/>
        <v>1.3734622180696761</v>
      </c>
      <c r="H357" s="176">
        <f t="shared" si="42"/>
        <v>98.626537781930324</v>
      </c>
      <c r="I357" s="516">
        <f t="shared" si="39"/>
        <v>100</v>
      </c>
      <c r="J357" s="153">
        <f>(G357*0)/(1+cDR)^'Markov Model_b (3)'!cycle</f>
        <v>0</v>
      </c>
      <c r="K357" s="178">
        <f t="shared" si="35"/>
        <v>1.3734622180696761</v>
      </c>
      <c r="L357" s="202">
        <f>(G357*(uPostT))/(1+oDR)^'Markov Model_b (3)'!cycle</f>
        <v>0.43888425521686469</v>
      </c>
      <c r="M357" s="80"/>
      <c r="N357" s="3"/>
      <c r="O357" s="80"/>
      <c r="P357" s="173">
        <v>347</v>
      </c>
      <c r="Q357" s="165"/>
      <c r="R357" s="174">
        <v>3.2280024781319666E-2</v>
      </c>
      <c r="S357" s="502"/>
      <c r="T357" s="219">
        <f t="shared" si="40"/>
        <v>1.2939175865938637</v>
      </c>
      <c r="U357" s="249">
        <f t="shared" si="36"/>
        <v>98.706082413406136</v>
      </c>
      <c r="V357" s="516">
        <f t="shared" si="37"/>
        <v>100</v>
      </c>
      <c r="W357" s="153">
        <f>(T357*0)/(1+cDR)^'Markov Model_b (3)'!cycle2</f>
        <v>0</v>
      </c>
      <c r="X357" s="178">
        <f t="shared" si="38"/>
        <v>1.2939175865938637</v>
      </c>
      <c r="Y357" s="202">
        <f>(T357*(uPostT))/(1+oDR)^'Markov Model_b (3)'!cycle</f>
        <v>0.41346609235627485</v>
      </c>
      <c r="Z357" s="80"/>
      <c r="AA357" s="3"/>
      <c r="AB357" s="3"/>
      <c r="AC357" s="14">
        <v>345</v>
      </c>
      <c r="AD357" s="14"/>
      <c r="AE357" s="14"/>
      <c r="AF357" s="3"/>
      <c r="AG357" s="3"/>
      <c r="AH357" s="3"/>
      <c r="AI357" s="14"/>
      <c r="AJ357" s="14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</row>
    <row r="358" spans="1:47" ht="14.25" customHeight="1" x14ac:dyDescent="0.2">
      <c r="A358" s="3"/>
      <c r="B358" s="417"/>
      <c r="C358" s="173">
        <v>348</v>
      </c>
      <c r="D358" s="165"/>
      <c r="E358" s="174">
        <v>3.2557166128892798E-2</v>
      </c>
      <c r="F358" s="502"/>
      <c r="G358" s="219">
        <f t="shared" si="41"/>
        <v>1.328746180464222</v>
      </c>
      <c r="H358" s="176">
        <f t="shared" si="42"/>
        <v>98.671253819535778</v>
      </c>
      <c r="I358" s="516">
        <f t="shared" si="39"/>
        <v>100</v>
      </c>
      <c r="J358" s="153">
        <f>(G358*0)/(1+cDR)^'Markov Model_b (3)'!cycle</f>
        <v>0</v>
      </c>
      <c r="K358" s="178">
        <f t="shared" si="35"/>
        <v>1.328746180464222</v>
      </c>
      <c r="L358" s="202">
        <f>(G358*(uPostT))/(1+oDR)^'Markov Model_b (3)'!cycle</f>
        <v>0.4235365861430555</v>
      </c>
      <c r="M358" s="80"/>
      <c r="N358" s="3"/>
      <c r="O358" s="80"/>
      <c r="P358" s="173">
        <v>348</v>
      </c>
      <c r="Q358" s="165"/>
      <c r="R358" s="174">
        <v>3.2557165581414291E-2</v>
      </c>
      <c r="S358" s="502"/>
      <c r="T358" s="219">
        <f t="shared" si="40"/>
        <v>1.2517912974784196</v>
      </c>
      <c r="U358" s="249">
        <f t="shared" si="36"/>
        <v>98.74820870252158</v>
      </c>
      <c r="V358" s="516">
        <f t="shared" si="37"/>
        <v>100</v>
      </c>
      <c r="W358" s="153">
        <f>(T358*0)/(1+cDR)^'Markov Model_b (3)'!cycle2</f>
        <v>0</v>
      </c>
      <c r="X358" s="178">
        <f t="shared" si="38"/>
        <v>1.2517912974784196</v>
      </c>
      <c r="Y358" s="202">
        <f>(T358*(uPostT))/(1+oDR)^'Markov Model_b (3)'!cycle</f>
        <v>0.39900729009988045</v>
      </c>
      <c r="Z358" s="80"/>
      <c r="AA358" s="3"/>
      <c r="AB358" s="3"/>
      <c r="AC358" s="14">
        <v>346</v>
      </c>
      <c r="AD358" s="14"/>
      <c r="AE358" s="14"/>
      <c r="AF358" s="3"/>
      <c r="AG358" s="3"/>
      <c r="AH358" s="3"/>
      <c r="AI358" s="14"/>
      <c r="AJ358" s="14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</row>
    <row r="359" spans="1:47" ht="14.25" customHeight="1" x14ac:dyDescent="0.2">
      <c r="A359" s="3"/>
      <c r="B359" s="417"/>
      <c r="C359" s="173">
        <v>349</v>
      </c>
      <c r="D359" s="504"/>
      <c r="E359" s="174">
        <v>3.2835793899526469E-2</v>
      </c>
      <c r="F359" s="505"/>
      <c r="G359" s="219">
        <f t="shared" si="41"/>
        <v>1.2851157447377091</v>
      </c>
      <c r="H359" s="176">
        <f t="shared" si="42"/>
        <v>98.714884255262291</v>
      </c>
      <c r="I359" s="516">
        <f t="shared" si="39"/>
        <v>100</v>
      </c>
      <c r="J359" s="180">
        <f>(G359*0)/(1+cDR)^'Markov Model_b (3)'!cycle</f>
        <v>0</v>
      </c>
      <c r="K359" s="176">
        <f t="shared" si="35"/>
        <v>1.2851157447377091</v>
      </c>
      <c r="L359" s="202">
        <f>(G359*(uPostT))/(1+oDR)^'Markov Model_b (3)'!cycle</f>
        <v>0.40860790632573651</v>
      </c>
      <c r="M359" s="80"/>
      <c r="N359" s="3"/>
      <c r="O359" s="80"/>
      <c r="P359" s="173">
        <v>349</v>
      </c>
      <c r="Q359" s="504"/>
      <c r="R359" s="174">
        <v>3.2835793337159899E-2</v>
      </c>
      <c r="S359" s="505"/>
      <c r="T359" s="219">
        <f t="shared" si="40"/>
        <v>1.2106877371331564</v>
      </c>
      <c r="U359" s="249">
        <f t="shared" si="36"/>
        <v>98.789312262866844</v>
      </c>
      <c r="V359" s="516">
        <f t="shared" si="37"/>
        <v>100</v>
      </c>
      <c r="W359" s="180">
        <f>(T359*0)/(1+cDR)^'Markov Model_b (3)'!cycle2</f>
        <v>0</v>
      </c>
      <c r="X359" s="176">
        <f t="shared" si="38"/>
        <v>1.2106877371331564</v>
      </c>
      <c r="Y359" s="202">
        <f>(T359*(uPostT))/(1+oDR)^'Markov Model_b (3)'!cycle</f>
        <v>0.38494321115425273</v>
      </c>
      <c r="Z359" s="80"/>
      <c r="AA359" s="3"/>
      <c r="AB359" s="3"/>
      <c r="AC359" s="14">
        <v>347</v>
      </c>
      <c r="AD359" s="14"/>
      <c r="AE359" s="14"/>
      <c r="AF359" s="3"/>
      <c r="AG359" s="3"/>
      <c r="AH359" s="3"/>
      <c r="AI359" s="14"/>
      <c r="AJ359" s="14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</row>
    <row r="360" spans="1:47" ht="14.25" customHeight="1" x14ac:dyDescent="0.25">
      <c r="A360" s="3">
        <v>31</v>
      </c>
      <c r="B360" s="417"/>
      <c r="C360" s="506">
        <v>350</v>
      </c>
      <c r="D360" s="506"/>
      <c r="E360" s="507">
        <v>3.3115927715940872E-2</v>
      </c>
      <c r="F360" s="508"/>
      <c r="G360" s="509">
        <f t="shared" si="41"/>
        <v>1.2425579446283592</v>
      </c>
      <c r="H360" s="176">
        <f t="shared" si="42"/>
        <v>98.757442055371641</v>
      </c>
      <c r="I360" s="518">
        <f t="shared" si="39"/>
        <v>100</v>
      </c>
      <c r="J360" s="511">
        <f>(G360*0)/(1+cDR)^'Markov Model_b (3)'!cycle</f>
        <v>0</v>
      </c>
      <c r="K360" s="512">
        <f t="shared" si="35"/>
        <v>1.2425579446283592</v>
      </c>
      <c r="L360" s="513">
        <f>(G360*(uPostT))/(1+oDR)^'Markov Model_b (3)'!cycle</f>
        <v>0.39409124831490494</v>
      </c>
      <c r="M360" s="80"/>
      <c r="N360" s="3"/>
      <c r="O360" s="80"/>
      <c r="P360" s="506">
        <v>350</v>
      </c>
      <c r="Q360" s="506"/>
      <c r="R360" s="507">
        <v>3.3115927146752815E-2</v>
      </c>
      <c r="S360" s="508"/>
      <c r="T360" s="509">
        <f t="shared" si="40"/>
        <v>1.1705946902327895</v>
      </c>
      <c r="U360" s="249">
        <f t="shared" si="36"/>
        <v>98.82940530976721</v>
      </c>
      <c r="V360" s="518">
        <f t="shared" si="37"/>
        <v>100</v>
      </c>
      <c r="W360" s="511">
        <f>(T360*0)/(1+cDR)^'Markov Model_b (3)'!cycle2</f>
        <v>0</v>
      </c>
      <c r="X360" s="512">
        <f t="shared" si="38"/>
        <v>1.1705946902327895</v>
      </c>
      <c r="Y360" s="513">
        <f>(T360*(uPostT))/(1+oDR)^'Markov Model_b (3)'!cycle</f>
        <v>0.37126729158905947</v>
      </c>
      <c r="Z360" s="80"/>
      <c r="AA360" s="3"/>
      <c r="AB360" s="3"/>
      <c r="AC360" s="14">
        <v>348</v>
      </c>
      <c r="AD360" s="14"/>
      <c r="AE360" s="14"/>
      <c r="AF360" s="3"/>
      <c r="AG360" s="3"/>
      <c r="AH360" s="3"/>
      <c r="AI360" s="14"/>
      <c r="AJ360" s="14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</row>
    <row r="361" spans="1:47" ht="14.25" customHeight="1" x14ac:dyDescent="0.2">
      <c r="A361" s="3"/>
      <c r="B361" s="417"/>
      <c r="C361" s="173">
        <v>351</v>
      </c>
      <c r="D361" s="165"/>
      <c r="E361" s="174">
        <v>3.3397521993936349E-2</v>
      </c>
      <c r="F361" s="502"/>
      <c r="G361" s="219">
        <f t="shared" si="41"/>
        <v>1.2010595883438953</v>
      </c>
      <c r="H361" s="176">
        <f t="shared" si="42"/>
        <v>98.798940411656105</v>
      </c>
      <c r="I361" s="516">
        <f t="shared" si="39"/>
        <v>100</v>
      </c>
      <c r="J361" s="153">
        <f>(G361*0)/(1+cDR)^'Markov Model_b (3)'!cycle</f>
        <v>0</v>
      </c>
      <c r="K361" s="178">
        <f t="shared" si="35"/>
        <v>1.2010595883438953</v>
      </c>
      <c r="L361" s="202">
        <f>(G361*(uPostT))/(1+oDR)^'Markov Model_b (3)'!cycle</f>
        <v>0.37997962811141223</v>
      </c>
      <c r="M361" s="80"/>
      <c r="N361" s="3"/>
      <c r="O361" s="80"/>
      <c r="P361" s="173">
        <v>351</v>
      </c>
      <c r="Q361" s="165"/>
      <c r="R361" s="174">
        <v>3.3397521426424798E-2</v>
      </c>
      <c r="S361" s="502"/>
      <c r="T361" s="219">
        <f t="shared" si="40"/>
        <v>1.1314997289840818</v>
      </c>
      <c r="U361" s="249">
        <f t="shared" si="36"/>
        <v>98.868500271015918</v>
      </c>
      <c r="V361" s="516">
        <f t="shared" si="37"/>
        <v>100</v>
      </c>
      <c r="W361" s="153">
        <f>(T361*0)/(1+cDR)^'Markov Model_b (3)'!cycle2</f>
        <v>0</v>
      </c>
      <c r="X361" s="178">
        <f t="shared" si="38"/>
        <v>1.1314997289840818</v>
      </c>
      <c r="Y361" s="202">
        <f>(T361*(uPostT))/(1+oDR)^'Markov Model_b (3)'!cycle</f>
        <v>0.35797295188357459</v>
      </c>
      <c r="Z361" s="80"/>
      <c r="AA361" s="3"/>
      <c r="AB361" s="3"/>
      <c r="AC361" s="14">
        <v>349</v>
      </c>
      <c r="AD361" s="14"/>
      <c r="AE361" s="14"/>
      <c r="AF361" s="3"/>
      <c r="AG361" s="3"/>
      <c r="AH361" s="3"/>
      <c r="AI361" s="14"/>
      <c r="AJ361" s="14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</row>
    <row r="362" spans="1:47" ht="14.25" customHeight="1" x14ac:dyDescent="0.2">
      <c r="A362" s="3"/>
      <c r="B362" s="417"/>
      <c r="C362" s="173">
        <v>352</v>
      </c>
      <c r="D362" s="165"/>
      <c r="E362" s="174">
        <v>3.3681098561890437E-2</v>
      </c>
      <c r="F362" s="502"/>
      <c r="G362" s="219">
        <f t="shared" si="41"/>
        <v>1.1606065819701854</v>
      </c>
      <c r="H362" s="176">
        <f t="shared" si="42"/>
        <v>98.839393418029815</v>
      </c>
      <c r="I362" s="516">
        <f t="shared" si="39"/>
        <v>100</v>
      </c>
      <c r="J362" s="153">
        <f>(G362*0)/(1+cDR)^'Markov Model_b (3)'!cycle</f>
        <v>0</v>
      </c>
      <c r="K362" s="178">
        <f t="shared" si="35"/>
        <v>1.1606065819701854</v>
      </c>
      <c r="L362" s="202">
        <f>(G362*(uPostT))/(1+oDR)^'Markov Model_b (3)'!cycle</f>
        <v>0.36626583222492032</v>
      </c>
      <c r="M362" s="80"/>
      <c r="N362" s="3"/>
      <c r="O362" s="80"/>
      <c r="P362" s="173">
        <v>352</v>
      </c>
      <c r="Q362" s="165"/>
      <c r="R362" s="174">
        <v>3.368109800293298E-2</v>
      </c>
      <c r="S362" s="502"/>
      <c r="T362" s="219">
        <f t="shared" si="40"/>
        <v>1.0933895757218721</v>
      </c>
      <c r="U362" s="249">
        <f t="shared" si="36"/>
        <v>98.906610424278128</v>
      </c>
      <c r="V362" s="516">
        <f t="shared" si="37"/>
        <v>100</v>
      </c>
      <c r="W362" s="153">
        <f>(T362*0)/(1+cDR)^'Markov Model_b (3)'!cycle2</f>
        <v>0</v>
      </c>
      <c r="X362" s="178">
        <f t="shared" si="38"/>
        <v>1.0933895757218721</v>
      </c>
      <c r="Y362" s="202">
        <f>(T362*(uPostT))/(1+oDR)^'Markov Model_b (3)'!cycle</f>
        <v>0.3450533963179882</v>
      </c>
      <c r="Z362" s="80"/>
      <c r="AA362" s="3"/>
      <c r="AB362" s="3"/>
      <c r="AC362" s="14">
        <v>350</v>
      </c>
      <c r="AD362" s="14"/>
      <c r="AE362" s="14"/>
      <c r="AF362" s="3"/>
      <c r="AG362" s="3"/>
      <c r="AH362" s="3"/>
      <c r="AI362" s="14"/>
      <c r="AJ362" s="14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</row>
    <row r="363" spans="1:47" ht="14.25" customHeight="1" x14ac:dyDescent="0.2">
      <c r="A363" s="3"/>
      <c r="B363" s="417"/>
      <c r="C363" s="173">
        <v>353</v>
      </c>
      <c r="D363" s="165"/>
      <c r="E363" s="174">
        <v>3.3966700275498071E-2</v>
      </c>
      <c r="F363" s="502"/>
      <c r="G363" s="219">
        <f t="shared" si="41"/>
        <v>1.1211846060626272</v>
      </c>
      <c r="H363" s="176">
        <f t="shared" si="42"/>
        <v>98.878815393937373</v>
      </c>
      <c r="I363" s="516">
        <f t="shared" si="39"/>
        <v>100</v>
      </c>
      <c r="J363" s="153">
        <f>(G363*0)/(1+cDR)^'Markov Model_b (3)'!cycle</f>
        <v>0</v>
      </c>
      <c r="K363" s="178">
        <f t="shared" si="35"/>
        <v>1.1211846060626272</v>
      </c>
      <c r="L363" s="202">
        <f>(G363*(uPostT))/(1+oDR)^'Markov Model_b (3)'!cycle</f>
        <v>0.35294263389583885</v>
      </c>
      <c r="M363" s="80"/>
      <c r="N363" s="3"/>
      <c r="O363" s="80"/>
      <c r="P363" s="173">
        <v>353</v>
      </c>
      <c r="Q363" s="165"/>
      <c r="R363" s="174">
        <v>3.3966699732143536E-2</v>
      </c>
      <c r="S363" s="502"/>
      <c r="T363" s="219">
        <f t="shared" si="40"/>
        <v>1.0562507403130752</v>
      </c>
      <c r="U363" s="249">
        <f t="shared" si="36"/>
        <v>98.943749259686925</v>
      </c>
      <c r="V363" s="516">
        <f t="shared" si="37"/>
        <v>100</v>
      </c>
      <c r="W363" s="153">
        <f>(T363*0)/(1+cDR)^'Markov Model_b (3)'!cycle2</f>
        <v>0</v>
      </c>
      <c r="X363" s="178">
        <f t="shared" si="38"/>
        <v>1.0562507403130752</v>
      </c>
      <c r="Y363" s="202">
        <f>(T363*(uPostT))/(1+oDR)^'Markov Model_b (3)'!cycle</f>
        <v>0.33250181667201989</v>
      </c>
      <c r="Z363" s="80"/>
      <c r="AA363" s="3"/>
      <c r="AB363" s="3"/>
      <c r="AC363" s="14">
        <v>351</v>
      </c>
      <c r="AD363" s="14"/>
      <c r="AE363" s="14"/>
      <c r="AF363" s="3"/>
      <c r="AG363" s="3"/>
      <c r="AH363" s="3"/>
      <c r="AI363" s="14"/>
      <c r="AJ363" s="14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</row>
    <row r="364" spans="1:47" ht="14.25" customHeight="1" x14ac:dyDescent="0.2">
      <c r="A364" s="3"/>
      <c r="B364" s="417"/>
      <c r="C364" s="173">
        <v>354</v>
      </c>
      <c r="D364" s="165"/>
      <c r="E364" s="174">
        <v>3.4254184973897241E-2</v>
      </c>
      <c r="F364" s="502"/>
      <c r="G364" s="219">
        <f t="shared" si="41"/>
        <v>1.0827793411766748</v>
      </c>
      <c r="H364" s="176">
        <f t="shared" si="42"/>
        <v>98.917220658823325</v>
      </c>
      <c r="I364" s="516">
        <f t="shared" si="39"/>
        <v>100</v>
      </c>
      <c r="J364" s="153">
        <f>(G364*0)/(1+cDR)^'Markov Model_b (3)'!cycle</f>
        <v>0</v>
      </c>
      <c r="K364" s="178">
        <f t="shared" si="35"/>
        <v>1.0827793411766748</v>
      </c>
      <c r="L364" s="202">
        <f>(G364*(uPostT))/(1+oDR)^'Markov Model_b (3)'!cycle</f>
        <v>0.3400028644680273</v>
      </c>
      <c r="M364" s="80"/>
      <c r="N364" s="3"/>
      <c r="O364" s="80"/>
      <c r="P364" s="173">
        <v>354</v>
      </c>
      <c r="Q364" s="165"/>
      <c r="R364" s="174">
        <v>3.4254184454130449E-2</v>
      </c>
      <c r="S364" s="502"/>
      <c r="T364" s="219">
        <f t="shared" si="40"/>
        <v>1.0200697326245773</v>
      </c>
      <c r="U364" s="249">
        <f t="shared" si="36"/>
        <v>98.979930267375423</v>
      </c>
      <c r="V364" s="516">
        <f t="shared" si="37"/>
        <v>100</v>
      </c>
      <c r="W364" s="153">
        <f>(T364*0)/(1+cDR)^'Markov Model_b (3)'!cycle2</f>
        <v>0</v>
      </c>
      <c r="X364" s="178">
        <f t="shared" si="38"/>
        <v>1.0200697326245773</v>
      </c>
      <c r="Y364" s="202">
        <f>(T364*(uPostT))/(1+oDR)^'Markov Model_b (3)'!cycle</f>
        <v>0.32031145946374312</v>
      </c>
      <c r="Z364" s="80"/>
      <c r="AA364" s="3"/>
      <c r="AB364" s="3"/>
      <c r="AC364" s="14">
        <v>352</v>
      </c>
      <c r="AD364" s="14"/>
      <c r="AE364" s="14"/>
      <c r="AF364" s="3"/>
      <c r="AG364" s="3"/>
      <c r="AH364" s="3"/>
      <c r="AI364" s="14"/>
      <c r="AJ364" s="14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</row>
    <row r="365" spans="1:47" ht="14.25" customHeight="1" x14ac:dyDescent="0.2">
      <c r="A365" s="3"/>
      <c r="B365" s="417"/>
      <c r="C365" s="173">
        <v>355</v>
      </c>
      <c r="D365" s="165"/>
      <c r="E365" s="174">
        <v>3.4543816548637418E-2</v>
      </c>
      <c r="F365" s="502"/>
      <c r="G365" s="219">
        <f t="shared" si="41"/>
        <v>1.0453760102524114</v>
      </c>
      <c r="H365" s="176">
        <f t="shared" si="42"/>
        <v>98.954623989747589</v>
      </c>
      <c r="I365" s="516">
        <f t="shared" si="39"/>
        <v>100</v>
      </c>
      <c r="J365" s="153">
        <f>(G365*0)/(1+cDR)^'Markov Model_b (3)'!cycle</f>
        <v>0</v>
      </c>
      <c r="K365" s="178">
        <f t="shared" si="35"/>
        <v>1.0453760102524114</v>
      </c>
      <c r="L365" s="202">
        <f>(G365*(uPostT))/(1+oDR)^'Markov Model_b (3)'!cycle</f>
        <v>0.32743926971753806</v>
      </c>
      <c r="M365" s="80"/>
      <c r="N365" s="3"/>
      <c r="O365" s="80"/>
      <c r="P365" s="173">
        <v>355</v>
      </c>
      <c r="Q365" s="165"/>
      <c r="R365" s="174">
        <v>3.4543816060111858E-2</v>
      </c>
      <c r="S365" s="502"/>
      <c r="T365" s="219">
        <f t="shared" si="40"/>
        <v>0.98483263141230282</v>
      </c>
      <c r="U365" s="249">
        <f t="shared" si="36"/>
        <v>99.015167368587697</v>
      </c>
      <c r="V365" s="516">
        <f t="shared" si="37"/>
        <v>100</v>
      </c>
      <c r="W365" s="153">
        <f>(T365*0)/(1+cDR)^'Markov Model_b (3)'!cycle2</f>
        <v>0</v>
      </c>
      <c r="X365" s="178">
        <f t="shared" si="38"/>
        <v>0.98483263141230282</v>
      </c>
      <c r="Y365" s="202">
        <f>(T365*(uPostT))/(1+oDR)^'Markov Model_b (3)'!cycle</f>
        <v>0.30847549059958151</v>
      </c>
      <c r="Z365" s="80"/>
      <c r="AA365" s="3"/>
      <c r="AB365" s="3"/>
      <c r="AC365" s="14">
        <v>353</v>
      </c>
      <c r="AD365" s="14"/>
      <c r="AE365" s="14"/>
      <c r="AF365" s="3"/>
      <c r="AG365" s="3"/>
      <c r="AH365" s="3"/>
      <c r="AI365" s="14"/>
      <c r="AJ365" s="14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</row>
    <row r="366" spans="1:47" ht="14.25" customHeight="1" x14ac:dyDescent="0.2">
      <c r="A366" s="3"/>
      <c r="B366" s="417"/>
      <c r="C366" s="173">
        <v>356</v>
      </c>
      <c r="D366" s="165"/>
      <c r="E366" s="174">
        <v>3.48372299789311E-2</v>
      </c>
      <c r="F366" s="502"/>
      <c r="G366" s="219">
        <f t="shared" si="41"/>
        <v>1.0089580057687897</v>
      </c>
      <c r="H366" s="176">
        <f t="shared" si="42"/>
        <v>98.99104199423121</v>
      </c>
      <c r="I366" s="516">
        <f t="shared" si="39"/>
        <v>100</v>
      </c>
      <c r="J366" s="153">
        <f>(G366*0)/(1+cDR)^'Markov Model_b (3)'!cycle</f>
        <v>0</v>
      </c>
      <c r="K366" s="178">
        <f t="shared" si="35"/>
        <v>1.0089580057687897</v>
      </c>
      <c r="L366" s="202">
        <f>(G366*(uPostT))/(1+oDR)^'Markov Model_b (3)'!cycle</f>
        <v>0.31524408236833373</v>
      </c>
      <c r="M366" s="80"/>
      <c r="N366" s="3"/>
      <c r="O366" s="80"/>
      <c r="P366" s="173">
        <v>356</v>
      </c>
      <c r="Q366" s="165"/>
      <c r="R366" s="174">
        <v>3.4837229524722256E-2</v>
      </c>
      <c r="S366" s="502"/>
      <c r="T366" s="219">
        <f t="shared" si="40"/>
        <v>0.95052379098835615</v>
      </c>
      <c r="U366" s="249">
        <f t="shared" si="36"/>
        <v>99.049476209011644</v>
      </c>
      <c r="V366" s="516">
        <f t="shared" si="37"/>
        <v>100</v>
      </c>
      <c r="W366" s="153">
        <f>(T366*0)/(1+cDR)^'Markov Model_b (3)'!cycle2</f>
        <v>0</v>
      </c>
      <c r="X366" s="178">
        <f t="shared" si="38"/>
        <v>0.95052379098835615</v>
      </c>
      <c r="Y366" s="202">
        <f>(T366*(uPostT))/(1+oDR)^'Markov Model_b (3)'!cycle</f>
        <v>0.29698659264918958</v>
      </c>
      <c r="Z366" s="80"/>
      <c r="AA366" s="3"/>
      <c r="AB366" s="3"/>
      <c r="AC366" s="14">
        <v>354</v>
      </c>
      <c r="AD366" s="14"/>
      <c r="AE366" s="14"/>
      <c r="AF366" s="3"/>
      <c r="AG366" s="3"/>
      <c r="AH366" s="3"/>
      <c r="AI366" s="14"/>
      <c r="AJ366" s="14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</row>
    <row r="367" spans="1:47" ht="14.25" customHeight="1" x14ac:dyDescent="0.2">
      <c r="A367" s="3"/>
      <c r="B367" s="417"/>
      <c r="C367" s="173">
        <v>357</v>
      </c>
      <c r="D367" s="165"/>
      <c r="E367" s="174">
        <v>3.5135003614260411E-2</v>
      </c>
      <c r="F367" s="502"/>
      <c r="G367" s="219">
        <f t="shared" si="41"/>
        <v>0.97350826258946199</v>
      </c>
      <c r="H367" s="176">
        <f t="shared" si="42"/>
        <v>99.026491737410538</v>
      </c>
      <c r="I367" s="516">
        <f t="shared" si="39"/>
        <v>100</v>
      </c>
      <c r="J367" s="153">
        <f>(G367*0)/(1+cDR)^'Markov Model_b (3)'!cycle</f>
        <v>0</v>
      </c>
      <c r="K367" s="178">
        <f t="shared" si="35"/>
        <v>0.97350826258946199</v>
      </c>
      <c r="L367" s="202">
        <f>(G367*(uPostT))/(1+oDR)^'Markov Model_b (3)'!cycle</f>
        <v>0.30340945675306408</v>
      </c>
      <c r="M367" s="80"/>
      <c r="N367" s="3"/>
      <c r="O367" s="80"/>
      <c r="P367" s="173">
        <v>357</v>
      </c>
      <c r="Q367" s="165"/>
      <c r="R367" s="174">
        <v>3.513500319626664E-2</v>
      </c>
      <c r="S367" s="502"/>
      <c r="T367" s="219">
        <f t="shared" si="40"/>
        <v>0.91712713455385142</v>
      </c>
      <c r="U367" s="249">
        <f t="shared" si="36"/>
        <v>99.082872865446149</v>
      </c>
      <c r="V367" s="516">
        <f t="shared" si="37"/>
        <v>100</v>
      </c>
      <c r="W367" s="153">
        <f>(T367*0)/(1+cDR)^'Markov Model_b (3)'!cycle2</f>
        <v>0</v>
      </c>
      <c r="X367" s="178">
        <f t="shared" si="38"/>
        <v>0.91712713455385142</v>
      </c>
      <c r="Y367" s="202">
        <f>(T367*(uPostT))/(1+oDR)^'Markov Model_b (3)'!cycle</f>
        <v>0.28583737433138301</v>
      </c>
      <c r="Z367" s="80"/>
      <c r="AA367" s="3"/>
      <c r="AB367" s="3"/>
      <c r="AC367" s="14">
        <v>355</v>
      </c>
      <c r="AD367" s="14"/>
      <c r="AE367" s="14"/>
      <c r="AF367" s="3"/>
      <c r="AG367" s="3"/>
      <c r="AH367" s="3"/>
      <c r="AI367" s="14"/>
      <c r="AJ367" s="14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</row>
    <row r="368" spans="1:47" ht="14.25" customHeight="1" x14ac:dyDescent="0.2">
      <c r="A368" s="3"/>
      <c r="B368" s="417"/>
      <c r="C368" s="173">
        <v>358</v>
      </c>
      <c r="D368" s="165"/>
      <c r="E368" s="174">
        <v>3.5437343818331572E-2</v>
      </c>
      <c r="F368" s="502"/>
      <c r="G368" s="219">
        <f t="shared" si="41"/>
        <v>0.93900971557809498</v>
      </c>
      <c r="H368" s="176">
        <f t="shared" si="42"/>
        <v>99.060990284421905</v>
      </c>
      <c r="I368" s="516">
        <f t="shared" si="39"/>
        <v>100</v>
      </c>
      <c r="J368" s="153">
        <f>(G368*0)/(1+cDR)^'Markov Model_b (3)'!cycle</f>
        <v>0</v>
      </c>
      <c r="K368" s="178">
        <f t="shared" si="35"/>
        <v>0.93900971557809498</v>
      </c>
      <c r="L368" s="202">
        <f>(G368*(uPostT))/(1+oDR)^'Markov Model_b (3)'!cycle</f>
        <v>0.29192761248516053</v>
      </c>
      <c r="M368" s="80"/>
      <c r="N368" s="3"/>
      <c r="O368" s="80"/>
      <c r="P368" s="173">
        <v>358</v>
      </c>
      <c r="Q368" s="165"/>
      <c r="R368" s="174">
        <v>3.5437343438463449E-2</v>
      </c>
      <c r="S368" s="502"/>
      <c r="T368" s="219">
        <f t="shared" si="40"/>
        <v>0.8846265853099311</v>
      </c>
      <c r="U368" s="249">
        <f t="shared" si="36"/>
        <v>99.115373414690069</v>
      </c>
      <c r="V368" s="516">
        <f t="shared" si="37"/>
        <v>100</v>
      </c>
      <c r="W368" s="153">
        <f>(T368*0)/(1+cDR)^'Markov Model_b (3)'!cycle2</f>
        <v>0</v>
      </c>
      <c r="X368" s="178">
        <f t="shared" si="38"/>
        <v>0.8846265853099311</v>
      </c>
      <c r="Y368" s="202">
        <f>(T368*(uPostT))/(1+oDR)^'Markov Model_b (3)'!cycle</f>
        <v>0.27502050586499033</v>
      </c>
      <c r="Z368" s="80"/>
      <c r="AA368" s="3"/>
      <c r="AB368" s="3"/>
      <c r="AC368" s="14">
        <v>356</v>
      </c>
      <c r="AD368" s="14"/>
      <c r="AE368" s="14"/>
      <c r="AF368" s="3"/>
      <c r="AG368" s="3"/>
      <c r="AH368" s="3"/>
      <c r="AI368" s="14"/>
      <c r="AJ368" s="14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</row>
    <row r="369" spans="1:47" ht="14.25" customHeight="1" x14ac:dyDescent="0.2">
      <c r="A369" s="3"/>
      <c r="B369" s="417"/>
      <c r="C369" s="173">
        <v>359</v>
      </c>
      <c r="D369" s="165"/>
      <c r="E369" s="174">
        <v>3.5744895400786923E-2</v>
      </c>
      <c r="F369" s="502"/>
      <c r="G369" s="219">
        <f t="shared" si="41"/>
        <v>0.90544491151443651</v>
      </c>
      <c r="H369" s="176">
        <f t="shared" si="42"/>
        <v>99.094555088485563</v>
      </c>
      <c r="I369" s="516">
        <f t="shared" si="39"/>
        <v>100</v>
      </c>
      <c r="J369" s="153">
        <f>(G369*0)/(1+cDR)^'Markov Model_b (3)'!cycle</f>
        <v>0</v>
      </c>
      <c r="K369" s="178">
        <f t="shared" si="35"/>
        <v>0.90544491151443651</v>
      </c>
      <c r="L369" s="202">
        <f>(G369*(uPostT))/(1+oDR)^'Markov Model_b (3)'!cycle</f>
        <v>0.28079071372795811</v>
      </c>
      <c r="M369" s="80"/>
      <c r="N369" s="3"/>
      <c r="O369" s="80"/>
      <c r="P369" s="173">
        <v>359</v>
      </c>
      <c r="Q369" s="165"/>
      <c r="R369" s="174">
        <v>3.5744895061359604E-2</v>
      </c>
      <c r="S369" s="502"/>
      <c r="T369" s="219">
        <f t="shared" si="40"/>
        <v>0.8530057008495362</v>
      </c>
      <c r="U369" s="249">
        <f t="shared" si="36"/>
        <v>99.146994299150464</v>
      </c>
      <c r="V369" s="516">
        <f t="shared" si="37"/>
        <v>100</v>
      </c>
      <c r="W369" s="153">
        <f>(T369*0)/(1+cDR)^'Markov Model_b (3)'!cycle2</f>
        <v>0</v>
      </c>
      <c r="X369" s="178">
        <f t="shared" si="38"/>
        <v>0.8530057008495362</v>
      </c>
      <c r="Y369" s="202">
        <f>(T369*(uPostT))/(1+oDR)^'Markov Model_b (3)'!cycle</f>
        <v>0.26452860523004829</v>
      </c>
      <c r="Z369" s="80"/>
      <c r="AA369" s="3"/>
      <c r="AB369" s="3"/>
      <c r="AC369" s="14">
        <v>357</v>
      </c>
      <c r="AD369" s="14"/>
      <c r="AE369" s="14"/>
      <c r="AF369" s="3"/>
      <c r="AG369" s="3"/>
      <c r="AH369" s="3"/>
      <c r="AI369" s="14"/>
      <c r="AJ369" s="14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</row>
    <row r="370" spans="1:47" ht="14.25" customHeight="1" x14ac:dyDescent="0.2">
      <c r="A370" s="3"/>
      <c r="B370" s="417"/>
      <c r="C370" s="173">
        <v>360</v>
      </c>
      <c r="D370" s="165"/>
      <c r="E370" s="174">
        <v>3.6059694252593137E-2</v>
      </c>
      <c r="F370" s="502"/>
      <c r="G370" s="219">
        <f t="shared" si="41"/>
        <v>0.87279484484265879</v>
      </c>
      <c r="H370" s="176">
        <f t="shared" si="42"/>
        <v>99.127205155157341</v>
      </c>
      <c r="I370" s="516">
        <f t="shared" si="39"/>
        <v>100</v>
      </c>
      <c r="J370" s="153">
        <f>(G370*0)/(1+cDR)^'Markov Model_b (3)'!cycle</f>
        <v>0</v>
      </c>
      <c r="K370" s="178">
        <f t="shared" ref="K370:K408" si="43">G370</f>
        <v>0.87279484484265879</v>
      </c>
      <c r="L370" s="202">
        <f>(G370*(uPostT))/(1+oDR)^'Markov Model_b (3)'!cycle</f>
        <v>0.26999051016654385</v>
      </c>
      <c r="M370" s="80"/>
      <c r="N370" s="3"/>
      <c r="O370" s="80"/>
      <c r="P370" s="173">
        <v>360</v>
      </c>
      <c r="Q370" s="165"/>
      <c r="R370" s="174">
        <v>3.6059693957559778E-2</v>
      </c>
      <c r="S370" s="502"/>
      <c r="T370" s="219">
        <f t="shared" si="40"/>
        <v>0.82224657633284437</v>
      </c>
      <c r="U370" s="249">
        <f t="shared" si="36"/>
        <v>99.177753423667156</v>
      </c>
      <c r="V370" s="516">
        <f t="shared" si="37"/>
        <v>100</v>
      </c>
      <c r="W370" s="153">
        <f>(T370*0)/(1+cDR)^'Markov Model_b (3)'!cycle2</f>
        <v>0</v>
      </c>
      <c r="X370" s="178">
        <f t="shared" si="38"/>
        <v>0.82224657633284437</v>
      </c>
      <c r="Y370" s="202">
        <f>(T370*(uPostT))/(1+oDR)^'Markov Model_b (3)'!cycle</f>
        <v>0.25435389993259988</v>
      </c>
      <c r="Z370" s="80"/>
      <c r="AA370" s="3"/>
      <c r="AB370" s="3"/>
      <c r="AC370" s="14">
        <v>358</v>
      </c>
      <c r="AD370" s="14"/>
      <c r="AE370" s="14"/>
      <c r="AF370" s="3"/>
      <c r="AG370" s="3"/>
      <c r="AH370" s="3"/>
      <c r="AI370" s="14"/>
      <c r="AJ370" s="14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</row>
    <row r="371" spans="1:47" ht="14.25" customHeight="1" x14ac:dyDescent="0.2">
      <c r="A371" s="3"/>
      <c r="B371" s="417"/>
      <c r="C371" s="173">
        <v>361</v>
      </c>
      <c r="D371" s="504"/>
      <c r="E371" s="174">
        <v>3.6382803023261509E-2</v>
      </c>
      <c r="F371" s="505"/>
      <c r="G371" s="219">
        <f t="shared" si="41"/>
        <v>0.84104012192302946</v>
      </c>
      <c r="H371" s="176">
        <f t="shared" si="42"/>
        <v>99.158959878076971</v>
      </c>
      <c r="I371" s="516">
        <f t="shared" si="39"/>
        <v>100</v>
      </c>
      <c r="J371" s="180">
        <f>(G371*0)/(1+cDR)^'Markov Model_b (3)'!cycle</f>
        <v>0</v>
      </c>
      <c r="K371" s="176">
        <f t="shared" si="43"/>
        <v>0.84104012192302946</v>
      </c>
      <c r="L371" s="202">
        <f>(G371*(uPostT))/(1+oDR)^'Markov Model_b (3)'!cycle</f>
        <v>0.25951870186234854</v>
      </c>
      <c r="M371" s="80"/>
      <c r="N371" s="3"/>
      <c r="O371" s="80"/>
      <c r="P371" s="173">
        <v>361</v>
      </c>
      <c r="Q371" s="504"/>
      <c r="R371" s="174">
        <v>3.6382802777244816E-2</v>
      </c>
      <c r="S371" s="505"/>
      <c r="T371" s="219">
        <f t="shared" si="40"/>
        <v>0.79233094131186022</v>
      </c>
      <c r="U371" s="249">
        <f t="shared" si="36"/>
        <v>99.20766905868814</v>
      </c>
      <c r="V371" s="516">
        <f t="shared" si="37"/>
        <v>100</v>
      </c>
      <c r="W371" s="180">
        <f>(T371*0)/(1+cDR)^'Markov Model_b (3)'!cycle2</f>
        <v>0</v>
      </c>
      <c r="X371" s="176">
        <f t="shared" si="38"/>
        <v>0.79233094131186022</v>
      </c>
      <c r="Y371" s="202">
        <f>(T371*(uPostT))/(1+oDR)^'Markov Model_b (3)'!cycle</f>
        <v>0.2444885707289064</v>
      </c>
      <c r="Z371" s="80"/>
      <c r="AA371" s="3"/>
      <c r="AB371" s="3"/>
      <c r="AC371" s="14">
        <v>359</v>
      </c>
      <c r="AD371" s="14"/>
      <c r="AE371" s="14"/>
      <c r="AF371" s="3"/>
      <c r="AG371" s="3"/>
      <c r="AH371" s="3"/>
      <c r="AI371" s="14"/>
      <c r="AJ371" s="14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</row>
    <row r="372" spans="1:47" ht="14.25" customHeight="1" x14ac:dyDescent="0.25">
      <c r="A372" s="3">
        <v>32</v>
      </c>
      <c r="B372" s="417"/>
      <c r="C372" s="506">
        <v>362</v>
      </c>
      <c r="D372" s="506"/>
      <c r="E372" s="507">
        <v>3.6715327325082391E-2</v>
      </c>
      <c r="F372" s="508"/>
      <c r="G372" s="509">
        <f t="shared" si="41"/>
        <v>0.81016105855309206</v>
      </c>
      <c r="H372" s="176">
        <f t="shared" si="42"/>
        <v>99.189838941446908</v>
      </c>
      <c r="I372" s="518">
        <f t="shared" si="39"/>
        <v>100</v>
      </c>
      <c r="J372" s="511">
        <f>(G372*0)/(1+cDR)^'Markov Model_b (3)'!cycle</f>
        <v>0</v>
      </c>
      <c r="K372" s="512">
        <f t="shared" si="43"/>
        <v>0.81016105855309206</v>
      </c>
      <c r="L372" s="513">
        <f>(G372*(uPostT))/(1+oDR)^'Markov Model_b (3)'!cycle</f>
        <v>0.24936697035061353</v>
      </c>
      <c r="M372" s="80"/>
      <c r="N372" s="3"/>
      <c r="O372" s="80"/>
      <c r="P372" s="506">
        <v>362</v>
      </c>
      <c r="Q372" s="506"/>
      <c r="R372" s="507">
        <v>3.671532713327124E-2</v>
      </c>
      <c r="S372" s="508"/>
      <c r="T372" s="509">
        <f t="shared" si="40"/>
        <v>0.76324025160377573</v>
      </c>
      <c r="U372" s="249">
        <f t="shared" si="36"/>
        <v>99.236759748396224</v>
      </c>
      <c r="V372" s="518">
        <f t="shared" si="37"/>
        <v>100</v>
      </c>
      <c r="W372" s="511">
        <f>(T372*0)/(1+cDR)^'Markov Model_b (3)'!cycle2</f>
        <v>0</v>
      </c>
      <c r="X372" s="512">
        <f t="shared" si="38"/>
        <v>0.76324025160377573</v>
      </c>
      <c r="Y372" s="513">
        <f>(T372*(uPostT))/(1+oDR)^'Markov Model_b (3)'!cycle</f>
        <v>0.23492478092194174</v>
      </c>
      <c r="Z372" s="80"/>
      <c r="AA372" s="3"/>
      <c r="AB372" s="3"/>
      <c r="AC372" s="14">
        <v>360</v>
      </c>
      <c r="AD372" s="14"/>
      <c r="AE372" s="14"/>
      <c r="AF372" s="3"/>
      <c r="AG372" s="3"/>
      <c r="AH372" s="3"/>
      <c r="AI372" s="14"/>
      <c r="AJ372" s="14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</row>
    <row r="373" spans="1:47" ht="14.25" customHeight="1" x14ac:dyDescent="0.2">
      <c r="A373" s="3"/>
      <c r="B373" s="417"/>
      <c r="C373" s="173">
        <v>363</v>
      </c>
      <c r="D373" s="165"/>
      <c r="E373" s="174">
        <v>3.7059606798745204E-2</v>
      </c>
      <c r="F373" s="502"/>
      <c r="G373" s="219">
        <f t="shared" si="41"/>
        <v>0.7801368082794653</v>
      </c>
      <c r="H373" s="176">
        <f t="shared" si="42"/>
        <v>99.219863191720535</v>
      </c>
      <c r="I373" s="516">
        <f t="shared" si="39"/>
        <v>100</v>
      </c>
      <c r="J373" s="153">
        <f>(G373*0)/(1+cDR)^'Markov Model_b (3)'!cycle</f>
        <v>0</v>
      </c>
      <c r="K373" s="178">
        <f t="shared" si="43"/>
        <v>0.7801368082794653</v>
      </c>
      <c r="L373" s="202">
        <f>(G373*(uPostT))/(1+oDR)^'Markov Model_b (3)'!cycle</f>
        <v>0.23952671170157336</v>
      </c>
      <c r="M373" s="80"/>
      <c r="N373" s="3"/>
      <c r="O373" s="80"/>
      <c r="P373" s="173">
        <v>363</v>
      </c>
      <c r="Q373" s="165"/>
      <c r="R373" s="174">
        <v>3.7059606667405834E-2</v>
      </c>
      <c r="S373" s="502"/>
      <c r="T373" s="219">
        <f t="shared" si="40"/>
        <v>0.7349548680866036</v>
      </c>
      <c r="U373" s="249">
        <f t="shared" si="36"/>
        <v>99.265045131913396</v>
      </c>
      <c r="V373" s="516">
        <f t="shared" si="37"/>
        <v>100</v>
      </c>
      <c r="W373" s="153">
        <f>(T373*0)/(1+cDR)^'Markov Model_b (3)'!cycle2</f>
        <v>0</v>
      </c>
      <c r="X373" s="178">
        <f t="shared" si="38"/>
        <v>0.7349548680866036</v>
      </c>
      <c r="Y373" s="202">
        <f>(T373*(uPostT))/(1+oDR)^'Markov Model_b (3)'!cycle</f>
        <v>0.22565442488234089</v>
      </c>
      <c r="Z373" s="80"/>
      <c r="AA373" s="3"/>
      <c r="AB373" s="3"/>
      <c r="AC373" s="14">
        <v>361</v>
      </c>
      <c r="AD373" s="14"/>
      <c r="AE373" s="14"/>
      <c r="AF373" s="3"/>
      <c r="AG373" s="3"/>
      <c r="AH373" s="3"/>
      <c r="AI373" s="14"/>
      <c r="AJ373" s="14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</row>
    <row r="374" spans="1:47" ht="14.25" customHeight="1" x14ac:dyDescent="0.2">
      <c r="A374" s="3"/>
      <c r="B374" s="417"/>
      <c r="C374" s="173">
        <v>364</v>
      </c>
      <c r="D374" s="165"/>
      <c r="E374" s="174">
        <v>3.741725026133319E-2</v>
      </c>
      <c r="F374" s="502"/>
      <c r="G374" s="219">
        <f t="shared" si="41"/>
        <v>0.75094623408600114</v>
      </c>
      <c r="H374" s="176">
        <f t="shared" si="42"/>
        <v>99.249053765913999</v>
      </c>
      <c r="I374" s="516">
        <f t="shared" si="39"/>
        <v>100</v>
      </c>
      <c r="J374" s="153">
        <f>(G374*0)/(1+cDR)^'Markov Model_b (3)'!cycle</f>
        <v>0</v>
      </c>
      <c r="K374" s="178">
        <f t="shared" si="43"/>
        <v>0.75094623408600114</v>
      </c>
      <c r="L374" s="202">
        <f>(G374*(uPostT))/(1+oDR)^'Markov Model_b (3)'!cycle</f>
        <v>0.22998930751677141</v>
      </c>
      <c r="M374" s="80"/>
      <c r="N374" s="3"/>
      <c r="O374" s="80"/>
      <c r="P374" s="173">
        <v>364</v>
      </c>
      <c r="Q374" s="165"/>
      <c r="R374" s="174">
        <v>3.7417250197498586E-2</v>
      </c>
      <c r="S374" s="502"/>
      <c r="T374" s="219">
        <f t="shared" si="40"/>
        <v>0.70745487790354389</v>
      </c>
      <c r="U374" s="249">
        <f t="shared" si="36"/>
        <v>99.292545122096456</v>
      </c>
      <c r="V374" s="516">
        <f t="shared" si="37"/>
        <v>100</v>
      </c>
      <c r="W374" s="153">
        <f>(T374*0)/(1+cDR)^'Markov Model_b (3)'!cycle2</f>
        <v>0</v>
      </c>
      <c r="X374" s="178">
        <f t="shared" si="38"/>
        <v>0.70745487790354389</v>
      </c>
      <c r="Y374" s="202">
        <f>(T374*(uPostT))/(1+oDR)^'Markov Model_b (3)'!cycle</f>
        <v>0.21666938334997271</v>
      </c>
      <c r="Z374" s="80"/>
      <c r="AA374" s="3"/>
      <c r="AB374" s="3"/>
      <c r="AC374" s="14">
        <v>362</v>
      </c>
      <c r="AD374" s="14"/>
      <c r="AE374" s="14"/>
      <c r="AF374" s="3"/>
      <c r="AG374" s="3"/>
      <c r="AH374" s="3"/>
      <c r="AI374" s="14"/>
      <c r="AJ374" s="14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</row>
    <row r="375" spans="1:47" ht="14.25" customHeight="1" x14ac:dyDescent="0.2">
      <c r="A375" s="3"/>
      <c r="B375" s="417"/>
      <c r="C375" s="173">
        <v>365</v>
      </c>
      <c r="D375" s="165"/>
      <c r="E375" s="174">
        <v>3.7789702965848458E-2</v>
      </c>
      <c r="F375" s="502"/>
      <c r="G375" s="219">
        <f t="shared" si="41"/>
        <v>0.72256819895656577</v>
      </c>
      <c r="H375" s="176">
        <f t="shared" si="42"/>
        <v>99.277431801043434</v>
      </c>
      <c r="I375" s="516">
        <f t="shared" si="39"/>
        <v>100</v>
      </c>
      <c r="J375" s="153">
        <f>(G375*0)/(1+cDR)^'Markov Model_b (3)'!cycle</f>
        <v>0</v>
      </c>
      <c r="K375" s="178">
        <f t="shared" si="43"/>
        <v>0.72256819895656577</v>
      </c>
      <c r="L375" s="202">
        <f>(G375*(uPostT))/(1+oDR)^'Markov Model_b (3)'!cycle</f>
        <v>0.22074621436447933</v>
      </c>
      <c r="M375" s="80"/>
      <c r="N375" s="3"/>
      <c r="O375" s="80"/>
      <c r="P375" s="173">
        <v>365</v>
      </c>
      <c r="Q375" s="165"/>
      <c r="R375" s="174">
        <v>3.7789702977221312E-2</v>
      </c>
      <c r="S375" s="502"/>
      <c r="T375" s="219">
        <f t="shared" si="40"/>
        <v>0.68072036819778248</v>
      </c>
      <c r="U375" s="249">
        <f t="shared" si="36"/>
        <v>99.319279631802218</v>
      </c>
      <c r="V375" s="516">
        <f t="shared" si="37"/>
        <v>100</v>
      </c>
      <c r="W375" s="153">
        <f>(T375*0)/(1+cDR)^'Markov Model_b (3)'!cycle2</f>
        <v>0</v>
      </c>
      <c r="X375" s="178">
        <f t="shared" si="38"/>
        <v>0.68072036819778248</v>
      </c>
      <c r="Y375" s="202">
        <f>(T375*(uPostT))/(1+oDR)^'Markov Model_b (3)'!cycle</f>
        <v>0.20796160768969524</v>
      </c>
      <c r="Z375" s="80"/>
      <c r="AA375" s="3"/>
      <c r="AB375" s="3"/>
      <c r="AC375" s="14">
        <v>363</v>
      </c>
      <c r="AD375" s="14"/>
      <c r="AE375" s="14"/>
      <c r="AF375" s="3"/>
      <c r="AG375" s="3"/>
      <c r="AH375" s="3"/>
      <c r="AI375" s="14"/>
      <c r="AJ375" s="14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</row>
    <row r="376" spans="1:47" ht="14.25" customHeight="1" x14ac:dyDescent="0.2">
      <c r="A376" s="3"/>
      <c r="B376" s="417"/>
      <c r="C376" s="173">
        <v>366</v>
      </c>
      <c r="D376" s="165"/>
      <c r="E376" s="174">
        <v>3.8179202969329175E-2</v>
      </c>
      <c r="F376" s="502"/>
      <c r="G376" s="219">
        <f t="shared" si="41"/>
        <v>0.69498112102941434</v>
      </c>
      <c r="H376" s="176">
        <f t="shared" si="42"/>
        <v>99.305018878970586</v>
      </c>
      <c r="I376" s="516">
        <f t="shared" si="39"/>
        <v>100</v>
      </c>
      <c r="J376" s="153">
        <f>(G376*0)/(1+cDR)^'Markov Model_b (3)'!cycle</f>
        <v>0</v>
      </c>
      <c r="K376" s="178">
        <f t="shared" si="43"/>
        <v>0.69498112102941434</v>
      </c>
      <c r="L376" s="202">
        <f>(G376*(uPostT))/(1+oDR)^'Markov Model_b (3)'!cycle</f>
        <v>0.21178882777211475</v>
      </c>
      <c r="M376" s="80"/>
      <c r="N376" s="3"/>
      <c r="O376" s="80"/>
      <c r="P376" s="173">
        <v>366</v>
      </c>
      <c r="Q376" s="165"/>
      <c r="R376" s="174">
        <v>3.8179203064111683E-2</v>
      </c>
      <c r="S376" s="502"/>
      <c r="T376" s="219">
        <f t="shared" si="40"/>
        <v>0.65473100703047749</v>
      </c>
      <c r="U376" s="249">
        <f t="shared" ref="U376:U408" si="44">U375+(T375*R376)</f>
        <v>99.345268992969523</v>
      </c>
      <c r="V376" s="516">
        <f t="shared" ref="V376:V408" si="45">SUM(T376:U376)</f>
        <v>100</v>
      </c>
      <c r="W376" s="153">
        <f>(T376*0)/(1+cDR)^'Markov Model_b (3)'!cycle2</f>
        <v>0</v>
      </c>
      <c r="X376" s="178">
        <f t="shared" ref="X376:X408" si="46">T376</f>
        <v>0.65473100703047749</v>
      </c>
      <c r="Y376" s="202">
        <f>(T376*(uPostT))/(1+oDR)^'Markov Model_b (3)'!cycle</f>
        <v>0.19952299176076788</v>
      </c>
      <c r="Z376" s="80"/>
      <c r="AA376" s="3"/>
      <c r="AB376" s="3"/>
      <c r="AC376" s="14">
        <v>364</v>
      </c>
      <c r="AD376" s="14"/>
      <c r="AE376" s="14"/>
      <c r="AF376" s="3"/>
      <c r="AG376" s="3"/>
      <c r="AH376" s="3"/>
      <c r="AI376" s="14"/>
      <c r="AJ376" s="14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</row>
    <row r="377" spans="1:47" ht="14.25" customHeight="1" x14ac:dyDescent="0.2">
      <c r="A377" s="3"/>
      <c r="B377" s="417"/>
      <c r="C377" s="173">
        <v>367</v>
      </c>
      <c r="D377" s="165"/>
      <c r="E377" s="174">
        <v>3.8590230953886029E-2</v>
      </c>
      <c r="F377" s="502"/>
      <c r="G377" s="219">
        <f t="shared" si="41"/>
        <v>0.66816163906030113</v>
      </c>
      <c r="H377" s="176">
        <f t="shared" si="42"/>
        <v>99.331838360939699</v>
      </c>
      <c r="I377" s="516">
        <f t="shared" ref="I377:I408" si="47">SUM(G377:H377)</f>
        <v>100</v>
      </c>
      <c r="J377" s="153">
        <f>(G377*0)/(1+cDR)^'Markov Model_b (3)'!cycle</f>
        <v>0</v>
      </c>
      <c r="K377" s="178">
        <f t="shared" si="43"/>
        <v>0.66816163906030113</v>
      </c>
      <c r="L377" s="202">
        <f>(G377*(uPostT))/(1+oDR)^'Markov Model_b (3)'!cycle</f>
        <v>0.20310807780043572</v>
      </c>
      <c r="M377" s="80"/>
      <c r="N377" s="3"/>
      <c r="O377" s="80"/>
      <c r="P377" s="173">
        <v>367</v>
      </c>
      <c r="Q377" s="165"/>
      <c r="R377" s="174">
        <v>3.8590231140007675E-2</v>
      </c>
      <c r="S377" s="502"/>
      <c r="T377" s="219">
        <f t="shared" ref="T377:T408" si="48">$T$10-U377</f>
        <v>0.62946478613464762</v>
      </c>
      <c r="U377" s="249">
        <f t="shared" si="44"/>
        <v>99.370535213865352</v>
      </c>
      <c r="V377" s="516">
        <f t="shared" si="45"/>
        <v>100</v>
      </c>
      <c r="W377" s="153">
        <f>(T377*0)/(1+cDR)^'Markov Model_b (3)'!cycle2</f>
        <v>0</v>
      </c>
      <c r="X377" s="178">
        <f t="shared" si="46"/>
        <v>0.62946478613464762</v>
      </c>
      <c r="Y377" s="202">
        <f>(T377*(uPostT))/(1+oDR)^'Markov Model_b (3)'!cycle</f>
        <v>0.19134499091369164</v>
      </c>
      <c r="Z377" s="80"/>
      <c r="AA377" s="3"/>
      <c r="AB377" s="3"/>
      <c r="AC377" s="14">
        <v>365</v>
      </c>
      <c r="AD377" s="14"/>
      <c r="AE377" s="14"/>
      <c r="AF377" s="3"/>
      <c r="AG377" s="3"/>
      <c r="AH377" s="3"/>
      <c r="AI377" s="14"/>
      <c r="AJ377" s="14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</row>
    <row r="378" spans="1:47" ht="14.25" customHeight="1" x14ac:dyDescent="0.2">
      <c r="A378" s="3"/>
      <c r="B378" s="417"/>
      <c r="C378" s="173">
        <v>368</v>
      </c>
      <c r="D378" s="165"/>
      <c r="E378" s="174">
        <v>3.9026023908907415E-2</v>
      </c>
      <c r="F378" s="502"/>
      <c r="G378" s="219">
        <f t="shared" si="41"/>
        <v>0.64208594695931254</v>
      </c>
      <c r="H378" s="176">
        <f t="shared" si="42"/>
        <v>99.357914053040687</v>
      </c>
      <c r="I378" s="516">
        <f t="shared" si="47"/>
        <v>100</v>
      </c>
      <c r="J378" s="153">
        <f>(G378*0)/(1+cDR)^'Markov Model_b (3)'!cycle</f>
        <v>0</v>
      </c>
      <c r="K378" s="178">
        <f t="shared" si="43"/>
        <v>0.64208594695931254</v>
      </c>
      <c r="L378" s="202">
        <f>(G378*(uPostT))/(1+oDR)^'Markov Model_b (3)'!cycle</f>
        <v>0.19469484000010143</v>
      </c>
      <c r="M378" s="80"/>
      <c r="N378" s="3"/>
      <c r="O378" s="80"/>
      <c r="P378" s="173">
        <v>368</v>
      </c>
      <c r="Q378" s="165"/>
      <c r="R378" s="174">
        <v>3.902602419474157E-2</v>
      </c>
      <c r="S378" s="502"/>
      <c r="T378" s="219">
        <f t="shared" si="48"/>
        <v>0.60489927816121281</v>
      </c>
      <c r="U378" s="249">
        <f t="shared" si="44"/>
        <v>99.395100721838787</v>
      </c>
      <c r="V378" s="516">
        <f t="shared" si="45"/>
        <v>100</v>
      </c>
      <c r="W378" s="153">
        <f>(T378*0)/(1+cDR)^'Markov Model_b (3)'!cycle2</f>
        <v>0</v>
      </c>
      <c r="X378" s="178">
        <f t="shared" si="46"/>
        <v>0.60489927816121281</v>
      </c>
      <c r="Y378" s="202">
        <f>(T378*(uPostT))/(1+oDR)^'Markov Model_b (3)'!cycle</f>
        <v>0.18341900914588469</v>
      </c>
      <c r="Z378" s="80"/>
      <c r="AA378" s="3"/>
      <c r="AB378" s="3"/>
      <c r="AC378" s="14">
        <v>366</v>
      </c>
      <c r="AD378" s="14"/>
      <c r="AE378" s="14"/>
      <c r="AF378" s="3"/>
      <c r="AG378" s="3"/>
      <c r="AH378" s="3"/>
      <c r="AI378" s="14"/>
      <c r="AJ378" s="14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</row>
    <row r="379" spans="1:47" ht="14.25" customHeight="1" x14ac:dyDescent="0.2">
      <c r="A379" s="3"/>
      <c r="B379" s="417"/>
      <c r="C379" s="173">
        <v>369</v>
      </c>
      <c r="D379" s="165"/>
      <c r="E379" s="174">
        <v>3.9489586157130038E-2</v>
      </c>
      <c r="F379" s="502"/>
      <c r="G379" s="219">
        <f t="shared" si="41"/>
        <v>0.61673023863657761</v>
      </c>
      <c r="H379" s="176">
        <f t="shared" si="42"/>
        <v>99.383269761363422</v>
      </c>
      <c r="I379" s="516">
        <f t="shared" si="47"/>
        <v>100</v>
      </c>
      <c r="J379" s="153">
        <f>(G379*0)/(1+cDR)^'Markov Model_b (3)'!cycle</f>
        <v>0</v>
      </c>
      <c r="K379" s="178">
        <f t="shared" si="43"/>
        <v>0.61673023863657761</v>
      </c>
      <c r="L379" s="202">
        <f>(G379*(uPostT))/(1+oDR)^'Markov Model_b (3)'!cycle</f>
        <v>0.18654007116365884</v>
      </c>
      <c r="M379" s="80"/>
      <c r="N379" s="3"/>
      <c r="O379" s="80"/>
      <c r="P379" s="173">
        <v>369</v>
      </c>
      <c r="Q379" s="165"/>
      <c r="R379" s="174">
        <v>3.9489586551812603E-2</v>
      </c>
      <c r="S379" s="502"/>
      <c r="T379" s="219">
        <f t="shared" si="48"/>
        <v>0.58101205576113557</v>
      </c>
      <c r="U379" s="249">
        <f t="shared" si="44"/>
        <v>99.418987944238864</v>
      </c>
      <c r="V379" s="516">
        <f t="shared" si="45"/>
        <v>100</v>
      </c>
      <c r="W379" s="153">
        <f>(T379*0)/(1+cDR)^'Markov Model_b (3)'!cycle2</f>
        <v>0</v>
      </c>
      <c r="X379" s="178">
        <f t="shared" si="46"/>
        <v>0.58101205576113557</v>
      </c>
      <c r="Y379" s="202">
        <f>(T379*(uPostT))/(1+oDR)^'Markov Model_b (3)'!cycle</f>
        <v>0.17573652699149156</v>
      </c>
      <c r="Z379" s="80"/>
      <c r="AA379" s="3"/>
      <c r="AB379" s="3"/>
      <c r="AC379" s="14">
        <v>367</v>
      </c>
      <c r="AD379" s="14"/>
      <c r="AE379" s="14"/>
      <c r="AF379" s="3"/>
      <c r="AG379" s="3"/>
      <c r="AH379" s="3"/>
      <c r="AI379" s="14"/>
      <c r="AJ379" s="14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</row>
    <row r="380" spans="1:47" ht="14.25" customHeight="1" x14ac:dyDescent="0.2">
      <c r="A380" s="3"/>
      <c r="B380" s="417"/>
      <c r="C380" s="173">
        <v>370</v>
      </c>
      <c r="D380" s="165"/>
      <c r="E380" s="174">
        <v>3.9984906911161321E-2</v>
      </c>
      <c r="F380" s="502"/>
      <c r="G380" s="219">
        <f t="shared" si="41"/>
        <v>0.59207033745539661</v>
      </c>
      <c r="H380" s="176">
        <f t="shared" si="42"/>
        <v>99.407929662544603</v>
      </c>
      <c r="I380" s="516">
        <f t="shared" si="47"/>
        <v>100</v>
      </c>
      <c r="J380" s="153">
        <f>(G380*0)/(1+cDR)^'Markov Model_b (3)'!cycle</f>
        <v>0</v>
      </c>
      <c r="K380" s="178">
        <f t="shared" si="43"/>
        <v>0.59207033745539661</v>
      </c>
      <c r="L380" s="202">
        <f>(G380*(uPostT))/(1+oDR)^'Markov Model_b (3)'!cycle</f>
        <v>0.17863469704037782</v>
      </c>
      <c r="M380" s="80"/>
      <c r="N380" s="3"/>
      <c r="O380" s="80"/>
      <c r="P380" s="173">
        <v>370</v>
      </c>
      <c r="Q380" s="165"/>
      <c r="R380" s="174">
        <v>3.9984907424309983E-2</v>
      </c>
      <c r="S380" s="502"/>
      <c r="T380" s="219">
        <f t="shared" si="48"/>
        <v>0.55778034249911457</v>
      </c>
      <c r="U380" s="249">
        <f t="shared" si="44"/>
        <v>99.442219657500885</v>
      </c>
      <c r="V380" s="516">
        <f t="shared" si="45"/>
        <v>100</v>
      </c>
      <c r="W380" s="153">
        <f>(T380*0)/(1+cDR)^'Markov Model_b (3)'!cycle2</f>
        <v>0</v>
      </c>
      <c r="X380" s="178">
        <f t="shared" si="46"/>
        <v>0.55778034249911457</v>
      </c>
      <c r="Y380" s="202">
        <f>(T380*(uPostT))/(1+oDR)^'Markov Model_b (3)'!cycle</f>
        <v>0.16828899573931749</v>
      </c>
      <c r="Z380" s="80"/>
      <c r="AA380" s="3"/>
      <c r="AB380" s="3"/>
      <c r="AC380" s="14">
        <v>368</v>
      </c>
      <c r="AD380" s="14"/>
      <c r="AE380" s="14"/>
      <c r="AF380" s="3"/>
      <c r="AG380" s="3"/>
      <c r="AH380" s="3"/>
      <c r="AI380" s="14"/>
      <c r="AJ380" s="14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</row>
    <row r="381" spans="1:47" ht="14.25" customHeight="1" x14ac:dyDescent="0.2">
      <c r="A381" s="3"/>
      <c r="B381" s="417"/>
      <c r="C381" s="173">
        <v>371</v>
      </c>
      <c r="D381" s="165"/>
      <c r="E381" s="174">
        <v>4.0518417062733E-2</v>
      </c>
      <c r="F381" s="502"/>
      <c r="G381" s="219">
        <f t="shared" si="41"/>
        <v>0.56808058459191102</v>
      </c>
      <c r="H381" s="176">
        <f t="shared" si="42"/>
        <v>99.431919415408089</v>
      </c>
      <c r="I381" s="516">
        <f t="shared" si="47"/>
        <v>100</v>
      </c>
      <c r="J381" s="153">
        <f>(G381*0)/(1+cDR)^'Markov Model_b (3)'!cycle</f>
        <v>0</v>
      </c>
      <c r="K381" s="178">
        <f t="shared" si="43"/>
        <v>0.56808058459191102</v>
      </c>
      <c r="L381" s="202">
        <f>(G381*(uPostT))/(1+oDR)^'Markov Model_b (3)'!cycle</f>
        <v>0.17096927868710468</v>
      </c>
      <c r="M381" s="80"/>
      <c r="N381" s="3"/>
      <c r="O381" s="80"/>
      <c r="P381" s="173">
        <v>371</v>
      </c>
      <c r="Q381" s="165"/>
      <c r="R381" s="174">
        <v>4.0518417703657945E-2</v>
      </c>
      <c r="S381" s="502"/>
      <c r="T381" s="219">
        <f t="shared" si="48"/>
        <v>0.5351799655948497</v>
      </c>
      <c r="U381" s="249">
        <f t="shared" si="44"/>
        <v>99.46482003440515</v>
      </c>
      <c r="V381" s="516">
        <f t="shared" si="45"/>
        <v>100</v>
      </c>
      <c r="W381" s="153">
        <f>(T381*0)/(1+cDR)^'Markov Model_b (3)'!cycle2</f>
        <v>0</v>
      </c>
      <c r="X381" s="178">
        <f t="shared" si="46"/>
        <v>0.5351799655948497</v>
      </c>
      <c r="Y381" s="202">
        <f>(T381*(uPostT))/(1+oDR)^'Markov Model_b (3)'!cycle</f>
        <v>0.16106752310725572</v>
      </c>
      <c r="Z381" s="80"/>
      <c r="AA381" s="3"/>
      <c r="AB381" s="3"/>
      <c r="AC381" s="14">
        <v>369</v>
      </c>
      <c r="AD381" s="14"/>
      <c r="AE381" s="14"/>
      <c r="AF381" s="3"/>
      <c r="AG381" s="3"/>
      <c r="AH381" s="3"/>
      <c r="AI381" s="14"/>
      <c r="AJ381" s="14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</row>
    <row r="382" spans="1:47" ht="14.25" customHeight="1" x14ac:dyDescent="0.2">
      <c r="A382" s="3"/>
      <c r="B382" s="417"/>
      <c r="C382" s="173">
        <v>372</v>
      </c>
      <c r="D382" s="165"/>
      <c r="E382" s="174">
        <v>4.1095637748727619E-2</v>
      </c>
      <c r="F382" s="502"/>
      <c r="G382" s="219">
        <f t="shared" si="41"/>
        <v>0.54473495067543354</v>
      </c>
      <c r="H382" s="176">
        <f t="shared" si="42"/>
        <v>99.455265049324566</v>
      </c>
      <c r="I382" s="516">
        <f t="shared" si="47"/>
        <v>100</v>
      </c>
      <c r="J382" s="153">
        <f>(G382*0)/(1+cDR)^'Markov Model_b (3)'!cycle</f>
        <v>0</v>
      </c>
      <c r="K382" s="178">
        <f t="shared" si="43"/>
        <v>0.54473495067543354</v>
      </c>
      <c r="L382" s="202">
        <f>(G382*(uPostT))/(1+oDR)^'Markov Model_b (3)'!cycle</f>
        <v>0.16353435126585267</v>
      </c>
      <c r="M382" s="80"/>
      <c r="N382" s="3"/>
      <c r="O382" s="80"/>
      <c r="P382" s="173">
        <v>372</v>
      </c>
      <c r="Q382" s="165"/>
      <c r="R382" s="174">
        <v>4.1095638527210869E-2</v>
      </c>
      <c r="S382" s="502"/>
      <c r="T382" s="219">
        <f t="shared" si="48"/>
        <v>0.51318640318176278</v>
      </c>
      <c r="U382" s="249">
        <f t="shared" si="44"/>
        <v>99.486813596818237</v>
      </c>
      <c r="V382" s="516">
        <f t="shared" si="45"/>
        <v>100</v>
      </c>
      <c r="W382" s="153">
        <f>(T382*0)/(1+cDR)^'Markov Model_b (3)'!cycle2</f>
        <v>0</v>
      </c>
      <c r="X382" s="178">
        <f t="shared" si="46"/>
        <v>0.51318640318176278</v>
      </c>
      <c r="Y382" s="202">
        <f>(T382*(uPostT))/(1+oDR)^'Markov Model_b (3)'!cycle</f>
        <v>0.15406319241812269</v>
      </c>
      <c r="Z382" s="80"/>
      <c r="AA382" s="3"/>
      <c r="AB382" s="3"/>
      <c r="AC382" s="14">
        <v>370</v>
      </c>
      <c r="AD382" s="14"/>
      <c r="AE382" s="14"/>
      <c r="AF382" s="3"/>
      <c r="AG382" s="3"/>
      <c r="AH382" s="3"/>
      <c r="AI382" s="14"/>
      <c r="AJ382" s="14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</row>
    <row r="383" spans="1:47" ht="14.25" customHeight="1" x14ac:dyDescent="0.2">
      <c r="A383" s="3"/>
      <c r="B383" s="417"/>
      <c r="C383" s="173">
        <v>373</v>
      </c>
      <c r="D383" s="504"/>
      <c r="E383" s="174">
        <v>4.1722691189530522E-2</v>
      </c>
      <c r="F383" s="505"/>
      <c r="G383" s="219">
        <f t="shared" si="41"/>
        <v>0.52200714254826153</v>
      </c>
      <c r="H383" s="176">
        <f t="shared" si="42"/>
        <v>99.477992857451738</v>
      </c>
      <c r="I383" s="516">
        <f t="shared" si="47"/>
        <v>100</v>
      </c>
      <c r="J383" s="180">
        <f>(G383*0)/(1+cDR)^'Markov Model_b (3)'!cycle</f>
        <v>0</v>
      </c>
      <c r="K383" s="176">
        <f t="shared" si="43"/>
        <v>0.52200714254826153</v>
      </c>
      <c r="L383" s="202">
        <f>(G383*(uPostT))/(1+oDR)^'Markov Model_b (3)'!cycle</f>
        <v>0.15632045688689106</v>
      </c>
      <c r="M383" s="80"/>
      <c r="N383" s="3"/>
      <c r="O383" s="80"/>
      <c r="P383" s="173">
        <v>373</v>
      </c>
      <c r="Q383" s="504"/>
      <c r="R383" s="174">
        <v>4.1722692116464052E-2</v>
      </c>
      <c r="S383" s="505"/>
      <c r="T383" s="219">
        <f t="shared" si="48"/>
        <v>0.49177488488345489</v>
      </c>
      <c r="U383" s="249">
        <f t="shared" si="44"/>
        <v>99.508225115116545</v>
      </c>
      <c r="V383" s="516">
        <f t="shared" si="45"/>
        <v>100</v>
      </c>
      <c r="W383" s="180">
        <f>(T383*0)/(1+cDR)^'Markov Model_b (3)'!cycle2</f>
        <v>0</v>
      </c>
      <c r="X383" s="176">
        <f t="shared" si="46"/>
        <v>0.49177488488345489</v>
      </c>
      <c r="Y383" s="202">
        <f>(T383*(uPostT))/(1+oDR)^'Markov Model_b (3)'!cycle</f>
        <v>0.14726709354053061</v>
      </c>
      <c r="Z383" s="80"/>
      <c r="AA383" s="3"/>
      <c r="AB383" s="3"/>
      <c r="AC383" s="14">
        <v>371</v>
      </c>
      <c r="AD383" s="14"/>
      <c r="AE383" s="14"/>
      <c r="AF383" s="3"/>
      <c r="AG383" s="3"/>
      <c r="AH383" s="3"/>
      <c r="AI383" s="14"/>
      <c r="AJ383" s="14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</row>
    <row r="384" spans="1:47" ht="14.25" customHeight="1" x14ac:dyDescent="0.25">
      <c r="A384" s="3">
        <v>33</v>
      </c>
      <c r="B384" s="417"/>
      <c r="C384" s="506">
        <v>374</v>
      </c>
      <c r="D384" s="506"/>
      <c r="E384" s="507">
        <v>4.2408099122419031E-2</v>
      </c>
      <c r="F384" s="508"/>
      <c r="G384" s="509">
        <f t="shared" si="41"/>
        <v>0.49986981190446045</v>
      </c>
      <c r="H384" s="176">
        <f t="shared" si="42"/>
        <v>99.50013018809554</v>
      </c>
      <c r="I384" s="518">
        <f t="shared" si="47"/>
        <v>100</v>
      </c>
      <c r="J384" s="511">
        <f>(G384*0)/(1+cDR)^'Markov Model_b (3)'!cycle</f>
        <v>0</v>
      </c>
      <c r="K384" s="512">
        <f t="shared" si="43"/>
        <v>0.49986981190446045</v>
      </c>
      <c r="L384" s="513">
        <f>(G384*(uPostT))/(1+oDR)^'Markov Model_b (3)'!cycle</f>
        <v>0.14931790868465725</v>
      </c>
      <c r="M384" s="80"/>
      <c r="N384" s="3"/>
      <c r="O384" s="80"/>
      <c r="P384" s="506">
        <v>374</v>
      </c>
      <c r="Q384" s="506"/>
      <c r="R384" s="507">
        <v>4.2408100210756451E-2</v>
      </c>
      <c r="S384" s="508"/>
      <c r="T384" s="509">
        <f t="shared" si="48"/>
        <v>0.47091964628418737</v>
      </c>
      <c r="U384" s="249">
        <f t="shared" si="44"/>
        <v>99.529080353715813</v>
      </c>
      <c r="V384" s="518">
        <f t="shared" si="45"/>
        <v>100</v>
      </c>
      <c r="W384" s="511">
        <f>(T384*0)/(1+cDR)^'Markov Model_b (3)'!cycle2</f>
        <v>0</v>
      </c>
      <c r="X384" s="512">
        <f t="shared" si="46"/>
        <v>0.47091964628418737</v>
      </c>
      <c r="Y384" s="513">
        <f>(T384*(uPostT))/(1+oDR)^'Markov Model_b (3)'!cycle</f>
        <v>0.14067010062834709</v>
      </c>
      <c r="Z384" s="80"/>
      <c r="AA384" s="3"/>
      <c r="AB384" s="3"/>
      <c r="AC384" s="14">
        <v>372</v>
      </c>
      <c r="AD384" s="14"/>
      <c r="AE384" s="14"/>
      <c r="AF384" s="3"/>
      <c r="AG384" s="3"/>
      <c r="AH384" s="3"/>
      <c r="AI384" s="14"/>
      <c r="AJ384" s="14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</row>
    <row r="385" spans="1:47" ht="14.25" customHeight="1" x14ac:dyDescent="0.2">
      <c r="A385" s="3"/>
      <c r="B385" s="417"/>
      <c r="C385" s="173">
        <v>375</v>
      </c>
      <c r="D385" s="165"/>
      <c r="E385" s="174">
        <v>4.3160168387017056E-2</v>
      </c>
      <c r="F385" s="502"/>
      <c r="G385" s="219">
        <f t="shared" si="41"/>
        <v>0.47829534665108042</v>
      </c>
      <c r="H385" s="176">
        <f t="shared" si="42"/>
        <v>99.52170465334892</v>
      </c>
      <c r="I385" s="516">
        <f t="shared" si="47"/>
        <v>100</v>
      </c>
      <c r="J385" s="153">
        <f>(G385*0)/(1+cDR)^'Markov Model_b (3)'!cycle</f>
        <v>0</v>
      </c>
      <c r="K385" s="178">
        <f t="shared" si="43"/>
        <v>0.47829534665108042</v>
      </c>
      <c r="L385" s="202">
        <f>(G385*(uPostT))/(1+oDR)^'Markov Model_b (3)'!cycle</f>
        <v>0.14251703002756219</v>
      </c>
      <c r="M385" s="80"/>
      <c r="N385" s="3"/>
      <c r="O385" s="80"/>
      <c r="P385" s="173">
        <v>375</v>
      </c>
      <c r="Q385" s="165"/>
      <c r="R385" s="174">
        <v>4.316016965135161E-2</v>
      </c>
      <c r="S385" s="502"/>
      <c r="T385" s="219">
        <f t="shared" si="48"/>
        <v>0.45059467445840085</v>
      </c>
      <c r="U385" s="249">
        <f t="shared" si="44"/>
        <v>99.549405325541599</v>
      </c>
      <c r="V385" s="516">
        <f t="shared" si="45"/>
        <v>100</v>
      </c>
      <c r="W385" s="153">
        <f>(T385*0)/(1+cDR)^'Markov Model_b (3)'!cycle2</f>
        <v>0</v>
      </c>
      <c r="X385" s="178">
        <f t="shared" si="46"/>
        <v>0.45059467445840085</v>
      </c>
      <c r="Y385" s="202">
        <f>(T385*(uPostT))/(1+oDR)^'Markov Model_b (3)'!cycle</f>
        <v>0.13426309747666132</v>
      </c>
      <c r="Z385" s="80"/>
      <c r="AA385" s="3"/>
      <c r="AB385" s="3"/>
      <c r="AC385" s="14">
        <v>373</v>
      </c>
      <c r="AD385" s="14"/>
      <c r="AE385" s="14"/>
      <c r="AF385" s="3"/>
      <c r="AG385" s="3"/>
      <c r="AH385" s="3"/>
      <c r="AI385" s="14"/>
      <c r="AJ385" s="14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</row>
    <row r="386" spans="1:47" ht="14.25" customHeight="1" x14ac:dyDescent="0.2">
      <c r="A386" s="3"/>
      <c r="B386" s="417"/>
      <c r="C386" s="173">
        <v>376</v>
      </c>
      <c r="D386" s="165"/>
      <c r="E386" s="174">
        <v>4.3987908524003139E-2</v>
      </c>
      <c r="F386" s="502"/>
      <c r="G386" s="219">
        <f t="shared" si="41"/>
        <v>0.45725613469514315</v>
      </c>
      <c r="H386" s="176">
        <f t="shared" si="42"/>
        <v>99.542743865304857</v>
      </c>
      <c r="I386" s="516">
        <f t="shared" si="47"/>
        <v>100</v>
      </c>
      <c r="J386" s="153">
        <f>(G386*0)/(1+cDR)^'Markov Model_b (3)'!cycle</f>
        <v>0</v>
      </c>
      <c r="K386" s="178">
        <f t="shared" si="43"/>
        <v>0.45725613469514315</v>
      </c>
      <c r="L386" s="202">
        <f>(G386*(uPostT))/(1+oDR)^'Markov Model_b (3)'!cycle</f>
        <v>0.13590823336418875</v>
      </c>
      <c r="M386" s="80"/>
      <c r="N386" s="3"/>
      <c r="O386" s="80"/>
      <c r="P386" s="173">
        <v>376</v>
      </c>
      <c r="Q386" s="165"/>
      <c r="R386" s="174">
        <v>4.3987909980698466E-2</v>
      </c>
      <c r="S386" s="502"/>
      <c r="T386" s="219">
        <f t="shared" si="48"/>
        <v>0.43077395648053596</v>
      </c>
      <c r="U386" s="249">
        <f t="shared" si="44"/>
        <v>99.569226043519464</v>
      </c>
      <c r="V386" s="516">
        <f t="shared" si="45"/>
        <v>100</v>
      </c>
      <c r="W386" s="153">
        <f>(T386*0)/(1+cDR)^'Markov Model_b (3)'!cycle2</f>
        <v>0</v>
      </c>
      <c r="X386" s="178">
        <f t="shared" si="46"/>
        <v>0.43077395648053596</v>
      </c>
      <c r="Y386" s="202">
        <f>(T386*(uPostT))/(1+oDR)^'Markov Model_b (3)'!cycle</f>
        <v>0.12803705180162217</v>
      </c>
      <c r="Z386" s="80"/>
      <c r="AA386" s="3"/>
      <c r="AB386" s="3"/>
      <c r="AC386" s="14">
        <v>374</v>
      </c>
      <c r="AD386" s="14"/>
      <c r="AE386" s="14"/>
      <c r="AF386" s="3"/>
      <c r="AG386" s="3"/>
      <c r="AH386" s="3"/>
      <c r="AI386" s="14"/>
      <c r="AJ386" s="14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</row>
    <row r="387" spans="1:47" ht="14.25" customHeight="1" x14ac:dyDescent="0.2">
      <c r="A387" s="3"/>
      <c r="B387" s="417"/>
      <c r="C387" s="173">
        <v>377</v>
      </c>
      <c r="D387" s="165"/>
      <c r="E387" s="174">
        <v>4.4902097211543007E-2</v>
      </c>
      <c r="F387" s="502"/>
      <c r="G387" s="219">
        <f t="shared" si="41"/>
        <v>0.43672437528448427</v>
      </c>
      <c r="H387" s="176">
        <f t="shared" si="42"/>
        <v>99.563275624715516</v>
      </c>
      <c r="I387" s="516">
        <f t="shared" si="47"/>
        <v>100</v>
      </c>
      <c r="J387" s="153">
        <f>(G387*0)/(1+cDR)^'Markov Model_b (3)'!cycle</f>
        <v>0</v>
      </c>
      <c r="K387" s="178">
        <f t="shared" si="43"/>
        <v>0.43672437528448427</v>
      </c>
      <c r="L387" s="202">
        <f>(G387*(uPostT))/(1+oDR)^'Markov Model_b (3)'!cycle</f>
        <v>0.12948196374844881</v>
      </c>
      <c r="M387" s="80"/>
      <c r="N387" s="3"/>
      <c r="O387" s="80"/>
      <c r="P387" s="173">
        <v>377</v>
      </c>
      <c r="Q387" s="165"/>
      <c r="R387" s="174">
        <v>4.4902098878438892E-2</v>
      </c>
      <c r="S387" s="502"/>
      <c r="T387" s="219">
        <f t="shared" si="48"/>
        <v>0.41143130169238873</v>
      </c>
      <c r="U387" s="249">
        <f t="shared" si="44"/>
        <v>99.588568698307611</v>
      </c>
      <c r="V387" s="516">
        <f t="shared" si="45"/>
        <v>100</v>
      </c>
      <c r="W387" s="153">
        <f>(T387*0)/(1+cDR)^'Markov Model_b (3)'!cycle2</f>
        <v>0</v>
      </c>
      <c r="X387" s="178">
        <f t="shared" si="46"/>
        <v>0.41143130169238873</v>
      </c>
      <c r="Y387" s="202">
        <f>(T387*(uPostT))/(1+oDR)^'Markov Model_b (3)'!cycle</f>
        <v>0.12198296203643029</v>
      </c>
      <c r="Z387" s="80"/>
      <c r="AA387" s="3"/>
      <c r="AB387" s="3"/>
      <c r="AC387" s="14">
        <v>375</v>
      </c>
      <c r="AD387" s="14"/>
      <c r="AE387" s="14"/>
      <c r="AF387" s="3"/>
      <c r="AG387" s="3"/>
      <c r="AH387" s="3"/>
      <c r="AI387" s="14"/>
      <c r="AJ387" s="14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</row>
    <row r="388" spans="1:47" ht="14.25" customHeight="1" x14ac:dyDescent="0.2">
      <c r="A388" s="3"/>
      <c r="B388" s="417"/>
      <c r="C388" s="173">
        <v>378</v>
      </c>
      <c r="D388" s="165"/>
      <c r="E388" s="174">
        <v>4.5916517119604407E-2</v>
      </c>
      <c r="F388" s="502"/>
      <c r="G388" s="219">
        <f t="shared" si="41"/>
        <v>0.41667151303018102</v>
      </c>
      <c r="H388" s="176">
        <f t="shared" si="42"/>
        <v>99.583328486969819</v>
      </c>
      <c r="I388" s="516">
        <f t="shared" si="47"/>
        <v>100</v>
      </c>
      <c r="J388" s="153">
        <f>(G388*0)/(1+cDR)^'Markov Model_b (3)'!cycle</f>
        <v>0</v>
      </c>
      <c r="K388" s="178">
        <f t="shared" si="43"/>
        <v>0.41667151303018102</v>
      </c>
      <c r="L388" s="202">
        <f>(G388*(uPostT))/(1+oDR)^'Markov Model_b (3)'!cycle</f>
        <v>0.12322853161427608</v>
      </c>
      <c r="M388" s="80"/>
      <c r="N388" s="3"/>
      <c r="O388" s="80"/>
      <c r="P388" s="173">
        <v>378</v>
      </c>
      <c r="Q388" s="165"/>
      <c r="R388" s="174">
        <v>4.5916519014211329E-2</v>
      </c>
      <c r="S388" s="502"/>
      <c r="T388" s="219">
        <f t="shared" si="48"/>
        <v>0.39253980850519099</v>
      </c>
      <c r="U388" s="249">
        <f t="shared" si="44"/>
        <v>99.607460191494809</v>
      </c>
      <c r="V388" s="516">
        <f t="shared" si="45"/>
        <v>100</v>
      </c>
      <c r="W388" s="153">
        <f>(T388*0)/(1+cDR)^'Markov Model_b (3)'!cycle2</f>
        <v>0</v>
      </c>
      <c r="X388" s="178">
        <f t="shared" si="46"/>
        <v>0.39253980850519099</v>
      </c>
      <c r="Y388" s="202">
        <f>(T388*(uPostT))/(1+oDR)^'Markov Model_b (3)'!cycle</f>
        <v>0.11609169979119749</v>
      </c>
      <c r="Z388" s="80"/>
      <c r="AA388" s="3"/>
      <c r="AB388" s="3"/>
      <c r="AC388" s="14">
        <v>376</v>
      </c>
      <c r="AD388" s="14"/>
      <c r="AE388" s="14"/>
      <c r="AF388" s="3"/>
      <c r="AG388" s="3"/>
      <c r="AH388" s="3"/>
      <c r="AI388" s="14"/>
      <c r="AJ388" s="14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</row>
    <row r="389" spans="1:47" ht="14.25" customHeight="1" x14ac:dyDescent="0.2">
      <c r="A389" s="3"/>
      <c r="B389" s="417"/>
      <c r="C389" s="173">
        <v>379</v>
      </c>
      <c r="D389" s="165"/>
      <c r="E389" s="174">
        <v>4.7045954746253414E-2</v>
      </c>
      <c r="F389" s="502"/>
      <c r="G389" s="219">
        <f t="shared" si="41"/>
        <v>0.39706880388411037</v>
      </c>
      <c r="H389" s="176">
        <f t="shared" si="42"/>
        <v>99.60293119611589</v>
      </c>
      <c r="I389" s="516">
        <f t="shared" si="47"/>
        <v>100</v>
      </c>
      <c r="J389" s="153">
        <f>(G389*0)/(1+cDR)^'Markov Model_b (3)'!cycle</f>
        <v>0</v>
      </c>
      <c r="K389" s="178">
        <f t="shared" si="43"/>
        <v>0.39706880388411037</v>
      </c>
      <c r="L389" s="202">
        <f>(G389*(uPostT))/(1+oDR)^'Markov Model_b (3)'!cycle</f>
        <v>0.11713828198753479</v>
      </c>
      <c r="M389" s="80"/>
      <c r="N389" s="3"/>
      <c r="O389" s="80"/>
      <c r="P389" s="173">
        <v>379</v>
      </c>
      <c r="Q389" s="165"/>
      <c r="R389" s="174">
        <v>4.7045956887812157E-2</v>
      </c>
      <c r="S389" s="502"/>
      <c r="T389" s="219">
        <f t="shared" si="48"/>
        <v>0.37407239759750155</v>
      </c>
      <c r="U389" s="249">
        <f t="shared" si="44"/>
        <v>99.625927602402498</v>
      </c>
      <c r="V389" s="516">
        <f t="shared" si="45"/>
        <v>100</v>
      </c>
      <c r="W389" s="153">
        <f>(T389*0)/(1+cDR)^'Markov Model_b (3)'!cycle2</f>
        <v>0</v>
      </c>
      <c r="X389" s="178">
        <f t="shared" si="46"/>
        <v>0.37407239759750155</v>
      </c>
      <c r="Y389" s="202">
        <f>(T389*(uPostT))/(1+oDR)^'Markov Model_b (3)'!cycle</f>
        <v>0.11035416926462516</v>
      </c>
      <c r="Z389" s="80"/>
      <c r="AA389" s="3"/>
      <c r="AB389" s="3"/>
      <c r="AC389" s="14">
        <v>377</v>
      </c>
      <c r="AD389" s="14"/>
      <c r="AE389" s="14"/>
      <c r="AF389" s="3"/>
      <c r="AG389" s="3"/>
      <c r="AH389" s="3"/>
      <c r="AI389" s="14"/>
      <c r="AJ389" s="14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</row>
    <row r="390" spans="1:47" ht="14.25" customHeight="1" x14ac:dyDescent="0.2">
      <c r="A390" s="3"/>
      <c r="B390" s="417"/>
      <c r="C390" s="173">
        <v>380</v>
      </c>
      <c r="D390" s="165"/>
      <c r="E390" s="174">
        <v>4.8307544759725693E-2</v>
      </c>
      <c r="F390" s="502"/>
      <c r="G390" s="219">
        <f t="shared" si="41"/>
        <v>0.37788738486779039</v>
      </c>
      <c r="H390" s="176">
        <f t="shared" si="42"/>
        <v>99.62211261513221</v>
      </c>
      <c r="I390" s="516">
        <f t="shared" si="47"/>
        <v>100</v>
      </c>
      <c r="J390" s="153">
        <f>(G390*0)/(1+cDR)^'Markov Model_b (3)'!cycle</f>
        <v>0</v>
      </c>
      <c r="K390" s="178">
        <f t="shared" si="43"/>
        <v>0.37788738486779039</v>
      </c>
      <c r="L390" s="202">
        <f>(G390*(uPostT))/(1+oDR)^'Markov Model_b (3)'!cycle</f>
        <v>0.11120161514947165</v>
      </c>
      <c r="M390" s="80"/>
      <c r="N390" s="3"/>
      <c r="O390" s="80"/>
      <c r="P390" s="173">
        <v>380</v>
      </c>
      <c r="Q390" s="165"/>
      <c r="R390" s="174">
        <v>4.8307547170250806E-2</v>
      </c>
      <c r="S390" s="502"/>
      <c r="T390" s="219">
        <f t="shared" si="48"/>
        <v>0.35600187760546476</v>
      </c>
      <c r="U390" s="249">
        <f t="shared" si="44"/>
        <v>99.643998122394535</v>
      </c>
      <c r="V390" s="516">
        <f t="shared" si="45"/>
        <v>100</v>
      </c>
      <c r="W390" s="153">
        <f>(T390*0)/(1+cDR)^'Markov Model_b (3)'!cycle2</f>
        <v>0</v>
      </c>
      <c r="X390" s="178">
        <f t="shared" si="46"/>
        <v>0.35600187760546476</v>
      </c>
      <c r="Y390" s="202">
        <f>(T390*(uPostT))/(1+oDR)^'Markov Model_b (3)'!cycle</f>
        <v>0.10476132671066184</v>
      </c>
      <c r="Z390" s="80"/>
      <c r="AA390" s="3"/>
      <c r="AB390" s="3"/>
      <c r="AC390" s="14">
        <v>378</v>
      </c>
      <c r="AD390" s="14"/>
      <c r="AE390" s="14"/>
      <c r="AF390" s="3"/>
      <c r="AG390" s="3"/>
      <c r="AH390" s="3"/>
      <c r="AI390" s="14"/>
      <c r="AJ390" s="14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</row>
    <row r="391" spans="1:47" ht="14.25" customHeight="1" x14ac:dyDescent="0.2">
      <c r="A391" s="3"/>
      <c r="B391" s="417"/>
      <c r="C391" s="173">
        <v>381</v>
      </c>
      <c r="D391" s="165"/>
      <c r="E391" s="174">
        <v>4.9722399685300858E-2</v>
      </c>
      <c r="F391" s="502"/>
      <c r="G391" s="219">
        <f t="shared" si="41"/>
        <v>0.35909791728136042</v>
      </c>
      <c r="H391" s="176">
        <f t="shared" si="42"/>
        <v>99.64090208271864</v>
      </c>
      <c r="I391" s="516">
        <f t="shared" si="47"/>
        <v>100</v>
      </c>
      <c r="J391" s="153">
        <f>(G391*0)/(1+cDR)^'Markov Model_b (3)'!cycle</f>
        <v>0</v>
      </c>
      <c r="K391" s="178">
        <f t="shared" si="43"/>
        <v>0.35909791728136042</v>
      </c>
      <c r="L391" s="202">
        <f>(G391*(uPostT))/(1+oDR)^'Markov Model_b (3)'!cycle</f>
        <v>0.10540888179088122</v>
      </c>
      <c r="M391" s="80"/>
      <c r="N391" s="3"/>
      <c r="O391" s="80"/>
      <c r="P391" s="173">
        <v>381</v>
      </c>
      <c r="Q391" s="165"/>
      <c r="R391" s="174">
        <v>4.9722402390399316E-2</v>
      </c>
      <c r="S391" s="502"/>
      <c r="T391" s="219">
        <f t="shared" si="48"/>
        <v>0.33830060899542502</v>
      </c>
      <c r="U391" s="249">
        <f t="shared" si="44"/>
        <v>99.661699391004575</v>
      </c>
      <c r="V391" s="516">
        <f t="shared" si="45"/>
        <v>100</v>
      </c>
      <c r="W391" s="153">
        <f>(T391*0)/(1+cDR)^'Markov Model_b (3)'!cycle2</f>
        <v>0</v>
      </c>
      <c r="X391" s="178">
        <f t="shared" si="46"/>
        <v>0.33830060899542502</v>
      </c>
      <c r="Y391" s="202">
        <f>(T391*(uPostT))/(1+oDR)^'Markov Model_b (3)'!cycle</f>
        <v>9.9304081664839186E-2</v>
      </c>
      <c r="Z391" s="80"/>
      <c r="AA391" s="3"/>
      <c r="AB391" s="3"/>
      <c r="AC391" s="14">
        <v>379</v>
      </c>
      <c r="AD391" s="14"/>
      <c r="AE391" s="14"/>
      <c r="AF391" s="3"/>
      <c r="AG391" s="3"/>
      <c r="AH391" s="3"/>
      <c r="AI391" s="14"/>
      <c r="AJ391" s="14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</row>
    <row r="392" spans="1:47" ht="14.25" customHeight="1" x14ac:dyDescent="0.2">
      <c r="A392" s="3"/>
      <c r="B392" s="417"/>
      <c r="C392" s="173">
        <v>382</v>
      </c>
      <c r="D392" s="165"/>
      <c r="E392" s="174">
        <v>5.1314621722840265E-2</v>
      </c>
      <c r="F392" s="502"/>
      <c r="G392" s="219">
        <f t="shared" si="41"/>
        <v>0.34067094349460092</v>
      </c>
      <c r="H392" s="176">
        <f t="shared" si="42"/>
        <v>99.659329056505399</v>
      </c>
      <c r="I392" s="516">
        <f t="shared" si="47"/>
        <v>100</v>
      </c>
      <c r="J392" s="153">
        <f>(G392*0)/(1+cDR)^'Markov Model_b (3)'!cycle</f>
        <v>0</v>
      </c>
      <c r="K392" s="178">
        <f t="shared" si="43"/>
        <v>0.34067094349460092</v>
      </c>
      <c r="L392" s="202">
        <f>(G392*(uPostT))/(1+oDR)^'Markov Model_b (3)'!cycle</f>
        <v>9.975048867386796E-2</v>
      </c>
      <c r="M392" s="80"/>
      <c r="N392" s="3"/>
      <c r="O392" s="80"/>
      <c r="P392" s="173">
        <v>382</v>
      </c>
      <c r="Q392" s="165"/>
      <c r="R392" s="174">
        <v>5.1314624752513464E-2</v>
      </c>
      <c r="S392" s="502"/>
      <c r="T392" s="219">
        <f t="shared" si="48"/>
        <v>0.32094084019128388</v>
      </c>
      <c r="U392" s="249">
        <f t="shared" si="44"/>
        <v>99.679059159808716</v>
      </c>
      <c r="V392" s="516">
        <f t="shared" si="45"/>
        <v>100</v>
      </c>
      <c r="W392" s="153">
        <f>(T392*0)/(1+cDR)^'Markov Model_b (3)'!cycle2</f>
        <v>0</v>
      </c>
      <c r="X392" s="178">
        <f t="shared" si="46"/>
        <v>0.32094084019128388</v>
      </c>
      <c r="Y392" s="202">
        <f>(T392*(uPostT))/(1+oDR)^'Markov Model_b (3)'!cycle</f>
        <v>9.3973396486600261E-2</v>
      </c>
      <c r="Z392" s="80"/>
      <c r="AA392" s="3"/>
      <c r="AB392" s="3"/>
      <c r="AC392" s="14">
        <v>380</v>
      </c>
      <c r="AD392" s="14"/>
      <c r="AE392" s="14"/>
      <c r="AF392" s="3"/>
      <c r="AG392" s="3"/>
      <c r="AH392" s="3"/>
      <c r="AI392" s="14"/>
      <c r="AJ392" s="14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</row>
    <row r="393" spans="1:47" ht="14.25" customHeight="1" x14ac:dyDescent="0.2">
      <c r="A393" s="3"/>
      <c r="B393" s="417"/>
      <c r="C393" s="173">
        <v>383</v>
      </c>
      <c r="D393" s="165"/>
      <c r="E393" s="174">
        <v>5.3112653024341198E-2</v>
      </c>
      <c r="F393" s="502"/>
      <c r="G393" s="219">
        <f t="shared" si="41"/>
        <v>0.32257700587729232</v>
      </c>
      <c r="H393" s="176">
        <f t="shared" si="42"/>
        <v>99.677422994122708</v>
      </c>
      <c r="I393" s="516">
        <f t="shared" si="47"/>
        <v>100</v>
      </c>
      <c r="J393" s="153">
        <f>(G393*0)/(1+cDR)^'Markov Model_b (3)'!cycle</f>
        <v>0</v>
      </c>
      <c r="K393" s="178">
        <f t="shared" si="43"/>
        <v>0.32257700587729232</v>
      </c>
      <c r="L393" s="202">
        <f>(G393*(uPostT))/(1+oDR)^'Markov Model_b (3)'!cycle</f>
        <v>9.4216933246805898E-2</v>
      </c>
      <c r="M393" s="80"/>
      <c r="N393" s="3"/>
      <c r="O393" s="80"/>
      <c r="P393" s="173">
        <v>383</v>
      </c>
      <c r="Q393" s="165"/>
      <c r="R393" s="174">
        <v>5.3112656414227577E-2</v>
      </c>
      <c r="S393" s="502"/>
      <c r="T393" s="219">
        <f t="shared" si="48"/>
        <v>0.30389481961691445</v>
      </c>
      <c r="U393" s="249">
        <f t="shared" si="44"/>
        <v>99.696105180383086</v>
      </c>
      <c r="V393" s="516">
        <f t="shared" si="45"/>
        <v>100</v>
      </c>
      <c r="W393" s="153">
        <f>(T393*0)/(1+cDR)^'Markov Model_b (3)'!cycle2</f>
        <v>0</v>
      </c>
      <c r="X393" s="178">
        <f t="shared" si="46"/>
        <v>0.30389481961691445</v>
      </c>
      <c r="Y393" s="202">
        <f>(T393*(uPostT))/(1+oDR)^'Markov Model_b (3)'!cycle</f>
        <v>8.8760318969506841E-2</v>
      </c>
      <c r="Z393" s="80"/>
      <c r="AA393" s="3"/>
      <c r="AB393" s="3"/>
      <c r="AC393" s="14">
        <v>381</v>
      </c>
      <c r="AD393" s="14"/>
      <c r="AE393" s="14"/>
      <c r="AF393" s="3"/>
      <c r="AG393" s="3"/>
      <c r="AH393" s="3"/>
      <c r="AI393" s="14"/>
      <c r="AJ393" s="14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</row>
    <row r="394" spans="1:47" ht="14.25" customHeight="1" x14ac:dyDescent="0.2">
      <c r="A394" s="3"/>
      <c r="B394" s="417"/>
      <c r="C394" s="173">
        <v>384</v>
      </c>
      <c r="D394" s="165"/>
      <c r="E394" s="174">
        <v>5.5150150680038229E-2</v>
      </c>
      <c r="F394" s="502"/>
      <c r="G394" s="219">
        <f t="shared" si="41"/>
        <v>0.30478683539723761</v>
      </c>
      <c r="H394" s="176">
        <f t="shared" si="42"/>
        <v>99.695213164602762</v>
      </c>
      <c r="I394" s="516">
        <f t="shared" si="47"/>
        <v>100</v>
      </c>
      <c r="J394" s="153">
        <f>(G394*0)/(1+cDR)^'Markov Model_b (3)'!cycle</f>
        <v>0</v>
      </c>
      <c r="K394" s="178">
        <f t="shared" si="43"/>
        <v>0.30478683539723761</v>
      </c>
      <c r="L394" s="202">
        <f>(G394*(uPostT))/(1+oDR)^'Markov Model_b (3)'!cycle</f>
        <v>8.8798858036540196E-2</v>
      </c>
      <c r="M394" s="80"/>
      <c r="N394" s="3"/>
      <c r="O394" s="80"/>
      <c r="P394" s="173">
        <v>384</v>
      </c>
      <c r="Q394" s="165"/>
      <c r="R394" s="174">
        <v>5.5150154472818028E-2</v>
      </c>
      <c r="S394" s="502"/>
      <c r="T394" s="219">
        <f t="shared" si="48"/>
        <v>0.28713497337155047</v>
      </c>
      <c r="U394" s="249">
        <f t="shared" si="44"/>
        <v>99.71286502662845</v>
      </c>
      <c r="V394" s="516">
        <f t="shared" si="45"/>
        <v>100</v>
      </c>
      <c r="W394" s="153">
        <f>(T394*0)/(1+cDR)^'Markov Model_b (3)'!cycle2</f>
        <v>0</v>
      </c>
      <c r="X394" s="178">
        <f t="shared" si="46"/>
        <v>0.28713497337155047</v>
      </c>
      <c r="Y394" s="202">
        <f>(T394*(uPostT))/(1+oDR)^'Markov Model_b (3)'!cycle</f>
        <v>8.3656033583323033E-2</v>
      </c>
      <c r="Z394" s="80"/>
      <c r="AA394" s="3"/>
      <c r="AB394" s="3"/>
      <c r="AC394" s="14">
        <v>382</v>
      </c>
      <c r="AD394" s="14"/>
      <c r="AE394" s="14"/>
      <c r="AF394" s="3"/>
      <c r="AG394" s="3"/>
      <c r="AH394" s="3"/>
      <c r="AI394" s="14"/>
      <c r="AJ394" s="14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</row>
    <row r="395" spans="1:47" ht="14.25" customHeight="1" x14ac:dyDescent="0.2">
      <c r="A395" s="3"/>
      <c r="B395" s="417"/>
      <c r="C395" s="173">
        <v>385</v>
      </c>
      <c r="D395" s="504"/>
      <c r="E395" s="174">
        <v>5.7466123692981694E-2</v>
      </c>
      <c r="F395" s="505"/>
      <c r="G395" s="219">
        <f t="shared" si="41"/>
        <v>0.28727191741430147</v>
      </c>
      <c r="H395" s="176">
        <f t="shared" si="42"/>
        <v>99.712728082585699</v>
      </c>
      <c r="I395" s="516">
        <f t="shared" si="47"/>
        <v>100</v>
      </c>
      <c r="J395" s="180">
        <f>(G395*0)/(1+cDR)^'Markov Model_b (3)'!cycle</f>
        <v>0</v>
      </c>
      <c r="K395" s="176">
        <f t="shared" si="43"/>
        <v>0.28727191741430147</v>
      </c>
      <c r="L395" s="202">
        <f>(G395*(uPostT))/(1+oDR)^'Markov Model_b (3)'!cycle</f>
        <v>8.3487213842209571E-2</v>
      </c>
      <c r="M395" s="80"/>
      <c r="N395" s="3"/>
      <c r="O395" s="80"/>
      <c r="P395" s="173">
        <v>385</v>
      </c>
      <c r="Q395" s="504"/>
      <c r="R395" s="174">
        <v>5.7466127939447664E-2</v>
      </c>
      <c r="S395" s="505"/>
      <c r="T395" s="219">
        <f t="shared" si="48"/>
        <v>0.27063443825589673</v>
      </c>
      <c r="U395" s="249">
        <f t="shared" si="44"/>
        <v>99.729365561744103</v>
      </c>
      <c r="V395" s="516">
        <f t="shared" si="45"/>
        <v>100</v>
      </c>
      <c r="W395" s="180">
        <f>(T395*0)/(1+cDR)^'Markov Model_b (3)'!cycle2</f>
        <v>0</v>
      </c>
      <c r="X395" s="176">
        <f t="shared" si="46"/>
        <v>0.27063443825589673</v>
      </c>
      <c r="Y395" s="202">
        <f>(T395*(uPostT))/(1+oDR)^'Markov Model_b (3)'!cycle</f>
        <v>7.8652015216477508E-2</v>
      </c>
      <c r="Z395" s="80"/>
      <c r="AA395" s="3"/>
      <c r="AB395" s="3"/>
      <c r="AC395" s="14">
        <v>383</v>
      </c>
      <c r="AD395" s="14"/>
      <c r="AE395" s="14"/>
      <c r="AF395" s="3"/>
      <c r="AG395" s="3"/>
      <c r="AH395" s="3"/>
      <c r="AI395" s="14"/>
      <c r="AJ395" s="14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</row>
    <row r="396" spans="1:47" ht="14.25" customHeight="1" x14ac:dyDescent="0.25">
      <c r="A396" s="3">
        <v>34</v>
      </c>
      <c r="B396" s="417"/>
      <c r="C396" s="506">
        <v>386</v>
      </c>
      <c r="D396" s="506"/>
      <c r="E396" s="507">
        <v>6.0110266549424966E-2</v>
      </c>
      <c r="F396" s="508"/>
      <c r="G396" s="509">
        <f t="shared" ref="G396:G408" si="49">$G$10-H396</f>
        <v>0.27000392588635691</v>
      </c>
      <c r="H396" s="176">
        <f t="shared" ref="H396:H408" si="50">H395+(G395*E396)</f>
        <v>99.729996074113643</v>
      </c>
      <c r="I396" s="518">
        <f t="shared" si="47"/>
        <v>100</v>
      </c>
      <c r="J396" s="511">
        <f>(G396*0)/(1+cDR)^'Markov Model_b (3)'!cycle</f>
        <v>0</v>
      </c>
      <c r="K396" s="512">
        <f t="shared" si="43"/>
        <v>0.27000392588635691</v>
      </c>
      <c r="L396" s="513">
        <f>(G396*(uPostT))/(1+oDR)^'Markov Model_b (3)'!cycle</f>
        <v>7.8273092433599631E-2</v>
      </c>
      <c r="M396" s="80"/>
      <c r="N396" s="3"/>
      <c r="O396" s="80"/>
      <c r="P396" s="506">
        <v>386</v>
      </c>
      <c r="Q396" s="506"/>
      <c r="R396" s="507">
        <v>6.0110271311891755E-2</v>
      </c>
      <c r="S396" s="508"/>
      <c r="T396" s="509">
        <f t="shared" si="48"/>
        <v>0.25436652874599019</v>
      </c>
      <c r="U396" s="249">
        <f t="shared" si="44"/>
        <v>99.74563347125401</v>
      </c>
      <c r="V396" s="518">
        <f t="shared" si="45"/>
        <v>100</v>
      </c>
      <c r="W396" s="511">
        <f>(T396*0)/(1+cDR)^'Markov Model_b (3)'!cycle2</f>
        <v>0</v>
      </c>
      <c r="X396" s="512">
        <f t="shared" si="46"/>
        <v>0.25436652874599019</v>
      </c>
      <c r="Y396" s="513">
        <f>(T396*(uPostT))/(1+oDR)^'Markov Model_b (3)'!cycle</f>
        <v>7.3739871563677922E-2</v>
      </c>
      <c r="Z396" s="80"/>
      <c r="AA396" s="3"/>
      <c r="AB396" s="3"/>
      <c r="AC396" s="14">
        <v>384</v>
      </c>
      <c r="AD396" s="14"/>
      <c r="AE396" s="14"/>
      <c r="AF396" s="3"/>
      <c r="AG396" s="3"/>
      <c r="AH396" s="3"/>
      <c r="AI396" s="14"/>
      <c r="AJ396" s="14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</row>
    <row r="397" spans="1:47" ht="14.25" customHeight="1" x14ac:dyDescent="0.2">
      <c r="A397" s="3"/>
      <c r="B397" s="417"/>
      <c r="C397" s="173">
        <v>387</v>
      </c>
      <c r="D397" s="165"/>
      <c r="E397" s="174">
        <v>6.3144974870654444E-2</v>
      </c>
      <c r="F397" s="502"/>
      <c r="G397" s="219">
        <f t="shared" si="49"/>
        <v>0.25295453477129115</v>
      </c>
      <c r="H397" s="176">
        <f t="shared" si="50"/>
        <v>99.747045465228709</v>
      </c>
      <c r="I397" s="516">
        <f t="shared" si="47"/>
        <v>100</v>
      </c>
      <c r="J397" s="153">
        <f>(G397*0)/(1+cDR)^'Markov Model_b (3)'!cycle</f>
        <v>0</v>
      </c>
      <c r="K397" s="178">
        <f t="shared" si="43"/>
        <v>0.25295453477129115</v>
      </c>
      <c r="L397" s="202">
        <f>(G397*(uPostT))/(1+oDR)^'Markov Model_b (3)'!cycle</f>
        <v>7.3147670801828824E-2</v>
      </c>
      <c r="M397" s="80"/>
      <c r="N397" s="3"/>
      <c r="O397" s="80"/>
      <c r="P397" s="173">
        <v>387</v>
      </c>
      <c r="Q397" s="165"/>
      <c r="R397" s="174">
        <v>6.3144980227155284E-2</v>
      </c>
      <c r="S397" s="502"/>
      <c r="T397" s="219">
        <f t="shared" si="48"/>
        <v>0.23830455931786787</v>
      </c>
      <c r="U397" s="249">
        <f t="shared" si="44"/>
        <v>99.761695440682132</v>
      </c>
      <c r="V397" s="516">
        <f t="shared" si="45"/>
        <v>100</v>
      </c>
      <c r="W397" s="153">
        <f>(T397*0)/(1+cDR)^'Markov Model_b (3)'!cycle2</f>
        <v>0</v>
      </c>
      <c r="X397" s="178">
        <f t="shared" si="46"/>
        <v>0.23830455931786787</v>
      </c>
      <c r="Y397" s="202">
        <f>(T397*(uPostT))/(1+oDR)^'Markov Model_b (3)'!cycle</f>
        <v>6.8911290605321265E-2</v>
      </c>
      <c r="Z397" s="80"/>
      <c r="AA397" s="3"/>
      <c r="AB397" s="3"/>
      <c r="AC397" s="14">
        <v>385</v>
      </c>
      <c r="AD397" s="14"/>
      <c r="AE397" s="14"/>
      <c r="AF397" s="3"/>
      <c r="AG397" s="3"/>
      <c r="AH397" s="3"/>
      <c r="AI397" s="14"/>
      <c r="AJ397" s="14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</row>
    <row r="398" spans="1:47" ht="14.25" customHeight="1" x14ac:dyDescent="0.2">
      <c r="A398" s="3"/>
      <c r="B398" s="417"/>
      <c r="C398" s="173">
        <v>388</v>
      </c>
      <c r="D398" s="165"/>
      <c r="E398" s="174">
        <v>6.6646897849029552E-2</v>
      </c>
      <c r="F398" s="502"/>
      <c r="G398" s="219">
        <f t="shared" si="49"/>
        <v>0.23609589973193579</v>
      </c>
      <c r="H398" s="176">
        <f t="shared" si="50"/>
        <v>99.763904100268064</v>
      </c>
      <c r="I398" s="516">
        <f t="shared" si="47"/>
        <v>100</v>
      </c>
      <c r="J398" s="153">
        <f>(G398*0)/(1+cDR)^'Markov Model_b (3)'!cycle</f>
        <v>0</v>
      </c>
      <c r="K398" s="178">
        <f t="shared" si="43"/>
        <v>0.23609589973193579</v>
      </c>
      <c r="L398" s="202">
        <f>(G398*(uPostT))/(1+oDR)^'Markov Model_b (3)'!cycle</f>
        <v>6.8102349584043542E-2</v>
      </c>
      <c r="M398" s="80"/>
      <c r="N398" s="3"/>
      <c r="O398" s="80"/>
      <c r="P398" s="173">
        <v>388</v>
      </c>
      <c r="Q398" s="165"/>
      <c r="R398" s="174">
        <v>6.6646903902620444E-2</v>
      </c>
      <c r="S398" s="502"/>
      <c r="T398" s="219">
        <f t="shared" si="48"/>
        <v>0.2224222982534485</v>
      </c>
      <c r="U398" s="249">
        <f t="shared" si="44"/>
        <v>99.777577701746551</v>
      </c>
      <c r="V398" s="516">
        <f t="shared" si="45"/>
        <v>100</v>
      </c>
      <c r="W398" s="153">
        <f>(T398*0)/(1+cDR)^'Markov Model_b (3)'!cycle2</f>
        <v>0</v>
      </c>
      <c r="X398" s="178">
        <f t="shared" si="46"/>
        <v>0.2224222982534485</v>
      </c>
      <c r="Y398" s="202">
        <f>(T398*(uPostT))/(1+oDR)^'Markov Model_b (3)'!cycle</f>
        <v>6.4158171015003887E-2</v>
      </c>
      <c r="Z398" s="80"/>
      <c r="AA398" s="3"/>
      <c r="AB398" s="3"/>
      <c r="AC398" s="14">
        <v>386</v>
      </c>
      <c r="AD398" s="14"/>
      <c r="AE398" s="14"/>
      <c r="AF398" s="3"/>
      <c r="AG398" s="3"/>
      <c r="AH398" s="3"/>
      <c r="AI398" s="14"/>
      <c r="AJ398" s="14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</row>
    <row r="399" spans="1:47" ht="14.25" customHeight="1" x14ac:dyDescent="0.2">
      <c r="A399" s="3"/>
      <c r="B399" s="417"/>
      <c r="C399" s="173">
        <v>389</v>
      </c>
      <c r="D399" s="165"/>
      <c r="E399" s="174">
        <v>7.0707693356011306E-2</v>
      </c>
      <c r="F399" s="502"/>
      <c r="G399" s="219">
        <f t="shared" si="49"/>
        <v>0.21940210325108467</v>
      </c>
      <c r="H399" s="176">
        <f t="shared" si="50"/>
        <v>99.780597896748915</v>
      </c>
      <c r="I399" s="516">
        <f t="shared" si="47"/>
        <v>100</v>
      </c>
      <c r="J399" s="153">
        <f>(G399*0)/(1+cDR)^'Markov Model_b (3)'!cycle</f>
        <v>0</v>
      </c>
      <c r="K399" s="178">
        <f t="shared" si="43"/>
        <v>0.21940210325108467</v>
      </c>
      <c r="L399" s="202">
        <f>(G399*(uPostT))/(1+oDR)^'Markov Model_b (3)'!cycle</f>
        <v>6.3129166616292171E-2</v>
      </c>
      <c r="M399" s="80"/>
      <c r="N399" s="3"/>
      <c r="O399" s="80"/>
      <c r="P399" s="173">
        <v>389</v>
      </c>
      <c r="Q399" s="165"/>
      <c r="R399" s="174">
        <v>7.0707700256826142E-2</v>
      </c>
      <c r="S399" s="502"/>
      <c r="T399" s="219">
        <f t="shared" si="48"/>
        <v>0.20669532905810684</v>
      </c>
      <c r="U399" s="249">
        <f t="shared" si="44"/>
        <v>99.793304670941893</v>
      </c>
      <c r="V399" s="516">
        <f t="shared" si="45"/>
        <v>100</v>
      </c>
      <c r="W399" s="153">
        <f>(T399*0)/(1+cDR)^'Markov Model_b (3)'!cycle2</f>
        <v>0</v>
      </c>
      <c r="X399" s="178">
        <f t="shared" si="46"/>
        <v>0.20669532905810684</v>
      </c>
      <c r="Y399" s="202">
        <f>(T399*(uPostT))/(1+oDR)^'Markov Model_b (3)'!cycle</f>
        <v>5.9473011760446982E-2</v>
      </c>
      <c r="Z399" s="80"/>
      <c r="AA399" s="3"/>
      <c r="AB399" s="3"/>
      <c r="AC399" s="14">
        <v>387</v>
      </c>
      <c r="AD399" s="3"/>
      <c r="AE399" s="3"/>
      <c r="AF399" s="3"/>
      <c r="AG399" s="3"/>
      <c r="AH399" s="3"/>
      <c r="AI399" s="14"/>
      <c r="AJ399" s="14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</row>
    <row r="400" spans="1:47" ht="14.25" customHeight="1" x14ac:dyDescent="0.2">
      <c r="A400" s="3"/>
      <c r="B400" s="417"/>
      <c r="C400" s="173">
        <v>390</v>
      </c>
      <c r="D400" s="165"/>
      <c r="E400" s="174">
        <v>7.5452301911865194E-2</v>
      </c>
      <c r="F400" s="502"/>
      <c r="G400" s="219">
        <f t="shared" si="49"/>
        <v>0.20284770951649023</v>
      </c>
      <c r="H400" s="176">
        <f t="shared" si="50"/>
        <v>99.79715229048351</v>
      </c>
      <c r="I400" s="516">
        <f t="shared" si="47"/>
        <v>100</v>
      </c>
      <c r="J400" s="153">
        <f>(G400*0)/(1+cDR)^'Markov Model_b (3)'!cycle</f>
        <v>0</v>
      </c>
      <c r="K400" s="178">
        <f t="shared" si="43"/>
        <v>0.20284770951649023</v>
      </c>
      <c r="L400" s="202">
        <f>(G400*(uPostT))/(1+oDR)^'Markov Model_b (3)'!cycle</f>
        <v>5.8220374740465416E-2</v>
      </c>
      <c r="M400" s="80"/>
      <c r="N400" s="3"/>
      <c r="O400" s="80"/>
      <c r="P400" s="173">
        <v>390</v>
      </c>
      <c r="Q400" s="165"/>
      <c r="R400" s="174">
        <v>7.5452309861457359E-2</v>
      </c>
      <c r="S400" s="502"/>
      <c r="T400" s="219">
        <f t="shared" si="48"/>
        <v>0.19109968904309937</v>
      </c>
      <c r="U400" s="249">
        <f t="shared" si="44"/>
        <v>99.808900310956901</v>
      </c>
      <c r="V400" s="516">
        <f t="shared" si="45"/>
        <v>100</v>
      </c>
      <c r="W400" s="153">
        <f>(T400*0)/(1+cDR)^'Markov Model_b (3)'!cycle2</f>
        <v>0</v>
      </c>
      <c r="X400" s="178">
        <f t="shared" si="46"/>
        <v>0.19109968904309937</v>
      </c>
      <c r="Y400" s="202">
        <f>(T400*(uPostT))/(1+oDR)^'Markov Model_b (3)'!cycle</f>
        <v>5.4848514362796863E-2</v>
      </c>
      <c r="Z400" s="80"/>
      <c r="AA400" s="3"/>
      <c r="AB400" s="3"/>
      <c r="AC400" s="14">
        <v>388</v>
      </c>
      <c r="AD400" s="3"/>
      <c r="AE400" s="3"/>
      <c r="AF400" s="3"/>
      <c r="AG400" s="3"/>
      <c r="AH400" s="3"/>
      <c r="AI400" s="14"/>
      <c r="AJ400" s="14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</row>
    <row r="401" spans="1:47" ht="14.25" customHeight="1" x14ac:dyDescent="0.2">
      <c r="A401" s="3"/>
      <c r="B401" s="417"/>
      <c r="C401" s="173">
        <v>391</v>
      </c>
      <c r="D401" s="165"/>
      <c r="E401" s="174">
        <v>8.104379874300327E-2</v>
      </c>
      <c r="F401" s="502"/>
      <c r="G401" s="219">
        <f t="shared" si="49"/>
        <v>0.18640816057096288</v>
      </c>
      <c r="H401" s="176">
        <f t="shared" si="50"/>
        <v>99.813591839429037</v>
      </c>
      <c r="I401" s="516">
        <f t="shared" si="47"/>
        <v>100</v>
      </c>
      <c r="J401" s="153">
        <f>(G401*0)/(1+cDR)^'Markov Model_b (3)'!cycle</f>
        <v>0</v>
      </c>
      <c r="K401" s="178">
        <f t="shared" si="43"/>
        <v>0.18640816057096288</v>
      </c>
      <c r="L401" s="202">
        <f>(G401*(uPostT))/(1+oDR)^'Markov Model_b (3)'!cycle</f>
        <v>5.3368553024696973E-2</v>
      </c>
      <c r="M401" s="80"/>
      <c r="N401" s="3"/>
      <c r="O401" s="80"/>
      <c r="P401" s="173">
        <v>391</v>
      </c>
      <c r="Q401" s="165"/>
      <c r="R401" s="174">
        <v>8.1043808009977819E-2</v>
      </c>
      <c r="S401" s="502"/>
      <c r="T401" s="219">
        <f t="shared" si="48"/>
        <v>0.17561224253351781</v>
      </c>
      <c r="U401" s="249">
        <f t="shared" si="44"/>
        <v>99.824387757466482</v>
      </c>
      <c r="V401" s="516">
        <f t="shared" si="45"/>
        <v>100</v>
      </c>
      <c r="W401" s="153">
        <f>(T401*0)/(1+cDR)^'Markov Model_b (3)'!cycle2</f>
        <v>0</v>
      </c>
      <c r="X401" s="178">
        <f t="shared" si="46"/>
        <v>0.17561224253351781</v>
      </c>
      <c r="Y401" s="202">
        <f>(T401*(uPostT))/(1+oDR)^'Markov Model_b (3)'!cycle</f>
        <v>5.027768767595419E-2</v>
      </c>
      <c r="Z401" s="80"/>
      <c r="AA401" s="3"/>
      <c r="AB401" s="3"/>
      <c r="AC401" s="14"/>
      <c r="AD401" s="3"/>
      <c r="AE401" s="3"/>
      <c r="AF401" s="3"/>
      <c r="AG401" s="3"/>
      <c r="AH401" s="3"/>
      <c r="AI401" s="14"/>
      <c r="AJ401" s="14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</row>
    <row r="402" spans="1:47" ht="14.25" customHeight="1" x14ac:dyDescent="0.2">
      <c r="A402" s="3"/>
      <c r="B402" s="417"/>
      <c r="C402" s="173">
        <v>392</v>
      </c>
      <c r="D402" s="165"/>
      <c r="E402" s="174">
        <v>8.7687956596432359E-2</v>
      </c>
      <c r="F402" s="502"/>
      <c r="G402" s="219">
        <f t="shared" si="49"/>
        <v>0.17006240987760179</v>
      </c>
      <c r="H402" s="176">
        <f t="shared" si="50"/>
        <v>99.829937590122398</v>
      </c>
      <c r="I402" s="516">
        <f t="shared" si="47"/>
        <v>100</v>
      </c>
      <c r="J402" s="153">
        <f>(G402*0)/(1+cDR)^'Markov Model_b (3)'!cycle</f>
        <v>0</v>
      </c>
      <c r="K402" s="178">
        <f t="shared" si="43"/>
        <v>0.17006240987760179</v>
      </c>
      <c r="L402" s="202">
        <f>(G402*(uPostT))/(1+oDR)^'Markov Model_b (3)'!cycle</f>
        <v>4.8567355275266573E-2</v>
      </c>
      <c r="M402" s="80"/>
      <c r="N402" s="3"/>
      <c r="O402" s="80"/>
      <c r="P402" s="173">
        <v>392</v>
      </c>
      <c r="Q402" s="165"/>
      <c r="R402" s="174">
        <v>8.7687967544586728E-2</v>
      </c>
      <c r="S402" s="502"/>
      <c r="T402" s="219">
        <f t="shared" si="48"/>
        <v>0.16021316190980883</v>
      </c>
      <c r="U402" s="249">
        <f t="shared" si="44"/>
        <v>99.839786838090191</v>
      </c>
      <c r="V402" s="516">
        <f t="shared" si="45"/>
        <v>100</v>
      </c>
      <c r="W402" s="153">
        <f>(T402*0)/(1+cDR)^'Markov Model_b (3)'!cycle2</f>
        <v>0</v>
      </c>
      <c r="X402" s="178">
        <f t="shared" si="46"/>
        <v>0.16021316190980883</v>
      </c>
      <c r="Y402" s="202">
        <f>(T402*(uPostT))/(1+oDR)^'Markov Model_b (3)'!cycle</f>
        <v>4.5754553048188408E-2</v>
      </c>
      <c r="Z402" s="80"/>
      <c r="AA402" s="3"/>
      <c r="AB402" s="3"/>
      <c r="AC402" s="14"/>
      <c r="AD402" s="3"/>
      <c r="AE402" s="3"/>
      <c r="AF402" s="3"/>
      <c r="AG402" s="3"/>
      <c r="AH402" s="3"/>
      <c r="AI402" s="14"/>
      <c r="AJ402" s="14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</row>
    <row r="403" spans="1:47" ht="14.25" customHeight="1" x14ac:dyDescent="0.2">
      <c r="A403" s="3"/>
      <c r="B403" s="417"/>
      <c r="C403" s="173">
        <v>393</v>
      </c>
      <c r="D403" s="165"/>
      <c r="E403" s="174">
        <v>9.5683232613078123E-2</v>
      </c>
      <c r="F403" s="502"/>
      <c r="G403" s="219">
        <f t="shared" si="49"/>
        <v>0.15379028875453571</v>
      </c>
      <c r="H403" s="176">
        <f t="shared" si="50"/>
        <v>99.846209711245464</v>
      </c>
      <c r="I403" s="516">
        <f t="shared" si="47"/>
        <v>100</v>
      </c>
      <c r="J403" s="153">
        <f>(G403*0)/(1+cDR)^'Markov Model_b (3)'!cycle</f>
        <v>0</v>
      </c>
      <c r="K403" s="178">
        <f t="shared" si="43"/>
        <v>0.15379028875453571</v>
      </c>
      <c r="L403" s="202">
        <f>(G403*(uPostT))/(1+oDR)^'Markov Model_b (3)'!cycle</f>
        <v>4.3810746855919479E-2</v>
      </c>
      <c r="M403" s="80"/>
      <c r="N403" s="3"/>
      <c r="O403" s="80"/>
      <c r="P403" s="173">
        <v>393</v>
      </c>
      <c r="Q403" s="165"/>
      <c r="R403" s="174">
        <v>9.5683245750911861E-2</v>
      </c>
      <c r="S403" s="502"/>
      <c r="T403" s="219">
        <f t="shared" si="48"/>
        <v>0.1448834465662685</v>
      </c>
      <c r="U403" s="249">
        <f t="shared" si="44"/>
        <v>99.855116553433731</v>
      </c>
      <c r="V403" s="516">
        <f t="shared" si="45"/>
        <v>100</v>
      </c>
      <c r="W403" s="153">
        <f>(T403*0)/(1+cDR)^'Markov Model_b (3)'!cycle2</f>
        <v>0</v>
      </c>
      <c r="X403" s="178">
        <f t="shared" si="46"/>
        <v>0.1448834465662685</v>
      </c>
      <c r="Y403" s="202">
        <f>(T403*(uPostT))/(1+oDR)^'Markov Model_b (3)'!cycle</f>
        <v>4.1273425341304071E-2</v>
      </c>
      <c r="Z403" s="80"/>
      <c r="AA403" s="3"/>
      <c r="AB403" s="3"/>
      <c r="AC403" s="14"/>
      <c r="AD403" s="3"/>
      <c r="AE403" s="3"/>
      <c r="AF403" s="3"/>
      <c r="AG403" s="3"/>
      <c r="AH403" s="3"/>
      <c r="AI403" s="14"/>
      <c r="AJ403" s="14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</row>
    <row r="404" spans="1:47" ht="14.25" customHeight="1" x14ac:dyDescent="0.2">
      <c r="A404" s="3"/>
      <c r="B404" s="417"/>
      <c r="C404" s="173">
        <v>394</v>
      </c>
      <c r="D404" s="165"/>
      <c r="E404" s="174">
        <v>0.10545958633638834</v>
      </c>
      <c r="F404" s="502"/>
      <c r="G404" s="219">
        <f t="shared" si="49"/>
        <v>0.13757162851992177</v>
      </c>
      <c r="H404" s="176">
        <f t="shared" si="50"/>
        <v>99.862428371480078</v>
      </c>
      <c r="I404" s="516">
        <f t="shared" si="47"/>
        <v>100</v>
      </c>
      <c r="J404" s="153">
        <f>(G404*0)/(1+cDR)^'Markov Model_b (3)'!cycle</f>
        <v>0</v>
      </c>
      <c r="K404" s="178">
        <f t="shared" si="43"/>
        <v>0.13757162851992177</v>
      </c>
      <c r="L404" s="202">
        <f>(G404*(uPostT))/(1+oDR)^'Markov Model_b (3)'!cycle</f>
        <v>3.9092751736063865E-2</v>
      </c>
      <c r="M404" s="80"/>
      <c r="N404" s="3"/>
      <c r="O404" s="80"/>
      <c r="P404" s="173">
        <v>394</v>
      </c>
      <c r="Q404" s="165"/>
      <c r="R404" s="174">
        <v>0.10545960239912905</v>
      </c>
      <c r="S404" s="502"/>
      <c r="T404" s="219">
        <f t="shared" si="48"/>
        <v>0.12960409589717869</v>
      </c>
      <c r="U404" s="249">
        <f t="shared" si="44"/>
        <v>99.870395904102821</v>
      </c>
      <c r="V404" s="516">
        <f t="shared" si="45"/>
        <v>100</v>
      </c>
      <c r="W404" s="153">
        <f>(T404*0)/(1+cDR)^'Markov Model_b (3)'!cycle2</f>
        <v>0</v>
      </c>
      <c r="X404" s="178">
        <f t="shared" si="46"/>
        <v>0.12960409589717869</v>
      </c>
      <c r="Y404" s="202">
        <f>(T404*(uPostT))/(1+oDR)^'Markov Model_b (3)'!cycle</f>
        <v>3.6828674628589769E-2</v>
      </c>
      <c r="Z404" s="80"/>
      <c r="AA404" s="3"/>
      <c r="AB404" s="3"/>
      <c r="AC404" s="14"/>
      <c r="AD404" s="3"/>
      <c r="AE404" s="3"/>
      <c r="AF404" s="3"/>
      <c r="AG404" s="3"/>
      <c r="AH404" s="3"/>
      <c r="AI404" s="14"/>
      <c r="AJ404" s="14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</row>
    <row r="405" spans="1:47" ht="14.25" customHeight="1" x14ac:dyDescent="0.2">
      <c r="A405" s="3"/>
      <c r="B405" s="417"/>
      <c r="C405" s="173">
        <v>395</v>
      </c>
      <c r="D405" s="165"/>
      <c r="E405" s="174">
        <v>0.1176375042732504</v>
      </c>
      <c r="F405" s="502"/>
      <c r="G405" s="219">
        <f t="shared" si="49"/>
        <v>0.12138804548203552</v>
      </c>
      <c r="H405" s="176">
        <f t="shared" si="50"/>
        <v>99.878611954517964</v>
      </c>
      <c r="I405" s="516">
        <f t="shared" si="47"/>
        <v>100</v>
      </c>
      <c r="J405" s="153">
        <f>(G405*0)/(1+cDR)^'Markov Model_b (3)'!cycle</f>
        <v>0</v>
      </c>
      <c r="K405" s="178">
        <f t="shared" si="43"/>
        <v>0.12138804548203552</v>
      </c>
      <c r="L405" s="202">
        <f>(G405*(uPostT))/(1+oDR)^'Markov Model_b (3)'!cycle</f>
        <v>3.4407958091432121E-2</v>
      </c>
      <c r="M405" s="80"/>
      <c r="N405" s="3"/>
      <c r="O405" s="80"/>
      <c r="P405" s="173">
        <v>395</v>
      </c>
      <c r="Q405" s="165"/>
      <c r="R405" s="174">
        <v>0.11763752435921336</v>
      </c>
      <c r="S405" s="502"/>
      <c r="T405" s="219">
        <f t="shared" si="48"/>
        <v>0.11435779090902543</v>
      </c>
      <c r="U405" s="249">
        <f t="shared" si="44"/>
        <v>99.885642209090975</v>
      </c>
      <c r="V405" s="516">
        <f t="shared" si="45"/>
        <v>100</v>
      </c>
      <c r="W405" s="153">
        <f>(T405*0)/(1+cDR)^'Markov Model_b (3)'!cycle2</f>
        <v>0</v>
      </c>
      <c r="X405" s="178">
        <f t="shared" si="46"/>
        <v>0.11435779090902543</v>
      </c>
      <c r="Y405" s="202">
        <f>(T405*(uPostT))/(1+oDR)^'Markov Model_b (3)'!cycle</f>
        <v>3.2415202513568983E-2</v>
      </c>
      <c r="Z405" s="80"/>
      <c r="AA405" s="3"/>
      <c r="AB405" s="3"/>
      <c r="AC405" s="14"/>
      <c r="AD405" s="3"/>
      <c r="AE405" s="3"/>
      <c r="AF405" s="3"/>
      <c r="AG405" s="3"/>
      <c r="AH405" s="3"/>
      <c r="AI405" s="14"/>
      <c r="AJ405" s="14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</row>
    <row r="406" spans="1:47" ht="14.25" customHeight="1" x14ac:dyDescent="0.2">
      <c r="A406" s="3"/>
      <c r="B406" s="417"/>
      <c r="C406" s="173">
        <v>396</v>
      </c>
      <c r="D406" s="165"/>
      <c r="E406" s="174">
        <v>0.13312472005231199</v>
      </c>
      <c r="F406" s="502"/>
      <c r="G406" s="219">
        <f t="shared" si="49"/>
        <v>0.10522829590954075</v>
      </c>
      <c r="H406" s="176">
        <f t="shared" si="50"/>
        <v>99.894771704090459</v>
      </c>
      <c r="I406" s="516">
        <f t="shared" si="47"/>
        <v>100</v>
      </c>
      <c r="J406" s="153">
        <f>(G406*0)/(1+cDR)^'Markov Model_b (3)'!cycle</f>
        <v>0</v>
      </c>
      <c r="K406" s="178">
        <f t="shared" si="43"/>
        <v>0.10522829590954075</v>
      </c>
      <c r="L406" s="202">
        <f>(G406*(uPostT))/(1+oDR)^'Markov Model_b (3)'!cycle</f>
        <v>2.9753025738591628E-2</v>
      </c>
      <c r="M406" s="80"/>
      <c r="N406" s="3"/>
      <c r="O406" s="80"/>
      <c r="P406" s="173">
        <v>396</v>
      </c>
      <c r="Q406" s="165"/>
      <c r="R406" s="174">
        <v>0.13312474586067813</v>
      </c>
      <c r="S406" s="502"/>
      <c r="T406" s="219">
        <f t="shared" si="48"/>
        <v>9.9133939057068687E-2</v>
      </c>
      <c r="U406" s="249">
        <f t="shared" si="44"/>
        <v>99.900866060942931</v>
      </c>
      <c r="V406" s="516">
        <f t="shared" si="45"/>
        <v>100</v>
      </c>
      <c r="W406" s="153">
        <f>(T406*0)/(1+cDR)^'Markov Model_b (3)'!cycle2</f>
        <v>0</v>
      </c>
      <c r="X406" s="178">
        <f t="shared" si="46"/>
        <v>9.9133939057068687E-2</v>
      </c>
      <c r="Y406" s="202">
        <f>(T406*(uPostT))/(1+oDR)^'Markov Model_b (3)'!cycle</f>
        <v>2.8029862261273332E-2</v>
      </c>
      <c r="Z406" s="80"/>
      <c r="AA406" s="3"/>
      <c r="AB406" s="3"/>
      <c r="AC406" s="14"/>
      <c r="AD406" s="3"/>
      <c r="AE406" s="3"/>
      <c r="AF406" s="3"/>
      <c r="AG406" s="3"/>
      <c r="AH406" s="3"/>
      <c r="AI406" s="14"/>
      <c r="AJ406" s="14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</row>
    <row r="407" spans="1:47" ht="14.25" customHeight="1" x14ac:dyDescent="0.2">
      <c r="A407" s="3"/>
      <c r="B407" s="417"/>
      <c r="C407" s="173">
        <v>397</v>
      </c>
      <c r="D407" s="504"/>
      <c r="E407" s="174">
        <v>0.15343187598687483</v>
      </c>
      <c r="F407" s="505"/>
      <c r="G407" s="219">
        <f t="shared" si="49"/>
        <v>8.9082921061233833E-2</v>
      </c>
      <c r="H407" s="176">
        <f t="shared" si="50"/>
        <v>99.910917078938766</v>
      </c>
      <c r="I407" s="516">
        <f t="shared" si="47"/>
        <v>100</v>
      </c>
      <c r="J407" s="180">
        <f>(G407*0)/(1+cDR)^'Markov Model_b (3)'!cycle</f>
        <v>0</v>
      </c>
      <c r="K407" s="176">
        <f t="shared" si="43"/>
        <v>8.9082921061233833E-2</v>
      </c>
      <c r="L407" s="202">
        <f>(G407*(uPostT))/(1+oDR)^'Markov Model_b (3)'!cycle</f>
        <v>2.5125150307463925E-2</v>
      </c>
      <c r="M407" s="80"/>
      <c r="N407" s="3"/>
      <c r="O407" s="80"/>
      <c r="P407" s="173">
        <v>397</v>
      </c>
      <c r="Q407" s="504"/>
      <c r="R407" s="174">
        <v>0.15343191033231643</v>
      </c>
      <c r="S407" s="505"/>
      <c r="T407" s="219">
        <f t="shared" si="48"/>
        <v>8.3923629408772626E-2</v>
      </c>
      <c r="U407" s="249">
        <f t="shared" si="44"/>
        <v>99.916076370591227</v>
      </c>
      <c r="V407" s="516">
        <f t="shared" si="45"/>
        <v>100</v>
      </c>
      <c r="W407" s="180">
        <f>(T407*0)/(1+cDR)^'Markov Model_b (3)'!cycle2</f>
        <v>0</v>
      </c>
      <c r="X407" s="176">
        <f t="shared" si="46"/>
        <v>8.3923629408772626E-2</v>
      </c>
      <c r="Y407" s="202">
        <f>(T407*(uPostT))/(1+oDR)^'Markov Model_b (3)'!cycle</f>
        <v>2.3670011918377785E-2</v>
      </c>
      <c r="Z407" s="80"/>
      <c r="AA407" s="3"/>
      <c r="AB407" s="3"/>
      <c r="AC407" s="14"/>
      <c r="AD407" s="3"/>
      <c r="AE407" s="3"/>
      <c r="AF407" s="3"/>
      <c r="AG407" s="3"/>
      <c r="AH407" s="3"/>
      <c r="AI407" s="14"/>
      <c r="AJ407" s="14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</row>
    <row r="408" spans="1:47" ht="14.25" customHeight="1" x14ac:dyDescent="0.25">
      <c r="A408" s="3">
        <v>35</v>
      </c>
      <c r="B408" s="417"/>
      <c r="C408" s="506">
        <v>398</v>
      </c>
      <c r="D408" s="506"/>
      <c r="E408" s="507">
        <v>0.18118466113401632</v>
      </c>
      <c r="F408" s="508"/>
      <c r="G408" s="509">
        <f t="shared" si="49"/>
        <v>7.2942462195925373E-2</v>
      </c>
      <c r="H408" s="500">
        <f t="shared" si="50"/>
        <v>99.927057537804075</v>
      </c>
      <c r="I408" s="518">
        <f t="shared" si="47"/>
        <v>100</v>
      </c>
      <c r="J408" s="511">
        <f>(G408*0)/(1+cDR)^'Markov Model_b (3)'!cycle</f>
        <v>0</v>
      </c>
      <c r="K408" s="512">
        <f t="shared" si="43"/>
        <v>7.2942462195925373E-2</v>
      </c>
      <c r="L408" s="513">
        <f>(G408*(uPostT))/(1+oDR)^'Markov Model_b (3)'!cycle</f>
        <v>2.0521554576623163E-2</v>
      </c>
      <c r="M408" s="80"/>
      <c r="N408" s="3"/>
      <c r="O408" s="80"/>
      <c r="P408" s="506">
        <v>398</v>
      </c>
      <c r="Q408" s="506"/>
      <c r="R408" s="507">
        <v>0.18118470905397538</v>
      </c>
      <c r="S408" s="508"/>
      <c r="T408" s="509">
        <f t="shared" si="48"/>
        <v>6.8717951031587177E-2</v>
      </c>
      <c r="U408" s="249">
        <f t="shared" si="44"/>
        <v>99.931282048968413</v>
      </c>
      <c r="V408" s="518">
        <f t="shared" si="45"/>
        <v>100</v>
      </c>
      <c r="W408" s="511">
        <f>(T408*0)/(1+cDR)^'Markov Model_b (3)'!cycle2</f>
        <v>0</v>
      </c>
      <c r="X408" s="512">
        <f t="shared" si="46"/>
        <v>6.8717951031587177E-2</v>
      </c>
      <c r="Y408" s="513">
        <f>(T408*(uPostT))/(1+oDR)^'Markov Model_b (3)'!cycle</f>
        <v>1.9333035107871762E-2</v>
      </c>
      <c r="Z408" s="80"/>
      <c r="AA408" s="3"/>
      <c r="AB408" s="3"/>
      <c r="AC408" s="14"/>
      <c r="AD408" s="3"/>
      <c r="AE408" s="3"/>
      <c r="AF408" s="3"/>
      <c r="AG408" s="3"/>
      <c r="AH408" s="3"/>
      <c r="AI408" s="14"/>
      <c r="AJ408" s="14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</row>
    <row r="409" spans="1:47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416" t="s">
        <v>244</v>
      </c>
      <c r="K409" s="416" t="s">
        <v>354</v>
      </c>
      <c r="L409" s="416" t="s">
        <v>355</v>
      </c>
      <c r="M409" s="3"/>
      <c r="N409" s="3"/>
      <c r="O409" s="252"/>
      <c r="P409" s="252"/>
      <c r="Q409" s="252"/>
      <c r="R409" s="252"/>
      <c r="S409" s="252"/>
      <c r="T409" s="252"/>
      <c r="U409" s="252"/>
      <c r="V409" s="252"/>
      <c r="W409" s="416" t="s">
        <v>244</v>
      </c>
      <c r="X409" s="416" t="s">
        <v>354</v>
      </c>
      <c r="Y409" s="416" t="s">
        <v>355</v>
      </c>
      <c r="Z409" s="3"/>
      <c r="AA409" s="3"/>
      <c r="AB409" s="3"/>
      <c r="AC409" s="14"/>
      <c r="AD409" s="3"/>
      <c r="AE409" s="3"/>
      <c r="AF409" s="3"/>
      <c r="AG409" s="3"/>
      <c r="AH409" s="3"/>
      <c r="AI409" s="14"/>
      <c r="AJ409" s="14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</row>
    <row r="410" spans="1:47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411">
        <f>SUM(J11:J408)/cohortsize</f>
        <v>83411.12036559642</v>
      </c>
      <c r="K410" s="410">
        <f>(SUM(K12:K408)/12/cohortsize)+(K11/cohortsize)</f>
        <v>8.2574675329641583</v>
      </c>
      <c r="L410" s="410">
        <f>(SUM(L12:L408)/12/cohortsize)+(L11/cohortsize)</f>
        <v>4.8686083642052154</v>
      </c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411">
        <f>SUM(W11:W408)/cohortsize</f>
        <v>70697.727140358664</v>
      </c>
      <c r="X410" s="410">
        <f>(SUM(X12:X408)/12/cohortsize)+(X11/cohortsize)</f>
        <v>7.7822744793890433</v>
      </c>
      <c r="Y410" s="410">
        <f>(SUM(Y12:Y408)/12/cohortsize)+(Y11/cohortsize)</f>
        <v>4.5650841827631314</v>
      </c>
      <c r="Z410" s="3"/>
      <c r="AA410" s="3"/>
      <c r="AB410" s="3"/>
      <c r="AC410" s="14"/>
      <c r="AD410" s="3"/>
      <c r="AE410" s="3"/>
      <c r="AF410" s="3"/>
      <c r="AG410" s="3"/>
      <c r="AH410" s="3"/>
      <c r="AI410" s="14"/>
      <c r="AJ410" s="14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</row>
    <row r="411" spans="1:47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411" t="s">
        <v>351</v>
      </c>
      <c r="K411" s="410" t="s">
        <v>353</v>
      </c>
      <c r="L411" s="410" t="s">
        <v>352</v>
      </c>
      <c r="M411" s="252"/>
      <c r="N411" s="252"/>
      <c r="O411" s="252"/>
      <c r="P411" s="252"/>
      <c r="Q411" s="252"/>
      <c r="R411" s="252"/>
      <c r="S411" s="252"/>
      <c r="T411" s="252"/>
      <c r="U411" s="252"/>
      <c r="V411" s="252"/>
      <c r="W411" s="411" t="s">
        <v>351</v>
      </c>
      <c r="X411" s="410" t="s">
        <v>353</v>
      </c>
      <c r="Y411" s="410" t="s">
        <v>352</v>
      </c>
      <c r="Z411" s="3"/>
      <c r="AA411" s="3"/>
      <c r="AB411" s="3"/>
      <c r="AC411" s="14"/>
      <c r="AD411" s="3"/>
      <c r="AE411" s="3"/>
      <c r="AF411" s="3"/>
      <c r="AG411" s="3"/>
      <c r="AH411" s="3"/>
      <c r="AI411" s="14"/>
      <c r="AJ411" s="14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</row>
    <row r="412" spans="1:47" ht="14.25" customHeight="1" x14ac:dyDescent="0.2">
      <c r="A412" s="3"/>
      <c r="B412" s="3"/>
      <c r="D412" s="3"/>
      <c r="E412" s="3"/>
      <c r="F412" s="3"/>
      <c r="G412" s="3"/>
      <c r="H412" s="3"/>
      <c r="I412" s="3"/>
      <c r="J412" s="412">
        <f>SUM(J11:J408)</f>
        <v>8341112.0365596414</v>
      </c>
      <c r="K412" s="410">
        <f>(SUM(K12:K408)/12)+(K11)</f>
        <v>825.74675329641582</v>
      </c>
      <c r="L412" s="410">
        <f>(SUM(L12:L408)/12)+(L11)</f>
        <v>486.86083642052154</v>
      </c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412">
        <f>SUM(W11:W408)</f>
        <v>7069772.7140358668</v>
      </c>
      <c r="X412" s="410">
        <f>(SUM(X12:X408)/12)+(X11)</f>
        <v>778.22744793890433</v>
      </c>
      <c r="Y412" s="410">
        <f>(SUM(Y12:Y408)/12)+(Y11)</f>
        <v>456.50841827631308</v>
      </c>
      <c r="Z412" s="3"/>
      <c r="AA412" s="3"/>
      <c r="AB412" s="3"/>
      <c r="AC412" s="14"/>
      <c r="AD412" s="3"/>
      <c r="AE412" s="3"/>
      <c r="AF412" s="3"/>
      <c r="AG412" s="3"/>
      <c r="AH412" s="3"/>
      <c r="AI412" s="14"/>
      <c r="AJ412" s="14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</row>
    <row r="413" spans="1:47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277"/>
      <c r="K413" s="253"/>
      <c r="L413" s="253"/>
      <c r="M413" s="252"/>
      <c r="N413" s="252"/>
      <c r="O413" s="252"/>
      <c r="P413" s="252"/>
      <c r="Q413" s="252"/>
      <c r="R413" s="252"/>
      <c r="S413" s="252"/>
      <c r="T413" s="252"/>
      <c r="U413" s="252"/>
      <c r="V413" s="252"/>
      <c r="W413" s="277"/>
      <c r="X413" s="253"/>
      <c r="Y413" s="3"/>
      <c r="Z413" s="3"/>
      <c r="AA413" s="3"/>
      <c r="AB413" s="3"/>
      <c r="AC413" s="14"/>
      <c r="AD413" s="3"/>
      <c r="AE413" s="3"/>
      <c r="AF413" s="3"/>
      <c r="AG413" s="3"/>
      <c r="AH413" s="3"/>
      <c r="AI413" s="14"/>
      <c r="AJ413" s="14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</row>
    <row r="414" spans="1:47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 t="s">
        <v>538</v>
      </c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14"/>
      <c r="AD414" s="3"/>
      <c r="AE414" s="3"/>
      <c r="AF414" s="3"/>
      <c r="AG414" s="3"/>
      <c r="AH414" s="3"/>
      <c r="AI414" s="14"/>
      <c r="AJ414" s="14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</row>
    <row r="415" spans="1:47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413" t="s">
        <v>229</v>
      </c>
      <c r="K415" s="415">
        <f>(J410-W410)/(L410-Y410)</f>
        <v>41885.932003291229</v>
      </c>
      <c r="L415" s="4" t="s">
        <v>374</v>
      </c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14"/>
      <c r="AD415" s="3"/>
      <c r="AE415" s="3"/>
      <c r="AF415" s="3"/>
      <c r="AG415" s="3"/>
      <c r="AH415" s="3"/>
      <c r="AI415" s="14"/>
      <c r="AJ415" s="14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</row>
    <row r="416" spans="1:47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76" t="s">
        <v>255</v>
      </c>
      <c r="K416" s="414">
        <f>(J410-W410)/(K410-X410)</f>
        <v>26754.164711770387</v>
      </c>
      <c r="L416" s="272" t="s">
        <v>368</v>
      </c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14"/>
      <c r="AD416" s="3"/>
      <c r="AE416" s="3"/>
      <c r="AF416" s="3"/>
      <c r="AG416" s="3"/>
      <c r="AH416" s="3"/>
      <c r="AI416" s="14"/>
      <c r="AJ416" s="14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</row>
    <row r="417" spans="1:47" ht="8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14"/>
      <c r="AD417" s="3"/>
      <c r="AE417" s="3"/>
      <c r="AF417" s="3"/>
      <c r="AG417" s="3"/>
      <c r="AH417" s="3"/>
      <c r="AI417" s="14"/>
      <c r="AJ417" s="14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</row>
    <row r="418" spans="1:47" ht="6.7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522"/>
      <c r="K418" s="522"/>
      <c r="L418" s="522"/>
      <c r="M418" s="522"/>
      <c r="N418" s="522"/>
      <c r="O418" s="522"/>
      <c r="P418" s="522"/>
      <c r="Q418" s="522"/>
      <c r="R418" s="522"/>
      <c r="S418" s="522"/>
      <c r="T418" s="522"/>
      <c r="U418" s="522"/>
      <c r="V418" s="522"/>
      <c r="W418" s="522"/>
      <c r="X418" s="522"/>
      <c r="Y418" s="522"/>
      <c r="Z418" s="3"/>
      <c r="AA418" s="3"/>
      <c r="AB418" s="3"/>
      <c r="AC418" s="14"/>
      <c r="AD418" s="3"/>
      <c r="AE418" s="3"/>
      <c r="AF418" s="3"/>
      <c r="AG418" s="3"/>
      <c r="AH418" s="3"/>
      <c r="AI418" s="14"/>
      <c r="AJ418" s="14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</row>
    <row r="419" spans="1:47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28" t="s">
        <v>244</v>
      </c>
      <c r="K419" s="328" t="s">
        <v>354</v>
      </c>
      <c r="L419" s="328" t="s">
        <v>355</v>
      </c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28" t="s">
        <v>244</v>
      </c>
      <c r="X419" s="328" t="s">
        <v>354</v>
      </c>
      <c r="Y419" s="328" t="s">
        <v>355</v>
      </c>
      <c r="Z419" s="3"/>
      <c r="AA419" s="3"/>
      <c r="AB419" s="3"/>
      <c r="AC419" s="14"/>
      <c r="AD419" s="3"/>
      <c r="AE419" s="3"/>
      <c r="AF419" s="3"/>
      <c r="AG419" s="3"/>
      <c r="AH419" s="3"/>
      <c r="AI419" s="14"/>
      <c r="AJ419" s="14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</row>
    <row r="420" spans="1:47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411">
        <f>SUM(J11:J119)/cohortsize</f>
        <v>83411.12036559642</v>
      </c>
      <c r="K420" s="410">
        <f>(SUM(K11:K119)/12/cohortsize)+(K11/cohortsize)</f>
        <v>4.9903071776204264</v>
      </c>
      <c r="L420" s="410">
        <f>(SUM(L11:L119)/12/cohortsize)+(L11/cohortsize)</f>
        <v>3.2916479698099272</v>
      </c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411">
        <f>SUM(W11:W119)/cohortsize</f>
        <v>70697.727140358664</v>
      </c>
      <c r="X420" s="410">
        <f>(SUM(X11:X119)/12/cohortsize)+(X11/cohortsize)</f>
        <v>4.7043328266486961</v>
      </c>
      <c r="Y420" s="410">
        <f>(SUM(Y11:Y119)/12/cohortsize)+(Y11/cohortsize)</f>
        <v>3.0774592472643962</v>
      </c>
      <c r="Z420" s="3"/>
      <c r="AA420" s="3"/>
      <c r="AB420" s="3"/>
      <c r="AC420" s="14"/>
      <c r="AD420" s="3"/>
      <c r="AE420" s="3"/>
      <c r="AF420" s="3"/>
      <c r="AG420" s="3"/>
      <c r="AH420" s="3"/>
      <c r="AI420" s="14"/>
      <c r="AJ420" s="14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</row>
    <row r="421" spans="1:47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411" t="s">
        <v>351</v>
      </c>
      <c r="K421" s="410" t="s">
        <v>353</v>
      </c>
      <c r="L421" s="410" t="s">
        <v>352</v>
      </c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411" t="s">
        <v>351</v>
      </c>
      <c r="X421" s="410" t="s">
        <v>353</v>
      </c>
      <c r="Y421" s="410" t="s">
        <v>352</v>
      </c>
      <c r="Z421" s="3"/>
      <c r="AA421" s="3"/>
      <c r="AB421" s="3"/>
      <c r="AC421" s="14"/>
      <c r="AD421" s="3"/>
      <c r="AE421" s="3"/>
      <c r="AF421" s="3"/>
      <c r="AG421" s="3"/>
      <c r="AH421" s="3"/>
      <c r="AI421" s="14"/>
      <c r="AJ421" s="14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</row>
    <row r="422" spans="1:47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412">
        <f>SUM(J11:J119)</f>
        <v>8341112.0365596414</v>
      </c>
      <c r="K422" s="410">
        <f>(SUM(K11:K119)/12)+(K11)</f>
        <v>499.03071776204263</v>
      </c>
      <c r="L422" s="410">
        <f>(SUM(L11:L119)/12)+(L11)</f>
        <v>329.16479698099272</v>
      </c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412">
        <f>SUM(W11:W119)</f>
        <v>7069772.7140358668</v>
      </c>
      <c r="X422" s="410">
        <f>(SUM(X11:X119)/12)+(X11)</f>
        <v>470.43328266486964</v>
      </c>
      <c r="Y422" s="410">
        <f>(SUM(Y11:Y119)/12)+(Y11)</f>
        <v>307.74592472643963</v>
      </c>
      <c r="Z422" s="3"/>
      <c r="AA422" s="3"/>
      <c r="AB422" s="3"/>
      <c r="AC422" s="14"/>
      <c r="AD422" s="3"/>
      <c r="AE422" s="3"/>
      <c r="AF422" s="3"/>
      <c r="AG422" s="3"/>
      <c r="AH422" s="3"/>
      <c r="AI422" s="14"/>
      <c r="AJ422" s="14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</row>
    <row r="423" spans="1:47" ht="14.25" customHeight="1" x14ac:dyDescent="0.2">
      <c r="A423" s="3"/>
      <c r="B423" s="3"/>
      <c r="C423" s="3"/>
      <c r="D423" s="3">
        <f>373+12</f>
        <v>385</v>
      </c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14"/>
      <c r="AD423" s="3"/>
      <c r="AE423" s="3"/>
      <c r="AF423" s="3"/>
      <c r="AG423" s="3"/>
      <c r="AH423" s="3"/>
      <c r="AI423" s="14"/>
      <c r="AJ423" s="14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</row>
    <row r="424" spans="1:47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52"/>
      <c r="K424" s="3"/>
      <c r="L424" s="3" t="s">
        <v>539</v>
      </c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14"/>
      <c r="AD424" s="3"/>
      <c r="AE424" s="3"/>
      <c r="AF424" s="3"/>
      <c r="AG424" s="3"/>
      <c r="AH424" s="3"/>
      <c r="AI424" s="14"/>
      <c r="AJ424" s="14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</row>
    <row r="425" spans="1:47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520" t="s">
        <v>253</v>
      </c>
      <c r="K425" s="521">
        <f>(J420-W420)/(L420-Y420)</f>
        <v>59356.034594842946</v>
      </c>
      <c r="L425" s="4" t="s">
        <v>540</v>
      </c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14"/>
      <c r="AD425" s="3"/>
      <c r="AE425" s="3"/>
      <c r="AF425" s="3"/>
      <c r="AG425" s="3"/>
      <c r="AH425" s="3"/>
      <c r="AI425" s="14"/>
      <c r="AJ425" s="14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</row>
    <row r="426" spans="1:47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28" t="s">
        <v>541</v>
      </c>
      <c r="K426" s="414">
        <f>(J420-W420)/(K420-X420)</f>
        <v>44456.410800612415</v>
      </c>
      <c r="L426" s="3" t="s">
        <v>368</v>
      </c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14"/>
      <c r="AD426" s="3"/>
      <c r="AE426" s="3"/>
      <c r="AF426" s="3"/>
      <c r="AG426" s="3"/>
      <c r="AH426" s="3"/>
      <c r="AI426" s="14"/>
      <c r="AJ426" s="14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</row>
    <row r="427" spans="1:47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14"/>
      <c r="AD427" s="3"/>
      <c r="AE427" s="3"/>
      <c r="AF427" s="3"/>
      <c r="AG427" s="3"/>
      <c r="AH427" s="3"/>
      <c r="AI427" s="14"/>
      <c r="AJ427" s="14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</row>
    <row r="428" spans="1:47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14"/>
      <c r="AD428" s="3"/>
      <c r="AE428" s="3"/>
      <c r="AF428" s="3"/>
      <c r="AG428" s="3"/>
      <c r="AH428" s="3"/>
      <c r="AI428" s="14"/>
      <c r="AJ428" s="14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</row>
    <row r="429" spans="1:47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14"/>
      <c r="AD429" s="3"/>
      <c r="AE429" s="3"/>
      <c r="AF429" s="3"/>
      <c r="AG429" s="3"/>
      <c r="AH429" s="3"/>
      <c r="AI429" s="14"/>
      <c r="AJ429" s="14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</row>
    <row r="430" spans="1:47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14"/>
      <c r="AD430" s="3"/>
      <c r="AE430" s="3"/>
      <c r="AF430" s="3"/>
      <c r="AG430" s="3"/>
      <c r="AH430" s="3"/>
      <c r="AI430" s="14"/>
      <c r="AJ430" s="14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</row>
    <row r="431" spans="1:47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14"/>
      <c r="AD431" s="3"/>
      <c r="AE431" s="3"/>
      <c r="AF431" s="3"/>
      <c r="AG431" s="3"/>
      <c r="AH431" s="3"/>
      <c r="AI431" s="14"/>
      <c r="AJ431" s="14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</row>
    <row r="432" spans="1:47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14"/>
      <c r="AD432" s="3"/>
      <c r="AE432" s="3"/>
      <c r="AF432" s="3"/>
      <c r="AG432" s="3"/>
      <c r="AH432" s="3"/>
      <c r="AI432" s="14"/>
      <c r="AJ432" s="14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</row>
    <row r="433" spans="1:47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14"/>
      <c r="AD433" s="3"/>
      <c r="AE433" s="3"/>
      <c r="AF433" s="3"/>
      <c r="AG433" s="3"/>
      <c r="AH433" s="3"/>
      <c r="AI433" s="14"/>
      <c r="AJ433" s="14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</row>
    <row r="434" spans="1:47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14"/>
      <c r="AD434" s="3"/>
      <c r="AE434" s="3"/>
      <c r="AF434" s="3"/>
      <c r="AG434" s="3"/>
      <c r="AH434" s="3"/>
      <c r="AI434" s="14"/>
      <c r="AJ434" s="14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</row>
    <row r="435" spans="1:47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14"/>
      <c r="AD435" s="3"/>
      <c r="AE435" s="3"/>
      <c r="AF435" s="3"/>
      <c r="AG435" s="3"/>
      <c r="AH435" s="3"/>
      <c r="AI435" s="14"/>
      <c r="AJ435" s="14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</row>
    <row r="436" spans="1:47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14"/>
      <c r="AD436" s="3"/>
      <c r="AE436" s="3"/>
      <c r="AF436" s="3"/>
      <c r="AG436" s="3"/>
      <c r="AH436" s="3"/>
      <c r="AI436" s="14"/>
      <c r="AJ436" s="14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</row>
    <row r="437" spans="1:47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14"/>
      <c r="AD437" s="3"/>
      <c r="AE437" s="3"/>
      <c r="AF437" s="3"/>
      <c r="AG437" s="3"/>
      <c r="AH437" s="3"/>
      <c r="AI437" s="14"/>
      <c r="AJ437" s="14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</row>
    <row r="438" spans="1:47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14"/>
      <c r="AD438" s="3"/>
      <c r="AE438" s="3"/>
      <c r="AF438" s="3"/>
      <c r="AG438" s="3"/>
      <c r="AH438" s="3"/>
      <c r="AI438" s="14"/>
      <c r="AJ438" s="14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</row>
    <row r="439" spans="1:47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14"/>
      <c r="AD439" s="3"/>
      <c r="AE439" s="3"/>
      <c r="AF439" s="3"/>
      <c r="AG439" s="3"/>
      <c r="AH439" s="3"/>
      <c r="AI439" s="14"/>
      <c r="AJ439" s="14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</row>
    <row r="440" spans="1:47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14"/>
      <c r="AD440" s="3"/>
      <c r="AE440" s="3"/>
      <c r="AF440" s="3"/>
      <c r="AG440" s="3"/>
      <c r="AH440" s="3"/>
      <c r="AI440" s="14"/>
      <c r="AJ440" s="14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</row>
    <row r="441" spans="1:47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14"/>
      <c r="AD441" s="3"/>
      <c r="AE441" s="3"/>
      <c r="AF441" s="3"/>
      <c r="AG441" s="3"/>
      <c r="AH441" s="3"/>
      <c r="AI441" s="14"/>
      <c r="AJ441" s="14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</row>
    <row r="442" spans="1:47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>
        <f>398+12</f>
        <v>410</v>
      </c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14"/>
      <c r="AD442" s="3"/>
      <c r="AE442" s="3"/>
      <c r="AF442" s="3"/>
      <c r="AG442" s="3"/>
      <c r="AH442" s="3"/>
      <c r="AI442" s="14"/>
      <c r="AJ442" s="14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</row>
    <row r="443" spans="1:47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>
        <f>410/12</f>
        <v>34.166666666666664</v>
      </c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14"/>
      <c r="AD443" s="3"/>
      <c r="AE443" s="3"/>
      <c r="AF443" s="3"/>
      <c r="AG443" s="3"/>
      <c r="AH443" s="3"/>
      <c r="AI443" s="14"/>
      <c r="AJ443" s="14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</row>
    <row r="444" spans="1:47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14"/>
      <c r="AD444" s="3"/>
      <c r="AE444" s="3"/>
      <c r="AF444" s="3"/>
      <c r="AG444" s="3"/>
      <c r="AH444" s="3"/>
      <c r="AI444" s="14"/>
      <c r="AJ444" s="14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</row>
    <row r="445" spans="1:47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14"/>
      <c r="AD445" s="3"/>
      <c r="AE445" s="3"/>
      <c r="AF445" s="3"/>
      <c r="AG445" s="3"/>
      <c r="AH445" s="3"/>
      <c r="AI445" s="14"/>
      <c r="AJ445" s="14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</row>
    <row r="446" spans="1:47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14"/>
      <c r="AD446" s="3"/>
      <c r="AE446" s="3"/>
      <c r="AF446" s="3"/>
      <c r="AG446" s="3"/>
      <c r="AH446" s="3"/>
      <c r="AI446" s="14"/>
      <c r="AJ446" s="14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</row>
    <row r="447" spans="1:47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14"/>
      <c r="AD447" s="3"/>
      <c r="AE447" s="3"/>
      <c r="AF447" s="3"/>
      <c r="AG447" s="3"/>
      <c r="AH447" s="3"/>
      <c r="AI447" s="14"/>
      <c r="AJ447" s="14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</row>
    <row r="448" spans="1:47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14"/>
      <c r="AD448" s="3"/>
      <c r="AE448" s="3"/>
      <c r="AF448" s="3"/>
      <c r="AG448" s="3"/>
      <c r="AH448" s="3"/>
      <c r="AI448" s="14"/>
      <c r="AJ448" s="14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</row>
    <row r="449" spans="1:47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14"/>
      <c r="AD449" s="3"/>
      <c r="AE449" s="3"/>
      <c r="AF449" s="3"/>
      <c r="AG449" s="3"/>
      <c r="AH449" s="3"/>
      <c r="AI449" s="14"/>
      <c r="AJ449" s="14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</row>
    <row r="450" spans="1:47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14"/>
      <c r="AD450" s="3"/>
      <c r="AE450" s="3"/>
      <c r="AF450" s="3"/>
      <c r="AG450" s="3"/>
      <c r="AH450" s="3"/>
      <c r="AI450" s="14"/>
      <c r="AJ450" s="14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</row>
    <row r="451" spans="1:47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14"/>
      <c r="AD451" s="3"/>
      <c r="AE451" s="3"/>
      <c r="AF451" s="3"/>
      <c r="AG451" s="3"/>
      <c r="AH451" s="3"/>
      <c r="AI451" s="14"/>
      <c r="AJ451" s="14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</row>
    <row r="452" spans="1:47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14"/>
      <c r="AD452" s="3"/>
      <c r="AE452" s="3"/>
      <c r="AF452" s="3"/>
      <c r="AG452" s="3"/>
      <c r="AH452" s="3"/>
      <c r="AI452" s="14"/>
      <c r="AJ452" s="14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</row>
    <row r="453" spans="1:47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14"/>
      <c r="AD453" s="3"/>
      <c r="AE453" s="3"/>
      <c r="AF453" s="3"/>
      <c r="AG453" s="3"/>
      <c r="AH453" s="3"/>
      <c r="AI453" s="14"/>
      <c r="AJ453" s="14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</row>
    <row r="454" spans="1:47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14"/>
      <c r="AD454" s="3"/>
      <c r="AE454" s="3"/>
      <c r="AF454" s="3"/>
      <c r="AG454" s="3"/>
      <c r="AH454" s="3"/>
      <c r="AI454" s="14"/>
      <c r="AJ454" s="14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</row>
    <row r="455" spans="1:47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14"/>
      <c r="AD455" s="3"/>
      <c r="AE455" s="3"/>
      <c r="AF455" s="3"/>
      <c r="AG455" s="3"/>
      <c r="AH455" s="3"/>
      <c r="AI455" s="14"/>
      <c r="AJ455" s="14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</row>
    <row r="456" spans="1:47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14"/>
      <c r="AD456" s="3"/>
      <c r="AE456" s="3"/>
      <c r="AF456" s="3"/>
      <c r="AG456" s="3"/>
      <c r="AH456" s="3"/>
      <c r="AI456" s="14"/>
      <c r="AJ456" s="14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</row>
    <row r="457" spans="1:47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14"/>
      <c r="AD457" s="3"/>
      <c r="AE457" s="3"/>
      <c r="AF457" s="3"/>
      <c r="AG457" s="3"/>
      <c r="AH457" s="3"/>
      <c r="AI457" s="14"/>
      <c r="AJ457" s="14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</row>
    <row r="458" spans="1:47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14"/>
      <c r="AD458" s="3"/>
      <c r="AE458" s="3"/>
      <c r="AF458" s="3"/>
      <c r="AG458" s="3"/>
      <c r="AH458" s="3"/>
      <c r="AI458" s="14"/>
      <c r="AJ458" s="14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</row>
    <row r="459" spans="1:47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14"/>
      <c r="AD459" s="3"/>
      <c r="AE459" s="3"/>
      <c r="AF459" s="3"/>
      <c r="AG459" s="3"/>
      <c r="AH459" s="3"/>
      <c r="AI459" s="14"/>
      <c r="AJ459" s="14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</row>
    <row r="460" spans="1:47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14"/>
      <c r="AD460" s="3"/>
      <c r="AE460" s="3"/>
      <c r="AF460" s="3"/>
      <c r="AG460" s="3"/>
      <c r="AH460" s="3"/>
      <c r="AI460" s="14"/>
      <c r="AJ460" s="14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</row>
    <row r="461" spans="1:47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14"/>
      <c r="AD461" s="3"/>
      <c r="AE461" s="3"/>
      <c r="AF461" s="3"/>
      <c r="AG461" s="3"/>
      <c r="AH461" s="3"/>
      <c r="AI461" s="14"/>
      <c r="AJ461" s="14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</row>
    <row r="462" spans="1:47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14"/>
      <c r="AD462" s="3"/>
      <c r="AE462" s="3"/>
      <c r="AF462" s="3"/>
      <c r="AG462" s="3"/>
      <c r="AH462" s="3"/>
      <c r="AI462" s="14"/>
      <c r="AJ462" s="14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</row>
    <row r="463" spans="1:47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14"/>
      <c r="AD463" s="3"/>
      <c r="AE463" s="3"/>
      <c r="AF463" s="3"/>
      <c r="AG463" s="3"/>
      <c r="AH463" s="3"/>
      <c r="AI463" s="14"/>
      <c r="AJ463" s="14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</row>
    <row r="464" spans="1:47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14"/>
      <c r="AD464" s="3"/>
      <c r="AE464" s="3"/>
      <c r="AF464" s="3"/>
      <c r="AG464" s="3"/>
      <c r="AH464" s="3"/>
      <c r="AI464" s="14"/>
      <c r="AJ464" s="14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</row>
    <row r="465" spans="1:47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14"/>
      <c r="AD465" s="3"/>
      <c r="AE465" s="3"/>
      <c r="AF465" s="3"/>
      <c r="AG465" s="3"/>
      <c r="AH465" s="3"/>
      <c r="AI465" s="14"/>
      <c r="AJ465" s="14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</row>
    <row r="466" spans="1:47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14"/>
      <c r="AD466" s="3"/>
      <c r="AE466" s="3"/>
      <c r="AF466" s="3"/>
      <c r="AG466" s="3"/>
      <c r="AH466" s="3"/>
      <c r="AI466" s="14"/>
      <c r="AJ466" s="14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</row>
    <row r="467" spans="1:47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14"/>
      <c r="AD467" s="3"/>
      <c r="AE467" s="3"/>
      <c r="AF467" s="3"/>
      <c r="AG467" s="3"/>
      <c r="AH467" s="3"/>
      <c r="AI467" s="14"/>
      <c r="AJ467" s="14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</row>
    <row r="468" spans="1:47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14"/>
      <c r="AD468" s="3"/>
      <c r="AE468" s="3"/>
      <c r="AF468" s="3"/>
      <c r="AG468" s="3"/>
      <c r="AH468" s="3"/>
      <c r="AI468" s="14"/>
      <c r="AJ468" s="14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</row>
    <row r="469" spans="1:47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14"/>
      <c r="AD469" s="3"/>
      <c r="AE469" s="3"/>
      <c r="AF469" s="3"/>
      <c r="AG469" s="3"/>
      <c r="AH469" s="3"/>
      <c r="AI469" s="14"/>
      <c r="AJ469" s="14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</row>
    <row r="470" spans="1:47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14"/>
      <c r="AD470" s="3"/>
      <c r="AE470" s="3"/>
      <c r="AF470" s="3"/>
      <c r="AG470" s="3"/>
      <c r="AH470" s="3"/>
      <c r="AI470" s="14"/>
      <c r="AJ470" s="14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</row>
    <row r="471" spans="1:47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14"/>
      <c r="AD471" s="3"/>
      <c r="AE471" s="3"/>
      <c r="AF471" s="3"/>
      <c r="AG471" s="3"/>
      <c r="AH471" s="3"/>
      <c r="AI471" s="14"/>
      <c r="AJ471" s="14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</row>
    <row r="472" spans="1:47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14"/>
      <c r="AD472" s="3"/>
      <c r="AE472" s="3"/>
      <c r="AF472" s="3"/>
      <c r="AG472" s="3"/>
      <c r="AH472" s="3"/>
      <c r="AI472" s="14"/>
      <c r="AJ472" s="14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</row>
    <row r="473" spans="1:47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14"/>
      <c r="AD473" s="3"/>
      <c r="AE473" s="3"/>
      <c r="AF473" s="3"/>
      <c r="AG473" s="3"/>
      <c r="AH473" s="3"/>
      <c r="AI473" s="14"/>
      <c r="AJ473" s="14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</row>
    <row r="474" spans="1:47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14"/>
      <c r="AD474" s="3"/>
      <c r="AE474" s="3"/>
      <c r="AF474" s="3"/>
      <c r="AG474" s="3"/>
      <c r="AH474" s="3"/>
      <c r="AI474" s="14"/>
      <c r="AJ474" s="14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</row>
    <row r="475" spans="1:47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14"/>
      <c r="AD475" s="3"/>
      <c r="AE475" s="3"/>
      <c r="AF475" s="3"/>
      <c r="AG475" s="3"/>
      <c r="AH475" s="3"/>
      <c r="AI475" s="14"/>
      <c r="AJ475" s="14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</row>
    <row r="476" spans="1:47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14"/>
      <c r="AD476" s="3"/>
      <c r="AE476" s="3"/>
      <c r="AF476" s="3"/>
      <c r="AG476" s="3"/>
      <c r="AH476" s="3"/>
      <c r="AI476" s="14"/>
      <c r="AJ476" s="14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</row>
    <row r="477" spans="1:47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14"/>
      <c r="AD477" s="3"/>
      <c r="AE477" s="3"/>
      <c r="AF477" s="3"/>
      <c r="AG477" s="3"/>
      <c r="AH477" s="3"/>
      <c r="AI477" s="14"/>
      <c r="AJ477" s="14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</row>
    <row r="478" spans="1:47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14"/>
      <c r="AD478" s="3"/>
      <c r="AE478" s="3"/>
      <c r="AF478" s="3"/>
      <c r="AG478" s="3"/>
      <c r="AH478" s="3"/>
      <c r="AI478" s="14"/>
      <c r="AJ478" s="14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</row>
    <row r="479" spans="1:47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14"/>
      <c r="AD479" s="3"/>
      <c r="AE479" s="3"/>
      <c r="AF479" s="3"/>
      <c r="AG479" s="3"/>
      <c r="AH479" s="3"/>
      <c r="AI479" s="14"/>
      <c r="AJ479" s="14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</row>
    <row r="480" spans="1:47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14"/>
      <c r="AD480" s="3"/>
      <c r="AE480" s="3"/>
      <c r="AF480" s="3"/>
      <c r="AG480" s="3"/>
      <c r="AH480" s="3"/>
      <c r="AI480" s="14"/>
      <c r="AJ480" s="14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</row>
    <row r="481" spans="1:47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14"/>
      <c r="AD481" s="3"/>
      <c r="AE481" s="3"/>
      <c r="AF481" s="3"/>
      <c r="AG481" s="3"/>
      <c r="AH481" s="3"/>
      <c r="AI481" s="14"/>
      <c r="AJ481" s="14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</row>
    <row r="482" spans="1:47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14"/>
      <c r="AD482" s="3"/>
      <c r="AE482" s="3"/>
      <c r="AF482" s="3"/>
      <c r="AG482" s="3"/>
      <c r="AH482" s="3"/>
      <c r="AI482" s="14"/>
      <c r="AJ482" s="14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</row>
    <row r="483" spans="1:47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14"/>
      <c r="AD483" s="3"/>
      <c r="AE483" s="3"/>
      <c r="AF483" s="3"/>
      <c r="AG483" s="3"/>
      <c r="AH483" s="3"/>
      <c r="AI483" s="14"/>
      <c r="AJ483" s="14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</row>
    <row r="484" spans="1:47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14"/>
      <c r="AD484" s="3"/>
      <c r="AE484" s="3"/>
      <c r="AF484" s="3"/>
      <c r="AG484" s="3"/>
      <c r="AH484" s="3"/>
      <c r="AI484" s="14"/>
      <c r="AJ484" s="14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</row>
    <row r="485" spans="1:47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14"/>
      <c r="AD485" s="3"/>
      <c r="AE485" s="3"/>
      <c r="AF485" s="3"/>
      <c r="AG485" s="3"/>
      <c r="AH485" s="3"/>
      <c r="AI485" s="14"/>
      <c r="AJ485" s="14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</row>
    <row r="486" spans="1:47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14"/>
      <c r="AD486" s="3"/>
      <c r="AE486" s="3"/>
      <c r="AF486" s="3"/>
      <c r="AG486" s="3"/>
      <c r="AH486" s="3"/>
      <c r="AI486" s="14"/>
      <c r="AJ486" s="14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</row>
    <row r="487" spans="1:47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14"/>
      <c r="AD487" s="3"/>
      <c r="AE487" s="3"/>
      <c r="AF487" s="3"/>
      <c r="AG487" s="3"/>
      <c r="AH487" s="3"/>
      <c r="AI487" s="14"/>
      <c r="AJ487" s="14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</row>
    <row r="488" spans="1:47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14"/>
      <c r="AD488" s="3"/>
      <c r="AE488" s="3"/>
      <c r="AF488" s="3"/>
      <c r="AG488" s="3"/>
      <c r="AH488" s="3"/>
      <c r="AI488" s="14"/>
      <c r="AJ488" s="14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</row>
    <row r="489" spans="1:47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14"/>
      <c r="AD489" s="3"/>
      <c r="AE489" s="3"/>
      <c r="AF489" s="3"/>
      <c r="AG489" s="3"/>
      <c r="AH489" s="3"/>
      <c r="AI489" s="14"/>
      <c r="AJ489" s="14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</row>
    <row r="490" spans="1:47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14"/>
      <c r="AD490" s="3"/>
      <c r="AE490" s="3"/>
      <c r="AF490" s="3"/>
      <c r="AG490" s="3"/>
      <c r="AH490" s="3"/>
      <c r="AI490" s="14"/>
      <c r="AJ490" s="14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</row>
    <row r="491" spans="1:47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14"/>
      <c r="AD491" s="3"/>
      <c r="AE491" s="3"/>
      <c r="AF491" s="3"/>
      <c r="AG491" s="3"/>
      <c r="AH491" s="3"/>
      <c r="AI491" s="14"/>
      <c r="AJ491" s="14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</row>
    <row r="492" spans="1:47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14"/>
      <c r="AD492" s="3"/>
      <c r="AE492" s="3"/>
      <c r="AF492" s="3"/>
      <c r="AG492" s="3"/>
      <c r="AH492" s="3"/>
      <c r="AI492" s="14"/>
      <c r="AJ492" s="14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</row>
    <row r="493" spans="1:47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14"/>
      <c r="AD493" s="3"/>
      <c r="AE493" s="3"/>
      <c r="AF493" s="3"/>
      <c r="AG493" s="3"/>
      <c r="AH493" s="3"/>
      <c r="AI493" s="14"/>
      <c r="AJ493" s="14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</row>
    <row r="494" spans="1:47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14"/>
      <c r="AD494" s="3"/>
      <c r="AE494" s="3"/>
      <c r="AF494" s="3"/>
      <c r="AG494" s="3"/>
      <c r="AH494" s="3"/>
      <c r="AI494" s="14"/>
      <c r="AJ494" s="14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</row>
    <row r="495" spans="1:47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14"/>
      <c r="AD495" s="3"/>
      <c r="AE495" s="3"/>
      <c r="AF495" s="3"/>
      <c r="AG495" s="3"/>
      <c r="AH495" s="3"/>
      <c r="AI495" s="14"/>
      <c r="AJ495" s="14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</row>
    <row r="496" spans="1:47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14"/>
      <c r="AD496" s="3"/>
      <c r="AE496" s="3"/>
      <c r="AF496" s="3"/>
      <c r="AG496" s="3"/>
      <c r="AH496" s="3"/>
      <c r="AI496" s="14"/>
      <c r="AJ496" s="14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</row>
    <row r="497" spans="1:47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14"/>
      <c r="AD497" s="3"/>
      <c r="AE497" s="3"/>
      <c r="AF497" s="3"/>
      <c r="AG497" s="3"/>
      <c r="AH497" s="3"/>
      <c r="AI497" s="14"/>
      <c r="AJ497" s="14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</row>
    <row r="498" spans="1:47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14"/>
      <c r="AD498" s="3"/>
      <c r="AE498" s="3"/>
      <c r="AF498" s="3"/>
      <c r="AG498" s="3"/>
      <c r="AH498" s="3"/>
      <c r="AI498" s="14"/>
      <c r="AJ498" s="14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</row>
    <row r="499" spans="1:47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14"/>
      <c r="AD499" s="3"/>
      <c r="AE499" s="3"/>
      <c r="AF499" s="3"/>
      <c r="AG499" s="3"/>
      <c r="AH499" s="3"/>
      <c r="AI499" s="14"/>
      <c r="AJ499" s="14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</row>
    <row r="500" spans="1:47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14"/>
      <c r="AD500" s="3"/>
      <c r="AE500" s="3"/>
      <c r="AF500" s="3"/>
      <c r="AG500" s="3"/>
      <c r="AH500" s="3"/>
      <c r="AI500" s="14"/>
      <c r="AJ500" s="14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</row>
    <row r="501" spans="1:47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14"/>
      <c r="AD501" s="3"/>
      <c r="AE501" s="3"/>
      <c r="AF501" s="3"/>
      <c r="AG501" s="3"/>
      <c r="AH501" s="3"/>
      <c r="AI501" s="14"/>
      <c r="AJ501" s="14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</row>
    <row r="502" spans="1:47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14"/>
      <c r="AD502" s="3"/>
      <c r="AE502" s="3"/>
      <c r="AF502" s="3"/>
      <c r="AG502" s="3"/>
      <c r="AH502" s="3"/>
      <c r="AI502" s="14"/>
      <c r="AJ502" s="14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</row>
    <row r="503" spans="1:47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14"/>
      <c r="AD503" s="3"/>
      <c r="AE503" s="3"/>
      <c r="AF503" s="3"/>
      <c r="AG503" s="3"/>
      <c r="AH503" s="3"/>
      <c r="AI503" s="14"/>
      <c r="AJ503" s="14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</row>
    <row r="504" spans="1:47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14"/>
      <c r="AD504" s="3"/>
      <c r="AE504" s="3"/>
      <c r="AF504" s="3"/>
      <c r="AG504" s="3"/>
      <c r="AH504" s="3"/>
      <c r="AI504" s="14"/>
      <c r="AJ504" s="14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</row>
    <row r="505" spans="1:47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14"/>
      <c r="AD505" s="3"/>
      <c r="AE505" s="3"/>
      <c r="AF505" s="3"/>
      <c r="AG505" s="3"/>
      <c r="AH505" s="3"/>
      <c r="AI505" s="14"/>
      <c r="AJ505" s="14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</row>
    <row r="506" spans="1:47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14"/>
      <c r="AD506" s="3"/>
      <c r="AE506" s="3"/>
      <c r="AF506" s="3"/>
      <c r="AG506" s="3"/>
      <c r="AH506" s="3"/>
      <c r="AI506" s="14"/>
      <c r="AJ506" s="14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</row>
    <row r="507" spans="1:47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14"/>
      <c r="AD507" s="3"/>
      <c r="AE507" s="3"/>
      <c r="AF507" s="3"/>
      <c r="AG507" s="3"/>
      <c r="AH507" s="3"/>
      <c r="AI507" s="14"/>
      <c r="AJ507" s="14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</row>
    <row r="508" spans="1:47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14"/>
      <c r="AD508" s="3"/>
      <c r="AE508" s="3"/>
      <c r="AF508" s="3"/>
      <c r="AG508" s="3"/>
      <c r="AH508" s="3"/>
      <c r="AI508" s="14"/>
      <c r="AJ508" s="14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</row>
    <row r="509" spans="1:47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14"/>
      <c r="AD509" s="3"/>
      <c r="AE509" s="3"/>
      <c r="AF509" s="3"/>
      <c r="AG509" s="3"/>
      <c r="AH509" s="3"/>
      <c r="AI509" s="14"/>
      <c r="AJ509" s="14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</row>
    <row r="510" spans="1:47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14"/>
      <c r="AD510" s="3"/>
      <c r="AE510" s="3"/>
      <c r="AF510" s="3"/>
      <c r="AG510" s="3"/>
      <c r="AH510" s="3"/>
      <c r="AI510" s="14"/>
      <c r="AJ510" s="14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</row>
    <row r="511" spans="1:47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14"/>
      <c r="AD511" s="3"/>
      <c r="AE511" s="3"/>
      <c r="AF511" s="3"/>
      <c r="AG511" s="3"/>
      <c r="AH511" s="3"/>
      <c r="AI511" s="14"/>
      <c r="AJ511" s="14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</row>
    <row r="512" spans="1:47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14"/>
      <c r="AD512" s="3"/>
      <c r="AE512" s="3"/>
      <c r="AF512" s="3"/>
      <c r="AG512" s="3"/>
      <c r="AH512" s="3"/>
      <c r="AI512" s="14"/>
      <c r="AJ512" s="14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</row>
    <row r="513" spans="1:47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14"/>
      <c r="AD513" s="3"/>
      <c r="AE513" s="3"/>
      <c r="AF513" s="3"/>
      <c r="AG513" s="3"/>
      <c r="AH513" s="3"/>
      <c r="AI513" s="14"/>
      <c r="AJ513" s="14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</row>
    <row r="514" spans="1:47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14"/>
      <c r="AD514" s="3"/>
      <c r="AE514" s="3"/>
      <c r="AF514" s="3"/>
      <c r="AG514" s="3"/>
      <c r="AH514" s="3"/>
      <c r="AI514" s="14"/>
      <c r="AJ514" s="14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</row>
    <row r="515" spans="1:47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14"/>
      <c r="AD515" s="3"/>
      <c r="AE515" s="3"/>
      <c r="AF515" s="3"/>
      <c r="AG515" s="3"/>
      <c r="AH515" s="3"/>
      <c r="AI515" s="14"/>
      <c r="AJ515" s="14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</row>
    <row r="516" spans="1:47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14"/>
      <c r="AD516" s="3"/>
      <c r="AE516" s="3"/>
      <c r="AF516" s="3"/>
      <c r="AG516" s="3"/>
      <c r="AH516" s="3"/>
      <c r="AI516" s="14"/>
      <c r="AJ516" s="14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</row>
    <row r="517" spans="1:47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14"/>
      <c r="AD517" s="3"/>
      <c r="AE517" s="3"/>
      <c r="AF517" s="3"/>
      <c r="AG517" s="3"/>
      <c r="AH517" s="3"/>
      <c r="AI517" s="14"/>
      <c r="AJ517" s="14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</row>
    <row r="518" spans="1:47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14"/>
      <c r="AD518" s="3"/>
      <c r="AE518" s="3"/>
      <c r="AF518" s="3"/>
      <c r="AG518" s="3"/>
      <c r="AH518" s="3"/>
      <c r="AI518" s="14"/>
      <c r="AJ518" s="14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</row>
    <row r="519" spans="1:47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14"/>
      <c r="AD519" s="3"/>
      <c r="AE519" s="3"/>
      <c r="AF519" s="3"/>
      <c r="AG519" s="3"/>
      <c r="AH519" s="3"/>
      <c r="AI519" s="14"/>
      <c r="AJ519" s="14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</row>
    <row r="520" spans="1:47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14"/>
      <c r="AD520" s="3"/>
      <c r="AE520" s="3"/>
      <c r="AF520" s="3"/>
      <c r="AG520" s="3"/>
      <c r="AH520" s="3"/>
      <c r="AI520" s="14"/>
      <c r="AJ520" s="14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</row>
    <row r="521" spans="1:47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14"/>
      <c r="AD521" s="3"/>
      <c r="AE521" s="3"/>
      <c r="AF521" s="3"/>
      <c r="AG521" s="3"/>
      <c r="AH521" s="3"/>
      <c r="AI521" s="14"/>
      <c r="AJ521" s="14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</row>
    <row r="522" spans="1:47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14"/>
      <c r="AD522" s="3"/>
      <c r="AE522" s="3"/>
      <c r="AF522" s="3"/>
      <c r="AG522" s="3"/>
      <c r="AH522" s="3"/>
      <c r="AI522" s="14"/>
      <c r="AJ522" s="14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</row>
    <row r="523" spans="1:47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14"/>
      <c r="AD523" s="3"/>
      <c r="AE523" s="3"/>
      <c r="AF523" s="3"/>
      <c r="AG523" s="3"/>
      <c r="AH523" s="3"/>
      <c r="AI523" s="14"/>
      <c r="AJ523" s="14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</row>
    <row r="524" spans="1:47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14"/>
      <c r="AD524" s="3"/>
      <c r="AE524" s="3"/>
      <c r="AF524" s="3"/>
      <c r="AG524" s="3"/>
      <c r="AH524" s="3"/>
      <c r="AI524" s="14"/>
      <c r="AJ524" s="14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</row>
    <row r="525" spans="1:47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14"/>
      <c r="AD525" s="3"/>
      <c r="AE525" s="3"/>
      <c r="AF525" s="3"/>
      <c r="AG525" s="3"/>
      <c r="AH525" s="3"/>
      <c r="AI525" s="14"/>
      <c r="AJ525" s="14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</row>
    <row r="526" spans="1:47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14"/>
      <c r="AD526" s="3"/>
      <c r="AE526" s="3"/>
      <c r="AF526" s="3"/>
      <c r="AG526" s="3"/>
      <c r="AH526" s="3"/>
      <c r="AI526" s="14"/>
      <c r="AJ526" s="14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</row>
    <row r="527" spans="1:47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14"/>
      <c r="AD527" s="3"/>
      <c r="AE527" s="3"/>
      <c r="AF527" s="3"/>
      <c r="AG527" s="3"/>
      <c r="AH527" s="3"/>
      <c r="AI527" s="14"/>
      <c r="AJ527" s="14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</row>
    <row r="528" spans="1:47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14"/>
      <c r="AD528" s="3"/>
      <c r="AE528" s="3"/>
      <c r="AF528" s="3"/>
      <c r="AG528" s="3"/>
      <c r="AH528" s="3"/>
      <c r="AI528" s="14"/>
      <c r="AJ528" s="14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</row>
    <row r="529" spans="1:47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14"/>
      <c r="AD529" s="3"/>
      <c r="AE529" s="3"/>
      <c r="AF529" s="3"/>
      <c r="AG529" s="3"/>
      <c r="AH529" s="3"/>
      <c r="AI529" s="14"/>
      <c r="AJ529" s="14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</row>
    <row r="530" spans="1:47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14"/>
      <c r="AD530" s="3"/>
      <c r="AE530" s="3"/>
      <c r="AF530" s="3"/>
      <c r="AG530" s="3"/>
      <c r="AH530" s="3"/>
      <c r="AI530" s="14"/>
      <c r="AJ530" s="14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</row>
    <row r="531" spans="1:47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14"/>
      <c r="AD531" s="3"/>
      <c r="AE531" s="3"/>
      <c r="AF531" s="3"/>
      <c r="AG531" s="3"/>
      <c r="AH531" s="3"/>
      <c r="AI531" s="14"/>
      <c r="AJ531" s="14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</row>
    <row r="532" spans="1:47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14"/>
      <c r="AD532" s="3"/>
      <c r="AE532" s="3"/>
      <c r="AF532" s="3"/>
      <c r="AG532" s="3"/>
      <c r="AH532" s="3"/>
      <c r="AI532" s="14"/>
      <c r="AJ532" s="14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</row>
    <row r="533" spans="1:47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14"/>
      <c r="AD533" s="3"/>
      <c r="AE533" s="3"/>
      <c r="AF533" s="3"/>
      <c r="AG533" s="3"/>
      <c r="AH533" s="3"/>
      <c r="AI533" s="14"/>
      <c r="AJ533" s="14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</row>
    <row r="534" spans="1:47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14"/>
      <c r="AD534" s="3"/>
      <c r="AE534" s="3"/>
      <c r="AF534" s="3"/>
      <c r="AG534" s="3"/>
      <c r="AH534" s="3"/>
      <c r="AI534" s="14"/>
      <c r="AJ534" s="14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</row>
    <row r="535" spans="1:47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14"/>
      <c r="AD535" s="3"/>
      <c r="AE535" s="3"/>
      <c r="AF535" s="3"/>
      <c r="AG535" s="3"/>
      <c r="AH535" s="3"/>
      <c r="AI535" s="14"/>
      <c r="AJ535" s="14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</row>
    <row r="536" spans="1:47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14"/>
      <c r="AD536" s="3"/>
      <c r="AE536" s="3"/>
      <c r="AF536" s="3"/>
      <c r="AG536" s="3"/>
      <c r="AH536" s="3"/>
      <c r="AI536" s="14"/>
      <c r="AJ536" s="14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</row>
    <row r="537" spans="1:47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14"/>
      <c r="AD537" s="3"/>
      <c r="AE537" s="3"/>
      <c r="AF537" s="3"/>
      <c r="AG537" s="3"/>
      <c r="AH537" s="3"/>
      <c r="AI537" s="14"/>
      <c r="AJ537" s="14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</row>
    <row r="538" spans="1:47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14"/>
      <c r="AD538" s="3"/>
      <c r="AE538" s="3"/>
      <c r="AF538" s="3"/>
      <c r="AG538" s="3"/>
      <c r="AH538" s="3"/>
      <c r="AI538" s="14"/>
      <c r="AJ538" s="14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</row>
    <row r="539" spans="1:47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14"/>
      <c r="AD539" s="3"/>
      <c r="AE539" s="3"/>
      <c r="AF539" s="3"/>
      <c r="AG539" s="3"/>
      <c r="AH539" s="3"/>
      <c r="AI539" s="14"/>
      <c r="AJ539" s="14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</row>
    <row r="540" spans="1:47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14"/>
      <c r="AD540" s="3"/>
      <c r="AE540" s="3"/>
      <c r="AF540" s="3"/>
      <c r="AG540" s="3"/>
      <c r="AH540" s="3"/>
      <c r="AI540" s="14"/>
      <c r="AJ540" s="14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</row>
    <row r="541" spans="1:47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14"/>
      <c r="AD541" s="3"/>
      <c r="AE541" s="3"/>
      <c r="AF541" s="3"/>
      <c r="AG541" s="3"/>
      <c r="AH541" s="3"/>
      <c r="AI541" s="14"/>
      <c r="AJ541" s="14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</row>
    <row r="542" spans="1:47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14"/>
      <c r="AD542" s="3"/>
      <c r="AE542" s="3"/>
      <c r="AF542" s="3"/>
      <c r="AG542" s="3"/>
      <c r="AH542" s="3"/>
      <c r="AI542" s="14"/>
      <c r="AJ542" s="14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</row>
    <row r="543" spans="1:47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14"/>
      <c r="AD543" s="3"/>
      <c r="AE543" s="3"/>
      <c r="AF543" s="3"/>
      <c r="AG543" s="3"/>
      <c r="AH543" s="3"/>
      <c r="AI543" s="14"/>
      <c r="AJ543" s="14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</row>
    <row r="544" spans="1:47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14"/>
      <c r="AD544" s="3"/>
      <c r="AE544" s="3"/>
      <c r="AF544" s="3"/>
      <c r="AG544" s="3"/>
      <c r="AH544" s="3"/>
      <c r="AI544" s="14"/>
      <c r="AJ544" s="14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</row>
    <row r="545" spans="1:47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14"/>
      <c r="AD545" s="3"/>
      <c r="AE545" s="3"/>
      <c r="AF545" s="3"/>
      <c r="AG545" s="3"/>
      <c r="AH545" s="3"/>
      <c r="AI545" s="14"/>
      <c r="AJ545" s="14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</row>
    <row r="546" spans="1:47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14"/>
      <c r="AD546" s="3"/>
      <c r="AE546" s="3"/>
      <c r="AF546" s="3"/>
      <c r="AG546" s="3"/>
      <c r="AH546" s="3"/>
      <c r="AI546" s="14"/>
      <c r="AJ546" s="14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</row>
    <row r="547" spans="1:47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14"/>
      <c r="AD547" s="3"/>
      <c r="AE547" s="3"/>
      <c r="AF547" s="3"/>
      <c r="AG547" s="3"/>
      <c r="AH547" s="3"/>
      <c r="AI547" s="14"/>
      <c r="AJ547" s="14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</row>
    <row r="548" spans="1:47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14"/>
      <c r="AD548" s="3"/>
      <c r="AE548" s="3"/>
      <c r="AF548" s="3"/>
      <c r="AG548" s="3"/>
      <c r="AH548" s="3"/>
      <c r="AI548" s="14"/>
      <c r="AJ548" s="14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</row>
    <row r="549" spans="1:47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14"/>
      <c r="AD549" s="3"/>
      <c r="AE549" s="3"/>
      <c r="AF549" s="3"/>
      <c r="AG549" s="3"/>
      <c r="AH549" s="3"/>
      <c r="AI549" s="14"/>
      <c r="AJ549" s="14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</row>
    <row r="550" spans="1:47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14"/>
      <c r="AD550" s="3"/>
      <c r="AE550" s="3"/>
      <c r="AF550" s="3"/>
      <c r="AG550" s="3"/>
      <c r="AH550" s="3"/>
      <c r="AI550" s="14"/>
      <c r="AJ550" s="14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</row>
    <row r="551" spans="1:47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14"/>
      <c r="AD551" s="3"/>
      <c r="AE551" s="3"/>
      <c r="AF551" s="3"/>
      <c r="AG551" s="3"/>
      <c r="AH551" s="3"/>
      <c r="AI551" s="14"/>
      <c r="AJ551" s="14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</row>
    <row r="552" spans="1:47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14"/>
      <c r="AD552" s="3"/>
      <c r="AE552" s="3"/>
      <c r="AF552" s="3"/>
      <c r="AG552" s="3"/>
      <c r="AH552" s="3"/>
      <c r="AI552" s="14"/>
      <c r="AJ552" s="14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</row>
    <row r="553" spans="1:47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14"/>
      <c r="AD553" s="3"/>
      <c r="AE553" s="3"/>
      <c r="AF553" s="3"/>
      <c r="AG553" s="3"/>
      <c r="AH553" s="3"/>
      <c r="AI553" s="14"/>
      <c r="AJ553" s="14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</row>
    <row r="554" spans="1:47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14"/>
      <c r="AD554" s="3"/>
      <c r="AE554" s="3"/>
      <c r="AF554" s="3"/>
      <c r="AG554" s="3"/>
      <c r="AH554" s="3"/>
      <c r="AI554" s="14"/>
      <c r="AJ554" s="14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</row>
    <row r="555" spans="1:47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14"/>
      <c r="AD555" s="3"/>
      <c r="AE555" s="3"/>
      <c r="AF555" s="3"/>
      <c r="AG555" s="3"/>
      <c r="AH555" s="3"/>
      <c r="AI555" s="14"/>
      <c r="AJ555" s="14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</row>
    <row r="556" spans="1:47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14"/>
      <c r="AD556" s="3"/>
      <c r="AE556" s="3"/>
      <c r="AF556" s="3"/>
      <c r="AG556" s="3"/>
      <c r="AH556" s="3"/>
      <c r="AI556" s="14"/>
      <c r="AJ556" s="14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</row>
    <row r="557" spans="1:47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14"/>
      <c r="AD557" s="3"/>
      <c r="AE557" s="3"/>
      <c r="AF557" s="3"/>
      <c r="AG557" s="3"/>
      <c r="AH557" s="3"/>
      <c r="AI557" s="14"/>
      <c r="AJ557" s="14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</row>
    <row r="558" spans="1:47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14"/>
      <c r="AD558" s="3"/>
      <c r="AE558" s="3"/>
      <c r="AF558" s="3"/>
      <c r="AG558" s="3"/>
      <c r="AH558" s="3"/>
      <c r="AI558" s="14"/>
      <c r="AJ558" s="14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</row>
    <row r="559" spans="1:47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14"/>
      <c r="AD559" s="3"/>
      <c r="AE559" s="3"/>
      <c r="AF559" s="3"/>
      <c r="AG559" s="3"/>
      <c r="AH559" s="3"/>
      <c r="AI559" s="14"/>
      <c r="AJ559" s="14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</row>
    <row r="560" spans="1:47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14"/>
      <c r="AD560" s="3"/>
      <c r="AE560" s="3"/>
      <c r="AF560" s="3"/>
      <c r="AG560" s="3"/>
      <c r="AH560" s="3"/>
      <c r="AI560" s="14"/>
      <c r="AJ560" s="14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</row>
    <row r="561" spans="1:47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14"/>
      <c r="AD561" s="3"/>
      <c r="AE561" s="3"/>
      <c r="AF561" s="3"/>
      <c r="AG561" s="3"/>
      <c r="AH561" s="3"/>
      <c r="AI561" s="14"/>
      <c r="AJ561" s="14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</row>
    <row r="562" spans="1:47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14"/>
      <c r="AD562" s="3"/>
      <c r="AE562" s="3"/>
      <c r="AF562" s="3"/>
      <c r="AG562" s="3"/>
      <c r="AH562" s="3"/>
      <c r="AI562" s="14"/>
      <c r="AJ562" s="14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</row>
    <row r="563" spans="1:47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14"/>
      <c r="AD563" s="3"/>
      <c r="AE563" s="3"/>
      <c r="AF563" s="3"/>
      <c r="AG563" s="3"/>
      <c r="AH563" s="3"/>
      <c r="AI563" s="14"/>
      <c r="AJ563" s="14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</row>
    <row r="564" spans="1:47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14"/>
      <c r="AD564" s="3"/>
      <c r="AE564" s="3"/>
      <c r="AF564" s="3"/>
      <c r="AG564" s="3"/>
      <c r="AH564" s="3"/>
      <c r="AI564" s="14"/>
      <c r="AJ564" s="14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</row>
    <row r="565" spans="1:47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14"/>
      <c r="AD565" s="3"/>
      <c r="AE565" s="3"/>
      <c r="AF565" s="3"/>
      <c r="AG565" s="3"/>
      <c r="AH565" s="3"/>
      <c r="AI565" s="14"/>
      <c r="AJ565" s="14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</row>
    <row r="566" spans="1:47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14"/>
      <c r="AD566" s="3"/>
      <c r="AE566" s="3"/>
      <c r="AF566" s="3"/>
      <c r="AG566" s="3"/>
      <c r="AH566" s="3"/>
      <c r="AI566" s="14"/>
      <c r="AJ566" s="14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</row>
    <row r="567" spans="1:47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14"/>
      <c r="AD567" s="3"/>
      <c r="AE567" s="3"/>
      <c r="AF567" s="3"/>
      <c r="AG567" s="3"/>
      <c r="AH567" s="3"/>
      <c r="AI567" s="14"/>
      <c r="AJ567" s="14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</row>
    <row r="568" spans="1:47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14"/>
      <c r="AD568" s="3"/>
      <c r="AE568" s="3"/>
      <c r="AF568" s="3"/>
      <c r="AG568" s="3"/>
      <c r="AH568" s="3"/>
      <c r="AI568" s="14"/>
      <c r="AJ568" s="14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</row>
    <row r="569" spans="1:47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14"/>
      <c r="AD569" s="3"/>
      <c r="AE569" s="3"/>
      <c r="AF569" s="3"/>
      <c r="AG569" s="3"/>
      <c r="AH569" s="3"/>
      <c r="AI569" s="14"/>
      <c r="AJ569" s="14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</row>
    <row r="570" spans="1:47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14"/>
      <c r="AD570" s="3"/>
      <c r="AE570" s="3"/>
      <c r="AF570" s="3"/>
      <c r="AG570" s="3"/>
      <c r="AH570" s="3"/>
      <c r="AI570" s="14"/>
      <c r="AJ570" s="14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</row>
    <row r="571" spans="1:47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14"/>
      <c r="AD571" s="3"/>
      <c r="AE571" s="3"/>
      <c r="AF571" s="3"/>
      <c r="AG571" s="3"/>
      <c r="AH571" s="3"/>
      <c r="AI571" s="14"/>
      <c r="AJ571" s="14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</row>
    <row r="572" spans="1:47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14"/>
      <c r="AD572" s="3"/>
      <c r="AE572" s="3"/>
      <c r="AF572" s="3"/>
      <c r="AG572" s="3"/>
      <c r="AH572" s="3"/>
      <c r="AI572" s="14"/>
      <c r="AJ572" s="14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</row>
    <row r="573" spans="1:47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14"/>
      <c r="AD573" s="3"/>
      <c r="AE573" s="3"/>
      <c r="AF573" s="3"/>
      <c r="AG573" s="3"/>
      <c r="AH573" s="3"/>
      <c r="AI573" s="14"/>
      <c r="AJ573" s="14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</row>
    <row r="574" spans="1:47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14"/>
      <c r="AD574" s="3"/>
      <c r="AE574" s="3"/>
      <c r="AF574" s="3"/>
      <c r="AG574" s="3"/>
      <c r="AH574" s="3"/>
      <c r="AI574" s="14"/>
      <c r="AJ574" s="14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</row>
    <row r="575" spans="1:47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14"/>
      <c r="AD575" s="3"/>
      <c r="AE575" s="3"/>
      <c r="AF575" s="3"/>
      <c r="AG575" s="3"/>
      <c r="AH575" s="3"/>
      <c r="AI575" s="14"/>
      <c r="AJ575" s="14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</row>
    <row r="576" spans="1:47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14"/>
      <c r="AD576" s="3"/>
      <c r="AE576" s="3"/>
      <c r="AF576" s="3"/>
      <c r="AG576" s="3"/>
      <c r="AH576" s="3"/>
      <c r="AI576" s="14"/>
      <c r="AJ576" s="14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</row>
    <row r="577" spans="1:47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14"/>
      <c r="AD577" s="3"/>
      <c r="AE577" s="3"/>
      <c r="AF577" s="3"/>
      <c r="AG577" s="3"/>
      <c r="AH577" s="3"/>
      <c r="AI577" s="14"/>
      <c r="AJ577" s="14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</row>
    <row r="578" spans="1:47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14"/>
      <c r="AD578" s="3"/>
      <c r="AE578" s="3"/>
      <c r="AF578" s="3"/>
      <c r="AG578" s="3"/>
      <c r="AH578" s="3"/>
      <c r="AI578" s="14"/>
      <c r="AJ578" s="14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</row>
    <row r="579" spans="1:47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14"/>
      <c r="AD579" s="3"/>
      <c r="AE579" s="3"/>
      <c r="AF579" s="3"/>
      <c r="AG579" s="3"/>
      <c r="AH579" s="3"/>
      <c r="AI579" s="14"/>
      <c r="AJ579" s="14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</row>
    <row r="580" spans="1:47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14"/>
      <c r="AD580" s="3"/>
      <c r="AE580" s="3"/>
      <c r="AF580" s="3"/>
      <c r="AG580" s="3"/>
      <c r="AH580" s="3"/>
      <c r="AI580" s="14"/>
      <c r="AJ580" s="14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</row>
    <row r="581" spans="1:47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14"/>
      <c r="AD581" s="3"/>
      <c r="AE581" s="3"/>
      <c r="AF581" s="3"/>
      <c r="AG581" s="3"/>
      <c r="AH581" s="3"/>
      <c r="AI581" s="14"/>
      <c r="AJ581" s="14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</row>
    <row r="582" spans="1:47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14"/>
      <c r="AD582" s="3"/>
      <c r="AE582" s="3"/>
      <c r="AF582" s="3"/>
      <c r="AG582" s="3"/>
      <c r="AH582" s="3"/>
      <c r="AI582" s="14"/>
      <c r="AJ582" s="14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</row>
    <row r="583" spans="1:47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14"/>
      <c r="AD583" s="3"/>
      <c r="AE583" s="3"/>
      <c r="AF583" s="3"/>
      <c r="AG583" s="3"/>
      <c r="AH583" s="3"/>
      <c r="AI583" s="14"/>
      <c r="AJ583" s="14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</row>
    <row r="584" spans="1:47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14"/>
      <c r="AD584" s="3"/>
      <c r="AE584" s="3"/>
      <c r="AF584" s="3"/>
      <c r="AG584" s="3"/>
      <c r="AH584" s="3"/>
      <c r="AI584" s="14"/>
      <c r="AJ584" s="14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</row>
    <row r="585" spans="1:47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14"/>
      <c r="AD585" s="3"/>
      <c r="AE585" s="3"/>
      <c r="AF585" s="3"/>
      <c r="AG585" s="3"/>
      <c r="AH585" s="3"/>
      <c r="AI585" s="14"/>
      <c r="AJ585" s="14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</row>
    <row r="586" spans="1:47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14"/>
      <c r="AD586" s="3"/>
      <c r="AE586" s="3"/>
      <c r="AF586" s="3"/>
      <c r="AG586" s="3"/>
      <c r="AH586" s="3"/>
      <c r="AI586" s="14"/>
      <c r="AJ586" s="14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</row>
    <row r="587" spans="1:47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14"/>
      <c r="AD587" s="3"/>
      <c r="AE587" s="3"/>
      <c r="AF587" s="3"/>
      <c r="AG587" s="3"/>
      <c r="AH587" s="3"/>
      <c r="AI587" s="14"/>
      <c r="AJ587" s="14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</row>
    <row r="588" spans="1:47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14"/>
      <c r="AD588" s="3"/>
      <c r="AE588" s="3"/>
      <c r="AF588" s="3"/>
      <c r="AG588" s="3"/>
      <c r="AH588" s="3"/>
      <c r="AI588" s="14"/>
      <c r="AJ588" s="14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</row>
    <row r="589" spans="1:47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14"/>
      <c r="AD589" s="3"/>
      <c r="AE589" s="3"/>
      <c r="AF589" s="3"/>
      <c r="AG589" s="3"/>
      <c r="AH589" s="3"/>
      <c r="AI589" s="14"/>
      <c r="AJ589" s="14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</row>
    <row r="590" spans="1:47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14"/>
      <c r="AD590" s="3"/>
      <c r="AE590" s="3"/>
      <c r="AF590" s="3"/>
      <c r="AG590" s="3"/>
      <c r="AH590" s="3"/>
      <c r="AI590" s="14"/>
      <c r="AJ590" s="14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</row>
    <row r="591" spans="1:47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14"/>
      <c r="AD591" s="3"/>
      <c r="AE591" s="3"/>
      <c r="AF591" s="3"/>
      <c r="AG591" s="3"/>
      <c r="AH591" s="3"/>
      <c r="AI591" s="14"/>
      <c r="AJ591" s="14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</row>
    <row r="592" spans="1:47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14"/>
      <c r="AD592" s="3"/>
      <c r="AE592" s="3"/>
      <c r="AF592" s="3"/>
      <c r="AG592" s="3"/>
      <c r="AH592" s="3"/>
      <c r="AI592" s="14"/>
      <c r="AJ592" s="14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</row>
    <row r="593" spans="1:47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14"/>
      <c r="AD593" s="3"/>
      <c r="AE593" s="3"/>
      <c r="AF593" s="3"/>
      <c r="AG593" s="3"/>
      <c r="AH593" s="3"/>
      <c r="AI593" s="14"/>
      <c r="AJ593" s="14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</row>
    <row r="594" spans="1:47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14"/>
      <c r="AD594" s="3"/>
      <c r="AE594" s="3"/>
      <c r="AF594" s="3"/>
      <c r="AG594" s="3"/>
      <c r="AH594" s="3"/>
      <c r="AI594" s="14"/>
      <c r="AJ594" s="14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</row>
    <row r="595" spans="1:47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14"/>
      <c r="AD595" s="3"/>
      <c r="AE595" s="3"/>
      <c r="AF595" s="3"/>
      <c r="AG595" s="3"/>
      <c r="AH595" s="3"/>
      <c r="AI595" s="14"/>
      <c r="AJ595" s="14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</row>
    <row r="596" spans="1:47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14"/>
      <c r="AD596" s="3"/>
      <c r="AE596" s="3"/>
      <c r="AF596" s="3"/>
      <c r="AG596" s="3"/>
      <c r="AH596" s="3"/>
      <c r="AI596" s="14"/>
      <c r="AJ596" s="14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</row>
    <row r="597" spans="1:47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14"/>
      <c r="AD597" s="3"/>
      <c r="AE597" s="3"/>
      <c r="AF597" s="3"/>
      <c r="AG597" s="3"/>
      <c r="AH597" s="3"/>
      <c r="AI597" s="14"/>
      <c r="AJ597" s="14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</row>
    <row r="598" spans="1:47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14"/>
      <c r="AD598" s="3"/>
      <c r="AE598" s="3"/>
      <c r="AF598" s="3"/>
      <c r="AG598" s="3"/>
      <c r="AH598" s="3"/>
      <c r="AI598" s="14"/>
      <c r="AJ598" s="14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</row>
    <row r="599" spans="1:47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14"/>
      <c r="AD599" s="3"/>
      <c r="AE599" s="3"/>
      <c r="AF599" s="3"/>
      <c r="AG599" s="3"/>
      <c r="AH599" s="3"/>
      <c r="AI599" s="14"/>
      <c r="AJ599" s="14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</row>
    <row r="600" spans="1:47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14"/>
      <c r="AD600" s="3"/>
      <c r="AE600" s="3"/>
      <c r="AF600" s="3"/>
      <c r="AG600" s="3"/>
      <c r="AH600" s="3"/>
      <c r="AI600" s="14"/>
      <c r="AJ600" s="14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</row>
    <row r="601" spans="1:47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14"/>
      <c r="AD601" s="3"/>
      <c r="AE601" s="3"/>
      <c r="AF601" s="3"/>
      <c r="AG601" s="3"/>
      <c r="AH601" s="3"/>
      <c r="AI601" s="14"/>
      <c r="AJ601" s="14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</row>
    <row r="602" spans="1:47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14"/>
      <c r="AD602" s="3"/>
      <c r="AE602" s="3"/>
      <c r="AF602" s="3"/>
      <c r="AG602" s="3"/>
      <c r="AH602" s="3"/>
      <c r="AI602" s="14"/>
      <c r="AJ602" s="14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</row>
    <row r="603" spans="1:47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14"/>
      <c r="AD603" s="3"/>
      <c r="AE603" s="3"/>
      <c r="AF603" s="3"/>
      <c r="AG603" s="3"/>
      <c r="AH603" s="3"/>
      <c r="AI603" s="14"/>
      <c r="AJ603" s="14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</row>
    <row r="604" spans="1:47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14"/>
      <c r="AD604" s="3"/>
      <c r="AE604" s="3"/>
      <c r="AF604" s="3"/>
      <c r="AG604" s="3"/>
      <c r="AH604" s="3"/>
      <c r="AI604" s="14"/>
      <c r="AJ604" s="14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</row>
    <row r="605" spans="1:47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14"/>
      <c r="AD605" s="3"/>
      <c r="AE605" s="3"/>
      <c r="AF605" s="3"/>
      <c r="AG605" s="3"/>
      <c r="AH605" s="3"/>
      <c r="AI605" s="14"/>
      <c r="AJ605" s="14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</row>
    <row r="606" spans="1:47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14"/>
      <c r="AD606" s="3"/>
      <c r="AE606" s="3"/>
      <c r="AF606" s="3"/>
      <c r="AG606" s="3"/>
      <c r="AH606" s="3"/>
      <c r="AI606" s="14"/>
      <c r="AJ606" s="14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</row>
    <row r="607" spans="1:47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14"/>
      <c r="AD607" s="3"/>
      <c r="AE607" s="3"/>
      <c r="AF607" s="3"/>
      <c r="AG607" s="3"/>
      <c r="AH607" s="3"/>
      <c r="AI607" s="14"/>
      <c r="AJ607" s="14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</row>
    <row r="608" spans="1:47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297"/>
      <c r="AD608" s="3"/>
      <c r="AE608" s="3"/>
      <c r="AF608" s="3"/>
      <c r="AG608" s="3"/>
      <c r="AH608" s="3"/>
      <c r="AI608" s="14"/>
      <c r="AJ608" s="14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</row>
    <row r="609" spans="1:47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297"/>
      <c r="AD609" s="3"/>
      <c r="AE609" s="3"/>
      <c r="AF609" s="3"/>
      <c r="AG609" s="3"/>
      <c r="AH609" s="3"/>
      <c r="AI609" s="14"/>
      <c r="AJ609" s="14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</row>
    <row r="610" spans="1:47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297"/>
      <c r="AD610" s="3"/>
      <c r="AE610" s="3"/>
      <c r="AF610" s="3"/>
      <c r="AG610" s="3"/>
      <c r="AH610" s="3"/>
      <c r="AI610" s="14"/>
      <c r="AJ610" s="14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</row>
    <row r="611" spans="1:47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297"/>
      <c r="AD611" s="3"/>
      <c r="AE611" s="3"/>
      <c r="AF611" s="3"/>
      <c r="AG611" s="3"/>
      <c r="AH611" s="3"/>
      <c r="AI611" s="14"/>
      <c r="AJ611" s="14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</row>
    <row r="612" spans="1:47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297"/>
      <c r="AD612" s="3"/>
      <c r="AE612" s="3"/>
      <c r="AF612" s="3"/>
      <c r="AG612" s="3"/>
      <c r="AH612" s="3"/>
      <c r="AI612" s="14"/>
      <c r="AJ612" s="14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</row>
    <row r="613" spans="1:47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297"/>
      <c r="AD613" s="3"/>
      <c r="AE613" s="3"/>
      <c r="AF613" s="3"/>
      <c r="AG613" s="3"/>
      <c r="AH613" s="3"/>
      <c r="AI613" s="14"/>
      <c r="AJ613" s="14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</row>
    <row r="614" spans="1:47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297"/>
      <c r="AD614" s="3"/>
      <c r="AE614" s="3"/>
      <c r="AF614" s="3"/>
      <c r="AG614" s="3"/>
      <c r="AH614" s="3"/>
      <c r="AI614" s="14"/>
      <c r="AJ614" s="14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</row>
    <row r="615" spans="1:47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297"/>
      <c r="AD615" s="3"/>
      <c r="AE615" s="3"/>
      <c r="AF615" s="3"/>
      <c r="AG615" s="3"/>
      <c r="AH615" s="3"/>
      <c r="AI615" s="14"/>
      <c r="AJ615" s="14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</row>
    <row r="616" spans="1:47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297"/>
      <c r="AD616" s="3"/>
      <c r="AE616" s="3"/>
      <c r="AF616" s="3"/>
      <c r="AG616" s="3"/>
      <c r="AH616" s="3"/>
      <c r="AI616" s="14"/>
      <c r="AJ616" s="14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</row>
    <row r="617" spans="1:47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297"/>
      <c r="AD617" s="3"/>
      <c r="AE617" s="3"/>
      <c r="AF617" s="3"/>
      <c r="AG617" s="3"/>
      <c r="AH617" s="3"/>
      <c r="AI617" s="14"/>
      <c r="AJ617" s="14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</row>
    <row r="618" spans="1:47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297"/>
      <c r="AD618" s="3"/>
      <c r="AE618" s="3"/>
      <c r="AF618" s="3"/>
      <c r="AG618" s="3"/>
      <c r="AH618" s="3"/>
      <c r="AI618" s="14"/>
      <c r="AJ618" s="14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</row>
    <row r="619" spans="1:47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297"/>
      <c r="AD619" s="3"/>
      <c r="AE619" s="3"/>
      <c r="AF619" s="3"/>
      <c r="AG619" s="3"/>
      <c r="AH619" s="3"/>
      <c r="AI619" s="14"/>
      <c r="AJ619" s="14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</row>
    <row r="620" spans="1:47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297"/>
      <c r="AD620" s="3"/>
      <c r="AE620" s="3"/>
      <c r="AF620" s="3"/>
      <c r="AG620" s="3"/>
      <c r="AH620" s="3"/>
      <c r="AI620" s="14"/>
      <c r="AJ620" s="14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</row>
    <row r="621" spans="1:47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297"/>
      <c r="AD621" s="3"/>
      <c r="AE621" s="3"/>
      <c r="AF621" s="3"/>
      <c r="AG621" s="3"/>
      <c r="AH621" s="3"/>
      <c r="AI621" s="14"/>
      <c r="AJ621" s="14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</row>
    <row r="622" spans="1:47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297"/>
      <c r="AD622" s="3"/>
      <c r="AE622" s="3"/>
      <c r="AF622" s="3"/>
      <c r="AG622" s="3"/>
      <c r="AH622" s="3"/>
      <c r="AI622" s="14"/>
      <c r="AJ622" s="14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</row>
    <row r="623" spans="1:47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297"/>
      <c r="AD623" s="3"/>
      <c r="AE623" s="3"/>
      <c r="AF623" s="3"/>
      <c r="AG623" s="3"/>
      <c r="AH623" s="3"/>
      <c r="AI623" s="14"/>
      <c r="AJ623" s="14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</row>
    <row r="624" spans="1:47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297"/>
      <c r="AD624" s="3"/>
      <c r="AE624" s="3"/>
      <c r="AF624" s="3"/>
      <c r="AG624" s="3"/>
      <c r="AH624" s="3"/>
      <c r="AI624" s="14"/>
      <c r="AJ624" s="14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</row>
    <row r="625" spans="1:47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297"/>
      <c r="AD625" s="3"/>
      <c r="AE625" s="3"/>
      <c r="AF625" s="3"/>
      <c r="AG625" s="3"/>
      <c r="AH625" s="3"/>
      <c r="AI625" s="14"/>
      <c r="AJ625" s="14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</row>
    <row r="626" spans="1:47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297"/>
      <c r="AD626" s="3"/>
      <c r="AE626" s="3"/>
      <c r="AF626" s="3"/>
      <c r="AG626" s="3"/>
      <c r="AH626" s="3"/>
      <c r="AI626" s="14"/>
      <c r="AJ626" s="14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</row>
    <row r="627" spans="1:47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297"/>
      <c r="AD627" s="3"/>
      <c r="AE627" s="3"/>
      <c r="AF627" s="3"/>
      <c r="AG627" s="3"/>
      <c r="AH627" s="3"/>
      <c r="AI627" s="14"/>
      <c r="AJ627" s="14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</row>
    <row r="628" spans="1:47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297"/>
      <c r="AD628" s="3"/>
      <c r="AE628" s="3"/>
      <c r="AF628" s="3"/>
      <c r="AG628" s="3"/>
      <c r="AH628" s="3"/>
      <c r="AI628" s="14"/>
      <c r="AJ628" s="14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</row>
    <row r="629" spans="1:47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297"/>
      <c r="AD629" s="3"/>
      <c r="AE629" s="3"/>
      <c r="AF629" s="3"/>
      <c r="AG629" s="3"/>
      <c r="AH629" s="3"/>
      <c r="AI629" s="14"/>
      <c r="AJ629" s="14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</row>
    <row r="630" spans="1:47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297"/>
      <c r="AD630" s="3"/>
      <c r="AE630" s="3"/>
      <c r="AF630" s="3"/>
      <c r="AG630" s="3"/>
      <c r="AH630" s="3"/>
      <c r="AI630" s="14"/>
      <c r="AJ630" s="14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</row>
    <row r="631" spans="1:47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297"/>
      <c r="AD631" s="3"/>
      <c r="AE631" s="3"/>
      <c r="AF631" s="3"/>
      <c r="AG631" s="3"/>
      <c r="AH631" s="3"/>
      <c r="AI631" s="14"/>
      <c r="AJ631" s="14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</row>
    <row r="632" spans="1:47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297"/>
      <c r="AD632" s="3"/>
      <c r="AE632" s="3"/>
      <c r="AF632" s="3"/>
      <c r="AG632" s="3"/>
      <c r="AH632" s="3"/>
      <c r="AI632" s="14"/>
      <c r="AJ632" s="14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</row>
    <row r="633" spans="1:47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297"/>
      <c r="AD633" s="3"/>
      <c r="AE633" s="3"/>
      <c r="AF633" s="3"/>
      <c r="AG633" s="3"/>
      <c r="AH633" s="3"/>
      <c r="AI633" s="14"/>
      <c r="AJ633" s="14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</row>
    <row r="634" spans="1:47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297"/>
      <c r="AD634" s="3"/>
      <c r="AE634" s="3"/>
      <c r="AF634" s="3"/>
      <c r="AG634" s="3"/>
      <c r="AH634" s="3"/>
      <c r="AI634" s="14"/>
      <c r="AJ634" s="14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</row>
    <row r="635" spans="1:47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297"/>
      <c r="AD635" s="3"/>
      <c r="AE635" s="3"/>
      <c r="AF635" s="3"/>
      <c r="AG635" s="3"/>
      <c r="AH635" s="3"/>
      <c r="AI635" s="14"/>
      <c r="AJ635" s="14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</row>
    <row r="636" spans="1:47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297"/>
      <c r="AD636" s="3"/>
      <c r="AE636" s="3"/>
      <c r="AF636" s="3"/>
      <c r="AG636" s="3"/>
      <c r="AH636" s="3"/>
      <c r="AI636" s="14"/>
      <c r="AJ636" s="14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</row>
    <row r="637" spans="1:47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297"/>
      <c r="AD637" s="3"/>
      <c r="AE637" s="3"/>
      <c r="AF637" s="3"/>
      <c r="AG637" s="3"/>
      <c r="AH637" s="3"/>
      <c r="AI637" s="14"/>
      <c r="AJ637" s="14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</row>
    <row r="638" spans="1:47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297"/>
      <c r="AD638" s="3"/>
      <c r="AE638" s="3"/>
      <c r="AF638" s="3"/>
      <c r="AG638" s="3"/>
      <c r="AH638" s="3"/>
      <c r="AI638" s="14"/>
      <c r="AJ638" s="14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</row>
    <row r="639" spans="1:47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297"/>
      <c r="AD639" s="3"/>
      <c r="AE639" s="3"/>
      <c r="AF639" s="3"/>
      <c r="AG639" s="3"/>
      <c r="AH639" s="3"/>
      <c r="AI639" s="14"/>
      <c r="AJ639" s="14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</row>
    <row r="640" spans="1:47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297"/>
      <c r="AD640" s="3"/>
      <c r="AE640" s="3"/>
      <c r="AF640" s="3"/>
      <c r="AG640" s="3"/>
      <c r="AH640" s="3"/>
      <c r="AI640" s="14"/>
      <c r="AJ640" s="14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</row>
    <row r="641" spans="1:47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297"/>
      <c r="AD641" s="3"/>
      <c r="AE641" s="3"/>
      <c r="AF641" s="3"/>
      <c r="AG641" s="3"/>
      <c r="AH641" s="3"/>
      <c r="AI641" s="14"/>
      <c r="AJ641" s="14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</row>
    <row r="642" spans="1:47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297"/>
      <c r="AD642" s="3"/>
      <c r="AE642" s="3"/>
      <c r="AF642" s="3"/>
      <c r="AG642" s="3"/>
      <c r="AH642" s="3"/>
      <c r="AI642" s="14"/>
      <c r="AJ642" s="14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</row>
    <row r="643" spans="1:47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297"/>
      <c r="AD643" s="3"/>
      <c r="AE643" s="3"/>
      <c r="AF643" s="3"/>
      <c r="AG643" s="3"/>
      <c r="AH643" s="3"/>
      <c r="AI643" s="14"/>
      <c r="AJ643" s="14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</row>
    <row r="644" spans="1:47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297"/>
      <c r="AD644" s="3"/>
      <c r="AE644" s="3"/>
      <c r="AF644" s="3"/>
      <c r="AG644" s="3"/>
      <c r="AH644" s="3"/>
      <c r="AI644" s="14"/>
      <c r="AJ644" s="14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</row>
    <row r="645" spans="1:47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297"/>
      <c r="AD645" s="3"/>
      <c r="AE645" s="3"/>
      <c r="AF645" s="3"/>
      <c r="AG645" s="3"/>
      <c r="AH645" s="3"/>
      <c r="AI645" s="14"/>
      <c r="AJ645" s="14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</row>
    <row r="646" spans="1:47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297"/>
      <c r="AD646" s="3"/>
      <c r="AE646" s="3"/>
      <c r="AF646" s="3"/>
      <c r="AG646" s="3"/>
      <c r="AH646" s="3"/>
      <c r="AI646" s="14"/>
      <c r="AJ646" s="14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</row>
    <row r="647" spans="1:47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297"/>
      <c r="AD647" s="3"/>
      <c r="AE647" s="3"/>
      <c r="AF647" s="3"/>
      <c r="AG647" s="3"/>
      <c r="AH647" s="3"/>
      <c r="AI647" s="14"/>
      <c r="AJ647" s="14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</row>
    <row r="648" spans="1:47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297"/>
      <c r="AD648" s="3"/>
      <c r="AE648" s="3"/>
      <c r="AF648" s="3"/>
      <c r="AG648" s="3"/>
      <c r="AH648" s="3"/>
      <c r="AI648" s="14"/>
      <c r="AJ648" s="14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</row>
    <row r="649" spans="1:47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297"/>
      <c r="AD649" s="3"/>
      <c r="AE649" s="3"/>
      <c r="AF649" s="3"/>
      <c r="AG649" s="3"/>
      <c r="AH649" s="3"/>
      <c r="AI649" s="14"/>
      <c r="AJ649" s="14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</row>
    <row r="650" spans="1:47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297"/>
      <c r="AD650" s="3"/>
      <c r="AE650" s="3"/>
      <c r="AF650" s="3"/>
      <c r="AG650" s="3"/>
      <c r="AH650" s="3"/>
      <c r="AI650" s="14"/>
      <c r="AJ650" s="14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</row>
    <row r="651" spans="1:47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297"/>
      <c r="AD651" s="3"/>
      <c r="AE651" s="3"/>
      <c r="AF651" s="3"/>
      <c r="AG651" s="3"/>
      <c r="AH651" s="3"/>
      <c r="AI651" s="14"/>
      <c r="AJ651" s="14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</row>
    <row r="652" spans="1:47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297"/>
      <c r="AD652" s="3"/>
      <c r="AE652" s="3"/>
      <c r="AF652" s="3"/>
      <c r="AG652" s="3"/>
      <c r="AH652" s="3"/>
      <c r="AI652" s="14"/>
      <c r="AJ652" s="14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</row>
    <row r="653" spans="1:47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297"/>
      <c r="AD653" s="3"/>
      <c r="AE653" s="3"/>
      <c r="AF653" s="3"/>
      <c r="AG653" s="3"/>
      <c r="AH653" s="3"/>
      <c r="AI653" s="14"/>
      <c r="AJ653" s="14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</row>
    <row r="654" spans="1:47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297"/>
      <c r="AD654" s="3"/>
      <c r="AE654" s="3"/>
      <c r="AF654" s="3"/>
      <c r="AG654" s="3"/>
      <c r="AH654" s="3"/>
      <c r="AI654" s="14"/>
      <c r="AJ654" s="14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</row>
    <row r="655" spans="1:47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297"/>
      <c r="AD655" s="3"/>
      <c r="AE655" s="3"/>
      <c r="AF655" s="3"/>
      <c r="AG655" s="3"/>
      <c r="AH655" s="3"/>
      <c r="AI655" s="14"/>
      <c r="AJ655" s="14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</row>
    <row r="656" spans="1:47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297"/>
      <c r="AD656" s="3"/>
      <c r="AE656" s="3"/>
      <c r="AF656" s="3"/>
      <c r="AG656" s="3"/>
      <c r="AH656" s="3"/>
      <c r="AI656" s="14"/>
      <c r="AJ656" s="14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</row>
    <row r="657" spans="1:47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297"/>
      <c r="AD657" s="3"/>
      <c r="AE657" s="3"/>
      <c r="AF657" s="3"/>
      <c r="AG657" s="3"/>
      <c r="AH657" s="3"/>
      <c r="AI657" s="14"/>
      <c r="AJ657" s="14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</row>
    <row r="658" spans="1:47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297"/>
      <c r="AD658" s="3"/>
      <c r="AE658" s="3"/>
      <c r="AF658" s="3"/>
      <c r="AG658" s="3"/>
      <c r="AH658" s="3"/>
      <c r="AI658" s="14"/>
      <c r="AJ658" s="14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</row>
    <row r="659" spans="1:47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297"/>
      <c r="AD659" s="3"/>
      <c r="AE659" s="3"/>
      <c r="AF659" s="3"/>
      <c r="AG659" s="3"/>
      <c r="AH659" s="3"/>
      <c r="AI659" s="14"/>
      <c r="AJ659" s="14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</row>
    <row r="660" spans="1:47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297"/>
      <c r="AD660" s="3"/>
      <c r="AE660" s="3"/>
      <c r="AF660" s="3"/>
      <c r="AG660" s="3"/>
      <c r="AH660" s="3"/>
      <c r="AI660" s="14"/>
      <c r="AJ660" s="14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</row>
    <row r="661" spans="1:47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297"/>
      <c r="AD661" s="3"/>
      <c r="AE661" s="3"/>
      <c r="AF661" s="3"/>
      <c r="AG661" s="3"/>
      <c r="AH661" s="3"/>
      <c r="AI661" s="14"/>
      <c r="AJ661" s="14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</row>
    <row r="662" spans="1:47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297"/>
      <c r="AD662" s="3"/>
      <c r="AE662" s="3"/>
      <c r="AF662" s="3"/>
      <c r="AG662" s="3"/>
      <c r="AH662" s="3"/>
      <c r="AI662" s="14"/>
      <c r="AJ662" s="14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</row>
    <row r="663" spans="1:47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297"/>
      <c r="AD663" s="3"/>
      <c r="AE663" s="3"/>
      <c r="AF663" s="3"/>
      <c r="AG663" s="3"/>
      <c r="AH663" s="3"/>
      <c r="AI663" s="14"/>
      <c r="AJ663" s="14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</row>
    <row r="664" spans="1:47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297"/>
      <c r="AD664" s="3"/>
      <c r="AE664" s="3"/>
      <c r="AF664" s="3"/>
      <c r="AG664" s="3"/>
      <c r="AH664" s="3"/>
      <c r="AI664" s="14"/>
      <c r="AJ664" s="14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</row>
    <row r="665" spans="1:47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297"/>
      <c r="AD665" s="3"/>
      <c r="AE665" s="3"/>
      <c r="AF665" s="3"/>
      <c r="AG665" s="3"/>
      <c r="AH665" s="3"/>
      <c r="AI665" s="14"/>
      <c r="AJ665" s="14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</row>
    <row r="666" spans="1:47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297"/>
      <c r="AD666" s="3"/>
      <c r="AE666" s="3"/>
      <c r="AF666" s="3"/>
      <c r="AG666" s="3"/>
      <c r="AH666" s="3"/>
      <c r="AI666" s="14"/>
      <c r="AJ666" s="14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</row>
    <row r="667" spans="1:47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297"/>
      <c r="AD667" s="3"/>
      <c r="AE667" s="3"/>
      <c r="AF667" s="3"/>
      <c r="AG667" s="3"/>
      <c r="AH667" s="3"/>
      <c r="AI667" s="14"/>
      <c r="AJ667" s="14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</row>
    <row r="668" spans="1:47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297"/>
      <c r="AD668" s="3"/>
      <c r="AE668" s="3"/>
      <c r="AF668" s="3"/>
      <c r="AG668" s="3"/>
      <c r="AH668" s="3"/>
      <c r="AI668" s="14"/>
      <c r="AJ668" s="14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</row>
    <row r="669" spans="1:47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297"/>
      <c r="AD669" s="3"/>
      <c r="AE669" s="3"/>
      <c r="AF669" s="3"/>
      <c r="AG669" s="3"/>
      <c r="AH669" s="3"/>
      <c r="AI669" s="14"/>
      <c r="AJ669" s="14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</row>
    <row r="670" spans="1:47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297"/>
      <c r="AD670" s="3"/>
      <c r="AE670" s="3"/>
      <c r="AF670" s="3"/>
      <c r="AG670" s="3"/>
      <c r="AH670" s="3"/>
      <c r="AI670" s="14"/>
      <c r="AJ670" s="14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</row>
    <row r="671" spans="1:47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297"/>
      <c r="AD671" s="3"/>
      <c r="AE671" s="3"/>
      <c r="AF671" s="3"/>
      <c r="AG671" s="3"/>
      <c r="AH671" s="3"/>
      <c r="AI671" s="14"/>
      <c r="AJ671" s="14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</row>
    <row r="672" spans="1:47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297"/>
      <c r="AD672" s="3"/>
      <c r="AE672" s="3"/>
      <c r="AF672" s="3"/>
      <c r="AG672" s="3"/>
      <c r="AH672" s="3"/>
      <c r="AI672" s="14"/>
      <c r="AJ672" s="14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</row>
    <row r="673" spans="1:47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297"/>
      <c r="AD673" s="3"/>
      <c r="AE673" s="3"/>
      <c r="AF673" s="3"/>
      <c r="AG673" s="3"/>
      <c r="AH673" s="3"/>
      <c r="AI673" s="14"/>
      <c r="AJ673" s="14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</row>
    <row r="674" spans="1:47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297"/>
      <c r="AD674" s="3"/>
      <c r="AE674" s="3"/>
      <c r="AF674" s="3"/>
      <c r="AG674" s="3"/>
      <c r="AH674" s="3"/>
      <c r="AI674" s="14"/>
      <c r="AJ674" s="14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</row>
    <row r="675" spans="1:47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297"/>
      <c r="AD675" s="3"/>
      <c r="AE675" s="3"/>
      <c r="AF675" s="3"/>
      <c r="AG675" s="3"/>
      <c r="AH675" s="3"/>
      <c r="AI675" s="14"/>
      <c r="AJ675" s="14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</row>
    <row r="676" spans="1:47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297"/>
      <c r="AD676" s="3"/>
      <c r="AE676" s="3"/>
      <c r="AF676" s="3"/>
      <c r="AG676" s="3"/>
      <c r="AH676" s="3"/>
      <c r="AI676" s="14"/>
      <c r="AJ676" s="14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</row>
    <row r="677" spans="1:47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297"/>
      <c r="AD677" s="3"/>
      <c r="AE677" s="3"/>
      <c r="AF677" s="3"/>
      <c r="AG677" s="3"/>
      <c r="AH677" s="3"/>
      <c r="AI677" s="14"/>
      <c r="AJ677" s="14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</row>
    <row r="678" spans="1:47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297"/>
      <c r="AD678" s="3"/>
      <c r="AE678" s="3"/>
      <c r="AF678" s="3"/>
      <c r="AG678" s="3"/>
      <c r="AH678" s="3"/>
      <c r="AI678" s="14"/>
      <c r="AJ678" s="14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</row>
    <row r="679" spans="1:47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297"/>
      <c r="AD679" s="3"/>
      <c r="AE679" s="3"/>
      <c r="AF679" s="3"/>
      <c r="AG679" s="3"/>
      <c r="AH679" s="3"/>
      <c r="AI679" s="14"/>
      <c r="AJ679" s="14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</row>
    <row r="680" spans="1:47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297"/>
      <c r="AD680" s="3"/>
      <c r="AE680" s="3"/>
      <c r="AF680" s="3"/>
      <c r="AG680" s="3"/>
      <c r="AH680" s="3"/>
      <c r="AI680" s="14"/>
      <c r="AJ680" s="14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</row>
    <row r="681" spans="1:47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297"/>
      <c r="AD681" s="3"/>
      <c r="AE681" s="3"/>
      <c r="AF681" s="3"/>
      <c r="AG681" s="3"/>
      <c r="AH681" s="3"/>
      <c r="AI681" s="14"/>
      <c r="AJ681" s="14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</row>
    <row r="682" spans="1:47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297"/>
      <c r="AD682" s="3"/>
      <c r="AE682" s="3"/>
      <c r="AF682" s="3"/>
      <c r="AG682" s="3"/>
      <c r="AH682" s="3"/>
      <c r="AI682" s="14"/>
      <c r="AJ682" s="14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</row>
    <row r="683" spans="1:47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297"/>
      <c r="AD683" s="3"/>
      <c r="AE683" s="3"/>
      <c r="AF683" s="3"/>
      <c r="AG683" s="3"/>
      <c r="AH683" s="3"/>
      <c r="AI683" s="14"/>
      <c r="AJ683" s="14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</row>
    <row r="684" spans="1:47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297"/>
      <c r="AD684" s="3"/>
      <c r="AE684" s="3"/>
      <c r="AF684" s="3"/>
      <c r="AG684" s="3"/>
      <c r="AH684" s="3"/>
      <c r="AI684" s="14"/>
      <c r="AJ684" s="14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</row>
    <row r="685" spans="1:47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297"/>
      <c r="AD685" s="3"/>
      <c r="AE685" s="3"/>
      <c r="AF685" s="3"/>
      <c r="AG685" s="3"/>
      <c r="AH685" s="3"/>
      <c r="AI685" s="14"/>
      <c r="AJ685" s="14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</row>
    <row r="686" spans="1:47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297"/>
      <c r="AD686" s="3"/>
      <c r="AE686" s="3"/>
      <c r="AF686" s="3"/>
      <c r="AG686" s="3"/>
      <c r="AH686" s="3"/>
      <c r="AI686" s="14"/>
      <c r="AJ686" s="14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</row>
    <row r="687" spans="1:47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297"/>
      <c r="AD687" s="3"/>
      <c r="AE687" s="3"/>
      <c r="AF687" s="3"/>
      <c r="AG687" s="3"/>
      <c r="AH687" s="3"/>
      <c r="AI687" s="14"/>
      <c r="AJ687" s="14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</row>
    <row r="688" spans="1:47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297"/>
      <c r="AD688" s="3"/>
      <c r="AE688" s="3"/>
      <c r="AF688" s="3"/>
      <c r="AG688" s="3"/>
      <c r="AH688" s="3"/>
      <c r="AI688" s="14"/>
      <c r="AJ688" s="14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</row>
    <row r="689" spans="1:47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297"/>
      <c r="AD689" s="3"/>
      <c r="AE689" s="3"/>
      <c r="AF689" s="3"/>
      <c r="AG689" s="3"/>
      <c r="AH689" s="3"/>
      <c r="AI689" s="14"/>
      <c r="AJ689" s="14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</row>
    <row r="690" spans="1:47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297"/>
      <c r="AD690" s="3"/>
      <c r="AE690" s="3"/>
      <c r="AF690" s="3"/>
      <c r="AG690" s="3"/>
      <c r="AH690" s="3"/>
      <c r="AI690" s="14"/>
      <c r="AJ690" s="14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</row>
    <row r="691" spans="1:47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297"/>
      <c r="AD691" s="3"/>
      <c r="AE691" s="3"/>
      <c r="AF691" s="3"/>
      <c r="AG691" s="3"/>
      <c r="AH691" s="3"/>
      <c r="AI691" s="14"/>
      <c r="AJ691" s="14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</row>
    <row r="692" spans="1:47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297"/>
      <c r="AD692" s="3"/>
      <c r="AE692" s="3"/>
      <c r="AF692" s="3"/>
      <c r="AG692" s="3"/>
      <c r="AH692" s="3"/>
      <c r="AI692" s="14"/>
      <c r="AJ692" s="14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</row>
    <row r="693" spans="1:47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297"/>
      <c r="AD693" s="3"/>
      <c r="AE693" s="3"/>
      <c r="AF693" s="3"/>
      <c r="AG693" s="3"/>
      <c r="AH693" s="3"/>
      <c r="AI693" s="14"/>
      <c r="AJ693" s="14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</row>
    <row r="694" spans="1:47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297"/>
      <c r="AD694" s="3"/>
      <c r="AE694" s="3"/>
      <c r="AF694" s="3"/>
      <c r="AG694" s="3"/>
      <c r="AH694" s="3"/>
      <c r="AI694" s="14"/>
      <c r="AJ694" s="14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</row>
    <row r="695" spans="1:47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297"/>
      <c r="AD695" s="3"/>
      <c r="AE695" s="3"/>
      <c r="AF695" s="3"/>
      <c r="AG695" s="3"/>
      <c r="AH695" s="3"/>
      <c r="AI695" s="14"/>
      <c r="AJ695" s="14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</row>
    <row r="696" spans="1:47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297"/>
      <c r="AD696" s="3"/>
      <c r="AE696" s="3"/>
      <c r="AF696" s="3"/>
      <c r="AG696" s="3"/>
      <c r="AH696" s="3"/>
      <c r="AI696" s="14"/>
      <c r="AJ696" s="14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</row>
    <row r="697" spans="1:47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297"/>
      <c r="AD697" s="3"/>
      <c r="AE697" s="3"/>
      <c r="AF697" s="3"/>
      <c r="AG697" s="3"/>
      <c r="AH697" s="3"/>
      <c r="AI697" s="14"/>
      <c r="AJ697" s="14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</row>
    <row r="698" spans="1:47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297"/>
      <c r="AD698" s="3"/>
      <c r="AE698" s="3"/>
      <c r="AF698" s="3"/>
      <c r="AG698" s="3"/>
      <c r="AH698" s="3"/>
      <c r="AI698" s="14"/>
      <c r="AJ698" s="14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</row>
    <row r="699" spans="1:47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297"/>
      <c r="AD699" s="3"/>
      <c r="AE699" s="3"/>
      <c r="AF699" s="3"/>
      <c r="AG699" s="3"/>
      <c r="AH699" s="3"/>
      <c r="AI699" s="14"/>
      <c r="AJ699" s="14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</row>
    <row r="700" spans="1:47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297"/>
      <c r="AD700" s="3"/>
      <c r="AE700" s="3"/>
      <c r="AF700" s="3"/>
      <c r="AG700" s="3"/>
      <c r="AH700" s="3"/>
      <c r="AI700" s="14"/>
      <c r="AJ700" s="14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</row>
    <row r="701" spans="1:47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297"/>
      <c r="AD701" s="3"/>
      <c r="AE701" s="3"/>
      <c r="AF701" s="3"/>
      <c r="AG701" s="3"/>
      <c r="AH701" s="3"/>
      <c r="AI701" s="14"/>
      <c r="AJ701" s="14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</row>
    <row r="702" spans="1:47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297"/>
      <c r="AD702" s="3"/>
      <c r="AE702" s="3"/>
      <c r="AF702" s="3"/>
      <c r="AG702" s="3"/>
      <c r="AH702" s="3"/>
      <c r="AI702" s="14"/>
      <c r="AJ702" s="14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</row>
    <row r="703" spans="1:47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297"/>
      <c r="AD703" s="3"/>
      <c r="AE703" s="3"/>
      <c r="AF703" s="3"/>
      <c r="AG703" s="3"/>
      <c r="AH703" s="3"/>
      <c r="AI703" s="14"/>
      <c r="AJ703" s="14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</row>
    <row r="704" spans="1:47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297"/>
      <c r="AD704" s="3"/>
      <c r="AE704" s="3"/>
      <c r="AF704" s="3"/>
      <c r="AG704" s="3"/>
      <c r="AH704" s="3"/>
      <c r="AI704" s="14"/>
      <c r="AJ704" s="14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</row>
    <row r="705" spans="1:47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297"/>
      <c r="AD705" s="3"/>
      <c r="AE705" s="3"/>
      <c r="AF705" s="3"/>
      <c r="AG705" s="3"/>
      <c r="AH705" s="3"/>
      <c r="AI705" s="14"/>
      <c r="AJ705" s="14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</row>
    <row r="706" spans="1:47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297"/>
      <c r="AD706" s="3"/>
      <c r="AE706" s="3"/>
      <c r="AF706" s="3"/>
      <c r="AG706" s="3"/>
      <c r="AH706" s="3"/>
      <c r="AI706" s="14"/>
      <c r="AJ706" s="14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</row>
    <row r="707" spans="1:47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297"/>
      <c r="AD707" s="3"/>
      <c r="AE707" s="3"/>
      <c r="AF707" s="3"/>
      <c r="AG707" s="3"/>
      <c r="AH707" s="3"/>
      <c r="AI707" s="14"/>
      <c r="AJ707" s="14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</row>
    <row r="708" spans="1:47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297"/>
      <c r="AD708" s="3"/>
      <c r="AE708" s="3"/>
      <c r="AF708" s="3"/>
      <c r="AG708" s="3"/>
      <c r="AH708" s="3"/>
      <c r="AI708" s="14"/>
      <c r="AJ708" s="14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</row>
    <row r="709" spans="1:47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297"/>
      <c r="AD709" s="3"/>
      <c r="AE709" s="3"/>
      <c r="AF709" s="3"/>
      <c r="AG709" s="3"/>
      <c r="AH709" s="3"/>
      <c r="AI709" s="14"/>
      <c r="AJ709" s="14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</row>
    <row r="710" spans="1:47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297"/>
      <c r="AD710" s="3"/>
      <c r="AE710" s="3"/>
      <c r="AF710" s="3"/>
      <c r="AG710" s="3"/>
      <c r="AH710" s="3"/>
      <c r="AI710" s="14"/>
      <c r="AJ710" s="14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</row>
    <row r="711" spans="1:47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297"/>
      <c r="AD711" s="3"/>
      <c r="AE711" s="3"/>
      <c r="AF711" s="3"/>
      <c r="AG711" s="3"/>
      <c r="AH711" s="3"/>
      <c r="AI711" s="14"/>
      <c r="AJ711" s="14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</row>
    <row r="712" spans="1:47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297"/>
      <c r="AD712" s="3"/>
      <c r="AE712" s="3"/>
      <c r="AF712" s="3"/>
      <c r="AG712" s="3"/>
      <c r="AH712" s="3"/>
      <c r="AI712" s="14"/>
      <c r="AJ712" s="14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</row>
    <row r="713" spans="1:47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297"/>
      <c r="AD713" s="3"/>
      <c r="AE713" s="3"/>
      <c r="AF713" s="3"/>
      <c r="AG713" s="3"/>
      <c r="AH713" s="3"/>
      <c r="AI713" s="14"/>
      <c r="AJ713" s="14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</row>
    <row r="714" spans="1:47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297"/>
      <c r="AD714" s="3"/>
      <c r="AE714" s="3"/>
      <c r="AF714" s="3"/>
      <c r="AG714" s="3"/>
      <c r="AH714" s="3"/>
      <c r="AI714" s="14"/>
      <c r="AJ714" s="14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</row>
    <row r="715" spans="1:47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297"/>
      <c r="AD715" s="3"/>
      <c r="AE715" s="3"/>
      <c r="AF715" s="3"/>
      <c r="AG715" s="3"/>
      <c r="AH715" s="3"/>
      <c r="AI715" s="14"/>
      <c r="AJ715" s="14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</row>
    <row r="716" spans="1:47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297"/>
      <c r="AD716" s="3"/>
      <c r="AE716" s="3"/>
      <c r="AF716" s="3"/>
      <c r="AG716" s="3"/>
      <c r="AH716" s="3"/>
      <c r="AI716" s="14"/>
      <c r="AJ716" s="14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</row>
    <row r="717" spans="1:47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297"/>
      <c r="AD717" s="3"/>
      <c r="AE717" s="3"/>
      <c r="AF717" s="3"/>
      <c r="AG717" s="3"/>
      <c r="AH717" s="3"/>
      <c r="AI717" s="14"/>
      <c r="AJ717" s="14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</row>
    <row r="718" spans="1:47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297"/>
      <c r="AD718" s="3"/>
      <c r="AE718" s="3"/>
      <c r="AF718" s="3"/>
      <c r="AG718" s="3"/>
      <c r="AH718" s="3"/>
      <c r="AI718" s="14"/>
      <c r="AJ718" s="14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</row>
    <row r="719" spans="1:47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297"/>
      <c r="AD719" s="3"/>
      <c r="AE719" s="3"/>
      <c r="AF719" s="3"/>
      <c r="AG719" s="3"/>
      <c r="AH719" s="3"/>
      <c r="AI719" s="14"/>
      <c r="AJ719" s="14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</row>
    <row r="720" spans="1:47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297"/>
      <c r="AD720" s="3"/>
      <c r="AE720" s="3"/>
      <c r="AF720" s="3"/>
      <c r="AG720" s="3"/>
      <c r="AH720" s="3"/>
      <c r="AI720" s="14"/>
      <c r="AJ720" s="14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</row>
    <row r="721" spans="1:47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297"/>
      <c r="AD721" s="3"/>
      <c r="AE721" s="3"/>
      <c r="AF721" s="3"/>
      <c r="AG721" s="3"/>
      <c r="AH721" s="3"/>
      <c r="AI721" s="14"/>
      <c r="AJ721" s="14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</row>
    <row r="722" spans="1:47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297"/>
      <c r="AD722" s="3"/>
      <c r="AE722" s="3"/>
      <c r="AF722" s="3"/>
      <c r="AG722" s="3"/>
      <c r="AH722" s="3"/>
      <c r="AI722" s="14"/>
      <c r="AJ722" s="14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</row>
    <row r="723" spans="1:47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297"/>
      <c r="AD723" s="3"/>
      <c r="AE723" s="3"/>
      <c r="AF723" s="3"/>
      <c r="AG723" s="3"/>
      <c r="AH723" s="3"/>
      <c r="AI723" s="14"/>
      <c r="AJ723" s="14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</row>
    <row r="724" spans="1:47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297"/>
      <c r="AD724" s="3"/>
      <c r="AE724" s="3"/>
      <c r="AF724" s="3"/>
      <c r="AG724" s="3"/>
      <c r="AH724" s="3"/>
      <c r="AI724" s="14"/>
      <c r="AJ724" s="14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</row>
    <row r="725" spans="1:47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297"/>
      <c r="AD725" s="3"/>
      <c r="AE725" s="3"/>
      <c r="AF725" s="3"/>
      <c r="AG725" s="3"/>
      <c r="AH725" s="3"/>
      <c r="AI725" s="14"/>
      <c r="AJ725" s="14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</row>
    <row r="726" spans="1:47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297"/>
      <c r="AD726" s="3"/>
      <c r="AE726" s="3"/>
      <c r="AF726" s="3"/>
      <c r="AG726" s="3"/>
      <c r="AH726" s="3"/>
      <c r="AI726" s="14"/>
      <c r="AJ726" s="14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</row>
    <row r="727" spans="1:47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297"/>
      <c r="AD727" s="3"/>
      <c r="AE727" s="3"/>
      <c r="AF727" s="3"/>
      <c r="AG727" s="3"/>
      <c r="AH727" s="3"/>
      <c r="AI727" s="14"/>
      <c r="AJ727" s="14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</row>
    <row r="728" spans="1:47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297"/>
      <c r="AD728" s="3"/>
      <c r="AE728" s="3"/>
      <c r="AF728" s="3"/>
      <c r="AG728" s="3"/>
      <c r="AH728" s="3"/>
      <c r="AI728" s="14"/>
      <c r="AJ728" s="14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</row>
    <row r="729" spans="1:47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297"/>
      <c r="AD729" s="3"/>
      <c r="AE729" s="3"/>
      <c r="AF729" s="3"/>
      <c r="AG729" s="3"/>
      <c r="AH729" s="3"/>
      <c r="AI729" s="14"/>
      <c r="AJ729" s="14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</row>
    <row r="730" spans="1:47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297"/>
      <c r="AD730" s="3"/>
      <c r="AE730" s="3"/>
      <c r="AF730" s="3"/>
      <c r="AG730" s="3"/>
      <c r="AH730" s="3"/>
      <c r="AI730" s="14"/>
      <c r="AJ730" s="14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</row>
    <row r="731" spans="1:47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297"/>
      <c r="AD731" s="3"/>
      <c r="AE731" s="3"/>
      <c r="AF731" s="3"/>
      <c r="AG731" s="3"/>
      <c r="AH731" s="3"/>
      <c r="AI731" s="14"/>
      <c r="AJ731" s="14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</row>
    <row r="732" spans="1:47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297"/>
      <c r="AD732" s="3"/>
      <c r="AE732" s="3"/>
      <c r="AF732" s="3"/>
      <c r="AG732" s="3"/>
      <c r="AH732" s="3"/>
      <c r="AI732" s="14"/>
      <c r="AJ732" s="14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</row>
    <row r="733" spans="1:47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297"/>
      <c r="AD733" s="3"/>
      <c r="AE733" s="3"/>
      <c r="AF733" s="3"/>
      <c r="AG733" s="3"/>
      <c r="AH733" s="3"/>
      <c r="AI733" s="14"/>
      <c r="AJ733" s="14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</row>
    <row r="734" spans="1:47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297"/>
      <c r="AD734" s="3"/>
      <c r="AE734" s="3"/>
      <c r="AF734" s="3"/>
      <c r="AG734" s="3"/>
      <c r="AH734" s="3"/>
      <c r="AI734" s="14"/>
      <c r="AJ734" s="14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</row>
    <row r="735" spans="1:47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297"/>
      <c r="AD735" s="3"/>
      <c r="AE735" s="3"/>
      <c r="AF735" s="3"/>
      <c r="AG735" s="3"/>
      <c r="AH735" s="3"/>
      <c r="AI735" s="14"/>
      <c r="AJ735" s="14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</row>
    <row r="736" spans="1:47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297"/>
      <c r="AD736" s="3"/>
      <c r="AE736" s="3"/>
      <c r="AF736" s="3"/>
      <c r="AG736" s="3"/>
      <c r="AH736" s="3"/>
      <c r="AI736" s="14"/>
      <c r="AJ736" s="14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</row>
    <row r="737" spans="1:47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297"/>
      <c r="AD737" s="3"/>
      <c r="AE737" s="3"/>
      <c r="AF737" s="3"/>
      <c r="AG737" s="3"/>
      <c r="AH737" s="3"/>
      <c r="AI737" s="14"/>
      <c r="AJ737" s="14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</row>
    <row r="738" spans="1:47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297"/>
      <c r="AD738" s="3"/>
      <c r="AE738" s="3"/>
      <c r="AF738" s="3"/>
      <c r="AG738" s="3"/>
      <c r="AH738" s="3"/>
      <c r="AI738" s="14"/>
      <c r="AJ738" s="14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</row>
    <row r="739" spans="1:47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297"/>
      <c r="AD739" s="3"/>
      <c r="AE739" s="3"/>
      <c r="AF739" s="3"/>
      <c r="AG739" s="3"/>
      <c r="AH739" s="3"/>
      <c r="AI739" s="14"/>
      <c r="AJ739" s="14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</row>
    <row r="740" spans="1:47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297"/>
      <c r="AD740" s="3"/>
      <c r="AE740" s="3"/>
      <c r="AF740" s="3"/>
      <c r="AG740" s="3"/>
      <c r="AH740" s="3"/>
      <c r="AI740" s="14"/>
      <c r="AJ740" s="14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</row>
    <row r="741" spans="1:47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297"/>
      <c r="AD741" s="3"/>
      <c r="AE741" s="3"/>
      <c r="AF741" s="3"/>
      <c r="AG741" s="3"/>
      <c r="AH741" s="3"/>
      <c r="AI741" s="14"/>
      <c r="AJ741" s="14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</row>
    <row r="742" spans="1:47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297"/>
      <c r="AD742" s="3"/>
      <c r="AE742" s="3"/>
      <c r="AF742" s="3"/>
      <c r="AG742" s="3"/>
      <c r="AH742" s="3"/>
      <c r="AI742" s="14"/>
      <c r="AJ742" s="14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</row>
    <row r="743" spans="1:47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297"/>
      <c r="AD743" s="3"/>
      <c r="AE743" s="3"/>
      <c r="AF743" s="3"/>
      <c r="AG743" s="3"/>
      <c r="AH743" s="3"/>
      <c r="AI743" s="14"/>
      <c r="AJ743" s="14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</row>
    <row r="744" spans="1:47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297"/>
      <c r="AD744" s="3"/>
      <c r="AE744" s="3"/>
      <c r="AF744" s="3"/>
      <c r="AG744" s="3"/>
      <c r="AH744" s="3"/>
      <c r="AI744" s="14"/>
      <c r="AJ744" s="14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</row>
    <row r="745" spans="1:47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297"/>
      <c r="AD745" s="3"/>
      <c r="AE745" s="3"/>
      <c r="AF745" s="3"/>
      <c r="AG745" s="3"/>
      <c r="AH745" s="3"/>
      <c r="AI745" s="14"/>
      <c r="AJ745" s="14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</row>
    <row r="746" spans="1:47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297"/>
      <c r="AD746" s="3"/>
      <c r="AE746" s="3"/>
      <c r="AF746" s="3"/>
      <c r="AG746" s="3"/>
      <c r="AH746" s="3"/>
      <c r="AI746" s="14"/>
      <c r="AJ746" s="14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</row>
    <row r="747" spans="1:47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297"/>
      <c r="AD747" s="3"/>
      <c r="AE747" s="3"/>
      <c r="AF747" s="3"/>
      <c r="AG747" s="3"/>
      <c r="AH747" s="3"/>
      <c r="AI747" s="14"/>
      <c r="AJ747" s="14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</row>
    <row r="748" spans="1:47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297"/>
      <c r="AD748" s="3"/>
      <c r="AE748" s="3"/>
      <c r="AF748" s="3"/>
      <c r="AG748" s="3"/>
      <c r="AH748" s="3"/>
      <c r="AI748" s="14"/>
      <c r="AJ748" s="14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</row>
    <row r="749" spans="1:47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297"/>
      <c r="AD749" s="3"/>
      <c r="AE749" s="3"/>
      <c r="AF749" s="3"/>
      <c r="AG749" s="3"/>
      <c r="AH749" s="3"/>
      <c r="AI749" s="14"/>
      <c r="AJ749" s="14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</row>
    <row r="750" spans="1:47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297"/>
      <c r="AD750" s="3"/>
      <c r="AE750" s="3"/>
      <c r="AF750" s="3"/>
      <c r="AG750" s="3"/>
      <c r="AH750" s="3"/>
      <c r="AI750" s="14"/>
      <c r="AJ750" s="14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</row>
    <row r="751" spans="1:47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297"/>
      <c r="AD751" s="3"/>
      <c r="AE751" s="3"/>
      <c r="AF751" s="3"/>
      <c r="AG751" s="3"/>
      <c r="AH751" s="3"/>
      <c r="AI751" s="14"/>
      <c r="AJ751" s="14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</row>
    <row r="752" spans="1:47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297"/>
      <c r="AD752" s="3"/>
      <c r="AE752" s="3"/>
      <c r="AF752" s="3"/>
      <c r="AG752" s="3"/>
      <c r="AH752" s="3"/>
      <c r="AI752" s="14"/>
      <c r="AJ752" s="14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</row>
    <row r="753" spans="1:47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297"/>
      <c r="AD753" s="3"/>
      <c r="AE753" s="3"/>
      <c r="AF753" s="3"/>
      <c r="AG753" s="3"/>
      <c r="AH753" s="3"/>
      <c r="AI753" s="14"/>
      <c r="AJ753" s="14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</row>
    <row r="754" spans="1:47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297"/>
      <c r="AD754" s="3"/>
      <c r="AE754" s="3"/>
      <c r="AF754" s="3"/>
      <c r="AG754" s="3"/>
      <c r="AH754" s="3"/>
      <c r="AI754" s="14"/>
      <c r="AJ754" s="14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</row>
    <row r="755" spans="1:47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297"/>
      <c r="AD755" s="3"/>
      <c r="AE755" s="3"/>
      <c r="AF755" s="3"/>
      <c r="AG755" s="3"/>
      <c r="AH755" s="3"/>
      <c r="AI755" s="14"/>
      <c r="AJ755" s="14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</row>
    <row r="756" spans="1:47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297"/>
      <c r="AD756" s="3"/>
      <c r="AE756" s="3"/>
      <c r="AF756" s="3"/>
      <c r="AG756" s="3"/>
      <c r="AH756" s="3"/>
      <c r="AI756" s="14"/>
      <c r="AJ756" s="14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</row>
    <row r="757" spans="1:47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297"/>
      <c r="AD757" s="3"/>
      <c r="AE757" s="3"/>
      <c r="AF757" s="3"/>
      <c r="AG757" s="3"/>
      <c r="AH757" s="3"/>
      <c r="AI757" s="14"/>
      <c r="AJ757" s="14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</row>
    <row r="758" spans="1:47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297"/>
      <c r="AD758" s="3"/>
      <c r="AE758" s="3"/>
      <c r="AF758" s="3"/>
      <c r="AG758" s="3"/>
      <c r="AH758" s="3"/>
      <c r="AI758" s="14"/>
      <c r="AJ758" s="14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</row>
    <row r="759" spans="1:47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297"/>
      <c r="AD759" s="3"/>
      <c r="AE759" s="3"/>
      <c r="AF759" s="3"/>
      <c r="AG759" s="3"/>
      <c r="AH759" s="3"/>
      <c r="AI759" s="14"/>
      <c r="AJ759" s="14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</row>
    <row r="760" spans="1:47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297"/>
      <c r="AD760" s="3"/>
      <c r="AE760" s="3"/>
      <c r="AF760" s="3"/>
      <c r="AG760" s="3"/>
      <c r="AH760" s="3"/>
      <c r="AI760" s="14"/>
      <c r="AJ760" s="14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</row>
    <row r="761" spans="1:47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297"/>
      <c r="AD761" s="3"/>
      <c r="AE761" s="3"/>
      <c r="AF761" s="3"/>
      <c r="AG761" s="3"/>
      <c r="AH761" s="3"/>
      <c r="AI761" s="14"/>
      <c r="AJ761" s="14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</row>
    <row r="762" spans="1:47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297"/>
      <c r="AD762" s="3"/>
      <c r="AE762" s="3"/>
      <c r="AF762" s="3"/>
      <c r="AG762" s="3"/>
      <c r="AH762" s="3"/>
      <c r="AI762" s="14"/>
      <c r="AJ762" s="14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</row>
    <row r="763" spans="1:47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297"/>
      <c r="AD763" s="3"/>
      <c r="AE763" s="3"/>
      <c r="AF763" s="3"/>
      <c r="AG763" s="3"/>
      <c r="AH763" s="3"/>
      <c r="AI763" s="14"/>
      <c r="AJ763" s="14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</row>
    <row r="764" spans="1:47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297"/>
      <c r="AD764" s="3"/>
      <c r="AE764" s="3"/>
      <c r="AF764" s="3"/>
      <c r="AG764" s="3"/>
      <c r="AH764" s="3"/>
      <c r="AI764" s="14"/>
      <c r="AJ764" s="14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</row>
    <row r="765" spans="1:47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297"/>
      <c r="AD765" s="3"/>
      <c r="AE765" s="3"/>
      <c r="AF765" s="3"/>
      <c r="AG765" s="3"/>
      <c r="AH765" s="3"/>
      <c r="AI765" s="14"/>
      <c r="AJ765" s="14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</row>
    <row r="766" spans="1:47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297"/>
      <c r="AD766" s="3"/>
      <c r="AE766" s="3"/>
      <c r="AF766" s="3"/>
      <c r="AG766" s="3"/>
      <c r="AH766" s="3"/>
      <c r="AI766" s="14"/>
      <c r="AJ766" s="14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</row>
    <row r="767" spans="1:47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297"/>
      <c r="AD767" s="3"/>
      <c r="AE767" s="3"/>
      <c r="AF767" s="3"/>
      <c r="AG767" s="3"/>
      <c r="AH767" s="3"/>
      <c r="AI767" s="14"/>
      <c r="AJ767" s="14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</row>
    <row r="768" spans="1:47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297"/>
      <c r="AD768" s="3"/>
      <c r="AE768" s="3"/>
      <c r="AF768" s="3"/>
      <c r="AG768" s="3"/>
      <c r="AH768" s="3"/>
      <c r="AI768" s="14"/>
      <c r="AJ768" s="14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</row>
    <row r="769" spans="1:47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297"/>
      <c r="AD769" s="3"/>
      <c r="AE769" s="3"/>
      <c r="AF769" s="3"/>
      <c r="AG769" s="3"/>
      <c r="AH769" s="3"/>
      <c r="AI769" s="14"/>
      <c r="AJ769" s="14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</row>
    <row r="770" spans="1:47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297"/>
      <c r="AD770" s="3"/>
      <c r="AE770" s="3"/>
      <c r="AF770" s="3"/>
      <c r="AG770" s="3"/>
      <c r="AH770" s="3"/>
      <c r="AI770" s="14"/>
      <c r="AJ770" s="14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</row>
    <row r="771" spans="1:47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297"/>
      <c r="AD771" s="3"/>
      <c r="AE771" s="3"/>
      <c r="AF771" s="3"/>
      <c r="AG771" s="3"/>
      <c r="AH771" s="3"/>
      <c r="AI771" s="14"/>
      <c r="AJ771" s="14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</row>
    <row r="772" spans="1:47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297"/>
      <c r="AD772" s="3"/>
      <c r="AE772" s="3"/>
      <c r="AF772" s="3"/>
      <c r="AG772" s="3"/>
      <c r="AH772" s="3"/>
      <c r="AI772" s="14"/>
      <c r="AJ772" s="14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</row>
    <row r="773" spans="1:47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297"/>
      <c r="AD773" s="3"/>
      <c r="AE773" s="3"/>
      <c r="AF773" s="3"/>
      <c r="AG773" s="3"/>
      <c r="AH773" s="3"/>
      <c r="AI773" s="14"/>
      <c r="AJ773" s="14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</row>
    <row r="774" spans="1:47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297"/>
      <c r="AD774" s="3"/>
      <c r="AE774" s="3"/>
      <c r="AF774" s="3"/>
      <c r="AG774" s="3"/>
      <c r="AH774" s="3"/>
      <c r="AI774" s="14"/>
      <c r="AJ774" s="14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</row>
    <row r="775" spans="1:47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297"/>
      <c r="AD775" s="3"/>
      <c r="AE775" s="3"/>
      <c r="AF775" s="3"/>
      <c r="AG775" s="3"/>
      <c r="AH775" s="3"/>
      <c r="AI775" s="14"/>
      <c r="AJ775" s="14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</row>
    <row r="776" spans="1:47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297"/>
      <c r="AD776" s="3"/>
      <c r="AE776" s="3"/>
      <c r="AF776" s="3"/>
      <c r="AG776" s="3"/>
      <c r="AH776" s="3"/>
      <c r="AI776" s="14"/>
      <c r="AJ776" s="14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</row>
    <row r="777" spans="1:47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297"/>
      <c r="AD777" s="3"/>
      <c r="AE777" s="3"/>
      <c r="AF777" s="3"/>
      <c r="AG777" s="3"/>
      <c r="AH777" s="3"/>
      <c r="AI777" s="14"/>
      <c r="AJ777" s="14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</row>
    <row r="778" spans="1:47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297"/>
      <c r="AD778" s="3"/>
      <c r="AE778" s="3"/>
      <c r="AF778" s="3"/>
      <c r="AG778" s="3"/>
      <c r="AH778" s="3"/>
      <c r="AI778" s="14"/>
      <c r="AJ778" s="14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</row>
    <row r="779" spans="1:47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297"/>
      <c r="AD779" s="3"/>
      <c r="AE779" s="3"/>
      <c r="AF779" s="3"/>
      <c r="AG779" s="3"/>
      <c r="AH779" s="3"/>
      <c r="AI779" s="14"/>
      <c r="AJ779" s="14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</row>
    <row r="780" spans="1:47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297"/>
      <c r="AD780" s="3"/>
      <c r="AE780" s="3"/>
      <c r="AF780" s="3"/>
      <c r="AG780" s="3"/>
      <c r="AH780" s="3"/>
      <c r="AI780" s="14"/>
      <c r="AJ780" s="14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</row>
    <row r="781" spans="1:47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297"/>
      <c r="AD781" s="3"/>
      <c r="AE781" s="3"/>
      <c r="AF781" s="3"/>
      <c r="AG781" s="3"/>
      <c r="AH781" s="3"/>
      <c r="AI781" s="14"/>
      <c r="AJ781" s="14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</row>
    <row r="782" spans="1:47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297"/>
      <c r="AD782" s="3"/>
      <c r="AE782" s="3"/>
      <c r="AF782" s="3"/>
      <c r="AG782" s="3"/>
      <c r="AH782" s="3"/>
      <c r="AI782" s="14"/>
      <c r="AJ782" s="14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</row>
    <row r="783" spans="1:47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297"/>
      <c r="AD783" s="3"/>
      <c r="AE783" s="3"/>
      <c r="AF783" s="3"/>
      <c r="AG783" s="3"/>
      <c r="AH783" s="3"/>
      <c r="AI783" s="14"/>
      <c r="AJ783" s="14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</row>
    <row r="784" spans="1:47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297"/>
      <c r="AD784" s="3"/>
      <c r="AE784" s="3"/>
      <c r="AF784" s="3"/>
      <c r="AG784" s="3"/>
      <c r="AH784" s="3"/>
      <c r="AI784" s="14"/>
      <c r="AJ784" s="14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</row>
    <row r="785" spans="1:47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297"/>
      <c r="AD785" s="3"/>
      <c r="AE785" s="3"/>
      <c r="AF785" s="3"/>
      <c r="AG785" s="3"/>
      <c r="AH785" s="3"/>
      <c r="AI785" s="14"/>
      <c r="AJ785" s="14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</row>
    <row r="786" spans="1:47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297"/>
      <c r="AD786" s="3"/>
      <c r="AE786" s="3"/>
      <c r="AF786" s="3"/>
      <c r="AG786" s="3"/>
      <c r="AH786" s="3"/>
      <c r="AI786" s="14"/>
      <c r="AJ786" s="14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</row>
    <row r="787" spans="1:47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297"/>
      <c r="AD787" s="3"/>
      <c r="AE787" s="3"/>
      <c r="AF787" s="3"/>
      <c r="AG787" s="3"/>
      <c r="AH787" s="3"/>
      <c r="AI787" s="14"/>
      <c r="AJ787" s="14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</row>
    <row r="788" spans="1:47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297"/>
      <c r="AD788" s="3"/>
      <c r="AE788" s="3"/>
      <c r="AF788" s="3"/>
      <c r="AG788" s="3"/>
      <c r="AH788" s="3"/>
      <c r="AI788" s="14"/>
      <c r="AJ788" s="14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</row>
    <row r="789" spans="1:47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297"/>
      <c r="AD789" s="3"/>
      <c r="AE789" s="3"/>
      <c r="AF789" s="3"/>
      <c r="AG789" s="3"/>
      <c r="AH789" s="3"/>
      <c r="AI789" s="14"/>
      <c r="AJ789" s="14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</row>
    <row r="790" spans="1:47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297"/>
      <c r="AD790" s="3"/>
      <c r="AE790" s="3"/>
      <c r="AF790" s="3"/>
      <c r="AG790" s="3"/>
      <c r="AH790" s="3"/>
      <c r="AI790" s="14"/>
      <c r="AJ790" s="14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</row>
    <row r="791" spans="1:47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297"/>
      <c r="AD791" s="3"/>
      <c r="AE791" s="3"/>
      <c r="AF791" s="3"/>
      <c r="AG791" s="3"/>
      <c r="AH791" s="3"/>
      <c r="AI791" s="14"/>
      <c r="AJ791" s="14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</row>
    <row r="792" spans="1:47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297"/>
      <c r="AD792" s="3"/>
      <c r="AE792" s="3"/>
      <c r="AF792" s="3"/>
      <c r="AG792" s="3"/>
      <c r="AH792" s="3"/>
      <c r="AI792" s="14"/>
      <c r="AJ792" s="14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</row>
    <row r="793" spans="1:47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297"/>
      <c r="AD793" s="3"/>
      <c r="AE793" s="3"/>
      <c r="AF793" s="3"/>
      <c r="AG793" s="3"/>
      <c r="AH793" s="3"/>
      <c r="AI793" s="14"/>
      <c r="AJ793" s="14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</row>
    <row r="794" spans="1:47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297"/>
      <c r="AD794" s="3"/>
      <c r="AE794" s="3"/>
      <c r="AF794" s="3"/>
      <c r="AG794" s="3"/>
      <c r="AH794" s="3"/>
      <c r="AI794" s="14"/>
      <c r="AJ794" s="14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</row>
    <row r="795" spans="1:47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297"/>
      <c r="AD795" s="3"/>
      <c r="AE795" s="3"/>
      <c r="AF795" s="3"/>
      <c r="AG795" s="3"/>
      <c r="AH795" s="3"/>
      <c r="AI795" s="14"/>
      <c r="AJ795" s="14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</row>
    <row r="796" spans="1:47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297"/>
      <c r="AD796" s="3"/>
      <c r="AE796" s="3"/>
      <c r="AF796" s="3"/>
      <c r="AG796" s="3"/>
      <c r="AH796" s="3"/>
      <c r="AI796" s="14"/>
      <c r="AJ796" s="14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</row>
    <row r="797" spans="1:47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297"/>
      <c r="AD797" s="3"/>
      <c r="AE797" s="3"/>
      <c r="AF797" s="3"/>
      <c r="AG797" s="3"/>
      <c r="AH797" s="3"/>
      <c r="AI797" s="14"/>
      <c r="AJ797" s="14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</row>
    <row r="798" spans="1:47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297"/>
      <c r="AD798" s="3"/>
      <c r="AE798" s="3"/>
      <c r="AF798" s="3"/>
      <c r="AG798" s="3"/>
      <c r="AH798" s="3"/>
      <c r="AI798" s="14"/>
      <c r="AJ798" s="14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</row>
    <row r="799" spans="1:47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297"/>
      <c r="AD799" s="3"/>
      <c r="AE799" s="3"/>
      <c r="AF799" s="3"/>
      <c r="AG799" s="3"/>
      <c r="AH799" s="3"/>
      <c r="AI799" s="14"/>
      <c r="AJ799" s="14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</row>
    <row r="800" spans="1:47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297"/>
      <c r="AD800" s="3"/>
      <c r="AE800" s="3"/>
      <c r="AF800" s="3"/>
      <c r="AG800" s="3"/>
      <c r="AH800" s="3"/>
      <c r="AI800" s="14"/>
      <c r="AJ800" s="14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</row>
    <row r="801" spans="1:47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297"/>
      <c r="AD801" s="3"/>
      <c r="AE801" s="3"/>
      <c r="AF801" s="3"/>
      <c r="AG801" s="3"/>
      <c r="AH801" s="3"/>
      <c r="AI801" s="14"/>
      <c r="AJ801" s="14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</row>
    <row r="802" spans="1:47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297"/>
      <c r="AD802" s="3"/>
      <c r="AE802" s="3"/>
      <c r="AF802" s="3"/>
      <c r="AG802" s="3"/>
      <c r="AH802" s="3"/>
      <c r="AI802" s="14"/>
      <c r="AJ802" s="14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</row>
    <row r="803" spans="1:47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297"/>
      <c r="AD803" s="3"/>
      <c r="AE803" s="3"/>
      <c r="AF803" s="3"/>
      <c r="AG803" s="3"/>
      <c r="AH803" s="3"/>
      <c r="AI803" s="14"/>
      <c r="AJ803" s="14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</row>
    <row r="804" spans="1:47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297"/>
      <c r="AD804" s="3"/>
      <c r="AE804" s="3"/>
      <c r="AF804" s="3"/>
      <c r="AG804" s="3"/>
      <c r="AH804" s="3"/>
      <c r="AI804" s="14"/>
      <c r="AJ804" s="14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</row>
    <row r="805" spans="1:47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297"/>
      <c r="AD805" s="3"/>
      <c r="AE805" s="3"/>
      <c r="AF805" s="3"/>
      <c r="AG805" s="3"/>
      <c r="AH805" s="3"/>
      <c r="AI805" s="14"/>
      <c r="AJ805" s="14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</row>
    <row r="806" spans="1:47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297"/>
      <c r="AD806" s="3"/>
      <c r="AE806" s="3"/>
      <c r="AF806" s="3"/>
      <c r="AG806" s="3"/>
      <c r="AH806" s="3"/>
      <c r="AI806" s="14"/>
      <c r="AJ806" s="14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</row>
    <row r="807" spans="1:47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297"/>
      <c r="AD807" s="3"/>
      <c r="AE807" s="3"/>
      <c r="AF807" s="3"/>
      <c r="AG807" s="3"/>
      <c r="AH807" s="3"/>
      <c r="AI807" s="14"/>
      <c r="AJ807" s="14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</row>
    <row r="808" spans="1:47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297"/>
      <c r="AD808" s="3"/>
      <c r="AE808" s="3"/>
      <c r="AF808" s="3"/>
      <c r="AG808" s="3"/>
      <c r="AH808" s="3"/>
      <c r="AI808" s="14"/>
      <c r="AJ808" s="14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</row>
    <row r="809" spans="1:47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297"/>
      <c r="AD809" s="3"/>
      <c r="AE809" s="3"/>
      <c r="AF809" s="3"/>
      <c r="AG809" s="3"/>
      <c r="AH809" s="3"/>
      <c r="AI809" s="14"/>
      <c r="AJ809" s="14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</row>
    <row r="810" spans="1:47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297"/>
      <c r="AD810" s="3"/>
      <c r="AE810" s="3"/>
      <c r="AF810" s="3"/>
      <c r="AG810" s="3"/>
      <c r="AH810" s="3"/>
      <c r="AI810" s="14"/>
      <c r="AJ810" s="14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</row>
    <row r="811" spans="1:47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297"/>
      <c r="AD811" s="3"/>
      <c r="AE811" s="3"/>
      <c r="AF811" s="3"/>
      <c r="AG811" s="3"/>
      <c r="AH811" s="3"/>
      <c r="AI811" s="14"/>
      <c r="AJ811" s="14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</row>
    <row r="812" spans="1:47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297"/>
      <c r="AD812" s="3"/>
      <c r="AE812" s="3"/>
      <c r="AF812" s="3"/>
      <c r="AG812" s="3"/>
      <c r="AH812" s="3"/>
      <c r="AI812" s="14"/>
      <c r="AJ812" s="14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</row>
    <row r="813" spans="1:47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297"/>
      <c r="AD813" s="3"/>
      <c r="AE813" s="3"/>
      <c r="AF813" s="3"/>
      <c r="AG813" s="3"/>
      <c r="AH813" s="3"/>
      <c r="AI813" s="14"/>
      <c r="AJ813" s="14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</row>
    <row r="814" spans="1:47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297"/>
      <c r="AD814" s="3"/>
      <c r="AE814" s="3"/>
      <c r="AF814" s="3"/>
      <c r="AG814" s="3"/>
      <c r="AH814" s="3"/>
      <c r="AI814" s="14"/>
      <c r="AJ814" s="14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</row>
    <row r="815" spans="1:47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297"/>
      <c r="AD815" s="3"/>
      <c r="AE815" s="3"/>
      <c r="AF815" s="3"/>
      <c r="AG815" s="3"/>
      <c r="AH815" s="3"/>
      <c r="AI815" s="14"/>
      <c r="AJ815" s="14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</row>
    <row r="816" spans="1:47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297"/>
      <c r="AD816" s="3"/>
      <c r="AE816" s="3"/>
      <c r="AF816" s="3"/>
      <c r="AG816" s="3"/>
      <c r="AH816" s="3"/>
      <c r="AI816" s="14"/>
      <c r="AJ816" s="14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</row>
    <row r="817" spans="1:47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297"/>
      <c r="AD817" s="3"/>
      <c r="AE817" s="3"/>
      <c r="AF817" s="3"/>
      <c r="AG817" s="3"/>
      <c r="AH817" s="3"/>
      <c r="AI817" s="14"/>
      <c r="AJ817" s="14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</row>
    <row r="818" spans="1:47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297"/>
      <c r="AD818" s="3"/>
      <c r="AE818" s="3"/>
      <c r="AF818" s="3"/>
      <c r="AG818" s="3"/>
      <c r="AH818" s="3"/>
      <c r="AI818" s="14"/>
      <c r="AJ818" s="14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</row>
    <row r="819" spans="1:47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297"/>
      <c r="AD819" s="3"/>
      <c r="AE819" s="3"/>
      <c r="AF819" s="3"/>
      <c r="AG819" s="3"/>
      <c r="AH819" s="3"/>
      <c r="AI819" s="14"/>
      <c r="AJ819" s="14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</row>
    <row r="820" spans="1:47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297"/>
      <c r="AD820" s="3"/>
      <c r="AE820" s="3"/>
      <c r="AF820" s="3"/>
      <c r="AG820" s="3"/>
      <c r="AH820" s="3"/>
      <c r="AI820" s="14"/>
      <c r="AJ820" s="14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</row>
    <row r="821" spans="1:47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297"/>
      <c r="AD821" s="3"/>
      <c r="AE821" s="3"/>
      <c r="AF821" s="3"/>
      <c r="AG821" s="3"/>
      <c r="AH821" s="3"/>
      <c r="AI821" s="14"/>
      <c r="AJ821" s="14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</row>
    <row r="822" spans="1:47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297"/>
      <c r="AD822" s="3"/>
      <c r="AE822" s="3"/>
      <c r="AF822" s="3"/>
      <c r="AG822" s="3"/>
      <c r="AH822" s="3"/>
      <c r="AI822" s="14"/>
      <c r="AJ822" s="14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</row>
    <row r="823" spans="1:47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297"/>
      <c r="AD823" s="3"/>
      <c r="AE823" s="3"/>
      <c r="AF823" s="3"/>
      <c r="AG823" s="3"/>
      <c r="AH823" s="3"/>
      <c r="AI823" s="14"/>
      <c r="AJ823" s="14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</row>
    <row r="824" spans="1:47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297"/>
      <c r="AD824" s="3"/>
      <c r="AE824" s="3"/>
      <c r="AF824" s="3"/>
      <c r="AG824" s="3"/>
      <c r="AH824" s="3"/>
      <c r="AI824" s="14"/>
      <c r="AJ824" s="14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</row>
    <row r="825" spans="1:47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297"/>
      <c r="AD825" s="3"/>
      <c r="AE825" s="3"/>
      <c r="AF825" s="3"/>
      <c r="AG825" s="3"/>
      <c r="AH825" s="3"/>
      <c r="AI825" s="14"/>
      <c r="AJ825" s="14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</row>
    <row r="826" spans="1:47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297"/>
      <c r="AD826" s="3"/>
      <c r="AE826" s="3"/>
      <c r="AF826" s="3"/>
      <c r="AG826" s="3"/>
      <c r="AH826" s="3"/>
      <c r="AI826" s="14"/>
      <c r="AJ826" s="14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</row>
    <row r="827" spans="1:47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297"/>
      <c r="AD827" s="3"/>
      <c r="AE827" s="3"/>
      <c r="AF827" s="3"/>
      <c r="AG827" s="3"/>
      <c r="AH827" s="3"/>
      <c r="AI827" s="14"/>
      <c r="AJ827" s="14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</row>
    <row r="828" spans="1:47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297"/>
      <c r="AD828" s="3"/>
      <c r="AE828" s="3"/>
      <c r="AF828" s="3"/>
      <c r="AG828" s="3"/>
      <c r="AH828" s="3"/>
      <c r="AI828" s="14"/>
      <c r="AJ828" s="14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</row>
    <row r="829" spans="1:47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297"/>
      <c r="AD829" s="3"/>
      <c r="AE829" s="3"/>
      <c r="AF829" s="3"/>
      <c r="AG829" s="3"/>
      <c r="AH829" s="3"/>
      <c r="AI829" s="14"/>
      <c r="AJ829" s="14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</row>
    <row r="830" spans="1:47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297"/>
      <c r="AD830" s="3"/>
      <c r="AE830" s="3"/>
      <c r="AF830" s="3"/>
      <c r="AG830" s="3"/>
      <c r="AH830" s="3"/>
      <c r="AI830" s="14"/>
      <c r="AJ830" s="14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</row>
    <row r="831" spans="1:47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297"/>
      <c r="AD831" s="3"/>
      <c r="AE831" s="3"/>
      <c r="AF831" s="3"/>
      <c r="AG831" s="3"/>
      <c r="AH831" s="3"/>
      <c r="AI831" s="14"/>
      <c r="AJ831" s="14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</row>
    <row r="832" spans="1:47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297"/>
      <c r="AD832" s="3"/>
      <c r="AE832" s="3"/>
      <c r="AF832" s="3"/>
      <c r="AG832" s="3"/>
      <c r="AH832" s="3"/>
      <c r="AI832" s="14"/>
      <c r="AJ832" s="14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</row>
    <row r="833" spans="1:47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297"/>
      <c r="AD833" s="3"/>
      <c r="AE833" s="3"/>
      <c r="AF833" s="3"/>
      <c r="AG833" s="3"/>
      <c r="AH833" s="3"/>
      <c r="AI833" s="14"/>
      <c r="AJ833" s="14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</row>
    <row r="834" spans="1:47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297"/>
      <c r="AD834" s="3"/>
      <c r="AE834" s="3"/>
      <c r="AF834" s="3"/>
      <c r="AG834" s="3"/>
      <c r="AH834" s="3"/>
      <c r="AI834" s="14"/>
      <c r="AJ834" s="14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</row>
    <row r="835" spans="1:47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297"/>
      <c r="AD835" s="3"/>
      <c r="AE835" s="3"/>
      <c r="AF835" s="3"/>
      <c r="AG835" s="3"/>
      <c r="AH835" s="3"/>
      <c r="AI835" s="14"/>
      <c r="AJ835" s="14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</row>
    <row r="836" spans="1:47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297"/>
      <c r="AD836" s="3"/>
      <c r="AE836" s="3"/>
      <c r="AF836" s="3"/>
      <c r="AG836" s="3"/>
      <c r="AH836" s="3"/>
      <c r="AI836" s="14"/>
      <c r="AJ836" s="14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</row>
    <row r="837" spans="1:47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297"/>
      <c r="AD837" s="3"/>
      <c r="AE837" s="3"/>
      <c r="AF837" s="3"/>
      <c r="AG837" s="3"/>
      <c r="AH837" s="3"/>
      <c r="AI837" s="14"/>
      <c r="AJ837" s="14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</row>
    <row r="838" spans="1:47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297"/>
      <c r="AD838" s="3"/>
      <c r="AE838" s="3"/>
      <c r="AF838" s="3"/>
      <c r="AG838" s="3"/>
      <c r="AH838" s="3"/>
      <c r="AI838" s="14"/>
      <c r="AJ838" s="14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</row>
    <row r="839" spans="1:47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297"/>
      <c r="AD839" s="3"/>
      <c r="AE839" s="3"/>
      <c r="AF839" s="3"/>
      <c r="AG839" s="3"/>
      <c r="AH839" s="3"/>
      <c r="AI839" s="14"/>
      <c r="AJ839" s="14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</row>
    <row r="840" spans="1:47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297"/>
      <c r="AD840" s="3"/>
      <c r="AE840" s="3"/>
      <c r="AF840" s="3"/>
      <c r="AG840" s="3"/>
      <c r="AH840" s="3"/>
      <c r="AI840" s="14"/>
      <c r="AJ840" s="14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</row>
    <row r="841" spans="1:47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297"/>
      <c r="AD841" s="3"/>
      <c r="AE841" s="3"/>
      <c r="AF841" s="3"/>
      <c r="AG841" s="3"/>
      <c r="AH841" s="3"/>
      <c r="AI841" s="14"/>
      <c r="AJ841" s="14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</row>
    <row r="842" spans="1:47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297"/>
      <c r="AD842" s="3"/>
      <c r="AE842" s="3"/>
      <c r="AF842" s="3"/>
      <c r="AG842" s="3"/>
      <c r="AH842" s="3"/>
      <c r="AI842" s="14"/>
      <c r="AJ842" s="14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</row>
    <row r="843" spans="1:47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297"/>
      <c r="AD843" s="3"/>
      <c r="AE843" s="3"/>
      <c r="AF843" s="3"/>
      <c r="AG843" s="3"/>
      <c r="AH843" s="3"/>
      <c r="AI843" s="14"/>
      <c r="AJ843" s="14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</row>
    <row r="844" spans="1:47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297"/>
      <c r="AD844" s="3"/>
      <c r="AE844" s="3"/>
      <c r="AF844" s="3"/>
      <c r="AG844" s="3"/>
      <c r="AH844" s="3"/>
      <c r="AI844" s="14"/>
      <c r="AJ844" s="14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</row>
    <row r="845" spans="1:47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297"/>
      <c r="AD845" s="3"/>
      <c r="AE845" s="3"/>
      <c r="AF845" s="3"/>
      <c r="AG845" s="3"/>
      <c r="AH845" s="3"/>
      <c r="AI845" s="14"/>
      <c r="AJ845" s="14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</row>
    <row r="846" spans="1:47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297"/>
      <c r="AD846" s="3"/>
      <c r="AE846" s="3"/>
      <c r="AF846" s="3"/>
      <c r="AG846" s="3"/>
      <c r="AH846" s="3"/>
      <c r="AI846" s="14"/>
      <c r="AJ846" s="14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</row>
    <row r="847" spans="1:47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297"/>
      <c r="AD847" s="3"/>
      <c r="AE847" s="3"/>
      <c r="AF847" s="3"/>
      <c r="AG847" s="3"/>
      <c r="AH847" s="3"/>
      <c r="AI847" s="14"/>
      <c r="AJ847" s="14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</row>
    <row r="848" spans="1:47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297"/>
      <c r="AD848" s="3"/>
      <c r="AE848" s="3"/>
      <c r="AF848" s="3"/>
      <c r="AG848" s="3"/>
      <c r="AH848" s="3"/>
      <c r="AI848" s="14"/>
      <c r="AJ848" s="14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</row>
    <row r="849" spans="1:47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297"/>
      <c r="AD849" s="3"/>
      <c r="AE849" s="3"/>
      <c r="AF849" s="3"/>
      <c r="AG849" s="3"/>
      <c r="AH849" s="3"/>
      <c r="AI849" s="14"/>
      <c r="AJ849" s="14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</row>
    <row r="850" spans="1:47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297"/>
      <c r="AD850" s="3"/>
      <c r="AE850" s="3"/>
      <c r="AF850" s="3"/>
      <c r="AG850" s="3"/>
      <c r="AH850" s="3"/>
      <c r="AI850" s="14"/>
      <c r="AJ850" s="14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</row>
    <row r="851" spans="1:47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297"/>
      <c r="AD851" s="3"/>
      <c r="AE851" s="3"/>
      <c r="AF851" s="3"/>
      <c r="AG851" s="3"/>
      <c r="AH851" s="3"/>
      <c r="AI851" s="14"/>
      <c r="AJ851" s="14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</row>
    <row r="852" spans="1:47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297"/>
      <c r="AD852" s="3"/>
      <c r="AE852" s="3"/>
      <c r="AF852" s="3"/>
      <c r="AG852" s="3"/>
      <c r="AH852" s="3"/>
      <c r="AI852" s="14"/>
      <c r="AJ852" s="14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</row>
    <row r="853" spans="1:47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297"/>
      <c r="AD853" s="3"/>
      <c r="AE853" s="3"/>
      <c r="AF853" s="3"/>
      <c r="AG853" s="3"/>
      <c r="AH853" s="3"/>
      <c r="AI853" s="14"/>
      <c r="AJ853" s="14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</row>
    <row r="854" spans="1:47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297"/>
      <c r="AD854" s="3"/>
      <c r="AE854" s="3"/>
      <c r="AF854" s="3"/>
      <c r="AG854" s="3"/>
      <c r="AH854" s="3"/>
      <c r="AI854" s="14"/>
      <c r="AJ854" s="14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</row>
    <row r="855" spans="1:47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297"/>
      <c r="AD855" s="3"/>
      <c r="AE855" s="3"/>
      <c r="AF855" s="3"/>
      <c r="AG855" s="3"/>
      <c r="AH855" s="3"/>
      <c r="AI855" s="14"/>
      <c r="AJ855" s="14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</row>
    <row r="856" spans="1:47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297"/>
      <c r="AD856" s="3"/>
      <c r="AE856" s="3"/>
      <c r="AF856" s="3"/>
      <c r="AG856" s="3"/>
      <c r="AH856" s="3"/>
      <c r="AI856" s="14"/>
      <c r="AJ856" s="14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</row>
    <row r="857" spans="1:47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297"/>
      <c r="AD857" s="3"/>
      <c r="AE857" s="3"/>
      <c r="AF857" s="3"/>
      <c r="AG857" s="3"/>
      <c r="AH857" s="3"/>
      <c r="AI857" s="14"/>
      <c r="AJ857" s="14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</row>
    <row r="858" spans="1:47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297"/>
      <c r="AD858" s="3"/>
      <c r="AE858" s="3"/>
      <c r="AF858" s="3"/>
      <c r="AG858" s="3"/>
      <c r="AH858" s="3"/>
      <c r="AI858" s="14"/>
      <c r="AJ858" s="14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</row>
    <row r="859" spans="1:47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297"/>
      <c r="AD859" s="3"/>
      <c r="AE859" s="3"/>
      <c r="AF859" s="3"/>
      <c r="AG859" s="3"/>
      <c r="AH859" s="3"/>
      <c r="AI859" s="14"/>
      <c r="AJ859" s="14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</row>
    <row r="860" spans="1:47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297"/>
      <c r="AD860" s="3"/>
      <c r="AE860" s="3"/>
      <c r="AF860" s="3"/>
      <c r="AG860" s="3"/>
      <c r="AH860" s="3"/>
      <c r="AI860" s="14"/>
      <c r="AJ860" s="14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</row>
    <row r="861" spans="1:47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297"/>
      <c r="AD861" s="3"/>
      <c r="AE861" s="3"/>
      <c r="AF861" s="3"/>
      <c r="AG861" s="3"/>
      <c r="AH861" s="3"/>
      <c r="AI861" s="14"/>
      <c r="AJ861" s="14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</row>
    <row r="862" spans="1:47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297"/>
      <c r="AD862" s="3"/>
      <c r="AE862" s="3"/>
      <c r="AF862" s="3"/>
      <c r="AG862" s="3"/>
      <c r="AH862" s="3"/>
      <c r="AI862" s="14"/>
      <c r="AJ862" s="14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</row>
    <row r="863" spans="1:47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297"/>
      <c r="AD863" s="3"/>
      <c r="AE863" s="3"/>
      <c r="AF863" s="3"/>
      <c r="AG863" s="3"/>
      <c r="AH863" s="3"/>
      <c r="AI863" s="14"/>
      <c r="AJ863" s="14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</row>
    <row r="864" spans="1:47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297"/>
      <c r="AD864" s="3"/>
      <c r="AE864" s="3"/>
      <c r="AF864" s="3"/>
      <c r="AG864" s="3"/>
      <c r="AH864" s="3"/>
      <c r="AI864" s="14"/>
      <c r="AJ864" s="14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</row>
    <row r="865" spans="1:47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297"/>
      <c r="AD865" s="3"/>
      <c r="AE865" s="3"/>
      <c r="AF865" s="3"/>
      <c r="AG865" s="3"/>
      <c r="AH865" s="3"/>
      <c r="AI865" s="14"/>
      <c r="AJ865" s="14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</row>
    <row r="866" spans="1:47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297"/>
      <c r="AD866" s="3"/>
      <c r="AE866" s="3"/>
      <c r="AF866" s="3"/>
      <c r="AG866" s="3"/>
      <c r="AH866" s="3"/>
      <c r="AI866" s="14"/>
      <c r="AJ866" s="14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</row>
    <row r="867" spans="1:47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297"/>
      <c r="AD867" s="3"/>
      <c r="AE867" s="3"/>
      <c r="AF867" s="3"/>
      <c r="AG867" s="3"/>
      <c r="AH867" s="3"/>
      <c r="AI867" s="14"/>
      <c r="AJ867" s="14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</row>
    <row r="868" spans="1:47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297"/>
      <c r="AD868" s="3"/>
      <c r="AE868" s="3"/>
      <c r="AF868" s="3"/>
      <c r="AG868" s="3"/>
      <c r="AH868" s="3"/>
      <c r="AI868" s="14"/>
      <c r="AJ868" s="14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</row>
    <row r="869" spans="1:47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297"/>
      <c r="AD869" s="3"/>
      <c r="AE869" s="3"/>
      <c r="AF869" s="3"/>
      <c r="AG869" s="3"/>
      <c r="AH869" s="3"/>
      <c r="AI869" s="14"/>
      <c r="AJ869" s="14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</row>
    <row r="870" spans="1:47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297"/>
      <c r="AD870" s="3"/>
      <c r="AE870" s="3"/>
      <c r="AF870" s="3"/>
      <c r="AG870" s="3"/>
      <c r="AH870" s="3"/>
      <c r="AI870" s="14"/>
      <c r="AJ870" s="14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</row>
    <row r="871" spans="1:47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297"/>
      <c r="AD871" s="3"/>
      <c r="AE871" s="3"/>
      <c r="AF871" s="3"/>
      <c r="AG871" s="3"/>
      <c r="AH871" s="3"/>
      <c r="AI871" s="14"/>
      <c r="AJ871" s="14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</row>
    <row r="872" spans="1:47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297"/>
      <c r="AD872" s="3"/>
      <c r="AE872" s="3"/>
      <c r="AF872" s="3"/>
      <c r="AG872" s="3"/>
      <c r="AH872" s="3"/>
      <c r="AI872" s="14"/>
      <c r="AJ872" s="14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</row>
    <row r="873" spans="1:47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297"/>
      <c r="AD873" s="3"/>
      <c r="AE873" s="3"/>
      <c r="AF873" s="3"/>
      <c r="AG873" s="3"/>
      <c r="AH873" s="3"/>
      <c r="AI873" s="14"/>
      <c r="AJ873" s="14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</row>
    <row r="874" spans="1:47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297"/>
      <c r="AD874" s="3"/>
      <c r="AE874" s="3"/>
      <c r="AF874" s="3"/>
      <c r="AG874" s="3"/>
      <c r="AH874" s="3"/>
      <c r="AI874" s="14"/>
      <c r="AJ874" s="14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</row>
    <row r="875" spans="1:47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297"/>
      <c r="AD875" s="3"/>
      <c r="AE875" s="3"/>
      <c r="AF875" s="3"/>
      <c r="AG875" s="3"/>
      <c r="AH875" s="3"/>
      <c r="AI875" s="14"/>
      <c r="AJ875" s="14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</row>
    <row r="876" spans="1:47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297"/>
      <c r="AD876" s="3"/>
      <c r="AE876" s="3"/>
      <c r="AF876" s="3"/>
      <c r="AG876" s="3"/>
      <c r="AH876" s="3"/>
      <c r="AI876" s="14"/>
      <c r="AJ876" s="14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</row>
    <row r="877" spans="1:47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297"/>
      <c r="AD877" s="3"/>
      <c r="AE877" s="3"/>
      <c r="AF877" s="3"/>
      <c r="AG877" s="3"/>
      <c r="AH877" s="3"/>
      <c r="AI877" s="14"/>
      <c r="AJ877" s="14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</row>
    <row r="878" spans="1:47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297"/>
      <c r="AD878" s="3"/>
      <c r="AE878" s="3"/>
      <c r="AF878" s="3"/>
      <c r="AG878" s="3"/>
      <c r="AH878" s="3"/>
      <c r="AI878" s="14"/>
      <c r="AJ878" s="14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</row>
    <row r="879" spans="1:47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297"/>
      <c r="AD879" s="3"/>
      <c r="AE879" s="3"/>
      <c r="AF879" s="3"/>
      <c r="AG879" s="3"/>
      <c r="AH879" s="3"/>
      <c r="AI879" s="14"/>
      <c r="AJ879" s="14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</row>
    <row r="880" spans="1:47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297"/>
      <c r="AD880" s="3"/>
      <c r="AE880" s="3"/>
      <c r="AF880" s="3"/>
      <c r="AG880" s="3"/>
      <c r="AH880" s="3"/>
      <c r="AI880" s="14"/>
      <c r="AJ880" s="14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</row>
    <row r="881" spans="1:47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297"/>
      <c r="AD881" s="3"/>
      <c r="AE881" s="3"/>
      <c r="AF881" s="3"/>
      <c r="AG881" s="3"/>
      <c r="AH881" s="3"/>
      <c r="AI881" s="14"/>
      <c r="AJ881" s="14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</row>
    <row r="882" spans="1:47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297"/>
      <c r="AD882" s="3"/>
      <c r="AE882" s="3"/>
      <c r="AF882" s="3"/>
      <c r="AG882" s="3"/>
      <c r="AH882" s="3"/>
      <c r="AI882" s="14"/>
      <c r="AJ882" s="14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</row>
    <row r="883" spans="1:47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297"/>
      <c r="AD883" s="3"/>
      <c r="AE883" s="3"/>
      <c r="AF883" s="3"/>
      <c r="AG883" s="3"/>
      <c r="AH883" s="3"/>
      <c r="AI883" s="14"/>
      <c r="AJ883" s="14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</row>
    <row r="884" spans="1:47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297"/>
      <c r="AD884" s="3"/>
      <c r="AE884" s="3"/>
      <c r="AF884" s="3"/>
      <c r="AG884" s="3"/>
      <c r="AH884" s="3"/>
      <c r="AI884" s="14"/>
      <c r="AJ884" s="14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</row>
    <row r="885" spans="1:47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297"/>
      <c r="AD885" s="3"/>
      <c r="AE885" s="3"/>
      <c r="AF885" s="3"/>
      <c r="AG885" s="3"/>
      <c r="AH885" s="3"/>
      <c r="AI885" s="14"/>
      <c r="AJ885" s="14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</row>
    <row r="886" spans="1:47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297"/>
      <c r="AD886" s="3"/>
      <c r="AE886" s="3"/>
      <c r="AF886" s="3"/>
      <c r="AG886" s="3"/>
      <c r="AH886" s="3"/>
      <c r="AI886" s="14"/>
      <c r="AJ886" s="14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</row>
    <row r="887" spans="1:47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297"/>
      <c r="AD887" s="3"/>
      <c r="AE887" s="3"/>
      <c r="AF887" s="3"/>
      <c r="AG887" s="3"/>
      <c r="AH887" s="3"/>
      <c r="AI887" s="14"/>
      <c r="AJ887" s="14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</row>
    <row r="888" spans="1:47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297"/>
      <c r="AD888" s="3"/>
      <c r="AE888" s="3"/>
      <c r="AF888" s="3"/>
      <c r="AG888" s="3"/>
      <c r="AH888" s="3"/>
      <c r="AI888" s="14"/>
      <c r="AJ888" s="14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</row>
    <row r="889" spans="1:47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297"/>
      <c r="AD889" s="3"/>
      <c r="AE889" s="3"/>
      <c r="AF889" s="3"/>
      <c r="AG889" s="3"/>
      <c r="AH889" s="3"/>
      <c r="AI889" s="14"/>
      <c r="AJ889" s="14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</row>
    <row r="890" spans="1:47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297"/>
      <c r="AD890" s="3"/>
      <c r="AE890" s="3"/>
      <c r="AF890" s="3"/>
      <c r="AG890" s="3"/>
      <c r="AH890" s="3"/>
      <c r="AI890" s="14"/>
      <c r="AJ890" s="14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</row>
    <row r="891" spans="1:47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297"/>
      <c r="AD891" s="3"/>
      <c r="AE891" s="3"/>
      <c r="AF891" s="3"/>
      <c r="AG891" s="3"/>
      <c r="AH891" s="3"/>
      <c r="AI891" s="14"/>
      <c r="AJ891" s="14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</row>
    <row r="892" spans="1:47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297"/>
      <c r="AD892" s="3"/>
      <c r="AE892" s="3"/>
      <c r="AF892" s="3"/>
      <c r="AG892" s="3"/>
      <c r="AH892" s="3"/>
      <c r="AI892" s="14"/>
      <c r="AJ892" s="14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</row>
    <row r="893" spans="1:47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297"/>
      <c r="AD893" s="3"/>
      <c r="AE893" s="3"/>
      <c r="AF893" s="3"/>
      <c r="AG893" s="3"/>
      <c r="AH893" s="3"/>
      <c r="AI893" s="14"/>
      <c r="AJ893" s="14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</row>
    <row r="894" spans="1:47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297"/>
      <c r="AD894" s="3"/>
      <c r="AE894" s="3"/>
      <c r="AF894" s="3"/>
      <c r="AG894" s="3"/>
      <c r="AH894" s="3"/>
      <c r="AI894" s="14"/>
      <c r="AJ894" s="14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</row>
    <row r="895" spans="1:47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297"/>
      <c r="AD895" s="3"/>
      <c r="AE895" s="3"/>
      <c r="AF895" s="3"/>
      <c r="AG895" s="3"/>
      <c r="AH895" s="3"/>
      <c r="AI895" s="14"/>
      <c r="AJ895" s="14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</row>
    <row r="896" spans="1:47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297"/>
      <c r="AD896" s="3"/>
      <c r="AE896" s="3"/>
      <c r="AF896" s="3"/>
      <c r="AG896" s="3"/>
      <c r="AH896" s="3"/>
      <c r="AI896" s="14"/>
      <c r="AJ896" s="14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</row>
    <row r="897" spans="1:47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297"/>
      <c r="AD897" s="3"/>
      <c r="AE897" s="3"/>
      <c r="AF897" s="3"/>
      <c r="AG897" s="3"/>
      <c r="AH897" s="3"/>
      <c r="AI897" s="14"/>
      <c r="AJ897" s="14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</row>
    <row r="898" spans="1:47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297"/>
      <c r="AD898" s="3"/>
      <c r="AE898" s="3"/>
      <c r="AF898" s="3"/>
      <c r="AG898" s="3"/>
      <c r="AH898" s="3"/>
      <c r="AI898" s="14"/>
      <c r="AJ898" s="14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</row>
    <row r="899" spans="1:47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297"/>
      <c r="AD899" s="3"/>
      <c r="AE899" s="3"/>
      <c r="AF899" s="3"/>
      <c r="AG899" s="3"/>
      <c r="AH899" s="3"/>
      <c r="AI899" s="14"/>
      <c r="AJ899" s="14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</row>
    <row r="900" spans="1:47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297"/>
      <c r="AD900" s="3"/>
      <c r="AE900" s="3"/>
      <c r="AF900" s="3"/>
      <c r="AG900" s="3"/>
      <c r="AH900" s="3"/>
      <c r="AI900" s="14"/>
      <c r="AJ900" s="14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</row>
    <row r="901" spans="1:47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297"/>
      <c r="AD901" s="3"/>
      <c r="AE901" s="3"/>
      <c r="AF901" s="3"/>
      <c r="AG901" s="3"/>
      <c r="AH901" s="3"/>
      <c r="AI901" s="14"/>
      <c r="AJ901" s="14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</row>
    <row r="902" spans="1:47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297"/>
      <c r="AD902" s="3"/>
      <c r="AE902" s="3"/>
      <c r="AF902" s="3"/>
      <c r="AG902" s="3"/>
      <c r="AH902" s="3"/>
      <c r="AI902" s="14"/>
      <c r="AJ902" s="14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</row>
    <row r="903" spans="1:47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297"/>
      <c r="AD903" s="3"/>
      <c r="AE903" s="3"/>
      <c r="AF903" s="3"/>
      <c r="AG903" s="3"/>
      <c r="AH903" s="3"/>
      <c r="AI903" s="14"/>
      <c r="AJ903" s="14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</row>
    <row r="904" spans="1:47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297"/>
      <c r="AD904" s="3"/>
      <c r="AE904" s="3"/>
      <c r="AF904" s="3"/>
      <c r="AG904" s="3"/>
      <c r="AH904" s="3"/>
      <c r="AI904" s="14"/>
      <c r="AJ904" s="14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</row>
    <row r="905" spans="1:47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297"/>
      <c r="AD905" s="3"/>
      <c r="AE905" s="3"/>
      <c r="AF905" s="3"/>
      <c r="AG905" s="3"/>
      <c r="AH905" s="3"/>
      <c r="AI905" s="14"/>
      <c r="AJ905" s="14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</row>
    <row r="906" spans="1:47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297"/>
      <c r="AD906" s="3"/>
      <c r="AE906" s="3"/>
      <c r="AF906" s="3"/>
      <c r="AG906" s="3"/>
      <c r="AH906" s="3"/>
      <c r="AI906" s="14"/>
      <c r="AJ906" s="14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</row>
    <row r="907" spans="1:47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297"/>
      <c r="AD907" s="3"/>
      <c r="AE907" s="3"/>
      <c r="AF907" s="3"/>
      <c r="AG907" s="3"/>
      <c r="AH907" s="3"/>
      <c r="AI907" s="14"/>
      <c r="AJ907" s="14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</row>
    <row r="908" spans="1:47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297"/>
      <c r="AD908" s="3"/>
      <c r="AE908" s="3"/>
      <c r="AF908" s="3"/>
      <c r="AG908" s="3"/>
      <c r="AH908" s="3"/>
      <c r="AI908" s="14"/>
      <c r="AJ908" s="14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</row>
    <row r="909" spans="1:47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297"/>
      <c r="AD909" s="3"/>
      <c r="AE909" s="3"/>
      <c r="AF909" s="3"/>
      <c r="AG909" s="3"/>
      <c r="AH909" s="3"/>
      <c r="AI909" s="14"/>
      <c r="AJ909" s="14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</row>
    <row r="910" spans="1:47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297"/>
      <c r="AD910" s="3"/>
      <c r="AE910" s="3"/>
      <c r="AF910" s="3"/>
      <c r="AG910" s="3"/>
      <c r="AH910" s="3"/>
      <c r="AI910" s="14"/>
      <c r="AJ910" s="14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</row>
    <row r="911" spans="1:47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297"/>
      <c r="AD911" s="3"/>
      <c r="AE911" s="3"/>
      <c r="AF911" s="3"/>
      <c r="AG911" s="3"/>
      <c r="AH911" s="3"/>
      <c r="AI911" s="14"/>
      <c r="AJ911" s="14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</row>
    <row r="912" spans="1:47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297"/>
      <c r="AD912" s="3"/>
      <c r="AE912" s="3"/>
      <c r="AF912" s="3"/>
      <c r="AG912" s="3"/>
      <c r="AH912" s="3"/>
      <c r="AI912" s="14"/>
      <c r="AJ912" s="14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</row>
    <row r="913" spans="1:47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297"/>
      <c r="AD913" s="3"/>
      <c r="AE913" s="3"/>
      <c r="AF913" s="3"/>
      <c r="AG913" s="3"/>
      <c r="AH913" s="3"/>
      <c r="AI913" s="14"/>
      <c r="AJ913" s="14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</row>
    <row r="914" spans="1:47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297"/>
      <c r="AD914" s="3"/>
      <c r="AE914" s="3"/>
      <c r="AF914" s="3"/>
      <c r="AG914" s="3"/>
      <c r="AH914" s="3"/>
      <c r="AI914" s="14"/>
      <c r="AJ914" s="14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</row>
    <row r="915" spans="1:47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297"/>
      <c r="AD915" s="3"/>
      <c r="AE915" s="3"/>
      <c r="AF915" s="3"/>
      <c r="AG915" s="3"/>
      <c r="AH915" s="3"/>
      <c r="AI915" s="14"/>
      <c r="AJ915" s="14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</row>
    <row r="916" spans="1:47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297"/>
      <c r="AD916" s="3"/>
      <c r="AE916" s="3"/>
      <c r="AF916" s="3"/>
      <c r="AG916" s="3"/>
      <c r="AH916" s="3"/>
      <c r="AI916" s="14"/>
      <c r="AJ916" s="14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</row>
    <row r="917" spans="1:47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297"/>
      <c r="AD917" s="3"/>
      <c r="AE917" s="3"/>
      <c r="AF917" s="3"/>
      <c r="AG917" s="3"/>
      <c r="AH917" s="3"/>
      <c r="AI917" s="14"/>
      <c r="AJ917" s="14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</row>
    <row r="918" spans="1:47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297"/>
      <c r="AD918" s="3"/>
      <c r="AE918" s="3"/>
      <c r="AF918" s="3"/>
      <c r="AG918" s="3"/>
      <c r="AH918" s="3"/>
      <c r="AI918" s="14"/>
      <c r="AJ918" s="14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</row>
    <row r="919" spans="1:47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297"/>
      <c r="AD919" s="3"/>
      <c r="AE919" s="3"/>
      <c r="AF919" s="3"/>
      <c r="AG919" s="3"/>
      <c r="AH919" s="3"/>
      <c r="AI919" s="14"/>
      <c r="AJ919" s="14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</row>
    <row r="920" spans="1:47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297"/>
      <c r="AD920" s="3"/>
      <c r="AE920" s="3"/>
      <c r="AF920" s="3"/>
      <c r="AG920" s="3"/>
      <c r="AH920" s="3"/>
      <c r="AI920" s="14"/>
      <c r="AJ920" s="14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</row>
    <row r="921" spans="1:47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297"/>
      <c r="AD921" s="3"/>
      <c r="AE921" s="3"/>
      <c r="AF921" s="3"/>
      <c r="AG921" s="3"/>
      <c r="AH921" s="3"/>
      <c r="AI921" s="14"/>
      <c r="AJ921" s="14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</row>
    <row r="922" spans="1:47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297"/>
      <c r="AD922" s="3"/>
      <c r="AE922" s="3"/>
      <c r="AF922" s="3"/>
      <c r="AG922" s="3"/>
      <c r="AH922" s="3"/>
      <c r="AI922" s="14"/>
      <c r="AJ922" s="14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</row>
    <row r="923" spans="1:47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297"/>
      <c r="AD923" s="3"/>
      <c r="AE923" s="3"/>
      <c r="AF923" s="3"/>
      <c r="AG923" s="3"/>
      <c r="AH923" s="3"/>
      <c r="AI923" s="14"/>
      <c r="AJ923" s="14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</row>
    <row r="924" spans="1:47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297"/>
      <c r="AD924" s="3"/>
      <c r="AE924" s="3"/>
      <c r="AF924" s="3"/>
      <c r="AG924" s="3"/>
      <c r="AH924" s="3"/>
      <c r="AI924" s="14"/>
      <c r="AJ924" s="14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</row>
    <row r="925" spans="1:47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297"/>
      <c r="AD925" s="3"/>
      <c r="AE925" s="3"/>
      <c r="AF925" s="3"/>
      <c r="AG925" s="3"/>
      <c r="AH925" s="3"/>
      <c r="AI925" s="14"/>
      <c r="AJ925" s="14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</row>
    <row r="926" spans="1:47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297"/>
      <c r="AD926" s="3"/>
      <c r="AE926" s="3"/>
      <c r="AF926" s="3"/>
      <c r="AG926" s="3"/>
      <c r="AH926" s="3"/>
      <c r="AI926" s="14"/>
      <c r="AJ926" s="14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</row>
    <row r="927" spans="1:47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297"/>
      <c r="AD927" s="3"/>
      <c r="AE927" s="3"/>
      <c r="AF927" s="3"/>
      <c r="AG927" s="3"/>
      <c r="AH927" s="3"/>
      <c r="AI927" s="14"/>
      <c r="AJ927" s="14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</row>
    <row r="928" spans="1:47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297"/>
      <c r="AD928" s="3"/>
      <c r="AE928" s="3"/>
      <c r="AF928" s="3"/>
      <c r="AG928" s="3"/>
      <c r="AH928" s="3"/>
      <c r="AI928" s="14"/>
      <c r="AJ928" s="14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</row>
    <row r="929" spans="1:47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297"/>
      <c r="AD929" s="3"/>
      <c r="AE929" s="3"/>
      <c r="AF929" s="3"/>
      <c r="AG929" s="3"/>
      <c r="AH929" s="3"/>
      <c r="AI929" s="14"/>
      <c r="AJ929" s="14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</row>
    <row r="930" spans="1:47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297"/>
      <c r="AD930" s="3"/>
      <c r="AE930" s="3"/>
      <c r="AF930" s="3"/>
      <c r="AG930" s="3"/>
      <c r="AH930" s="3"/>
      <c r="AI930" s="14"/>
      <c r="AJ930" s="14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</row>
    <row r="931" spans="1:47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297"/>
      <c r="AD931" s="3"/>
      <c r="AE931" s="3"/>
      <c r="AF931" s="3"/>
      <c r="AG931" s="3"/>
      <c r="AH931" s="3"/>
      <c r="AI931" s="14"/>
      <c r="AJ931" s="14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</row>
    <row r="932" spans="1:47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297"/>
      <c r="AD932" s="3"/>
      <c r="AE932" s="3"/>
      <c r="AF932" s="3"/>
      <c r="AG932" s="3"/>
      <c r="AH932" s="3"/>
      <c r="AI932" s="14"/>
      <c r="AJ932" s="14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</row>
    <row r="933" spans="1:47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297"/>
      <c r="AD933" s="3"/>
      <c r="AE933" s="3"/>
      <c r="AF933" s="3"/>
      <c r="AG933" s="3"/>
      <c r="AH933" s="3"/>
      <c r="AI933" s="14"/>
      <c r="AJ933" s="14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</row>
    <row r="934" spans="1:47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297"/>
      <c r="AD934" s="3"/>
      <c r="AE934" s="3"/>
      <c r="AF934" s="3"/>
      <c r="AG934" s="3"/>
      <c r="AH934" s="3"/>
      <c r="AI934" s="14"/>
      <c r="AJ934" s="14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</row>
    <row r="935" spans="1:47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297"/>
      <c r="AD935" s="3"/>
      <c r="AE935" s="3"/>
      <c r="AF935" s="3"/>
      <c r="AG935" s="3"/>
      <c r="AH935" s="3"/>
      <c r="AI935" s="14"/>
      <c r="AJ935" s="14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</row>
    <row r="936" spans="1:47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297"/>
      <c r="AD936" s="3"/>
      <c r="AE936" s="3"/>
      <c r="AF936" s="3"/>
      <c r="AG936" s="3"/>
      <c r="AH936" s="3"/>
      <c r="AI936" s="14"/>
      <c r="AJ936" s="14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</row>
    <row r="937" spans="1:47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297"/>
      <c r="AD937" s="3"/>
      <c r="AE937" s="3"/>
      <c r="AF937" s="3"/>
      <c r="AG937" s="3"/>
      <c r="AH937" s="3"/>
      <c r="AI937" s="14"/>
      <c r="AJ937" s="14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</row>
    <row r="938" spans="1:47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297"/>
      <c r="AD938" s="3"/>
      <c r="AE938" s="3"/>
      <c r="AF938" s="3"/>
      <c r="AG938" s="3"/>
      <c r="AH938" s="3"/>
      <c r="AI938" s="14"/>
      <c r="AJ938" s="14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</row>
    <row r="939" spans="1:47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297"/>
      <c r="AD939" s="3"/>
      <c r="AE939" s="3"/>
      <c r="AF939" s="3"/>
      <c r="AG939" s="3"/>
      <c r="AH939" s="3"/>
      <c r="AI939" s="14"/>
      <c r="AJ939" s="14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</row>
    <row r="940" spans="1:47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297"/>
      <c r="AD940" s="3"/>
      <c r="AE940" s="3"/>
      <c r="AF940" s="3"/>
      <c r="AG940" s="3"/>
      <c r="AH940" s="3"/>
      <c r="AI940" s="14"/>
      <c r="AJ940" s="14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</row>
    <row r="941" spans="1:47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297"/>
      <c r="AD941" s="3"/>
      <c r="AE941" s="3"/>
      <c r="AF941" s="3"/>
      <c r="AG941" s="3"/>
      <c r="AH941" s="3"/>
      <c r="AI941" s="14"/>
      <c r="AJ941" s="14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</row>
    <row r="942" spans="1:47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297"/>
      <c r="AD942" s="3"/>
      <c r="AE942" s="3"/>
      <c r="AF942" s="3"/>
      <c r="AG942" s="3"/>
      <c r="AH942" s="3"/>
      <c r="AI942" s="14"/>
      <c r="AJ942" s="14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</row>
    <row r="943" spans="1:47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297"/>
      <c r="AD943" s="3"/>
      <c r="AE943" s="3"/>
      <c r="AF943" s="3"/>
      <c r="AG943" s="3"/>
      <c r="AH943" s="3"/>
      <c r="AI943" s="14"/>
      <c r="AJ943" s="14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</row>
    <row r="944" spans="1:47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297"/>
      <c r="AD944" s="3"/>
      <c r="AE944" s="3"/>
      <c r="AF944" s="3"/>
      <c r="AG944" s="3"/>
      <c r="AH944" s="3"/>
      <c r="AI944" s="14"/>
      <c r="AJ944" s="14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</row>
    <row r="945" spans="1:47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297"/>
      <c r="AD945" s="3"/>
      <c r="AE945" s="3"/>
      <c r="AF945" s="3"/>
      <c r="AG945" s="3"/>
      <c r="AH945" s="3"/>
      <c r="AI945" s="14"/>
      <c r="AJ945" s="14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</row>
    <row r="946" spans="1:47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297"/>
      <c r="AD946" s="3"/>
      <c r="AE946" s="3"/>
      <c r="AF946" s="3"/>
      <c r="AG946" s="3"/>
      <c r="AH946" s="3"/>
      <c r="AI946" s="14"/>
      <c r="AJ946" s="14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</row>
    <row r="947" spans="1:47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297"/>
      <c r="AD947" s="3"/>
      <c r="AE947" s="3"/>
      <c r="AF947" s="3"/>
      <c r="AG947" s="3"/>
      <c r="AH947" s="3"/>
      <c r="AI947" s="14"/>
      <c r="AJ947" s="14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</row>
    <row r="948" spans="1:47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297"/>
      <c r="AD948" s="3"/>
      <c r="AE948" s="3"/>
      <c r="AF948" s="3"/>
      <c r="AG948" s="3"/>
      <c r="AH948" s="3"/>
      <c r="AI948" s="14"/>
      <c r="AJ948" s="14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</row>
    <row r="949" spans="1:47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297"/>
      <c r="AD949" s="3"/>
      <c r="AE949" s="3"/>
      <c r="AF949" s="3"/>
      <c r="AG949" s="3"/>
      <c r="AH949" s="3"/>
      <c r="AI949" s="14"/>
      <c r="AJ949" s="14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</row>
    <row r="950" spans="1:47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297"/>
      <c r="AD950" s="3"/>
      <c r="AE950" s="3"/>
      <c r="AF950" s="3"/>
      <c r="AG950" s="3"/>
      <c r="AH950" s="3"/>
      <c r="AI950" s="14"/>
      <c r="AJ950" s="14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</row>
    <row r="951" spans="1:47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297"/>
      <c r="AD951" s="3"/>
      <c r="AE951" s="3"/>
      <c r="AF951" s="3"/>
      <c r="AG951" s="3"/>
      <c r="AH951" s="3"/>
      <c r="AI951" s="14"/>
      <c r="AJ951" s="14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</row>
    <row r="952" spans="1:47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297"/>
      <c r="AD952" s="3"/>
      <c r="AE952" s="3"/>
      <c r="AF952" s="3"/>
      <c r="AG952" s="3"/>
      <c r="AH952" s="3"/>
      <c r="AI952" s="14"/>
      <c r="AJ952" s="14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</row>
    <row r="953" spans="1:47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297"/>
      <c r="AD953" s="3"/>
      <c r="AE953" s="3"/>
      <c r="AF953" s="3"/>
      <c r="AG953" s="3"/>
      <c r="AH953" s="3"/>
      <c r="AI953" s="14"/>
      <c r="AJ953" s="14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</row>
    <row r="954" spans="1:47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297"/>
      <c r="AD954" s="3"/>
      <c r="AE954" s="3"/>
      <c r="AF954" s="3"/>
      <c r="AG954" s="3"/>
      <c r="AH954" s="3"/>
      <c r="AI954" s="14"/>
      <c r="AJ954" s="14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</row>
    <row r="955" spans="1:47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297"/>
      <c r="AD955" s="3"/>
      <c r="AE955" s="3"/>
      <c r="AF955" s="3"/>
      <c r="AG955" s="3"/>
      <c r="AH955" s="3"/>
      <c r="AI955" s="14"/>
      <c r="AJ955" s="14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</row>
    <row r="956" spans="1:47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297"/>
      <c r="AD956" s="3"/>
      <c r="AE956" s="3"/>
      <c r="AF956" s="3"/>
      <c r="AG956" s="3"/>
      <c r="AH956" s="3"/>
      <c r="AI956" s="14"/>
      <c r="AJ956" s="14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</row>
    <row r="957" spans="1:47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297"/>
      <c r="AD957" s="3"/>
      <c r="AE957" s="3"/>
      <c r="AF957" s="3"/>
      <c r="AG957" s="3"/>
      <c r="AH957" s="3"/>
      <c r="AI957" s="14"/>
      <c r="AJ957" s="14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</row>
    <row r="958" spans="1:47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297"/>
      <c r="AD958" s="3"/>
      <c r="AE958" s="3"/>
      <c r="AF958" s="3"/>
      <c r="AG958" s="3"/>
      <c r="AH958" s="3"/>
      <c r="AI958" s="14"/>
      <c r="AJ958" s="14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</row>
    <row r="959" spans="1:47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297"/>
      <c r="AD959" s="3"/>
      <c r="AE959" s="3"/>
      <c r="AF959" s="3"/>
      <c r="AG959" s="3"/>
      <c r="AH959" s="3"/>
      <c r="AI959" s="14"/>
      <c r="AJ959" s="14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</row>
    <row r="960" spans="1:47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297"/>
      <c r="AD960" s="3"/>
      <c r="AE960" s="3"/>
      <c r="AF960" s="3"/>
      <c r="AG960" s="3"/>
      <c r="AH960" s="3"/>
      <c r="AI960" s="14"/>
      <c r="AJ960" s="14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</row>
    <row r="961" spans="1:47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297"/>
      <c r="AD961" s="3"/>
      <c r="AE961" s="3"/>
      <c r="AF961" s="3"/>
      <c r="AG961" s="3"/>
      <c r="AH961" s="3"/>
      <c r="AI961" s="14"/>
      <c r="AJ961" s="14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</row>
    <row r="962" spans="1:47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297"/>
      <c r="AD962" s="3"/>
      <c r="AE962" s="3"/>
      <c r="AF962" s="3"/>
      <c r="AG962" s="3"/>
      <c r="AH962" s="3"/>
      <c r="AI962" s="14"/>
      <c r="AJ962" s="14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</row>
    <row r="963" spans="1:47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297"/>
      <c r="AD963" s="3"/>
      <c r="AE963" s="3"/>
      <c r="AF963" s="3"/>
      <c r="AG963" s="3"/>
      <c r="AH963" s="3"/>
      <c r="AI963" s="14"/>
      <c r="AJ963" s="14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</row>
    <row r="964" spans="1:47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297"/>
      <c r="AD964" s="3"/>
      <c r="AE964" s="3"/>
      <c r="AF964" s="3"/>
      <c r="AG964" s="3"/>
      <c r="AH964" s="3"/>
      <c r="AI964" s="14"/>
      <c r="AJ964" s="14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</row>
    <row r="965" spans="1:47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297"/>
      <c r="AD965" s="3"/>
      <c r="AE965" s="3"/>
      <c r="AF965" s="3"/>
      <c r="AG965" s="3"/>
      <c r="AH965" s="3"/>
      <c r="AI965" s="14"/>
      <c r="AJ965" s="14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</row>
    <row r="966" spans="1:47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297"/>
      <c r="AD966" s="3"/>
      <c r="AE966" s="3"/>
      <c r="AF966" s="3"/>
      <c r="AG966" s="3"/>
      <c r="AH966" s="3"/>
      <c r="AI966" s="14"/>
      <c r="AJ966" s="14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</row>
    <row r="967" spans="1:47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297"/>
      <c r="AD967" s="3"/>
      <c r="AE967" s="3"/>
      <c r="AF967" s="3"/>
      <c r="AG967" s="3"/>
      <c r="AH967" s="3"/>
      <c r="AI967" s="14"/>
      <c r="AJ967" s="14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</row>
    <row r="968" spans="1:47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297"/>
      <c r="AD968" s="3"/>
      <c r="AE968" s="3"/>
      <c r="AF968" s="3"/>
      <c r="AG968" s="3"/>
      <c r="AH968" s="3"/>
      <c r="AI968" s="14"/>
      <c r="AJ968" s="14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</row>
    <row r="969" spans="1:47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297"/>
      <c r="AD969" s="3"/>
      <c r="AE969" s="3"/>
      <c r="AF969" s="3"/>
      <c r="AG969" s="3"/>
      <c r="AH969" s="3"/>
      <c r="AI969" s="14"/>
      <c r="AJ969" s="14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</row>
    <row r="970" spans="1:47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297"/>
      <c r="AD970" s="3"/>
      <c r="AE970" s="3"/>
      <c r="AF970" s="3"/>
      <c r="AG970" s="3"/>
      <c r="AH970" s="3"/>
      <c r="AI970" s="14"/>
      <c r="AJ970" s="14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</row>
    <row r="971" spans="1:47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297"/>
      <c r="AD971" s="3"/>
      <c r="AE971" s="3"/>
      <c r="AF971" s="3"/>
      <c r="AG971" s="3"/>
      <c r="AH971" s="3"/>
      <c r="AI971" s="14"/>
      <c r="AJ971" s="14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</row>
    <row r="972" spans="1:47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297"/>
      <c r="AD972" s="3"/>
      <c r="AE972" s="3"/>
      <c r="AF972" s="3"/>
      <c r="AG972" s="3"/>
      <c r="AH972" s="3"/>
      <c r="AI972" s="14"/>
      <c r="AJ972" s="14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</row>
    <row r="973" spans="1:47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297"/>
      <c r="AD973" s="3"/>
      <c r="AE973" s="3"/>
      <c r="AF973" s="3"/>
      <c r="AG973" s="3"/>
      <c r="AH973" s="3"/>
      <c r="AI973" s="14"/>
      <c r="AJ973" s="14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</row>
    <row r="974" spans="1:47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297"/>
      <c r="AD974" s="3"/>
      <c r="AE974" s="3"/>
      <c r="AF974" s="3"/>
      <c r="AG974" s="3"/>
      <c r="AH974" s="3"/>
      <c r="AI974" s="14"/>
      <c r="AJ974" s="14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</row>
    <row r="975" spans="1:47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297"/>
      <c r="AD975" s="3"/>
      <c r="AE975" s="3"/>
      <c r="AF975" s="3"/>
      <c r="AG975" s="3"/>
      <c r="AH975" s="3"/>
      <c r="AI975" s="14"/>
      <c r="AJ975" s="14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</row>
    <row r="976" spans="1:47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297"/>
      <c r="AD976" s="3"/>
      <c r="AE976" s="3"/>
      <c r="AF976" s="3"/>
      <c r="AG976" s="3"/>
      <c r="AH976" s="3"/>
      <c r="AI976" s="14"/>
      <c r="AJ976" s="14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</row>
    <row r="977" spans="1:47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297"/>
      <c r="AD977" s="3"/>
      <c r="AE977" s="3"/>
      <c r="AF977" s="3"/>
      <c r="AG977" s="3"/>
      <c r="AH977" s="3"/>
      <c r="AI977" s="14"/>
      <c r="AJ977" s="14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</row>
    <row r="978" spans="1:47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297"/>
      <c r="AD978" s="3"/>
      <c r="AE978" s="3"/>
      <c r="AF978" s="3"/>
      <c r="AG978" s="3"/>
      <c r="AH978" s="3"/>
      <c r="AI978" s="14"/>
      <c r="AJ978" s="14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</row>
    <row r="979" spans="1:47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297"/>
      <c r="AD979" s="3"/>
      <c r="AE979" s="3"/>
      <c r="AF979" s="3"/>
      <c r="AG979" s="3"/>
      <c r="AH979" s="3"/>
      <c r="AI979" s="14"/>
      <c r="AJ979" s="14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</row>
    <row r="980" spans="1:47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297"/>
      <c r="AD980" s="3"/>
      <c r="AE980" s="3"/>
      <c r="AF980" s="3"/>
      <c r="AG980" s="3"/>
      <c r="AH980" s="3"/>
      <c r="AI980" s="14"/>
      <c r="AJ980" s="14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</row>
    <row r="981" spans="1:47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297"/>
      <c r="AD981" s="3"/>
      <c r="AE981" s="3"/>
      <c r="AF981" s="3"/>
      <c r="AG981" s="3"/>
      <c r="AH981" s="3"/>
      <c r="AI981" s="14"/>
      <c r="AJ981" s="14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</row>
    <row r="982" spans="1:47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297"/>
      <c r="AD982" s="3"/>
      <c r="AE982" s="3"/>
      <c r="AF982" s="3"/>
      <c r="AG982" s="3"/>
      <c r="AH982" s="3"/>
      <c r="AI982" s="14"/>
      <c r="AJ982" s="14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</row>
    <row r="983" spans="1:47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297"/>
      <c r="AD983" s="3"/>
      <c r="AE983" s="3"/>
      <c r="AF983" s="3"/>
      <c r="AG983" s="3"/>
      <c r="AH983" s="3"/>
      <c r="AI983" s="14"/>
      <c r="AJ983" s="14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</row>
    <row r="984" spans="1:47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297"/>
      <c r="AD984" s="3"/>
      <c r="AE984" s="3"/>
      <c r="AF984" s="3"/>
      <c r="AG984" s="3"/>
      <c r="AH984" s="3"/>
      <c r="AI984" s="14"/>
      <c r="AJ984" s="14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</row>
    <row r="985" spans="1:47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297"/>
      <c r="AD985" s="3"/>
      <c r="AE985" s="3"/>
      <c r="AF985" s="3"/>
      <c r="AG985" s="3"/>
      <c r="AH985" s="3"/>
      <c r="AI985" s="14"/>
      <c r="AJ985" s="14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</row>
    <row r="986" spans="1:47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297"/>
      <c r="AD986" s="3"/>
      <c r="AE986" s="3"/>
      <c r="AF986" s="3"/>
      <c r="AG986" s="3"/>
      <c r="AH986" s="3"/>
      <c r="AI986" s="14"/>
      <c r="AJ986" s="14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</row>
    <row r="987" spans="1:47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297"/>
      <c r="AD987" s="3"/>
      <c r="AE987" s="3"/>
      <c r="AF987" s="3"/>
      <c r="AG987" s="3"/>
      <c r="AH987" s="3"/>
      <c r="AI987" s="14"/>
      <c r="AJ987" s="14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</row>
    <row r="988" spans="1:47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297"/>
      <c r="AD988" s="3"/>
      <c r="AE988" s="3"/>
      <c r="AF988" s="3"/>
      <c r="AG988" s="3"/>
      <c r="AH988" s="3"/>
      <c r="AI988" s="14"/>
      <c r="AJ988" s="14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</row>
    <row r="989" spans="1:47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297"/>
      <c r="AD989" s="3"/>
      <c r="AE989" s="3"/>
      <c r="AF989" s="3"/>
      <c r="AG989" s="3"/>
      <c r="AH989" s="3"/>
      <c r="AI989" s="14"/>
      <c r="AJ989" s="14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</row>
  </sheetData>
  <mergeCells count="26">
    <mergeCell ref="A264:A274"/>
    <mergeCell ref="A276:A286"/>
    <mergeCell ref="A192:A202"/>
    <mergeCell ref="A204:A214"/>
    <mergeCell ref="A216:A226"/>
    <mergeCell ref="A228:A238"/>
    <mergeCell ref="A240:A250"/>
    <mergeCell ref="A252:A262"/>
    <mergeCell ref="A180:A190"/>
    <mergeCell ref="A60:A71"/>
    <mergeCell ref="A72:A83"/>
    <mergeCell ref="A84:A94"/>
    <mergeCell ref="A95:A105"/>
    <mergeCell ref="A106:A107"/>
    <mergeCell ref="A108:A118"/>
    <mergeCell ref="A120:A130"/>
    <mergeCell ref="A132:A142"/>
    <mergeCell ref="A144:A154"/>
    <mergeCell ref="A156:A166"/>
    <mergeCell ref="A168:A178"/>
    <mergeCell ref="A48:A59"/>
    <mergeCell ref="B4:L5"/>
    <mergeCell ref="AC7:AG7"/>
    <mergeCell ref="A11:A23"/>
    <mergeCell ref="A24:A35"/>
    <mergeCell ref="A36:A47"/>
  </mergeCells>
  <pageMargins left="0.7" right="0.7" top="0.75" bottom="0.75" header="0" footer="0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010D8-FFB8-49AE-9160-FAA5E0DDAF73}">
  <sheetPr codeName="Sheet30"/>
  <dimension ref="A1:BJ989"/>
  <sheetViews>
    <sheetView topLeftCell="Y11" zoomScale="85" zoomScaleNormal="85" workbookViewId="0">
      <selection activeCell="Y2" sqref="Y2"/>
    </sheetView>
  </sheetViews>
  <sheetFormatPr defaultColWidth="12.625" defaultRowHeight="15" customHeight="1" x14ac:dyDescent="0.2"/>
  <cols>
    <col min="1" max="1" width="8.125" style="607" customWidth="1"/>
    <col min="2" max="2" width="1.625" style="607" customWidth="1"/>
    <col min="3" max="3" width="10.125" style="607" customWidth="1"/>
    <col min="4" max="4" width="1.125" style="607" customWidth="1"/>
    <col min="5" max="5" width="12.125" style="607" customWidth="1"/>
    <col min="6" max="6" width="2.125" style="607" customWidth="1"/>
    <col min="7" max="8" width="13.125" style="607" customWidth="1"/>
    <col min="9" max="9" width="9.875" style="607" customWidth="1"/>
    <col min="10" max="10" width="13.625" style="607" customWidth="1"/>
    <col min="11" max="11" width="18.625" style="607" customWidth="1"/>
    <col min="12" max="12" width="16.375" style="607" customWidth="1"/>
    <col min="13" max="13" width="1.5" style="607" customWidth="1"/>
    <col min="14" max="14" width="8" style="607" customWidth="1"/>
    <col min="15" max="15" width="1.375" style="607" customWidth="1"/>
    <col min="16" max="16" width="8" style="607" customWidth="1"/>
    <col min="17" max="17" width="1.5" style="607" customWidth="1"/>
    <col min="18" max="18" width="10.875" style="607" customWidth="1"/>
    <col min="19" max="19" width="1.5" style="607" customWidth="1"/>
    <col min="20" max="20" width="11.5" style="607" customWidth="1"/>
    <col min="21" max="21" width="11.125" style="607" customWidth="1"/>
    <col min="22" max="22" width="10.875" style="607" customWidth="1"/>
    <col min="23" max="23" width="14.875" style="607" customWidth="1"/>
    <col min="24" max="24" width="15.375" style="607" customWidth="1"/>
    <col min="25" max="25" width="15.5" style="607" customWidth="1"/>
    <col min="26" max="26" width="1.375" style="607" customWidth="1"/>
    <col min="27" max="28" width="1.625" style="607" customWidth="1"/>
    <col min="29" max="29" width="21.375" style="607" customWidth="1"/>
    <col min="30" max="30" width="1.125" style="607" customWidth="1"/>
    <col min="31" max="32" width="14.125" style="607" customWidth="1"/>
    <col min="33" max="33" width="14" style="607" customWidth="1"/>
    <col min="34" max="34" width="2.625" style="607" customWidth="1"/>
    <col min="35" max="35" width="14.5" style="607" customWidth="1"/>
    <col min="36" max="36" width="25" style="607" customWidth="1"/>
    <col min="37" max="47" width="8" style="607" customWidth="1"/>
    <col min="48" max="16384" width="12.625" style="607"/>
  </cols>
  <sheetData>
    <row r="1" spans="1:62" ht="14.25" customHeight="1" x14ac:dyDescent="0.2">
      <c r="A1" s="1"/>
      <c r="B1" s="1"/>
      <c r="C1" s="1"/>
      <c r="D1" s="1"/>
      <c r="E1" s="1"/>
      <c r="F1" s="1"/>
      <c r="G1" s="18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 t="s">
        <v>532</v>
      </c>
      <c r="Z1" s="1"/>
      <c r="AA1" s="1"/>
      <c r="AB1" s="1"/>
      <c r="AC1" s="1"/>
      <c r="AD1" s="1"/>
      <c r="AE1" s="1"/>
      <c r="AF1" s="1"/>
      <c r="AG1" s="1"/>
      <c r="AH1" s="1"/>
      <c r="AI1" s="189"/>
      <c r="AJ1" s="189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</row>
    <row r="2" spans="1:62" ht="48.75" customHeight="1" x14ac:dyDescent="0.2">
      <c r="A2" s="1"/>
      <c r="B2" s="1"/>
      <c r="C2" s="1"/>
      <c r="D2" s="1"/>
      <c r="E2" s="1"/>
      <c r="F2" s="1"/>
      <c r="G2" s="188"/>
      <c r="H2" s="190"/>
      <c r="I2" s="1"/>
      <c r="J2" s="158"/>
      <c r="K2" s="158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 t="s">
        <v>582</v>
      </c>
      <c r="Z2" s="1"/>
      <c r="AA2" s="1"/>
      <c r="AB2" s="1"/>
      <c r="AC2" s="1"/>
      <c r="AD2" s="1"/>
      <c r="AE2" s="1"/>
      <c r="AF2" s="1"/>
      <c r="AG2" s="1"/>
      <c r="AH2" s="1"/>
      <c r="AI2" s="189"/>
      <c r="AJ2" s="189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</row>
    <row r="3" spans="1:62" ht="35.25" customHeight="1" x14ac:dyDescent="0.2">
      <c r="A3" s="1"/>
      <c r="B3" s="1"/>
      <c r="C3" s="1"/>
      <c r="D3" s="1"/>
      <c r="E3" s="1"/>
      <c r="F3" s="1"/>
      <c r="G3" s="188"/>
      <c r="H3" s="190"/>
      <c r="I3" s="1"/>
      <c r="J3" s="1"/>
      <c r="K3" s="158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 t="s">
        <v>534</v>
      </c>
      <c r="Z3" s="1"/>
      <c r="AA3" s="1"/>
      <c r="AB3" s="1"/>
      <c r="AC3" s="1"/>
      <c r="AD3" s="1"/>
      <c r="AE3" s="1"/>
      <c r="AF3" s="1"/>
      <c r="AG3" s="1"/>
      <c r="AH3" s="1"/>
      <c r="AI3" s="189"/>
      <c r="AJ3" s="189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</row>
    <row r="4" spans="1:62" ht="15" customHeight="1" x14ac:dyDescent="0.25">
      <c r="A4" s="2"/>
      <c r="B4" s="632" t="s">
        <v>387</v>
      </c>
      <c r="C4" s="632"/>
      <c r="D4" s="632"/>
      <c r="E4" s="632"/>
      <c r="F4" s="632"/>
      <c r="G4" s="632"/>
      <c r="H4" s="632"/>
      <c r="I4" s="632"/>
      <c r="J4" s="632"/>
      <c r="K4" s="632"/>
      <c r="L4" s="63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191"/>
      <c r="AJ4" s="191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</row>
    <row r="5" spans="1:62" ht="15" customHeight="1" x14ac:dyDescent="0.25">
      <c r="A5" s="2"/>
      <c r="B5" s="632"/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71"/>
      <c r="AJ5" s="271"/>
      <c r="AK5" s="271"/>
      <c r="AL5" s="271"/>
      <c r="AM5" s="271"/>
      <c r="AN5" s="271"/>
      <c r="AO5" s="271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</row>
    <row r="6" spans="1:62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268"/>
      <c r="AJ6" s="268"/>
      <c r="AK6" s="268"/>
      <c r="AL6" s="268"/>
      <c r="AM6" s="268"/>
      <c r="AN6" s="268"/>
      <c r="AO6" s="268"/>
      <c r="AP6" s="3"/>
      <c r="AQ6" s="3"/>
      <c r="AR6" s="3"/>
      <c r="AS6" s="3"/>
      <c r="AT6" s="3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</row>
    <row r="7" spans="1:62" ht="37.5" customHeight="1" x14ac:dyDescent="0.25">
      <c r="A7" s="3"/>
      <c r="B7" s="80"/>
      <c r="C7" s="159" t="s">
        <v>231</v>
      </c>
      <c r="D7" s="160"/>
      <c r="E7" s="160"/>
      <c r="F7" s="160"/>
      <c r="G7" s="160"/>
      <c r="H7" s="160"/>
      <c r="I7" s="160"/>
      <c r="J7" s="160"/>
      <c r="K7" s="160"/>
      <c r="L7" s="160"/>
      <c r="M7" s="80"/>
      <c r="N7" s="3"/>
      <c r="O7" s="80"/>
      <c r="P7" s="159" t="s">
        <v>358</v>
      </c>
      <c r="Q7" s="160"/>
      <c r="R7" s="160"/>
      <c r="S7" s="160"/>
      <c r="T7" s="160"/>
      <c r="U7" s="160"/>
      <c r="V7" s="160"/>
      <c r="W7" s="160"/>
      <c r="X7" s="160"/>
      <c r="Y7" s="160"/>
      <c r="Z7" s="80"/>
      <c r="AA7" s="3"/>
      <c r="AB7" s="192"/>
      <c r="AC7" s="635" t="s">
        <v>567</v>
      </c>
      <c r="AD7" s="636"/>
      <c r="AE7" s="636"/>
      <c r="AF7" s="636"/>
      <c r="AG7" s="634"/>
      <c r="AH7" s="193"/>
      <c r="AI7" s="14" t="s">
        <v>232</v>
      </c>
      <c r="AJ7" s="14" t="s">
        <v>233</v>
      </c>
      <c r="AK7" s="14"/>
      <c r="AL7" s="14"/>
      <c r="AM7" s="14"/>
      <c r="AN7" s="14"/>
      <c r="AO7" s="14"/>
      <c r="AP7" s="14"/>
      <c r="AQ7" s="14"/>
      <c r="AR7" s="14"/>
      <c r="AS7" s="14"/>
      <c r="AT7" s="3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</row>
    <row r="8" spans="1:62" ht="16.5" customHeight="1" x14ac:dyDescent="0.2">
      <c r="A8" s="3"/>
      <c r="B8" s="161"/>
      <c r="C8" s="162" t="s">
        <v>234</v>
      </c>
      <c r="D8" s="162"/>
      <c r="E8" s="163" t="s">
        <v>235</v>
      </c>
      <c r="F8" s="79"/>
      <c r="G8" s="163" t="s">
        <v>236</v>
      </c>
      <c r="H8" s="163" t="s">
        <v>237</v>
      </c>
      <c r="I8" s="163" t="s">
        <v>238</v>
      </c>
      <c r="J8" s="163" t="s">
        <v>239</v>
      </c>
      <c r="K8" s="251" t="s">
        <v>357</v>
      </c>
      <c r="L8" s="163" t="s">
        <v>178</v>
      </c>
      <c r="M8" s="80"/>
      <c r="N8" s="3"/>
      <c r="O8" s="161"/>
      <c r="P8" s="162" t="s">
        <v>234</v>
      </c>
      <c r="Q8" s="162"/>
      <c r="R8" s="163" t="s">
        <v>235</v>
      </c>
      <c r="S8" s="79"/>
      <c r="T8" s="163" t="s">
        <v>236</v>
      </c>
      <c r="U8" s="163" t="s">
        <v>237</v>
      </c>
      <c r="V8" s="163" t="s">
        <v>238</v>
      </c>
      <c r="W8" s="163" t="s">
        <v>239</v>
      </c>
      <c r="X8" s="251" t="s">
        <v>357</v>
      </c>
      <c r="Y8" s="163" t="s">
        <v>178</v>
      </c>
      <c r="Z8" s="80"/>
      <c r="AA8" s="3"/>
      <c r="AB8" s="192"/>
      <c r="AC8" s="194" t="s">
        <v>250</v>
      </c>
      <c r="AD8" s="195"/>
      <c r="AE8" s="194" t="s">
        <v>239</v>
      </c>
      <c r="AF8" s="194" t="s">
        <v>178</v>
      </c>
      <c r="AG8" s="194" t="s">
        <v>240</v>
      </c>
      <c r="AH8" s="192"/>
      <c r="AI8" s="304">
        <f>'Decision Tree'!N35</f>
        <v>14063.654769903998</v>
      </c>
      <c r="AJ8" s="304">
        <f>'Decision Tree'!N36</f>
        <v>4907.2569351040001</v>
      </c>
      <c r="AK8" s="14" t="s">
        <v>365</v>
      </c>
      <c r="AL8" s="14"/>
      <c r="AM8" s="14"/>
      <c r="AN8" s="14"/>
      <c r="AO8" s="14"/>
      <c r="AP8" s="14"/>
      <c r="AQ8" s="14"/>
      <c r="AR8" s="14"/>
      <c r="AS8" s="14"/>
      <c r="AT8" s="3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</row>
    <row r="9" spans="1:62" ht="5.25" customHeight="1" x14ac:dyDescent="0.2">
      <c r="A9" s="3"/>
      <c r="B9" s="80"/>
      <c r="C9" s="80"/>
      <c r="D9" s="80"/>
      <c r="E9" s="80"/>
      <c r="F9" s="80"/>
      <c r="G9" s="111"/>
      <c r="H9" s="111"/>
      <c r="I9" s="111"/>
      <c r="J9" s="111"/>
      <c r="K9" s="111"/>
      <c r="L9" s="111"/>
      <c r="M9" s="80"/>
      <c r="N9" s="3"/>
      <c r="O9" s="80"/>
      <c r="P9" s="80"/>
      <c r="Q9" s="80"/>
      <c r="R9" s="80"/>
      <c r="S9" s="80"/>
      <c r="T9" s="111"/>
      <c r="U9" s="111"/>
      <c r="V9" s="111"/>
      <c r="W9" s="111"/>
      <c r="X9" s="111"/>
      <c r="Y9" s="111"/>
      <c r="Z9" s="80"/>
      <c r="AA9" s="3"/>
      <c r="AB9" s="192"/>
      <c r="AC9" s="192"/>
      <c r="AD9" s="192"/>
      <c r="AE9" s="192"/>
      <c r="AF9" s="192"/>
      <c r="AG9" s="192"/>
      <c r="AH9" s="192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3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</row>
    <row r="10" spans="1:62" ht="15.75" customHeight="1" x14ac:dyDescent="0.2">
      <c r="A10" s="3"/>
      <c r="B10" s="80"/>
      <c r="C10" s="119" t="s">
        <v>435</v>
      </c>
      <c r="D10" s="80"/>
      <c r="E10" s="80"/>
      <c r="F10" s="80"/>
      <c r="G10" s="119">
        <f>cohortsize</f>
        <v>100</v>
      </c>
      <c r="H10" s="119">
        <v>0</v>
      </c>
      <c r="I10" s="80"/>
      <c r="J10" s="80"/>
      <c r="K10" s="80"/>
      <c r="L10" s="80"/>
      <c r="M10" s="80"/>
      <c r="N10" s="3"/>
      <c r="O10" s="80"/>
      <c r="P10" s="119" t="s">
        <v>435</v>
      </c>
      <c r="Q10" s="80"/>
      <c r="R10" s="80"/>
      <c r="S10" s="80"/>
      <c r="T10" s="119">
        <f>cohortsize</f>
        <v>100</v>
      </c>
      <c r="U10" s="119"/>
      <c r="V10" s="80"/>
      <c r="W10" s="80"/>
      <c r="X10" s="80"/>
      <c r="Y10" s="80"/>
      <c r="Z10" s="80"/>
      <c r="AA10" s="3"/>
      <c r="AB10" s="192"/>
      <c r="AC10" s="196" t="s">
        <v>251</v>
      </c>
      <c r="AD10" s="192"/>
      <c r="AE10" s="197">
        <f>J420</f>
        <v>83857.116128155467</v>
      </c>
      <c r="AF10" s="214">
        <f>L420</f>
        <v>3.2125907425460776</v>
      </c>
      <c r="AG10" s="214">
        <f>K420</f>
        <v>4.8631553865162749</v>
      </c>
      <c r="AH10" s="192"/>
      <c r="AI10" s="441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3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</row>
    <row r="11" spans="1:62" ht="14.25" customHeight="1" x14ac:dyDescent="0.2">
      <c r="A11" s="637" t="s">
        <v>542</v>
      </c>
      <c r="B11" s="80"/>
      <c r="C11" s="166">
        <v>0</v>
      </c>
      <c r="D11" s="165"/>
      <c r="E11" s="198">
        <v>0</v>
      </c>
      <c r="F11" s="199"/>
      <c r="G11" s="214">
        <f>G10*AI13</f>
        <v>81.2</v>
      </c>
      <c r="H11" s="501">
        <f>G10-G11</f>
        <v>18.799999999999997</v>
      </c>
      <c r="I11" s="514">
        <f t="shared" ref="I11:I120" si="0">SUM(G11:H11)</f>
        <v>100</v>
      </c>
      <c r="J11" s="170">
        <f>(AI8*G10)</f>
        <v>1406365.4769903999</v>
      </c>
      <c r="K11" s="255">
        <f t="shared" ref="K11:K74" si="1">G11</f>
        <v>81.2</v>
      </c>
      <c r="L11" s="200">
        <f>(G11*AI11)</f>
        <v>47.731433723076925</v>
      </c>
      <c r="M11" s="80"/>
      <c r="N11" s="3"/>
      <c r="O11" s="80"/>
      <c r="P11" s="166">
        <v>0</v>
      </c>
      <c r="Q11" s="165"/>
      <c r="R11" s="198">
        <v>0</v>
      </c>
      <c r="S11" s="199"/>
      <c r="T11" s="214">
        <f>T10*AJ13</f>
        <v>76.5</v>
      </c>
      <c r="U11" s="501">
        <f>T10-T11</f>
        <v>23.5</v>
      </c>
      <c r="V11" s="514">
        <f t="shared" ref="V11:V119" si="2">SUM(T11:U11)</f>
        <v>100</v>
      </c>
      <c r="W11" s="170">
        <f>(AJ8*T10)</f>
        <v>490725.69351040001</v>
      </c>
      <c r="X11" s="255">
        <f>T11</f>
        <v>76.5</v>
      </c>
      <c r="Y11" s="200">
        <f>T11*AJ11</f>
        <v>42.575118750000001</v>
      </c>
      <c r="Z11" s="80"/>
      <c r="AA11" s="3"/>
      <c r="AB11" s="192"/>
      <c r="AC11" s="196" t="s">
        <v>252</v>
      </c>
      <c r="AD11" s="192"/>
      <c r="AE11" s="201">
        <f>J422</f>
        <v>8385711.6128155468</v>
      </c>
      <c r="AF11" s="219">
        <f>L422</f>
        <v>321.25907425460775</v>
      </c>
      <c r="AG11" s="219">
        <f>K422</f>
        <v>486.31553865162743</v>
      </c>
      <c r="AH11" s="192"/>
      <c r="AI11" s="306">
        <f>'Decision Tree'!O35</f>
        <v>0.58782553846153851</v>
      </c>
      <c r="AJ11" s="306">
        <f>'Decision Tree'!O36</f>
        <v>0.55653750000000002</v>
      </c>
      <c r="AK11" s="14" t="s">
        <v>366</v>
      </c>
      <c r="AL11" s="14"/>
      <c r="AM11" s="14"/>
      <c r="AN11" s="14"/>
      <c r="AO11" s="14"/>
      <c r="AP11" s="14"/>
      <c r="AQ11" s="14"/>
      <c r="AR11" s="14"/>
      <c r="AS11" s="14"/>
      <c r="AT11" s="3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</row>
    <row r="12" spans="1:62" ht="14.25" customHeight="1" x14ac:dyDescent="0.2">
      <c r="A12" s="637"/>
      <c r="B12" s="80"/>
      <c r="C12" s="173">
        <v>1</v>
      </c>
      <c r="D12" s="165"/>
      <c r="E12" s="174">
        <v>3.0373181993401666E-2</v>
      </c>
      <c r="F12" s="502"/>
      <c r="G12" s="219">
        <f t="shared" ref="G12:G75" si="3">$G$10-H12</f>
        <v>78.733697622135793</v>
      </c>
      <c r="H12" s="500">
        <f t="shared" ref="H12:H59" si="4">H11+(G11*E12)</f>
        <v>21.266302377864214</v>
      </c>
      <c r="I12" s="515">
        <f>SUM(G12:H12)</f>
        <v>100</v>
      </c>
      <c r="J12" s="153">
        <f>(G12*Parameters!B41)/(1+cDR)^'Markov Model_SA1'!cycle</f>
        <v>677373.7714973666</v>
      </c>
      <c r="K12" s="178">
        <f t="shared" si="1"/>
        <v>78.733697622135793</v>
      </c>
      <c r="L12" s="202">
        <f>(G12*(uPostT))/(1+oDR)^'Markov Model_SA1'!cycle</f>
        <v>59.688389219773775</v>
      </c>
      <c r="M12" s="80"/>
      <c r="N12" s="3"/>
      <c r="O12" s="80"/>
      <c r="P12" s="173">
        <v>1</v>
      </c>
      <c r="Q12" s="165"/>
      <c r="R12" s="174">
        <v>3.0373181993401666E-2</v>
      </c>
      <c r="S12" s="502"/>
      <c r="T12" s="219">
        <f>$T$10-U12</f>
        <v>74.176451577504764</v>
      </c>
      <c r="U12" s="500">
        <f t="shared" ref="U12:U59" si="5">U11+(T11*R12)</f>
        <v>25.823548422495229</v>
      </c>
      <c r="V12" s="515">
        <f t="shared" si="2"/>
        <v>100</v>
      </c>
      <c r="W12" s="153">
        <f>(T12*Parameters!$B$41)/(1+cDR)^'Markov Model_SA1'!cycle2</f>
        <v>638166.17634911998</v>
      </c>
      <c r="X12" s="178">
        <f>T12</f>
        <v>74.176451577504764</v>
      </c>
      <c r="Y12" s="202">
        <f>(T12*(uPostT))/(1+oDR)^'Markov Model_SA1'!cycle</f>
        <v>56.233519400402614</v>
      </c>
      <c r="Z12" s="80"/>
      <c r="AA12" s="3"/>
      <c r="AB12" s="192"/>
      <c r="AC12" s="273" t="s">
        <v>369</v>
      </c>
      <c r="AD12" s="192"/>
      <c r="AE12" s="201">
        <f>W420</f>
        <v>70660.948978284257</v>
      </c>
      <c r="AF12" s="219">
        <f>Y420</f>
        <v>3.0007103312872512</v>
      </c>
      <c r="AG12" s="219">
        <f>X420</f>
        <v>4.5816673284297407</v>
      </c>
      <c r="AH12" s="192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3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</row>
    <row r="13" spans="1:62" ht="14.25" customHeight="1" x14ac:dyDescent="0.2">
      <c r="A13" s="637"/>
      <c r="B13" s="80"/>
      <c r="C13" s="173">
        <v>2</v>
      </c>
      <c r="D13" s="165"/>
      <c r="E13" s="174">
        <v>2.9185165326540474E-2</v>
      </c>
      <c r="F13" s="502"/>
      <c r="G13" s="219">
        <f t="shared" si="3"/>
        <v>76.435841640263902</v>
      </c>
      <c r="H13" s="249">
        <f t="shared" si="4"/>
        <v>23.564158359736094</v>
      </c>
      <c r="I13" s="515">
        <f t="shared" si="0"/>
        <v>100</v>
      </c>
      <c r="J13" s="153">
        <f>(G13*Parameters!B41)/(1+cDR)^'Markov Model_SA1'!cycle</f>
        <v>655984.22495272045</v>
      </c>
      <c r="K13" s="178">
        <f t="shared" si="1"/>
        <v>76.435841640263902</v>
      </c>
      <c r="L13" s="202">
        <f>(G13*(uPostT))/(1+oDR)^'Markov Model_SA1'!cycle</f>
        <v>57.801869039720472</v>
      </c>
      <c r="M13" s="80"/>
      <c r="N13" s="3"/>
      <c r="O13" s="80"/>
      <c r="P13" s="173">
        <v>2</v>
      </c>
      <c r="Q13" s="165"/>
      <c r="R13" s="174">
        <v>2.9185165326540474E-2</v>
      </c>
      <c r="S13" s="502"/>
      <c r="T13" s="219">
        <f t="shared" ref="T13:T120" si="6">$T$10-U13</f>
        <v>72.01159957487917</v>
      </c>
      <c r="U13" s="249">
        <f t="shared" si="5"/>
        <v>27.98840042512083</v>
      </c>
      <c r="V13" s="515">
        <f t="shared" si="2"/>
        <v>100</v>
      </c>
      <c r="W13" s="153">
        <f>(T13*Parameters!$B$41)/(1+cDR)^'Markov Model_SA1'!cycle2</f>
        <v>618014.69469067873</v>
      </c>
      <c r="X13" s="178">
        <f t="shared" ref="X13:X119" si="7">T13</f>
        <v>72.01159957487917</v>
      </c>
      <c r="Y13" s="202">
        <f>(T13*(uPostT))/(1+oDR)^'Markov Model_SA1'!cycle</f>
        <v>54.456194353923841</v>
      </c>
      <c r="Z13" s="80"/>
      <c r="AA13" s="3"/>
      <c r="AB13" s="192"/>
      <c r="AC13" s="273" t="s">
        <v>370</v>
      </c>
      <c r="AD13" s="192"/>
      <c r="AE13" s="201">
        <f>W422</f>
        <v>7066094.8978284262</v>
      </c>
      <c r="AF13" s="219">
        <f>Y422</f>
        <v>300.07103312872511</v>
      </c>
      <c r="AG13" s="219">
        <f>X422</f>
        <v>458.16673284297411</v>
      </c>
      <c r="AH13" s="192"/>
      <c r="AI13" s="305">
        <f>'Decision Tree'!N41</f>
        <v>0.81200000000000006</v>
      </c>
      <c r="AJ13" s="305">
        <f>'Decision Tree'!N42</f>
        <v>0.76500000000000001</v>
      </c>
      <c r="AK13" s="14" t="s">
        <v>367</v>
      </c>
      <c r="AL13" s="14"/>
      <c r="AM13" s="14"/>
      <c r="AN13" s="14"/>
      <c r="AO13" s="14"/>
      <c r="AP13" s="14"/>
      <c r="AQ13" s="14"/>
      <c r="AR13" s="14"/>
      <c r="AS13" s="14"/>
      <c r="AT13" s="3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</row>
    <row r="14" spans="1:62" ht="14.25" customHeight="1" x14ac:dyDescent="0.2">
      <c r="A14" s="637"/>
      <c r="B14" s="80"/>
      <c r="C14" s="173">
        <v>3</v>
      </c>
      <c r="D14" s="165"/>
      <c r="E14" s="174">
        <v>2.8042941872942651E-2</v>
      </c>
      <c r="F14" s="502"/>
      <c r="G14" s="219">
        <f>$G$10-H14</f>
        <v>74.292355776136532</v>
      </c>
      <c r="H14" s="249">
        <f>H13+(G13*E14)</f>
        <v>25.707644223863465</v>
      </c>
      <c r="I14" s="515">
        <f t="shared" si="0"/>
        <v>100</v>
      </c>
      <c r="J14" s="153">
        <f>(G14*Parameters!$B$41)/(1+cDR)^'Markov Model_SA1'!cycle</f>
        <v>636017.53415344493</v>
      </c>
      <c r="K14" s="178">
        <f t="shared" si="1"/>
        <v>74.292355776136532</v>
      </c>
      <c r="L14" s="202">
        <f>(G14*(uPostT))/(1+oDR)^'Markov Model_SA1'!cycle</f>
        <v>56.040832504830078</v>
      </c>
      <c r="M14" s="80"/>
      <c r="N14" s="3"/>
      <c r="O14" s="80"/>
      <c r="P14" s="173">
        <v>3</v>
      </c>
      <c r="Q14" s="165"/>
      <c r="R14" s="174">
        <v>2.8042941872942651E-2</v>
      </c>
      <c r="S14" s="502"/>
      <c r="T14" s="219">
        <f t="shared" si="6"/>
        <v>69.99218247382322</v>
      </c>
      <c r="U14" s="249">
        <f t="shared" si="5"/>
        <v>30.007817526176787</v>
      </c>
      <c r="V14" s="515">
        <f t="shared" si="2"/>
        <v>100</v>
      </c>
      <c r="W14" s="153">
        <f>(T14*Parameters!$B$41)/(1+cDR)^'Markov Model_SA1'!cycle2</f>
        <v>599203.71136377531</v>
      </c>
      <c r="X14" s="178">
        <f t="shared" si="7"/>
        <v>69.99218247382322</v>
      </c>
      <c r="Y14" s="202">
        <f>(T14*(uPostT))/(1+oDR)^'Markov Model_SA1'!cycle</f>
        <v>52.797089736693373</v>
      </c>
      <c r="Z14" s="80"/>
      <c r="AA14" s="3"/>
      <c r="AB14" s="192"/>
      <c r="AC14" s="192"/>
      <c r="AD14" s="192"/>
      <c r="AE14" s="192"/>
      <c r="AF14" s="192"/>
      <c r="AG14" s="192"/>
      <c r="AH14" s="192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3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</row>
    <row r="15" spans="1:62" ht="14.25" customHeight="1" x14ac:dyDescent="0.2">
      <c r="A15" s="637"/>
      <c r="B15" s="80"/>
      <c r="C15" s="173">
        <v>4</v>
      </c>
      <c r="D15" s="165"/>
      <c r="E15" s="174">
        <v>2.694479881328149E-2</v>
      </c>
      <c r="F15" s="502"/>
      <c r="G15" s="219">
        <f t="shared" si="3"/>
        <v>72.2905631963838</v>
      </c>
      <c r="H15" s="249">
        <f t="shared" si="4"/>
        <v>27.709436803616196</v>
      </c>
      <c r="I15" s="515">
        <f t="shared" si="0"/>
        <v>100</v>
      </c>
      <c r="J15" s="153">
        <f>(G15*Parameters!$B$41)/(1+cDR)^'Markov Model_SA1'!cycle</f>
        <v>617355.302057878</v>
      </c>
      <c r="K15" s="178">
        <f t="shared" si="1"/>
        <v>72.2905631963838</v>
      </c>
      <c r="L15" s="202">
        <f>(G15*(uPostT))/(1+oDR)^'Markov Model_SA1'!cycle</f>
        <v>54.394836456517332</v>
      </c>
      <c r="M15" s="80"/>
      <c r="N15" s="3"/>
      <c r="O15" s="80"/>
      <c r="P15" s="173">
        <v>4</v>
      </c>
      <c r="Q15" s="165"/>
      <c r="R15" s="174">
        <v>2.694479881328149E-2</v>
      </c>
      <c r="S15" s="502"/>
      <c r="T15" s="219">
        <f t="shared" si="6"/>
        <v>68.106257198563554</v>
      </c>
      <c r="U15" s="249">
        <f t="shared" si="5"/>
        <v>31.893742801436439</v>
      </c>
      <c r="V15" s="515">
        <f t="shared" si="2"/>
        <v>100</v>
      </c>
      <c r="W15" s="153">
        <f>(T15*Parameters!$B$41)/(1+cDR)^'Markov Model_SA1'!cycle2</f>
        <v>581621.68235748354</v>
      </c>
      <c r="X15" s="178">
        <f t="shared" si="7"/>
        <v>68.106257198563554</v>
      </c>
      <c r="Y15" s="202">
        <f>(T15*(uPostT))/(1+oDR)^'Markov Model_SA1'!cycle</f>
        <v>51.246366858664722</v>
      </c>
      <c r="Z15" s="80"/>
      <c r="AA15" s="3"/>
      <c r="AB15" s="192"/>
      <c r="AC15" s="427" t="s">
        <v>253</v>
      </c>
      <c r="AD15" s="192"/>
      <c r="AE15" s="596">
        <f>K425</f>
        <v>62281.20415412631</v>
      </c>
      <c r="AF15" s="428" t="s">
        <v>568</v>
      </c>
      <c r="AG15" s="192"/>
      <c r="AH15" s="192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3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</row>
    <row r="16" spans="1:62" ht="14.25" customHeight="1" x14ac:dyDescent="0.2">
      <c r="A16" s="637"/>
      <c r="B16" s="80"/>
      <c r="C16" s="173">
        <v>5</v>
      </c>
      <c r="D16" s="165"/>
      <c r="E16" s="174">
        <v>2.5889083312734429E-2</v>
      </c>
      <c r="F16" s="502"/>
      <c r="G16" s="219">
        <f t="shared" si="3"/>
        <v>70.419026783068134</v>
      </c>
      <c r="H16" s="249">
        <f t="shared" si="4"/>
        <v>29.58097321693187</v>
      </c>
      <c r="I16" s="515">
        <f t="shared" si="0"/>
        <v>100</v>
      </c>
      <c r="J16" s="153">
        <f>(G16*Parameters!$B$41)/(1+cDR)^'Markov Model_SA1'!cycle</f>
        <v>599890.80891133239</v>
      </c>
      <c r="K16" s="178">
        <f t="shared" si="1"/>
        <v>70.419026783068134</v>
      </c>
      <c r="L16" s="202">
        <f>(G16*(uPostT))/(1+oDR)^'Markov Model_SA1'!cycle</f>
        <v>52.854467834126673</v>
      </c>
      <c r="M16" s="80"/>
      <c r="N16" s="3"/>
      <c r="O16" s="80"/>
      <c r="P16" s="173">
        <v>5</v>
      </c>
      <c r="Q16" s="165"/>
      <c r="R16" s="174">
        <v>2.5889083312734429E-2</v>
      </c>
      <c r="S16" s="502"/>
      <c r="T16" s="219">
        <f t="shared" si="6"/>
        <v>66.343048631831437</v>
      </c>
      <c r="U16" s="249">
        <f t="shared" si="5"/>
        <v>33.656951368168571</v>
      </c>
      <c r="V16" s="515">
        <f t="shared" si="2"/>
        <v>100</v>
      </c>
      <c r="W16" s="153">
        <f>(T16*Parameters!$B$41)/(1+cDR)^'Markov Model_SA1'!cycle2</f>
        <v>565168.06504577491</v>
      </c>
      <c r="X16" s="178">
        <f t="shared" si="7"/>
        <v>66.343048631831437</v>
      </c>
      <c r="Y16" s="202">
        <f>(T16*(uPostT))/(1+oDR)^'Markov Model_SA1'!cycle</f>
        <v>49.795157503826239</v>
      </c>
      <c r="Z16" s="80"/>
      <c r="AA16" s="3"/>
      <c r="AB16" s="192"/>
      <c r="AC16" s="196"/>
      <c r="AD16" s="192"/>
      <c r="AE16" s="192"/>
      <c r="AF16" s="203"/>
      <c r="AG16" s="192"/>
      <c r="AH16" s="192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3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</row>
    <row r="17" spans="1:60" ht="14.25" customHeight="1" x14ac:dyDescent="0.2">
      <c r="A17" s="637"/>
      <c r="B17" s="80"/>
      <c r="C17" s="173">
        <v>6</v>
      </c>
      <c r="D17" s="165"/>
      <c r="E17" s="174">
        <v>2.48742007441628E-2</v>
      </c>
      <c r="F17" s="502"/>
      <c r="G17" s="219">
        <f t="shared" si="3"/>
        <v>68.667409774657514</v>
      </c>
      <c r="H17" s="249">
        <f t="shared" si="4"/>
        <v>31.332590225342482</v>
      </c>
      <c r="I17" s="515">
        <f t="shared" si="0"/>
        <v>100</v>
      </c>
      <c r="J17" s="153">
        <f>(G17*Parameters!$B$41)/(1+cDR)^'Markov Model_SA1'!cycle</f>
        <v>583527.69110885484</v>
      </c>
      <c r="K17" s="178">
        <f t="shared" si="1"/>
        <v>68.667409774657514</v>
      </c>
      <c r="L17" s="202">
        <f>(G17*(uPostT))/(1+oDR)^'Markov Model_SA1'!cycle</f>
        <v>51.411227123186755</v>
      </c>
      <c r="M17" s="80"/>
      <c r="N17" s="3"/>
      <c r="O17" s="80"/>
      <c r="P17" s="173">
        <v>6</v>
      </c>
      <c r="Q17" s="165"/>
      <c r="R17" s="174">
        <v>2.48742007441628E-2</v>
      </c>
      <c r="S17" s="502"/>
      <c r="T17" s="219">
        <f t="shared" si="6"/>
        <v>64.692818322183498</v>
      </c>
      <c r="U17" s="249">
        <f t="shared" si="5"/>
        <v>35.307181677816502</v>
      </c>
      <c r="V17" s="515">
        <f t="shared" si="2"/>
        <v>100</v>
      </c>
      <c r="W17" s="153">
        <f>(T17*Parameters!$B$41)/(1+cDR)^'Markov Model_SA1'!cycle2</f>
        <v>549752.07352004177</v>
      </c>
      <c r="X17" s="178">
        <f>T17</f>
        <v>64.692818322183498</v>
      </c>
      <c r="Y17" s="202">
        <f>(T17*(uPostT))/(1+oDR)^'Markov Model_SA1'!cycle</f>
        <v>48.435454124677179</v>
      </c>
      <c r="Z17" s="80"/>
      <c r="AA17" s="3"/>
      <c r="AB17" s="3"/>
      <c r="AC17" s="3"/>
      <c r="AD17" s="29"/>
      <c r="AE17" s="442"/>
      <c r="AF17" s="3"/>
      <c r="AG17" s="3"/>
      <c r="AH17" s="3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3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</row>
    <row r="18" spans="1:60" ht="14.25" customHeight="1" x14ac:dyDescent="0.2">
      <c r="A18" s="637"/>
      <c r="B18" s="80"/>
      <c r="C18" s="173">
        <v>7</v>
      </c>
      <c r="D18" s="165"/>
      <c r="E18" s="174">
        <v>2.3898612936932295E-2</v>
      </c>
      <c r="F18" s="502"/>
      <c r="G18" s="219">
        <f t="shared" si="3"/>
        <v>67.026353927071256</v>
      </c>
      <c r="H18" s="249">
        <f t="shared" si="4"/>
        <v>32.973646072928744</v>
      </c>
      <c r="I18" s="515">
        <f t="shared" si="0"/>
        <v>100</v>
      </c>
      <c r="J18" s="153">
        <f>(G18*Parameters!$B$41)/(1+cDR)^'Markov Model_SA1'!cycle</f>
        <v>568178.78707698232</v>
      </c>
      <c r="K18" s="178">
        <f t="shared" si="1"/>
        <v>67.026353927071256</v>
      </c>
      <c r="L18" s="202">
        <f>(G18*(uPostT))/(1+oDR)^'Markov Model_SA1'!cycle</f>
        <v>50.057426539208983</v>
      </c>
      <c r="M18" s="80"/>
      <c r="N18" s="3"/>
      <c r="O18" s="80"/>
      <c r="P18" s="173">
        <v>7</v>
      </c>
      <c r="Q18" s="165"/>
      <c r="R18" s="174">
        <v>2.3898612936932295E-2</v>
      </c>
      <c r="S18" s="502"/>
      <c r="T18" s="219">
        <f t="shared" si="6"/>
        <v>63.146749697302354</v>
      </c>
      <c r="U18" s="249">
        <f t="shared" si="5"/>
        <v>36.853250302697646</v>
      </c>
      <c r="V18" s="515">
        <f t="shared" si="2"/>
        <v>100</v>
      </c>
      <c r="W18" s="153">
        <f>(T18*Parameters!$B$41)/(1+cDR)^'Markov Model_SA1'!cycle2</f>
        <v>535291.59127326543</v>
      </c>
      <c r="X18" s="178">
        <f t="shared" si="7"/>
        <v>63.146749697302354</v>
      </c>
      <c r="Y18" s="202">
        <f>(T18*(uPostT))/(1+oDR)^'Markov Model_SA1'!cycle</f>
        <v>47.160013919328662</v>
      </c>
      <c r="Z18" s="80"/>
      <c r="AA18" s="3"/>
      <c r="AB18" s="3"/>
      <c r="AC18" s="297"/>
      <c r="AD18" s="523"/>
      <c r="AE18" s="524"/>
      <c r="AF18" s="3"/>
      <c r="AG18" s="3"/>
      <c r="AH18" s="3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3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</row>
    <row r="19" spans="1:60" ht="14.25" customHeight="1" x14ac:dyDescent="0.25">
      <c r="A19" s="637"/>
      <c r="B19" s="80"/>
      <c r="C19" s="173">
        <v>8</v>
      </c>
      <c r="D19" s="165"/>
      <c r="E19" s="174">
        <v>2.2960836453611355E-2</v>
      </c>
      <c r="F19" s="502"/>
      <c r="G19" s="219">
        <f t="shared" si="3"/>
        <v>65.487372776469897</v>
      </c>
      <c r="H19" s="249">
        <f t="shared" si="4"/>
        <v>34.512627223530096</v>
      </c>
      <c r="I19" s="515">
        <f t="shared" si="0"/>
        <v>100</v>
      </c>
      <c r="J19" s="153">
        <f>(G19*Parameters!$B$41)/(1+cDR)^'Markov Model_SA1'!cycle</f>
        <v>553765.12700678967</v>
      </c>
      <c r="K19" s="178">
        <f t="shared" si="1"/>
        <v>65.487372776469897</v>
      </c>
      <c r="L19" s="202">
        <f>(G19*(uPostT))/(1+oDR)^'Markov Model_SA1'!cycle</f>
        <v>48.786100902896294</v>
      </c>
      <c r="M19" s="80"/>
      <c r="N19" s="3"/>
      <c r="O19" s="80"/>
      <c r="P19" s="173">
        <v>8</v>
      </c>
      <c r="Q19" s="165"/>
      <c r="R19" s="174">
        <v>2.2960836453611355E-2</v>
      </c>
      <c r="S19" s="502"/>
      <c r="T19" s="219">
        <f t="shared" si="6"/>
        <v>61.696847504925465</v>
      </c>
      <c r="U19" s="249">
        <f t="shared" si="5"/>
        <v>38.303152495074535</v>
      </c>
      <c r="V19" s="515">
        <f t="shared" si="2"/>
        <v>100</v>
      </c>
      <c r="W19" s="153">
        <f>(T19*Parameters!$B$41)/(1+cDR)^'Markov Model_SA1'!cycle2</f>
        <v>521712.21940910607</v>
      </c>
      <c r="X19" s="178">
        <f t="shared" si="7"/>
        <v>61.696847504925465</v>
      </c>
      <c r="Y19" s="202">
        <f>(T19*(uPostT))/(1+oDR)^'Markov Model_SA1'!cycle</f>
        <v>45.962274865413384</v>
      </c>
      <c r="Z19" s="80"/>
      <c r="AA19" s="3"/>
      <c r="AB19" s="3"/>
      <c r="AC19" s="297"/>
      <c r="AD19" s="523"/>
      <c r="AE19" s="297"/>
      <c r="AF19" s="3"/>
      <c r="AG19" s="3"/>
      <c r="AH19" s="3"/>
      <c r="AI19" s="14"/>
      <c r="AJ19" s="307"/>
      <c r="AK19" s="14"/>
      <c r="AL19" s="14"/>
      <c r="AM19" s="14"/>
      <c r="AN19" s="14"/>
      <c r="AO19" s="14"/>
      <c r="AP19" s="14"/>
      <c r="AQ19" s="14"/>
      <c r="AR19" s="14"/>
      <c r="AS19" s="14"/>
      <c r="AT19" s="3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</row>
    <row r="20" spans="1:60" ht="14.25" customHeight="1" x14ac:dyDescent="0.2">
      <c r="A20" s="637"/>
      <c r="B20" s="80"/>
      <c r="C20" s="173">
        <v>9</v>
      </c>
      <c r="D20" s="165"/>
      <c r="E20" s="174">
        <v>2.2059440896469829E-2</v>
      </c>
      <c r="F20" s="502"/>
      <c r="G20" s="219">
        <f t="shared" si="3"/>
        <v>64.042757947242279</v>
      </c>
      <c r="H20" s="249">
        <f t="shared" si="4"/>
        <v>35.957242052757721</v>
      </c>
      <c r="I20" s="515">
        <f t="shared" si="0"/>
        <v>100</v>
      </c>
      <c r="J20" s="153">
        <f>(G20*Parameters!$B$41)/(1+cDR)^'Markov Model_SA1'!cycle</f>
        <v>540215.0467515809</v>
      </c>
      <c r="K20" s="178">
        <f t="shared" si="1"/>
        <v>64.042757947242279</v>
      </c>
      <c r="L20" s="202">
        <f>(G20*(uPostT))/(1+oDR)^'Markov Model_SA1'!cycle</f>
        <v>47.590929469785181</v>
      </c>
      <c r="M20" s="80"/>
      <c r="N20" s="3"/>
      <c r="O20" s="80"/>
      <c r="P20" s="173">
        <v>9</v>
      </c>
      <c r="Q20" s="165"/>
      <c r="R20" s="174">
        <v>2.2059440896469829E-2</v>
      </c>
      <c r="S20" s="502"/>
      <c r="T20" s="219">
        <f t="shared" si="6"/>
        <v>60.335849543892053</v>
      </c>
      <c r="U20" s="249">
        <f t="shared" si="5"/>
        <v>39.664150456107947</v>
      </c>
      <c r="V20" s="515">
        <f t="shared" si="2"/>
        <v>100</v>
      </c>
      <c r="W20" s="153">
        <f>(T20*Parameters!$B$41)/(1+cDR)^'Markov Model_SA1'!cycle2</f>
        <v>508946.44182876783</v>
      </c>
      <c r="X20" s="178">
        <f t="shared" si="7"/>
        <v>60.335849543892053</v>
      </c>
      <c r="Y20" s="202">
        <f>(T20*(uPostT))/(1+oDR)^'Markov Model_SA1'!cycle</f>
        <v>44.836282074366579</v>
      </c>
      <c r="Z20" s="80"/>
      <c r="AA20" s="3"/>
      <c r="AB20" s="3"/>
      <c r="AC20" s="297"/>
      <c r="AD20" s="523"/>
      <c r="AE20" s="297"/>
      <c r="AF20" s="3"/>
      <c r="AG20" s="3"/>
      <c r="AH20" s="3"/>
      <c r="AI20" s="268"/>
      <c r="AJ20" s="268"/>
      <c r="AK20" s="268"/>
      <c r="AL20" s="268"/>
      <c r="AM20" s="268"/>
      <c r="AN20" s="268"/>
      <c r="AO20" s="268"/>
      <c r="AP20" s="3"/>
      <c r="AQ20" s="3"/>
      <c r="AR20" s="3"/>
      <c r="AS20" s="3"/>
      <c r="AT20" s="3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</row>
    <row r="21" spans="1:60" ht="14.25" customHeight="1" x14ac:dyDescent="0.2">
      <c r="A21" s="637"/>
      <c r="B21" s="80"/>
      <c r="C21" s="173">
        <v>10</v>
      </c>
      <c r="D21" s="165"/>
      <c r="E21" s="174">
        <v>2.119304724540283E-2</v>
      </c>
      <c r="F21" s="502"/>
      <c r="G21" s="219">
        <f t="shared" si="3"/>
        <v>62.685496752340477</v>
      </c>
      <c r="H21" s="249">
        <f t="shared" si="4"/>
        <v>37.314503247659523</v>
      </c>
      <c r="I21" s="515">
        <f t="shared" si="0"/>
        <v>100</v>
      </c>
      <c r="J21" s="153">
        <f>(G21*Parameters!$B$41)/(1+cDR)^'Markov Model_SA1'!cycle</f>
        <v>527463.40912256436</v>
      </c>
      <c r="K21" s="178">
        <f t="shared" si="1"/>
        <v>62.685496752340477</v>
      </c>
      <c r="L21" s="202">
        <f>(G21*(uPostT))/(1+oDR)^'Markov Model_SA1'!cycle</f>
        <v>46.466167234991921</v>
      </c>
      <c r="M21" s="80"/>
      <c r="N21" s="3"/>
      <c r="O21" s="80"/>
      <c r="P21" s="173">
        <v>10</v>
      </c>
      <c r="Q21" s="165"/>
      <c r="R21" s="174">
        <v>2.119304724540283E-2</v>
      </c>
      <c r="S21" s="502"/>
      <c r="T21" s="219">
        <f t="shared" si="6"/>
        <v>59.057149033916829</v>
      </c>
      <c r="U21" s="249">
        <f t="shared" si="5"/>
        <v>40.942850966083171</v>
      </c>
      <c r="V21" s="515">
        <f t="shared" si="2"/>
        <v>100</v>
      </c>
      <c r="W21" s="153">
        <f>(T21*Parameters!$B$41)/(1+cDR)^'Markov Model_SA1'!cycle2</f>
        <v>496932.89159946027</v>
      </c>
      <c r="X21" s="178">
        <f t="shared" si="7"/>
        <v>59.057149033916829</v>
      </c>
      <c r="Y21" s="202">
        <f>(T21*(uPostT))/(1+oDR)^'Markov Model_SA1'!cycle</f>
        <v>43.776623072375386</v>
      </c>
      <c r="Z21" s="80"/>
      <c r="AA21" s="3"/>
      <c r="AB21" s="3"/>
      <c r="AC21" s="297"/>
      <c r="AD21" s="523"/>
      <c r="AE21" s="297"/>
      <c r="AF21" s="3"/>
      <c r="AG21" s="3"/>
      <c r="AH21" s="3"/>
      <c r="AI21" s="268"/>
      <c r="AJ21" s="268"/>
      <c r="AK21" s="268"/>
      <c r="AL21" s="268"/>
      <c r="AM21" s="268"/>
      <c r="AN21" s="268"/>
      <c r="AO21" s="268"/>
      <c r="AP21" s="3"/>
      <c r="AQ21" s="3"/>
      <c r="AR21" s="3"/>
      <c r="AS21" s="3"/>
      <c r="AT21" s="3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</row>
    <row r="22" spans="1:60" ht="14.25" customHeight="1" x14ac:dyDescent="0.2">
      <c r="A22" s="637"/>
      <c r="B22" s="80"/>
      <c r="C22" s="173">
        <v>11</v>
      </c>
      <c r="D22" s="165"/>
      <c r="E22" s="174">
        <v>2.0360326228659686E-2</v>
      </c>
      <c r="F22" s="502"/>
      <c r="G22" s="219">
        <f t="shared" si="3"/>
        <v>61.409199588657238</v>
      </c>
      <c r="H22" s="249">
        <f t="shared" si="4"/>
        <v>38.590800411342762</v>
      </c>
      <c r="I22" s="515">
        <f t="shared" si="0"/>
        <v>100</v>
      </c>
      <c r="J22" s="153">
        <f>(G22*Parameters!$B$41)/(1+cDR)^'Markov Model_SA1'!cycle</f>
        <v>515450.91827101872</v>
      </c>
      <c r="K22" s="178">
        <f t="shared" si="1"/>
        <v>61.409199588657238</v>
      </c>
      <c r="L22" s="202">
        <f>(G22*(uPostT))/(1+oDR)^'Markov Model_SA1'!cycle</f>
        <v>45.406584450366111</v>
      </c>
      <c r="M22" s="80"/>
      <c r="N22" s="3"/>
      <c r="O22" s="80"/>
      <c r="P22" s="173">
        <v>11</v>
      </c>
      <c r="Q22" s="165"/>
      <c r="R22" s="174">
        <v>2.0360326228659686E-2</v>
      </c>
      <c r="S22" s="502"/>
      <c r="T22" s="219">
        <f t="shared" si="6"/>
        <v>57.854726213451706</v>
      </c>
      <c r="U22" s="249">
        <f t="shared" si="5"/>
        <v>42.145273786548294</v>
      </c>
      <c r="V22" s="515">
        <f t="shared" si="2"/>
        <v>100</v>
      </c>
      <c r="W22" s="153">
        <f>(T22*Parameters!$B$41)/(1+cDR)^'Markov Model_SA1'!cycle2</f>
        <v>485615.70502134145</v>
      </c>
      <c r="X22" s="178">
        <f t="shared" si="7"/>
        <v>57.854726213451706</v>
      </c>
      <c r="Y22" s="202">
        <f>(T22*(uPostT))/(1+oDR)^'Markov Model_SA1'!cycle</f>
        <v>42.77837081838679</v>
      </c>
      <c r="Z22" s="80"/>
      <c r="AA22" s="3"/>
      <c r="AB22" s="3"/>
      <c r="AC22" s="14"/>
      <c r="AD22" s="525"/>
      <c r="AE22" s="14"/>
      <c r="AF22" s="3"/>
      <c r="AG22" s="3"/>
      <c r="AH22" s="3"/>
      <c r="AI22" s="268"/>
      <c r="AJ22" s="268"/>
      <c r="AK22" s="268"/>
      <c r="AL22" s="268"/>
      <c r="AM22" s="268"/>
      <c r="AN22" s="268"/>
      <c r="AO22" s="268"/>
      <c r="AP22" s="3"/>
      <c r="AQ22" s="3"/>
      <c r="AR22" s="3"/>
      <c r="AS22" s="3"/>
      <c r="AT22" s="3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</row>
    <row r="23" spans="1:60" ht="14.25" customHeight="1" x14ac:dyDescent="0.2">
      <c r="A23" s="637"/>
      <c r="B23" s="80"/>
      <c r="C23" s="173">
        <v>12</v>
      </c>
      <c r="D23" s="504"/>
      <c r="E23" s="174">
        <v>1.9559996727496309E-2</v>
      </c>
      <c r="F23" s="505"/>
      <c r="G23" s="219">
        <f t="shared" si="3"/>
        <v>60.208035845664938</v>
      </c>
      <c r="H23" s="249">
        <f t="shared" si="4"/>
        <v>39.791964154335062</v>
      </c>
      <c r="I23" s="516">
        <f t="shared" si="0"/>
        <v>100</v>
      </c>
      <c r="J23" s="180">
        <f>(G23*Parameters!$B$41)/(1+cDR)^'Markov Model_SA1'!cycle</f>
        <v>504123.51491461351</v>
      </c>
      <c r="K23" s="176">
        <f t="shared" si="1"/>
        <v>60.208035845664938</v>
      </c>
      <c r="L23" s="202">
        <f>(G23*(uPostT))/(1+oDR)^'Markov Model_SA1'!cycle</f>
        <v>44.40741327392535</v>
      </c>
      <c r="M23" s="80"/>
      <c r="N23" s="3"/>
      <c r="O23" s="80"/>
      <c r="P23" s="173">
        <v>12</v>
      </c>
      <c r="Q23" s="504"/>
      <c r="R23" s="174">
        <v>1.9559996727496309E-2</v>
      </c>
      <c r="S23" s="505"/>
      <c r="T23" s="219">
        <f t="shared" si="6"/>
        <v>56.723087958046392</v>
      </c>
      <c r="U23" s="249">
        <f t="shared" si="5"/>
        <v>43.276912041953608</v>
      </c>
      <c r="V23" s="516">
        <f t="shared" si="2"/>
        <v>100</v>
      </c>
      <c r="W23" s="180">
        <f>(T23*Parameters!$B$41)/(1+cDR)^'Markov Model_SA1'!cycle2</f>
        <v>474943.95185921091</v>
      </c>
      <c r="X23" s="176">
        <f t="shared" si="7"/>
        <v>56.723087958046392</v>
      </c>
      <c r="Y23" s="202">
        <f>(T23*(uPostT))/(1+oDR)^'Markov Model_SA1'!cycle</f>
        <v>41.837033441567598</v>
      </c>
      <c r="Z23" s="80"/>
      <c r="AA23" s="3"/>
      <c r="AB23" s="3"/>
      <c r="AC23" s="14">
        <v>0</v>
      </c>
      <c r="AD23" s="525"/>
      <c r="AE23" s="526"/>
      <c r="AF23" s="3"/>
      <c r="AG23" s="3"/>
      <c r="AH23" s="3"/>
      <c r="AI23" s="268"/>
      <c r="AJ23" s="268"/>
      <c r="AK23" s="268"/>
      <c r="AL23" s="268"/>
      <c r="AM23" s="268"/>
      <c r="AN23" s="268"/>
      <c r="AO23" s="268"/>
      <c r="AP23" s="3"/>
      <c r="AQ23" s="3"/>
      <c r="AR23" s="3"/>
      <c r="AS23" s="3"/>
      <c r="AT23" s="3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</row>
    <row r="24" spans="1:60" ht="14.25" customHeight="1" x14ac:dyDescent="0.25">
      <c r="A24" s="637" t="s">
        <v>543</v>
      </c>
      <c r="B24" s="80"/>
      <c r="C24" s="506">
        <v>13</v>
      </c>
      <c r="D24" s="506"/>
      <c r="E24" s="507">
        <v>1.8790824215674573E-2</v>
      </c>
      <c r="F24" s="508"/>
      <c r="G24" s="509">
        <f t="shared" si="3"/>
        <v>59.076677227718015</v>
      </c>
      <c r="H24" s="510">
        <f t="shared" si="4"/>
        <v>40.923322772281985</v>
      </c>
      <c r="I24" s="517">
        <f t="shared" si="0"/>
        <v>100</v>
      </c>
      <c r="J24" s="511">
        <f>(G24*0)/(1+cDR)^'Markov Model_SA1'!cycle</f>
        <v>0</v>
      </c>
      <c r="K24" s="512">
        <f t="shared" si="1"/>
        <v>59.076677227718015</v>
      </c>
      <c r="L24" s="513">
        <f>(G24*(uPostT))/(1+oDR)^'Markov Model_SA1'!cycle</f>
        <v>43.464300625658062</v>
      </c>
      <c r="M24" s="80"/>
      <c r="N24" s="3"/>
      <c r="O24" s="80"/>
      <c r="P24" s="506">
        <v>13</v>
      </c>
      <c r="Q24" s="506"/>
      <c r="R24" s="507">
        <v>1.8790824215674573E-2</v>
      </c>
      <c r="S24" s="508"/>
      <c r="T24" s="509">
        <f t="shared" si="6"/>
        <v>55.657214383256495</v>
      </c>
      <c r="U24" s="510">
        <f t="shared" si="5"/>
        <v>44.342785616743505</v>
      </c>
      <c r="V24" s="517">
        <f t="shared" si="2"/>
        <v>100</v>
      </c>
      <c r="W24" s="511">
        <f>(T24*0)/(1+cDR)^'Markov Model_SA1'!cycle2</f>
        <v>0</v>
      </c>
      <c r="X24" s="512">
        <f t="shared" si="7"/>
        <v>55.657214383256495</v>
      </c>
      <c r="Y24" s="513">
        <f>(T24*(uPostT))/(1+oDR)^'Markov Model_SA1'!cycle</f>
        <v>40.948509825897055</v>
      </c>
      <c r="Z24" s="80"/>
      <c r="AA24" s="3"/>
      <c r="AB24" s="3"/>
      <c r="AC24" s="14">
        <v>12</v>
      </c>
      <c r="AD24" s="525"/>
      <c r="AE24" s="525"/>
      <c r="AF24" s="3"/>
      <c r="AG24" s="3"/>
      <c r="AH24" s="3"/>
      <c r="AI24" s="268"/>
      <c r="AJ24" s="268"/>
      <c r="AK24" s="268"/>
      <c r="AL24" s="268"/>
      <c r="AM24" s="268"/>
      <c r="AN24" s="268"/>
      <c r="AO24" s="268"/>
      <c r="AP24" s="3"/>
      <c r="AQ24" s="3"/>
      <c r="AR24" s="3"/>
      <c r="AS24" s="3"/>
      <c r="AT24" s="3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</row>
    <row r="25" spans="1:60" ht="14.25" customHeight="1" x14ac:dyDescent="0.2">
      <c r="A25" s="637"/>
      <c r="B25" s="80"/>
      <c r="C25" s="173">
        <v>14</v>
      </c>
      <c r="D25" s="165"/>
      <c r="E25" s="174">
        <v>1.8051619234516147E-2</v>
      </c>
      <c r="F25" s="502"/>
      <c r="G25" s="219">
        <f t="shared" si="3"/>
        <v>58.010247544762841</v>
      </c>
      <c r="H25" s="249">
        <f t="shared" si="4"/>
        <v>41.989752455237159</v>
      </c>
      <c r="I25" s="515">
        <f t="shared" si="0"/>
        <v>100</v>
      </c>
      <c r="J25" s="153">
        <f>(G25*0)/(1+cDR)^'Markov Model_SA1'!cycle</f>
        <v>0</v>
      </c>
      <c r="K25" s="178">
        <f t="shared" si="1"/>
        <v>58.010247544762841</v>
      </c>
      <c r="L25" s="202">
        <f>(G25*(uPostT))/(1+oDR)^'Markov Model_SA1'!cycle</f>
        <v>42.573266454333321</v>
      </c>
      <c r="M25" s="80"/>
      <c r="N25" s="3"/>
      <c r="O25" s="80"/>
      <c r="P25" s="173">
        <v>14</v>
      </c>
      <c r="Q25" s="165"/>
      <c r="R25" s="174">
        <v>1.8051619234516147E-2</v>
      </c>
      <c r="S25" s="502"/>
      <c r="T25" s="219">
        <f t="shared" si="6"/>
        <v>54.652511541556116</v>
      </c>
      <c r="U25" s="249">
        <f t="shared" si="5"/>
        <v>45.347488458443884</v>
      </c>
      <c r="V25" s="515">
        <f t="shared" si="2"/>
        <v>100</v>
      </c>
      <c r="W25" s="153">
        <f>(T25*0)/(1+cDR)^'Markov Model_SA1'!cycle2</f>
        <v>0</v>
      </c>
      <c r="X25" s="178">
        <f t="shared" si="7"/>
        <v>54.652511541556116</v>
      </c>
      <c r="Y25" s="202">
        <f>(T25*(uPostT))/(1+oDR)^'Markov Model_SA1'!cycle</f>
        <v>40.109050292567716</v>
      </c>
      <c r="Z25" s="80"/>
      <c r="AA25" s="3"/>
      <c r="AB25" s="3"/>
      <c r="AC25" s="14">
        <v>13</v>
      </c>
      <c r="AD25" s="525"/>
      <c r="AE25" s="14"/>
      <c r="AF25" s="3"/>
      <c r="AG25" s="3"/>
      <c r="AH25" s="3"/>
      <c r="AI25" s="268"/>
      <c r="AJ25" s="268"/>
      <c r="AK25" s="268"/>
      <c r="AL25" s="268"/>
      <c r="AM25" s="268"/>
      <c r="AN25" s="268"/>
      <c r="AO25" s="268"/>
      <c r="AP25" s="3"/>
      <c r="AQ25" s="3"/>
      <c r="AR25" s="3"/>
      <c r="AS25" s="3"/>
      <c r="AT25" s="3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</row>
    <row r="26" spans="1:60" ht="14.25" customHeight="1" x14ac:dyDescent="0.2">
      <c r="A26" s="637"/>
      <c r="B26" s="80"/>
      <c r="C26" s="173">
        <v>15</v>
      </c>
      <c r="D26" s="165"/>
      <c r="E26" s="174">
        <v>1.7341235904053898E-2</v>
      </c>
      <c r="F26" s="502"/>
      <c r="G26" s="219">
        <f t="shared" si="3"/>
        <v>57.004278157236541</v>
      </c>
      <c r="H26" s="249">
        <f t="shared" si="4"/>
        <v>42.995721842763459</v>
      </c>
      <c r="I26" s="515">
        <f t="shared" si="0"/>
        <v>100</v>
      </c>
      <c r="J26" s="153">
        <f>(G26*0)/(1+cDR)^'Markov Model_SA1'!cycle</f>
        <v>0</v>
      </c>
      <c r="K26" s="178">
        <f t="shared" si="1"/>
        <v>57.004278157236541</v>
      </c>
      <c r="L26" s="202">
        <f>(G26*(uPostT))/(1+oDR)^'Markov Model_SA1'!cycle</f>
        <v>41.730666730715797</v>
      </c>
      <c r="M26" s="80"/>
      <c r="N26" s="3"/>
      <c r="O26" s="80"/>
      <c r="P26" s="173">
        <v>15</v>
      </c>
      <c r="Q26" s="165"/>
      <c r="R26" s="174">
        <v>1.7341235904053898E-2</v>
      </c>
      <c r="S26" s="502"/>
      <c r="T26" s="219">
        <f t="shared" si="6"/>
        <v>53.70476944616496</v>
      </c>
      <c r="U26" s="249">
        <f t="shared" si="5"/>
        <v>46.29523055383504</v>
      </c>
      <c r="V26" s="515">
        <f t="shared" si="2"/>
        <v>100</v>
      </c>
      <c r="W26" s="153">
        <f>(T26*0)/(1+cDR)^'Markov Model_SA1'!cycle2</f>
        <v>0</v>
      </c>
      <c r="X26" s="178">
        <f t="shared" si="7"/>
        <v>53.70476944616496</v>
      </c>
      <c r="Y26" s="202">
        <f>(T26*(uPostT))/(1+oDR)^'Markov Model_SA1'!cycle</f>
        <v>39.315221735218685</v>
      </c>
      <c r="Z26" s="80"/>
      <c r="AA26" s="3"/>
      <c r="AB26" s="3"/>
      <c r="AC26" s="14">
        <v>14</v>
      </c>
      <c r="AD26" s="525"/>
      <c r="AE26" s="14"/>
      <c r="AF26" s="3"/>
      <c r="AG26" s="3"/>
      <c r="AH26" s="3"/>
      <c r="AI26" s="268"/>
      <c r="AJ26" s="268"/>
      <c r="AK26" s="268"/>
      <c r="AL26" s="268"/>
      <c r="AM26" s="268"/>
      <c r="AN26" s="268"/>
      <c r="AO26" s="268"/>
      <c r="AP26" s="3"/>
      <c r="AQ26" s="3"/>
      <c r="AR26" s="3"/>
      <c r="AS26" s="3"/>
      <c r="AT26" s="3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</row>
    <row r="27" spans="1:60" ht="14.25" customHeight="1" x14ac:dyDescent="0.2">
      <c r="A27" s="637"/>
      <c r="B27" s="80"/>
      <c r="C27" s="173">
        <v>16</v>
      </c>
      <c r="D27" s="165"/>
      <c r="E27" s="174">
        <v>1.665857047065189E-2</v>
      </c>
      <c r="F27" s="502"/>
      <c r="G27" s="219">
        <f t="shared" si="3"/>
        <v>56.054668372425574</v>
      </c>
      <c r="H27" s="249">
        <f t="shared" si="4"/>
        <v>43.945331627574426</v>
      </c>
      <c r="I27" s="515">
        <f t="shared" si="0"/>
        <v>100</v>
      </c>
      <c r="J27" s="153">
        <f>(G27*0)/(1+cDR)^'Markov Model_SA1'!cycle</f>
        <v>0</v>
      </c>
      <c r="K27" s="178">
        <f t="shared" si="1"/>
        <v>56.054668372425574</v>
      </c>
      <c r="L27" s="202">
        <f>(G27*(uPostT))/(1+oDR)^'Markov Model_SA1'!cycle</f>
        <v>40.933160576752989</v>
      </c>
      <c r="M27" s="80"/>
      <c r="N27" s="3"/>
      <c r="O27" s="80"/>
      <c r="P27" s="173">
        <v>16</v>
      </c>
      <c r="Q27" s="165"/>
      <c r="R27" s="174">
        <v>1.665857047065189E-2</v>
      </c>
      <c r="S27" s="502"/>
      <c r="T27" s="219">
        <f t="shared" si="6"/>
        <v>52.810124759735906</v>
      </c>
      <c r="U27" s="249">
        <f t="shared" si="5"/>
        <v>47.189875240264094</v>
      </c>
      <c r="V27" s="515">
        <f t="shared" si="2"/>
        <v>100</v>
      </c>
      <c r="W27" s="153">
        <f>(T27*0)/(1+cDR)^'Markov Model_SA1'!cycle2</f>
        <v>0</v>
      </c>
      <c r="X27" s="178">
        <f t="shared" si="7"/>
        <v>52.810124759735906</v>
      </c>
      <c r="Y27" s="202">
        <f>(T27*(uPostT))/(1+oDR)^'Markov Model_SA1'!cycle</f>
        <v>38.563876651743875</v>
      </c>
      <c r="Z27" s="80"/>
      <c r="AA27" s="3"/>
      <c r="AB27" s="3"/>
      <c r="AC27" s="14">
        <v>15</v>
      </c>
      <c r="AD27" s="525"/>
      <c r="AE27" s="14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</row>
    <row r="28" spans="1:60" ht="14.25" customHeight="1" x14ac:dyDescent="0.2">
      <c r="A28" s="637"/>
      <c r="B28" s="80"/>
      <c r="C28" s="173">
        <v>17</v>
      </c>
      <c r="D28" s="165"/>
      <c r="E28" s="174">
        <v>1.6002559891328927E-2</v>
      </c>
      <c r="F28" s="502"/>
      <c r="G28" s="219">
        <f t="shared" si="3"/>
        <v>55.157650184607256</v>
      </c>
      <c r="H28" s="249">
        <f t="shared" si="4"/>
        <v>44.842349815392744</v>
      </c>
      <c r="I28" s="515">
        <f t="shared" si="0"/>
        <v>100</v>
      </c>
      <c r="J28" s="153">
        <f>(G28*0)/(1+cDR)^'Markov Model_SA1'!cycle</f>
        <v>0</v>
      </c>
      <c r="K28" s="178">
        <f t="shared" si="1"/>
        <v>55.157650184607256</v>
      </c>
      <c r="L28" s="202">
        <f>(G28*(uPostT))/(1+oDR)^'Markov Model_SA1'!cycle</f>
        <v>40.177681020530798</v>
      </c>
      <c r="M28" s="80"/>
      <c r="N28" s="3"/>
      <c r="O28" s="80"/>
      <c r="P28" s="173">
        <v>17</v>
      </c>
      <c r="Q28" s="165"/>
      <c r="R28" s="174">
        <v>1.6002559891328927E-2</v>
      </c>
      <c r="S28" s="502"/>
      <c r="T28" s="219">
        <f t="shared" si="6"/>
        <v>51.965027575399681</v>
      </c>
      <c r="U28" s="249">
        <f t="shared" si="5"/>
        <v>48.034972424600319</v>
      </c>
      <c r="V28" s="515">
        <f t="shared" si="2"/>
        <v>100</v>
      </c>
      <c r="W28" s="153">
        <f>(T28*0)/(1+cDR)^'Markov Model_SA1'!cycle2</f>
        <v>0</v>
      </c>
      <c r="X28" s="178">
        <f t="shared" si="7"/>
        <v>51.965027575399681</v>
      </c>
      <c r="Y28" s="202">
        <f>(T28*(uPostT))/(1+oDR)^'Markov Model_SA1'!cycle</f>
        <v>37.852125592002523</v>
      </c>
      <c r="Z28" s="80"/>
      <c r="AA28" s="3"/>
      <c r="AB28" s="3"/>
      <c r="AC28" s="14">
        <v>16</v>
      </c>
      <c r="AD28" s="525"/>
      <c r="AE28" s="14"/>
      <c r="AF28" s="3"/>
      <c r="AG28" s="3"/>
      <c r="AH28" s="3"/>
      <c r="AI28" s="14"/>
      <c r="AJ28" s="14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</row>
    <row r="29" spans="1:60" ht="14.25" customHeight="1" x14ac:dyDescent="0.2">
      <c r="A29" s="637"/>
      <c r="B29" s="80"/>
      <c r="C29" s="173">
        <v>18</v>
      </c>
      <c r="D29" s="165"/>
      <c r="E29" s="174">
        <v>1.5372180454884199E-2</v>
      </c>
      <c r="F29" s="502"/>
      <c r="G29" s="219">
        <f t="shared" si="3"/>
        <v>54.309756832502096</v>
      </c>
      <c r="H29" s="249">
        <f t="shared" si="4"/>
        <v>45.690243167497904</v>
      </c>
      <c r="I29" s="515">
        <f t="shared" si="0"/>
        <v>100</v>
      </c>
      <c r="J29" s="153">
        <f>(G29*0)/(1+cDR)^'Markov Model_SA1'!cycle</f>
        <v>0</v>
      </c>
      <c r="K29" s="178">
        <f t="shared" si="1"/>
        <v>54.309756832502096</v>
      </c>
      <c r="L29" s="202">
        <f>(G29*(uPostT))/(1+oDR)^'Markov Model_SA1'!cycle</f>
        <v>39.461408935286201</v>
      </c>
      <c r="M29" s="80"/>
      <c r="N29" s="3"/>
      <c r="O29" s="80"/>
      <c r="P29" s="173">
        <v>18</v>
      </c>
      <c r="Q29" s="165"/>
      <c r="R29" s="174">
        <v>1.5372180454884199E-2</v>
      </c>
      <c r="S29" s="502"/>
      <c r="T29" s="219">
        <f t="shared" si="6"/>
        <v>51.166211794167602</v>
      </c>
      <c r="U29" s="249">
        <f t="shared" si="5"/>
        <v>48.833788205832398</v>
      </c>
      <c r="V29" s="515">
        <f t="shared" si="2"/>
        <v>100</v>
      </c>
      <c r="W29" s="153">
        <f>(T29*0)/(1+cDR)^'Markov Model_SA1'!cycle2</f>
        <v>0</v>
      </c>
      <c r="X29" s="178">
        <f t="shared" si="7"/>
        <v>51.166211794167602</v>
      </c>
      <c r="Y29" s="202">
        <f>(T29*(uPostT))/(1+oDR)^'Markov Model_SA1'!cycle</f>
        <v>37.177312605288094</v>
      </c>
      <c r="Z29" s="80"/>
      <c r="AA29" s="3"/>
      <c r="AB29" s="3"/>
      <c r="AC29" s="14">
        <v>17</v>
      </c>
      <c r="AD29" s="525"/>
      <c r="AE29" s="14"/>
      <c r="AF29" s="3"/>
      <c r="AG29" s="3"/>
      <c r="AH29" s="3"/>
      <c r="AI29" s="14"/>
      <c r="AJ29" s="14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</row>
    <row r="30" spans="1:60" ht="14.25" customHeight="1" x14ac:dyDescent="0.2">
      <c r="A30" s="637"/>
      <c r="B30" s="80"/>
      <c r="C30" s="173">
        <v>19</v>
      </c>
      <c r="D30" s="165"/>
      <c r="E30" s="174">
        <v>1.4766446439807179E-2</v>
      </c>
      <c r="F30" s="502"/>
      <c r="G30" s="219">
        <f t="shared" si="3"/>
        <v>53.507794717076003</v>
      </c>
      <c r="H30" s="249">
        <f t="shared" si="4"/>
        <v>46.492205282923997</v>
      </c>
      <c r="I30" s="515">
        <f t="shared" si="0"/>
        <v>100</v>
      </c>
      <c r="J30" s="153">
        <f>(G30*0)/(1+cDR)^'Markov Model_SA1'!cycle</f>
        <v>0</v>
      </c>
      <c r="K30" s="178">
        <f t="shared" si="1"/>
        <v>53.507794717076003</v>
      </c>
      <c r="L30" s="202">
        <f>(G30*(uPostT))/(1+oDR)^'Markov Model_SA1'!cycle</f>
        <v>38.781749779355586</v>
      </c>
      <c r="M30" s="80"/>
      <c r="N30" s="3"/>
      <c r="O30" s="80"/>
      <c r="P30" s="173">
        <v>19</v>
      </c>
      <c r="Q30" s="165"/>
      <c r="R30" s="174">
        <v>1.4766446439807179E-2</v>
      </c>
      <c r="S30" s="502"/>
      <c r="T30" s="219">
        <f t="shared" si="6"/>
        <v>50.410668668181195</v>
      </c>
      <c r="U30" s="249">
        <f t="shared" si="5"/>
        <v>49.589331331818805</v>
      </c>
      <c r="V30" s="515">
        <f t="shared" si="2"/>
        <v>100</v>
      </c>
      <c r="W30" s="153">
        <f>(T30*0)/(1+cDR)^'Markov Model_SA1'!cycle2</f>
        <v>0</v>
      </c>
      <c r="X30" s="178">
        <f t="shared" si="7"/>
        <v>50.410668668181195</v>
      </c>
      <c r="Y30" s="202">
        <f>(T30*(uPostT))/(1+oDR)^'Markov Model_SA1'!cycle</f>
        <v>36.536993326609618</v>
      </c>
      <c r="Z30" s="80"/>
      <c r="AA30" s="3"/>
      <c r="AB30" s="3"/>
      <c r="AC30" s="14">
        <v>18</v>
      </c>
      <c r="AD30" s="525"/>
      <c r="AE30" s="14"/>
      <c r="AF30" s="3"/>
      <c r="AG30" s="3"/>
      <c r="AH30" s="3"/>
      <c r="AI30" s="14"/>
      <c r="AJ30" s="14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</row>
    <row r="31" spans="1:60" ht="14.25" customHeight="1" x14ac:dyDescent="0.2">
      <c r="A31" s="637"/>
      <c r="B31" s="80"/>
      <c r="C31" s="173">
        <v>20</v>
      </c>
      <c r="D31" s="165"/>
      <c r="E31" s="174">
        <v>1.4184408808851745E-2</v>
      </c>
      <c r="F31" s="502"/>
      <c r="G31" s="219">
        <f t="shared" si="3"/>
        <v>52.748818282348878</v>
      </c>
      <c r="H31" s="249">
        <f t="shared" si="4"/>
        <v>47.251181717651122</v>
      </c>
      <c r="I31" s="515">
        <f t="shared" si="0"/>
        <v>100</v>
      </c>
      <c r="J31" s="153">
        <f>(G31*0)/(1+cDR)^'Markov Model_SA1'!cycle</f>
        <v>0</v>
      </c>
      <c r="K31" s="178">
        <f t="shared" si="1"/>
        <v>52.748818282348878</v>
      </c>
      <c r="L31" s="202">
        <f>(G31*(uPostT))/(1+oDR)^'Markov Model_SA1'!cycle</f>
        <v>38.136312804152226</v>
      </c>
      <c r="M31" s="80"/>
      <c r="N31" s="3"/>
      <c r="O31" s="80"/>
      <c r="P31" s="173">
        <v>20</v>
      </c>
      <c r="Q31" s="165"/>
      <c r="R31" s="174">
        <v>1.4184408808851745E-2</v>
      </c>
      <c r="S31" s="502"/>
      <c r="T31" s="219">
        <f t="shared" si="6"/>
        <v>49.695623135464139</v>
      </c>
      <c r="U31" s="249">
        <f t="shared" si="5"/>
        <v>50.304376864535861</v>
      </c>
      <c r="V31" s="515">
        <f t="shared" si="2"/>
        <v>100</v>
      </c>
      <c r="W31" s="153">
        <f>(T31*0)/(1+cDR)^'Markov Model_SA1'!cycle2</f>
        <v>0</v>
      </c>
      <c r="X31" s="178">
        <f t="shared" si="7"/>
        <v>49.695623135464139</v>
      </c>
      <c r="Y31" s="202">
        <f>(T31*(uPostT))/(1+oDR)^'Markov Model_SA1'!cycle</f>
        <v>35.928915388148326</v>
      </c>
      <c r="Z31" s="80"/>
      <c r="AA31" s="3"/>
      <c r="AB31" s="3"/>
      <c r="AC31" s="14">
        <v>19</v>
      </c>
      <c r="AD31" s="525"/>
      <c r="AE31" s="14"/>
      <c r="AF31" s="3"/>
      <c r="AG31" s="3"/>
      <c r="AH31" s="3"/>
      <c r="AI31" s="14"/>
      <c r="AJ31" s="14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</row>
    <row r="32" spans="1:60" ht="14.25" customHeight="1" x14ac:dyDescent="0.2">
      <c r="A32" s="637"/>
      <c r="B32" s="80"/>
      <c r="C32" s="173">
        <v>21</v>
      </c>
      <c r="D32" s="165"/>
      <c r="E32" s="174">
        <v>1.3625153940063695E-2</v>
      </c>
      <c r="F32" s="502"/>
      <c r="G32" s="219">
        <f t="shared" si="3"/>
        <v>52.03010751309543</v>
      </c>
      <c r="H32" s="249">
        <f t="shared" si="4"/>
        <v>47.96989248690457</v>
      </c>
      <c r="I32" s="515">
        <f t="shared" si="0"/>
        <v>100</v>
      </c>
      <c r="J32" s="153">
        <f>(G32*0)/(1+cDR)^'Markov Model_SA1'!cycle</f>
        <v>0</v>
      </c>
      <c r="K32" s="178">
        <f t="shared" si="1"/>
        <v>52.03010751309543</v>
      </c>
      <c r="L32" s="202">
        <f>(G32*(uPostT))/(1+oDR)^'Markov Model_SA1'!cycle</f>
        <v>37.522892440388262</v>
      </c>
      <c r="M32" s="80"/>
      <c r="N32" s="3"/>
      <c r="O32" s="80"/>
      <c r="P32" s="173">
        <v>21</v>
      </c>
      <c r="Q32" s="165"/>
      <c r="R32" s="174">
        <v>1.3625153940063695E-2</v>
      </c>
      <c r="S32" s="502"/>
      <c r="T32" s="219">
        <f t="shared" si="6"/>
        <v>49.018512620096047</v>
      </c>
      <c r="U32" s="249">
        <f t="shared" si="5"/>
        <v>50.981487379903953</v>
      </c>
      <c r="V32" s="515">
        <f t="shared" si="2"/>
        <v>100</v>
      </c>
      <c r="W32" s="153">
        <f>(T32*0)/(1+cDR)^'Markov Model_SA1'!cycle2</f>
        <v>0</v>
      </c>
      <c r="X32" s="178">
        <f t="shared" si="7"/>
        <v>49.018512620096047</v>
      </c>
      <c r="Y32" s="202">
        <f>(T32*(uPostT))/(1+oDR)^'Markov Model_SA1'!cycle</f>
        <v>35.35100088287809</v>
      </c>
      <c r="Z32" s="80"/>
      <c r="AA32" s="3"/>
      <c r="AB32" s="3"/>
      <c r="AC32" s="14">
        <v>20</v>
      </c>
      <c r="AD32" s="525"/>
      <c r="AE32" s="14"/>
      <c r="AF32" s="3"/>
      <c r="AG32" s="3"/>
      <c r="AH32" s="3"/>
      <c r="AI32" s="14"/>
      <c r="AJ32" s="14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</row>
    <row r="33" spans="1:60" ht="14.25" customHeight="1" x14ac:dyDescent="0.2">
      <c r="A33" s="637"/>
      <c r="B33" s="80"/>
      <c r="C33" s="173">
        <v>22</v>
      </c>
      <c r="D33" s="165"/>
      <c r="E33" s="174">
        <v>1.3087802393958126E-2</v>
      </c>
      <c r="F33" s="502"/>
      <c r="G33" s="219">
        <f t="shared" si="3"/>
        <v>51.349147747427644</v>
      </c>
      <c r="H33" s="249">
        <f t="shared" si="4"/>
        <v>48.650852252572356</v>
      </c>
      <c r="I33" s="515">
        <f t="shared" si="0"/>
        <v>100</v>
      </c>
      <c r="J33" s="153">
        <f>(G33*0)/(1+cDR)^'Markov Model_SA1'!cycle</f>
        <v>0</v>
      </c>
      <c r="K33" s="178">
        <f t="shared" si="1"/>
        <v>51.349147747427644</v>
      </c>
      <c r="L33" s="202">
        <f>(G33*(uPostT))/(1+oDR)^'Markov Model_SA1'!cycle</f>
        <v>36.939451609854089</v>
      </c>
      <c r="M33" s="80"/>
      <c r="N33" s="3"/>
      <c r="O33" s="80"/>
      <c r="P33" s="173">
        <v>22</v>
      </c>
      <c r="Q33" s="165"/>
      <c r="R33" s="174">
        <v>1.3087802393958126E-2</v>
      </c>
      <c r="S33" s="502"/>
      <c r="T33" s="219">
        <f t="shared" si="6"/>
        <v>48.376968013278486</v>
      </c>
      <c r="U33" s="249">
        <f t="shared" si="5"/>
        <v>51.623031986721514</v>
      </c>
      <c r="V33" s="515">
        <f t="shared" si="2"/>
        <v>100</v>
      </c>
      <c r="W33" s="153">
        <f>(T33*0)/(1+cDR)^'Markov Model_SA1'!cycle2</f>
        <v>0</v>
      </c>
      <c r="X33" s="178">
        <f t="shared" si="7"/>
        <v>48.376968013278486</v>
      </c>
      <c r="Y33" s="202">
        <f>(T33*(uPostT))/(1+oDR)^'Markov Model_SA1'!cycle</f>
        <v>34.801330642288633</v>
      </c>
      <c r="Z33" s="80"/>
      <c r="AA33" s="3"/>
      <c r="AB33" s="3"/>
      <c r="AC33" s="14">
        <v>21</v>
      </c>
      <c r="AD33" s="525"/>
      <c r="AE33" s="14"/>
      <c r="AF33" s="3"/>
      <c r="AG33" s="3"/>
      <c r="AH33" s="3"/>
      <c r="AI33" s="14"/>
      <c r="AJ33" s="14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</row>
    <row r="34" spans="1:60" ht="14.25" customHeight="1" x14ac:dyDescent="0.25">
      <c r="A34" s="637"/>
      <c r="B34" s="80"/>
      <c r="C34" s="173">
        <v>23</v>
      </c>
      <c r="D34" s="165"/>
      <c r="E34" s="174">
        <v>1.2571507716485297E-2</v>
      </c>
      <c r="F34" s="502"/>
      <c r="G34" s="219">
        <f t="shared" si="3"/>
        <v>50.703611540285912</v>
      </c>
      <c r="H34" s="249">
        <f t="shared" si="4"/>
        <v>49.296388459714088</v>
      </c>
      <c r="I34" s="515">
        <f t="shared" si="0"/>
        <v>100</v>
      </c>
      <c r="J34" s="153">
        <f>(G34*0)/(1+cDR)^'Markov Model_SA1'!cycle</f>
        <v>0</v>
      </c>
      <c r="K34" s="178">
        <f t="shared" si="1"/>
        <v>50.703611540285912</v>
      </c>
      <c r="L34" s="202">
        <f>(G34*(uPostT))/(1+oDR)^'Markov Model_SA1'!cycle</f>
        <v>36.384106742042967</v>
      </c>
      <c r="M34" s="80"/>
      <c r="N34" s="3"/>
      <c r="O34" s="80"/>
      <c r="P34" s="173">
        <v>23</v>
      </c>
      <c r="Q34" s="165"/>
      <c r="R34" s="174">
        <v>1.2571507716485297E-2</v>
      </c>
      <c r="S34" s="502"/>
      <c r="T34" s="219">
        <f t="shared" si="6"/>
        <v>47.768796586599393</v>
      </c>
      <c r="U34" s="249">
        <f t="shared" si="5"/>
        <v>52.231203413400607</v>
      </c>
      <c r="V34" s="515">
        <f t="shared" si="2"/>
        <v>100</v>
      </c>
      <c r="W34" s="153">
        <f>(T34*0)/(1+cDR)^'Markov Model_SA1'!cycle2</f>
        <v>0</v>
      </c>
      <c r="X34" s="178">
        <f t="shared" si="7"/>
        <v>47.768796586599393</v>
      </c>
      <c r="Y34" s="202">
        <f>(T34*(uPostT))/(1+oDR)^'Markov Model_SA1'!cycle</f>
        <v>34.278130120274454</v>
      </c>
      <c r="Z34" s="80"/>
      <c r="AA34" s="3"/>
      <c r="AB34" s="3"/>
      <c r="AC34" s="14">
        <v>22</v>
      </c>
      <c r="AD34" s="525"/>
      <c r="AE34" s="14"/>
      <c r="AF34" s="3"/>
      <c r="AG34" s="3"/>
      <c r="AH34" s="3"/>
      <c r="AI34" s="14"/>
      <c r="AJ34" s="204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</row>
    <row r="35" spans="1:60" ht="14.25" customHeight="1" x14ac:dyDescent="0.2">
      <c r="A35" s="637"/>
      <c r="B35" s="80"/>
      <c r="C35" s="173">
        <v>24</v>
      </c>
      <c r="D35" s="504"/>
      <c r="E35" s="174">
        <v>1.2075455277349323E-2</v>
      </c>
      <c r="F35" s="505"/>
      <c r="G35" s="219">
        <f t="shared" si="3"/>
        <v>50.091342346731096</v>
      </c>
      <c r="H35" s="249">
        <f t="shared" si="4"/>
        <v>49.908657653268904</v>
      </c>
      <c r="I35" s="516">
        <f t="shared" si="0"/>
        <v>100</v>
      </c>
      <c r="J35" s="180">
        <f>(G35*0)/(1+cDR)^'Markov Model_SA1'!cycle</f>
        <v>0</v>
      </c>
      <c r="K35" s="176">
        <f t="shared" si="1"/>
        <v>50.091342346731096</v>
      </c>
      <c r="L35" s="202">
        <f>(G35*(uPostT))/(1+oDR)^'Markov Model_SA1'!cycle</f>
        <v>35.855114302516832</v>
      </c>
      <c r="M35" s="80"/>
      <c r="N35" s="3"/>
      <c r="O35" s="80"/>
      <c r="P35" s="173">
        <v>24</v>
      </c>
      <c r="Q35" s="504"/>
      <c r="R35" s="174">
        <v>1.2075455277349323E-2</v>
      </c>
      <c r="S35" s="505"/>
      <c r="T35" s="219">
        <f t="shared" si="6"/>
        <v>47.191966619765118</v>
      </c>
      <c r="U35" s="249">
        <f t="shared" si="5"/>
        <v>52.808033380234882</v>
      </c>
      <c r="V35" s="516">
        <f t="shared" si="2"/>
        <v>100</v>
      </c>
      <c r="W35" s="180">
        <f>(T35*0)/(1+cDR)^'Markov Model_SA1'!cycle2</f>
        <v>0</v>
      </c>
      <c r="X35" s="176">
        <f t="shared" si="7"/>
        <v>47.191966619765118</v>
      </c>
      <c r="Y35" s="202">
        <f>(T35*(uPostT))/(1+oDR)^'Markov Model_SA1'!cycle</f>
        <v>33.77975670126277</v>
      </c>
      <c r="Z35" s="80"/>
      <c r="AA35" s="3"/>
      <c r="AB35" s="3"/>
      <c r="AC35" s="14">
        <v>23</v>
      </c>
      <c r="AD35" s="14"/>
      <c r="AE35" s="14"/>
      <c r="AF35" s="3"/>
      <c r="AG35" s="3"/>
      <c r="AH35" s="3"/>
      <c r="AI35" s="14"/>
      <c r="AJ35" s="14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</row>
    <row r="36" spans="1:60" ht="14.25" customHeight="1" x14ac:dyDescent="0.25">
      <c r="A36" s="637" t="s">
        <v>544</v>
      </c>
      <c r="B36" s="80"/>
      <c r="C36" s="506">
        <v>25</v>
      </c>
      <c r="D36" s="506"/>
      <c r="E36" s="507">
        <v>1.1598861143187311E-2</v>
      </c>
      <c r="F36" s="508"/>
      <c r="G36" s="509">
        <f t="shared" si="3"/>
        <v>49.510339822375506</v>
      </c>
      <c r="H36" s="510">
        <f t="shared" si="4"/>
        <v>50.489660177624494</v>
      </c>
      <c r="I36" s="517">
        <f t="shared" si="0"/>
        <v>100</v>
      </c>
      <c r="J36" s="511">
        <f>(G36*0)/(1+cDR)^'Markov Model_SA1'!cycle</f>
        <v>0</v>
      </c>
      <c r="K36" s="512">
        <f t="shared" si="1"/>
        <v>49.510339822375506</v>
      </c>
      <c r="L36" s="513">
        <f>(G36*(uPostT))/(1+oDR)^'Markov Model_SA1'!cycle</f>
        <v>35.350858663789353</v>
      </c>
      <c r="M36" s="80"/>
      <c r="N36" s="3"/>
      <c r="O36" s="80"/>
      <c r="P36" s="506">
        <v>25</v>
      </c>
      <c r="Q36" s="506"/>
      <c r="R36" s="507">
        <v>1.1598861143187311E-2</v>
      </c>
      <c r="S36" s="508"/>
      <c r="T36" s="509">
        <f t="shared" si="6"/>
        <v>46.644593551868532</v>
      </c>
      <c r="U36" s="510">
        <f t="shared" si="5"/>
        <v>53.355406448131468</v>
      </c>
      <c r="V36" s="517">
        <f t="shared" si="2"/>
        <v>100</v>
      </c>
      <c r="W36" s="511">
        <f>(T36*0)/(1+cDR)^'Markov Model_SA1'!cycle2</f>
        <v>0</v>
      </c>
      <c r="X36" s="512">
        <f t="shared" si="7"/>
        <v>46.644593551868532</v>
      </c>
      <c r="Y36" s="513">
        <f>(T36*(uPostT))/(1+oDR)^'Markov Model_SA1'!cycle</f>
        <v>33.304688273151292</v>
      </c>
      <c r="Z36" s="80"/>
      <c r="AA36" s="3"/>
      <c r="AB36" s="3"/>
      <c r="AC36" s="14">
        <v>24</v>
      </c>
      <c r="AD36" s="14"/>
      <c r="AE36" s="14"/>
      <c r="AF36" s="3"/>
      <c r="AG36" s="3"/>
      <c r="AH36" s="3"/>
      <c r="AI36" s="14"/>
      <c r="AJ36" s="14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</row>
    <row r="37" spans="1:60" ht="14.25" customHeight="1" x14ac:dyDescent="0.2">
      <c r="A37" s="637"/>
      <c r="B37" s="80"/>
      <c r="C37" s="173">
        <v>26</v>
      </c>
      <c r="D37" s="165"/>
      <c r="E37" s="174">
        <v>1.1140970985081267E-2</v>
      </c>
      <c r="F37" s="502"/>
      <c r="G37" s="219">
        <f t="shared" si="3"/>
        <v>48.958746562952911</v>
      </c>
      <c r="H37" s="249">
        <f t="shared" si="4"/>
        <v>51.041253437047089</v>
      </c>
      <c r="I37" s="515">
        <f t="shared" si="0"/>
        <v>100</v>
      </c>
      <c r="J37" s="153">
        <f>(G37*0)/(1+cDR)^'Markov Model_SA1'!cycle</f>
        <v>0</v>
      </c>
      <c r="K37" s="178">
        <f t="shared" si="1"/>
        <v>48.958746562952911</v>
      </c>
      <c r="L37" s="202">
        <f>(G37*(uPostT))/(1+oDR)^'Markov Model_SA1'!cycle</f>
        <v>34.869841170192885</v>
      </c>
      <c r="M37" s="80"/>
      <c r="N37" s="3"/>
      <c r="O37" s="80"/>
      <c r="P37" s="173">
        <v>26</v>
      </c>
      <c r="Q37" s="165"/>
      <c r="R37" s="174">
        <v>1.1140970985081267E-2</v>
      </c>
      <c r="S37" s="502"/>
      <c r="T37" s="219">
        <f t="shared" si="6"/>
        <v>46.124927488496255</v>
      </c>
      <c r="U37" s="249">
        <f t="shared" si="5"/>
        <v>53.875072511503745</v>
      </c>
      <c r="V37" s="515">
        <f t="shared" si="2"/>
        <v>100</v>
      </c>
      <c r="W37" s="153">
        <f>(T37*0)/(1+cDR)^'Markov Model_SA1'!cycle2</f>
        <v>0</v>
      </c>
      <c r="X37" s="178">
        <f t="shared" si="7"/>
        <v>46.124927488496255</v>
      </c>
      <c r="Y37" s="202">
        <f>(T37*(uPostT))/(1+oDR)^'Markov Model_SA1'!cycle</f>
        <v>32.851512925120133</v>
      </c>
      <c r="Z37" s="80"/>
      <c r="AA37" s="3"/>
      <c r="AB37" s="3"/>
      <c r="AC37" s="14">
        <v>25</v>
      </c>
      <c r="AD37" s="14"/>
      <c r="AE37" s="14"/>
      <c r="AF37" s="3"/>
      <c r="AG37" s="3"/>
      <c r="AH37" s="3"/>
      <c r="AI37" s="14"/>
      <c r="AJ37" s="14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</row>
    <row r="38" spans="1:60" ht="14.25" customHeight="1" x14ac:dyDescent="0.2">
      <c r="A38" s="637"/>
      <c r="B38" s="80"/>
      <c r="C38" s="173">
        <v>27</v>
      </c>
      <c r="D38" s="165"/>
      <c r="E38" s="174">
        <v>1.0701059019815884E-2</v>
      </c>
      <c r="F38" s="502"/>
      <c r="G38" s="219">
        <f t="shared" si="3"/>
        <v>48.434836126446541</v>
      </c>
      <c r="H38" s="249">
        <f t="shared" si="4"/>
        <v>51.565163873553459</v>
      </c>
      <c r="I38" s="515">
        <f t="shared" si="0"/>
        <v>100</v>
      </c>
      <c r="J38" s="153">
        <f>(G38*0)/(1+cDR)^'Markov Model_SA1'!cycle</f>
        <v>0</v>
      </c>
      <c r="K38" s="178">
        <f t="shared" si="1"/>
        <v>48.434836126446541</v>
      </c>
      <c r="L38" s="202">
        <f>(G38*(uPostT))/(1+oDR)^'Markov Model_SA1'!cycle</f>
        <v>34.410670266153666</v>
      </c>
      <c r="M38" s="80"/>
      <c r="N38" s="3"/>
      <c r="O38" s="80"/>
      <c r="P38" s="173">
        <v>27</v>
      </c>
      <c r="Q38" s="165"/>
      <c r="R38" s="174">
        <v>1.0701059019815884E-2</v>
      </c>
      <c r="S38" s="502"/>
      <c r="T38" s="219">
        <f t="shared" si="6"/>
        <v>45.63134191715713</v>
      </c>
      <c r="U38" s="249">
        <f t="shared" si="5"/>
        <v>54.36865808284287</v>
      </c>
      <c r="V38" s="515">
        <f t="shared" si="2"/>
        <v>100</v>
      </c>
      <c r="W38" s="153">
        <f>(T38*0)/(1+cDR)^'Markov Model_SA1'!cycle2</f>
        <v>0</v>
      </c>
      <c r="X38" s="178">
        <f t="shared" si="7"/>
        <v>45.63134191715713</v>
      </c>
      <c r="Y38" s="202">
        <f>(T38*(uPostT))/(1+oDR)^'Markov Model_SA1'!cycle</f>
        <v>32.418919647299937</v>
      </c>
      <c r="Z38" s="80"/>
      <c r="AA38" s="3"/>
      <c r="AB38" s="3"/>
      <c r="AC38" s="14">
        <v>26</v>
      </c>
      <c r="AD38" s="14"/>
      <c r="AE38" s="14"/>
      <c r="AF38" s="3"/>
      <c r="AG38" s="3"/>
      <c r="AH38" s="3"/>
      <c r="AI38" s="14"/>
      <c r="AJ38" s="14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</row>
    <row r="39" spans="1:60" ht="14.25" customHeight="1" x14ac:dyDescent="0.2">
      <c r="A39" s="637"/>
      <c r="B39" s="80"/>
      <c r="C39" s="173">
        <v>28</v>
      </c>
      <c r="D39" s="165"/>
      <c r="E39" s="174">
        <v>1.0278426984274724E-2</v>
      </c>
      <c r="F39" s="502"/>
      <c r="G39" s="219">
        <f t="shared" si="3"/>
        <v>47.93700219982555</v>
      </c>
      <c r="H39" s="249">
        <f t="shared" si="4"/>
        <v>52.06299780017445</v>
      </c>
      <c r="I39" s="515">
        <f t="shared" si="0"/>
        <v>100</v>
      </c>
      <c r="J39" s="153">
        <f>(G39*0)/(1+cDR)^'Markov Model_SA1'!cycle</f>
        <v>0</v>
      </c>
      <c r="K39" s="178">
        <f t="shared" si="1"/>
        <v>47.93700219982555</v>
      </c>
      <c r="L39" s="202">
        <f>(G39*(uPostT))/(1+oDR)^'Markov Model_SA1'!cycle</f>
        <v>33.972052572910783</v>
      </c>
      <c r="M39" s="80"/>
      <c r="N39" s="3"/>
      <c r="O39" s="80"/>
      <c r="P39" s="173">
        <v>28</v>
      </c>
      <c r="Q39" s="165"/>
      <c r="R39" s="174">
        <v>1.0278426984274724E-2</v>
      </c>
      <c r="S39" s="502"/>
      <c r="T39" s="219">
        <f t="shared" si="6"/>
        <v>45.162323501067156</v>
      </c>
      <c r="U39" s="249">
        <f t="shared" si="5"/>
        <v>54.837676498932844</v>
      </c>
      <c r="V39" s="515">
        <f t="shared" si="2"/>
        <v>100</v>
      </c>
      <c r="W39" s="153">
        <f>(T39*0)/(1+cDR)^'Markov Model_SA1'!cycle2</f>
        <v>0</v>
      </c>
      <c r="X39" s="178">
        <f t="shared" si="7"/>
        <v>45.162323501067156</v>
      </c>
      <c r="Y39" s="202">
        <f>(T39*(uPostT))/(1+oDR)^'Markov Model_SA1'!cycle</f>
        <v>32.005689923986125</v>
      </c>
      <c r="Z39" s="80"/>
      <c r="AA39" s="3"/>
      <c r="AB39" s="3"/>
      <c r="AC39" s="14">
        <v>27</v>
      </c>
      <c r="AD39" s="14"/>
      <c r="AE39" s="14"/>
      <c r="AF39" s="3"/>
      <c r="AG39" s="3"/>
      <c r="AH39" s="3"/>
      <c r="AI39" s="14"/>
      <c r="AJ39" s="14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</row>
    <row r="40" spans="1:60" ht="14.25" customHeight="1" x14ac:dyDescent="0.2">
      <c r="A40" s="637"/>
      <c r="B40" s="80"/>
      <c r="C40" s="173">
        <v>29</v>
      </c>
      <c r="D40" s="165"/>
      <c r="E40" s="174">
        <v>9.8724031423285119E-3</v>
      </c>
      <c r="F40" s="502"/>
      <c r="G40" s="219">
        <f t="shared" si="3"/>
        <v>47.463748788674181</v>
      </c>
      <c r="H40" s="249">
        <f t="shared" si="4"/>
        <v>52.536251211325819</v>
      </c>
      <c r="I40" s="515">
        <f t="shared" si="0"/>
        <v>100</v>
      </c>
      <c r="J40" s="153">
        <f>(G40*0)/(1+cDR)^'Markov Model_SA1'!cycle</f>
        <v>0</v>
      </c>
      <c r="K40" s="178">
        <f t="shared" si="1"/>
        <v>47.463748788674181</v>
      </c>
      <c r="L40" s="202">
        <f>(G40*(uPostT))/(1+oDR)^'Markov Model_SA1'!cycle</f>
        <v>33.552784812307848</v>
      </c>
      <c r="M40" s="80"/>
      <c r="N40" s="3"/>
      <c r="O40" s="80"/>
      <c r="P40" s="173">
        <v>29</v>
      </c>
      <c r="Q40" s="165"/>
      <c r="R40" s="174">
        <v>9.8724031423285119E-3</v>
      </c>
      <c r="S40" s="502"/>
      <c r="T40" s="219">
        <f t="shared" si="6"/>
        <v>44.716462836620366</v>
      </c>
      <c r="U40" s="249">
        <f t="shared" si="5"/>
        <v>55.283537163379634</v>
      </c>
      <c r="V40" s="515">
        <f t="shared" si="2"/>
        <v>100</v>
      </c>
      <c r="W40" s="153">
        <f>(T40*0)/(1+cDR)^'Markov Model_SA1'!cycle2</f>
        <v>0</v>
      </c>
      <c r="X40" s="178">
        <f t="shared" si="7"/>
        <v>44.716462836620366</v>
      </c>
      <c r="Y40" s="202">
        <f>(T40*(uPostT))/(1+oDR)^'Markov Model_SA1'!cycle</f>
        <v>31.610690124895932</v>
      </c>
      <c r="Z40" s="80"/>
      <c r="AA40" s="3"/>
      <c r="AB40" s="3"/>
      <c r="AC40" s="14">
        <v>28</v>
      </c>
      <c r="AD40" s="14"/>
      <c r="AE40" s="14"/>
      <c r="AF40" s="3"/>
      <c r="AG40" s="3"/>
      <c r="AH40" s="3"/>
      <c r="AI40" s="14"/>
      <c r="AJ40" s="14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</row>
    <row r="41" spans="1:60" ht="14.25" customHeight="1" x14ac:dyDescent="0.2">
      <c r="A41" s="637"/>
      <c r="B41" s="80"/>
      <c r="C41" s="173">
        <v>30</v>
      </c>
      <c r="D41" s="165"/>
      <c r="E41" s="174">
        <v>9.4823413235499698E-3</v>
      </c>
      <c r="F41" s="502"/>
      <c r="G41" s="219">
        <f t="shared" si="3"/>
        <v>47.013681322164743</v>
      </c>
      <c r="H41" s="249">
        <f t="shared" si="4"/>
        <v>52.986318677835257</v>
      </c>
      <c r="I41" s="515">
        <f t="shared" si="0"/>
        <v>100</v>
      </c>
      <c r="J41" s="153">
        <f>(G41*0)/(1+cDR)^'Markov Model_SA1'!cycle</f>
        <v>0</v>
      </c>
      <c r="K41" s="178">
        <f t="shared" si="1"/>
        <v>47.013681322164743</v>
      </c>
      <c r="L41" s="202">
        <f>(G41*(uPostT))/(1+oDR)^'Markov Model_SA1'!cycle</f>
        <v>33.151746488141583</v>
      </c>
      <c r="M41" s="80"/>
      <c r="N41" s="3"/>
      <c r="O41" s="80"/>
      <c r="P41" s="173">
        <v>30</v>
      </c>
      <c r="Q41" s="165"/>
      <c r="R41" s="174">
        <v>9.4823413235499698E-3</v>
      </c>
      <c r="S41" s="502"/>
      <c r="T41" s="219">
        <f t="shared" si="6"/>
        <v>44.292446073221697</v>
      </c>
      <c r="U41" s="249">
        <f t="shared" si="5"/>
        <v>55.707553926778303</v>
      </c>
      <c r="V41" s="515">
        <f t="shared" si="2"/>
        <v>100</v>
      </c>
      <c r="W41" s="153">
        <f>(T41*0)/(1+cDR)^'Markov Model_SA1'!cycle2</f>
        <v>0</v>
      </c>
      <c r="X41" s="178">
        <f t="shared" si="7"/>
        <v>44.292446073221697</v>
      </c>
      <c r="Y41" s="202">
        <f>(T41*(uPostT))/(1+oDR)^'Markov Model_SA1'!cycle</f>
        <v>31.232864610133376</v>
      </c>
      <c r="Z41" s="80"/>
      <c r="AA41" s="3"/>
      <c r="AB41" s="3"/>
      <c r="AC41" s="14">
        <v>29</v>
      </c>
      <c r="AD41" s="14"/>
      <c r="AE41" s="14"/>
      <c r="AF41" s="3"/>
      <c r="AG41" s="3"/>
      <c r="AH41" s="3"/>
      <c r="AI41" s="14"/>
      <c r="AJ41" s="14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</row>
    <row r="42" spans="1:60" ht="14.25" customHeight="1" x14ac:dyDescent="0.2">
      <c r="A42" s="637"/>
      <c r="B42" s="80"/>
      <c r="C42" s="173">
        <v>31</v>
      </c>
      <c r="D42" s="165"/>
      <c r="E42" s="174">
        <v>9.1076199930661961E-3</v>
      </c>
      <c r="F42" s="502"/>
      <c r="G42" s="219">
        <f t="shared" si="3"/>
        <v>46.58549857820735</v>
      </c>
      <c r="H42" s="249">
        <f t="shared" si="4"/>
        <v>53.41450142179265</v>
      </c>
      <c r="I42" s="515">
        <f t="shared" si="0"/>
        <v>100</v>
      </c>
      <c r="J42" s="153">
        <f>(G42*0)/(1+cDR)^'Markov Model_SA1'!cycle</f>
        <v>0</v>
      </c>
      <c r="K42" s="178">
        <f t="shared" si="1"/>
        <v>46.58549857820735</v>
      </c>
      <c r="L42" s="202">
        <f>(G42*(uPostT))/(1+oDR)^'Markov Model_SA1'!cycle</f>
        <v>32.767893245906357</v>
      </c>
      <c r="M42" s="80"/>
      <c r="N42" s="3"/>
      <c r="O42" s="80"/>
      <c r="P42" s="173">
        <v>31</v>
      </c>
      <c r="Q42" s="165"/>
      <c r="R42" s="174">
        <v>9.1076199930661961E-3</v>
      </c>
      <c r="S42" s="502"/>
      <c r="T42" s="219">
        <f t="shared" si="6"/>
        <v>43.889047305823418</v>
      </c>
      <c r="U42" s="249">
        <f t="shared" si="5"/>
        <v>56.110952694176582</v>
      </c>
      <c r="V42" s="515">
        <f t="shared" si="2"/>
        <v>100</v>
      </c>
      <c r="W42" s="153">
        <f>(T42*0)/(1+cDR)^'Markov Model_SA1'!cycle2</f>
        <v>0</v>
      </c>
      <c r="X42" s="178">
        <f t="shared" si="7"/>
        <v>43.889047305823418</v>
      </c>
      <c r="Y42" s="202">
        <f>(T42*(uPostT))/(1+oDR)^'Markov Model_SA1'!cycle</f>
        <v>30.871229474283691</v>
      </c>
      <c r="Z42" s="80"/>
      <c r="AA42" s="3"/>
      <c r="AB42" s="3"/>
      <c r="AC42" s="14">
        <v>30</v>
      </c>
      <c r="AD42" s="14"/>
      <c r="AE42" s="14"/>
      <c r="AF42" s="3"/>
      <c r="AG42" s="3"/>
      <c r="AH42" s="3"/>
      <c r="AI42" s="14"/>
      <c r="AJ42" s="14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</row>
    <row r="43" spans="1:60" ht="14.25" customHeight="1" x14ac:dyDescent="0.2">
      <c r="A43" s="637"/>
      <c r="B43" s="80"/>
      <c r="C43" s="173">
        <v>32</v>
      </c>
      <c r="D43" s="165"/>
      <c r="E43" s="174">
        <v>8.7476413518472462E-3</v>
      </c>
      <c r="F43" s="502"/>
      <c r="G43" s="219">
        <f t="shared" si="3"/>
        <v>46.177985344448203</v>
      </c>
      <c r="H43" s="249">
        <f t="shared" si="4"/>
        <v>53.822014655551797</v>
      </c>
      <c r="I43" s="515">
        <f t="shared" si="0"/>
        <v>100</v>
      </c>
      <c r="J43" s="153">
        <f>(G43*0)/(1+cDR)^'Markov Model_SA1'!cycle</f>
        <v>0</v>
      </c>
      <c r="K43" s="178">
        <f t="shared" si="1"/>
        <v>46.177985344448203</v>
      </c>
      <c r="L43" s="202">
        <f>(G43*(uPostT))/(1+oDR)^'Markov Model_SA1'!cycle</f>
        <v>32.400250840833458</v>
      </c>
      <c r="M43" s="80"/>
      <c r="N43" s="3"/>
      <c r="O43" s="80"/>
      <c r="P43" s="173">
        <v>32</v>
      </c>
      <c r="Q43" s="165"/>
      <c r="R43" s="174">
        <v>8.7476413518472462E-3</v>
      </c>
      <c r="S43" s="502"/>
      <c r="T43" s="219">
        <f t="shared" si="6"/>
        <v>43.505121660717819</v>
      </c>
      <c r="U43" s="249">
        <f t="shared" si="5"/>
        <v>56.494878339282181</v>
      </c>
      <c r="V43" s="515">
        <f t="shared" si="2"/>
        <v>100</v>
      </c>
      <c r="W43" s="153">
        <f>(T43*0)/(1+cDR)^'Markov Model_SA1'!cycle2</f>
        <v>0</v>
      </c>
      <c r="X43" s="178">
        <f t="shared" si="7"/>
        <v>43.505121660717819</v>
      </c>
      <c r="Y43" s="202">
        <f>(T43*(uPostT))/(1+oDR)^'Markov Model_SA1'!cycle</f>
        <v>30.524866863593097</v>
      </c>
      <c r="Z43" s="80"/>
      <c r="AA43" s="3"/>
      <c r="AB43" s="3"/>
      <c r="AC43" s="14">
        <v>31</v>
      </c>
      <c r="AD43" s="14"/>
      <c r="AE43" s="14"/>
      <c r="AF43" s="3"/>
      <c r="AG43" s="3"/>
      <c r="AH43" s="3"/>
      <c r="AI43" s="14"/>
      <c r="AJ43" s="14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</row>
    <row r="44" spans="1:60" ht="14.25" customHeight="1" x14ac:dyDescent="0.2">
      <c r="A44" s="637"/>
      <c r="B44" s="80"/>
      <c r="C44" s="173">
        <v>33</v>
      </c>
      <c r="D44" s="165"/>
      <c r="E44" s="174">
        <v>8.401830466712501E-3</v>
      </c>
      <c r="F44" s="502"/>
      <c r="G44" s="219">
        <f t="shared" si="3"/>
        <v>45.790005740289814</v>
      </c>
      <c r="H44" s="249">
        <f t="shared" si="4"/>
        <v>54.209994259710186</v>
      </c>
      <c r="I44" s="515">
        <f t="shared" si="0"/>
        <v>100</v>
      </c>
      <c r="J44" s="153">
        <f>(G44*0)/(1+cDR)^'Markov Model_SA1'!cycle</f>
        <v>0</v>
      </c>
      <c r="K44" s="178">
        <f t="shared" si="1"/>
        <v>45.790005740289814</v>
      </c>
      <c r="L44" s="202">
        <f>(G44*(uPostT))/(1+oDR)^'Markov Model_SA1'!cycle</f>
        <v>32.047909652059666</v>
      </c>
      <c r="M44" s="80"/>
      <c r="N44" s="3"/>
      <c r="O44" s="80"/>
      <c r="P44" s="173">
        <v>33</v>
      </c>
      <c r="Q44" s="165"/>
      <c r="R44" s="174">
        <v>8.401830466712501E-3</v>
      </c>
      <c r="S44" s="502"/>
      <c r="T44" s="219">
        <f t="shared" si="6"/>
        <v>43.139599004090769</v>
      </c>
      <c r="U44" s="249">
        <f t="shared" si="5"/>
        <v>56.860400995909231</v>
      </c>
      <c r="V44" s="515">
        <f t="shared" si="2"/>
        <v>100</v>
      </c>
      <c r="W44" s="153">
        <f>(T44*0)/(1+cDR)^'Markov Model_SA1'!cycle2</f>
        <v>0</v>
      </c>
      <c r="X44" s="178">
        <f t="shared" si="7"/>
        <v>43.139599004090769</v>
      </c>
      <c r="Y44" s="202">
        <f>(T44*(uPostT))/(1+oDR)^'Markov Model_SA1'!cycle</f>
        <v>30.192919807667046</v>
      </c>
      <c r="Z44" s="80"/>
      <c r="AA44" s="3"/>
      <c r="AB44" s="3"/>
      <c r="AC44" s="14">
        <v>32</v>
      </c>
      <c r="AD44" s="14"/>
      <c r="AE44" s="14"/>
      <c r="AF44" s="3"/>
      <c r="AG44" s="3"/>
      <c r="AH44" s="3"/>
      <c r="AI44" s="14"/>
      <c r="AJ44" s="14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</row>
    <row r="45" spans="1:60" ht="14.25" customHeight="1" x14ac:dyDescent="0.2">
      <c r="A45" s="637"/>
      <c r="B45" s="80"/>
      <c r="C45" s="173">
        <v>34</v>
      </c>
      <c r="D45" s="165"/>
      <c r="E45" s="174">
        <v>8.0696344293341715E-3</v>
      </c>
      <c r="F45" s="502"/>
      <c r="G45" s="219">
        <f t="shared" si="3"/>
        <v>45.420497133448563</v>
      </c>
      <c r="H45" s="249">
        <f t="shared" si="4"/>
        <v>54.579502866551437</v>
      </c>
      <c r="I45" s="515">
        <f t="shared" si="0"/>
        <v>100</v>
      </c>
      <c r="J45" s="153">
        <f>(G45*0)/(1+cDR)^'Markov Model_SA1'!cycle</f>
        <v>0</v>
      </c>
      <c r="K45" s="178">
        <f t="shared" si="1"/>
        <v>45.420497133448563</v>
      </c>
      <c r="L45" s="202">
        <f>(G45*(uPostT))/(1+oDR)^'Markov Model_SA1'!cycle</f>
        <v>31.710019687723918</v>
      </c>
      <c r="M45" s="80"/>
      <c r="N45" s="3"/>
      <c r="O45" s="80"/>
      <c r="P45" s="173">
        <v>34</v>
      </c>
      <c r="Q45" s="165"/>
      <c r="R45" s="174">
        <v>8.0696344293341715E-3</v>
      </c>
      <c r="S45" s="502"/>
      <c r="T45" s="219">
        <f t="shared" si="6"/>
        <v>42.791478210699687</v>
      </c>
      <c r="U45" s="249">
        <f t="shared" si="5"/>
        <v>57.208521789300313</v>
      </c>
      <c r="V45" s="515">
        <f t="shared" si="2"/>
        <v>100</v>
      </c>
      <c r="W45" s="153">
        <f>(T45*0)/(1+cDR)^'Markov Model_SA1'!cycle2</f>
        <v>0</v>
      </c>
      <c r="X45" s="178">
        <f t="shared" si="7"/>
        <v>42.791478210699687</v>
      </c>
      <c r="Y45" s="202">
        <f>(T45*(uPostT))/(1+oDR)^'Markov Model_SA1'!cycle</f>
        <v>29.874587513680773</v>
      </c>
      <c r="Z45" s="80"/>
      <c r="AA45" s="3"/>
      <c r="AB45" s="3"/>
      <c r="AC45" s="14">
        <v>33</v>
      </c>
      <c r="AD45" s="14"/>
      <c r="AE45" s="14"/>
      <c r="AF45" s="3"/>
      <c r="AG45" s="3"/>
      <c r="AH45" s="3"/>
      <c r="AI45" s="14"/>
      <c r="AJ45" s="14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</row>
    <row r="46" spans="1:60" ht="14.25" customHeight="1" x14ac:dyDescent="0.2">
      <c r="A46" s="637"/>
      <c r="B46" s="80"/>
      <c r="C46" s="173">
        <v>35</v>
      </c>
      <c r="D46" s="165"/>
      <c r="E46" s="174">
        <v>7.7505215435073049E-3</v>
      </c>
      <c r="F46" s="502"/>
      <c r="G46" s="219">
        <f t="shared" si="3"/>
        <v>45.068464591898959</v>
      </c>
      <c r="H46" s="249">
        <f t="shared" si="4"/>
        <v>54.931535408101041</v>
      </c>
      <c r="I46" s="515">
        <f t="shared" si="0"/>
        <v>100</v>
      </c>
      <c r="J46" s="153">
        <f>(G46*0)/(1+cDR)^'Markov Model_SA1'!cycle</f>
        <v>0</v>
      </c>
      <c r="K46" s="178">
        <f t="shared" si="1"/>
        <v>45.068464591898959</v>
      </c>
      <c r="L46" s="202">
        <f>(G46*(uPostT))/(1+oDR)^'Markov Model_SA1'!cycle</f>
        <v>31.385786031909401</v>
      </c>
      <c r="M46" s="80"/>
      <c r="N46" s="3"/>
      <c r="O46" s="80"/>
      <c r="P46" s="173">
        <v>35</v>
      </c>
      <c r="Q46" s="165"/>
      <c r="R46" s="174">
        <v>7.7505215435073049E-3</v>
      </c>
      <c r="S46" s="502"/>
      <c r="T46" s="219">
        <f t="shared" si="6"/>
        <v>42.459821936949133</v>
      </c>
      <c r="U46" s="249">
        <f t="shared" si="5"/>
        <v>57.540178063050867</v>
      </c>
      <c r="V46" s="515">
        <f t="shared" si="2"/>
        <v>100</v>
      </c>
      <c r="W46" s="153">
        <f>(T46*0)/(1+cDR)^'Markov Model_SA1'!cycle2</f>
        <v>0</v>
      </c>
      <c r="X46" s="178">
        <f t="shared" si="7"/>
        <v>42.459821936949133</v>
      </c>
      <c r="Y46" s="202">
        <f>(T46*(uPostT))/(1+oDR)^'Markov Model_SA1'!cycle</f>
        <v>29.569121076860448</v>
      </c>
      <c r="Z46" s="80"/>
      <c r="AA46" s="3"/>
      <c r="AB46" s="3"/>
      <c r="AC46" s="14">
        <v>34</v>
      </c>
      <c r="AD46" s="14"/>
      <c r="AE46" s="14"/>
      <c r="AF46" s="3"/>
      <c r="AG46" s="3"/>
      <c r="AH46" s="3"/>
      <c r="AI46" s="14"/>
      <c r="AJ46" s="14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</row>
    <row r="47" spans="1:60" ht="14.25" customHeight="1" x14ac:dyDescent="0.2">
      <c r="A47" s="637"/>
      <c r="B47" s="80"/>
      <c r="C47" s="173">
        <v>36</v>
      </c>
      <c r="D47" s="504"/>
      <c r="E47" s="174">
        <v>7.4439805399517667E-3</v>
      </c>
      <c r="F47" s="505"/>
      <c r="G47" s="219">
        <f t="shared" si="3"/>
        <v>44.732975818511356</v>
      </c>
      <c r="H47" s="249">
        <f t="shared" si="4"/>
        <v>55.267024181488644</v>
      </c>
      <c r="I47" s="516">
        <f t="shared" si="0"/>
        <v>100</v>
      </c>
      <c r="J47" s="180">
        <f>(G47*0)/(1+cDR)^'Markov Model_SA1'!cycle</f>
        <v>0</v>
      </c>
      <c r="K47" s="176">
        <f t="shared" si="1"/>
        <v>44.732975818511356</v>
      </c>
      <c r="L47" s="202">
        <f>(G47*(uPostT))/(1+oDR)^'Markov Model_SA1'!cycle</f>
        <v>31.074464689732437</v>
      </c>
      <c r="M47" s="80"/>
      <c r="N47" s="3"/>
      <c r="O47" s="80"/>
      <c r="P47" s="173">
        <v>36</v>
      </c>
      <c r="Q47" s="504"/>
      <c r="R47" s="174">
        <v>7.4439805399517667E-3</v>
      </c>
      <c r="S47" s="505"/>
      <c r="T47" s="219">
        <f t="shared" si="6"/>
        <v>42.143751848720669</v>
      </c>
      <c r="U47" s="249">
        <f t="shared" si="5"/>
        <v>57.856248151279331</v>
      </c>
      <c r="V47" s="516">
        <f t="shared" si="2"/>
        <v>100</v>
      </c>
      <c r="W47" s="180">
        <f>(T47*0)/(1+cDR)^'Markov Model_SA1'!cycle2</f>
        <v>0</v>
      </c>
      <c r="X47" s="176">
        <f t="shared" si="7"/>
        <v>42.143751848720669</v>
      </c>
      <c r="Y47" s="202">
        <f>(T47*(uPostT))/(1+oDR)^'Markov Model_SA1'!cycle</f>
        <v>29.275819566065657</v>
      </c>
      <c r="Z47" s="80"/>
      <c r="AA47" s="3"/>
      <c r="AB47" s="3"/>
      <c r="AC47" s="14">
        <v>35</v>
      </c>
      <c r="AD47" s="14"/>
      <c r="AE47" s="14"/>
      <c r="AF47" s="3"/>
      <c r="AG47" s="3"/>
      <c r="AH47" s="3"/>
      <c r="AI47" s="14"/>
      <c r="AJ47" s="14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</row>
    <row r="48" spans="1:60" ht="14.25" customHeight="1" x14ac:dyDescent="0.25">
      <c r="A48" s="637" t="s">
        <v>545</v>
      </c>
      <c r="B48" s="80"/>
      <c r="C48" s="506">
        <v>37</v>
      </c>
      <c r="D48" s="506"/>
      <c r="E48" s="507">
        <v>7.1495198179214459E-3</v>
      </c>
      <c r="F48" s="508"/>
      <c r="G48" s="509">
        <f t="shared" si="3"/>
        <v>44.413156521382305</v>
      </c>
      <c r="H48" s="510">
        <f t="shared" si="4"/>
        <v>55.586843478617695</v>
      </c>
      <c r="I48" s="517">
        <f t="shared" si="0"/>
        <v>100</v>
      </c>
      <c r="J48" s="511">
        <f>(G48*0)/(1+cDR)^'Markov Model_SA1'!cycle</f>
        <v>0</v>
      </c>
      <c r="K48" s="512">
        <f t="shared" si="1"/>
        <v>44.413156521382305</v>
      </c>
      <c r="L48" s="513">
        <f>(G48*(uPostT))/(1+oDR)^'Markov Model_SA1'!cycle</f>
        <v>30.775358791622843</v>
      </c>
      <c r="M48" s="80"/>
      <c r="N48" s="3"/>
      <c r="O48" s="80"/>
      <c r="P48" s="506">
        <v>37</v>
      </c>
      <c r="Q48" s="506"/>
      <c r="R48" s="507">
        <v>7.1495198179214459E-3</v>
      </c>
      <c r="S48" s="508"/>
      <c r="T48" s="509">
        <f t="shared" si="6"/>
        <v>41.842444259676675</v>
      </c>
      <c r="U48" s="510">
        <f t="shared" si="5"/>
        <v>58.157555740323325</v>
      </c>
      <c r="V48" s="517">
        <f t="shared" si="2"/>
        <v>100</v>
      </c>
      <c r="W48" s="511">
        <f>(T48*0)/(1+cDR)^'Markov Model_SA1'!cycle2</f>
        <v>0</v>
      </c>
      <c r="X48" s="512">
        <f t="shared" si="7"/>
        <v>41.842444259676675</v>
      </c>
      <c r="Y48" s="513">
        <f>(T48*(uPostT))/(1+oDR)^'Markov Model_SA1'!cycle</f>
        <v>28.994026447772747</v>
      </c>
      <c r="Z48" s="80"/>
      <c r="AA48" s="3"/>
      <c r="AB48" s="3"/>
      <c r="AC48" s="14">
        <v>36</v>
      </c>
      <c r="AD48" s="14"/>
      <c r="AE48" s="14"/>
      <c r="AF48" s="3"/>
      <c r="AG48" s="3"/>
      <c r="AH48" s="3"/>
      <c r="AI48" s="14"/>
      <c r="AJ48" s="14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</row>
    <row r="49" spans="1:60" ht="14.25" customHeight="1" x14ac:dyDescent="0.2">
      <c r="A49" s="637"/>
      <c r="B49" s="80"/>
      <c r="C49" s="173">
        <v>38</v>
      </c>
      <c r="D49" s="165"/>
      <c r="E49" s="174">
        <v>6.8666667128759462E-3</v>
      </c>
      <c r="F49" s="502"/>
      <c r="G49" s="219">
        <f t="shared" si="3"/>
        <v>44.108186177883184</v>
      </c>
      <c r="H49" s="249">
        <f t="shared" si="4"/>
        <v>55.891813822116816</v>
      </c>
      <c r="I49" s="515">
        <f t="shared" si="0"/>
        <v>100</v>
      </c>
      <c r="J49" s="153">
        <f>(G49*0)/(1+cDR)^'Markov Model_SA1'!cycle</f>
        <v>0</v>
      </c>
      <c r="K49" s="178">
        <f t="shared" si="1"/>
        <v>44.108186177883184</v>
      </c>
      <c r="L49" s="202">
        <f>(G49*(uPostT))/(1+oDR)^'Markov Model_SA1'!cycle</f>
        <v>30.487815122026529</v>
      </c>
      <c r="M49" s="80"/>
      <c r="N49" s="3"/>
      <c r="O49" s="80"/>
      <c r="P49" s="173">
        <v>38</v>
      </c>
      <c r="Q49" s="165"/>
      <c r="R49" s="174">
        <v>6.8666667128759462E-3</v>
      </c>
      <c r="S49" s="502"/>
      <c r="T49" s="219">
        <f t="shared" si="6"/>
        <v>41.555126140493385</v>
      </c>
      <c r="U49" s="249">
        <f t="shared" si="5"/>
        <v>58.444873859506615</v>
      </c>
      <c r="V49" s="515">
        <f t="shared" si="2"/>
        <v>100</v>
      </c>
      <c r="W49" s="153">
        <f>(T49*0)/(1+cDR)^'Markov Model_SA1'!cycle2</f>
        <v>0</v>
      </c>
      <c r="X49" s="178">
        <f t="shared" si="7"/>
        <v>41.555126140493385</v>
      </c>
      <c r="Y49" s="202">
        <f>(T49*(uPostT))/(1+oDR)^'Markov Model_SA1'!cycle</f>
        <v>28.723126315702331</v>
      </c>
      <c r="Z49" s="80"/>
      <c r="AA49" s="3"/>
      <c r="AB49" s="3"/>
      <c r="AC49" s="14">
        <v>37</v>
      </c>
      <c r="AD49" s="14"/>
      <c r="AE49" s="14"/>
      <c r="AF49" s="3"/>
      <c r="AG49" s="3"/>
      <c r="AH49" s="3"/>
      <c r="AI49" s="14"/>
      <c r="AJ49" s="14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</row>
    <row r="50" spans="1:60" ht="14.25" customHeight="1" x14ac:dyDescent="0.2">
      <c r="A50" s="637"/>
      <c r="B50" s="80"/>
      <c r="C50" s="173">
        <v>39</v>
      </c>
      <c r="D50" s="165"/>
      <c r="E50" s="174">
        <v>6.594966789505663E-3</v>
      </c>
      <c r="F50" s="502"/>
      <c r="G50" s="219">
        <f t="shared" si="3"/>
        <v>43.817294154894711</v>
      </c>
      <c r="H50" s="249">
        <f t="shared" si="4"/>
        <v>56.182705845105289</v>
      </c>
      <c r="I50" s="515">
        <f t="shared" si="0"/>
        <v>100</v>
      </c>
      <c r="J50" s="153">
        <f>(G50*0)/(1+cDR)^'Markov Model_SA1'!cycle</f>
        <v>0</v>
      </c>
      <c r="K50" s="178">
        <f t="shared" si="1"/>
        <v>43.817294154894711</v>
      </c>
      <c r="L50" s="202">
        <f>(G50*(uPostT))/(1+oDR)^'Markov Model_SA1'!cycle</f>
        <v>30.211220941458532</v>
      </c>
      <c r="M50" s="80"/>
      <c r="N50" s="3"/>
      <c r="O50" s="80"/>
      <c r="P50" s="173">
        <v>39</v>
      </c>
      <c r="Q50" s="165"/>
      <c r="R50" s="174">
        <v>6.594966789505663E-3</v>
      </c>
      <c r="S50" s="502"/>
      <c r="T50" s="219">
        <f t="shared" si="6"/>
        <v>41.28107146366311</v>
      </c>
      <c r="U50" s="249">
        <f t="shared" si="5"/>
        <v>58.71892853633689</v>
      </c>
      <c r="V50" s="515">
        <f t="shared" si="2"/>
        <v>100</v>
      </c>
      <c r="W50" s="153">
        <f>(T50*0)/(1+cDR)^'Markov Model_SA1'!cycle2</f>
        <v>0</v>
      </c>
      <c r="X50" s="178">
        <f t="shared" si="7"/>
        <v>41.28107146366311</v>
      </c>
      <c r="Y50" s="202">
        <f>(T50*(uPostT))/(1+oDR)^'Markov Model_SA1'!cycle</f>
        <v>28.462541896817452</v>
      </c>
      <c r="Z50" s="80"/>
      <c r="AA50" s="3"/>
      <c r="AB50" s="3"/>
      <c r="AC50" s="14">
        <v>38</v>
      </c>
      <c r="AD50" s="14"/>
      <c r="AE50" s="14"/>
      <c r="AF50" s="3"/>
      <c r="AG50" s="3"/>
      <c r="AH50" s="3"/>
      <c r="AI50" s="14"/>
      <c r="AJ50" s="14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</row>
    <row r="51" spans="1:60" ht="14.25" customHeight="1" x14ac:dyDescent="0.2">
      <c r="A51" s="637"/>
      <c r="B51" s="80"/>
      <c r="C51" s="173">
        <v>40</v>
      </c>
      <c r="D51" s="165"/>
      <c r="E51" s="174">
        <v>6.3339831593727247E-3</v>
      </c>
      <c r="F51" s="502"/>
      <c r="G51" s="219">
        <f t="shared" si="3"/>
        <v>43.539756151628325</v>
      </c>
      <c r="H51" s="249">
        <f t="shared" si="4"/>
        <v>56.460243848371675</v>
      </c>
      <c r="I51" s="515">
        <f t="shared" si="0"/>
        <v>100</v>
      </c>
      <c r="J51" s="153">
        <f>(G51*0)/(1+cDR)^'Markov Model_SA1'!cycle</f>
        <v>0</v>
      </c>
      <c r="K51" s="178">
        <f t="shared" si="1"/>
        <v>43.539756151628325</v>
      </c>
      <c r="L51" s="202">
        <f>(G51*(uPostT))/(1+oDR)^'Markov Model_SA1'!cycle</f>
        <v>29.945001074105974</v>
      </c>
      <c r="M51" s="80"/>
      <c r="N51" s="3"/>
      <c r="O51" s="80"/>
      <c r="P51" s="173">
        <v>40</v>
      </c>
      <c r="Q51" s="165"/>
      <c r="R51" s="174">
        <v>6.3339831593727247E-3</v>
      </c>
      <c r="S51" s="502"/>
      <c r="T51" s="219">
        <f t="shared" si="6"/>
        <v>41.019597852211405</v>
      </c>
      <c r="U51" s="249">
        <f t="shared" si="5"/>
        <v>58.980402147788595</v>
      </c>
      <c r="V51" s="515">
        <f t="shared" si="2"/>
        <v>100</v>
      </c>
      <c r="W51" s="153">
        <f>(T51*0)/(1+cDR)^'Markov Model_SA1'!cycle2</f>
        <v>0</v>
      </c>
      <c r="X51" s="178">
        <f t="shared" si="7"/>
        <v>41.019597852211405</v>
      </c>
      <c r="Y51" s="202">
        <f>(T51*(uPostT))/(1+oDR)^'Markov Model_SA1'!cycle</f>
        <v>28.211731307501314</v>
      </c>
      <c r="Z51" s="80"/>
      <c r="AA51" s="3"/>
      <c r="AB51" s="3"/>
      <c r="AC51" s="14">
        <v>39</v>
      </c>
      <c r="AD51" s="14"/>
      <c r="AE51" s="14"/>
      <c r="AF51" s="3"/>
      <c r="AG51" s="3"/>
      <c r="AH51" s="3"/>
      <c r="AI51" s="14"/>
      <c r="AJ51" s="14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</row>
    <row r="52" spans="1:60" ht="14.25" customHeight="1" x14ac:dyDescent="0.2">
      <c r="A52" s="637"/>
      <c r="B52" s="80"/>
      <c r="C52" s="173">
        <v>41</v>
      </c>
      <c r="D52" s="165"/>
      <c r="E52" s="174">
        <v>6.0832958224664724E-3</v>
      </c>
      <c r="F52" s="502"/>
      <c r="G52" s="219">
        <f t="shared" si="3"/>
        <v>43.274890934919917</v>
      </c>
      <c r="H52" s="249">
        <f t="shared" si="4"/>
        <v>56.725109065080083</v>
      </c>
      <c r="I52" s="515">
        <f t="shared" si="0"/>
        <v>100</v>
      </c>
      <c r="J52" s="153">
        <f>(G52*0)/(1+cDR)^'Markov Model_SA1'!cycle</f>
        <v>0</v>
      </c>
      <c r="K52" s="178">
        <f t="shared" si="1"/>
        <v>43.274890934919917</v>
      </c>
      <c r="L52" s="202">
        <f>(G52*(uPostT))/(1+oDR)^'Markov Model_SA1'!cycle</f>
        <v>29.688615236077926</v>
      </c>
      <c r="M52" s="80"/>
      <c r="N52" s="3"/>
      <c r="O52" s="80"/>
      <c r="P52" s="173">
        <v>41</v>
      </c>
      <c r="Q52" s="165"/>
      <c r="R52" s="174">
        <v>6.0832958224664724E-3</v>
      </c>
      <c r="S52" s="502"/>
      <c r="T52" s="219">
        <f t="shared" si="6"/>
        <v>40.770063503957793</v>
      </c>
      <c r="U52" s="249">
        <f t="shared" si="5"/>
        <v>59.229936496042207</v>
      </c>
      <c r="V52" s="515">
        <f t="shared" si="2"/>
        <v>100</v>
      </c>
      <c r="W52" s="153">
        <f>(T52*0)/(1+cDR)^'Markov Model_SA1'!cycle2</f>
        <v>0</v>
      </c>
      <c r="X52" s="178">
        <f t="shared" si="7"/>
        <v>40.770063503957793</v>
      </c>
      <c r="Y52" s="202">
        <f>(T52*(uPostT))/(1+oDR)^'Markov Model_SA1'!cycle</f>
        <v>27.970185536452714</v>
      </c>
      <c r="Z52" s="80"/>
      <c r="AA52" s="3"/>
      <c r="AB52" s="3"/>
      <c r="AC52" s="14">
        <v>40</v>
      </c>
      <c r="AD52" s="14"/>
      <c r="AE52" s="14"/>
      <c r="AF52" s="3"/>
      <c r="AG52" s="3"/>
      <c r="AH52" s="3"/>
      <c r="AI52" s="14"/>
      <c r="AJ52" s="14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</row>
    <row r="53" spans="1:60" ht="14.25" customHeight="1" x14ac:dyDescent="0.2">
      <c r="A53" s="637"/>
      <c r="B53" s="80"/>
      <c r="C53" s="173">
        <v>42</v>
      </c>
      <c r="D53" s="165"/>
      <c r="E53" s="174">
        <v>5.8425010319574922E-3</v>
      </c>
      <c r="F53" s="502"/>
      <c r="G53" s="219">
        <f t="shared" si="3"/>
        <v>43.022057339974801</v>
      </c>
      <c r="H53" s="249">
        <f t="shared" si="4"/>
        <v>56.977942660025199</v>
      </c>
      <c r="I53" s="515">
        <f t="shared" si="0"/>
        <v>100</v>
      </c>
      <c r="J53" s="153">
        <f>(G53*0)/(1+cDR)^'Markov Model_SA1'!cycle</f>
        <v>0</v>
      </c>
      <c r="K53" s="178">
        <f t="shared" si="1"/>
        <v>43.022057339974801</v>
      </c>
      <c r="L53" s="202">
        <f>(G53*(uPostT))/(1+oDR)^'Markov Model_SA1'!cycle</f>
        <v>29.441555581968828</v>
      </c>
      <c r="M53" s="80"/>
      <c r="N53" s="3"/>
      <c r="O53" s="80"/>
      <c r="P53" s="173">
        <v>42</v>
      </c>
      <c r="Q53" s="165"/>
      <c r="R53" s="174">
        <v>5.8425010319574922E-3</v>
      </c>
      <c r="S53" s="502"/>
      <c r="T53" s="219">
        <f t="shared" si="6"/>
        <v>40.531864365862944</v>
      </c>
      <c r="U53" s="249">
        <f t="shared" si="5"/>
        <v>59.468135634137056</v>
      </c>
      <c r="V53" s="515">
        <f t="shared" si="2"/>
        <v>100</v>
      </c>
      <c r="W53" s="153">
        <f>(T53*0)/(1+cDR)^'Markov Model_SA1'!cycle2</f>
        <v>0</v>
      </c>
      <c r="X53" s="178">
        <f t="shared" si="7"/>
        <v>40.531864365862944</v>
      </c>
      <c r="Y53" s="202">
        <f>(T53*(uPostT))/(1+oDR)^'Markov Model_SA1'!cycle</f>
        <v>27.737426133258804</v>
      </c>
      <c r="Z53" s="80"/>
      <c r="AA53" s="3"/>
      <c r="AB53" s="3"/>
      <c r="AC53" s="14">
        <v>41</v>
      </c>
      <c r="AD53" s="14"/>
      <c r="AE53" s="14"/>
      <c r="AF53" s="3"/>
      <c r="AG53" s="3"/>
      <c r="AH53" s="3"/>
      <c r="AI53" s="14"/>
      <c r="AJ53" s="14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</row>
    <row r="54" spans="1:60" ht="14.25" customHeight="1" x14ac:dyDescent="0.2">
      <c r="A54" s="637"/>
      <c r="B54" s="80"/>
      <c r="C54" s="173">
        <v>43</v>
      </c>
      <c r="D54" s="165"/>
      <c r="E54" s="174">
        <v>5.6112106814604212E-3</v>
      </c>
      <c r="F54" s="502"/>
      <c r="G54" s="219">
        <f t="shared" si="3"/>
        <v>42.780651512290333</v>
      </c>
      <c r="H54" s="249">
        <f t="shared" si="4"/>
        <v>57.219348487709667</v>
      </c>
      <c r="I54" s="515">
        <f t="shared" si="0"/>
        <v>100</v>
      </c>
      <c r="J54" s="153">
        <f>(G54*0)/(1+cDR)^'Markov Model_SA1'!cycle</f>
        <v>0</v>
      </c>
      <c r="K54" s="178">
        <f t="shared" si="1"/>
        <v>42.780651512290333</v>
      </c>
      <c r="L54" s="202">
        <f>(G54*(uPostT))/(1+oDR)^'Markov Model_SA1'!cycle</f>
        <v>29.203344449684273</v>
      </c>
      <c r="M54" s="80"/>
      <c r="N54" s="3"/>
      <c r="O54" s="80"/>
      <c r="P54" s="173">
        <v>43</v>
      </c>
      <c r="Q54" s="165"/>
      <c r="R54" s="174">
        <v>5.6112106814604212E-3</v>
      </c>
      <c r="S54" s="502"/>
      <c r="T54" s="219">
        <f t="shared" si="6"/>
        <v>40.304431535593707</v>
      </c>
      <c r="U54" s="249">
        <f t="shared" si="5"/>
        <v>59.695568464406293</v>
      </c>
      <c r="V54" s="515">
        <f t="shared" si="2"/>
        <v>100</v>
      </c>
      <c r="W54" s="153">
        <f>(T54*0)/(1+cDR)^'Markov Model_SA1'!cycle2</f>
        <v>0</v>
      </c>
      <c r="X54" s="178">
        <f t="shared" si="7"/>
        <v>40.304431535593707</v>
      </c>
      <c r="Y54" s="202">
        <f>(T54*(uPostT))/(1+oDR)^'Markov Model_SA1'!cycle</f>
        <v>27.51300308375426</v>
      </c>
      <c r="Z54" s="80"/>
      <c r="AA54" s="3"/>
      <c r="AB54" s="3"/>
      <c r="AC54" s="14">
        <v>42</v>
      </c>
      <c r="AD54" s="14"/>
      <c r="AE54" s="14"/>
      <c r="AF54" s="3"/>
      <c r="AG54" s="3"/>
      <c r="AH54" s="3"/>
      <c r="AI54" s="14"/>
      <c r="AJ54" s="14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</row>
    <row r="55" spans="1:60" ht="14.25" customHeight="1" x14ac:dyDescent="0.2">
      <c r="A55" s="637"/>
      <c r="B55" s="80"/>
      <c r="C55" s="173">
        <v>44</v>
      </c>
      <c r="D55" s="165"/>
      <c r="E55" s="174">
        <v>5.3890517141200744E-3</v>
      </c>
      <c r="F55" s="502"/>
      <c r="G55" s="219">
        <f t="shared" si="3"/>
        <v>42.550104368926853</v>
      </c>
      <c r="H55" s="249">
        <f t="shared" si="4"/>
        <v>57.449895631073147</v>
      </c>
      <c r="I55" s="515">
        <f t="shared" si="0"/>
        <v>100</v>
      </c>
      <c r="J55" s="153">
        <f>(G55*0)/(1+cDR)^'Markov Model_SA1'!cycle</f>
        <v>0</v>
      </c>
      <c r="K55" s="178">
        <f t="shared" si="1"/>
        <v>42.550104368926853</v>
      </c>
      <c r="L55" s="202">
        <f>(G55*(uPostT))/(1+oDR)^'Markov Model_SA1'!cycle</f>
        <v>28.973532285505897</v>
      </c>
      <c r="M55" s="80"/>
      <c r="N55" s="3"/>
      <c r="O55" s="80"/>
      <c r="P55" s="173">
        <v>44</v>
      </c>
      <c r="Q55" s="165"/>
      <c r="R55" s="174">
        <v>5.3890517141200744E-3</v>
      </c>
      <c r="S55" s="502"/>
      <c r="T55" s="219">
        <f t="shared" si="6"/>
        <v>40.08722886974018</v>
      </c>
      <c r="U55" s="249">
        <f t="shared" si="5"/>
        <v>59.91277113025982</v>
      </c>
      <c r="V55" s="515">
        <f t="shared" si="2"/>
        <v>100</v>
      </c>
      <c r="W55" s="153">
        <f>(T55*0)/(1+cDR)^'Markov Model_SA1'!cycle2</f>
        <v>0</v>
      </c>
      <c r="X55" s="178">
        <f t="shared" si="7"/>
        <v>40.08722886974018</v>
      </c>
      <c r="Y55" s="202">
        <f>(T55*(uPostT))/(1+oDR)^'Markov Model_SA1'!cycle</f>
        <v>27.296492855187189</v>
      </c>
      <c r="Z55" s="80"/>
      <c r="AA55" s="3"/>
      <c r="AB55" s="3"/>
      <c r="AC55" s="14">
        <v>43</v>
      </c>
      <c r="AD55" s="14"/>
      <c r="AE55" s="14"/>
      <c r="AF55" s="3"/>
      <c r="AG55" s="3"/>
      <c r="AH55" s="3"/>
      <c r="AI55" s="14"/>
      <c r="AJ55" s="14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</row>
    <row r="56" spans="1:60" ht="14.25" customHeight="1" x14ac:dyDescent="0.2">
      <c r="A56" s="637"/>
      <c r="B56" s="80"/>
      <c r="C56" s="173">
        <v>45</v>
      </c>
      <c r="D56" s="165"/>
      <c r="E56" s="174">
        <v>5.1756655528386597E-3</v>
      </c>
      <c r="F56" s="502"/>
      <c r="G56" s="219">
        <f t="shared" si="3"/>
        <v>42.329879259474907</v>
      </c>
      <c r="H56" s="249">
        <f t="shared" si="4"/>
        <v>57.670120740525093</v>
      </c>
      <c r="I56" s="515">
        <f t="shared" si="0"/>
        <v>100</v>
      </c>
      <c r="J56" s="153">
        <f>(G56*0)/(1+cDR)^'Markov Model_SA1'!cycle</f>
        <v>0</v>
      </c>
      <c r="K56" s="178">
        <f t="shared" si="1"/>
        <v>42.329879259474907</v>
      </c>
      <c r="L56" s="202">
        <f>(G56*(uPostT))/(1+oDR)^'Markov Model_SA1'!cycle</f>
        <v>28.751695733178792</v>
      </c>
      <c r="M56" s="80"/>
      <c r="N56" s="3"/>
      <c r="O56" s="80"/>
      <c r="P56" s="173">
        <v>45</v>
      </c>
      <c r="Q56" s="165"/>
      <c r="R56" s="174">
        <v>5.1756655528386597E-3</v>
      </c>
      <c r="S56" s="502"/>
      <c r="T56" s="219">
        <f t="shared" si="6"/>
        <v>39.879750780170305</v>
      </c>
      <c r="U56" s="249">
        <f t="shared" si="5"/>
        <v>60.120249219829695</v>
      </c>
      <c r="V56" s="515">
        <f t="shared" si="2"/>
        <v>100</v>
      </c>
      <c r="W56" s="153">
        <f>(T56*0)/(1+cDR)^'Markov Model_SA1'!cycle2</f>
        <v>0</v>
      </c>
      <c r="X56" s="178">
        <f t="shared" si="7"/>
        <v>39.879750780170305</v>
      </c>
      <c r="Y56" s="202">
        <f>(T56*(uPostT))/(1+oDR)^'Markov Model_SA1'!cycle</f>
        <v>27.087496595913507</v>
      </c>
      <c r="Z56" s="80"/>
      <c r="AA56" s="3"/>
      <c r="AB56" s="3"/>
      <c r="AC56" s="14">
        <v>44</v>
      </c>
      <c r="AD56" s="14"/>
      <c r="AE56" s="14"/>
      <c r="AF56" s="3"/>
      <c r="AG56" s="3"/>
      <c r="AH56" s="3"/>
      <c r="AI56" s="14"/>
      <c r="AJ56" s="14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</row>
    <row r="57" spans="1:60" ht="14.25" customHeight="1" x14ac:dyDescent="0.2">
      <c r="A57" s="637"/>
      <c r="B57" s="80"/>
      <c r="C57" s="173">
        <v>46</v>
      </c>
      <c r="D57" s="165"/>
      <c r="E57" s="174">
        <v>4.9707075509936027E-3</v>
      </c>
      <c r="F57" s="502"/>
      <c r="G57" s="219">
        <f t="shared" si="3"/>
        <v>42.119469809007185</v>
      </c>
      <c r="H57" s="249">
        <f t="shared" si="4"/>
        <v>57.880530190992815</v>
      </c>
      <c r="I57" s="515">
        <f t="shared" si="0"/>
        <v>100</v>
      </c>
      <c r="J57" s="153">
        <f>(G57*0)/(1+cDR)^'Markov Model_SA1'!cycle</f>
        <v>0</v>
      </c>
      <c r="K57" s="178">
        <f t="shared" si="1"/>
        <v>42.119469809007185</v>
      </c>
      <c r="L57" s="202">
        <f>(G57*(uPostT))/(1+oDR)^'Markov Model_SA1'!cycle</f>
        <v>28.537435872412985</v>
      </c>
      <c r="M57" s="80"/>
      <c r="N57" s="3"/>
      <c r="O57" s="80"/>
      <c r="P57" s="173">
        <v>46</v>
      </c>
      <c r="Q57" s="165"/>
      <c r="R57" s="174">
        <v>4.9707075509936027E-3</v>
      </c>
      <c r="S57" s="502"/>
      <c r="T57" s="219">
        <f t="shared" si="6"/>
        <v>39.681520201835568</v>
      </c>
      <c r="U57" s="249">
        <f t="shared" si="5"/>
        <v>60.318479798164432</v>
      </c>
      <c r="V57" s="515">
        <f t="shared" si="2"/>
        <v>100</v>
      </c>
      <c r="W57" s="153">
        <f>(T57*0)/(1+cDR)^'Markov Model_SA1'!cycle2</f>
        <v>0</v>
      </c>
      <c r="X57" s="178">
        <f t="shared" si="7"/>
        <v>39.681520201835568</v>
      </c>
      <c r="Y57" s="202">
        <f>(T57*(uPostT))/(1+oDR)^'Markov Model_SA1'!cycle</f>
        <v>26.88563847585705</v>
      </c>
      <c r="Z57" s="80"/>
      <c r="AA57" s="3"/>
      <c r="AB57" s="3"/>
      <c r="AC57" s="14">
        <v>45</v>
      </c>
      <c r="AD57" s="14"/>
      <c r="AE57" s="14"/>
      <c r="AF57" s="3"/>
      <c r="AG57" s="3"/>
      <c r="AH57" s="3"/>
      <c r="AI57" s="14"/>
      <c r="AJ57" s="14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</row>
    <row r="58" spans="1:60" ht="14.25" customHeight="1" x14ac:dyDescent="0.2">
      <c r="A58" s="637"/>
      <c r="B58" s="80"/>
      <c r="C58" s="173">
        <v>47</v>
      </c>
      <c r="D58" s="165"/>
      <c r="E58" s="174">
        <v>4.7738464629886179E-3</v>
      </c>
      <c r="F58" s="502"/>
      <c r="G58" s="219">
        <f t="shared" si="3"/>
        <v>41.918397927036501</v>
      </c>
      <c r="H58" s="249">
        <f t="shared" si="4"/>
        <v>58.081602072963499</v>
      </c>
      <c r="I58" s="515">
        <f t="shared" si="0"/>
        <v>100</v>
      </c>
      <c r="J58" s="153">
        <f>(G58*0)/(1+cDR)^'Markov Model_SA1'!cycle</f>
        <v>0</v>
      </c>
      <c r="K58" s="178">
        <f t="shared" si="1"/>
        <v>41.918397927036501</v>
      </c>
      <c r="L58" s="202">
        <f>(G58*(uPostT))/(1+oDR)^'Markov Model_SA1'!cycle</f>
        <v>28.330376593626639</v>
      </c>
      <c r="M58" s="80"/>
      <c r="N58" s="3"/>
      <c r="O58" s="80"/>
      <c r="P58" s="173">
        <v>47</v>
      </c>
      <c r="Q58" s="165"/>
      <c r="R58" s="174">
        <v>4.7738464629886179E-3</v>
      </c>
      <c r="S58" s="502"/>
      <c r="T58" s="219">
        <f t="shared" si="6"/>
        <v>39.492086716974022</v>
      </c>
      <c r="U58" s="249">
        <f t="shared" si="5"/>
        <v>60.507913283025978</v>
      </c>
      <c r="V58" s="515">
        <f t="shared" si="2"/>
        <v>100</v>
      </c>
      <c r="W58" s="153">
        <f>(T58*0)/(1+cDR)^'Markov Model_SA1'!cycle2</f>
        <v>0</v>
      </c>
      <c r="X58" s="178">
        <f t="shared" si="7"/>
        <v>39.492086716974022</v>
      </c>
      <c r="Y58" s="202">
        <f>(T58*(uPostT))/(1+oDR)^'Markov Model_SA1'!cycle</f>
        <v>26.690564155325575</v>
      </c>
      <c r="Z58" s="80"/>
      <c r="AA58" s="3"/>
      <c r="AB58" s="3"/>
      <c r="AC58" s="14">
        <v>46</v>
      </c>
      <c r="AD58" s="14"/>
      <c r="AE58" s="14"/>
      <c r="AF58" s="3"/>
      <c r="AG58" s="3"/>
      <c r="AH58" s="3"/>
      <c r="AI58" s="14"/>
      <c r="AJ58" s="14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</row>
    <row r="59" spans="1:60" ht="14.25" customHeight="1" x14ac:dyDescent="0.2">
      <c r="A59" s="637"/>
      <c r="B59" s="80"/>
      <c r="C59" s="173">
        <v>48</v>
      </c>
      <c r="D59" s="504"/>
      <c r="E59" s="174">
        <v>4.5847639340007573E-3</v>
      </c>
      <c r="F59" s="505"/>
      <c r="G59" s="219">
        <f t="shared" si="3"/>
        <v>41.726211968049533</v>
      </c>
      <c r="H59" s="249">
        <f t="shared" si="4"/>
        <v>58.273788031950467</v>
      </c>
      <c r="I59" s="516">
        <f t="shared" si="0"/>
        <v>100</v>
      </c>
      <c r="J59" s="180">
        <f>(G59*0)/(1+cDR)^'Markov Model_SA1'!cycle</f>
        <v>0</v>
      </c>
      <c r="K59" s="176">
        <f t="shared" si="1"/>
        <v>41.726211968049533</v>
      </c>
      <c r="L59" s="202">
        <f>(G59*(uPostT))/(1+oDR)^'Markov Model_SA1'!cycle</f>
        <v>28.13016309704091</v>
      </c>
      <c r="M59" s="80"/>
      <c r="N59" s="3"/>
      <c r="O59" s="80"/>
      <c r="P59" s="173">
        <v>48</v>
      </c>
      <c r="Q59" s="504"/>
      <c r="R59" s="174">
        <v>4.5847639340007573E-3</v>
      </c>
      <c r="S59" s="505"/>
      <c r="T59" s="219">
        <f t="shared" si="6"/>
        <v>39.311024822115606</v>
      </c>
      <c r="U59" s="249">
        <f t="shared" si="5"/>
        <v>60.688975177884394</v>
      </c>
      <c r="V59" s="516">
        <f t="shared" si="2"/>
        <v>100</v>
      </c>
      <c r="W59" s="180">
        <f>(T59*0)/(1+cDR)^'Markov Model_SA1'!cycle2</f>
        <v>0</v>
      </c>
      <c r="X59" s="176">
        <f t="shared" si="7"/>
        <v>39.311024822115606</v>
      </c>
      <c r="Y59" s="202">
        <f>(T59*(uPostT))/(1+oDR)^'Markov Model_SA1'!cycle</f>
        <v>26.501939370980644</v>
      </c>
      <c r="Z59" s="80"/>
      <c r="AA59" s="3"/>
      <c r="AB59" s="3"/>
      <c r="AC59" s="14">
        <v>47</v>
      </c>
      <c r="AD59" s="14"/>
      <c r="AE59" s="14"/>
      <c r="AF59" s="3"/>
      <c r="AG59" s="3"/>
      <c r="AH59" s="3"/>
      <c r="AI59" s="14"/>
      <c r="AJ59" s="14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</row>
    <row r="60" spans="1:60" ht="14.25" customHeight="1" x14ac:dyDescent="0.25">
      <c r="A60" s="637" t="s">
        <v>546</v>
      </c>
      <c r="B60" s="80"/>
      <c r="C60" s="506">
        <v>49</v>
      </c>
      <c r="D60" s="506"/>
      <c r="E60" s="612">
        <v>7.0741256572026678E-4</v>
      </c>
      <c r="F60" s="508"/>
      <c r="G60" s="509">
        <f t="shared" si="3"/>
        <v>41.578623734719002</v>
      </c>
      <c r="H60" s="482">
        <f>H59+(G59*E60*'life-tables-test'!$C$66)</f>
        <v>58.421376265280998</v>
      </c>
      <c r="I60" s="517">
        <f t="shared" si="0"/>
        <v>100</v>
      </c>
      <c r="J60" s="511">
        <f>(G60*0)/(1+cDR)^'Markov Model_SA1'!cycle</f>
        <v>0</v>
      </c>
      <c r="K60" s="512">
        <f t="shared" si="1"/>
        <v>41.578623734719002</v>
      </c>
      <c r="L60" s="513">
        <f>(G60*(uPostT))/(1+oDR)^'Markov Model_SA1'!cycle</f>
        <v>27.960763035199882</v>
      </c>
      <c r="M60" s="80"/>
      <c r="N60" s="3"/>
      <c r="O60" s="80"/>
      <c r="P60" s="506">
        <v>49</v>
      </c>
      <c r="Q60" s="506"/>
      <c r="R60" s="612">
        <v>7.0741256572026678E-4</v>
      </c>
      <c r="S60" s="508"/>
      <c r="T60" s="509">
        <f t="shared" si="6"/>
        <v>39.171979257463079</v>
      </c>
      <c r="U60" s="482">
        <f>U59+(T59*R60*'life-tables-test'!$C$66)</f>
        <v>60.828020742536921</v>
      </c>
      <c r="V60" s="517">
        <f t="shared" si="2"/>
        <v>100</v>
      </c>
      <c r="W60" s="511">
        <f>(T60*0)/(1+cDR)^'Markov Model_SA1'!cycle2</f>
        <v>0</v>
      </c>
      <c r="X60" s="512">
        <f t="shared" si="7"/>
        <v>39.171979257463079</v>
      </c>
      <c r="Y60" s="513">
        <f>(T60*(uPostT))/(1+oDR)^'Markov Model_SA1'!cycle</f>
        <v>26.342344485132877</v>
      </c>
      <c r="Z60" s="80"/>
      <c r="AA60" s="3"/>
      <c r="AB60" s="3"/>
      <c r="AC60" s="14">
        <v>48</v>
      </c>
      <c r="AD60" s="14"/>
      <c r="AE60" s="14"/>
      <c r="AF60" s="3"/>
      <c r="AG60" s="3"/>
      <c r="AH60" s="3"/>
      <c r="AI60" s="14"/>
      <c r="AJ60" s="14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</row>
    <row r="61" spans="1:60" ht="14.25" customHeight="1" x14ac:dyDescent="0.25">
      <c r="A61" s="637"/>
      <c r="B61" s="80"/>
      <c r="C61" s="173">
        <v>50</v>
      </c>
      <c r="D61" s="165"/>
      <c r="E61" s="612">
        <v>7.0741256572026678E-4</v>
      </c>
      <c r="F61" s="502"/>
      <c r="G61" s="219">
        <f t="shared" si="3"/>
        <v>41.431557530242529</v>
      </c>
      <c r="H61" s="481">
        <f>H60+(G60*E61*'life-tables-test'!$C$66)</f>
        <v>58.568442469757471</v>
      </c>
      <c r="I61" s="516">
        <f t="shared" si="0"/>
        <v>100</v>
      </c>
      <c r="J61" s="153">
        <f>(G61*0)/(1+cDR)^'Markov Model_SA1'!cycle</f>
        <v>0</v>
      </c>
      <c r="K61" s="178">
        <f t="shared" si="1"/>
        <v>41.431557530242529</v>
      </c>
      <c r="L61" s="202">
        <f>(G61*(uPostT))/(1+oDR)^'Markov Model_SA1'!cycle</f>
        <v>27.792383101854107</v>
      </c>
      <c r="M61" s="80"/>
      <c r="N61" s="3"/>
      <c r="O61" s="80"/>
      <c r="P61" s="173">
        <v>50</v>
      </c>
      <c r="Q61" s="165"/>
      <c r="R61" s="612">
        <v>7.0741256572026678E-4</v>
      </c>
      <c r="S61" s="502"/>
      <c r="T61" s="219">
        <f t="shared" si="6"/>
        <v>39.033425505708763</v>
      </c>
      <c r="U61" s="481">
        <f>U60+(T60*R61*'life-tables-test'!$C$66)</f>
        <v>60.966574494291237</v>
      </c>
      <c r="V61" s="516">
        <f t="shared" si="2"/>
        <v>100</v>
      </c>
      <c r="W61" s="153">
        <f>(T61*0)/(1+cDR)^'Markov Model_SA1'!cycle2</f>
        <v>0</v>
      </c>
      <c r="X61" s="178">
        <f t="shared" si="7"/>
        <v>39.033425505708763</v>
      </c>
      <c r="Y61" s="202">
        <f>(T61*(uPostT))/(1+oDR)^'Markov Model_SA1'!cycle</f>
        <v>26.183710680933963</v>
      </c>
      <c r="Z61" s="80"/>
      <c r="AA61" s="3"/>
      <c r="AB61" s="3"/>
      <c r="AC61" s="14">
        <v>49</v>
      </c>
      <c r="AD61" s="14"/>
      <c r="AE61" s="14"/>
      <c r="AF61" s="3"/>
      <c r="AG61" s="3"/>
      <c r="AH61" s="3"/>
      <c r="AI61" s="14"/>
      <c r="AJ61" s="14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</row>
    <row r="62" spans="1:60" ht="14.25" customHeight="1" x14ac:dyDescent="0.25">
      <c r="A62" s="637"/>
      <c r="B62" s="80"/>
      <c r="C62" s="173">
        <v>51</v>
      </c>
      <c r="D62" s="165"/>
      <c r="E62" s="612">
        <v>7.0741256572026678E-4</v>
      </c>
      <c r="F62" s="502"/>
      <c r="G62" s="219">
        <f t="shared" si="3"/>
        <v>41.285011508171252</v>
      </c>
      <c r="H62" s="481">
        <f>H61+(G61*E62*'life-tables-test'!$C$66)</f>
        <v>58.714988491828748</v>
      </c>
      <c r="I62" s="516">
        <f t="shared" si="0"/>
        <v>100</v>
      </c>
      <c r="J62" s="153">
        <f>(G62*0)/(1+cDR)^'Markov Model_SA1'!cycle</f>
        <v>0</v>
      </c>
      <c r="K62" s="178">
        <f t="shared" si="1"/>
        <v>41.285011508171252</v>
      </c>
      <c r="L62" s="202">
        <f>(G62*(uPostT))/(1+oDR)^'Markov Model_SA1'!cycle</f>
        <v>27.625017153781844</v>
      </c>
      <c r="M62" s="80"/>
      <c r="N62" s="3"/>
      <c r="O62" s="80"/>
      <c r="P62" s="173">
        <v>51</v>
      </c>
      <c r="Q62" s="165"/>
      <c r="R62" s="612">
        <v>7.0741256572026678E-4</v>
      </c>
      <c r="S62" s="502"/>
      <c r="T62" s="219">
        <f t="shared" si="6"/>
        <v>38.895361827279544</v>
      </c>
      <c r="U62" s="481">
        <f>U61+(T61*R62*'life-tables-test'!$C$66)</f>
        <v>61.104638172720456</v>
      </c>
      <c r="V62" s="516">
        <f t="shared" si="2"/>
        <v>100</v>
      </c>
      <c r="W62" s="153">
        <f>(T62*0)/(1+cDR)^'Markov Model_SA1'!cycle2</f>
        <v>0</v>
      </c>
      <c r="X62" s="178">
        <f t="shared" si="7"/>
        <v>38.895361827279544</v>
      </c>
      <c r="Y62" s="202">
        <f>(T62*(uPostT))/(1+oDR)^'Markov Model_SA1'!cycle</f>
        <v>26.026032170742731</v>
      </c>
      <c r="Z62" s="80"/>
      <c r="AA62" s="3"/>
      <c r="AB62" s="3"/>
      <c r="AC62" s="14">
        <v>50</v>
      </c>
      <c r="AD62" s="14"/>
      <c r="AE62" s="14"/>
      <c r="AF62" s="3"/>
      <c r="AG62" s="3"/>
      <c r="AH62" s="3"/>
      <c r="AI62" s="14"/>
      <c r="AJ62" s="14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</row>
    <row r="63" spans="1:60" ht="14.25" customHeight="1" x14ac:dyDescent="0.25">
      <c r="A63" s="637"/>
      <c r="B63" s="80"/>
      <c r="C63" s="173">
        <v>52</v>
      </c>
      <c r="D63" s="165"/>
      <c r="E63" s="612">
        <v>7.0741256572026678E-4</v>
      </c>
      <c r="F63" s="502"/>
      <c r="G63" s="219">
        <f t="shared" si="3"/>
        <v>41.138983828587321</v>
      </c>
      <c r="H63" s="481">
        <f>H62+(G62*E63*'life-tables-test'!$C$66)</f>
        <v>58.861016171412679</v>
      </c>
      <c r="I63" s="516">
        <f t="shared" si="0"/>
        <v>100</v>
      </c>
      <c r="J63" s="153">
        <f>(G63*0)/(1+cDR)^'Markov Model_SA1'!cycle</f>
        <v>0</v>
      </c>
      <c r="K63" s="178">
        <f t="shared" si="1"/>
        <v>41.138983828587321</v>
      </c>
      <c r="L63" s="202">
        <f>(G63*(uPostT))/(1+oDR)^'Markov Model_SA1'!cycle</f>
        <v>27.458659084755833</v>
      </c>
      <c r="M63" s="80"/>
      <c r="N63" s="3"/>
      <c r="O63" s="80"/>
      <c r="P63" s="173">
        <v>52</v>
      </c>
      <c r="Q63" s="165"/>
      <c r="R63" s="612">
        <v>7.0741256572026678E-4</v>
      </c>
      <c r="S63" s="502"/>
      <c r="T63" s="219">
        <f t="shared" si="6"/>
        <v>38.757786488755272</v>
      </c>
      <c r="U63" s="481">
        <f>U62+(T62*R63*'life-tables-test'!$C$66)</f>
        <v>61.242213511244728</v>
      </c>
      <c r="V63" s="516">
        <f t="shared" si="2"/>
        <v>100</v>
      </c>
      <c r="W63" s="153">
        <f>(T63*0)/(1+cDR)^'Markov Model_SA1'!cycle2</f>
        <v>0</v>
      </c>
      <c r="X63" s="178">
        <f t="shared" si="7"/>
        <v>38.757786488755272</v>
      </c>
      <c r="Y63" s="202">
        <f>(T63*(uPostT))/(1+oDR)^'Markov Model_SA1'!cycle</f>
        <v>25.869303201771185</v>
      </c>
      <c r="Z63" s="80"/>
      <c r="AA63" s="3"/>
      <c r="AB63" s="3"/>
      <c r="AC63" s="14">
        <v>51</v>
      </c>
      <c r="AD63" s="14"/>
      <c r="AE63" s="14"/>
      <c r="AF63" s="3"/>
      <c r="AG63" s="3"/>
      <c r="AH63" s="3"/>
      <c r="AI63" s="14"/>
      <c r="AJ63" s="14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</row>
    <row r="64" spans="1:60" ht="14.25" customHeight="1" x14ac:dyDescent="0.25">
      <c r="A64" s="637"/>
      <c r="B64" s="80"/>
      <c r="C64" s="173">
        <v>53</v>
      </c>
      <c r="D64" s="165"/>
      <c r="E64" s="612">
        <v>7.0741256572026678E-4</v>
      </c>
      <c r="F64" s="502"/>
      <c r="G64" s="219">
        <f t="shared" si="3"/>
        <v>40.99347265808079</v>
      </c>
      <c r="H64" s="481">
        <f>H63+(G63*E64*'life-tables-test'!$C$66)</f>
        <v>59.00652734191921</v>
      </c>
      <c r="I64" s="516">
        <f t="shared" si="0"/>
        <v>100</v>
      </c>
      <c r="J64" s="153">
        <f>(G64*0)/(1+cDR)^'Markov Model_SA1'!cycle</f>
        <v>0</v>
      </c>
      <c r="K64" s="178">
        <f t="shared" si="1"/>
        <v>40.99347265808079</v>
      </c>
      <c r="L64" s="202">
        <f>(G64*(uPostT))/(1+oDR)^'Markov Model_SA1'!cycle</f>
        <v>27.293302825320605</v>
      </c>
      <c r="M64" s="80"/>
      <c r="N64" s="3"/>
      <c r="O64" s="80"/>
      <c r="P64" s="173">
        <v>53</v>
      </c>
      <c r="Q64" s="165"/>
      <c r="R64" s="612">
        <v>7.0741256572026678E-4</v>
      </c>
      <c r="S64" s="502"/>
      <c r="T64" s="219">
        <f t="shared" si="6"/>
        <v>38.62069776284703</v>
      </c>
      <c r="U64" s="481">
        <f>U63+(T63*R64*'life-tables-test'!$C$66)</f>
        <v>61.37930223715297</v>
      </c>
      <c r="V64" s="516">
        <f t="shared" si="2"/>
        <v>100</v>
      </c>
      <c r="W64" s="153">
        <f>(T64*0)/(1+cDR)^'Markov Model_SA1'!cycle2</f>
        <v>0</v>
      </c>
      <c r="X64" s="178">
        <f t="shared" si="7"/>
        <v>38.62069776284703</v>
      </c>
      <c r="Y64" s="202">
        <f>(T64*(uPostT))/(1+oDR)^'Markov Model_SA1'!cycle</f>
        <v>25.713518055874697</v>
      </c>
      <c r="Z64" s="80"/>
      <c r="AA64" s="3"/>
      <c r="AB64" s="3"/>
      <c r="AC64" s="14">
        <v>52</v>
      </c>
      <c r="AD64" s="14"/>
      <c r="AE64" s="14"/>
      <c r="AF64" s="3"/>
      <c r="AG64" s="3"/>
      <c r="AH64" s="3"/>
      <c r="AI64" s="14"/>
      <c r="AJ64" s="14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</row>
    <row r="65" spans="1:60" ht="14.25" customHeight="1" x14ac:dyDescent="0.25">
      <c r="A65" s="637"/>
      <c r="B65" s="80"/>
      <c r="C65" s="173">
        <v>54</v>
      </c>
      <c r="D65" s="165"/>
      <c r="E65" s="612">
        <v>7.0741256572026678E-4</v>
      </c>
      <c r="F65" s="502"/>
      <c r="G65" s="219">
        <f t="shared" si="3"/>
        <v>40.848476169726609</v>
      </c>
      <c r="H65" s="481">
        <f>H64+(G64*E65*'life-tables-test'!$C$66)</f>
        <v>59.151523830273391</v>
      </c>
      <c r="I65" s="516">
        <f t="shared" si="0"/>
        <v>100</v>
      </c>
      <c r="J65" s="153">
        <f>(G65*0)/(1+cDR)^'Markov Model_SA1'!cycle</f>
        <v>0</v>
      </c>
      <c r="K65" s="178">
        <f t="shared" si="1"/>
        <v>40.848476169726609</v>
      </c>
      <c r="L65" s="202">
        <f>(G65*(uPostT))/(1+oDR)^'Markov Model_SA1'!cycle</f>
        <v>27.128942342570983</v>
      </c>
      <c r="M65" s="80"/>
      <c r="N65" s="3"/>
      <c r="O65" s="80"/>
      <c r="P65" s="173">
        <v>54</v>
      </c>
      <c r="Q65" s="165"/>
      <c r="R65" s="612">
        <v>7.0741256572026678E-4</v>
      </c>
      <c r="S65" s="502"/>
      <c r="T65" s="219">
        <f t="shared" si="6"/>
        <v>38.484093928375415</v>
      </c>
      <c r="U65" s="481">
        <f>U64+(T64*R65*'life-tables-test'!$C$66)</f>
        <v>61.515906071624585</v>
      </c>
      <c r="V65" s="516">
        <f t="shared" si="2"/>
        <v>100</v>
      </c>
      <c r="W65" s="153">
        <f>(T65*0)/(1+cDR)^'Markov Model_SA1'!cycle2</f>
        <v>0</v>
      </c>
      <c r="X65" s="178">
        <f t="shared" si="7"/>
        <v>38.484093928375415</v>
      </c>
      <c r="Y65" s="202">
        <f>(T65*(uPostT))/(1+oDR)^'Markov Model_SA1'!cycle</f>
        <v>25.558671049343339</v>
      </c>
      <c r="Z65" s="80"/>
      <c r="AA65" s="3"/>
      <c r="AB65" s="3"/>
      <c r="AC65" s="14">
        <v>53</v>
      </c>
      <c r="AD65" s="14"/>
      <c r="AE65" s="14"/>
      <c r="AF65" s="3"/>
      <c r="AG65" s="3"/>
      <c r="AH65" s="3"/>
      <c r="AI65" s="14"/>
      <c r="AJ65" s="14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</row>
    <row r="66" spans="1:60" ht="14.25" customHeight="1" x14ac:dyDescent="0.25">
      <c r="A66" s="637"/>
      <c r="B66" s="80"/>
      <c r="C66" s="173">
        <v>55</v>
      </c>
      <c r="D66" s="165"/>
      <c r="E66" s="612">
        <v>7.0741256572026678E-4</v>
      </c>
      <c r="F66" s="502"/>
      <c r="G66" s="219">
        <f t="shared" si="3"/>
        <v>40.703992543061659</v>
      </c>
      <c r="H66" s="481">
        <f>H65+(G65*E66*'life-tables-test'!$C$66)</f>
        <v>59.296007456938341</v>
      </c>
      <c r="I66" s="516">
        <f t="shared" si="0"/>
        <v>100</v>
      </c>
      <c r="J66" s="153">
        <f>(G66*0)/(1+cDR)^'Markov Model_SA1'!cycle</f>
        <v>0</v>
      </c>
      <c r="K66" s="178">
        <f t="shared" si="1"/>
        <v>40.703992543061659</v>
      </c>
      <c r="L66" s="202">
        <f>(G66*(uPostT))/(1+oDR)^'Markov Model_SA1'!cycle</f>
        <v>26.965571639931976</v>
      </c>
      <c r="M66" s="80"/>
      <c r="N66" s="3"/>
      <c r="O66" s="80"/>
      <c r="P66" s="173">
        <v>55</v>
      </c>
      <c r="Q66" s="165"/>
      <c r="R66" s="612">
        <v>7.0741256572026678E-4</v>
      </c>
      <c r="S66" s="502"/>
      <c r="T66" s="219">
        <f t="shared" si="6"/>
        <v>38.347973270248957</v>
      </c>
      <c r="U66" s="481">
        <f>U65+(T65*R66*'life-tables-test'!$C$66)</f>
        <v>61.652026729751043</v>
      </c>
      <c r="V66" s="516">
        <f t="shared" si="2"/>
        <v>100</v>
      </c>
      <c r="W66" s="153">
        <f>(T66*0)/(1+cDR)^'Markov Model_SA1'!cycle2</f>
        <v>0</v>
      </c>
      <c r="X66" s="178">
        <f t="shared" si="7"/>
        <v>38.347973270248957</v>
      </c>
      <c r="Y66" s="202">
        <f>(T66*(uPostT))/(1+oDR)^'Markov Model_SA1'!cycle</f>
        <v>25.40475653269452</v>
      </c>
      <c r="Z66" s="80"/>
      <c r="AA66" s="3"/>
      <c r="AB66" s="3"/>
      <c r="AC66" s="14">
        <v>54</v>
      </c>
      <c r="AD66" s="14"/>
      <c r="AE66" s="14"/>
      <c r="AF66" s="3"/>
      <c r="AG66" s="3"/>
      <c r="AH66" s="3"/>
      <c r="AI66" s="14"/>
      <c r="AJ66" s="14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</row>
    <row r="67" spans="1:60" ht="14.25" customHeight="1" x14ac:dyDescent="0.25">
      <c r="A67" s="637"/>
      <c r="B67" s="80"/>
      <c r="C67" s="173">
        <v>56</v>
      </c>
      <c r="D67" s="165"/>
      <c r="E67" s="612">
        <v>7.0741256572026678E-4</v>
      </c>
      <c r="F67" s="502"/>
      <c r="G67" s="219">
        <f t="shared" si="3"/>
        <v>40.560019964061929</v>
      </c>
      <c r="H67" s="481">
        <f>H66+(G66*E67*'life-tables-test'!$C$66)</f>
        <v>59.439980035938071</v>
      </c>
      <c r="I67" s="516">
        <f t="shared" si="0"/>
        <v>100</v>
      </c>
      <c r="J67" s="153">
        <f>(G67*0)/(1+cDR)^'Markov Model_SA1'!cycle</f>
        <v>0</v>
      </c>
      <c r="K67" s="178">
        <f t="shared" si="1"/>
        <v>40.560019964061929</v>
      </c>
      <c r="L67" s="202">
        <f>(G67*(uPostT))/(1+oDR)^'Markov Model_SA1'!cycle</f>
        <v>26.803184756940038</v>
      </c>
      <c r="M67" s="80"/>
      <c r="N67" s="3"/>
      <c r="O67" s="80"/>
      <c r="P67" s="173">
        <v>56</v>
      </c>
      <c r="Q67" s="165"/>
      <c r="R67" s="612">
        <v>7.0741256572026678E-4</v>
      </c>
      <c r="S67" s="502"/>
      <c r="T67" s="219">
        <f t="shared" si="6"/>
        <v>38.212334079442563</v>
      </c>
      <c r="U67" s="481">
        <f>U66+(T66*R67*'life-tables-test'!$C$66)</f>
        <v>61.787665920557437</v>
      </c>
      <c r="V67" s="516">
        <f t="shared" si="2"/>
        <v>100</v>
      </c>
      <c r="W67" s="153">
        <f>(T67*0)/(1+cDR)^'Markov Model_SA1'!cycle2</f>
        <v>0</v>
      </c>
      <c r="X67" s="178">
        <f t="shared" si="7"/>
        <v>38.212334079442563</v>
      </c>
      <c r="Y67" s="202">
        <f>(T67*(uPostT))/(1+oDR)^'Markov Model_SA1'!cycle</f>
        <v>25.251768890466899</v>
      </c>
      <c r="Z67" s="80"/>
      <c r="AA67" s="3"/>
      <c r="AB67" s="3"/>
      <c r="AC67" s="14">
        <v>55</v>
      </c>
      <c r="AD67" s="14"/>
      <c r="AE67" s="14"/>
      <c r="AF67" s="3"/>
      <c r="AG67" s="3"/>
      <c r="AH67" s="3"/>
      <c r="AI67" s="14"/>
      <c r="AJ67" s="14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</row>
    <row r="68" spans="1:60" ht="14.25" customHeight="1" x14ac:dyDescent="0.25">
      <c r="A68" s="637"/>
      <c r="B68" s="80"/>
      <c r="C68" s="173">
        <v>57</v>
      </c>
      <c r="D68" s="165"/>
      <c r="E68" s="612">
        <v>7.0741256572026678E-4</v>
      </c>
      <c r="F68" s="502"/>
      <c r="G68" s="219">
        <f t="shared" si="3"/>
        <v>40.416556625119718</v>
      </c>
      <c r="H68" s="481">
        <f>H67+(G67*E68*'life-tables-test'!$C$66)</f>
        <v>59.583443374880282</v>
      </c>
      <c r="I68" s="516">
        <f t="shared" si="0"/>
        <v>100</v>
      </c>
      <c r="J68" s="153">
        <f>(G68*0)/(1+cDR)^'Markov Model_SA1'!cycle</f>
        <v>0</v>
      </c>
      <c r="K68" s="178">
        <f t="shared" si="1"/>
        <v>40.416556625119718</v>
      </c>
      <c r="L68" s="202">
        <f>(G68*(uPostT))/(1+oDR)^'Markov Model_SA1'!cycle</f>
        <v>26.641775769025564</v>
      </c>
      <c r="M68" s="80"/>
      <c r="N68" s="3"/>
      <c r="O68" s="80"/>
      <c r="P68" s="173">
        <v>57</v>
      </c>
      <c r="Q68" s="165"/>
      <c r="R68" s="612">
        <v>7.0741256572026678E-4</v>
      </c>
      <c r="S68" s="502"/>
      <c r="T68" s="219">
        <f t="shared" si="6"/>
        <v>38.077174652976069</v>
      </c>
      <c r="U68" s="481">
        <f>U67+(T67*R68*'life-tables-test'!$C$66)</f>
        <v>61.922825347023931</v>
      </c>
      <c r="V68" s="516">
        <f t="shared" si="2"/>
        <v>100</v>
      </c>
      <c r="W68" s="153">
        <f>(T68*0)/(1+cDR)^'Markov Model_SA1'!cycle2</f>
        <v>0</v>
      </c>
      <c r="X68" s="178">
        <f t="shared" si="7"/>
        <v>38.077174652976069</v>
      </c>
      <c r="Y68" s="202">
        <f>(T68*(uPostT))/(1+oDR)^'Markov Model_SA1'!cycle</f>
        <v>25.099702541015454</v>
      </c>
      <c r="Z68" s="80"/>
      <c r="AA68" s="3"/>
      <c r="AB68" s="3"/>
      <c r="AC68" s="14">
        <v>56</v>
      </c>
      <c r="AD68" s="14"/>
      <c r="AE68" s="14"/>
      <c r="AF68" s="3"/>
      <c r="AG68" s="3"/>
      <c r="AH68" s="3"/>
      <c r="AI68" s="14"/>
      <c r="AJ68" s="14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</row>
    <row r="69" spans="1:60" ht="14.25" customHeight="1" x14ac:dyDescent="0.25">
      <c r="A69" s="637"/>
      <c r="B69" s="80"/>
      <c r="C69" s="173">
        <v>58</v>
      </c>
      <c r="D69" s="165"/>
      <c r="E69" s="612">
        <v>7.0741256572026678E-4</v>
      </c>
      <c r="F69" s="502"/>
      <c r="G69" s="219">
        <f t="shared" si="3"/>
        <v>40.273600725020948</v>
      </c>
      <c r="H69" s="481">
        <f>H68+(G68*E69*'life-tables-test'!$C$66)</f>
        <v>59.726399274979052</v>
      </c>
      <c r="I69" s="516">
        <f t="shared" si="0"/>
        <v>100</v>
      </c>
      <c r="J69" s="153">
        <f>(G69*0)/(1+cDR)^'Markov Model_SA1'!cycle</f>
        <v>0</v>
      </c>
      <c r="K69" s="178">
        <f t="shared" si="1"/>
        <v>40.273600725020948</v>
      </c>
      <c r="L69" s="202">
        <f>(G69*(uPostT))/(1+oDR)^'Markov Model_SA1'!cycle</f>
        <v>26.481338787296774</v>
      </c>
      <c r="M69" s="80"/>
      <c r="N69" s="3"/>
      <c r="O69" s="80"/>
      <c r="P69" s="173">
        <v>58</v>
      </c>
      <c r="Q69" s="165"/>
      <c r="R69" s="612">
        <v>7.0741256572026678E-4</v>
      </c>
      <c r="S69" s="502"/>
      <c r="T69" s="219">
        <f t="shared" si="6"/>
        <v>37.942493293892866</v>
      </c>
      <c r="U69" s="481">
        <f>U68+(T68*R69*'life-tables-test'!$C$66)</f>
        <v>62.057506706107134</v>
      </c>
      <c r="V69" s="516">
        <f t="shared" si="2"/>
        <v>100</v>
      </c>
      <c r="W69" s="153">
        <f>(T69*0)/(1+cDR)^'Markov Model_SA1'!cycle2</f>
        <v>0</v>
      </c>
      <c r="X69" s="178">
        <f t="shared" si="7"/>
        <v>37.942493293892866</v>
      </c>
      <c r="Y69" s="202">
        <f>(T69*(uPostT))/(1+oDR)^'Markov Model_SA1'!cycle</f>
        <v>24.948551936307908</v>
      </c>
      <c r="Z69" s="80"/>
      <c r="AA69" s="3"/>
      <c r="AB69" s="3"/>
      <c r="AC69" s="14">
        <v>57</v>
      </c>
      <c r="AD69" s="14"/>
      <c r="AE69" s="14"/>
      <c r="AF69" s="3"/>
      <c r="AG69" s="3"/>
      <c r="AH69" s="3"/>
      <c r="AI69" s="14"/>
      <c r="AJ69" s="14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</row>
    <row r="70" spans="1:60" ht="14.25" customHeight="1" x14ac:dyDescent="0.25">
      <c r="A70" s="637"/>
      <c r="B70" s="80"/>
      <c r="C70" s="173">
        <v>59</v>
      </c>
      <c r="D70" s="165"/>
      <c r="E70" s="612">
        <v>7.0741256572026678E-4</v>
      </c>
      <c r="F70" s="502"/>
      <c r="G70" s="219">
        <f t="shared" si="3"/>
        <v>40.131150468922542</v>
      </c>
      <c r="H70" s="481">
        <f>H69+(G69*E70*'life-tables-test'!$C$66)</f>
        <v>59.868849531077458</v>
      </c>
      <c r="I70" s="516">
        <f t="shared" si="0"/>
        <v>100</v>
      </c>
      <c r="J70" s="153">
        <f>(G70*0)/(1+cDR)^'Markov Model_SA1'!cycle</f>
        <v>0</v>
      </c>
      <c r="K70" s="178">
        <f t="shared" si="1"/>
        <v>40.131150468922542</v>
      </c>
      <c r="L70" s="202">
        <f>(G70*(uPostT))/(1+oDR)^'Markov Model_SA1'!cycle</f>
        <v>26.321867958324816</v>
      </c>
      <c r="M70" s="80"/>
      <c r="N70" s="3"/>
      <c r="O70" s="80"/>
      <c r="P70" s="173">
        <v>59</v>
      </c>
      <c r="Q70" s="165"/>
      <c r="R70" s="612">
        <v>7.0741256572026678E-4</v>
      </c>
      <c r="S70" s="502"/>
      <c r="T70" s="219">
        <f t="shared" si="6"/>
        <v>37.808288311238584</v>
      </c>
      <c r="U70" s="481">
        <f>U69+(T69*R70*'life-tables-test'!$C$66)</f>
        <v>62.191711688761416</v>
      </c>
      <c r="V70" s="516">
        <f t="shared" si="2"/>
        <v>100</v>
      </c>
      <c r="W70" s="153">
        <f>(T70*0)/(1+cDR)^'Markov Model_SA1'!cycle2</f>
        <v>0</v>
      </c>
      <c r="X70" s="178">
        <f t="shared" si="7"/>
        <v>37.808288311238584</v>
      </c>
      <c r="Y70" s="202">
        <f>(T70*(uPostT))/(1+oDR)^'Markov Model_SA1'!cycle</f>
        <v>24.798311561722262</v>
      </c>
      <c r="Z70" s="80"/>
      <c r="AA70" s="3"/>
      <c r="AB70" s="3"/>
      <c r="AC70" s="14">
        <v>58</v>
      </c>
      <c r="AD70" s="14"/>
      <c r="AE70" s="14"/>
      <c r="AF70" s="3"/>
      <c r="AG70" s="3"/>
      <c r="AH70" s="3"/>
      <c r="AI70" s="14"/>
      <c r="AJ70" s="14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</row>
    <row r="71" spans="1:60" ht="14.25" customHeight="1" x14ac:dyDescent="0.25">
      <c r="A71" s="637"/>
      <c r="B71" s="80"/>
      <c r="C71" s="173">
        <v>60</v>
      </c>
      <c r="D71" s="504"/>
      <c r="E71" s="612">
        <v>7.0741256572026678E-4</v>
      </c>
      <c r="F71" s="505"/>
      <c r="G71" s="219">
        <f t="shared" si="3"/>
        <v>39.989204068329911</v>
      </c>
      <c r="H71" s="481">
        <f>H70+(G70*E71*'life-tables-test'!$C$66)</f>
        <v>60.010795931670089</v>
      </c>
      <c r="I71" s="516">
        <f t="shared" si="0"/>
        <v>100</v>
      </c>
      <c r="J71" s="180">
        <f>(G71*0)/(1+cDR)^'Markov Model_SA1'!cycle</f>
        <v>0</v>
      </c>
      <c r="K71" s="176">
        <f t="shared" si="1"/>
        <v>39.989204068329911</v>
      </c>
      <c r="L71" s="202">
        <f>(G71*(uPostT))/(1+oDR)^'Markov Model_SA1'!cycle</f>
        <v>26.16335746393025</v>
      </c>
      <c r="M71" s="80"/>
      <c r="N71" s="3"/>
      <c r="O71" s="80"/>
      <c r="P71" s="173">
        <v>60</v>
      </c>
      <c r="Q71" s="504"/>
      <c r="R71" s="612">
        <v>7.0741256572026678E-4</v>
      </c>
      <c r="S71" s="505"/>
      <c r="T71" s="219">
        <f t="shared" si="6"/>
        <v>37.674558020039861</v>
      </c>
      <c r="U71" s="481">
        <f>U70+(T70*R71*'life-tables-test'!$C$66)</f>
        <v>62.325441979960139</v>
      </c>
      <c r="V71" s="516">
        <f t="shared" si="2"/>
        <v>100</v>
      </c>
      <c r="W71" s="180">
        <f>(T71*0)/(1+cDR)^'Markov Model_SA1'!cycle2</f>
        <v>0</v>
      </c>
      <c r="X71" s="176">
        <f t="shared" si="7"/>
        <v>37.674558020039861</v>
      </c>
      <c r="Y71" s="202">
        <f>(T71*(uPostT))/(1+oDR)^'Markov Model_SA1'!cycle</f>
        <v>24.648975935845606</v>
      </c>
      <c r="Z71" s="80"/>
      <c r="AA71" s="3"/>
      <c r="AB71" s="3"/>
      <c r="AC71" s="14">
        <v>59</v>
      </c>
      <c r="AD71" s="14"/>
      <c r="AE71" s="14"/>
      <c r="AF71" s="3"/>
      <c r="AG71" s="3"/>
      <c r="AH71" s="3"/>
      <c r="AI71" s="14"/>
      <c r="AJ71" s="14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</row>
    <row r="72" spans="1:60" ht="14.25" customHeight="1" x14ac:dyDescent="0.25">
      <c r="A72" s="637" t="s">
        <v>547</v>
      </c>
      <c r="B72" s="80"/>
      <c r="C72" s="506">
        <v>61</v>
      </c>
      <c r="D72" s="506"/>
      <c r="E72" s="612">
        <v>7.6092648659953355E-4</v>
      </c>
      <c r="F72" s="508"/>
      <c r="G72" s="509">
        <f t="shared" si="3"/>
        <v>39.837059845561782</v>
      </c>
      <c r="H72" s="482">
        <f>H71+(G71*E72*'life-tables-test'!$C$66)</f>
        <v>60.162940154438218</v>
      </c>
      <c r="I72" s="518">
        <f t="shared" si="0"/>
        <v>100</v>
      </c>
      <c r="J72" s="511">
        <f>(G72*0)/(1+cDR)^'Markov Model_SA1'!cycle</f>
        <v>0</v>
      </c>
      <c r="K72" s="512">
        <f t="shared" si="1"/>
        <v>39.837059845561782</v>
      </c>
      <c r="L72" s="513">
        <f>(G72*(uPostT))/(1+oDR)^'Markov Model_SA1'!cycle</f>
        <v>25.99881845941832</v>
      </c>
      <c r="M72" s="80"/>
      <c r="N72" s="3"/>
      <c r="O72" s="80"/>
      <c r="P72" s="506">
        <v>61</v>
      </c>
      <c r="Q72" s="506"/>
      <c r="R72" s="612">
        <v>7.6092648659953355E-4</v>
      </c>
      <c r="S72" s="508"/>
      <c r="T72" s="509">
        <f t="shared" si="6"/>
        <v>37.531220174697964</v>
      </c>
      <c r="U72" s="482">
        <f>U71+(T71*R72*'life-tables-test'!$C$66)</f>
        <v>62.468779825302036</v>
      </c>
      <c r="V72" s="518">
        <f t="shared" si="2"/>
        <v>100</v>
      </c>
      <c r="W72" s="511">
        <f>(T72*0)/(1+cDR)^'Markov Model_SA1'!cycle2</f>
        <v>0</v>
      </c>
      <c r="X72" s="512">
        <f t="shared" si="7"/>
        <v>37.531220174697964</v>
      </c>
      <c r="Y72" s="513">
        <f>(T72*(uPostT))/(1+oDR)^'Markov Model_SA1'!cycle</f>
        <v>24.493960740708133</v>
      </c>
      <c r="Z72" s="80"/>
      <c r="AA72" s="3"/>
      <c r="AB72" s="3"/>
      <c r="AC72" s="14">
        <v>60</v>
      </c>
      <c r="AD72" s="14"/>
      <c r="AE72" s="14"/>
      <c r="AF72" s="3"/>
      <c r="AG72" s="3"/>
      <c r="AH72" s="3"/>
      <c r="AI72" s="14"/>
      <c r="AJ72" s="14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</row>
    <row r="73" spans="1:60" ht="14.25" customHeight="1" x14ac:dyDescent="0.25">
      <c r="A73" s="637"/>
      <c r="B73" s="80"/>
      <c r="C73" s="173">
        <v>62</v>
      </c>
      <c r="D73" s="165"/>
      <c r="E73" s="612">
        <v>7.6092648659953355E-4</v>
      </c>
      <c r="F73" s="502"/>
      <c r="G73" s="219">
        <f t="shared" si="3"/>
        <v>39.685494475638087</v>
      </c>
      <c r="H73" s="481">
        <f>H72+(G72*E73*'life-tables-test'!$C$66)</f>
        <v>60.314505524361913</v>
      </c>
      <c r="I73" s="516">
        <f t="shared" si="0"/>
        <v>100</v>
      </c>
      <c r="J73" s="153">
        <f>(G73*0)/(1+cDR)^'Markov Model_SA1'!cycle</f>
        <v>0</v>
      </c>
      <c r="K73" s="178">
        <f t="shared" si="1"/>
        <v>39.685494475638087</v>
      </c>
      <c r="L73" s="202">
        <f>(G73*(uPostT))/(1+oDR)^'Markov Model_SA1'!cycle</f>
        <v>25.835314225923199</v>
      </c>
      <c r="M73" s="80"/>
      <c r="N73" s="3"/>
      <c r="O73" s="80"/>
      <c r="P73" s="173">
        <v>62</v>
      </c>
      <c r="Q73" s="165"/>
      <c r="R73" s="612">
        <v>7.6092648659953355E-4</v>
      </c>
      <c r="S73" s="502"/>
      <c r="T73" s="219">
        <f t="shared" si="6"/>
        <v>37.388427677171329</v>
      </c>
      <c r="U73" s="481">
        <f>U72+(T72*R73*'life-tables-test'!$C$66)</f>
        <v>62.611572322828671</v>
      </c>
      <c r="V73" s="516">
        <f t="shared" si="2"/>
        <v>100</v>
      </c>
      <c r="W73" s="153">
        <f>(T73*0)/(1+cDR)^'Markov Model_SA1'!cycle2</f>
        <v>0</v>
      </c>
      <c r="X73" s="178">
        <f t="shared" si="7"/>
        <v>37.388427677171329</v>
      </c>
      <c r="Y73" s="202">
        <f>(T73*(uPostT))/(1+oDR)^'Markov Model_SA1'!cycle</f>
        <v>24.339920422205953</v>
      </c>
      <c r="Z73" s="80"/>
      <c r="AA73" s="3"/>
      <c r="AB73" s="3"/>
      <c r="AC73" s="14">
        <v>61</v>
      </c>
      <c r="AD73" s="14"/>
      <c r="AE73" s="14"/>
      <c r="AF73" s="3"/>
      <c r="AG73" s="3"/>
      <c r="AH73" s="3"/>
      <c r="AI73" s="14"/>
      <c r="AJ73" s="14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</row>
    <row r="74" spans="1:60" ht="14.25" customHeight="1" x14ac:dyDescent="0.25">
      <c r="A74" s="637"/>
      <c r="B74" s="80"/>
      <c r="C74" s="173">
        <v>63</v>
      </c>
      <c r="D74" s="165"/>
      <c r="E74" s="612">
        <v>7.6092648659953355E-4</v>
      </c>
      <c r="F74" s="502"/>
      <c r="G74" s="219">
        <f t="shared" si="3"/>
        <v>39.534505756236527</v>
      </c>
      <c r="H74" s="481">
        <f>H73+(G73*E74*'life-tables-test'!$C$66)</f>
        <v>60.465494243763473</v>
      </c>
      <c r="I74" s="516">
        <f t="shared" si="0"/>
        <v>100</v>
      </c>
      <c r="J74" s="153">
        <f>(G74*0)/(1+cDR)^'Markov Model_SA1'!cycle</f>
        <v>0</v>
      </c>
      <c r="K74" s="178">
        <f t="shared" si="1"/>
        <v>39.534505756236527</v>
      </c>
      <c r="L74" s="202">
        <f>(G74*(uPostT))/(1+oDR)^'Markov Model_SA1'!cycle</f>
        <v>25.672838255862914</v>
      </c>
      <c r="M74" s="80"/>
      <c r="N74" s="3"/>
      <c r="O74" s="80"/>
      <c r="P74" s="173">
        <v>63</v>
      </c>
      <c r="Q74" s="165"/>
      <c r="R74" s="612">
        <v>7.6092648659953355E-4</v>
      </c>
      <c r="S74" s="502"/>
      <c r="T74" s="219">
        <f t="shared" si="6"/>
        <v>37.246178452611979</v>
      </c>
      <c r="U74" s="481">
        <f>U73+(T73*R74*'life-tables-test'!$C$66)</f>
        <v>62.753821547388021</v>
      </c>
      <c r="V74" s="516">
        <f t="shared" si="2"/>
        <v>100</v>
      </c>
      <c r="W74" s="153">
        <f>(T74*0)/(1+cDR)^'Markov Model_SA1'!cycle2</f>
        <v>0</v>
      </c>
      <c r="X74" s="178">
        <f t="shared" si="7"/>
        <v>37.246178452611979</v>
      </c>
      <c r="Y74" s="202">
        <f>(T74*(uPostT))/(1+oDR)^'Markov Model_SA1'!cycle</f>
        <v>24.186848849427488</v>
      </c>
      <c r="Z74" s="80"/>
      <c r="AA74" s="3"/>
      <c r="AB74" s="3"/>
      <c r="AC74" s="14">
        <v>62</v>
      </c>
      <c r="AD74" s="14"/>
      <c r="AE74" s="14"/>
      <c r="AF74" s="3"/>
      <c r="AG74" s="3"/>
      <c r="AH74" s="3"/>
      <c r="AI74" s="14"/>
      <c r="AJ74" s="14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</row>
    <row r="75" spans="1:60" ht="14.25" customHeight="1" x14ac:dyDescent="0.25">
      <c r="A75" s="637"/>
      <c r="B75" s="80"/>
      <c r="C75" s="173">
        <v>64</v>
      </c>
      <c r="D75" s="165"/>
      <c r="E75" s="612">
        <v>7.6092648659953355E-4</v>
      </c>
      <c r="F75" s="502"/>
      <c r="G75" s="219">
        <f t="shared" si="3"/>
        <v>39.38409149341382</v>
      </c>
      <c r="H75" s="481">
        <f>H74+(G74*E75*'life-tables-test'!$C$66)</f>
        <v>60.61590850658618</v>
      </c>
      <c r="I75" s="516">
        <f t="shared" si="0"/>
        <v>100</v>
      </c>
      <c r="J75" s="153">
        <f>(G75*0)/(1+cDR)^'Markov Model_SA1'!cycle</f>
        <v>0</v>
      </c>
      <c r="K75" s="178">
        <f t="shared" ref="K75:K177" si="8">G75</f>
        <v>39.38409149341382</v>
      </c>
      <c r="L75" s="202">
        <f>(G75*(uPostT))/(1+oDR)^'Markov Model_SA1'!cycle</f>
        <v>25.511384082581099</v>
      </c>
      <c r="M75" s="80"/>
      <c r="N75" s="3"/>
      <c r="O75" s="80"/>
      <c r="P75" s="173">
        <v>64</v>
      </c>
      <c r="Q75" s="165"/>
      <c r="R75" s="612">
        <v>7.6092648659953355E-4</v>
      </c>
      <c r="S75" s="502"/>
      <c r="T75" s="219">
        <f t="shared" si="6"/>
        <v>37.104470434065952</v>
      </c>
      <c r="U75" s="481">
        <f>U74+(T74*R75*'life-tables-test'!$C$66)</f>
        <v>62.895529565934048</v>
      </c>
      <c r="V75" s="516">
        <f t="shared" si="2"/>
        <v>100</v>
      </c>
      <c r="W75" s="153">
        <f>(T75*0)/(1+cDR)^'Markov Model_SA1'!cycle2</f>
        <v>0</v>
      </c>
      <c r="X75" s="178">
        <f t="shared" si="7"/>
        <v>37.104470434065952</v>
      </c>
      <c r="Y75" s="202">
        <f>(T75*(uPostT))/(1+oDR)^'Markov Model_SA1'!cycle</f>
        <v>24.034739930017892</v>
      </c>
      <c r="Z75" s="80"/>
      <c r="AA75" s="3"/>
      <c r="AB75" s="3"/>
      <c r="AC75" s="14">
        <v>63</v>
      </c>
      <c r="AD75" s="14"/>
      <c r="AE75" s="14"/>
      <c r="AF75" s="3"/>
      <c r="AG75" s="3"/>
      <c r="AH75" s="3"/>
      <c r="AI75" s="14"/>
      <c r="AJ75" s="14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</row>
    <row r="76" spans="1:60" ht="14.25" customHeight="1" x14ac:dyDescent="0.25">
      <c r="A76" s="637"/>
      <c r="B76" s="80"/>
      <c r="C76" s="173">
        <v>65</v>
      </c>
      <c r="D76" s="165"/>
      <c r="E76" s="612">
        <v>7.6092648659953355E-4</v>
      </c>
      <c r="F76" s="502"/>
      <c r="G76" s="219">
        <f t="shared" ref="G76:G139" si="9">$G$10-H76</f>
        <v>39.234249501573828</v>
      </c>
      <c r="H76" s="481">
        <f>H75+(G75*E76*'life-tables-test'!$C$66)</f>
        <v>60.765750498426172</v>
      </c>
      <c r="I76" s="516">
        <f t="shared" si="0"/>
        <v>100</v>
      </c>
      <c r="J76" s="153">
        <f>(G76*0)/(1+cDR)^'Markov Model_SA1'!cycle</f>
        <v>0</v>
      </c>
      <c r="K76" s="178">
        <f t="shared" si="8"/>
        <v>39.234249501573828</v>
      </c>
      <c r="L76" s="202">
        <f>(G76*(uPostT))/(1+oDR)^'Markov Model_SA1'!cycle</f>
        <v>25.350945280089626</v>
      </c>
      <c r="M76" s="80"/>
      <c r="N76" s="3"/>
      <c r="O76" s="80"/>
      <c r="P76" s="173">
        <v>65</v>
      </c>
      <c r="Q76" s="165"/>
      <c r="R76" s="612">
        <v>7.6092648659953355E-4</v>
      </c>
      <c r="S76" s="502"/>
      <c r="T76" s="219">
        <f t="shared" si="6"/>
        <v>36.963301562443299</v>
      </c>
      <c r="U76" s="481">
        <f>U75+(T75*R76*'life-tables-test'!$C$66)</f>
        <v>63.036698437556701</v>
      </c>
      <c r="V76" s="516">
        <f t="shared" si="2"/>
        <v>100</v>
      </c>
      <c r="W76" s="153">
        <f>(T76*0)/(1+cDR)^'Markov Model_SA1'!cycle2</f>
        <v>0</v>
      </c>
      <c r="X76" s="178">
        <f t="shared" si="7"/>
        <v>36.963301562443299</v>
      </c>
      <c r="Y76" s="202">
        <f>(T76*(uPostT))/(1+oDR)^'Markov Model_SA1'!cycle</f>
        <v>23.883587609936637</v>
      </c>
      <c r="Z76" s="80"/>
      <c r="AA76" s="3"/>
      <c r="AB76" s="3"/>
      <c r="AC76" s="14">
        <v>64</v>
      </c>
      <c r="AD76" s="14"/>
      <c r="AE76" s="14"/>
      <c r="AF76" s="3"/>
      <c r="AG76" s="3"/>
      <c r="AH76" s="3"/>
      <c r="AI76" s="14"/>
      <c r="AJ76" s="14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</row>
    <row r="77" spans="1:60" ht="14.25" customHeight="1" x14ac:dyDescent="0.25">
      <c r="A77" s="637"/>
      <c r="B77" s="80"/>
      <c r="C77" s="173">
        <v>66</v>
      </c>
      <c r="D77" s="165"/>
      <c r="E77" s="612">
        <v>7.6092648659953355E-4</v>
      </c>
      <c r="F77" s="502"/>
      <c r="G77" s="219">
        <f t="shared" si="9"/>
        <v>39.084977603435817</v>
      </c>
      <c r="H77" s="481">
        <f>H76+(G76*E77*'life-tables-test'!$C$66)</f>
        <v>60.915022396564183</v>
      </c>
      <c r="I77" s="516">
        <f t="shared" si="0"/>
        <v>100</v>
      </c>
      <c r="J77" s="153">
        <f>(G77*0)/(1+cDR)^'Markov Model_SA1'!cycle</f>
        <v>0</v>
      </c>
      <c r="K77" s="178">
        <f t="shared" si="8"/>
        <v>39.084977603435817</v>
      </c>
      <c r="L77" s="202">
        <f>(G77*(uPostT))/(1+oDR)^'Markov Model_SA1'!cycle</f>
        <v>25.191515462812816</v>
      </c>
      <c r="M77" s="80"/>
      <c r="N77" s="3"/>
      <c r="O77" s="80"/>
      <c r="P77" s="173">
        <v>66</v>
      </c>
      <c r="Q77" s="165"/>
      <c r="R77" s="612">
        <v>7.6092648659953355E-4</v>
      </c>
      <c r="S77" s="502"/>
      <c r="T77" s="219">
        <f t="shared" si="6"/>
        <v>36.822669786488156</v>
      </c>
      <c r="U77" s="481">
        <f>U76+(T76*R77*'life-tables-test'!$C$66)</f>
        <v>63.177330213511844</v>
      </c>
      <c r="V77" s="516">
        <f t="shared" si="2"/>
        <v>100</v>
      </c>
      <c r="W77" s="153">
        <f>(T77*0)/(1+cDR)^'Markov Model_SA1'!cycle2</f>
        <v>0</v>
      </c>
      <c r="X77" s="178">
        <f t="shared" si="7"/>
        <v>36.822669786488156</v>
      </c>
      <c r="Y77" s="202">
        <f>(T77*(uPostT))/(1+oDR)^'Markov Model_SA1'!cycle</f>
        <v>23.733385873216495</v>
      </c>
      <c r="Z77" s="80"/>
      <c r="AA77" s="3"/>
      <c r="AB77" s="3"/>
      <c r="AC77" s="14">
        <v>65</v>
      </c>
      <c r="AD77" s="14"/>
      <c r="AE77" s="14"/>
      <c r="AF77" s="3"/>
      <c r="AG77" s="3"/>
      <c r="AH77" s="3"/>
      <c r="AI77" s="14"/>
      <c r="AJ77" s="14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</row>
    <row r="78" spans="1:60" ht="14.25" customHeight="1" x14ac:dyDescent="0.25">
      <c r="A78" s="637"/>
      <c r="B78" s="80"/>
      <c r="C78" s="173">
        <v>67</v>
      </c>
      <c r="D78" s="165"/>
      <c r="E78" s="612">
        <v>7.6092648659953355E-4</v>
      </c>
      <c r="F78" s="502"/>
      <c r="G78" s="219">
        <f t="shared" si="9"/>
        <v>38.936273630002795</v>
      </c>
      <c r="H78" s="481">
        <f>H77+(G77*E78*'life-tables-test'!$C$66)</f>
        <v>61.063726369997205</v>
      </c>
      <c r="I78" s="516">
        <f t="shared" si="0"/>
        <v>100</v>
      </c>
      <c r="J78" s="153">
        <f>(G78*0)/(1+cDR)^'Markov Model_SA1'!cycle</f>
        <v>0</v>
      </c>
      <c r="K78" s="178">
        <f t="shared" si="8"/>
        <v>38.936273630002795</v>
      </c>
      <c r="L78" s="202">
        <f>(G78*(uPostT))/(1+oDR)^'Markov Model_SA1'!cycle</f>
        <v>25.033088285333303</v>
      </c>
      <c r="M78" s="80"/>
      <c r="N78" s="3"/>
      <c r="O78" s="80"/>
      <c r="P78" s="173">
        <v>67</v>
      </c>
      <c r="Q78" s="165"/>
      <c r="R78" s="612">
        <v>7.6092648659953355E-4</v>
      </c>
      <c r="S78" s="502"/>
      <c r="T78" s="219">
        <f t="shared" si="6"/>
        <v>36.682573062748922</v>
      </c>
      <c r="U78" s="481">
        <f>U77+(T77*R78*'life-tables-test'!$C$66)</f>
        <v>63.317426937251078</v>
      </c>
      <c r="V78" s="516">
        <f t="shared" si="2"/>
        <v>100</v>
      </c>
      <c r="W78" s="153">
        <f>(T78*0)/(1+cDR)^'Markov Model_SA1'!cycle2</f>
        <v>0</v>
      </c>
      <c r="X78" s="178">
        <f t="shared" si="7"/>
        <v>36.682573062748922</v>
      </c>
      <c r="Y78" s="202">
        <f>(T78*(uPostT))/(1+oDR)^'Markov Model_SA1'!cycle</f>
        <v>23.584128741724097</v>
      </c>
      <c r="Z78" s="80"/>
      <c r="AA78" s="3"/>
      <c r="AB78" s="3"/>
      <c r="AC78" s="14">
        <v>66</v>
      </c>
      <c r="AD78" s="14"/>
      <c r="AE78" s="14"/>
      <c r="AF78" s="3"/>
      <c r="AG78" s="3"/>
      <c r="AH78" s="3"/>
      <c r="AI78" s="204"/>
      <c r="AJ78" s="14"/>
      <c r="AK78" s="3"/>
      <c r="AL78" s="3"/>
      <c r="AM78" s="3"/>
      <c r="AN78" s="3"/>
      <c r="AO78" s="3"/>
      <c r="AP78" s="3"/>
      <c r="AQ78" s="3"/>
      <c r="AR78" s="3"/>
      <c r="AS78" s="3"/>
      <c r="AT78" s="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</row>
    <row r="79" spans="1:60" ht="14.25" customHeight="1" x14ac:dyDescent="0.25">
      <c r="A79" s="637"/>
      <c r="B79" s="80"/>
      <c r="C79" s="173">
        <v>68</v>
      </c>
      <c r="D79" s="165"/>
      <c r="E79" s="612">
        <v>7.6092648659953355E-4</v>
      </c>
      <c r="F79" s="502"/>
      <c r="G79" s="219">
        <f t="shared" si="9"/>
        <v>38.788135420530011</v>
      </c>
      <c r="H79" s="481">
        <f>H78+(G78*E79*'life-tables-test'!$C$66)</f>
        <v>61.211864579469989</v>
      </c>
      <c r="I79" s="516">
        <f t="shared" si="0"/>
        <v>100</v>
      </c>
      <c r="J79" s="153">
        <f>(G79*0)/(1+cDR)^'Markov Model_SA1'!cycle</f>
        <v>0</v>
      </c>
      <c r="K79" s="178">
        <f t="shared" si="8"/>
        <v>38.788135420530011</v>
      </c>
      <c r="L79" s="202">
        <f>(G79*(uPostT))/(1+oDR)^'Markov Model_SA1'!cycle</f>
        <v>24.875657442139481</v>
      </c>
      <c r="M79" s="80"/>
      <c r="N79" s="3"/>
      <c r="O79" s="80"/>
      <c r="P79" s="173">
        <v>68</v>
      </c>
      <c r="Q79" s="165"/>
      <c r="R79" s="612">
        <v>7.6092648659953355E-4</v>
      </c>
      <c r="S79" s="502"/>
      <c r="T79" s="219">
        <f t="shared" si="6"/>
        <v>36.543009355548584</v>
      </c>
      <c r="U79" s="481">
        <f>U78+(T78*R79*'life-tables-test'!$C$66)</f>
        <v>63.456990644451416</v>
      </c>
      <c r="V79" s="516">
        <f t="shared" si="2"/>
        <v>100</v>
      </c>
      <c r="W79" s="153">
        <f>(T79*0)/(1+cDR)^'Markov Model_SA1'!cycle2</f>
        <v>0</v>
      </c>
      <c r="X79" s="178">
        <f t="shared" si="7"/>
        <v>36.543009355548584</v>
      </c>
      <c r="Y79" s="202">
        <f>(T79*(uPostT))/(1+oDR)^'Markov Model_SA1'!cycle</f>
        <v>23.435810274922041</v>
      </c>
      <c r="Z79" s="80"/>
      <c r="AA79" s="3"/>
      <c r="AB79" s="3"/>
      <c r="AC79" s="14">
        <v>67</v>
      </c>
      <c r="AD79" s="14"/>
      <c r="AE79" s="14"/>
      <c r="AF79" s="3"/>
      <c r="AG79" s="3"/>
      <c r="AH79" s="3"/>
      <c r="AI79" s="14"/>
      <c r="AJ79" s="14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</row>
    <row r="80" spans="1:60" ht="14.25" customHeight="1" x14ac:dyDescent="0.25">
      <c r="A80" s="637"/>
      <c r="B80" s="80"/>
      <c r="C80" s="173">
        <v>69</v>
      </c>
      <c r="D80" s="165"/>
      <c r="E80" s="612">
        <v>7.6092648659953355E-4</v>
      </c>
      <c r="F80" s="502"/>
      <c r="G80" s="219">
        <f t="shared" si="9"/>
        <v>38.640560822493555</v>
      </c>
      <c r="H80" s="481">
        <f>H79+(G79*E80*'life-tables-test'!$C$66)</f>
        <v>61.359439177506445</v>
      </c>
      <c r="I80" s="516">
        <f t="shared" si="0"/>
        <v>100</v>
      </c>
      <c r="J80" s="153">
        <f>(G80*0)/(1+cDR)^'Markov Model_SA1'!cycle</f>
        <v>0</v>
      </c>
      <c r="K80" s="178">
        <f t="shared" si="8"/>
        <v>38.640560822493555</v>
      </c>
      <c r="L80" s="202">
        <f>(G80*(uPostT))/(1+oDR)^'Markov Model_SA1'!cycle</f>
        <v>24.719216667374539</v>
      </c>
      <c r="M80" s="80"/>
      <c r="N80" s="3"/>
      <c r="O80" s="80"/>
      <c r="P80" s="173">
        <v>69</v>
      </c>
      <c r="Q80" s="165"/>
      <c r="R80" s="612">
        <v>7.6092648659953355E-4</v>
      </c>
      <c r="S80" s="502"/>
      <c r="T80" s="219">
        <f t="shared" si="6"/>
        <v>36.403976636955129</v>
      </c>
      <c r="U80" s="481">
        <f>U79+(T79*R80*'life-tables-test'!$C$66)</f>
        <v>63.596023363044871</v>
      </c>
      <c r="V80" s="516">
        <f t="shared" si="2"/>
        <v>100</v>
      </c>
      <c r="W80" s="153">
        <f>(T80*0)/(1+cDR)^'Markov Model_SA1'!cycle2</f>
        <v>0</v>
      </c>
      <c r="X80" s="178">
        <f t="shared" si="7"/>
        <v>36.403976636955129</v>
      </c>
      <c r="Y80" s="202">
        <f>(T80*(uPostT))/(1+oDR)^'Markov Model_SA1'!cycle</f>
        <v>23.288424569632415</v>
      </c>
      <c r="Z80" s="80"/>
      <c r="AA80" s="3"/>
      <c r="AB80" s="3"/>
      <c r="AC80" s="14">
        <v>68</v>
      </c>
      <c r="AD80" s="14"/>
      <c r="AE80" s="14"/>
      <c r="AF80" s="3"/>
      <c r="AG80" s="3"/>
      <c r="AH80" s="3"/>
      <c r="AI80" s="14"/>
      <c r="AJ80" s="14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</row>
    <row r="81" spans="1:60" ht="14.25" customHeight="1" x14ac:dyDescent="0.25">
      <c r="A81" s="637"/>
      <c r="B81" s="80"/>
      <c r="C81" s="173">
        <v>70</v>
      </c>
      <c r="D81" s="165"/>
      <c r="E81" s="612">
        <v>7.6092648659953355E-4</v>
      </c>
      <c r="F81" s="502"/>
      <c r="G81" s="219">
        <f t="shared" si="9"/>
        <v>38.49354769155908</v>
      </c>
      <c r="H81" s="481">
        <f>H80+(G80*E81*'life-tables-test'!$C$66)</f>
        <v>61.50645230844092</v>
      </c>
      <c r="I81" s="516">
        <f t="shared" si="0"/>
        <v>100</v>
      </c>
      <c r="J81" s="153">
        <f>(G81*0)/(1+cDR)^'Markov Model_SA1'!cycle</f>
        <v>0</v>
      </c>
      <c r="K81" s="178">
        <f t="shared" si="8"/>
        <v>38.49354769155908</v>
      </c>
      <c r="L81" s="202">
        <f>(G81*(uPostT))/(1+oDR)^'Markov Model_SA1'!cycle</f>
        <v>24.563759734587087</v>
      </c>
      <c r="M81" s="80"/>
      <c r="N81" s="3"/>
      <c r="O81" s="80"/>
      <c r="P81" s="173">
        <v>70</v>
      </c>
      <c r="Q81" s="165"/>
      <c r="R81" s="612">
        <v>7.6092648659953355E-4</v>
      </c>
      <c r="S81" s="502"/>
      <c r="T81" s="219">
        <f t="shared" si="6"/>
        <v>36.265472886752079</v>
      </c>
      <c r="U81" s="481">
        <f>U80+(T80*R81*'life-tables-test'!$C$66)</f>
        <v>63.734527113247921</v>
      </c>
      <c r="V81" s="516">
        <f t="shared" si="2"/>
        <v>100</v>
      </c>
      <c r="W81" s="153">
        <f>(T81*0)/(1+cDR)^'Markov Model_SA1'!cycle2</f>
        <v>0</v>
      </c>
      <c r="X81" s="178">
        <f t="shared" si="7"/>
        <v>36.265472886752079</v>
      </c>
      <c r="Y81" s="202">
        <f>(T81*(uPostT))/(1+oDR)^'Markov Model_SA1'!cycle</f>
        <v>23.14196575980187</v>
      </c>
      <c r="Z81" s="80"/>
      <c r="AA81" s="3"/>
      <c r="AB81" s="3"/>
      <c r="AC81" s="14">
        <v>69</v>
      </c>
      <c r="AD81" s="14"/>
      <c r="AE81" s="14"/>
      <c r="AF81" s="3"/>
      <c r="AG81" s="3"/>
      <c r="AH81" s="3"/>
      <c r="AI81" s="14"/>
      <c r="AJ81" s="14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</row>
    <row r="82" spans="1:60" ht="14.25" customHeight="1" x14ac:dyDescent="0.25">
      <c r="A82" s="637"/>
      <c r="B82" s="80"/>
      <c r="C82" s="173">
        <v>71</v>
      </c>
      <c r="D82" s="165"/>
      <c r="E82" s="612">
        <v>7.6092648659953355E-4</v>
      </c>
      <c r="F82" s="502"/>
      <c r="G82" s="219">
        <f t="shared" si="9"/>
        <v>38.347093891550628</v>
      </c>
      <c r="H82" s="481">
        <f>H81+(G81*E82*'life-tables-test'!$C$66)</f>
        <v>61.652906108449372</v>
      </c>
      <c r="I82" s="516">
        <f t="shared" si="0"/>
        <v>100</v>
      </c>
      <c r="J82" s="153">
        <f>(G82*0)/(1+cDR)^'Markov Model_SA1'!cycle</f>
        <v>0</v>
      </c>
      <c r="K82" s="178">
        <f t="shared" si="8"/>
        <v>38.347093891550628</v>
      </c>
      <c r="L82" s="202">
        <f>(G82*(uPostT))/(1+oDR)^'Markov Model_SA1'!cycle</f>
        <v>24.409280456483309</v>
      </c>
      <c r="M82" s="80"/>
      <c r="N82" s="3"/>
      <c r="O82" s="80"/>
      <c r="P82" s="173">
        <v>71</v>
      </c>
      <c r="Q82" s="165"/>
      <c r="R82" s="612">
        <v>7.6092648659953355E-4</v>
      </c>
      <c r="S82" s="502"/>
      <c r="T82" s="219">
        <f t="shared" si="6"/>
        <v>36.127496092409146</v>
      </c>
      <c r="U82" s="481">
        <f>U81+(T81*R82*'life-tables-test'!$C$66)</f>
        <v>63.872503907590854</v>
      </c>
      <c r="V82" s="516">
        <f t="shared" si="2"/>
        <v>100</v>
      </c>
      <c r="W82" s="153">
        <f>(T82*0)/(1+cDR)^'Markov Model_SA1'!cycle2</f>
        <v>0</v>
      </c>
      <c r="X82" s="178">
        <f t="shared" si="7"/>
        <v>36.127496092409146</v>
      </c>
      <c r="Y82" s="202">
        <f>(T82*(uPostT))/(1+oDR)^'Markov Model_SA1'!cycle</f>
        <v>22.996428016268137</v>
      </c>
      <c r="Z82" s="80"/>
      <c r="AA82" s="3"/>
      <c r="AB82" s="3"/>
      <c r="AC82" s="14">
        <v>70</v>
      </c>
      <c r="AD82" s="14"/>
      <c r="AE82" s="14"/>
      <c r="AF82" s="3"/>
      <c r="AG82" s="3"/>
      <c r="AH82" s="3"/>
      <c r="AI82" s="14"/>
      <c r="AJ82" s="14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</row>
    <row r="83" spans="1:60" ht="14.25" customHeight="1" x14ac:dyDescent="0.25">
      <c r="A83" s="637"/>
      <c r="B83" s="80"/>
      <c r="C83" s="173">
        <v>72</v>
      </c>
      <c r="D83" s="504"/>
      <c r="E83" s="612">
        <v>7.6092648659953355E-4</v>
      </c>
      <c r="F83" s="505"/>
      <c r="G83" s="219">
        <f t="shared" si="9"/>
        <v>38.201197294419629</v>
      </c>
      <c r="H83" s="481">
        <f>H82+(G82*E83*'life-tables-test'!$C$66)</f>
        <v>61.798802705580371</v>
      </c>
      <c r="I83" s="516">
        <f t="shared" si="0"/>
        <v>100</v>
      </c>
      <c r="J83" s="180">
        <f>(G83*0)/(1+cDR)^'Markov Model_SA1'!cycle</f>
        <v>0</v>
      </c>
      <c r="K83" s="176">
        <f t="shared" si="8"/>
        <v>38.201197294419629</v>
      </c>
      <c r="L83" s="202">
        <f>(G83*(uPostT))/(1+oDR)^'Markov Model_SA1'!cycle</f>
        <v>24.255772684680732</v>
      </c>
      <c r="M83" s="80"/>
      <c r="N83" s="3"/>
      <c r="O83" s="80"/>
      <c r="P83" s="173">
        <v>72</v>
      </c>
      <c r="Q83" s="504"/>
      <c r="R83" s="612">
        <v>7.6092648659953355E-4</v>
      </c>
      <c r="S83" s="505"/>
      <c r="T83" s="219">
        <f t="shared" si="6"/>
        <v>35.990044249052971</v>
      </c>
      <c r="U83" s="481">
        <f>U82+(T82*R83*'life-tables-test'!$C$66)</f>
        <v>64.009955750947029</v>
      </c>
      <c r="V83" s="516">
        <f t="shared" si="2"/>
        <v>100</v>
      </c>
      <c r="W83" s="180">
        <f>(T83*0)/(1+cDR)^'Markov Model_SA1'!cycle2</f>
        <v>0</v>
      </c>
      <c r="X83" s="176">
        <f t="shared" si="7"/>
        <v>35.990044249052971</v>
      </c>
      <c r="Y83" s="202">
        <f>(T83*(uPostT))/(1+oDR)^'Markov Model_SA1'!cycle</f>
        <v>22.851805546528031</v>
      </c>
      <c r="Z83" s="80"/>
      <c r="AA83" s="3"/>
      <c r="AB83" s="3"/>
      <c r="AC83" s="14">
        <v>71</v>
      </c>
      <c r="AD83" s="14"/>
      <c r="AE83" s="14"/>
      <c r="AF83" s="3"/>
      <c r="AG83" s="3"/>
      <c r="AH83" s="3"/>
      <c r="AI83" s="14"/>
      <c r="AJ83" s="14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</row>
    <row r="84" spans="1:60" ht="14.25" customHeight="1" x14ac:dyDescent="0.25">
      <c r="A84" s="637" t="s">
        <v>548</v>
      </c>
      <c r="B84" s="80"/>
      <c r="C84" s="506">
        <v>73</v>
      </c>
      <c r="D84" s="506"/>
      <c r="E84" s="612">
        <v>8.1766718395870353E-4</v>
      </c>
      <c r="F84" s="508"/>
      <c r="G84" s="509">
        <f t="shared" si="9"/>
        <v>38.045017967341735</v>
      </c>
      <c r="H84" s="482">
        <f>H83+(G83*E84*'life-tables-test'!$C$66)</f>
        <v>61.954982032658265</v>
      </c>
      <c r="I84" s="518">
        <f t="shared" si="0"/>
        <v>100</v>
      </c>
      <c r="J84" s="511">
        <f>(G84*0)/(1+cDR)^'Markov Model_SA1'!cycle</f>
        <v>0</v>
      </c>
      <c r="K84" s="512">
        <f t="shared" si="8"/>
        <v>38.045017967341735</v>
      </c>
      <c r="L84" s="513">
        <f>(G84*(uPostT))/(1+oDR)^'Markov Model_SA1'!cycle</f>
        <v>24.096366022894372</v>
      </c>
      <c r="M84" s="80"/>
      <c r="N84" s="3"/>
      <c r="O84" s="80"/>
      <c r="P84" s="506">
        <v>73</v>
      </c>
      <c r="Q84" s="506"/>
      <c r="R84" s="612">
        <v>8.1766718395870353E-4</v>
      </c>
      <c r="S84" s="508"/>
      <c r="T84" s="509">
        <f t="shared" si="6"/>
        <v>35.842904858394604</v>
      </c>
      <c r="U84" s="482">
        <f>U83+(T83*R84*'life-tables-test'!$C$66)</f>
        <v>64.157095141605396</v>
      </c>
      <c r="V84" s="518">
        <f t="shared" si="2"/>
        <v>100</v>
      </c>
      <c r="W84" s="511">
        <f>(T84*0)/(1+cDR)^'Markov Model_SA1'!cycle2</f>
        <v>0</v>
      </c>
      <c r="X84" s="512">
        <f t="shared" si="7"/>
        <v>35.842904858394604</v>
      </c>
      <c r="Y84" s="513">
        <f>(T84*(uPostT))/(1+oDR)^'Markov Model_SA1'!cycle</f>
        <v>22.701625625017474</v>
      </c>
      <c r="Z84" s="80"/>
      <c r="AA84" s="3"/>
      <c r="AB84" s="3"/>
      <c r="AC84" s="14">
        <v>72</v>
      </c>
      <c r="AD84" s="14"/>
      <c r="AE84" s="14"/>
      <c r="AF84" s="3"/>
      <c r="AG84" s="3"/>
      <c r="AH84" s="3"/>
      <c r="AI84" s="14"/>
      <c r="AJ84" s="14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</row>
    <row r="85" spans="1:60" ht="14.25" customHeight="1" x14ac:dyDescent="0.25">
      <c r="A85" s="637"/>
      <c r="B85" s="80"/>
      <c r="C85" s="173">
        <v>74</v>
      </c>
      <c r="D85" s="165"/>
      <c r="E85" s="612">
        <v>8.1766718395870353E-4</v>
      </c>
      <c r="F85" s="502"/>
      <c r="G85" s="219">
        <f t="shared" si="9"/>
        <v>37.889477153816664</v>
      </c>
      <c r="H85" s="481">
        <f>H84+(G84*E85*'life-tables-test'!$C$66)</f>
        <v>62.110522846183336</v>
      </c>
      <c r="I85" s="516">
        <f t="shared" si="0"/>
        <v>100</v>
      </c>
      <c r="J85" s="153">
        <f>(G85*0)/(1+cDR)^'Markov Model_SA1'!cycle</f>
        <v>0</v>
      </c>
      <c r="K85" s="178">
        <f t="shared" si="8"/>
        <v>37.889477153816664</v>
      </c>
      <c r="L85" s="202">
        <f>(G85*(uPostT))/(1+oDR)^'Markov Model_SA1'!cycle</f>
        <v>23.938006966729656</v>
      </c>
      <c r="M85" s="80"/>
      <c r="N85" s="3"/>
      <c r="O85" s="80"/>
      <c r="P85" s="173">
        <v>74</v>
      </c>
      <c r="Q85" s="165"/>
      <c r="R85" s="612">
        <v>8.1766718395870353E-4</v>
      </c>
      <c r="S85" s="502"/>
      <c r="T85" s="219">
        <f t="shared" si="6"/>
        <v>35.696367022992291</v>
      </c>
      <c r="U85" s="481">
        <f>U84+(T84*R85*'life-tables-test'!$C$66)</f>
        <v>64.303632977007709</v>
      </c>
      <c r="V85" s="516">
        <f t="shared" si="2"/>
        <v>100</v>
      </c>
      <c r="W85" s="153">
        <f>(T85*0)/(1+cDR)^'Markov Model_SA1'!cycle2</f>
        <v>0</v>
      </c>
      <c r="X85" s="178">
        <f t="shared" si="7"/>
        <v>35.696367022992291</v>
      </c>
      <c r="Y85" s="202">
        <f>(T85*(uPostT))/(1+oDR)^'Markov Model_SA1'!cycle</f>
        <v>22.552432671857368</v>
      </c>
      <c r="Z85" s="80"/>
      <c r="AA85" s="3"/>
      <c r="AB85" s="3"/>
      <c r="AC85" s="14">
        <v>73</v>
      </c>
      <c r="AD85" s="14"/>
      <c r="AE85" s="14"/>
      <c r="AF85" s="3"/>
      <c r="AG85" s="3"/>
      <c r="AH85" s="3"/>
      <c r="AI85" s="14"/>
      <c r="AJ85" s="14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</row>
    <row r="86" spans="1:60" ht="14.25" customHeight="1" x14ac:dyDescent="0.25">
      <c r="A86" s="637"/>
      <c r="B86" s="80"/>
      <c r="C86" s="173">
        <v>75</v>
      </c>
      <c r="D86" s="165"/>
      <c r="E86" s="612">
        <v>8.1766718395870353E-4</v>
      </c>
      <c r="F86" s="502"/>
      <c r="G86" s="219">
        <f t="shared" si="9"/>
        <v>37.734572243386516</v>
      </c>
      <c r="H86" s="481">
        <f>H85+(G85*E86*'life-tables-test'!$C$66)</f>
        <v>62.265427756613484</v>
      </c>
      <c r="I86" s="516">
        <f t="shared" si="0"/>
        <v>100</v>
      </c>
      <c r="J86" s="153">
        <f>(G86*0)/(1+cDR)^'Markov Model_SA1'!cycle</f>
        <v>0</v>
      </c>
      <c r="K86" s="178">
        <f t="shared" si="8"/>
        <v>37.734572243386516</v>
      </c>
      <c r="L86" s="202">
        <f>(G86*(uPostT))/(1+oDR)^'Markov Model_SA1'!cycle</f>
        <v>23.780688631420759</v>
      </c>
      <c r="M86" s="80"/>
      <c r="N86" s="3"/>
      <c r="O86" s="80"/>
      <c r="P86" s="173">
        <v>75</v>
      </c>
      <c r="Q86" s="165"/>
      <c r="R86" s="612">
        <v>8.1766718395870353E-4</v>
      </c>
      <c r="S86" s="502"/>
      <c r="T86" s="219">
        <f t="shared" si="6"/>
        <v>35.550428283486056</v>
      </c>
      <c r="U86" s="481">
        <f>U85+(T85*R86*'life-tables-test'!$C$66)</f>
        <v>64.449571716513944</v>
      </c>
      <c r="V86" s="516">
        <f t="shared" si="2"/>
        <v>100</v>
      </c>
      <c r="W86" s="153">
        <f>(T86*0)/(1+cDR)^'Markov Model_SA1'!cycle2</f>
        <v>0</v>
      </c>
      <c r="X86" s="178">
        <f t="shared" si="7"/>
        <v>35.550428283486056</v>
      </c>
      <c r="Y86" s="202">
        <f>(T86*(uPostT))/(1+oDR)^'Markov Model_SA1'!cycle</f>
        <v>22.40422020078433</v>
      </c>
      <c r="Z86" s="80"/>
      <c r="AA86" s="3"/>
      <c r="AB86" s="3"/>
      <c r="AC86" s="14">
        <v>74</v>
      </c>
      <c r="AD86" s="14"/>
      <c r="AE86" s="14"/>
      <c r="AF86" s="3"/>
      <c r="AG86" s="3"/>
      <c r="AH86" s="3"/>
      <c r="AI86" s="14"/>
      <c r="AJ86" s="14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</row>
    <row r="87" spans="1:60" ht="14.25" customHeight="1" x14ac:dyDescent="0.25">
      <c r="A87" s="637"/>
      <c r="B87" s="80"/>
      <c r="C87" s="173">
        <v>76</v>
      </c>
      <c r="D87" s="165"/>
      <c r="E87" s="612">
        <v>8.1766718395870353E-4</v>
      </c>
      <c r="F87" s="502"/>
      <c r="G87" s="219">
        <f t="shared" si="9"/>
        <v>37.580300636265832</v>
      </c>
      <c r="H87" s="481">
        <f>H86+(G86*E87*'life-tables-test'!$C$66)</f>
        <v>62.419699363734168</v>
      </c>
      <c r="I87" s="516">
        <f t="shared" si="0"/>
        <v>100</v>
      </c>
      <c r="J87" s="153">
        <f>(G87*0)/(1+cDR)^'Markov Model_SA1'!cycle</f>
        <v>0</v>
      </c>
      <c r="K87" s="178">
        <f t="shared" si="8"/>
        <v>37.580300636265832</v>
      </c>
      <c r="L87" s="202">
        <f>(G87*(uPostT))/(1+oDR)^'Markov Model_SA1'!cycle</f>
        <v>23.624404177447875</v>
      </c>
      <c r="M87" s="80"/>
      <c r="N87" s="3"/>
      <c r="O87" s="80"/>
      <c r="P87" s="173">
        <v>76</v>
      </c>
      <c r="Q87" s="165"/>
      <c r="R87" s="612">
        <v>8.1766718395870353E-4</v>
      </c>
      <c r="S87" s="502"/>
      <c r="T87" s="219">
        <f t="shared" si="6"/>
        <v>35.405086190570643</v>
      </c>
      <c r="U87" s="481">
        <f>U86+(T86*R87*'life-tables-test'!$C$66)</f>
        <v>64.594913809429357</v>
      </c>
      <c r="V87" s="516">
        <f t="shared" si="2"/>
        <v>100</v>
      </c>
      <c r="W87" s="153">
        <f>(T87*0)/(1+cDR)^'Markov Model_SA1'!cycle2</f>
        <v>0</v>
      </c>
      <c r="X87" s="178">
        <f t="shared" si="7"/>
        <v>35.405086190570643</v>
      </c>
      <c r="Y87" s="202">
        <f>(T87*(uPostT))/(1+oDR)^'Markov Model_SA1'!cycle</f>
        <v>22.256981768162095</v>
      </c>
      <c r="Z87" s="80"/>
      <c r="AA87" s="3"/>
      <c r="AB87" s="3"/>
      <c r="AC87" s="14">
        <v>75</v>
      </c>
      <c r="AD87" s="14"/>
      <c r="AE87" s="14"/>
      <c r="AF87" s="3"/>
      <c r="AG87" s="3"/>
      <c r="AH87" s="3"/>
      <c r="AI87" s="14"/>
      <c r="AJ87" s="14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</row>
    <row r="88" spans="1:60" ht="14.25" customHeight="1" x14ac:dyDescent="0.25">
      <c r="A88" s="637"/>
      <c r="B88" s="80"/>
      <c r="C88" s="173">
        <v>77</v>
      </c>
      <c r="D88" s="165"/>
      <c r="E88" s="612">
        <v>8.1766718395870353E-4</v>
      </c>
      <c r="F88" s="502"/>
      <c r="G88" s="219">
        <f t="shared" si="9"/>
        <v>37.426659743297947</v>
      </c>
      <c r="H88" s="481">
        <f>H87+(G87*E88*'life-tables-test'!$C$66)</f>
        <v>62.573340256702053</v>
      </c>
      <c r="I88" s="516">
        <f t="shared" si="0"/>
        <v>100</v>
      </c>
      <c r="J88" s="153">
        <f>(G88*0)/(1+cDR)^'Markov Model_SA1'!cycle</f>
        <v>0</v>
      </c>
      <c r="K88" s="178">
        <f t="shared" si="8"/>
        <v>37.426659743297947</v>
      </c>
      <c r="L88" s="202">
        <f>(G88*(uPostT))/(1+oDR)^'Markov Model_SA1'!cycle</f>
        <v>23.469146810239888</v>
      </c>
      <c r="M88" s="80"/>
      <c r="N88" s="3"/>
      <c r="O88" s="80"/>
      <c r="P88" s="173">
        <v>77</v>
      </c>
      <c r="Q88" s="165"/>
      <c r="R88" s="612">
        <v>8.1766718395870353E-4</v>
      </c>
      <c r="S88" s="502"/>
      <c r="T88" s="219">
        <f t="shared" si="6"/>
        <v>35.260338304954345</v>
      </c>
      <c r="U88" s="481">
        <f>U87+(T87*R88*'life-tables-test'!$C$66)</f>
        <v>64.739661695045655</v>
      </c>
      <c r="V88" s="516">
        <f t="shared" si="2"/>
        <v>100</v>
      </c>
      <c r="W88" s="153">
        <f>(T88*0)/(1+cDR)^'Markov Model_SA1'!cycle2</f>
        <v>0</v>
      </c>
      <c r="X88" s="178">
        <f t="shared" si="7"/>
        <v>35.260338304954345</v>
      </c>
      <c r="Y88" s="202">
        <f>(T88*(uPostT))/(1+oDR)^'Markov Model_SA1'!cycle</f>
        <v>22.110710972701373</v>
      </c>
      <c r="Z88" s="80"/>
      <c r="AA88" s="3"/>
      <c r="AB88" s="3"/>
      <c r="AC88" s="14">
        <v>76</v>
      </c>
      <c r="AD88" s="14"/>
      <c r="AE88" s="14"/>
      <c r="AF88" s="3"/>
      <c r="AG88" s="3"/>
      <c r="AH88" s="3"/>
      <c r="AI88" s="14"/>
      <c r="AJ88" s="14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</row>
    <row r="89" spans="1:60" ht="14.25" customHeight="1" x14ac:dyDescent="0.25">
      <c r="A89" s="637"/>
      <c r="B89" s="80"/>
      <c r="C89" s="173">
        <v>78</v>
      </c>
      <c r="D89" s="165"/>
      <c r="E89" s="612">
        <v>8.1766718395870353E-4</v>
      </c>
      <c r="F89" s="502"/>
      <c r="G89" s="219">
        <f t="shared" si="9"/>
        <v>37.273646985911533</v>
      </c>
      <c r="H89" s="481">
        <f>H88+(G88*E89*'life-tables-test'!$C$66)</f>
        <v>62.726353014088467</v>
      </c>
      <c r="I89" s="516">
        <f t="shared" si="0"/>
        <v>100</v>
      </c>
      <c r="J89" s="153">
        <f>(G89*0)/(1+cDR)^'Markov Model_SA1'!cycle</f>
        <v>0</v>
      </c>
      <c r="K89" s="178">
        <f t="shared" si="8"/>
        <v>37.273646985911533</v>
      </c>
      <c r="L89" s="202">
        <f>(G89*(uPostT))/(1+oDR)^'Markov Model_SA1'!cycle</f>
        <v>23.314909779878988</v>
      </c>
      <c r="M89" s="80"/>
      <c r="N89" s="3"/>
      <c r="O89" s="80"/>
      <c r="P89" s="173">
        <v>78</v>
      </c>
      <c r="Q89" s="165"/>
      <c r="R89" s="612">
        <v>8.1766718395870353E-4</v>
      </c>
      <c r="S89" s="502"/>
      <c r="T89" s="219">
        <f t="shared" si="6"/>
        <v>35.116182197318125</v>
      </c>
      <c r="U89" s="481">
        <f>U88+(T88*R89*'life-tables-test'!$C$66)</f>
        <v>64.883817802681875</v>
      </c>
      <c r="V89" s="516">
        <f t="shared" si="2"/>
        <v>100</v>
      </c>
      <c r="W89" s="153">
        <f>(T89*0)/(1+cDR)^'Markov Model_SA1'!cycle2</f>
        <v>0</v>
      </c>
      <c r="X89" s="178">
        <f t="shared" si="7"/>
        <v>35.116182197318125</v>
      </c>
      <c r="Y89" s="202">
        <f>(T89*(uPostT))/(1+oDR)^'Markov Model_SA1'!cycle</f>
        <v>21.965401455181556</v>
      </c>
      <c r="Z89" s="80"/>
      <c r="AA89" s="3"/>
      <c r="AB89" s="3"/>
      <c r="AC89" s="14">
        <v>77</v>
      </c>
      <c r="AD89" s="14"/>
      <c r="AE89" s="14"/>
      <c r="AF89" s="3"/>
      <c r="AG89" s="3"/>
      <c r="AH89" s="3"/>
      <c r="AI89" s="14"/>
      <c r="AJ89" s="14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</row>
    <row r="90" spans="1:60" ht="14.25" customHeight="1" x14ac:dyDescent="0.25">
      <c r="A90" s="637"/>
      <c r="B90" s="80"/>
      <c r="C90" s="173">
        <v>79</v>
      </c>
      <c r="D90" s="165"/>
      <c r="E90" s="612">
        <v>8.1766718395870353E-4</v>
      </c>
      <c r="F90" s="502"/>
      <c r="G90" s="219">
        <f t="shared" si="9"/>
        <v>37.121259796077325</v>
      </c>
      <c r="H90" s="481">
        <f>H89+(G89*E90*'life-tables-test'!$C$66)</f>
        <v>62.878740203922675</v>
      </c>
      <c r="I90" s="516">
        <f t="shared" si="0"/>
        <v>100</v>
      </c>
      <c r="J90" s="153">
        <f>(G90*0)/(1+cDR)^'Markov Model_SA1'!cycle</f>
        <v>0</v>
      </c>
      <c r="K90" s="178">
        <f t="shared" si="8"/>
        <v>37.121259796077325</v>
      </c>
      <c r="L90" s="202">
        <f>(G90*(uPostT))/(1+oDR)^'Markov Model_SA1'!cycle</f>
        <v>23.161686380807147</v>
      </c>
      <c r="M90" s="80"/>
      <c r="N90" s="3"/>
      <c r="O90" s="80"/>
      <c r="P90" s="173">
        <v>79</v>
      </c>
      <c r="Q90" s="165"/>
      <c r="R90" s="612">
        <v>8.1766718395870353E-4</v>
      </c>
      <c r="S90" s="502"/>
      <c r="T90" s="219">
        <f t="shared" si="6"/>
        <v>34.972615448274809</v>
      </c>
      <c r="U90" s="481">
        <f>U89+(T89*R90*'life-tables-test'!$C$66)</f>
        <v>65.027384551725191</v>
      </c>
      <c r="V90" s="516">
        <f t="shared" si="2"/>
        <v>100</v>
      </c>
      <c r="W90" s="153">
        <f>(T90*0)/(1+cDR)^'Markov Model_SA1'!cycle2</f>
        <v>0</v>
      </c>
      <c r="X90" s="178">
        <f t="shared" si="7"/>
        <v>34.972615448274809</v>
      </c>
      <c r="Y90" s="202">
        <f>(T90*(uPostT))/(1+oDR)^'Markov Model_SA1'!cycle</f>
        <v>21.821046898174217</v>
      </c>
      <c r="Z90" s="80"/>
      <c r="AA90" s="3"/>
      <c r="AB90" s="3"/>
      <c r="AC90" s="14">
        <v>78</v>
      </c>
      <c r="AD90" s="14"/>
      <c r="AE90" s="14"/>
      <c r="AF90" s="3"/>
      <c r="AG90" s="3"/>
      <c r="AH90" s="3"/>
      <c r="AI90" s="14"/>
      <c r="AJ90" s="14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</row>
    <row r="91" spans="1:60" ht="14.25" customHeight="1" x14ac:dyDescent="0.25">
      <c r="A91" s="637"/>
      <c r="B91" s="80"/>
      <c r="C91" s="173">
        <v>80</v>
      </c>
      <c r="D91" s="165"/>
      <c r="E91" s="612">
        <v>8.1766718395870353E-4</v>
      </c>
      <c r="F91" s="502"/>
      <c r="G91" s="219">
        <f t="shared" si="9"/>
        <v>36.969495616265036</v>
      </c>
      <c r="H91" s="481">
        <f>H90+(G90*E91*'life-tables-test'!$C$66)</f>
        <v>63.030504383734964</v>
      </c>
      <c r="I91" s="516">
        <f t="shared" si="0"/>
        <v>100</v>
      </c>
      <c r="J91" s="153">
        <f>(G91*0)/(1+cDR)^'Markov Model_SA1'!cycle</f>
        <v>0</v>
      </c>
      <c r="K91" s="178">
        <f t="shared" si="8"/>
        <v>36.969495616265036</v>
      </c>
      <c r="L91" s="202">
        <f>(G91*(uPostT))/(1+oDR)^'Markov Model_SA1'!cycle</f>
        <v>23.009469951534662</v>
      </c>
      <c r="M91" s="80"/>
      <c r="N91" s="3"/>
      <c r="O91" s="80"/>
      <c r="P91" s="173">
        <v>80</v>
      </c>
      <c r="Q91" s="165"/>
      <c r="R91" s="612">
        <v>8.1766718395870353E-4</v>
      </c>
      <c r="S91" s="502"/>
      <c r="T91" s="219">
        <f t="shared" si="6"/>
        <v>34.829635648328505</v>
      </c>
      <c r="U91" s="481">
        <f>U90+(T90*R91*'life-tables-test'!$C$66)</f>
        <v>65.170364351671495</v>
      </c>
      <c r="V91" s="516">
        <f t="shared" si="2"/>
        <v>100</v>
      </c>
      <c r="W91" s="153">
        <f>(T91*0)/(1+cDR)^'Markov Model_SA1'!cycle2</f>
        <v>0</v>
      </c>
      <c r="X91" s="178">
        <f t="shared" si="7"/>
        <v>34.829635648328505</v>
      </c>
      <c r="Y91" s="202">
        <f>(T91*(uPostT))/(1+oDR)^'Markov Model_SA1'!cycle</f>
        <v>21.677641025768487</v>
      </c>
      <c r="Z91" s="80"/>
      <c r="AA91" s="3"/>
      <c r="AB91" s="3"/>
      <c r="AC91" s="14">
        <v>79</v>
      </c>
      <c r="AD91" s="14"/>
      <c r="AE91" s="14"/>
      <c r="AF91" s="3"/>
      <c r="AG91" s="3"/>
      <c r="AH91" s="3"/>
      <c r="AI91" s="14"/>
      <c r="AJ91" s="14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</row>
    <row r="92" spans="1:60" ht="14.25" customHeight="1" x14ac:dyDescent="0.25">
      <c r="A92" s="637"/>
      <c r="B92" s="80"/>
      <c r="C92" s="173">
        <v>81</v>
      </c>
      <c r="D92" s="165"/>
      <c r="E92" s="612">
        <v>8.1766718395870353E-4</v>
      </c>
      <c r="F92" s="502"/>
      <c r="G92" s="219">
        <f t="shared" si="9"/>
        <v>36.818351899400412</v>
      </c>
      <c r="H92" s="481">
        <f>H91+(G91*E92*'life-tables-test'!$C$66)</f>
        <v>63.181648100599588</v>
      </c>
      <c r="I92" s="516">
        <f t="shared" si="0"/>
        <v>100</v>
      </c>
      <c r="J92" s="153">
        <f>(G92*0)/(1+cDR)^'Markov Model_SA1'!cycle</f>
        <v>0</v>
      </c>
      <c r="K92" s="178">
        <f t="shared" si="8"/>
        <v>36.818351899400412</v>
      </c>
      <c r="L92" s="202">
        <f>(G92*(uPostT))/(1+oDR)^'Markov Model_SA1'!cycle</f>
        <v>22.858253874350524</v>
      </c>
      <c r="M92" s="80"/>
      <c r="N92" s="3"/>
      <c r="O92" s="80"/>
      <c r="P92" s="173">
        <v>81</v>
      </c>
      <c r="Q92" s="165"/>
      <c r="R92" s="612">
        <v>8.1766718395870353E-4</v>
      </c>
      <c r="S92" s="502"/>
      <c r="T92" s="219">
        <f t="shared" si="6"/>
        <v>34.687240397834117</v>
      </c>
      <c r="U92" s="481">
        <f>U91+(T91*R92*'life-tables-test'!$C$66)</f>
        <v>65.312759602165883</v>
      </c>
      <c r="V92" s="516">
        <f t="shared" si="2"/>
        <v>100</v>
      </c>
      <c r="W92" s="153">
        <f>(T92*0)/(1+cDR)^'Markov Model_SA1'!cycle2</f>
        <v>0</v>
      </c>
      <c r="X92" s="178">
        <f t="shared" si="7"/>
        <v>34.687240397834117</v>
      </c>
      <c r="Y92" s="202">
        <f>(T92*(uPostT))/(1+oDR)^'Markov Model_SA1'!cycle</f>
        <v>21.535177603298205</v>
      </c>
      <c r="Z92" s="80"/>
      <c r="AA92" s="3"/>
      <c r="AB92" s="3"/>
      <c r="AC92" s="14">
        <v>80</v>
      </c>
      <c r="AD92" s="14"/>
      <c r="AE92" s="14"/>
      <c r="AF92" s="3"/>
      <c r="AG92" s="3"/>
      <c r="AH92" s="3"/>
      <c r="AI92" s="14"/>
      <c r="AJ92" s="14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</row>
    <row r="93" spans="1:60" ht="14.25" customHeight="1" x14ac:dyDescent="0.25">
      <c r="A93" s="637"/>
      <c r="B93" s="80"/>
      <c r="C93" s="173">
        <v>82</v>
      </c>
      <c r="D93" s="165"/>
      <c r="E93" s="612">
        <v>8.1766718395870353E-4</v>
      </c>
      <c r="F93" s="502"/>
      <c r="G93" s="219">
        <f t="shared" si="9"/>
        <v>36.667826108822496</v>
      </c>
      <c r="H93" s="481">
        <f>H92+(G92*E93*'life-tables-test'!$C$66)</f>
        <v>63.332173891177504</v>
      </c>
      <c r="I93" s="516">
        <f t="shared" si="0"/>
        <v>100</v>
      </c>
      <c r="J93" s="153">
        <f>(G93*0)/(1+cDR)^'Markov Model_SA1'!cycle</f>
        <v>0</v>
      </c>
      <c r="K93" s="178">
        <f t="shared" si="8"/>
        <v>36.667826108822496</v>
      </c>
      <c r="L93" s="202">
        <f>(G93*(uPostT))/(1+oDR)^'Markov Model_SA1'!cycle</f>
        <v>22.708031575034664</v>
      </c>
      <c r="M93" s="80"/>
      <c r="N93" s="3"/>
      <c r="O93" s="80"/>
      <c r="P93" s="173">
        <v>82</v>
      </c>
      <c r="Q93" s="165"/>
      <c r="R93" s="612">
        <v>8.1766718395870353E-4</v>
      </c>
      <c r="S93" s="502"/>
      <c r="T93" s="219">
        <f t="shared" si="6"/>
        <v>34.545427306957137</v>
      </c>
      <c r="U93" s="481">
        <f>U92+(T92*R93*'life-tables-test'!$C$66)</f>
        <v>65.454572693042863</v>
      </c>
      <c r="V93" s="516">
        <f t="shared" si="2"/>
        <v>100</v>
      </c>
      <c r="W93" s="153">
        <f>(T93*0)/(1+cDR)^'Markov Model_SA1'!cycle2</f>
        <v>0</v>
      </c>
      <c r="X93" s="178">
        <f t="shared" si="7"/>
        <v>34.545427306957137</v>
      </c>
      <c r="Y93" s="202">
        <f>(T93*(uPostT))/(1+oDR)^'Markov Model_SA1'!cycle</f>
        <v>21.393650437070825</v>
      </c>
      <c r="Z93" s="80"/>
      <c r="AA93" s="3"/>
      <c r="AB93" s="3"/>
      <c r="AC93" s="14">
        <v>81</v>
      </c>
      <c r="AD93" s="14"/>
      <c r="AE93" s="14"/>
      <c r="AF93" s="3"/>
      <c r="AG93" s="3"/>
      <c r="AH93" s="3"/>
      <c r="AI93" s="14"/>
      <c r="AJ93" s="14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</row>
    <row r="94" spans="1:60" ht="14.25" customHeight="1" x14ac:dyDescent="0.25">
      <c r="A94" s="637"/>
      <c r="B94" s="80"/>
      <c r="C94" s="173">
        <v>83</v>
      </c>
      <c r="D94" s="504"/>
      <c r="E94" s="612">
        <v>8.1766718395870353E-4</v>
      </c>
      <c r="F94" s="505"/>
      <c r="G94" s="219">
        <f t="shared" si="9"/>
        <v>36.517915718241056</v>
      </c>
      <c r="H94" s="481">
        <f>H93+(G93*E94*'life-tables-test'!$C$66)</f>
        <v>63.482084281758944</v>
      </c>
      <c r="I94" s="516">
        <f t="shared" si="0"/>
        <v>100</v>
      </c>
      <c r="J94" s="180">
        <f>(G94*0)/(1+cDR)^'Markov Model_SA1'!cycle</f>
        <v>0</v>
      </c>
      <c r="K94" s="176">
        <f t="shared" si="8"/>
        <v>36.517915718241056</v>
      </c>
      <c r="L94" s="202">
        <f>(G94*(uPostT))/(1+oDR)^'Markov Model_SA1'!cycle</f>
        <v>22.558796522572219</v>
      </c>
      <c r="M94" s="80"/>
      <c r="N94" s="3"/>
      <c r="O94" s="80"/>
      <c r="P94" s="173">
        <v>83</v>
      </c>
      <c r="Q94" s="504"/>
      <c r="R94" s="612">
        <v>8.1766718395870353E-4</v>
      </c>
      <c r="S94" s="505"/>
      <c r="T94" s="219">
        <f t="shared" si="6"/>
        <v>34.404193995633491</v>
      </c>
      <c r="U94" s="481">
        <f>U93+(T93*R94*'life-tables-test'!$C$66)</f>
        <v>65.595806004366509</v>
      </c>
      <c r="V94" s="516">
        <f t="shared" si="2"/>
        <v>100</v>
      </c>
      <c r="W94" s="180">
        <f>(T94*0)/(1+cDR)^'Markov Model_SA1'!cycle2</f>
        <v>0</v>
      </c>
      <c r="X94" s="176">
        <f t="shared" si="7"/>
        <v>34.404193995633491</v>
      </c>
      <c r="Y94" s="202">
        <f>(T94*(uPostT))/(1+oDR)^'Markov Model_SA1'!cycle</f>
        <v>21.253053374098201</v>
      </c>
      <c r="Z94" s="80"/>
      <c r="AA94" s="3"/>
      <c r="AB94" s="3"/>
      <c r="AC94" s="14">
        <v>82</v>
      </c>
      <c r="AD94" s="14"/>
      <c r="AE94" s="14"/>
      <c r="AF94" s="3"/>
      <c r="AG94" s="3"/>
      <c r="AH94" s="3"/>
      <c r="AI94" s="14"/>
      <c r="AJ94" s="14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</row>
    <row r="95" spans="1:60" ht="14.25" customHeight="1" x14ac:dyDescent="0.25">
      <c r="A95" s="637" t="s">
        <v>549</v>
      </c>
      <c r="B95" s="80"/>
      <c r="C95" s="506">
        <v>84</v>
      </c>
      <c r="D95" s="506"/>
      <c r="E95" s="612">
        <v>8.1766718395870353E-4</v>
      </c>
      <c r="F95" s="508"/>
      <c r="G95" s="509">
        <f t="shared" si="9"/>
        <v>36.368618211694177</v>
      </c>
      <c r="H95" s="482">
        <f>H94+(G94*E95*'life-tables-test'!$C$66)</f>
        <v>63.631381788305823</v>
      </c>
      <c r="I95" s="518">
        <f t="shared" si="0"/>
        <v>100</v>
      </c>
      <c r="J95" s="511">
        <f>(G95*0)/(1+cDR)^'Markov Model_SA1'!cycle</f>
        <v>0</v>
      </c>
      <c r="K95" s="512">
        <f t="shared" si="8"/>
        <v>36.368618211694177</v>
      </c>
      <c r="L95" s="513">
        <f>(G95*(uPostT))/(1+oDR)^'Markov Model_SA1'!cycle</f>
        <v>22.410542228869499</v>
      </c>
      <c r="M95" s="80"/>
      <c r="N95" s="3"/>
      <c r="O95" s="80"/>
      <c r="P95" s="506">
        <v>84</v>
      </c>
      <c r="Q95" s="506"/>
      <c r="R95" s="612">
        <v>8.1766718395870353E-4</v>
      </c>
      <c r="S95" s="508"/>
      <c r="T95" s="509">
        <f t="shared" si="6"/>
        <v>34.263538093529604</v>
      </c>
      <c r="U95" s="482">
        <f>U94+(T94*R95*'life-tables-test'!$C$66)</f>
        <v>65.736461906470396</v>
      </c>
      <c r="V95" s="518">
        <f t="shared" si="2"/>
        <v>100</v>
      </c>
      <c r="W95" s="511">
        <f>(T95*0)/(1+cDR)^'Markov Model_SA1'!cycle2</f>
        <v>0</v>
      </c>
      <c r="X95" s="512">
        <f t="shared" si="7"/>
        <v>34.263538093529604</v>
      </c>
      <c r="Y95" s="513">
        <f>(T95*(uPostT))/(1+oDR)^'Markov Model_SA1'!cycle</f>
        <v>21.113380301829018</v>
      </c>
      <c r="Z95" s="80"/>
      <c r="AA95" s="3"/>
      <c r="AB95" s="3"/>
      <c r="AC95" s="14">
        <v>83</v>
      </c>
      <c r="AD95" s="14"/>
      <c r="AE95" s="14"/>
      <c r="AF95" s="3"/>
      <c r="AG95" s="3"/>
      <c r="AH95" s="3"/>
      <c r="AI95" s="14"/>
      <c r="AJ95" s="14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</row>
    <row r="96" spans="1:60" ht="14.25" customHeight="1" x14ac:dyDescent="0.25">
      <c r="A96" s="637"/>
      <c r="B96" s="80"/>
      <c r="C96" s="173">
        <v>85</v>
      </c>
      <c r="D96" s="165"/>
      <c r="E96" s="612">
        <v>8.7646270854724317E-4</v>
      </c>
      <c r="F96" s="502"/>
      <c r="G96" s="219">
        <f t="shared" si="9"/>
        <v>36.209239523574468</v>
      </c>
      <c r="H96" s="481">
        <f>H95+(G95*E96*'life-tables-test'!$C$66)</f>
        <v>63.790760476425532</v>
      </c>
      <c r="I96" s="516">
        <f t="shared" si="0"/>
        <v>100</v>
      </c>
      <c r="J96" s="153">
        <f>(G96*0)/(1+cDR)^'Markov Model_SA1'!cycle</f>
        <v>0</v>
      </c>
      <c r="K96" s="178">
        <f t="shared" si="8"/>
        <v>36.209239523574468</v>
      </c>
      <c r="L96" s="202">
        <f>(G96*(uPostT))/(1+oDR)^'Markov Model_SA1'!cycle</f>
        <v>22.256690479959964</v>
      </c>
      <c r="M96" s="80"/>
      <c r="N96" s="3"/>
      <c r="O96" s="80"/>
      <c r="P96" s="173">
        <v>85</v>
      </c>
      <c r="Q96" s="165"/>
      <c r="R96" s="612">
        <v>8.7646270854724317E-4</v>
      </c>
      <c r="S96" s="502"/>
      <c r="T96" s="219">
        <f t="shared" si="6"/>
        <v>34.113384526520278</v>
      </c>
      <c r="U96" s="481">
        <f>U95+(T95*R96*'life-tables-test'!$C$66)</f>
        <v>65.886615473479722</v>
      </c>
      <c r="V96" s="516">
        <f t="shared" si="2"/>
        <v>100</v>
      </c>
      <c r="W96" s="153">
        <f>(T96*0)/(1+cDR)^'Markov Model_SA1'!cycle2</f>
        <v>0</v>
      </c>
      <c r="X96" s="178">
        <f t="shared" si="7"/>
        <v>34.113384526520278</v>
      </c>
      <c r="Y96" s="202">
        <f>(T96*(uPostT))/(1+oDR)^'Markov Model_SA1'!cycle</f>
        <v>20.968433764986912</v>
      </c>
      <c r="Z96" s="80"/>
      <c r="AA96" s="3"/>
      <c r="AB96" s="3"/>
      <c r="AC96" s="14">
        <v>84</v>
      </c>
      <c r="AD96" s="14"/>
      <c r="AE96" s="14"/>
      <c r="AF96" s="3"/>
      <c r="AG96" s="3"/>
      <c r="AH96" s="3"/>
      <c r="AI96" s="14"/>
      <c r="AJ96" s="14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</row>
    <row r="97" spans="1:60" ht="14.25" customHeight="1" x14ac:dyDescent="0.25">
      <c r="A97" s="637"/>
      <c r="B97" s="80"/>
      <c r="C97" s="173">
        <v>86</v>
      </c>
      <c r="D97" s="165"/>
      <c r="E97" s="612">
        <v>8.7646270854724317E-4</v>
      </c>
      <c r="F97" s="502"/>
      <c r="G97" s="219">
        <f t="shared" si="9"/>
        <v>36.05055928283813</v>
      </c>
      <c r="H97" s="481">
        <f>H96+(G96*E97*'life-tables-test'!$C$66)</f>
        <v>63.94944071716187</v>
      </c>
      <c r="I97" s="516">
        <f t="shared" si="0"/>
        <v>100</v>
      </c>
      <c r="J97" s="153">
        <f>(G97*0)/(1+cDR)^'Markov Model_SA1'!cycle</f>
        <v>0</v>
      </c>
      <c r="K97" s="178">
        <f t="shared" si="8"/>
        <v>36.05055928283813</v>
      </c>
      <c r="L97" s="202">
        <f>(G97*(uPostT))/(1+oDR)^'Markov Model_SA1'!cycle</f>
        <v>22.103894946486935</v>
      </c>
      <c r="M97" s="80"/>
      <c r="N97" s="3"/>
      <c r="O97" s="80"/>
      <c r="P97" s="173">
        <v>86</v>
      </c>
      <c r="Q97" s="165"/>
      <c r="R97" s="612">
        <v>8.7646270854724317E-4</v>
      </c>
      <c r="S97" s="502"/>
      <c r="T97" s="219">
        <f t="shared" si="6"/>
        <v>33.963888979521144</v>
      </c>
      <c r="U97" s="481">
        <f>U96+(T96*R97*'life-tables-test'!$C$66)</f>
        <v>66.036111020478856</v>
      </c>
      <c r="V97" s="516">
        <f t="shared" si="2"/>
        <v>100</v>
      </c>
      <c r="W97" s="153">
        <f>(T97*0)/(1+cDR)^'Markov Model_SA1'!cycle2</f>
        <v>0</v>
      </c>
      <c r="X97" s="178">
        <f t="shared" si="7"/>
        <v>33.963888979521144</v>
      </c>
      <c r="Y97" s="202">
        <f>(T97*(uPostT))/(1+oDR)^'Markov Model_SA1'!cycle</f>
        <v>20.824482307958753</v>
      </c>
      <c r="Z97" s="80"/>
      <c r="AA97" s="3"/>
      <c r="AB97" s="3"/>
      <c r="AC97" s="14">
        <v>85</v>
      </c>
      <c r="AD97" s="14"/>
      <c r="AE97" s="14"/>
      <c r="AF97" s="3"/>
      <c r="AG97" s="3"/>
      <c r="AH97" s="3"/>
      <c r="AI97" s="14"/>
      <c r="AJ97" s="14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</row>
    <row r="98" spans="1:60" ht="14.25" customHeight="1" x14ac:dyDescent="0.25">
      <c r="A98" s="637"/>
      <c r="B98" s="80"/>
      <c r="C98" s="173">
        <v>87</v>
      </c>
      <c r="D98" s="165"/>
      <c r="E98" s="612">
        <v>8.7646270854724317E-4</v>
      </c>
      <c r="F98" s="502"/>
      <c r="G98" s="219">
        <f t="shared" si="9"/>
        <v>35.892574428669732</v>
      </c>
      <c r="H98" s="481">
        <f>H97+(G97*E98*'life-tables-test'!$C$66)</f>
        <v>64.107425571330268</v>
      </c>
      <c r="I98" s="516">
        <f t="shared" si="0"/>
        <v>100</v>
      </c>
      <c r="J98" s="153">
        <f>(G98*0)/(1+cDR)^'Markov Model_SA1'!cycle</f>
        <v>0</v>
      </c>
      <c r="K98" s="178">
        <f t="shared" si="8"/>
        <v>35.892574428669732</v>
      </c>
      <c r="L98" s="202">
        <f>(G98*(uPostT))/(1+oDR)^'Markov Model_SA1'!cycle</f>
        <v>21.952148377372296</v>
      </c>
      <c r="M98" s="80"/>
      <c r="N98" s="3"/>
      <c r="O98" s="80"/>
      <c r="P98" s="173">
        <v>87</v>
      </c>
      <c r="Q98" s="165"/>
      <c r="R98" s="612">
        <v>8.7646270854724317E-4</v>
      </c>
      <c r="S98" s="502"/>
      <c r="T98" s="219">
        <f t="shared" si="6"/>
        <v>33.815048568882204</v>
      </c>
      <c r="U98" s="481">
        <f>U97+(T97*R98*'life-tables-test'!$C$66)</f>
        <v>66.184951431117796</v>
      </c>
      <c r="V98" s="516">
        <f t="shared" si="2"/>
        <v>100</v>
      </c>
      <c r="W98" s="153">
        <f>(T98*0)/(1+cDR)^'Markov Model_SA1'!cycle2</f>
        <v>0</v>
      </c>
      <c r="X98" s="178">
        <f t="shared" si="7"/>
        <v>33.815048568882204</v>
      </c>
      <c r="Y98" s="202">
        <f>(T98*(uPostT))/(1+oDR)^'Markov Model_SA1'!cycle</f>
        <v>20.681519099371688</v>
      </c>
      <c r="Z98" s="80"/>
      <c r="AA98" s="3"/>
      <c r="AB98" s="3"/>
      <c r="AC98" s="14">
        <v>86</v>
      </c>
      <c r="AD98" s="14"/>
      <c r="AE98" s="14"/>
      <c r="AF98" s="3"/>
      <c r="AG98" s="3"/>
      <c r="AH98" s="3"/>
      <c r="AI98" s="14"/>
      <c r="AJ98" s="14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</row>
    <row r="99" spans="1:60" ht="14.25" customHeight="1" x14ac:dyDescent="0.25">
      <c r="A99" s="637"/>
      <c r="B99" s="80"/>
      <c r="C99" s="173">
        <v>88</v>
      </c>
      <c r="D99" s="165"/>
      <c r="E99" s="612">
        <v>8.7646270854724317E-4</v>
      </c>
      <c r="F99" s="502"/>
      <c r="G99" s="219">
        <f t="shared" si="9"/>
        <v>35.735281913667308</v>
      </c>
      <c r="H99" s="481">
        <f>H98+(G98*E99*'life-tables-test'!$C$66)</f>
        <v>64.264718086332692</v>
      </c>
      <c r="I99" s="516">
        <f t="shared" si="0"/>
        <v>100</v>
      </c>
      <c r="J99" s="153">
        <f>(G99*0)/(1+cDR)^'Markov Model_SA1'!cycle</f>
        <v>0</v>
      </c>
      <c r="K99" s="178">
        <f t="shared" si="8"/>
        <v>35.735281913667308</v>
      </c>
      <c r="L99" s="202">
        <f>(G99*(uPostT))/(1+oDR)^'Markov Model_SA1'!cycle</f>
        <v>21.801443571317691</v>
      </c>
      <c r="M99" s="80"/>
      <c r="N99" s="3"/>
      <c r="O99" s="80"/>
      <c r="P99" s="173">
        <v>88</v>
      </c>
      <c r="Q99" s="165"/>
      <c r="R99" s="612">
        <v>8.7646270854724317E-4</v>
      </c>
      <c r="S99" s="502"/>
      <c r="T99" s="219">
        <f t="shared" si="6"/>
        <v>33.666860423590506</v>
      </c>
      <c r="U99" s="481">
        <f>U98+(T98*R99*'life-tables-test'!$C$66)</f>
        <v>66.333139576409494</v>
      </c>
      <c r="V99" s="516">
        <f t="shared" si="2"/>
        <v>100</v>
      </c>
      <c r="W99" s="153">
        <f>(T99*0)/(1+cDR)^'Markov Model_SA1'!cycle2</f>
        <v>0</v>
      </c>
      <c r="X99" s="178">
        <f t="shared" si="7"/>
        <v>33.666860423590506</v>
      </c>
      <c r="Y99" s="202">
        <f>(T99*(uPostT))/(1+oDR)^'Markov Model_SA1'!cycle</f>
        <v>20.539537354751275</v>
      </c>
      <c r="Z99" s="80"/>
      <c r="AA99" s="3"/>
      <c r="AB99" s="3"/>
      <c r="AC99" s="14">
        <v>87</v>
      </c>
      <c r="AD99" s="14"/>
      <c r="AE99" s="14"/>
      <c r="AF99" s="3"/>
      <c r="AG99" s="3"/>
      <c r="AH99" s="3"/>
      <c r="AI99" s="14"/>
      <c r="AJ99" s="14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</row>
    <row r="100" spans="1:60" ht="14.25" customHeight="1" x14ac:dyDescent="0.25">
      <c r="A100" s="637"/>
      <c r="B100" s="80"/>
      <c r="C100" s="173">
        <v>89</v>
      </c>
      <c r="D100" s="165"/>
      <c r="E100" s="612">
        <v>8.7646270854724317E-4</v>
      </c>
      <c r="F100" s="502"/>
      <c r="G100" s="219">
        <f t="shared" si="9"/>
        <v>35.578678703783552</v>
      </c>
      <c r="H100" s="481">
        <f>H99+(G99*E100*'life-tables-test'!$C$66)</f>
        <v>64.421321296216448</v>
      </c>
      <c r="I100" s="516">
        <f t="shared" si="0"/>
        <v>100</v>
      </c>
      <c r="J100" s="153">
        <f>(G100*0)/(1+cDR)^'Markov Model_SA1'!cycle</f>
        <v>0</v>
      </c>
      <c r="K100" s="178">
        <f t="shared" si="8"/>
        <v>35.578678703783552</v>
      </c>
      <c r="L100" s="202">
        <f>(G100*(uPostT))/(1+oDR)^'Markov Model_SA1'!cycle</f>
        <v>21.651773376462753</v>
      </c>
      <c r="M100" s="80"/>
      <c r="N100" s="3"/>
      <c r="O100" s="80"/>
      <c r="P100" s="173">
        <v>89</v>
      </c>
      <c r="Q100" s="165"/>
      <c r="R100" s="612">
        <v>8.7646270854724317E-4</v>
      </c>
      <c r="S100" s="502"/>
      <c r="T100" s="219">
        <f t="shared" si="6"/>
        <v>33.519321685214791</v>
      </c>
      <c r="U100" s="481">
        <f>U99+(T99*R100*'life-tables-test'!$C$66)</f>
        <v>66.480678314785209</v>
      </c>
      <c r="V100" s="516">
        <f t="shared" si="2"/>
        <v>100</v>
      </c>
      <c r="W100" s="153">
        <f>(T100*0)/(1+cDR)^'Markov Model_SA1'!cycle2</f>
        <v>0</v>
      </c>
      <c r="X100" s="178">
        <f t="shared" si="7"/>
        <v>33.519321685214791</v>
      </c>
      <c r="Y100" s="202">
        <f>(T100*(uPostT))/(1+oDR)^'Markov Model_SA1'!cycle</f>
        <v>20.398530336199507</v>
      </c>
      <c r="Z100" s="80"/>
      <c r="AA100" s="3"/>
      <c r="AB100" s="3"/>
      <c r="AC100" s="14">
        <v>88</v>
      </c>
      <c r="AD100" s="14"/>
      <c r="AE100" s="14"/>
      <c r="AF100" s="3"/>
      <c r="AG100" s="3"/>
      <c r="AH100" s="3"/>
      <c r="AI100" s="14"/>
      <c r="AJ100" s="14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</row>
    <row r="101" spans="1:60" ht="14.25" customHeight="1" x14ac:dyDescent="0.25">
      <c r="A101" s="637"/>
      <c r="B101" s="80"/>
      <c r="C101" s="173">
        <v>90</v>
      </c>
      <c r="D101" s="165"/>
      <c r="E101" s="612">
        <v>8.7646270854724317E-4</v>
      </c>
      <c r="F101" s="502"/>
      <c r="G101" s="219">
        <f t="shared" si="9"/>
        <v>35.422761778267301</v>
      </c>
      <c r="H101" s="481">
        <f>H100+(G100*E101*'life-tables-test'!$C$66)</f>
        <v>64.577238221732699</v>
      </c>
      <c r="I101" s="516">
        <f t="shared" si="0"/>
        <v>100</v>
      </c>
      <c r="J101" s="153">
        <f>(G101*0)/(1+cDR)^'Markov Model_SA1'!cycle</f>
        <v>0</v>
      </c>
      <c r="K101" s="178">
        <f t="shared" si="8"/>
        <v>35.422761778267301</v>
      </c>
      <c r="L101" s="202">
        <f>(G101*(uPostT))/(1+oDR)^'Markov Model_SA1'!cycle</f>
        <v>21.503130690045708</v>
      </c>
      <c r="M101" s="80"/>
      <c r="N101" s="3"/>
      <c r="O101" s="80"/>
      <c r="P101" s="173">
        <v>90</v>
      </c>
      <c r="Q101" s="165"/>
      <c r="R101" s="612">
        <v>8.7646270854724317E-4</v>
      </c>
      <c r="S101" s="502"/>
      <c r="T101" s="219">
        <f t="shared" si="6"/>
        <v>33.372429507850342</v>
      </c>
      <c r="U101" s="481">
        <f>U100+(T100*R101*'life-tables-test'!$C$66)</f>
        <v>66.627570492149658</v>
      </c>
      <c r="V101" s="516">
        <f t="shared" si="2"/>
        <v>100</v>
      </c>
      <c r="W101" s="153">
        <f>(T101*0)/(1+cDR)^'Markov Model_SA1'!cycle2</f>
        <v>0</v>
      </c>
      <c r="X101" s="178">
        <f t="shared" si="7"/>
        <v>33.372429507850342</v>
      </c>
      <c r="Y101" s="202">
        <f>(T101*(uPostT))/(1+oDR)^'Markov Model_SA1'!cycle</f>
        <v>20.258491352075076</v>
      </c>
      <c r="Z101" s="80"/>
      <c r="AA101" s="3"/>
      <c r="AB101" s="3"/>
      <c r="AC101" s="14">
        <v>89</v>
      </c>
      <c r="AD101" s="14"/>
      <c r="AE101" s="14"/>
      <c r="AF101" s="3"/>
      <c r="AG101" s="3"/>
      <c r="AH101" s="3"/>
      <c r="AI101" s="14"/>
      <c r="AJ101" s="14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</row>
    <row r="102" spans="1:60" ht="14.25" customHeight="1" x14ac:dyDescent="0.25">
      <c r="A102" s="637"/>
      <c r="B102" s="80"/>
      <c r="C102" s="173">
        <v>91</v>
      </c>
      <c r="D102" s="165"/>
      <c r="E102" s="612">
        <v>8.7646270854724317E-4</v>
      </c>
      <c r="F102" s="502"/>
      <c r="G102" s="219">
        <f t="shared" si="9"/>
        <v>35.267528129605282</v>
      </c>
      <c r="H102" s="481">
        <f>H101+(G101*E102*'life-tables-test'!$C$66)</f>
        <v>64.732471870394718</v>
      </c>
      <c r="I102" s="516">
        <f t="shared" si="0"/>
        <v>100</v>
      </c>
      <c r="J102" s="153">
        <f>(G102*0)/(1+cDR)^'Markov Model_SA1'!cycle</f>
        <v>0</v>
      </c>
      <c r="K102" s="178">
        <f t="shared" si="8"/>
        <v>35.267528129605282</v>
      </c>
      <c r="L102" s="202">
        <f>(G102*(uPostT))/(1+oDR)^'Markov Model_SA1'!cycle</f>
        <v>21.355508458066332</v>
      </c>
      <c r="M102" s="80"/>
      <c r="N102" s="3"/>
      <c r="O102" s="80"/>
      <c r="P102" s="173">
        <v>91</v>
      </c>
      <c r="Q102" s="165"/>
      <c r="R102" s="612">
        <v>8.7646270854724317E-4</v>
      </c>
      <c r="S102" s="502"/>
      <c r="T102" s="219">
        <f t="shared" si="6"/>
        <v>33.226181058064086</v>
      </c>
      <c r="U102" s="481">
        <f>U101+(T101*R102*'life-tables-test'!$C$66)</f>
        <v>66.773818941935914</v>
      </c>
      <c r="V102" s="516">
        <f t="shared" si="2"/>
        <v>100</v>
      </c>
      <c r="W102" s="153">
        <f>(T102*0)/(1+cDR)^'Markov Model_SA1'!cycle2</f>
        <v>0</v>
      </c>
      <c r="X102" s="178">
        <f t="shared" si="7"/>
        <v>33.226181058064086</v>
      </c>
      <c r="Y102" s="202">
        <f>(T102*(uPostT))/(1+oDR)^'Markov Model_SA1'!cycle</f>
        <v>20.11941375667579</v>
      </c>
      <c r="Z102" s="80"/>
      <c r="AA102" s="3"/>
      <c r="AB102" s="3"/>
      <c r="AC102" s="14">
        <v>90</v>
      </c>
      <c r="AD102" s="14"/>
      <c r="AE102" s="14"/>
      <c r="AF102" s="3"/>
      <c r="AG102" s="3"/>
      <c r="AH102" s="3"/>
      <c r="AI102" s="14"/>
      <c r="AJ102" s="14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</row>
    <row r="103" spans="1:60" ht="14.25" customHeight="1" x14ac:dyDescent="0.25">
      <c r="A103" s="637"/>
      <c r="B103" s="80"/>
      <c r="C103" s="173">
        <v>92</v>
      </c>
      <c r="D103" s="165"/>
      <c r="E103" s="612">
        <v>8.7646270854724317E-4</v>
      </c>
      <c r="F103" s="502"/>
      <c r="G103" s="219">
        <f t="shared" si="9"/>
        <v>35.112974763464081</v>
      </c>
      <c r="H103" s="481">
        <f>H102+(G102*E103*'life-tables-test'!$C$66)</f>
        <v>64.887025236535919</v>
      </c>
      <c r="I103" s="516">
        <f t="shared" si="0"/>
        <v>100</v>
      </c>
      <c r="J103" s="153">
        <f>(G103*0)/(1+cDR)^'Markov Model_SA1'!cycle</f>
        <v>0</v>
      </c>
      <c r="K103" s="178">
        <f t="shared" si="8"/>
        <v>35.112974763464081</v>
      </c>
      <c r="L103" s="202">
        <f>(G103*(uPostT))/(1+oDR)^'Markov Model_SA1'!cycle</f>
        <v>21.208899674951155</v>
      </c>
      <c r="M103" s="80"/>
      <c r="N103" s="3"/>
      <c r="O103" s="80"/>
      <c r="P103" s="173">
        <v>92</v>
      </c>
      <c r="Q103" s="165"/>
      <c r="R103" s="612">
        <v>8.7646270854724317E-4</v>
      </c>
      <c r="S103" s="502"/>
      <c r="T103" s="219">
        <f t="shared" si="6"/>
        <v>33.080573514839926</v>
      </c>
      <c r="U103" s="481">
        <f>U102+(T102*R103*'life-tables-test'!$C$66)</f>
        <v>66.919426485160074</v>
      </c>
      <c r="V103" s="516">
        <f t="shared" si="2"/>
        <v>100</v>
      </c>
      <c r="W103" s="153">
        <f>(T103*0)/(1+cDR)^'Markov Model_SA1'!cycle2</f>
        <v>0</v>
      </c>
      <c r="X103" s="178">
        <f t="shared" si="7"/>
        <v>33.080573514839926</v>
      </c>
      <c r="Y103" s="202">
        <f>(T103*(uPostT))/(1+oDR)^'Markov Model_SA1'!cycle</f>
        <v>19.981290949923192</v>
      </c>
      <c r="Z103" s="80"/>
      <c r="AA103" s="3"/>
      <c r="AB103" s="3"/>
      <c r="AC103" s="14">
        <v>91</v>
      </c>
      <c r="AD103" s="14"/>
      <c r="AE103" s="14"/>
      <c r="AF103" s="3"/>
      <c r="AG103" s="3"/>
      <c r="AH103" s="3"/>
      <c r="AI103" s="14"/>
      <c r="AJ103" s="14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</row>
    <row r="104" spans="1:60" ht="14.25" customHeight="1" x14ac:dyDescent="0.25">
      <c r="A104" s="637"/>
      <c r="B104" s="80"/>
      <c r="C104" s="173">
        <v>93</v>
      </c>
      <c r="D104" s="165"/>
      <c r="E104" s="612">
        <v>8.7646270854724317E-4</v>
      </c>
      <c r="F104" s="502"/>
      <c r="G104" s="219">
        <f t="shared" si="9"/>
        <v>34.959098698632403</v>
      </c>
      <c r="H104" s="481">
        <f>H103+(G103*E104*'life-tables-test'!$C$66)</f>
        <v>65.040901301367597</v>
      </c>
      <c r="I104" s="516">
        <f t="shared" si="0"/>
        <v>100</v>
      </c>
      <c r="J104" s="153">
        <f>(G104*0)/(1+cDR)^'Markov Model_SA1'!cycle</f>
        <v>0</v>
      </c>
      <c r="K104" s="178">
        <f t="shared" si="8"/>
        <v>34.959098698632403</v>
      </c>
      <c r="L104" s="202">
        <f>(G104*(uPostT))/(1+oDR)^'Markov Model_SA1'!cycle</f>
        <v>21.063297383221027</v>
      </c>
      <c r="M104" s="80"/>
      <c r="N104" s="3"/>
      <c r="O104" s="80"/>
      <c r="P104" s="173">
        <v>93</v>
      </c>
      <c r="Q104" s="165"/>
      <c r="R104" s="612">
        <v>8.7646270854724317E-4</v>
      </c>
      <c r="S104" s="502"/>
      <c r="T104" s="219">
        <f t="shared" si="6"/>
        <v>32.935604069524359</v>
      </c>
      <c r="U104" s="481">
        <f>U103+(T103*R104*'life-tables-test'!$C$66)</f>
        <v>67.064395930475641</v>
      </c>
      <c r="V104" s="516">
        <f t="shared" si="2"/>
        <v>100</v>
      </c>
      <c r="W104" s="153">
        <f>(T104*0)/(1+cDR)^'Markov Model_SA1'!cycle2</f>
        <v>0</v>
      </c>
      <c r="X104" s="178">
        <f t="shared" si="7"/>
        <v>32.935604069524359</v>
      </c>
      <c r="Y104" s="202">
        <f>(T104*(uPostT))/(1+oDR)^'Markov Model_SA1'!cycle</f>
        <v>19.84411637704936</v>
      </c>
      <c r="Z104" s="80"/>
      <c r="AA104" s="3"/>
      <c r="AB104" s="3"/>
      <c r="AC104" s="14">
        <v>92</v>
      </c>
      <c r="AD104" s="14"/>
      <c r="AE104" s="14"/>
      <c r="AF104" s="3"/>
      <c r="AG104" s="3"/>
      <c r="AH104" s="3"/>
      <c r="AI104" s="14"/>
      <c r="AJ104" s="14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</row>
    <row r="105" spans="1:60" ht="14.25" customHeight="1" x14ac:dyDescent="0.25">
      <c r="A105" s="637"/>
      <c r="B105" s="80"/>
      <c r="C105" s="173">
        <v>94</v>
      </c>
      <c r="D105" s="165"/>
      <c r="E105" s="612">
        <v>8.7646270854724317E-4</v>
      </c>
      <c r="F105" s="502"/>
      <c r="G105" s="219">
        <f t="shared" si="9"/>
        <v>34.80589696696353</v>
      </c>
      <c r="H105" s="481">
        <f>H104+(G104*E105*'life-tables-test'!$C$66)</f>
        <v>65.19410303303647</v>
      </c>
      <c r="I105" s="516">
        <f t="shared" si="0"/>
        <v>100</v>
      </c>
      <c r="J105" s="153">
        <f>(G105*0)/(1+cDR)^'Markov Model_SA1'!cycle</f>
        <v>0</v>
      </c>
      <c r="K105" s="178">
        <f t="shared" si="8"/>
        <v>34.80589696696353</v>
      </c>
      <c r="L105" s="202">
        <f>(G105*(uPostT))/(1+oDR)^'Markov Model_SA1'!cycle</f>
        <v>20.91869467316096</v>
      </c>
      <c r="M105" s="80"/>
      <c r="N105" s="3"/>
      <c r="O105" s="80"/>
      <c r="P105" s="173">
        <v>94</v>
      </c>
      <c r="Q105" s="165"/>
      <c r="R105" s="612">
        <v>8.7646270854724317E-4</v>
      </c>
      <c r="S105" s="502"/>
      <c r="T105" s="219">
        <f t="shared" si="6"/>
        <v>32.791269925772284</v>
      </c>
      <c r="U105" s="481">
        <f>U104+(T104*R105*'life-tables-test'!$C$66)</f>
        <v>67.208730074227716</v>
      </c>
      <c r="V105" s="516">
        <f t="shared" si="2"/>
        <v>100</v>
      </c>
      <c r="W105" s="153">
        <f>(T105*0)/(1+cDR)^'Markov Model_SA1'!cycle2</f>
        <v>0</v>
      </c>
      <c r="X105" s="178">
        <f t="shared" si="7"/>
        <v>32.791269925772284</v>
      </c>
      <c r="Y105" s="202">
        <f>(T105*(uPostT))/(1+oDR)^'Markov Model_SA1'!cycle</f>
        <v>19.707883528285876</v>
      </c>
      <c r="Z105" s="80"/>
      <c r="AA105" s="3"/>
      <c r="AB105" s="3"/>
      <c r="AC105" s="14">
        <v>93</v>
      </c>
      <c r="AD105" s="14"/>
      <c r="AE105" s="14"/>
      <c r="AF105" s="3"/>
      <c r="AG105" s="3"/>
      <c r="AH105" s="3"/>
      <c r="AI105" s="14"/>
      <c r="AJ105" s="14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</row>
    <row r="106" spans="1:60" ht="14.25" customHeight="1" x14ac:dyDescent="0.25">
      <c r="A106" s="637"/>
      <c r="B106" s="80"/>
      <c r="C106" s="173">
        <v>95</v>
      </c>
      <c r="D106" s="165"/>
      <c r="E106" s="612">
        <v>8.7646270854724317E-4</v>
      </c>
      <c r="F106" s="502"/>
      <c r="G106" s="219">
        <f t="shared" si="9"/>
        <v>34.653366613318127</v>
      </c>
      <c r="H106" s="481">
        <f>H105+(G105*E106*'life-tables-test'!$C$66)</f>
        <v>65.346633386681873</v>
      </c>
      <c r="I106" s="516">
        <f t="shared" si="0"/>
        <v>100</v>
      </c>
      <c r="J106" s="153">
        <f>(G106*0)/(1+cDR)^'Markov Model_SA1'!cycle</f>
        <v>0</v>
      </c>
      <c r="K106" s="178">
        <f t="shared" si="8"/>
        <v>34.653366613318127</v>
      </c>
      <c r="L106" s="202">
        <f>(G106*(uPostT))/(1+oDR)^'Markov Model_SA1'!cycle</f>
        <v>20.775084682492178</v>
      </c>
      <c r="M106" s="80"/>
      <c r="N106" s="3"/>
      <c r="O106" s="80"/>
      <c r="P106" s="173">
        <v>95</v>
      </c>
      <c r="Q106" s="165"/>
      <c r="R106" s="612">
        <v>8.7646270854724317E-4</v>
      </c>
      <c r="S106" s="502"/>
      <c r="T106" s="219">
        <f t="shared" si="6"/>
        <v>32.647568299493059</v>
      </c>
      <c r="U106" s="481">
        <f>U105+(T105*R106*'life-tables-test'!$C$66)</f>
        <v>67.352431700506941</v>
      </c>
      <c r="V106" s="516">
        <f t="shared" si="2"/>
        <v>100</v>
      </c>
      <c r="W106" s="153">
        <f>(T106*0)/(1+cDR)^'Markov Model_SA1'!cycle2</f>
        <v>0</v>
      </c>
      <c r="X106" s="178">
        <f t="shared" si="7"/>
        <v>32.647568299493059</v>
      </c>
      <c r="Y106" s="202">
        <f>(T106*(uPostT))/(1+oDR)^'Markov Model_SA1'!cycle</f>
        <v>19.57258593855482</v>
      </c>
      <c r="Z106" s="80"/>
      <c r="AA106" s="3"/>
      <c r="AB106" s="3"/>
      <c r="AC106" s="14">
        <v>94</v>
      </c>
      <c r="AD106" s="14"/>
      <c r="AE106" s="14"/>
      <c r="AF106" s="3"/>
      <c r="AG106" s="3"/>
      <c r="AH106" s="3"/>
      <c r="AI106" s="14"/>
      <c r="AJ106" s="14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</row>
    <row r="107" spans="1:60" ht="14.25" customHeight="1" x14ac:dyDescent="0.25">
      <c r="A107" s="637"/>
      <c r="B107" s="80"/>
      <c r="C107" s="173">
        <v>96</v>
      </c>
      <c r="D107" s="504"/>
      <c r="E107" s="612">
        <v>8.7646270854724317E-4</v>
      </c>
      <c r="F107" s="505"/>
      <c r="G107" s="219">
        <f t="shared" si="9"/>
        <v>34.50150469550718</v>
      </c>
      <c r="H107" s="481">
        <f>H106+(G106*E107*'life-tables-test'!$C$66)</f>
        <v>65.49849530449282</v>
      </c>
      <c r="I107" s="516">
        <f t="shared" si="0"/>
        <v>100</v>
      </c>
      <c r="J107" s="180">
        <f>(G107*0)/(1+cDR)^'Markov Model_SA1'!cycle</f>
        <v>0</v>
      </c>
      <c r="K107" s="176">
        <f t="shared" si="8"/>
        <v>34.50150469550718</v>
      </c>
      <c r="L107" s="202">
        <f>(G107*(uPostT))/(1+oDR)^'Markov Model_SA1'!cycle</f>
        <v>20.632460596046478</v>
      </c>
      <c r="M107" s="80"/>
      <c r="N107" s="3"/>
      <c r="O107" s="80"/>
      <c r="P107" s="173">
        <v>96</v>
      </c>
      <c r="Q107" s="504"/>
      <c r="R107" s="612">
        <v>8.7646270854724317E-4</v>
      </c>
      <c r="S107" s="505"/>
      <c r="T107" s="219">
        <f t="shared" si="6"/>
        <v>32.504496418796791</v>
      </c>
      <c r="U107" s="481">
        <f>U106+(T106*R107*'life-tables-test'!$C$66)</f>
        <v>67.495503581203209</v>
      </c>
      <c r="V107" s="516">
        <f t="shared" si="2"/>
        <v>100</v>
      </c>
      <c r="W107" s="180">
        <f>(T107*0)/(1+cDR)^'Markov Model_SA1'!cycle2</f>
        <v>0</v>
      </c>
      <c r="X107" s="176">
        <f t="shared" si="7"/>
        <v>32.504496418796791</v>
      </c>
      <c r="Y107" s="202">
        <f>(T107*(uPostT))/(1+oDR)^'Markov Model_SA1'!cycle</f>
        <v>19.438217187162014</v>
      </c>
      <c r="Z107" s="80"/>
      <c r="AA107" s="3"/>
      <c r="AB107" s="3"/>
      <c r="AC107" s="14">
        <v>95</v>
      </c>
      <c r="AD107" s="14"/>
      <c r="AE107" s="14"/>
      <c r="AF107" s="3"/>
      <c r="AG107" s="3"/>
      <c r="AH107" s="3"/>
      <c r="AI107" s="14"/>
      <c r="AJ107" s="14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</row>
    <row r="108" spans="1:60" ht="14.25" customHeight="1" x14ac:dyDescent="0.25">
      <c r="A108" s="637" t="s">
        <v>550</v>
      </c>
      <c r="B108" s="80"/>
      <c r="C108" s="506">
        <v>97</v>
      </c>
      <c r="D108" s="506"/>
      <c r="E108" s="612">
        <v>9.3655925876645618E-4</v>
      </c>
      <c r="F108" s="508"/>
      <c r="G108" s="509">
        <f t="shared" si="9"/>
        <v>34.339941177187427</v>
      </c>
      <c r="H108" s="482">
        <f>H107+(G107*E108*'life-tables-test'!$C$66)</f>
        <v>65.660058822812573</v>
      </c>
      <c r="I108" s="518">
        <f t="shared" si="0"/>
        <v>100</v>
      </c>
      <c r="J108" s="511">
        <f>(G108*0)/(1+cDR)^'Markov Model_SA1'!cycle</f>
        <v>0</v>
      </c>
      <c r="K108" s="512">
        <f t="shared" si="8"/>
        <v>34.339941177187427</v>
      </c>
      <c r="L108" s="513">
        <f>(G108*(uPostT))/(1+oDR)^'Markov Model_SA1'!cycle</f>
        <v>20.484631407515884</v>
      </c>
      <c r="M108" s="80"/>
      <c r="N108" s="3"/>
      <c r="O108" s="80"/>
      <c r="P108" s="506">
        <v>97</v>
      </c>
      <c r="Q108" s="506"/>
      <c r="R108" s="612">
        <v>9.3655925876645618E-4</v>
      </c>
      <c r="S108" s="508"/>
      <c r="T108" s="509">
        <f t="shared" si="6"/>
        <v>32.352284483433962</v>
      </c>
      <c r="U108" s="482">
        <f>U107+(T107*R108*'life-tables-test'!$C$66)</f>
        <v>67.647715516566038</v>
      </c>
      <c r="V108" s="518">
        <f t="shared" si="2"/>
        <v>100</v>
      </c>
      <c r="W108" s="511">
        <f>(T108*0)/(1+cDR)^'Markov Model_SA1'!cycle2</f>
        <v>0</v>
      </c>
      <c r="X108" s="512">
        <f t="shared" si="7"/>
        <v>32.352284483433962</v>
      </c>
      <c r="Y108" s="513">
        <f>(T108*(uPostT))/(1+oDR)^'Markov Model_SA1'!cycle</f>
        <v>19.298944614223707</v>
      </c>
      <c r="Z108" s="80"/>
      <c r="AA108" s="3"/>
      <c r="AB108" s="3"/>
      <c r="AC108" s="14">
        <v>96</v>
      </c>
      <c r="AD108" s="14"/>
      <c r="AE108" s="14"/>
      <c r="AF108" s="3"/>
      <c r="AG108" s="3"/>
      <c r="AH108" s="3"/>
      <c r="AI108" s="14"/>
      <c r="AJ108" s="14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</row>
    <row r="109" spans="1:60" ht="14.25" customHeight="1" x14ac:dyDescent="0.25">
      <c r="A109" s="637"/>
      <c r="B109" s="80"/>
      <c r="C109" s="173">
        <v>98</v>
      </c>
      <c r="D109" s="165"/>
      <c r="E109" s="612">
        <v>9.3655925876645618E-4</v>
      </c>
      <c r="F109" s="502"/>
      <c r="G109" s="219">
        <f t="shared" si="9"/>
        <v>34.179134227912471</v>
      </c>
      <c r="H109" s="481">
        <f>H108+(G108*E109*'life-tables-test'!$C$66)</f>
        <v>65.820865772087529</v>
      </c>
      <c r="I109" s="516">
        <f t="shared" si="0"/>
        <v>100</v>
      </c>
      <c r="J109" s="153">
        <f>(G109*0)/(1+cDR)^'Markov Model_SA1'!cycle</f>
        <v>0</v>
      </c>
      <c r="K109" s="178">
        <f t="shared" si="8"/>
        <v>34.179134227912471</v>
      </c>
      <c r="L109" s="202">
        <f>(G109*(uPostT))/(1+oDR)^'Markov Model_SA1'!cycle</f>
        <v>20.337861397985289</v>
      </c>
      <c r="M109" s="80"/>
      <c r="N109" s="3"/>
      <c r="O109" s="80"/>
      <c r="P109" s="173">
        <v>98</v>
      </c>
      <c r="Q109" s="165"/>
      <c r="R109" s="612">
        <v>9.3655925876645618E-4</v>
      </c>
      <c r="S109" s="502"/>
      <c r="T109" s="219">
        <f t="shared" si="6"/>
        <v>32.200785325557931</v>
      </c>
      <c r="U109" s="481">
        <f>U108+(T108*R109*'life-tables-test'!$C$66)</f>
        <v>67.799214674442069</v>
      </c>
      <c r="V109" s="516">
        <f t="shared" si="2"/>
        <v>100</v>
      </c>
      <c r="W109" s="153">
        <f>(T109*0)/(1+cDR)^'Markov Model_SA1'!cycle2</f>
        <v>0</v>
      </c>
      <c r="X109" s="178">
        <f t="shared" si="7"/>
        <v>32.200785325557931</v>
      </c>
      <c r="Y109" s="202">
        <f>(T109*(uPostT))/(1+oDR)^'Markov Model_SA1'!cycle</f>
        <v>19.160669913126537</v>
      </c>
      <c r="Z109" s="80"/>
      <c r="AA109" s="3"/>
      <c r="AB109" s="3"/>
      <c r="AC109" s="14">
        <v>97</v>
      </c>
      <c r="AD109" s="14"/>
      <c r="AE109" s="14"/>
      <c r="AF109" s="3"/>
      <c r="AG109" s="3"/>
      <c r="AH109" s="3"/>
      <c r="AI109" s="14"/>
      <c r="AJ109" s="14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</row>
    <row r="110" spans="1:60" ht="14.25" customHeight="1" x14ac:dyDescent="0.25">
      <c r="A110" s="637"/>
      <c r="B110" s="80"/>
      <c r="C110" s="173">
        <v>99</v>
      </c>
      <c r="D110" s="165"/>
      <c r="E110" s="612">
        <v>9.3655925876645618E-4</v>
      </c>
      <c r="F110" s="502"/>
      <c r="G110" s="219">
        <f t="shared" si="9"/>
        <v>34.019080304823603</v>
      </c>
      <c r="H110" s="481">
        <f>H109+(G109*E110*'life-tables-test'!$C$66)</f>
        <v>65.980919695176397</v>
      </c>
      <c r="I110" s="516">
        <f t="shared" si="0"/>
        <v>100</v>
      </c>
      <c r="J110" s="153">
        <f>(G110*0)/(1+cDR)^'Markov Model_SA1'!cycle</f>
        <v>0</v>
      </c>
      <c r="K110" s="178">
        <f t="shared" si="8"/>
        <v>34.019080304823603</v>
      </c>
      <c r="L110" s="202">
        <f>(G110*(uPostT))/(1+oDR)^'Markov Model_SA1'!cycle</f>
        <v>20.192142978559929</v>
      </c>
      <c r="M110" s="80"/>
      <c r="N110" s="3"/>
      <c r="O110" s="80"/>
      <c r="P110" s="173">
        <v>99</v>
      </c>
      <c r="Q110" s="165"/>
      <c r="R110" s="612">
        <v>9.3655925876645618E-4</v>
      </c>
      <c r="S110" s="502"/>
      <c r="T110" s="219">
        <f t="shared" si="6"/>
        <v>32.049995607376914</v>
      </c>
      <c r="U110" s="481">
        <f>U109+(T109*R110*'life-tables-test'!$C$66)</f>
        <v>67.950004392623086</v>
      </c>
      <c r="V110" s="516">
        <f t="shared" si="2"/>
        <v>100</v>
      </c>
      <c r="W110" s="153">
        <f>(T110*0)/(1+cDR)^'Markov Model_SA1'!cycle2</f>
        <v>0</v>
      </c>
      <c r="X110" s="178">
        <f t="shared" si="7"/>
        <v>32.049995607376914</v>
      </c>
      <c r="Y110" s="202">
        <f>(T110*(uPostT))/(1+oDR)^'Markov Model_SA1'!cycle</f>
        <v>19.023385934234415</v>
      </c>
      <c r="Z110" s="80"/>
      <c r="AA110" s="3"/>
      <c r="AB110" s="3"/>
      <c r="AC110" s="14">
        <v>98</v>
      </c>
      <c r="AD110" s="14"/>
      <c r="AE110" s="14"/>
      <c r="AF110" s="3"/>
      <c r="AG110" s="3"/>
      <c r="AH110" s="3"/>
      <c r="AI110" s="14"/>
      <c r="AJ110" s="14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</row>
    <row r="111" spans="1:60" ht="14.25" customHeight="1" x14ac:dyDescent="0.25">
      <c r="A111" s="637"/>
      <c r="B111" s="80"/>
      <c r="C111" s="173">
        <v>100</v>
      </c>
      <c r="D111" s="165"/>
      <c r="E111" s="612">
        <v>9.3655925876645618E-4</v>
      </c>
      <c r="F111" s="502"/>
      <c r="G111" s="219">
        <f t="shared" si="9"/>
        <v>33.859775881652595</v>
      </c>
      <c r="H111" s="481">
        <f>H110+(G110*E111*'life-tables-test'!$C$66)</f>
        <v>66.140224118347405</v>
      </c>
      <c r="I111" s="516">
        <f t="shared" si="0"/>
        <v>100</v>
      </c>
      <c r="J111" s="153">
        <f>(G111*0)/(1+cDR)^'Markov Model_SA1'!cycle</f>
        <v>0</v>
      </c>
      <c r="K111" s="178">
        <f t="shared" si="8"/>
        <v>33.859775881652595</v>
      </c>
      <c r="L111" s="202">
        <f>(G111*(uPostT))/(1+oDR)^'Markov Model_SA1'!cycle</f>
        <v>20.047468614718596</v>
      </c>
      <c r="M111" s="80"/>
      <c r="N111" s="3"/>
      <c r="O111" s="80"/>
      <c r="P111" s="173">
        <v>100</v>
      </c>
      <c r="Q111" s="165"/>
      <c r="R111" s="612">
        <v>9.3655925876645618E-4</v>
      </c>
      <c r="S111" s="502"/>
      <c r="T111" s="219">
        <f t="shared" si="6"/>
        <v>31.899912006729352</v>
      </c>
      <c r="U111" s="481">
        <f>U110+(T110*R111*'life-tables-test'!$C$66)</f>
        <v>68.100087993270648</v>
      </c>
      <c r="V111" s="516">
        <f t="shared" si="2"/>
        <v>100</v>
      </c>
      <c r="W111" s="153">
        <f>(T111*0)/(1+cDR)^'Markov Model_SA1'!cycle2</f>
        <v>0</v>
      </c>
      <c r="X111" s="178">
        <f t="shared" si="7"/>
        <v>31.899912006729352</v>
      </c>
      <c r="Y111" s="202">
        <f>(T111*(uPostT))/(1+oDR)^'Markov Model_SA1'!cycle</f>
        <v>18.887085579137594</v>
      </c>
      <c r="Z111" s="80"/>
      <c r="AA111" s="3"/>
      <c r="AB111" s="3"/>
      <c r="AC111" s="14">
        <v>99</v>
      </c>
      <c r="AD111" s="14"/>
      <c r="AE111" s="14"/>
      <c r="AF111" s="3"/>
      <c r="AG111" s="3"/>
      <c r="AH111" s="3"/>
      <c r="AI111" s="14"/>
      <c r="AJ111" s="14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</row>
    <row r="112" spans="1:60" ht="14.25" customHeight="1" x14ac:dyDescent="0.25">
      <c r="A112" s="637"/>
      <c r="B112" s="80"/>
      <c r="C112" s="173">
        <v>101</v>
      </c>
      <c r="D112" s="165"/>
      <c r="E112" s="612">
        <v>9.3655925876645618E-4</v>
      </c>
      <c r="F112" s="502"/>
      <c r="G112" s="219">
        <f t="shared" si="9"/>
        <v>33.701217448644002</v>
      </c>
      <c r="H112" s="481">
        <f>H111+(G111*E112*'life-tables-test'!$C$66)</f>
        <v>66.298782551355998</v>
      </c>
      <c r="I112" s="516">
        <f t="shared" si="0"/>
        <v>100</v>
      </c>
      <c r="J112" s="153">
        <f>(G112*0)/(1+cDR)^'Markov Model_SA1'!cycle</f>
        <v>0</v>
      </c>
      <c r="K112" s="178">
        <f t="shared" si="8"/>
        <v>33.701217448644002</v>
      </c>
      <c r="L112" s="202">
        <f>(G112*(uPostT))/(1+oDR)^'Markov Model_SA1'!cycle</f>
        <v>19.903830825924064</v>
      </c>
      <c r="M112" s="80"/>
      <c r="N112" s="3"/>
      <c r="O112" s="80"/>
      <c r="P112" s="173">
        <v>101</v>
      </c>
      <c r="Q112" s="165"/>
      <c r="R112" s="612">
        <v>9.3655925876645618E-4</v>
      </c>
      <c r="S112" s="502"/>
      <c r="T112" s="219">
        <f t="shared" si="6"/>
        <v>31.750531217010661</v>
      </c>
      <c r="U112" s="481">
        <f>U111+(T111*R112*'life-tables-test'!$C$66)</f>
        <v>68.249468782989339</v>
      </c>
      <c r="V112" s="516">
        <f t="shared" si="2"/>
        <v>100</v>
      </c>
      <c r="W112" s="153">
        <f>(T112*0)/(1+cDR)^'Markov Model_SA1'!cycle2</f>
        <v>0</v>
      </c>
      <c r="X112" s="178">
        <f t="shared" si="7"/>
        <v>31.750531217010661</v>
      </c>
      <c r="Y112" s="202">
        <f>(T112*(uPostT))/(1+oDR)^'Markov Model_SA1'!cycle</f>
        <v>18.751761800285596</v>
      </c>
      <c r="Z112" s="80"/>
      <c r="AA112" s="3"/>
      <c r="AB112" s="3"/>
      <c r="AC112" s="14">
        <v>100</v>
      </c>
      <c r="AD112" s="14"/>
      <c r="AE112" s="14"/>
      <c r="AF112" s="3"/>
      <c r="AG112" s="3"/>
      <c r="AH112" s="3"/>
      <c r="AI112" s="14"/>
      <c r="AJ112" s="14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</row>
    <row r="113" spans="1:60" ht="14.25" customHeight="1" x14ac:dyDescent="0.25">
      <c r="A113" s="637"/>
      <c r="B113" s="80"/>
      <c r="C113" s="173">
        <v>102</v>
      </c>
      <c r="D113" s="165"/>
      <c r="E113" s="612">
        <v>9.3655925876645618E-4</v>
      </c>
      <c r="F113" s="502"/>
      <c r="G113" s="219">
        <f t="shared" si="9"/>
        <v>33.543401512477857</v>
      </c>
      <c r="H113" s="481">
        <f>H112+(G112*E113*'life-tables-test'!$C$66)</f>
        <v>66.456598487522143</v>
      </c>
      <c r="I113" s="516">
        <f t="shared" si="0"/>
        <v>100</v>
      </c>
      <c r="J113" s="153">
        <f>(G113*0)/(1+cDR)^'Markov Model_SA1'!cycle</f>
        <v>0</v>
      </c>
      <c r="K113" s="178">
        <f t="shared" si="8"/>
        <v>33.543401512477857</v>
      </c>
      <c r="L113" s="202">
        <f>(G113*(uPostT))/(1+oDR)^'Markov Model_SA1'!cycle</f>
        <v>19.761222185236281</v>
      </c>
      <c r="M113" s="80"/>
      <c r="N113" s="3"/>
      <c r="O113" s="80"/>
      <c r="P113" s="173">
        <v>102</v>
      </c>
      <c r="Q113" s="165"/>
      <c r="R113" s="612">
        <v>9.3655925876645618E-4</v>
      </c>
      <c r="S113" s="502"/>
      <c r="T113" s="219">
        <f t="shared" si="6"/>
        <v>31.601849947100433</v>
      </c>
      <c r="U113" s="481">
        <f>U112+(T112*R113*'life-tables-test'!$C$66)</f>
        <v>68.398150052899567</v>
      </c>
      <c r="V113" s="516">
        <f t="shared" si="2"/>
        <v>100</v>
      </c>
      <c r="W113" s="153">
        <f>(T113*0)/(1+cDR)^'Markov Model_SA1'!cycle2</f>
        <v>0</v>
      </c>
      <c r="X113" s="178">
        <f t="shared" si="7"/>
        <v>31.601849947100433</v>
      </c>
      <c r="Y113" s="202">
        <f>(T113*(uPostT))/(1+oDR)^'Markov Model_SA1'!cycle</f>
        <v>18.617407600622844</v>
      </c>
      <c r="Z113" s="80"/>
      <c r="AA113" s="3"/>
      <c r="AB113" s="3"/>
      <c r="AC113" s="14">
        <v>101</v>
      </c>
      <c r="AD113" s="14"/>
      <c r="AE113" s="14"/>
      <c r="AF113" s="3"/>
      <c r="AG113" s="3"/>
      <c r="AH113" s="3"/>
      <c r="AI113" s="14"/>
      <c r="AJ113" s="14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</row>
    <row r="114" spans="1:60" ht="14.25" customHeight="1" x14ac:dyDescent="0.25">
      <c r="A114" s="637"/>
      <c r="B114" s="80"/>
      <c r="C114" s="173">
        <v>103</v>
      </c>
      <c r="D114" s="165"/>
      <c r="E114" s="612">
        <v>9.3655925876645618E-4</v>
      </c>
      <c r="F114" s="502"/>
      <c r="G114" s="219">
        <f t="shared" si="9"/>
        <v>33.386324596192694</v>
      </c>
      <c r="H114" s="481">
        <f>H113+(G113*E114*'life-tables-test'!$C$66)</f>
        <v>66.613675403807306</v>
      </c>
      <c r="I114" s="516">
        <f t="shared" si="0"/>
        <v>100</v>
      </c>
      <c r="J114" s="153">
        <f>(G114*0)/(1+cDR)^'Markov Model_SA1'!cycle</f>
        <v>0</v>
      </c>
      <c r="K114" s="178">
        <f t="shared" si="8"/>
        <v>33.386324596192694</v>
      </c>
      <c r="L114" s="202">
        <f>(G114*(uPostT))/(1+oDR)^'Markov Model_SA1'!cycle</f>
        <v>19.619635318928331</v>
      </c>
      <c r="M114" s="80"/>
      <c r="N114" s="3"/>
      <c r="O114" s="80"/>
      <c r="P114" s="173">
        <v>103</v>
      </c>
      <c r="Q114" s="165"/>
      <c r="R114" s="612">
        <v>9.3655925876645618E-4</v>
      </c>
      <c r="S114" s="502"/>
      <c r="T114" s="219">
        <f t="shared" si="6"/>
        <v>31.453864921289906</v>
      </c>
      <c r="U114" s="481">
        <f>U113+(T113*R114*'life-tables-test'!$C$66)</f>
        <v>68.546135078710094</v>
      </c>
      <c r="V114" s="516">
        <f t="shared" si="2"/>
        <v>100</v>
      </c>
      <c r="W114" s="153">
        <f>(T114*0)/(1+cDR)^'Markov Model_SA1'!cycle2</f>
        <v>0</v>
      </c>
      <c r="X114" s="178">
        <f t="shared" si="7"/>
        <v>31.453864921289906</v>
      </c>
      <c r="Y114" s="202">
        <f>(T114*(uPostT))/(1+oDR)^'Markov Model_SA1'!cycle</f>
        <v>18.484016033226812</v>
      </c>
      <c r="Z114" s="80"/>
      <c r="AA114" s="3"/>
      <c r="AB114" s="3"/>
      <c r="AC114" s="14">
        <v>102</v>
      </c>
      <c r="AD114" s="14"/>
      <c r="AE114" s="14"/>
      <c r="AF114" s="3"/>
      <c r="AG114" s="3"/>
      <c r="AH114" s="3"/>
      <c r="AI114" s="14"/>
      <c r="AJ114" s="14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</row>
    <row r="115" spans="1:60" ht="14.25" customHeight="1" x14ac:dyDescent="0.25">
      <c r="A115" s="637"/>
      <c r="B115" s="80"/>
      <c r="C115" s="173">
        <v>104</v>
      </c>
      <c r="D115" s="165"/>
      <c r="E115" s="612">
        <v>9.3655925876645618E-4</v>
      </c>
      <c r="F115" s="502"/>
      <c r="G115" s="219">
        <f t="shared" si="9"/>
        <v>33.229983239108961</v>
      </c>
      <c r="H115" s="481">
        <f>H114+(G114*E115*'life-tables-test'!$C$66)</f>
        <v>66.770016760891039</v>
      </c>
      <c r="I115" s="516">
        <f t="shared" si="0"/>
        <v>100</v>
      </c>
      <c r="J115" s="153">
        <f>(G115*0)/(1+cDR)^'Markov Model_SA1'!cycle</f>
        <v>0</v>
      </c>
      <c r="K115" s="178">
        <f t="shared" si="8"/>
        <v>33.229983239108961</v>
      </c>
      <c r="L115" s="202">
        <f>(G115*(uPostT))/(1+oDR)^'Markov Model_SA1'!cycle</f>
        <v>19.479062906105252</v>
      </c>
      <c r="M115" s="80"/>
      <c r="N115" s="3"/>
      <c r="O115" s="80"/>
      <c r="P115" s="173">
        <v>104</v>
      </c>
      <c r="Q115" s="165"/>
      <c r="R115" s="612">
        <v>9.3655925876645618E-4</v>
      </c>
      <c r="S115" s="502"/>
      <c r="T115" s="219">
        <f t="shared" si="6"/>
        <v>31.306572879209781</v>
      </c>
      <c r="U115" s="481">
        <f>U114+(T114*R115*'life-tables-test'!$C$66)</f>
        <v>68.693427120790219</v>
      </c>
      <c r="V115" s="516">
        <f t="shared" si="2"/>
        <v>100</v>
      </c>
      <c r="W115" s="153">
        <f>(T115*0)/(1+cDR)^'Markov Model_SA1'!cycle2</f>
        <v>0</v>
      </c>
      <c r="X115" s="178">
        <f t="shared" si="7"/>
        <v>31.306572879209781</v>
      </c>
      <c r="Y115" s="202">
        <f>(T115*(uPostT))/(1+oDR)^'Markov Model_SA1'!cycle</f>
        <v>18.351580200948902</v>
      </c>
      <c r="Z115" s="80"/>
      <c r="AA115" s="3"/>
      <c r="AB115" s="3"/>
      <c r="AC115" s="14">
        <v>103</v>
      </c>
      <c r="AD115" s="14"/>
      <c r="AE115" s="14"/>
      <c r="AF115" s="3"/>
      <c r="AG115" s="3"/>
      <c r="AH115" s="3"/>
      <c r="AI115" s="14"/>
      <c r="AJ115" s="14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</row>
    <row r="116" spans="1:60" ht="14.25" customHeight="1" x14ac:dyDescent="0.25">
      <c r="A116" s="637"/>
      <c r="B116" s="80"/>
      <c r="C116" s="173">
        <v>105</v>
      </c>
      <c r="D116" s="165"/>
      <c r="E116" s="612">
        <v>9.3655925876645618E-4</v>
      </c>
      <c r="F116" s="502"/>
      <c r="G116" s="219">
        <f t="shared" si="9"/>
        <v>33.074373996752755</v>
      </c>
      <c r="H116" s="481">
        <f>H115+(G115*E116*'life-tables-test'!$C$66)</f>
        <v>66.925626003247245</v>
      </c>
      <c r="I116" s="516">
        <f t="shared" si="0"/>
        <v>100</v>
      </c>
      <c r="J116" s="153">
        <f>(G116*0)/(1+cDR)^'Markov Model_SA1'!cycle</f>
        <v>0</v>
      </c>
      <c r="K116" s="178">
        <f t="shared" si="8"/>
        <v>33.074373996752755</v>
      </c>
      <c r="L116" s="202">
        <f>(G116*(uPostT))/(1+oDR)^'Markov Model_SA1'!cycle</f>
        <v>19.339497678325404</v>
      </c>
      <c r="M116" s="80"/>
      <c r="N116" s="3"/>
      <c r="O116" s="80"/>
      <c r="P116" s="173">
        <v>105</v>
      </c>
      <c r="Q116" s="165"/>
      <c r="R116" s="612">
        <v>9.3655925876645618E-4</v>
      </c>
      <c r="S116" s="502"/>
      <c r="T116" s="219">
        <f t="shared" si="6"/>
        <v>31.159970575758422</v>
      </c>
      <c r="U116" s="481">
        <f>U115+(T115*R116*'life-tables-test'!$C$66)</f>
        <v>68.840029424241578</v>
      </c>
      <c r="V116" s="516">
        <f t="shared" si="2"/>
        <v>100</v>
      </c>
      <c r="W116" s="153">
        <f>(T116*0)/(1+cDR)^'Markov Model_SA1'!cycle2</f>
        <v>0</v>
      </c>
      <c r="X116" s="178">
        <f t="shared" si="7"/>
        <v>31.159970575758422</v>
      </c>
      <c r="Y116" s="202">
        <f>(T116*(uPostT))/(1+oDR)^'Markov Model_SA1'!cycle</f>
        <v>18.220093256057787</v>
      </c>
      <c r="Z116" s="80"/>
      <c r="AA116" s="3"/>
      <c r="AB116" s="3"/>
      <c r="AC116" s="14">
        <v>104</v>
      </c>
      <c r="AD116" s="14"/>
      <c r="AE116" s="14"/>
      <c r="AF116" s="3"/>
      <c r="AG116" s="3"/>
      <c r="AH116" s="3"/>
      <c r="AI116" s="14"/>
      <c r="AJ116" s="14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</row>
    <row r="117" spans="1:60" ht="14.25" customHeight="1" x14ac:dyDescent="0.25">
      <c r="A117" s="637"/>
      <c r="B117" s="80"/>
      <c r="C117" s="173">
        <v>106</v>
      </c>
      <c r="D117" s="165"/>
      <c r="E117" s="612">
        <v>9.3655925876645618E-4</v>
      </c>
      <c r="F117" s="502"/>
      <c r="G117" s="219">
        <f t="shared" si="9"/>
        <v>32.919493440779945</v>
      </c>
      <c r="H117" s="481">
        <f>H116+(G116*E117*'life-tables-test'!$C$66)</f>
        <v>67.080506559220055</v>
      </c>
      <c r="I117" s="516">
        <f t="shared" si="0"/>
        <v>100</v>
      </c>
      <c r="J117" s="153">
        <f>(G117*0)/(1+cDR)^'Markov Model_SA1'!cycle</f>
        <v>0</v>
      </c>
      <c r="K117" s="178">
        <f t="shared" si="8"/>
        <v>32.919493440779945</v>
      </c>
      <c r="L117" s="202">
        <f>(G117*(uPostT))/(1+oDR)^'Markov Model_SA1'!cycle</f>
        <v>19.20093241922471</v>
      </c>
      <c r="M117" s="80"/>
      <c r="N117" s="3"/>
      <c r="O117" s="80"/>
      <c r="P117" s="173">
        <v>106</v>
      </c>
      <c r="Q117" s="165"/>
      <c r="R117" s="612">
        <v>9.3655925876645618E-4</v>
      </c>
      <c r="S117" s="502"/>
      <c r="T117" s="219">
        <f t="shared" si="6"/>
        <v>31.014054781030339</v>
      </c>
      <c r="U117" s="481">
        <f>U116+(T116*R117*'life-tables-test'!$C$66)</f>
        <v>68.985945218969661</v>
      </c>
      <c r="V117" s="516">
        <f t="shared" si="2"/>
        <v>100</v>
      </c>
      <c r="W117" s="153">
        <f>(T117*0)/(1+cDR)^'Markov Model_SA1'!cycle2</f>
        <v>0</v>
      </c>
      <c r="X117" s="178">
        <f t="shared" si="7"/>
        <v>31.014054781030339</v>
      </c>
      <c r="Y117" s="202">
        <f>(T117*(uPostT))/(1+oDR)^'Markov Model_SA1'!cycle</f>
        <v>18.089548399885331</v>
      </c>
      <c r="Z117" s="80"/>
      <c r="AA117" s="3"/>
      <c r="AB117" s="3"/>
      <c r="AC117" s="14">
        <v>105</v>
      </c>
      <c r="AD117" s="14"/>
      <c r="AE117" s="14"/>
      <c r="AF117" s="3"/>
      <c r="AG117" s="3"/>
      <c r="AH117" s="3"/>
      <c r="AI117" s="14"/>
      <c r="AJ117" s="14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</row>
    <row r="118" spans="1:60" ht="14.25" customHeight="1" x14ac:dyDescent="0.25">
      <c r="A118" s="637"/>
      <c r="B118" s="80"/>
      <c r="C118" s="173">
        <v>107</v>
      </c>
      <c r="D118" s="165"/>
      <c r="E118" s="612">
        <v>9.3655925876645618E-4</v>
      </c>
      <c r="F118" s="502"/>
      <c r="G118" s="219">
        <f t="shared" si="9"/>
        <v>32.765338158900619</v>
      </c>
      <c r="H118" s="481">
        <f>H117+(G117*E118*'life-tables-test'!$C$66)</f>
        <v>67.234661841099381</v>
      </c>
      <c r="I118" s="516">
        <f t="shared" si="0"/>
        <v>100</v>
      </c>
      <c r="J118" s="153">
        <f>(G118*0)/(1+cDR)^'Markov Model_SA1'!cycle</f>
        <v>0</v>
      </c>
      <c r="K118" s="178">
        <f t="shared" si="8"/>
        <v>32.765338158900619</v>
      </c>
      <c r="L118" s="202">
        <f>(G118*(uPostT))/(1+oDR)^'Markov Model_SA1'!cycle</f>
        <v>19.06335996414348</v>
      </c>
      <c r="M118" s="80"/>
      <c r="N118" s="3"/>
      <c r="O118" s="80"/>
      <c r="P118" s="173">
        <v>107</v>
      </c>
      <c r="Q118" s="165"/>
      <c r="R118" s="612">
        <v>9.3655925876645618E-4</v>
      </c>
      <c r="S118" s="502"/>
      <c r="T118" s="219">
        <f t="shared" si="6"/>
        <v>30.868822280245013</v>
      </c>
      <c r="U118" s="481">
        <f>U117+(T117*R118*'life-tables-test'!$C$66)</f>
        <v>69.131177719754987</v>
      </c>
      <c r="V118" s="516">
        <f t="shared" si="2"/>
        <v>100</v>
      </c>
      <c r="W118" s="153">
        <f>(T118*0)/(1+cDR)^'Markov Model_SA1'!cycle2</f>
        <v>0</v>
      </c>
      <c r="X118" s="178">
        <f t="shared" si="7"/>
        <v>30.868822280245013</v>
      </c>
      <c r="Y118" s="202">
        <f>(T118*(uPostT))/(1+oDR)^'Markov Model_SA1'!cycle</f>
        <v>17.959938882475061</v>
      </c>
      <c r="Z118" s="80"/>
      <c r="AA118" s="3"/>
      <c r="AB118" s="3"/>
      <c r="AC118" s="14">
        <v>106</v>
      </c>
      <c r="AD118" s="14"/>
      <c r="AE118" s="14"/>
      <c r="AF118" s="3"/>
      <c r="AG118" s="3"/>
      <c r="AH118" s="3"/>
      <c r="AI118" s="14"/>
      <c r="AJ118" s="14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</row>
    <row r="119" spans="1:60" ht="14.25" customHeight="1" x14ac:dyDescent="0.25">
      <c r="A119" s="606"/>
      <c r="B119" s="417"/>
      <c r="C119" s="173">
        <v>108</v>
      </c>
      <c r="D119" s="504"/>
      <c r="E119" s="612">
        <v>9.3655925876645618E-4</v>
      </c>
      <c r="F119" s="505"/>
      <c r="G119" s="219">
        <f t="shared" si="9"/>
        <v>32.611904754803959</v>
      </c>
      <c r="H119" s="481">
        <f>H118+(G118*E119*'life-tables-test'!$C$66)</f>
        <v>67.388095245196041</v>
      </c>
      <c r="I119" s="516">
        <f t="shared" si="0"/>
        <v>100</v>
      </c>
      <c r="J119" s="180">
        <f>(G119*0)/(1+cDR)^'Markov Model_SA1'!cycle</f>
        <v>0</v>
      </c>
      <c r="K119" s="176">
        <f t="shared" si="8"/>
        <v>32.611904754803959</v>
      </c>
      <c r="L119" s="202">
        <f>(G119*(uPostT))/(1+oDR)^'Markov Model_SA1'!cycle</f>
        <v>18.92677319975601</v>
      </c>
      <c r="M119" s="80"/>
      <c r="N119" s="3"/>
      <c r="O119" s="417"/>
      <c r="P119" s="173">
        <v>108</v>
      </c>
      <c r="Q119" s="504"/>
      <c r="R119" s="612">
        <v>9.3655925876645618E-4</v>
      </c>
      <c r="S119" s="505"/>
      <c r="T119" s="219">
        <f t="shared" si="6"/>
        <v>30.724269873676107</v>
      </c>
      <c r="U119" s="481">
        <f>U118+(T118*R119*'life-tables-test'!$C$66)</f>
        <v>69.275730126323893</v>
      </c>
      <c r="V119" s="516">
        <f t="shared" si="2"/>
        <v>100</v>
      </c>
      <c r="W119" s="180">
        <f>(T119*0)/(1+cDR)^'Markov Model_SA1'!cycle2</f>
        <v>0</v>
      </c>
      <c r="X119" s="176">
        <f t="shared" si="7"/>
        <v>30.724269873676107</v>
      </c>
      <c r="Y119" s="202">
        <f>(T119*(uPostT))/(1+oDR)^'Markov Model_SA1'!cycle</f>
        <v>17.831258002233167</v>
      </c>
      <c r="Z119" s="80"/>
      <c r="AA119" s="3"/>
      <c r="AB119" s="3"/>
      <c r="AC119" s="14">
        <v>107</v>
      </c>
      <c r="AD119" s="14"/>
      <c r="AE119" s="14"/>
      <c r="AF119" s="3"/>
      <c r="AG119" s="3"/>
      <c r="AH119" s="3"/>
      <c r="AI119" s="14"/>
      <c r="AJ119" s="14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</row>
    <row r="120" spans="1:60" ht="14.25" customHeight="1" x14ac:dyDescent="0.25">
      <c r="A120" s="637" t="s">
        <v>551</v>
      </c>
      <c r="B120" s="417"/>
      <c r="C120" s="506">
        <v>109</v>
      </c>
      <c r="D120" s="506"/>
      <c r="E120" s="507">
        <v>9.9897044497332388E-4</v>
      </c>
      <c r="F120" s="508"/>
      <c r="G120" s="509">
        <f t="shared" si="9"/>
        <v>32.449013109782285</v>
      </c>
      <c r="H120" s="510">
        <f>H119+(G119*E120*'life-tables-test'!$C$66)</f>
        <v>67.550986890217715</v>
      </c>
      <c r="I120" s="518">
        <f t="shared" si="0"/>
        <v>100</v>
      </c>
      <c r="J120" s="511">
        <f>(G120*0)/(1+cDR)^'Markov Model_SA1'!cycle</f>
        <v>0</v>
      </c>
      <c r="K120" s="512">
        <f t="shared" si="8"/>
        <v>32.449013109782285</v>
      </c>
      <c r="L120" s="513">
        <f>(G120*(uPostT))/(1+oDR)^'Markov Model_SA1'!cycle</f>
        <v>18.785273580578213</v>
      </c>
      <c r="M120" s="80"/>
      <c r="N120" s="3"/>
      <c r="O120" s="80"/>
      <c r="P120" s="506">
        <v>109</v>
      </c>
      <c r="Q120" s="506"/>
      <c r="R120" s="507">
        <v>9.9897044497332388E-4</v>
      </c>
      <c r="S120" s="508"/>
      <c r="T120" s="509">
        <f t="shared" si="6"/>
        <v>30.57080668594017</v>
      </c>
      <c r="U120" s="510">
        <f>U119+(T119*R120*'life-tables-test'!$C$66)</f>
        <v>69.42919331405983</v>
      </c>
      <c r="V120" s="518">
        <f t="shared" ref="V120:V183" si="10">SUM(T120:U120)</f>
        <v>100</v>
      </c>
      <c r="W120" s="511">
        <f>(T120*0)/(1+cDR)^'Markov Model_SA1'!cycle2</f>
        <v>0</v>
      </c>
      <c r="X120" s="512">
        <f t="shared" ref="X120:X183" si="11">T120</f>
        <v>30.57080668594017</v>
      </c>
      <c r="Y120" s="513">
        <f>(T120*(uPostT))/(1+oDR)^'Markov Model_SA1'!cycle</f>
        <v>17.697948631948666</v>
      </c>
      <c r="Z120" s="80"/>
      <c r="AA120" s="3"/>
      <c r="AB120" s="3"/>
      <c r="AC120" s="14">
        <v>108</v>
      </c>
      <c r="AD120" s="14"/>
      <c r="AE120" s="14"/>
      <c r="AF120" s="3"/>
      <c r="AG120" s="3"/>
      <c r="AH120" s="3"/>
      <c r="AI120" s="14"/>
      <c r="AJ120" s="14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</row>
    <row r="121" spans="1:60" ht="14.25" customHeight="1" x14ac:dyDescent="0.2">
      <c r="A121" s="637"/>
      <c r="B121" s="417"/>
      <c r="C121" s="173">
        <v>110</v>
      </c>
      <c r="D121" s="165"/>
      <c r="E121" s="174">
        <v>1.0653873256510904E-3</v>
      </c>
      <c r="F121" s="502"/>
      <c r="G121" s="219">
        <f t="shared" si="9"/>
        <v>32.27615927329704</v>
      </c>
      <c r="H121" s="249">
        <f>H120+(G120*E121*'life-tables-test'!$C$66)</f>
        <v>67.72384072670296</v>
      </c>
      <c r="I121" s="516">
        <f t="shared" ref="I121:I184" si="12">SUM(G121:H121)</f>
        <v>100</v>
      </c>
      <c r="J121" s="153">
        <f>(G121*0)/(1+cDR)^'Markov Model_SA1'!cycle</f>
        <v>0</v>
      </c>
      <c r="K121" s="178">
        <f t="shared" si="8"/>
        <v>32.27615927329704</v>
      </c>
      <c r="L121" s="202">
        <f>(G121*(uPostT))/(1+oDR)^'Markov Model_SA1'!cycle</f>
        <v>18.63860909593021</v>
      </c>
      <c r="M121" s="80"/>
      <c r="N121" s="3"/>
      <c r="O121" s="80"/>
      <c r="P121" s="173">
        <v>110</v>
      </c>
      <c r="Q121" s="165"/>
      <c r="R121" s="174">
        <v>1.0653873256510904E-3</v>
      </c>
      <c r="S121" s="502"/>
      <c r="T121" s="219">
        <f t="shared" ref="T121:T184" si="13">$T$10-U121</f>
        <v>30.407957936049513</v>
      </c>
      <c r="U121" s="249">
        <f>U120+(T120*R121*'life-tables-test'!$C$66)</f>
        <v>69.592042063950487</v>
      </c>
      <c r="V121" s="516">
        <f t="shared" si="10"/>
        <v>100</v>
      </c>
      <c r="W121" s="153">
        <f>(T121*0)/(1+cDR)^'Markov Model_SA1'!cycle2</f>
        <v>0</v>
      </c>
      <c r="X121" s="178">
        <f t="shared" si="11"/>
        <v>30.407957936049513</v>
      </c>
      <c r="Y121" s="202">
        <f>(T121*(uPostT))/(1+oDR)^'Markov Model_SA1'!cycle</f>
        <v>17.559773347766743</v>
      </c>
      <c r="Z121" s="80"/>
      <c r="AA121" s="3"/>
      <c r="AB121" s="3"/>
      <c r="AC121" s="14">
        <v>109</v>
      </c>
      <c r="AD121" s="14"/>
      <c r="AE121" s="14"/>
      <c r="AF121" s="3"/>
      <c r="AG121" s="3"/>
      <c r="AH121" s="3"/>
      <c r="AI121" s="14"/>
      <c r="AJ121" s="14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</row>
    <row r="122" spans="1:60" ht="14.25" customHeight="1" x14ac:dyDescent="0.2">
      <c r="A122" s="637"/>
      <c r="B122" s="417"/>
      <c r="C122" s="173">
        <v>112</v>
      </c>
      <c r="D122" s="165"/>
      <c r="E122" s="174">
        <v>1.0653873256510904E-3</v>
      </c>
      <c r="F122" s="502"/>
      <c r="G122" s="219">
        <f t="shared" si="9"/>
        <v>32.104226218244705</v>
      </c>
      <c r="H122" s="249">
        <f>H121+(G121*E122*'life-tables-test'!$C$66)</f>
        <v>67.895773781755295</v>
      </c>
      <c r="I122" s="516">
        <f t="shared" si="12"/>
        <v>100</v>
      </c>
      <c r="J122" s="153">
        <f>(G122*0)/(1+cDR)^'Markov Model_SA1'!cycle</f>
        <v>0</v>
      </c>
      <c r="K122" s="178">
        <f t="shared" si="8"/>
        <v>32.104226218244705</v>
      </c>
      <c r="L122" s="202">
        <f>(G122*(uPostT))/(1+oDR)^'Markov Model_SA1'!cycle</f>
        <v>18.446972251602773</v>
      </c>
      <c r="M122" s="80"/>
      <c r="N122" s="3"/>
      <c r="O122" s="80"/>
      <c r="P122" s="173">
        <v>112</v>
      </c>
      <c r="Q122" s="165"/>
      <c r="R122" s="174">
        <v>1.0653873256510904E-3</v>
      </c>
      <c r="S122" s="502"/>
      <c r="T122" s="219">
        <f t="shared" si="13"/>
        <v>30.245976671129526</v>
      </c>
      <c r="U122" s="249">
        <f>U121+(T121*R122*'life-tables-test'!$C$66)</f>
        <v>69.754023328870474</v>
      </c>
      <c r="V122" s="516">
        <f t="shared" si="10"/>
        <v>100</v>
      </c>
      <c r="W122" s="153">
        <f>(T122*0)/(1+cDR)^'Markov Model_SA1'!cycle2</f>
        <v>0</v>
      </c>
      <c r="X122" s="178">
        <f t="shared" si="11"/>
        <v>30.245976671129526</v>
      </c>
      <c r="Y122" s="202">
        <f>(T122*(uPostT))/(1+oDR)^'Markov Model_SA1'!cycle</f>
        <v>17.379228783837569</v>
      </c>
      <c r="Z122" s="80"/>
      <c r="AA122" s="252"/>
      <c r="AB122" s="252"/>
      <c r="AC122" s="14">
        <v>110</v>
      </c>
      <c r="AD122" s="254"/>
      <c r="AE122" s="254"/>
      <c r="AF122" s="252"/>
      <c r="AG122" s="252"/>
      <c r="AH122" s="252"/>
      <c r="AI122" s="254"/>
      <c r="AJ122" s="254"/>
      <c r="AK122" s="252"/>
      <c r="AL122" s="252"/>
      <c r="AM122" s="252"/>
      <c r="AN122" s="252"/>
      <c r="AO122" s="252"/>
      <c r="AP122" s="252"/>
      <c r="AQ122" s="252"/>
      <c r="AR122" s="252"/>
      <c r="AS122" s="252"/>
      <c r="AT122" s="3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</row>
    <row r="123" spans="1:60" ht="14.25" customHeight="1" x14ac:dyDescent="0.2">
      <c r="A123" s="637"/>
      <c r="B123" s="417"/>
      <c r="C123" s="173">
        <v>113</v>
      </c>
      <c r="D123" s="165"/>
      <c r="E123" s="174">
        <v>1.0653873256510904E-3</v>
      </c>
      <c r="F123" s="502"/>
      <c r="G123" s="219">
        <f t="shared" si="9"/>
        <v>31.933209039680932</v>
      </c>
      <c r="H123" s="249">
        <f>H122+(G122*E123*'life-tables-test'!$C$66)</f>
        <v>68.066790960319068</v>
      </c>
      <c r="I123" s="516">
        <f t="shared" si="12"/>
        <v>100</v>
      </c>
      <c r="J123" s="153">
        <f>(G123*0)/(1+cDR)^'Markov Model_SA1'!cycle</f>
        <v>0</v>
      </c>
      <c r="K123" s="178">
        <f t="shared" si="8"/>
        <v>31.933209039680932</v>
      </c>
      <c r="L123" s="202">
        <f>(G123*(uPostT))/(1+oDR)^'Markov Model_SA1'!cycle</f>
        <v>18.302949026868127</v>
      </c>
      <c r="M123" s="80"/>
      <c r="N123" s="3"/>
      <c r="O123" s="80"/>
      <c r="P123" s="173">
        <v>113</v>
      </c>
      <c r="Q123" s="165"/>
      <c r="R123" s="174">
        <v>1.0653873256510904E-3</v>
      </c>
      <c r="S123" s="502"/>
      <c r="T123" s="219">
        <f t="shared" si="13"/>
        <v>30.084858270142732</v>
      </c>
      <c r="U123" s="249">
        <f>U122+(T122*R123*'life-tables-test'!$C$66)</f>
        <v>69.915141729857268</v>
      </c>
      <c r="V123" s="516">
        <f t="shared" si="10"/>
        <v>100</v>
      </c>
      <c r="W123" s="153">
        <f>(T123*0)/(1+cDR)^'Markov Model_SA1'!cycle2</f>
        <v>0</v>
      </c>
      <c r="X123" s="178">
        <f t="shared" si="11"/>
        <v>30.084858270142732</v>
      </c>
      <c r="Y123" s="202">
        <f>(T123*(uPostT))/(1+oDR)^'Markov Model_SA1'!cycle</f>
        <v>17.243541878761217</v>
      </c>
      <c r="Z123" s="80"/>
      <c r="AA123" s="3"/>
      <c r="AB123" s="3"/>
      <c r="AC123" s="14">
        <v>111</v>
      </c>
      <c r="AD123" s="14"/>
      <c r="AE123" s="14"/>
      <c r="AF123" s="3"/>
      <c r="AG123" s="3"/>
      <c r="AH123" s="3"/>
      <c r="AI123" s="14"/>
      <c r="AJ123" s="14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</row>
    <row r="124" spans="1:60" ht="14.25" customHeight="1" x14ac:dyDescent="0.2">
      <c r="A124" s="637"/>
      <c r="B124" s="417"/>
      <c r="C124" s="173">
        <v>114</v>
      </c>
      <c r="D124" s="165"/>
      <c r="E124" s="174">
        <v>1.0653873256510904E-3</v>
      </c>
      <c r="F124" s="502"/>
      <c r="G124" s="219">
        <f t="shared" si="9"/>
        <v>31.763102858789722</v>
      </c>
      <c r="H124" s="249">
        <f>H123+(G123*E124*'life-tables-test'!$C$66)</f>
        <v>68.236897141210278</v>
      </c>
      <c r="I124" s="516">
        <f t="shared" si="12"/>
        <v>100</v>
      </c>
      <c r="J124" s="153">
        <f>(G124*0)/(1+cDR)^'Markov Model_SA1'!cycle</f>
        <v>0</v>
      </c>
      <c r="K124" s="178">
        <f t="shared" si="8"/>
        <v>31.763102858789722</v>
      </c>
      <c r="L124" s="202">
        <f>(G124*(uPostT))/(1+oDR)^'Markov Model_SA1'!cycle</f>
        <v>18.160050251662653</v>
      </c>
      <c r="M124" s="80"/>
      <c r="N124" s="3"/>
      <c r="O124" s="80"/>
      <c r="P124" s="173">
        <v>114</v>
      </c>
      <c r="Q124" s="165"/>
      <c r="R124" s="174">
        <v>1.0653873256510904E-3</v>
      </c>
      <c r="S124" s="502"/>
      <c r="T124" s="219">
        <f t="shared" si="13"/>
        <v>29.92459813666764</v>
      </c>
      <c r="U124" s="249">
        <f>U123+(T123*R124*'life-tables-test'!$C$66)</f>
        <v>70.07540186333236</v>
      </c>
      <c r="V124" s="516">
        <f t="shared" si="10"/>
        <v>100</v>
      </c>
      <c r="W124" s="153">
        <f>(T124*0)/(1+cDR)^'Markov Model_SA1'!cycle2</f>
        <v>0</v>
      </c>
      <c r="X124" s="178">
        <f t="shared" si="11"/>
        <v>29.92459813666764</v>
      </c>
      <c r="Y124" s="202">
        <f>(T124*(uPostT))/(1+oDR)^'Markov Model_SA1'!cycle</f>
        <v>17.108914338081185</v>
      </c>
      <c r="Z124" s="80"/>
      <c r="AA124" s="252"/>
      <c r="AB124" s="252"/>
      <c r="AC124" s="14">
        <v>112</v>
      </c>
      <c r="AD124" s="254"/>
      <c r="AE124" s="254"/>
      <c r="AF124" s="252"/>
      <c r="AG124" s="252"/>
      <c r="AH124" s="252"/>
      <c r="AI124" s="254"/>
      <c r="AJ124" s="254"/>
      <c r="AK124" s="252"/>
      <c r="AL124" s="252"/>
      <c r="AM124" s="252"/>
      <c r="AN124" s="252"/>
      <c r="AO124" s="252"/>
      <c r="AP124" s="252"/>
      <c r="AQ124" s="252"/>
      <c r="AR124" s="252"/>
      <c r="AS124" s="252"/>
      <c r="AT124" s="3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</row>
    <row r="125" spans="1:60" ht="16.5" customHeight="1" x14ac:dyDescent="0.2">
      <c r="A125" s="637"/>
      <c r="B125" s="417"/>
      <c r="C125" s="173">
        <v>115</v>
      </c>
      <c r="D125" s="165"/>
      <c r="E125" s="174">
        <v>1.0653873256510904E-3</v>
      </c>
      <c r="F125" s="502"/>
      <c r="G125" s="219">
        <f t="shared" si="9"/>
        <v>31.593902822744184</v>
      </c>
      <c r="H125" s="249">
        <f>H124+(G124*E125*'life-tables-test'!$C$66)</f>
        <v>68.406097177255816</v>
      </c>
      <c r="I125" s="516">
        <f t="shared" si="12"/>
        <v>100</v>
      </c>
      <c r="J125" s="153">
        <f>(G125*0)/(1+cDR)^'Markov Model_SA1'!cycle</f>
        <v>0</v>
      </c>
      <c r="K125" s="178">
        <f t="shared" si="8"/>
        <v>31.593902822744184</v>
      </c>
      <c r="L125" s="202">
        <f>(G125*(uPostT))/(1+oDR)^'Markov Model_SA1'!cycle</f>
        <v>18.018267146938769</v>
      </c>
      <c r="M125" s="80"/>
      <c r="N125" s="3"/>
      <c r="O125" s="80"/>
      <c r="P125" s="173">
        <v>115</v>
      </c>
      <c r="Q125" s="165"/>
      <c r="R125" s="174">
        <v>1.0653873256510904E-3</v>
      </c>
      <c r="S125" s="502"/>
      <c r="T125" s="219">
        <f t="shared" si="13"/>
        <v>29.765191698767595</v>
      </c>
      <c r="U125" s="249">
        <f>U124+(T124*R125*'life-tables-test'!$C$66)</f>
        <v>70.234808301232405</v>
      </c>
      <c r="V125" s="516">
        <f t="shared" si="10"/>
        <v>100</v>
      </c>
      <c r="W125" s="153">
        <f>(T125*0)/(1+cDR)^'Markov Model_SA1'!cycle2</f>
        <v>0</v>
      </c>
      <c r="X125" s="178">
        <f t="shared" si="11"/>
        <v>29.765191698767595</v>
      </c>
      <c r="Y125" s="202">
        <f>(T125*(uPostT))/(1+oDR)^'Markov Model_SA1'!cycle</f>
        <v>16.975337890896736</v>
      </c>
      <c r="Z125" s="80"/>
      <c r="AA125" s="3"/>
      <c r="AB125" s="3"/>
      <c r="AC125" s="14">
        <v>113</v>
      </c>
      <c r="AD125" s="14"/>
      <c r="AE125" s="14"/>
      <c r="AF125" s="3"/>
      <c r="AG125" s="3"/>
      <c r="AH125" s="3"/>
      <c r="AI125" s="14"/>
      <c r="AJ125" s="14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</row>
    <row r="126" spans="1:60" ht="14.25" customHeight="1" x14ac:dyDescent="0.2">
      <c r="A126" s="637"/>
      <c r="B126" s="417"/>
      <c r="C126" s="173">
        <v>116</v>
      </c>
      <c r="D126" s="165"/>
      <c r="E126" s="174">
        <v>1.0653873256510904E-3</v>
      </c>
      <c r="F126" s="502"/>
      <c r="G126" s="219">
        <f t="shared" si="9"/>
        <v>31.425604104568166</v>
      </c>
      <c r="H126" s="249">
        <f>H125+(G125*E126*'life-tables-test'!$C$66)</f>
        <v>68.574395895431834</v>
      </c>
      <c r="I126" s="516">
        <f t="shared" si="12"/>
        <v>100</v>
      </c>
      <c r="J126" s="153">
        <f>(G126*0)/(1+cDR)^'Markov Model_SA1'!cycle</f>
        <v>0</v>
      </c>
      <c r="K126" s="178">
        <f t="shared" si="8"/>
        <v>31.425604104568166</v>
      </c>
      <c r="L126" s="202">
        <f>(G126*(uPostT))/(1+oDR)^'Markov Model_SA1'!cycle</f>
        <v>17.87759100219057</v>
      </c>
      <c r="M126" s="80"/>
      <c r="N126" s="3"/>
      <c r="O126" s="80"/>
      <c r="P126" s="173">
        <v>116</v>
      </c>
      <c r="Q126" s="165"/>
      <c r="R126" s="174">
        <v>1.0653873256510904E-3</v>
      </c>
      <c r="S126" s="502"/>
      <c r="T126" s="219">
        <f t="shared" si="13"/>
        <v>29.606634408860387</v>
      </c>
      <c r="U126" s="249">
        <f>U125+(T125*R126*'life-tables-test'!$C$66)</f>
        <v>70.393365591139613</v>
      </c>
      <c r="V126" s="516">
        <f t="shared" si="10"/>
        <v>100</v>
      </c>
      <c r="W126" s="153">
        <f>(T126*0)/(1+cDR)^'Markov Model_SA1'!cycle2</f>
        <v>0</v>
      </c>
      <c r="X126" s="178">
        <f t="shared" si="11"/>
        <v>29.606634408860387</v>
      </c>
      <c r="Y126" s="202">
        <f>(T126*(uPostT))/(1+oDR)^'Markov Model_SA1'!cycle</f>
        <v>16.842804330881503</v>
      </c>
      <c r="Z126" s="80"/>
      <c r="AA126" s="3"/>
      <c r="AB126" s="3"/>
      <c r="AC126" s="14">
        <v>114</v>
      </c>
      <c r="AD126" s="14"/>
      <c r="AE126" s="14"/>
      <c r="AF126" s="3"/>
      <c r="AG126" s="3"/>
      <c r="AH126" s="3"/>
      <c r="AI126" s="14"/>
      <c r="AJ126" s="14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</row>
    <row r="127" spans="1:60" ht="14.25" customHeight="1" x14ac:dyDescent="0.2">
      <c r="A127" s="637"/>
      <c r="B127" s="417"/>
      <c r="C127" s="173">
        <v>117</v>
      </c>
      <c r="D127" s="165"/>
      <c r="E127" s="174">
        <v>1.0653873256510904E-3</v>
      </c>
      <c r="F127" s="502"/>
      <c r="G127" s="219">
        <f t="shared" si="9"/>
        <v>31.258201902998493</v>
      </c>
      <c r="H127" s="249">
        <f>H126+(G126*E127*'life-tables-test'!$C$66)</f>
        <v>68.741798097001507</v>
      </c>
      <c r="I127" s="516">
        <f t="shared" si="12"/>
        <v>100</v>
      </c>
      <c r="J127" s="153">
        <f>(G127*0)/(1+cDR)^'Markov Model_SA1'!cycle</f>
        <v>0</v>
      </c>
      <c r="K127" s="178">
        <f t="shared" si="8"/>
        <v>31.258201902998493</v>
      </c>
      <c r="L127" s="202">
        <f>(G127*(uPostT))/(1+oDR)^'Markov Model_SA1'!cycle</f>
        <v>17.738013174918738</v>
      </c>
      <c r="M127" s="80"/>
      <c r="N127" s="3"/>
      <c r="O127" s="80"/>
      <c r="P127" s="173">
        <v>117</v>
      </c>
      <c r="Q127" s="165"/>
      <c r="R127" s="174">
        <v>1.0653873256510904E-3</v>
      </c>
      <c r="S127" s="502"/>
      <c r="T127" s="219">
        <f t="shared" si="13"/>
        <v>29.448921743588457</v>
      </c>
      <c r="U127" s="249">
        <f>U126+(T126*R127*'life-tables-test'!$C$66)</f>
        <v>70.551078256411543</v>
      </c>
      <c r="V127" s="516">
        <f t="shared" si="10"/>
        <v>100</v>
      </c>
      <c r="W127" s="153">
        <f>(T127*0)/(1+cDR)^'Markov Model_SA1'!cycle2</f>
        <v>0</v>
      </c>
      <c r="X127" s="178">
        <f t="shared" si="11"/>
        <v>29.448921743588457</v>
      </c>
      <c r="Y127" s="202">
        <f>(T127*(uPostT))/(1+oDR)^'Markov Model_SA1'!cycle</f>
        <v>16.71130551577934</v>
      </c>
      <c r="Z127" s="80"/>
      <c r="AA127" s="3"/>
      <c r="AB127" s="3"/>
      <c r="AC127" s="14">
        <v>115</v>
      </c>
      <c r="AD127" s="14"/>
      <c r="AE127" s="14"/>
      <c r="AF127" s="3"/>
      <c r="AG127" s="3"/>
      <c r="AH127" s="3"/>
      <c r="AI127" s="14"/>
      <c r="AJ127" s="14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</row>
    <row r="128" spans="1:60" ht="14.25" customHeight="1" x14ac:dyDescent="0.2">
      <c r="A128" s="637"/>
      <c r="B128" s="417"/>
      <c r="C128" s="173">
        <v>118</v>
      </c>
      <c r="D128" s="165"/>
      <c r="E128" s="174">
        <v>1.0653873256510904E-3</v>
      </c>
      <c r="F128" s="502"/>
      <c r="G128" s="219">
        <f t="shared" si="9"/>
        <v>31.091691442348008</v>
      </c>
      <c r="H128" s="249">
        <f>H127+(G127*E128*'life-tables-test'!$C$66)</f>
        <v>68.908308557651992</v>
      </c>
      <c r="I128" s="516">
        <f t="shared" si="12"/>
        <v>100</v>
      </c>
      <c r="J128" s="153">
        <f>(G128*0)/(1+cDR)^'Markov Model_SA1'!cycle</f>
        <v>0</v>
      </c>
      <c r="K128" s="178">
        <f t="shared" si="8"/>
        <v>31.091691442348008</v>
      </c>
      <c r="L128" s="202">
        <f>(G128*(uPostT))/(1+oDR)^'Markov Model_SA1'!cycle</f>
        <v>17.599525090099544</v>
      </c>
      <c r="M128" s="80"/>
      <c r="N128" s="3"/>
      <c r="O128" s="80"/>
      <c r="P128" s="173">
        <v>118</v>
      </c>
      <c r="Q128" s="165"/>
      <c r="R128" s="174">
        <v>1.0653873256510904E-3</v>
      </c>
      <c r="S128" s="502"/>
      <c r="T128" s="219">
        <f t="shared" si="13"/>
        <v>29.292049203689913</v>
      </c>
      <c r="U128" s="249">
        <f>U127+(T127*R128*'life-tables-test'!$C$66)</f>
        <v>70.707950796310087</v>
      </c>
      <c r="V128" s="516">
        <f t="shared" si="10"/>
        <v>100</v>
      </c>
      <c r="W128" s="153">
        <f>(T128*0)/(1+cDR)^'Markov Model_SA1'!cycle2</f>
        <v>0</v>
      </c>
      <c r="X128" s="178">
        <f t="shared" si="11"/>
        <v>29.292049203689913</v>
      </c>
      <c r="Y128" s="202">
        <f>(T128*(uPostT))/(1+oDR)^'Markov Model_SA1'!cycle</f>
        <v>16.580833366904113</v>
      </c>
      <c r="Z128" s="80"/>
      <c r="AA128" s="3"/>
      <c r="AB128" s="3"/>
      <c r="AC128" s="14">
        <v>116</v>
      </c>
      <c r="AD128" s="14"/>
      <c r="AE128" s="14"/>
      <c r="AF128" s="3"/>
      <c r="AG128" s="3"/>
      <c r="AH128" s="3"/>
      <c r="AI128" s="14"/>
      <c r="AJ128" s="14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</row>
    <row r="129" spans="1:60" ht="14.25" customHeight="1" x14ac:dyDescent="0.2">
      <c r="A129" s="637"/>
      <c r="B129" s="417"/>
      <c r="C129" s="173">
        <v>119</v>
      </c>
      <c r="D129" s="165"/>
      <c r="E129" s="174">
        <v>1.0653873256510904E-3</v>
      </c>
      <c r="F129" s="502"/>
      <c r="G129" s="219">
        <f t="shared" si="9"/>
        <v>30.926067972369353</v>
      </c>
      <c r="H129" s="249">
        <f>H128+(G128*E129*'life-tables-test'!$C$66)</f>
        <v>69.073932027630647</v>
      </c>
      <c r="I129" s="516">
        <f t="shared" si="12"/>
        <v>100</v>
      </c>
      <c r="J129" s="153">
        <f>(G129*0)/(1+cDR)^'Markov Model_SA1'!cycle</f>
        <v>0</v>
      </c>
      <c r="K129" s="178">
        <f t="shared" si="8"/>
        <v>30.926067972369353</v>
      </c>
      <c r="L129" s="202">
        <f>(G129*(uPostT))/(1+oDR)^'Markov Model_SA1'!cycle</f>
        <v>17.462118239658047</v>
      </c>
      <c r="M129" s="80"/>
      <c r="N129" s="3"/>
      <c r="O129" s="80"/>
      <c r="P129" s="173">
        <v>119</v>
      </c>
      <c r="Q129" s="165"/>
      <c r="R129" s="174">
        <v>1.0653873256510904E-3</v>
      </c>
      <c r="S129" s="502"/>
      <c r="T129" s="219">
        <f t="shared" si="13"/>
        <v>29.136012313870111</v>
      </c>
      <c r="U129" s="249">
        <f>U128+(T128*R129*'life-tables-test'!$C$66)</f>
        <v>70.863987686129889</v>
      </c>
      <c r="V129" s="516">
        <f t="shared" si="10"/>
        <v>100</v>
      </c>
      <c r="W129" s="153">
        <f>(T129*0)/(1+cDR)^'Markov Model_SA1'!cycle2</f>
        <v>0</v>
      </c>
      <c r="X129" s="178">
        <f t="shared" si="11"/>
        <v>29.136012313870111</v>
      </c>
      <c r="Y129" s="202">
        <f>(T129*(uPostT))/(1+oDR)^'Markov Model_SA1'!cycle</f>
        <v>16.451379868643343</v>
      </c>
      <c r="Z129" s="80"/>
      <c r="AA129" s="3"/>
      <c r="AB129" s="3"/>
      <c r="AC129" s="14">
        <v>117</v>
      </c>
      <c r="AD129" s="14"/>
      <c r="AE129" s="14"/>
      <c r="AF129" s="3"/>
      <c r="AG129" s="3"/>
      <c r="AH129" s="3"/>
      <c r="AI129" s="14"/>
      <c r="AJ129" s="14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</row>
    <row r="130" spans="1:60" ht="14.25" customHeight="1" x14ac:dyDescent="0.2">
      <c r="A130" s="637"/>
      <c r="B130" s="417"/>
      <c r="C130" s="173">
        <v>120</v>
      </c>
      <c r="D130" s="165"/>
      <c r="E130" s="174">
        <v>1.0653873256510904E-3</v>
      </c>
      <c r="F130" s="502"/>
      <c r="G130" s="219">
        <f t="shared" si="9"/>
        <v>30.761326768119417</v>
      </c>
      <c r="H130" s="249">
        <f>H129+(G129*E130*'life-tables-test'!$C$66)</f>
        <v>69.238673231880583</v>
      </c>
      <c r="I130" s="516">
        <f t="shared" si="12"/>
        <v>100</v>
      </c>
      <c r="J130" s="153">
        <f>(G130*0)/(1+cDR)^'Markov Model_SA1'!cycle</f>
        <v>0</v>
      </c>
      <c r="K130" s="178">
        <f t="shared" si="8"/>
        <v>30.761326768119417</v>
      </c>
      <c r="L130" s="202">
        <f>(G130*(uPostT))/(1+oDR)^'Markov Model_SA1'!cycle</f>
        <v>17.325784181945423</v>
      </c>
      <c r="M130" s="80"/>
      <c r="N130" s="3"/>
      <c r="O130" s="80"/>
      <c r="P130" s="173">
        <v>120</v>
      </c>
      <c r="Q130" s="165"/>
      <c r="R130" s="174">
        <v>1.0653873256510904E-3</v>
      </c>
      <c r="S130" s="502"/>
      <c r="T130" s="219">
        <f t="shared" si="13"/>
        <v>28.980806622674052</v>
      </c>
      <c r="U130" s="249">
        <f>U129+(T129*R130*'life-tables-test'!$C$66)</f>
        <v>71.019193377325948</v>
      </c>
      <c r="V130" s="516">
        <f t="shared" si="10"/>
        <v>100</v>
      </c>
      <c r="W130" s="153">
        <f>(T130*0)/(1+cDR)^'Markov Model_SA1'!cycle2</f>
        <v>0</v>
      </c>
      <c r="X130" s="178">
        <f t="shared" si="11"/>
        <v>28.980806622674052</v>
      </c>
      <c r="Y130" s="202">
        <f>(T130*(uPostT))/(1+oDR)^'Markov Model_SA1'!cycle</f>
        <v>16.322937067965807</v>
      </c>
      <c r="Z130" s="80"/>
      <c r="AA130" s="3"/>
      <c r="AB130" s="3"/>
      <c r="AC130" s="14">
        <v>118</v>
      </c>
      <c r="AD130" s="14"/>
      <c r="AE130" s="14"/>
      <c r="AF130" s="3"/>
      <c r="AG130" s="3"/>
      <c r="AH130" s="3"/>
      <c r="AI130" s="14"/>
      <c r="AJ130" s="14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</row>
    <row r="131" spans="1:60" ht="14.25" customHeight="1" x14ac:dyDescent="0.2">
      <c r="A131" s="606"/>
      <c r="B131" s="417"/>
      <c r="C131" s="173">
        <v>121</v>
      </c>
      <c r="D131" s="504"/>
      <c r="E131" s="174">
        <v>1.0653873256510904E-3</v>
      </c>
      <c r="F131" s="505"/>
      <c r="G131" s="219">
        <f t="shared" si="9"/>
        <v>30.59746312982459</v>
      </c>
      <c r="H131" s="249">
        <f>H130+(G130*E131*'life-tables-test'!$C$66)</f>
        <v>69.40253687017541</v>
      </c>
      <c r="I131" s="516">
        <f t="shared" si="12"/>
        <v>100</v>
      </c>
      <c r="J131" s="180">
        <f>(G131*0)/(1+cDR)^'Markov Model_SA1'!cycle</f>
        <v>0</v>
      </c>
      <c r="K131" s="176">
        <f t="shared" si="8"/>
        <v>30.59746312982459</v>
      </c>
      <c r="L131" s="202">
        <f>(G131*(uPostT))/(1+oDR)^'Markov Model_SA1'!cycle</f>
        <v>17.190514541220317</v>
      </c>
      <c r="M131" s="80"/>
      <c r="N131" s="3"/>
      <c r="O131" s="80"/>
      <c r="P131" s="173">
        <v>121</v>
      </c>
      <c r="Q131" s="504"/>
      <c r="R131" s="174">
        <v>1.0653873256510904E-3</v>
      </c>
      <c r="S131" s="505"/>
      <c r="T131" s="219">
        <f t="shared" si="13"/>
        <v>28.826427702359339</v>
      </c>
      <c r="U131" s="249">
        <f>U130+(T130*R131*'life-tables-test'!$C$66)</f>
        <v>71.173572297640661</v>
      </c>
      <c r="V131" s="516">
        <f t="shared" si="10"/>
        <v>100</v>
      </c>
      <c r="W131" s="180">
        <f>(T131*0)/(1+cDR)^'Markov Model_SA1'!cycle2</f>
        <v>0</v>
      </c>
      <c r="X131" s="176">
        <f t="shared" si="11"/>
        <v>28.826427702359339</v>
      </c>
      <c r="Y131" s="202">
        <f>(T131*(uPostT))/(1+oDR)^'Markov Model_SA1'!cycle</f>
        <v>16.195497073932916</v>
      </c>
      <c r="Z131" s="80"/>
      <c r="AA131" s="3"/>
      <c r="AB131" s="3"/>
      <c r="AC131" s="14">
        <v>119</v>
      </c>
      <c r="AD131" s="14"/>
      <c r="AE131" s="14"/>
      <c r="AF131" s="3"/>
      <c r="AG131" s="3"/>
      <c r="AH131" s="3"/>
      <c r="AI131" s="14"/>
      <c r="AJ131" s="14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</row>
    <row r="132" spans="1:60" ht="14.25" customHeight="1" x14ac:dyDescent="0.25">
      <c r="A132" s="637" t="s">
        <v>552</v>
      </c>
      <c r="B132" s="417"/>
      <c r="C132" s="506">
        <v>122</v>
      </c>
      <c r="D132" s="506"/>
      <c r="E132" s="507">
        <v>1.0653873256510904E-3</v>
      </c>
      <c r="F132" s="508"/>
      <c r="G132" s="509">
        <f t="shared" si="9"/>
        <v>30.434472382746634</v>
      </c>
      <c r="H132" s="510">
        <f>H131+(G131*E132*'life-tables-test'!$C$66)</f>
        <v>69.565527617253366</v>
      </c>
      <c r="I132" s="518">
        <f t="shared" si="12"/>
        <v>100</v>
      </c>
      <c r="J132" s="511">
        <f>(G132*0)/(1+cDR)^'Markov Model_SA1'!cycle</f>
        <v>0</v>
      </c>
      <c r="K132" s="512">
        <f t="shared" si="8"/>
        <v>30.434472382746634</v>
      </c>
      <c r="L132" s="513">
        <f>(G132*(uPostT))/(1+oDR)^'Markov Model_SA1'!cycle</f>
        <v>17.056301007134298</v>
      </c>
      <c r="M132" s="80"/>
      <c r="N132" s="3"/>
      <c r="O132" s="80"/>
      <c r="P132" s="506">
        <v>122</v>
      </c>
      <c r="Q132" s="506"/>
      <c r="R132" s="507">
        <v>1.0653873256510904E-3</v>
      </c>
      <c r="S132" s="508"/>
      <c r="T132" s="509">
        <f t="shared" si="13"/>
        <v>28.672871148769886</v>
      </c>
      <c r="U132" s="510">
        <f>U131+(T131*R132*'life-tables-test'!$C$66)</f>
        <v>71.327128851230114</v>
      </c>
      <c r="V132" s="518">
        <f t="shared" si="10"/>
        <v>100</v>
      </c>
      <c r="W132" s="511">
        <f>(T132*0)/(1+cDR)^'Markov Model_SA1'!cycle2</f>
        <v>0</v>
      </c>
      <c r="X132" s="512">
        <f t="shared" si="11"/>
        <v>28.672871148769886</v>
      </c>
      <c r="Y132" s="513">
        <f>(T132*(uPostT))/(1+oDR)^'Markov Model_SA1'!cycle</f>
        <v>16.069052057213948</v>
      </c>
      <c r="Z132" s="80"/>
      <c r="AA132" s="3"/>
      <c r="AB132" s="3"/>
      <c r="AC132" s="14">
        <v>120</v>
      </c>
      <c r="AD132" s="14"/>
      <c r="AE132" s="14"/>
      <c r="AF132" s="3"/>
      <c r="AG132" s="3"/>
      <c r="AH132" s="3"/>
      <c r="AI132" s="14"/>
      <c r="AJ132" s="14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</row>
    <row r="133" spans="1:60" ht="14.25" customHeight="1" x14ac:dyDescent="0.2">
      <c r="A133" s="637"/>
      <c r="B133" s="417"/>
      <c r="C133" s="173">
        <v>123</v>
      </c>
      <c r="D133" s="165"/>
      <c r="E133" s="174">
        <v>1.1422318973278722E-3</v>
      </c>
      <c r="F133" s="502"/>
      <c r="G133" s="219">
        <f t="shared" si="9"/>
        <v>30.260656257077045</v>
      </c>
      <c r="H133" s="249">
        <f>H132+(G132*E133*'life-tables-test'!$C$66)</f>
        <v>69.739343742922955</v>
      </c>
      <c r="I133" s="516">
        <f t="shared" si="12"/>
        <v>100</v>
      </c>
      <c r="J133" s="153">
        <f>(G133*0)/(1+cDR)^'Markov Model_SA1'!cycle</f>
        <v>0</v>
      </c>
      <c r="K133" s="178">
        <f t="shared" si="8"/>
        <v>30.260656257077045</v>
      </c>
      <c r="L133" s="202">
        <f>(G133*(uPostT))/(1+oDR)^'Markov Model_SA1'!cycle</f>
        <v>16.91659825618995</v>
      </c>
      <c r="M133" s="80"/>
      <c r="N133" s="3"/>
      <c r="O133" s="80"/>
      <c r="P133" s="173">
        <v>123</v>
      </c>
      <c r="Q133" s="165"/>
      <c r="R133" s="174">
        <v>1.1422318973278722E-3</v>
      </c>
      <c r="S133" s="502"/>
      <c r="T133" s="219">
        <f t="shared" si="13"/>
        <v>28.509115808699406</v>
      </c>
      <c r="U133" s="249">
        <f>U132+(T132*R133*'life-tables-test'!$C$66)</f>
        <v>71.490884191300594</v>
      </c>
      <c r="V133" s="516">
        <f t="shared" si="10"/>
        <v>100</v>
      </c>
      <c r="W133" s="153">
        <f>(T133*0)/(1+cDR)^'Markov Model_SA1'!cycle2</f>
        <v>0</v>
      </c>
      <c r="X133" s="178">
        <f t="shared" si="11"/>
        <v>28.509115808699406</v>
      </c>
      <c r="Y133" s="202">
        <f>(T133*(uPostT))/(1+oDR)^'Markov Model_SA1'!cycle</f>
        <v>15.937435549242982</v>
      </c>
      <c r="Z133" s="80"/>
      <c r="AA133" s="3"/>
      <c r="AB133" s="3"/>
      <c r="AC133" s="14">
        <v>121</v>
      </c>
      <c r="AD133" s="14"/>
      <c r="AE133" s="14"/>
      <c r="AF133" s="3"/>
      <c r="AG133" s="3"/>
      <c r="AH133" s="3"/>
      <c r="AI133" s="14"/>
      <c r="AJ133" s="14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</row>
    <row r="134" spans="1:60" ht="14.25" customHeight="1" x14ac:dyDescent="0.2">
      <c r="A134" s="637"/>
      <c r="B134" s="417"/>
      <c r="C134" s="173">
        <v>124</v>
      </c>
      <c r="D134" s="165"/>
      <c r="E134" s="174">
        <v>1.1422318973278722E-3</v>
      </c>
      <c r="F134" s="502"/>
      <c r="G134" s="219">
        <f t="shared" si="9"/>
        <v>30.087832823022509</v>
      </c>
      <c r="H134" s="249">
        <f>H133+(G133*E134*'life-tables-test'!$C$66)</f>
        <v>69.912167176977491</v>
      </c>
      <c r="I134" s="516">
        <f t="shared" si="12"/>
        <v>100</v>
      </c>
      <c r="J134" s="153">
        <f>(G134*0)/(1+cDR)^'Markov Model_SA1'!cycle</f>
        <v>0</v>
      </c>
      <c r="K134" s="178">
        <f t="shared" si="8"/>
        <v>30.087832823022509</v>
      </c>
      <c r="L134" s="202">
        <f>(G134*(uPostT))/(1+oDR)^'Markov Model_SA1'!cycle</f>
        <v>16.778039766162046</v>
      </c>
      <c r="M134" s="80"/>
      <c r="N134" s="3"/>
      <c r="O134" s="80"/>
      <c r="P134" s="173">
        <v>124</v>
      </c>
      <c r="Q134" s="165"/>
      <c r="R134" s="174">
        <v>1.1422318973278722E-3</v>
      </c>
      <c r="S134" s="502"/>
      <c r="T134" s="219">
        <f t="shared" si="13"/>
        <v>28.346295701492849</v>
      </c>
      <c r="U134" s="249">
        <f>U133+(T133*R134*'life-tables-test'!$C$66)</f>
        <v>71.653704298507151</v>
      </c>
      <c r="V134" s="516">
        <f t="shared" si="10"/>
        <v>100</v>
      </c>
      <c r="W134" s="153">
        <f>(T134*0)/(1+cDR)^'Markov Model_SA1'!cycle2</f>
        <v>0</v>
      </c>
      <c r="X134" s="178">
        <f t="shared" si="11"/>
        <v>28.346295701492849</v>
      </c>
      <c r="Y134" s="202">
        <f>(T134*(uPostT))/(1+oDR)^'Markov Model_SA1'!cycle</f>
        <v>15.806897070337376</v>
      </c>
      <c r="Z134" s="80"/>
      <c r="AA134" s="3"/>
      <c r="AB134" s="3"/>
      <c r="AC134" s="14">
        <v>122</v>
      </c>
      <c r="AD134" s="14"/>
      <c r="AE134" s="14"/>
      <c r="AF134" s="3"/>
      <c r="AG134" s="3"/>
      <c r="AH134" s="3"/>
      <c r="AI134" s="14"/>
      <c r="AJ134" s="14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</row>
    <row r="135" spans="1:60" ht="14.25" customHeight="1" x14ac:dyDescent="0.2">
      <c r="A135" s="637"/>
      <c r="B135" s="417"/>
      <c r="C135" s="173">
        <v>125</v>
      </c>
      <c r="D135" s="165"/>
      <c r="E135" s="174">
        <v>1.1422318973278722E-3</v>
      </c>
      <c r="F135" s="502"/>
      <c r="G135" s="219">
        <f t="shared" si="9"/>
        <v>29.91599641116288</v>
      </c>
      <c r="H135" s="249">
        <f>H134+(G134*E135*'life-tables-test'!$C$66)</f>
        <v>70.08400358883712</v>
      </c>
      <c r="I135" s="516">
        <f t="shared" si="12"/>
        <v>100</v>
      </c>
      <c r="J135" s="153">
        <f>(G135*0)/(1+cDR)^'Markov Model_SA1'!cycle</f>
        <v>0</v>
      </c>
      <c r="K135" s="178">
        <f t="shared" si="8"/>
        <v>29.91599641116288</v>
      </c>
      <c r="L135" s="202">
        <f>(G135*(uPostT))/(1+oDR)^'Markov Model_SA1'!cycle</f>
        <v>16.640616164772378</v>
      </c>
      <c r="M135" s="80"/>
      <c r="N135" s="3"/>
      <c r="O135" s="80"/>
      <c r="P135" s="173">
        <v>125</v>
      </c>
      <c r="Q135" s="165"/>
      <c r="R135" s="174">
        <v>1.1422318973278722E-3</v>
      </c>
      <c r="S135" s="502"/>
      <c r="T135" s="219">
        <f t="shared" si="13"/>
        <v>28.184405485886188</v>
      </c>
      <c r="U135" s="249">
        <f>U134+(T134*R135*'life-tables-test'!$C$66)</f>
        <v>71.815594514113812</v>
      </c>
      <c r="V135" s="516">
        <f t="shared" si="10"/>
        <v>100</v>
      </c>
      <c r="W135" s="153">
        <f>(T135*0)/(1+cDR)^'Markov Model_SA1'!cycle2</f>
        <v>0</v>
      </c>
      <c r="X135" s="178">
        <f t="shared" si="11"/>
        <v>28.184405485886188</v>
      </c>
      <c r="Y135" s="202">
        <f>(T135*(uPostT))/(1+oDR)^'Markov Model_SA1'!cycle</f>
        <v>15.677427790703028</v>
      </c>
      <c r="Z135" s="80"/>
      <c r="AA135" s="3"/>
      <c r="AB135" s="3"/>
      <c r="AC135" s="14">
        <v>123</v>
      </c>
      <c r="AD135" s="14"/>
      <c r="AE135" s="14"/>
      <c r="AF135" s="3"/>
      <c r="AG135" s="3"/>
      <c r="AH135" s="3"/>
      <c r="AI135" s="14"/>
      <c r="AJ135" s="14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</row>
    <row r="136" spans="1:60" ht="14.25" customHeight="1" x14ac:dyDescent="0.2">
      <c r="A136" s="637"/>
      <c r="B136" s="417"/>
      <c r="C136" s="173">
        <v>126</v>
      </c>
      <c r="D136" s="165"/>
      <c r="E136" s="174">
        <v>1.1422318973278722E-3</v>
      </c>
      <c r="F136" s="502"/>
      <c r="G136" s="219">
        <f t="shared" si="9"/>
        <v>29.745141384457</v>
      </c>
      <c r="H136" s="249">
        <f>H135+(G135*E136*'life-tables-test'!$C$66)</f>
        <v>70.254858615543</v>
      </c>
      <c r="I136" s="516">
        <f t="shared" si="12"/>
        <v>100</v>
      </c>
      <c r="J136" s="153">
        <f>(G136*0)/(1+cDR)^'Markov Model_SA1'!cycle</f>
        <v>0</v>
      </c>
      <c r="K136" s="178">
        <f t="shared" si="8"/>
        <v>29.745141384457</v>
      </c>
      <c r="L136" s="202">
        <f>(G136*(uPostT))/(1+oDR)^'Markov Model_SA1'!cycle</f>
        <v>16.504318156508148</v>
      </c>
      <c r="M136" s="80"/>
      <c r="N136" s="3"/>
      <c r="O136" s="80"/>
      <c r="P136" s="173">
        <v>126</v>
      </c>
      <c r="Q136" s="165"/>
      <c r="R136" s="174">
        <v>1.1422318973278722E-3</v>
      </c>
      <c r="S136" s="502"/>
      <c r="T136" s="219">
        <f t="shared" si="13"/>
        <v>28.023439851120173</v>
      </c>
      <c r="U136" s="249">
        <f>U135+(T135*R136*'life-tables-test'!$C$66)</f>
        <v>71.976560148879827</v>
      </c>
      <c r="V136" s="516">
        <f t="shared" si="10"/>
        <v>100</v>
      </c>
      <c r="W136" s="153">
        <f>(T136*0)/(1+cDR)^'Markov Model_SA1'!cycle2</f>
        <v>0</v>
      </c>
      <c r="X136" s="178">
        <f t="shared" si="11"/>
        <v>28.023439851120173</v>
      </c>
      <c r="Y136" s="202">
        <f>(T136*(uPostT))/(1+oDR)^'Markov Model_SA1'!cycle</f>
        <v>15.549018952867881</v>
      </c>
      <c r="Z136" s="80"/>
      <c r="AA136" s="3"/>
      <c r="AB136" s="3"/>
      <c r="AC136" s="14">
        <v>124</v>
      </c>
      <c r="AD136" s="14"/>
      <c r="AE136" s="14"/>
      <c r="AF136" s="3"/>
      <c r="AG136" s="3"/>
      <c r="AH136" s="3"/>
      <c r="AI136" s="14"/>
      <c r="AJ136" s="14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</row>
    <row r="137" spans="1:60" ht="14.25" customHeight="1" x14ac:dyDescent="0.2">
      <c r="A137" s="637"/>
      <c r="B137" s="417"/>
      <c r="C137" s="173">
        <v>127</v>
      </c>
      <c r="D137" s="165"/>
      <c r="E137" s="174">
        <v>1.1422318973278722E-3</v>
      </c>
      <c r="F137" s="502"/>
      <c r="G137" s="219">
        <f t="shared" si="9"/>
        <v>29.575262138057724</v>
      </c>
      <c r="H137" s="249">
        <f>H136+(G136*E137*'life-tables-test'!$C$66)</f>
        <v>70.424737861942276</v>
      </c>
      <c r="I137" s="516">
        <f t="shared" si="12"/>
        <v>100</v>
      </c>
      <c r="J137" s="153">
        <f>(G137*0)/(1+cDR)^'Markov Model_SA1'!cycle</f>
        <v>0</v>
      </c>
      <c r="K137" s="178">
        <f t="shared" si="8"/>
        <v>29.575262138057724</v>
      </c>
      <c r="L137" s="202">
        <f>(G137*(uPostT))/(1+oDR)^'Markov Model_SA1'!cycle</f>
        <v>16.369136521993113</v>
      </c>
      <c r="M137" s="80"/>
      <c r="N137" s="3"/>
      <c r="O137" s="80"/>
      <c r="P137" s="173">
        <v>127</v>
      </c>
      <c r="Q137" s="165"/>
      <c r="R137" s="174">
        <v>1.1422318973278722E-3</v>
      </c>
      <c r="S137" s="502"/>
      <c r="T137" s="219">
        <f t="shared" si="13"/>
        <v>27.86339351676618</v>
      </c>
      <c r="U137" s="249">
        <f>U136+(T136*R137*'life-tables-test'!$C$66)</f>
        <v>72.13660648323382</v>
      </c>
      <c r="V137" s="516">
        <f t="shared" si="10"/>
        <v>100</v>
      </c>
      <c r="W137" s="153">
        <f>(T137*0)/(1+cDR)^'Markov Model_SA1'!cycle2</f>
        <v>0</v>
      </c>
      <c r="X137" s="178">
        <f t="shared" si="11"/>
        <v>27.86339351676618</v>
      </c>
      <c r="Y137" s="202">
        <f>(T137*(uPostT))/(1+oDR)^'Markov Model_SA1'!cycle</f>
        <v>15.421661871089556</v>
      </c>
      <c r="Z137" s="80"/>
      <c r="AA137" s="3"/>
      <c r="AB137" s="3"/>
      <c r="AC137" s="14">
        <v>125</v>
      </c>
      <c r="AD137" s="14"/>
      <c r="AE137" s="14"/>
      <c r="AF137" s="3"/>
      <c r="AG137" s="3"/>
      <c r="AH137" s="3"/>
      <c r="AI137" s="14"/>
      <c r="AJ137" s="14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</row>
    <row r="138" spans="1:60" ht="14.25" customHeight="1" x14ac:dyDescent="0.2">
      <c r="A138" s="637"/>
      <c r="B138" s="417"/>
      <c r="C138" s="173">
        <v>128</v>
      </c>
      <c r="D138" s="165"/>
      <c r="E138" s="174">
        <v>1.1422318973278722E-3</v>
      </c>
      <c r="F138" s="502"/>
      <c r="G138" s="219">
        <f t="shared" si="9"/>
        <v>29.406353099128111</v>
      </c>
      <c r="H138" s="249">
        <f>H137+(G137*E138*'life-tables-test'!$C$66)</f>
        <v>70.593646900871889</v>
      </c>
      <c r="I138" s="516">
        <f t="shared" si="12"/>
        <v>100</v>
      </c>
      <c r="J138" s="153">
        <f>(G138*0)/(1+cDR)^'Markov Model_SA1'!cycle</f>
        <v>0</v>
      </c>
      <c r="K138" s="178">
        <f t="shared" si="8"/>
        <v>29.406353099128111</v>
      </c>
      <c r="L138" s="202">
        <f>(G138*(uPostT))/(1+oDR)^'Markov Model_SA1'!cycle</f>
        <v>16.235062117364023</v>
      </c>
      <c r="M138" s="80"/>
      <c r="N138" s="3"/>
      <c r="O138" s="80"/>
      <c r="P138" s="173">
        <v>128</v>
      </c>
      <c r="Q138" s="165"/>
      <c r="R138" s="174">
        <v>1.1422318973278722E-3</v>
      </c>
      <c r="S138" s="502"/>
      <c r="T138" s="219">
        <f t="shared" si="13"/>
        <v>27.704261232552938</v>
      </c>
      <c r="U138" s="249">
        <f>U137+(T137*R138*'life-tables-test'!$C$66)</f>
        <v>72.295738767447062</v>
      </c>
      <c r="V138" s="516">
        <f t="shared" si="10"/>
        <v>100</v>
      </c>
      <c r="W138" s="153">
        <f>(T138*0)/(1+cDR)^'Markov Model_SA1'!cycle2</f>
        <v>0</v>
      </c>
      <c r="X138" s="178">
        <f t="shared" si="11"/>
        <v>27.704261232552938</v>
      </c>
      <c r="Y138" s="202">
        <f>(T138*(uPostT))/(1+oDR)^'Markov Model_SA1'!cycle</f>
        <v>15.295347930767818</v>
      </c>
      <c r="Z138" s="80"/>
      <c r="AA138" s="3"/>
      <c r="AB138" s="3"/>
      <c r="AC138" s="14">
        <v>126</v>
      </c>
      <c r="AD138" s="14"/>
      <c r="AE138" s="14"/>
      <c r="AF138" s="3"/>
      <c r="AG138" s="3"/>
      <c r="AH138" s="3"/>
      <c r="AI138" s="14"/>
      <c r="AJ138" s="14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</row>
    <row r="139" spans="1:60" ht="14.25" customHeight="1" x14ac:dyDescent="0.2">
      <c r="A139" s="637"/>
      <c r="B139" s="417"/>
      <c r="C139" s="173">
        <v>129</v>
      </c>
      <c r="D139" s="165"/>
      <c r="E139" s="174">
        <v>1.1422318973278722E-3</v>
      </c>
      <c r="F139" s="502"/>
      <c r="G139" s="219">
        <f t="shared" si="9"/>
        <v>29.238408726658562</v>
      </c>
      <c r="H139" s="249">
        <f>H138+(G138*E139*'life-tables-test'!$C$66)</f>
        <v>70.761591273341438</v>
      </c>
      <c r="I139" s="516">
        <f t="shared" si="12"/>
        <v>100</v>
      </c>
      <c r="J139" s="153">
        <f>(G139*0)/(1+cDR)^'Markov Model_SA1'!cycle</f>
        <v>0</v>
      </c>
      <c r="K139" s="178">
        <f t="shared" si="8"/>
        <v>29.238408726658562</v>
      </c>
      <c r="L139" s="202">
        <f>(G139*(uPostT))/(1+oDR)^'Markov Model_SA1'!cycle</f>
        <v>16.102085873652133</v>
      </c>
      <c r="M139" s="80"/>
      <c r="N139" s="3"/>
      <c r="O139" s="80"/>
      <c r="P139" s="173">
        <v>129</v>
      </c>
      <c r="Q139" s="165"/>
      <c r="R139" s="174">
        <v>1.1422318973278722E-3</v>
      </c>
      <c r="S139" s="502"/>
      <c r="T139" s="219">
        <f t="shared" si="13"/>
        <v>27.546037778194304</v>
      </c>
      <c r="U139" s="249">
        <f>U138+(T138*R139*'life-tables-test'!$C$66)</f>
        <v>72.453962221805696</v>
      </c>
      <c r="V139" s="516">
        <f t="shared" si="10"/>
        <v>100</v>
      </c>
      <c r="W139" s="153">
        <f>(T139*0)/(1+cDR)^'Markov Model_SA1'!cycle2</f>
        <v>0</v>
      </c>
      <c r="X139" s="178">
        <f t="shared" si="11"/>
        <v>27.546037778194304</v>
      </c>
      <c r="Y139" s="202">
        <f>(T139*(uPostT))/(1+oDR)^'Markov Model_SA1'!cycle</f>
        <v>15.170068587861905</v>
      </c>
      <c r="Z139" s="80"/>
      <c r="AA139" s="3"/>
      <c r="AB139" s="3"/>
      <c r="AC139" s="14">
        <v>127</v>
      </c>
      <c r="AD139" s="14"/>
      <c r="AE139" s="14"/>
      <c r="AF139" s="3"/>
      <c r="AG139" s="3"/>
      <c r="AH139" s="3"/>
      <c r="AI139" s="14"/>
      <c r="AJ139" s="14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</row>
    <row r="140" spans="1:60" ht="14.25" customHeight="1" x14ac:dyDescent="0.2">
      <c r="A140" s="637"/>
      <c r="B140" s="417"/>
      <c r="C140" s="173">
        <v>130</v>
      </c>
      <c r="D140" s="165"/>
      <c r="E140" s="174">
        <v>1.1422318973278722E-3</v>
      </c>
      <c r="F140" s="502"/>
      <c r="G140" s="219">
        <f t="shared" ref="G140:G203" si="14">$G$10-H140</f>
        <v>29.071423511285062</v>
      </c>
      <c r="H140" s="249">
        <f>H139+(G139*E140*'life-tables-test'!$C$66)</f>
        <v>70.928576488714938</v>
      </c>
      <c r="I140" s="516">
        <f t="shared" si="12"/>
        <v>100</v>
      </c>
      <c r="J140" s="153">
        <f>(G140*0)/(1+cDR)^'Markov Model_SA1'!cycle</f>
        <v>0</v>
      </c>
      <c r="K140" s="178">
        <f t="shared" si="8"/>
        <v>29.071423511285062</v>
      </c>
      <c r="L140" s="202">
        <f>(G140*(uPostT))/(1+oDR)^'Markov Model_SA1'!cycle</f>
        <v>15.970198796169718</v>
      </c>
      <c r="M140" s="80"/>
      <c r="N140" s="3"/>
      <c r="O140" s="80"/>
      <c r="P140" s="173">
        <v>130</v>
      </c>
      <c r="Q140" s="165"/>
      <c r="R140" s="174">
        <v>1.1422318973278722E-3</v>
      </c>
      <c r="S140" s="502"/>
      <c r="T140" s="219">
        <f t="shared" si="13"/>
        <v>27.388717963218042</v>
      </c>
      <c r="U140" s="249">
        <f>U139+(T139*R140*'life-tables-test'!$C$66)</f>
        <v>72.611282036781958</v>
      </c>
      <c r="V140" s="516">
        <f t="shared" si="10"/>
        <v>100</v>
      </c>
      <c r="W140" s="153">
        <f>(T140*0)/(1+cDR)^'Markov Model_SA1'!cycle2</f>
        <v>0</v>
      </c>
      <c r="X140" s="178">
        <f t="shared" si="11"/>
        <v>27.388717963218042</v>
      </c>
      <c r="Y140" s="202">
        <f>(T140*(uPostT))/(1+oDR)^'Markov Model_SA1'!cycle</f>
        <v>15.045815368312587</v>
      </c>
      <c r="Z140" s="80"/>
      <c r="AA140" s="3"/>
      <c r="AB140" s="3"/>
      <c r="AC140" s="14">
        <v>128</v>
      </c>
      <c r="AD140" s="14"/>
      <c r="AE140" s="14"/>
      <c r="AF140" s="3"/>
      <c r="AG140" s="3"/>
      <c r="AH140" s="3"/>
      <c r="AI140" s="14"/>
      <c r="AJ140" s="14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</row>
    <row r="141" spans="1:60" ht="14.25" customHeight="1" x14ac:dyDescent="0.2">
      <c r="A141" s="637"/>
      <c r="B141" s="417"/>
      <c r="C141" s="173">
        <v>131</v>
      </c>
      <c r="D141" s="165"/>
      <c r="E141" s="174">
        <v>1.1422318973278722E-3</v>
      </c>
      <c r="F141" s="502"/>
      <c r="G141" s="219">
        <f t="shared" si="14"/>
        <v>28.905391975108472</v>
      </c>
      <c r="H141" s="249">
        <f>H140+(G140*E141*'life-tables-test'!$C$66)</f>
        <v>71.094608024891528</v>
      </c>
      <c r="I141" s="516">
        <f t="shared" si="12"/>
        <v>100</v>
      </c>
      <c r="J141" s="153">
        <f>(G141*0)/(1+cDR)^'Markov Model_SA1'!cycle</f>
        <v>0</v>
      </c>
      <c r="K141" s="178">
        <f t="shared" si="8"/>
        <v>28.905391975108472</v>
      </c>
      <c r="L141" s="202">
        <f>(G141*(uPostT))/(1+oDR)^'Markov Model_SA1'!cycle</f>
        <v>15.839391963901701</v>
      </c>
      <c r="M141" s="80"/>
      <c r="N141" s="3"/>
      <c r="O141" s="80"/>
      <c r="P141" s="173">
        <v>131</v>
      </c>
      <c r="Q141" s="165"/>
      <c r="R141" s="174">
        <v>1.1422318973278722E-3</v>
      </c>
      <c r="S141" s="502"/>
      <c r="T141" s="219">
        <f t="shared" si="13"/>
        <v>27.232296626795517</v>
      </c>
      <c r="U141" s="249">
        <f>U140+(T140*R141*'life-tables-test'!$C$66)</f>
        <v>72.767703373204483</v>
      </c>
      <c r="V141" s="516">
        <f t="shared" si="10"/>
        <v>100</v>
      </c>
      <c r="W141" s="153">
        <f>(T141*0)/(1+cDR)^'Markov Model_SA1'!cycle2</f>
        <v>0</v>
      </c>
      <c r="X141" s="178">
        <f t="shared" si="11"/>
        <v>27.232296626795517</v>
      </c>
      <c r="Y141" s="202">
        <f>(T141*(uPostT))/(1+oDR)^'Markov Model_SA1'!cycle</f>
        <v>14.922579867468954</v>
      </c>
      <c r="Z141" s="80"/>
      <c r="AA141" s="3"/>
      <c r="AB141" s="3"/>
      <c r="AC141" s="14">
        <v>129</v>
      </c>
      <c r="AD141" s="14"/>
      <c r="AE141" s="14"/>
      <c r="AF141" s="3"/>
      <c r="AG141" s="3"/>
      <c r="AH141" s="3"/>
      <c r="AI141" s="14"/>
      <c r="AJ141" s="14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</row>
    <row r="142" spans="1:60" ht="14.25" customHeight="1" x14ac:dyDescent="0.2">
      <c r="A142" s="637"/>
      <c r="B142" s="417"/>
      <c r="C142" s="173">
        <v>132</v>
      </c>
      <c r="D142" s="165"/>
      <c r="E142" s="174">
        <v>1.1422318973278722E-3</v>
      </c>
      <c r="F142" s="502"/>
      <c r="G142" s="219">
        <f t="shared" si="14"/>
        <v>28.740308671514796</v>
      </c>
      <c r="H142" s="249">
        <f>H141+(G141*E142*'life-tables-test'!$C$66)</f>
        <v>71.259691328485204</v>
      </c>
      <c r="I142" s="516">
        <f t="shared" si="12"/>
        <v>100</v>
      </c>
      <c r="J142" s="153">
        <f>(G142*0)/(1+cDR)^'Markov Model_SA1'!cycle</f>
        <v>0</v>
      </c>
      <c r="K142" s="178">
        <f t="shared" si="8"/>
        <v>28.740308671514796</v>
      </c>
      <c r="L142" s="202">
        <f>(G142*(uPostT))/(1+oDR)^'Markov Model_SA1'!cycle</f>
        <v>15.709656528902208</v>
      </c>
      <c r="M142" s="80"/>
      <c r="N142" s="3"/>
      <c r="O142" s="80"/>
      <c r="P142" s="173">
        <v>132</v>
      </c>
      <c r="Q142" s="165"/>
      <c r="R142" s="174">
        <v>1.1422318973278722E-3</v>
      </c>
      <c r="S142" s="502"/>
      <c r="T142" s="219">
        <f t="shared" si="13"/>
        <v>27.076768637572414</v>
      </c>
      <c r="U142" s="249">
        <f>U141+(T141*R142*'life-tables-test'!$C$66)</f>
        <v>72.923231362427586</v>
      </c>
      <c r="V142" s="516">
        <f t="shared" si="10"/>
        <v>100</v>
      </c>
      <c r="W142" s="153">
        <f>(T142*0)/(1+cDR)^'Markov Model_SA1'!cycle2</f>
        <v>0</v>
      </c>
      <c r="X142" s="178">
        <f t="shared" si="11"/>
        <v>27.076768637572414</v>
      </c>
      <c r="Y142" s="202">
        <f>(T142*(uPostT))/(1+oDR)^'Markov Model_SA1'!cycle</f>
        <v>14.800353749519923</v>
      </c>
      <c r="Z142" s="80"/>
      <c r="AA142" s="3"/>
      <c r="AB142" s="3"/>
      <c r="AC142" s="14">
        <v>130</v>
      </c>
      <c r="AD142" s="14"/>
      <c r="AE142" s="14"/>
      <c r="AF142" s="3"/>
      <c r="AG142" s="3"/>
      <c r="AH142" s="3"/>
      <c r="AI142" s="14"/>
      <c r="AJ142" s="14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</row>
    <row r="143" spans="1:60" ht="14.25" customHeight="1" x14ac:dyDescent="0.2">
      <c r="A143" s="606"/>
      <c r="B143" s="417"/>
      <c r="C143" s="173">
        <v>133</v>
      </c>
      <c r="D143" s="504"/>
      <c r="E143" s="174">
        <v>1.1422318973278722E-3</v>
      </c>
      <c r="F143" s="505"/>
      <c r="G143" s="219">
        <f t="shared" si="14"/>
        <v>28.576168184996533</v>
      </c>
      <c r="H143" s="249">
        <f>H142+(G142*E143*'life-tables-test'!$C$66)</f>
        <v>71.423831815003467</v>
      </c>
      <c r="I143" s="516">
        <f t="shared" si="12"/>
        <v>100</v>
      </c>
      <c r="J143" s="180">
        <f>(G143*0)/(1+cDR)^'Markov Model_SA1'!cycle</f>
        <v>0</v>
      </c>
      <c r="K143" s="176">
        <f t="shared" si="8"/>
        <v>28.576168184996533</v>
      </c>
      <c r="L143" s="202">
        <f>(G143*(uPostT))/(1+oDR)^'Markov Model_SA1'!cycle</f>
        <v>15.580983715696082</v>
      </c>
      <c r="M143" s="80"/>
      <c r="N143" s="3"/>
      <c r="O143" s="80"/>
      <c r="P143" s="173">
        <v>133</v>
      </c>
      <c r="Q143" s="504"/>
      <c r="R143" s="174">
        <v>1.1422318973278722E-3</v>
      </c>
      <c r="S143" s="505"/>
      <c r="T143" s="219">
        <f t="shared" si="13"/>
        <v>26.9221288935004</v>
      </c>
      <c r="U143" s="249">
        <f>U142+(T142*R143*'life-tables-test'!$C$66)</f>
        <v>73.0778711064996</v>
      </c>
      <c r="V143" s="516">
        <f t="shared" si="10"/>
        <v>100</v>
      </c>
      <c r="W143" s="180">
        <f>(T143*0)/(1+cDR)^'Markov Model_SA1'!cycle2</f>
        <v>0</v>
      </c>
      <c r="X143" s="176">
        <f t="shared" si="11"/>
        <v>26.9221288935004</v>
      </c>
      <c r="Y143" s="202">
        <f>(T143*(uPostT))/(1+oDR)^'Markov Model_SA1'!cycle</f>
        <v>14.679128746930406</v>
      </c>
      <c r="Z143" s="80"/>
      <c r="AA143" s="3"/>
      <c r="AB143" s="3"/>
      <c r="AC143" s="14">
        <v>131</v>
      </c>
      <c r="AD143" s="14"/>
      <c r="AE143" s="14"/>
      <c r="AF143" s="3"/>
      <c r="AG143" s="3"/>
      <c r="AH143" s="3"/>
      <c r="AI143" s="14"/>
      <c r="AJ143" s="14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</row>
    <row r="144" spans="1:60" ht="14.25" customHeight="1" x14ac:dyDescent="0.25">
      <c r="A144" s="637" t="s">
        <v>553</v>
      </c>
      <c r="B144" s="417"/>
      <c r="C144" s="506">
        <v>134</v>
      </c>
      <c r="D144" s="506"/>
      <c r="E144" s="507">
        <v>1.1422318973278722E-3</v>
      </c>
      <c r="F144" s="508"/>
      <c r="G144" s="509">
        <f t="shared" si="14"/>
        <v>28.412965130974982</v>
      </c>
      <c r="H144" s="510">
        <f>H143+(G143*E144*'life-tables-test'!$C$66)</f>
        <v>71.587034869025018</v>
      </c>
      <c r="I144" s="518">
        <f t="shared" si="12"/>
        <v>100</v>
      </c>
      <c r="J144" s="511">
        <f>(G144*0)/(1+cDR)^'Markov Model_SA1'!cycle</f>
        <v>0</v>
      </c>
      <c r="K144" s="512">
        <f t="shared" si="8"/>
        <v>28.412965130974982</v>
      </c>
      <c r="L144" s="513">
        <f>(G144*(uPostT))/(1+oDR)^'Markov Model_SA1'!cycle</f>
        <v>15.453364820685298</v>
      </c>
      <c r="M144" s="80"/>
      <c r="N144" s="3"/>
      <c r="O144" s="80"/>
      <c r="P144" s="506">
        <v>134</v>
      </c>
      <c r="Q144" s="506"/>
      <c r="R144" s="507">
        <v>1.1422318973278722E-3</v>
      </c>
      <c r="S144" s="508"/>
      <c r="T144" s="509">
        <f t="shared" si="13"/>
        <v>26.768372321669759</v>
      </c>
      <c r="U144" s="510">
        <f>U143+(T143*R144*'life-tables-test'!$C$66)</f>
        <v>73.231627678330241</v>
      </c>
      <c r="V144" s="518">
        <f t="shared" si="10"/>
        <v>100</v>
      </c>
      <c r="W144" s="511">
        <f>(T144*0)/(1+cDR)^'Markov Model_SA1'!cycle2</f>
        <v>0</v>
      </c>
      <c r="X144" s="512">
        <f t="shared" si="11"/>
        <v>26.768372321669759</v>
      </c>
      <c r="Y144" s="513">
        <f>(T144*(uPostT))/(1+oDR)^'Markov Model_SA1'!cycle</f>
        <v>14.558896659882073</v>
      </c>
      <c r="Z144" s="80"/>
      <c r="AA144" s="3"/>
      <c r="AB144" s="3"/>
      <c r="AC144" s="14">
        <v>132</v>
      </c>
      <c r="AD144" s="14"/>
      <c r="AE144" s="14"/>
      <c r="AF144" s="3"/>
      <c r="AG144" s="3"/>
      <c r="AH144" s="3"/>
      <c r="AI144" s="14"/>
      <c r="AJ144" s="14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</row>
    <row r="145" spans="1:60" ht="14.25" customHeight="1" x14ac:dyDescent="0.2">
      <c r="A145" s="637"/>
      <c r="B145" s="417"/>
      <c r="C145" s="173">
        <v>135</v>
      </c>
      <c r="D145" s="165"/>
      <c r="E145" s="174">
        <v>1.226574259157398E-3</v>
      </c>
      <c r="F145" s="502"/>
      <c r="G145" s="219">
        <f t="shared" si="14"/>
        <v>28.238712072695023</v>
      </c>
      <c r="H145" s="249">
        <f>H144+(G144*E145*'life-tables-test'!$C$66)</f>
        <v>71.761287927304977</v>
      </c>
      <c r="I145" s="516">
        <f t="shared" si="12"/>
        <v>100</v>
      </c>
      <c r="J145" s="153">
        <f>(G145*0)/(1+cDR)^'Markov Model_SA1'!cycle</f>
        <v>0</v>
      </c>
      <c r="K145" s="178">
        <f t="shared" si="8"/>
        <v>28.238712072695023</v>
      </c>
      <c r="L145" s="202">
        <f>(G145*(uPostT))/(1+oDR)^'Markov Model_SA1'!cycle</f>
        <v>15.320290596661536</v>
      </c>
      <c r="M145" s="80"/>
      <c r="N145" s="3"/>
      <c r="O145" s="80"/>
      <c r="P145" s="173">
        <v>135</v>
      </c>
      <c r="Q145" s="165"/>
      <c r="R145" s="174">
        <v>1.226574259157398E-3</v>
      </c>
      <c r="S145" s="502"/>
      <c r="T145" s="219">
        <f t="shared" si="13"/>
        <v>26.604205339423245</v>
      </c>
      <c r="U145" s="249">
        <f>U144+(T144*R145*'life-tables-test'!$C$66)</f>
        <v>73.395794660576755</v>
      </c>
      <c r="V145" s="516">
        <f t="shared" si="10"/>
        <v>100</v>
      </c>
      <c r="W145" s="153">
        <f>(T145*0)/(1+cDR)^'Markov Model_SA1'!cycle2</f>
        <v>0</v>
      </c>
      <c r="X145" s="178">
        <f t="shared" si="11"/>
        <v>26.604205339423245</v>
      </c>
      <c r="Y145" s="202">
        <f>(T145*(uPostT))/(1+oDR)^'Markov Model_SA1'!cycle</f>
        <v>14.433525007938504</v>
      </c>
      <c r="Z145" s="80"/>
      <c r="AA145" s="3"/>
      <c r="AB145" s="3"/>
      <c r="AC145" s="14">
        <v>133</v>
      </c>
      <c r="AD145" s="14"/>
      <c r="AE145" s="14"/>
      <c r="AF145" s="3"/>
      <c r="AG145" s="3"/>
      <c r="AH145" s="3"/>
      <c r="AI145" s="14"/>
      <c r="AJ145" s="14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</row>
    <row r="146" spans="1:60" ht="14.25" customHeight="1" x14ac:dyDescent="0.2">
      <c r="A146" s="637"/>
      <c r="B146" s="417"/>
      <c r="C146" s="173">
        <v>136</v>
      </c>
      <c r="D146" s="165"/>
      <c r="E146" s="174">
        <v>1.226574259157398E-3</v>
      </c>
      <c r="F146" s="502"/>
      <c r="G146" s="219">
        <f t="shared" si="14"/>
        <v>28.065527685994397</v>
      </c>
      <c r="H146" s="249">
        <f>H145+(G145*E146*'life-tables-test'!$C$66)</f>
        <v>71.934472314005603</v>
      </c>
      <c r="I146" s="516">
        <f t="shared" si="12"/>
        <v>100</v>
      </c>
      <c r="J146" s="153">
        <f>(G146*0)/(1+cDR)^'Markov Model_SA1'!cycle</f>
        <v>0</v>
      </c>
      <c r="K146" s="178">
        <f t="shared" si="8"/>
        <v>28.065527685994397</v>
      </c>
      <c r="L146" s="202">
        <f>(G146*(uPostT))/(1+oDR)^'Markov Model_SA1'!cycle</f>
        <v>15.188362320417109</v>
      </c>
      <c r="M146" s="80"/>
      <c r="N146" s="3"/>
      <c r="O146" s="80"/>
      <c r="P146" s="173">
        <v>136</v>
      </c>
      <c r="Q146" s="165"/>
      <c r="R146" s="174">
        <v>1.226574259157398E-3</v>
      </c>
      <c r="S146" s="502"/>
      <c r="T146" s="219">
        <f t="shared" si="13"/>
        <v>26.44104517214987</v>
      </c>
      <c r="U146" s="249">
        <f>U145+(T145*R146*'life-tables-test'!$C$66)</f>
        <v>73.55895482785013</v>
      </c>
      <c r="V146" s="516">
        <f t="shared" si="10"/>
        <v>100</v>
      </c>
      <c r="W146" s="153">
        <f>(T146*0)/(1+cDR)^'Markov Model_SA1'!cycle2</f>
        <v>0</v>
      </c>
      <c r="X146" s="178">
        <f t="shared" si="11"/>
        <v>26.44104517214987</v>
      </c>
      <c r="Y146" s="202">
        <f>(T146*(uPostT))/(1+oDR)^'Markov Model_SA1'!cycle</f>
        <v>14.309232974284578</v>
      </c>
      <c r="Z146" s="80"/>
      <c r="AA146" s="3"/>
      <c r="AB146" s="3"/>
      <c r="AC146" s="14">
        <v>134</v>
      </c>
      <c r="AD146" s="14"/>
      <c r="AE146" s="14"/>
      <c r="AF146" s="3"/>
      <c r="AG146" s="3"/>
      <c r="AH146" s="3"/>
      <c r="AI146" s="14"/>
      <c r="AJ146" s="14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</row>
    <row r="147" spans="1:60" ht="14.25" customHeight="1" x14ac:dyDescent="0.2">
      <c r="A147" s="637"/>
      <c r="B147" s="417"/>
      <c r="C147" s="173">
        <v>137</v>
      </c>
      <c r="D147" s="165"/>
      <c r="E147" s="174">
        <v>1.226574259157398E-3</v>
      </c>
      <c r="F147" s="502"/>
      <c r="G147" s="219">
        <f t="shared" si="14"/>
        <v>27.893405416847841</v>
      </c>
      <c r="H147" s="249">
        <f>H146+(G146*E147*'life-tables-test'!$C$66)</f>
        <v>72.106594583152159</v>
      </c>
      <c r="I147" s="516">
        <f t="shared" si="12"/>
        <v>100</v>
      </c>
      <c r="J147" s="153">
        <f>(G147*0)/(1+cDR)^'Markov Model_SA1'!cycle</f>
        <v>0</v>
      </c>
      <c r="K147" s="178">
        <f t="shared" si="8"/>
        <v>27.893405416847841</v>
      </c>
      <c r="L147" s="202">
        <f>(G147*(uPostT))/(1+oDR)^'Markov Model_SA1'!cycle</f>
        <v>15.0575701238027</v>
      </c>
      <c r="M147" s="80"/>
      <c r="N147" s="3"/>
      <c r="O147" s="80"/>
      <c r="P147" s="173">
        <v>137</v>
      </c>
      <c r="Q147" s="165"/>
      <c r="R147" s="174">
        <v>1.226574259157398E-3</v>
      </c>
      <c r="S147" s="502"/>
      <c r="T147" s="219">
        <f t="shared" si="13"/>
        <v>26.278885645182982</v>
      </c>
      <c r="U147" s="249">
        <f>U146+(T146*R147*'life-tables-test'!$C$66)</f>
        <v>73.721114354817018</v>
      </c>
      <c r="V147" s="516">
        <f t="shared" si="10"/>
        <v>100</v>
      </c>
      <c r="W147" s="153">
        <f>(T147*0)/(1+cDR)^'Markov Model_SA1'!cycle2</f>
        <v>0</v>
      </c>
      <c r="X147" s="178">
        <f t="shared" si="11"/>
        <v>26.278885645182982</v>
      </c>
      <c r="Y147" s="202">
        <f>(T147*(uPostT))/(1+oDR)^'Markov Model_SA1'!cycle</f>
        <v>14.186011261956967</v>
      </c>
      <c r="Z147" s="80"/>
      <c r="AA147" s="3"/>
      <c r="AB147" s="3"/>
      <c r="AC147" s="14">
        <v>135</v>
      </c>
      <c r="AD147" s="14"/>
      <c r="AE147" s="14"/>
      <c r="AF147" s="3"/>
      <c r="AG147" s="3"/>
      <c r="AH147" s="3"/>
      <c r="AI147" s="14"/>
      <c r="AJ147" s="14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</row>
    <row r="148" spans="1:60" ht="14.25" customHeight="1" x14ac:dyDescent="0.2">
      <c r="A148" s="637"/>
      <c r="B148" s="417"/>
      <c r="C148" s="173">
        <v>138</v>
      </c>
      <c r="D148" s="165"/>
      <c r="E148" s="174">
        <v>1.226574259157398E-3</v>
      </c>
      <c r="F148" s="502"/>
      <c r="G148" s="219">
        <f t="shared" si="14"/>
        <v>27.722338751425099</v>
      </c>
      <c r="H148" s="249">
        <f>H147+(G147*E148*'life-tables-test'!$C$66)</f>
        <v>72.277661248574901</v>
      </c>
      <c r="I148" s="516">
        <f t="shared" si="12"/>
        <v>100</v>
      </c>
      <c r="J148" s="153">
        <f>(G148*0)/(1+cDR)^'Markov Model_SA1'!cycle</f>
        <v>0</v>
      </c>
      <c r="K148" s="178">
        <f t="shared" si="8"/>
        <v>27.722338751425099</v>
      </c>
      <c r="L148" s="202">
        <f>(G148*(uPostT))/(1+oDR)^'Markov Model_SA1'!cycle</f>
        <v>14.927904223647012</v>
      </c>
      <c r="M148" s="80"/>
      <c r="N148" s="3"/>
      <c r="O148" s="80"/>
      <c r="P148" s="173">
        <v>138</v>
      </c>
      <c r="Q148" s="165"/>
      <c r="R148" s="174">
        <v>1.226574259157398E-3</v>
      </c>
      <c r="S148" s="502"/>
      <c r="T148" s="219">
        <f t="shared" si="13"/>
        <v>26.117720621724374</v>
      </c>
      <c r="U148" s="249">
        <f>U147+(T147*R148*'life-tables-test'!$C$66)</f>
        <v>73.882279378275626</v>
      </c>
      <c r="V148" s="516">
        <f t="shared" si="10"/>
        <v>100</v>
      </c>
      <c r="W148" s="153">
        <f>(T148*0)/(1+cDR)^'Markov Model_SA1'!cycle2</f>
        <v>0</v>
      </c>
      <c r="X148" s="178">
        <f t="shared" si="11"/>
        <v>26.117720621724374</v>
      </c>
      <c r="Y148" s="202">
        <f>(T148*(uPostT))/(1+oDR)^'Markov Model_SA1'!cycle</f>
        <v>14.063850654051674</v>
      </c>
      <c r="Z148" s="80"/>
      <c r="AA148" s="3"/>
      <c r="AB148" s="3"/>
      <c r="AC148" s="14">
        <v>136</v>
      </c>
      <c r="AD148" s="14"/>
      <c r="AE148" s="14"/>
      <c r="AF148" s="3"/>
      <c r="AG148" s="3"/>
      <c r="AH148" s="3"/>
      <c r="AI148" s="14"/>
      <c r="AJ148" s="14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</row>
    <row r="149" spans="1:60" ht="14.25" customHeight="1" x14ac:dyDescent="0.2">
      <c r="A149" s="637"/>
      <c r="B149" s="417"/>
      <c r="C149" s="173">
        <v>139</v>
      </c>
      <c r="D149" s="165"/>
      <c r="E149" s="174">
        <v>1.226574259157398E-3</v>
      </c>
      <c r="F149" s="502"/>
      <c r="G149" s="219">
        <f t="shared" si="14"/>
        <v>27.552321215844401</v>
      </c>
      <c r="H149" s="249">
        <f>H148+(G148*E149*'life-tables-test'!$C$66)</f>
        <v>72.447678784155599</v>
      </c>
      <c r="I149" s="516">
        <f t="shared" si="12"/>
        <v>100</v>
      </c>
      <c r="J149" s="153">
        <f>(G149*0)/(1+cDR)^'Markov Model_SA1'!cycle</f>
        <v>0</v>
      </c>
      <c r="K149" s="178">
        <f t="shared" si="8"/>
        <v>27.552321215844401</v>
      </c>
      <c r="L149" s="202">
        <f>(G149*(uPostT))/(1+oDR)^'Markov Model_SA1'!cycle</f>
        <v>14.799354921024991</v>
      </c>
      <c r="M149" s="80"/>
      <c r="N149" s="3"/>
      <c r="O149" s="80"/>
      <c r="P149" s="173">
        <v>139</v>
      </c>
      <c r="Q149" s="165"/>
      <c r="R149" s="174">
        <v>1.226574259157398E-3</v>
      </c>
      <c r="S149" s="502"/>
      <c r="T149" s="219">
        <f t="shared" si="13"/>
        <v>25.957544002612011</v>
      </c>
      <c r="U149" s="249">
        <f>U148+(T148*R149*'life-tables-test'!$C$66)</f>
        <v>74.042455997387989</v>
      </c>
      <c r="V149" s="516">
        <f t="shared" si="10"/>
        <v>100</v>
      </c>
      <c r="W149" s="153">
        <f>(T149*0)/(1+cDR)^'Markov Model_SA1'!cycle2</f>
        <v>0</v>
      </c>
      <c r="X149" s="178">
        <f t="shared" si="11"/>
        <v>25.957544002612011</v>
      </c>
      <c r="Y149" s="202">
        <f>(T149*(uPostT))/(1+oDR)^'Markov Model_SA1'!cycle</f>
        <v>13.94274201303462</v>
      </c>
      <c r="Z149" s="80"/>
      <c r="AA149" s="3"/>
      <c r="AB149" s="3"/>
      <c r="AC149" s="14">
        <v>137</v>
      </c>
      <c r="AD149" s="14"/>
      <c r="AE149" s="14"/>
      <c r="AF149" s="3"/>
      <c r="AG149" s="3"/>
      <c r="AH149" s="3"/>
      <c r="AI149" s="14"/>
      <c r="AJ149" s="14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</row>
    <row r="150" spans="1:60" ht="14.25" customHeight="1" x14ac:dyDescent="0.2">
      <c r="A150" s="637"/>
      <c r="B150" s="417"/>
      <c r="C150" s="173">
        <v>140</v>
      </c>
      <c r="D150" s="165"/>
      <c r="E150" s="174">
        <v>1.226574259157398E-3</v>
      </c>
      <c r="F150" s="502"/>
      <c r="G150" s="219">
        <f t="shared" si="14"/>
        <v>27.383346375927445</v>
      </c>
      <c r="H150" s="249">
        <f>H149+(G149*E150*'life-tables-test'!$C$66)</f>
        <v>72.616653624072555</v>
      </c>
      <c r="I150" s="516">
        <f t="shared" si="12"/>
        <v>100</v>
      </c>
      <c r="J150" s="153">
        <f>(G150*0)/(1+cDR)^'Markov Model_SA1'!cycle</f>
        <v>0</v>
      </c>
      <c r="K150" s="178">
        <f t="shared" si="8"/>
        <v>27.383346375927445</v>
      </c>
      <c r="L150" s="202">
        <f>(G150*(uPostT))/(1+oDR)^'Markov Model_SA1'!cycle</f>
        <v>14.671912600532339</v>
      </c>
      <c r="M150" s="80"/>
      <c r="N150" s="3"/>
      <c r="O150" s="80"/>
      <c r="P150" s="173">
        <v>140</v>
      </c>
      <c r="Q150" s="165"/>
      <c r="R150" s="174">
        <v>1.226574259157398E-3</v>
      </c>
      <c r="S150" s="502"/>
      <c r="T150" s="219">
        <f t="shared" si="13"/>
        <v>25.79834972608927</v>
      </c>
      <c r="U150" s="249">
        <f>U149+(T149*R150*'life-tables-test'!$C$66)</f>
        <v>74.20165027391073</v>
      </c>
      <c r="V150" s="516">
        <f t="shared" si="10"/>
        <v>100</v>
      </c>
      <c r="W150" s="153">
        <f>(T150*0)/(1+cDR)^'Markov Model_SA1'!cycle2</f>
        <v>0</v>
      </c>
      <c r="X150" s="178">
        <f t="shared" si="11"/>
        <v>25.79834972608927</v>
      </c>
      <c r="Y150" s="202">
        <f>(T150*(uPostT))/(1+oDR)^'Markov Model_SA1'!cycle</f>
        <v>13.82267628005817</v>
      </c>
      <c r="Z150" s="80"/>
      <c r="AA150" s="3"/>
      <c r="AB150" s="3"/>
      <c r="AC150" s="14">
        <v>138</v>
      </c>
      <c r="AD150" s="14"/>
      <c r="AE150" s="14"/>
      <c r="AF150" s="3"/>
      <c r="AG150" s="3"/>
      <c r="AH150" s="3"/>
      <c r="AI150" s="14"/>
      <c r="AJ150" s="14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</row>
    <row r="151" spans="1:60" ht="14.25" customHeight="1" x14ac:dyDescent="0.2">
      <c r="A151" s="637"/>
      <c r="B151" s="417"/>
      <c r="C151" s="173">
        <v>141</v>
      </c>
      <c r="D151" s="165"/>
      <c r="E151" s="174">
        <v>1.226574259157398E-3</v>
      </c>
      <c r="F151" s="502"/>
      <c r="G151" s="219">
        <f t="shared" si="14"/>
        <v>27.215407836955933</v>
      </c>
      <c r="H151" s="249">
        <f>H150+(G150*E151*'life-tables-test'!$C$66)</f>
        <v>72.784592163044067</v>
      </c>
      <c r="I151" s="516">
        <f t="shared" si="12"/>
        <v>100</v>
      </c>
      <c r="J151" s="153">
        <f>(G151*0)/(1+cDR)^'Markov Model_SA1'!cycle</f>
        <v>0</v>
      </c>
      <c r="K151" s="178">
        <f t="shared" si="8"/>
        <v>27.215407836955933</v>
      </c>
      <c r="L151" s="202">
        <f>(G151*(uPostT))/(1+oDR)^'Markov Model_SA1'!cycle</f>
        <v>14.545567729566326</v>
      </c>
      <c r="M151" s="80"/>
      <c r="N151" s="3"/>
      <c r="O151" s="80"/>
      <c r="P151" s="173">
        <v>141</v>
      </c>
      <c r="Q151" s="165"/>
      <c r="R151" s="174">
        <v>1.226574259157398E-3</v>
      </c>
      <c r="S151" s="502"/>
      <c r="T151" s="219">
        <f t="shared" si="13"/>
        <v>25.640131767575468</v>
      </c>
      <c r="U151" s="249">
        <f>U150+(T150*R151*'life-tables-test'!$C$66)</f>
        <v>74.359868232424532</v>
      </c>
      <c r="V151" s="516">
        <f t="shared" si="10"/>
        <v>100</v>
      </c>
      <c r="W151" s="153">
        <f>(T151*0)/(1+cDR)^'Markov Model_SA1'!cycle2</f>
        <v>0</v>
      </c>
      <c r="X151" s="178">
        <f t="shared" si="11"/>
        <v>25.640131767575468</v>
      </c>
      <c r="Y151" s="202">
        <f>(T151*(uPostT))/(1+oDR)^'Markov Model_SA1'!cycle</f>
        <v>13.703644474283541</v>
      </c>
      <c r="Z151" s="80"/>
      <c r="AA151" s="3"/>
      <c r="AB151" s="3"/>
      <c r="AC151" s="14">
        <v>139</v>
      </c>
      <c r="AD151" s="14"/>
      <c r="AE151" s="14"/>
      <c r="AF151" s="3"/>
      <c r="AG151" s="3"/>
      <c r="AH151" s="3"/>
      <c r="AI151" s="14"/>
      <c r="AJ151" s="14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</row>
    <row r="152" spans="1:60" ht="14.25" customHeight="1" x14ac:dyDescent="0.2">
      <c r="A152" s="637"/>
      <c r="B152" s="417"/>
      <c r="C152" s="173">
        <v>142</v>
      </c>
      <c r="D152" s="165"/>
      <c r="E152" s="174">
        <v>1.226574259157398E-3</v>
      </c>
      <c r="F152" s="502"/>
      <c r="G152" s="219">
        <f t="shared" si="14"/>
        <v>27.048499243429532</v>
      </c>
      <c r="H152" s="249">
        <f>H151+(G151*E152*'life-tables-test'!$C$66)</f>
        <v>72.951500756570468</v>
      </c>
      <c r="I152" s="516">
        <f t="shared" si="12"/>
        <v>100</v>
      </c>
      <c r="J152" s="153">
        <f>(G152*0)/(1+cDR)^'Markov Model_SA1'!cycle</f>
        <v>0</v>
      </c>
      <c r="K152" s="178">
        <f t="shared" si="8"/>
        <v>27.048499243429532</v>
      </c>
      <c r="L152" s="202">
        <f>(G152*(uPostT))/(1+oDR)^'Markov Model_SA1'!cycle</f>
        <v>14.420310857612716</v>
      </c>
      <c r="M152" s="80"/>
      <c r="N152" s="3"/>
      <c r="O152" s="80"/>
      <c r="P152" s="173">
        <v>142</v>
      </c>
      <c r="Q152" s="165"/>
      <c r="R152" s="174">
        <v>1.226574259157398E-3</v>
      </c>
      <c r="S152" s="502"/>
      <c r="T152" s="219">
        <f t="shared" si="13"/>
        <v>25.482884139437914</v>
      </c>
      <c r="U152" s="249">
        <f>U151+(T151*R152*'life-tables-test'!$C$66)</f>
        <v>74.517115860562086</v>
      </c>
      <c r="V152" s="516">
        <f t="shared" si="10"/>
        <v>100</v>
      </c>
      <c r="W152" s="153">
        <f>(T152*0)/(1+cDR)^'Markov Model_SA1'!cycle2</f>
        <v>0</v>
      </c>
      <c r="X152" s="178">
        <f t="shared" si="11"/>
        <v>25.482884139437914</v>
      </c>
      <c r="Y152" s="202">
        <f>(T152*(uPostT))/(1+oDR)^'Markov Model_SA1'!cycle</f>
        <v>13.585637692209021</v>
      </c>
      <c r="Z152" s="80"/>
      <c r="AA152" s="3"/>
      <c r="AB152" s="3"/>
      <c r="AC152" s="14">
        <v>140</v>
      </c>
      <c r="AD152" s="14"/>
      <c r="AE152" s="14"/>
      <c r="AF152" s="3"/>
      <c r="AG152" s="3"/>
      <c r="AH152" s="3"/>
      <c r="AI152" s="14"/>
      <c r="AJ152" s="14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</row>
    <row r="153" spans="1:60" ht="14.25" customHeight="1" x14ac:dyDescent="0.2">
      <c r="A153" s="637"/>
      <c r="B153" s="417"/>
      <c r="C153" s="173">
        <v>143</v>
      </c>
      <c r="D153" s="165"/>
      <c r="E153" s="174">
        <v>1.226574259157398E-3</v>
      </c>
      <c r="F153" s="502"/>
      <c r="G153" s="219">
        <f t="shared" si="14"/>
        <v>26.882614278825386</v>
      </c>
      <c r="H153" s="249">
        <f>H152+(G152*E153*'life-tables-test'!$C$66)</f>
        <v>73.117385721174614</v>
      </c>
      <c r="I153" s="516">
        <f t="shared" si="12"/>
        <v>100</v>
      </c>
      <c r="J153" s="153">
        <f>(G153*0)/(1+cDR)^'Markov Model_SA1'!cycle</f>
        <v>0</v>
      </c>
      <c r="K153" s="178">
        <f t="shared" si="8"/>
        <v>26.882614278825386</v>
      </c>
      <c r="L153" s="202">
        <f>(G153*(uPostT))/(1+oDR)^'Markov Model_SA1'!cycle</f>
        <v>14.296132615538891</v>
      </c>
      <c r="M153" s="80"/>
      <c r="N153" s="3"/>
      <c r="O153" s="80"/>
      <c r="P153" s="173">
        <v>143</v>
      </c>
      <c r="Q153" s="165"/>
      <c r="R153" s="174">
        <v>1.226574259157398E-3</v>
      </c>
      <c r="S153" s="502"/>
      <c r="T153" s="219">
        <f t="shared" si="13"/>
        <v>25.326600890765292</v>
      </c>
      <c r="U153" s="249">
        <f>U152+(T152*R153*'life-tables-test'!$C$66)</f>
        <v>74.673399109234708</v>
      </c>
      <c r="V153" s="516">
        <f t="shared" si="10"/>
        <v>100</v>
      </c>
      <c r="W153" s="153">
        <f>(T153*0)/(1+cDR)^'Markov Model_SA1'!cycle2</f>
        <v>0</v>
      </c>
      <c r="X153" s="178">
        <f t="shared" si="11"/>
        <v>25.326600890765292</v>
      </c>
      <c r="Y153" s="202">
        <f>(T153*(uPostT))/(1+oDR)^'Markov Model_SA1'!cycle</f>
        <v>13.468647107004003</v>
      </c>
      <c r="Z153" s="80"/>
      <c r="AA153" s="3"/>
      <c r="AB153" s="3"/>
      <c r="AC153" s="14">
        <v>141</v>
      </c>
      <c r="AD153" s="14"/>
      <c r="AE153" s="14"/>
      <c r="AF153" s="3"/>
      <c r="AG153" s="3"/>
      <c r="AH153" s="3"/>
      <c r="AI153" s="14"/>
      <c r="AJ153" s="14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</row>
    <row r="154" spans="1:60" ht="14.25" customHeight="1" x14ac:dyDescent="0.2">
      <c r="A154" s="637"/>
      <c r="B154" s="417"/>
      <c r="C154" s="173">
        <v>144</v>
      </c>
      <c r="D154" s="165"/>
      <c r="E154" s="174">
        <v>1.226574259157398E-3</v>
      </c>
      <c r="F154" s="502"/>
      <c r="G154" s="219">
        <f t="shared" si="14"/>
        <v>26.717746665359059</v>
      </c>
      <c r="H154" s="249">
        <f>H153+(G153*E154*'life-tables-test'!$C$66)</f>
        <v>73.282253334640941</v>
      </c>
      <c r="I154" s="516">
        <f t="shared" si="12"/>
        <v>100</v>
      </c>
      <c r="J154" s="153">
        <f>(G154*0)/(1+cDR)^'Markov Model_SA1'!cycle</f>
        <v>0</v>
      </c>
      <c r="K154" s="178">
        <f t="shared" si="8"/>
        <v>26.717746665359059</v>
      </c>
      <c r="L154" s="202">
        <f>(G154*(uPostT))/(1+oDR)^'Markov Model_SA1'!cycle</f>
        <v>14.173023714893052</v>
      </c>
      <c r="M154" s="80"/>
      <c r="N154" s="3"/>
      <c r="O154" s="80"/>
      <c r="P154" s="173">
        <v>144</v>
      </c>
      <c r="Q154" s="165"/>
      <c r="R154" s="174">
        <v>1.226574259157398E-3</v>
      </c>
      <c r="S154" s="502"/>
      <c r="T154" s="219">
        <f t="shared" si="13"/>
        <v>25.171276107142461</v>
      </c>
      <c r="U154" s="249">
        <f>U153+(T153*R154*'life-tables-test'!$C$66)</f>
        <v>74.828723892857539</v>
      </c>
      <c r="V154" s="516">
        <f t="shared" si="10"/>
        <v>100</v>
      </c>
      <c r="W154" s="153">
        <f>(T154*0)/(1+cDR)^'Markov Model_SA1'!cycle2</f>
        <v>0</v>
      </c>
      <c r="X154" s="178">
        <f t="shared" si="11"/>
        <v>25.171276107142461</v>
      </c>
      <c r="Y154" s="202">
        <f>(T154*(uPostT))/(1+oDR)^'Markov Model_SA1'!cycle</f>
        <v>13.352663967848748</v>
      </c>
      <c r="Z154" s="80"/>
      <c r="AA154" s="3"/>
      <c r="AB154" s="3"/>
      <c r="AC154" s="14">
        <v>142</v>
      </c>
      <c r="AD154" s="14"/>
      <c r="AE154" s="14"/>
      <c r="AF154" s="3"/>
      <c r="AG154" s="3"/>
      <c r="AH154" s="3"/>
      <c r="AI154" s="14"/>
      <c r="AJ154" s="14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</row>
    <row r="155" spans="1:60" ht="14.25" customHeight="1" x14ac:dyDescent="0.2">
      <c r="A155" s="606"/>
      <c r="B155" s="417"/>
      <c r="C155" s="173">
        <v>145</v>
      </c>
      <c r="D155" s="504"/>
      <c r="E155" s="174">
        <v>1.226574259157398E-3</v>
      </c>
      <c r="F155" s="505"/>
      <c r="G155" s="219">
        <f t="shared" si="14"/>
        <v>26.553890163746971</v>
      </c>
      <c r="H155" s="249">
        <f>H154+(G154*E155*'life-tables-test'!$C$66)</f>
        <v>73.446109836253029</v>
      </c>
      <c r="I155" s="516">
        <f t="shared" si="12"/>
        <v>100</v>
      </c>
      <c r="J155" s="180">
        <f>(G155*0)/(1+cDR)^'Markov Model_SA1'!cycle</f>
        <v>0</v>
      </c>
      <c r="K155" s="176">
        <f t="shared" si="8"/>
        <v>26.553890163746971</v>
      </c>
      <c r="L155" s="202">
        <f>(G155*(uPostT))/(1+oDR)^'Markov Model_SA1'!cycle</f>
        <v>14.050974947209454</v>
      </c>
      <c r="M155" s="80"/>
      <c r="N155" s="3"/>
      <c r="O155" s="80"/>
      <c r="P155" s="173">
        <v>145</v>
      </c>
      <c r="Q155" s="504"/>
      <c r="R155" s="174">
        <v>1.226574259157398E-3</v>
      </c>
      <c r="S155" s="505"/>
      <c r="T155" s="219">
        <f t="shared" si="13"/>
        <v>25.016903910426635</v>
      </c>
      <c r="U155" s="249">
        <f>U154+(T154*R155*'life-tables-test'!$C$66)</f>
        <v>74.983096089573365</v>
      </c>
      <c r="V155" s="516">
        <f t="shared" si="10"/>
        <v>100</v>
      </c>
      <c r="W155" s="180">
        <f>(T155*0)/(1+cDR)^'Markov Model_SA1'!cycle2</f>
        <v>0</v>
      </c>
      <c r="X155" s="176">
        <f t="shared" si="11"/>
        <v>25.016903910426635</v>
      </c>
      <c r="Y155" s="202">
        <f>(T155*(uPostT))/(1+oDR)^'Markov Model_SA1'!cycle</f>
        <v>13.23767959927984</v>
      </c>
      <c r="Z155" s="80"/>
      <c r="AA155" s="3"/>
      <c r="AB155" s="3"/>
      <c r="AC155" s="14">
        <v>143</v>
      </c>
      <c r="AD155" s="14"/>
      <c r="AE155" s="14"/>
      <c r="AF155" s="3"/>
      <c r="AG155" s="3"/>
      <c r="AH155" s="3"/>
      <c r="AI155" s="14"/>
      <c r="AJ155" s="14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</row>
    <row r="156" spans="1:60" ht="14.25" customHeight="1" x14ac:dyDescent="0.25">
      <c r="A156" s="637" t="s">
        <v>554</v>
      </c>
      <c r="B156" s="417"/>
      <c r="C156" s="506">
        <v>146</v>
      </c>
      <c r="D156" s="506"/>
      <c r="E156" s="507">
        <v>1.226574259157398E-3</v>
      </c>
      <c r="F156" s="508"/>
      <c r="G156" s="509">
        <f t="shared" si="14"/>
        <v>26.391038572970245</v>
      </c>
      <c r="H156" s="510">
        <f>H155+(G155*E156*'life-tables-test'!$C$66)</f>
        <v>73.608961427029755</v>
      </c>
      <c r="I156" s="518">
        <f t="shared" si="12"/>
        <v>100</v>
      </c>
      <c r="J156" s="511">
        <f>(G156*0)/(1+cDR)^'Markov Model_SA1'!cycle</f>
        <v>0</v>
      </c>
      <c r="K156" s="512">
        <f t="shared" si="8"/>
        <v>26.391038572970245</v>
      </c>
      <c r="L156" s="513">
        <f>(G156*(uPostT))/(1+oDR)^'Markov Model_SA1'!cycle</f>
        <v>13.92997718331959</v>
      </c>
      <c r="M156" s="80"/>
      <c r="N156" s="3"/>
      <c r="O156" s="80"/>
      <c r="P156" s="506">
        <v>146</v>
      </c>
      <c r="Q156" s="506"/>
      <c r="R156" s="507">
        <v>1.226574259157398E-3</v>
      </c>
      <c r="S156" s="508"/>
      <c r="T156" s="509">
        <f t="shared" si="13"/>
        <v>24.863478458524924</v>
      </c>
      <c r="U156" s="510">
        <f>U155+(T155*R156*'life-tables-test'!$C$66)</f>
        <v>75.136521541475076</v>
      </c>
      <c r="V156" s="518">
        <f t="shared" si="10"/>
        <v>100</v>
      </c>
      <c r="W156" s="511">
        <f>(T156*0)/(1+cDR)^'Markov Model_SA1'!cycle2</f>
        <v>0</v>
      </c>
      <c r="X156" s="512">
        <f t="shared" si="11"/>
        <v>24.863478458524924</v>
      </c>
      <c r="Y156" s="513">
        <f>(T156*(uPostT))/(1+oDR)^'Markov Model_SA1'!cycle</f>
        <v>13.123685400541239</v>
      </c>
      <c r="Z156" s="80"/>
      <c r="AA156" s="3"/>
      <c r="AB156" s="3"/>
      <c r="AC156" s="14">
        <v>144</v>
      </c>
      <c r="AD156" s="14"/>
      <c r="AE156" s="14"/>
      <c r="AF156" s="3"/>
      <c r="AG156" s="3"/>
      <c r="AH156" s="3"/>
      <c r="AI156" s="14"/>
      <c r="AJ156" s="14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</row>
    <row r="157" spans="1:60" ht="14.25" customHeight="1" x14ac:dyDescent="0.2">
      <c r="A157" s="637"/>
      <c r="B157" s="417"/>
      <c r="C157" s="173">
        <v>147</v>
      </c>
      <c r="D157" s="165"/>
      <c r="E157" s="174">
        <v>1.3237621699756508E-3</v>
      </c>
      <c r="F157" s="502"/>
      <c r="G157" s="219">
        <f t="shared" si="14"/>
        <v>26.216361280523913</v>
      </c>
      <c r="H157" s="249">
        <f>H156+(G156*E157*'life-tables-test'!$C$66)</f>
        <v>73.783638719476087</v>
      </c>
      <c r="I157" s="516">
        <f t="shared" si="12"/>
        <v>100</v>
      </c>
      <c r="J157" s="153">
        <f>(G157*0)/(1+cDR)^'Markov Model_SA1'!cycle</f>
        <v>0</v>
      </c>
      <c r="K157" s="178">
        <f t="shared" si="8"/>
        <v>26.216361280523913</v>
      </c>
      <c r="L157" s="202">
        <f>(G157*(uPostT))/(1+oDR)^'Markov Model_SA1'!cycle</f>
        <v>13.803269126384119</v>
      </c>
      <c r="M157" s="80"/>
      <c r="N157" s="3"/>
      <c r="O157" s="80"/>
      <c r="P157" s="173">
        <v>147</v>
      </c>
      <c r="Q157" s="165"/>
      <c r="R157" s="174">
        <v>1.3237621699756508E-3</v>
      </c>
      <c r="S157" s="502"/>
      <c r="T157" s="219">
        <f t="shared" si="13"/>
        <v>24.698911797537932</v>
      </c>
      <c r="U157" s="249">
        <f>U156+(T156*R157*'life-tables-test'!$C$66)</f>
        <v>75.301088202462068</v>
      </c>
      <c r="V157" s="516">
        <f t="shared" si="10"/>
        <v>100</v>
      </c>
      <c r="W157" s="153">
        <f>(T157*0)/(1+cDR)^'Markov Model_SA1'!cycle2</f>
        <v>0</v>
      </c>
      <c r="X157" s="178">
        <f t="shared" si="11"/>
        <v>24.698911797537932</v>
      </c>
      <c r="Y157" s="202">
        <f>(T157*(uPostT))/(1+oDR)^'Markov Model_SA1'!cycle</f>
        <v>13.00431143064514</v>
      </c>
      <c r="Z157" s="80"/>
      <c r="AA157" s="3"/>
      <c r="AB157" s="3"/>
      <c r="AC157" s="14">
        <v>145</v>
      </c>
      <c r="AD157" s="14"/>
      <c r="AE157" s="14"/>
      <c r="AF157" s="3"/>
      <c r="AG157" s="3"/>
      <c r="AH157" s="3"/>
      <c r="AI157" s="14"/>
      <c r="AJ157" s="14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</row>
    <row r="158" spans="1:60" ht="14.25" customHeight="1" x14ac:dyDescent="0.2">
      <c r="A158" s="637"/>
      <c r="B158" s="417"/>
      <c r="C158" s="173">
        <v>148</v>
      </c>
      <c r="D158" s="165"/>
      <c r="E158" s="174">
        <v>1.3237621699756508E-3</v>
      </c>
      <c r="F158" s="502"/>
      <c r="G158" s="219">
        <f t="shared" si="14"/>
        <v>26.042840144036049</v>
      </c>
      <c r="H158" s="249">
        <f>H157+(G157*E158*'life-tables-test'!$C$66)</f>
        <v>73.957159855963951</v>
      </c>
      <c r="I158" s="516">
        <f t="shared" si="12"/>
        <v>100</v>
      </c>
      <c r="J158" s="153">
        <f>(G158*0)/(1+cDR)^'Markov Model_SA1'!cycle</f>
        <v>0</v>
      </c>
      <c r="K158" s="178">
        <f t="shared" si="8"/>
        <v>26.042840144036049</v>
      </c>
      <c r="L158" s="202">
        <f>(G158*(uPostT))/(1+oDR)^'Markov Model_SA1'!cycle</f>
        <v>13.677713614889392</v>
      </c>
      <c r="M158" s="80"/>
      <c r="N158" s="3"/>
      <c r="O158" s="80"/>
      <c r="P158" s="173">
        <v>148</v>
      </c>
      <c r="Q158" s="165"/>
      <c r="R158" s="174">
        <v>1.3237621699756508E-3</v>
      </c>
      <c r="S158" s="502"/>
      <c r="T158" s="219">
        <f t="shared" si="13"/>
        <v>24.535434372152196</v>
      </c>
      <c r="U158" s="249">
        <f>U157+(T157*R158*'life-tables-test'!$C$66)</f>
        <v>75.464565627847804</v>
      </c>
      <c r="V158" s="516">
        <f t="shared" si="10"/>
        <v>100</v>
      </c>
      <c r="W158" s="153">
        <f>(T158*0)/(1+cDR)^'Markov Model_SA1'!cycle2</f>
        <v>0</v>
      </c>
      <c r="X158" s="178">
        <f t="shared" si="11"/>
        <v>24.535434372152196</v>
      </c>
      <c r="Y158" s="202">
        <f>(T158*(uPostT))/(1+oDR)^'Markov Model_SA1'!cycle</f>
        <v>12.886023294815748</v>
      </c>
      <c r="Z158" s="80"/>
      <c r="AA158" s="3"/>
      <c r="AB158" s="3"/>
      <c r="AC158" s="14">
        <v>146</v>
      </c>
      <c r="AD158" s="14"/>
      <c r="AE158" s="14"/>
      <c r="AF158" s="3"/>
      <c r="AG158" s="3"/>
      <c r="AH158" s="3"/>
      <c r="AI158" s="14"/>
      <c r="AJ158" s="14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</row>
    <row r="159" spans="1:60" ht="14.25" customHeight="1" x14ac:dyDescent="0.2">
      <c r="A159" s="637"/>
      <c r="B159" s="417"/>
      <c r="C159" s="173">
        <v>149</v>
      </c>
      <c r="D159" s="165"/>
      <c r="E159" s="174">
        <v>1.3237621699756508E-3</v>
      </c>
      <c r="F159" s="502"/>
      <c r="G159" s="219">
        <f t="shared" si="14"/>
        <v>25.870467511129064</v>
      </c>
      <c r="H159" s="249">
        <f>H158+(G158*E159*'life-tables-test'!$C$66)</f>
        <v>74.129532488870936</v>
      </c>
      <c r="I159" s="516">
        <f t="shared" si="12"/>
        <v>100</v>
      </c>
      <c r="J159" s="153">
        <f>(G159*0)/(1+cDR)^'Markov Model_SA1'!cycle</f>
        <v>0</v>
      </c>
      <c r="K159" s="178">
        <f t="shared" si="8"/>
        <v>25.870467511129064</v>
      </c>
      <c r="L159" s="202">
        <f>(G159*(uPostT))/(1+oDR)^'Markov Model_SA1'!cycle</f>
        <v>13.553300165200637</v>
      </c>
      <c r="M159" s="80"/>
      <c r="N159" s="3"/>
      <c r="O159" s="80"/>
      <c r="P159" s="173">
        <v>149</v>
      </c>
      <c r="Q159" s="165"/>
      <c r="R159" s="174">
        <v>1.3237621699756508E-3</v>
      </c>
      <c r="S159" s="502"/>
      <c r="T159" s="219">
        <f t="shared" si="13"/>
        <v>24.373038972923325</v>
      </c>
      <c r="U159" s="249">
        <f>U158+(T158*R159*'life-tables-test'!$C$66)</f>
        <v>75.626961027076675</v>
      </c>
      <c r="V159" s="516">
        <f t="shared" si="10"/>
        <v>100</v>
      </c>
      <c r="W159" s="153">
        <f>(T159*0)/(1+cDR)^'Markov Model_SA1'!cycle2</f>
        <v>0</v>
      </c>
      <c r="X159" s="178">
        <f t="shared" si="11"/>
        <v>24.373038972923325</v>
      </c>
      <c r="Y159" s="202">
        <f>(T159*(uPostT))/(1+oDR)^'Markov Model_SA1'!cycle</f>
        <v>12.768811116229669</v>
      </c>
      <c r="Z159" s="80"/>
      <c r="AA159" s="3"/>
      <c r="AB159" s="3"/>
      <c r="AC159" s="14">
        <v>147</v>
      </c>
      <c r="AD159" s="14"/>
      <c r="AE159" s="14"/>
      <c r="AF159" s="3"/>
      <c r="AG159" s="3"/>
      <c r="AH159" s="3"/>
      <c r="AI159" s="14"/>
      <c r="AJ159" s="14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</row>
    <row r="160" spans="1:60" ht="14.25" customHeight="1" x14ac:dyDescent="0.2">
      <c r="A160" s="637"/>
      <c r="B160" s="417"/>
      <c r="C160" s="173">
        <v>150</v>
      </c>
      <c r="D160" s="165"/>
      <c r="E160" s="174">
        <v>1.3237621699756508E-3</v>
      </c>
      <c r="F160" s="502"/>
      <c r="G160" s="219">
        <f t="shared" si="14"/>
        <v>25.699235780074986</v>
      </c>
      <c r="H160" s="249">
        <f>H159+(G159*E160*'life-tables-test'!$C$66)</f>
        <v>74.300764219925014</v>
      </c>
      <c r="I160" s="516">
        <f t="shared" si="12"/>
        <v>100</v>
      </c>
      <c r="J160" s="153">
        <f>(G160*0)/(1+cDR)^'Markov Model_SA1'!cycle</f>
        <v>0</v>
      </c>
      <c r="K160" s="178">
        <f t="shared" si="8"/>
        <v>25.699235780074986</v>
      </c>
      <c r="L160" s="202">
        <f>(G160*(uPostT))/(1+oDR)^'Markov Model_SA1'!cycle</f>
        <v>13.430018389042951</v>
      </c>
      <c r="M160" s="80"/>
      <c r="N160" s="3"/>
      <c r="O160" s="80"/>
      <c r="P160" s="173">
        <v>150</v>
      </c>
      <c r="Q160" s="165"/>
      <c r="R160" s="174">
        <v>1.3237621699756508E-3</v>
      </c>
      <c r="S160" s="502"/>
      <c r="T160" s="219">
        <f t="shared" si="13"/>
        <v>24.211718438124834</v>
      </c>
      <c r="U160" s="249">
        <f>U159+(T159*R160*'life-tables-test'!$C$66)</f>
        <v>75.788281561875166</v>
      </c>
      <c r="V160" s="516">
        <f t="shared" si="10"/>
        <v>100</v>
      </c>
      <c r="W160" s="153">
        <f>(T160*0)/(1+cDR)^'Markov Model_SA1'!cycle2</f>
        <v>0</v>
      </c>
      <c r="X160" s="178">
        <f t="shared" si="11"/>
        <v>24.211718438124834</v>
      </c>
      <c r="Y160" s="202">
        <f>(T160*(uPostT))/(1+oDR)^'Markov Model_SA1'!cycle</f>
        <v>12.652665107903767</v>
      </c>
      <c r="Z160" s="80"/>
      <c r="AA160" s="3"/>
      <c r="AB160" s="3"/>
      <c r="AC160" s="14">
        <v>148</v>
      </c>
      <c r="AD160" s="14"/>
      <c r="AE160" s="14"/>
      <c r="AF160" s="3"/>
      <c r="AG160" s="3"/>
      <c r="AH160" s="3"/>
      <c r="AI160" s="14"/>
      <c r="AJ160" s="14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</row>
    <row r="161" spans="1:58" ht="14.25" customHeight="1" x14ac:dyDescent="0.2">
      <c r="A161" s="637"/>
      <c r="B161" s="417"/>
      <c r="C161" s="173">
        <v>151</v>
      </c>
      <c r="D161" s="165"/>
      <c r="E161" s="174">
        <v>1.3237621699756508E-3</v>
      </c>
      <c r="F161" s="502"/>
      <c r="G161" s="219">
        <f t="shared" si="14"/>
        <v>25.52913739946024</v>
      </c>
      <c r="H161" s="249">
        <f>H160+(G160*E161*'life-tables-test'!$C$66)</f>
        <v>74.47086260053976</v>
      </c>
      <c r="I161" s="516">
        <f t="shared" si="12"/>
        <v>100</v>
      </c>
      <c r="J161" s="153">
        <f>(G161*0)/(1+cDR)^'Markov Model_SA1'!cycle</f>
        <v>0</v>
      </c>
      <c r="K161" s="178">
        <f t="shared" si="8"/>
        <v>25.52913739946024</v>
      </c>
      <c r="L161" s="202">
        <f>(G161*(uPostT))/(1+oDR)^'Markov Model_SA1'!cycle</f>
        <v>13.307857992633899</v>
      </c>
      <c r="M161" s="80"/>
      <c r="N161" s="3"/>
      <c r="O161" s="80"/>
      <c r="P161" s="173">
        <v>151</v>
      </c>
      <c r="Q161" s="165"/>
      <c r="R161" s="174">
        <v>1.3237621699756508E-3</v>
      </c>
      <c r="S161" s="502"/>
      <c r="T161" s="219">
        <f t="shared" si="13"/>
        <v>24.051465653432373</v>
      </c>
      <c r="U161" s="249">
        <f>U160+(T160*R161*'life-tables-test'!$C$66)</f>
        <v>75.948534346567627</v>
      </c>
      <c r="V161" s="516">
        <f t="shared" si="10"/>
        <v>100</v>
      </c>
      <c r="W161" s="153">
        <f>(T161*0)/(1+cDR)^'Markov Model_SA1'!cycle2</f>
        <v>0</v>
      </c>
      <c r="X161" s="178">
        <f t="shared" si="11"/>
        <v>24.051465653432373</v>
      </c>
      <c r="Y161" s="202">
        <f>(T161*(uPostT))/(1+oDR)^'Markov Model_SA1'!cycle</f>
        <v>12.537575571877998</v>
      </c>
      <c r="Z161" s="80"/>
      <c r="AA161" s="3"/>
      <c r="AB161" s="3"/>
      <c r="AC161" s="14">
        <v>149</v>
      </c>
      <c r="AD161" s="14"/>
      <c r="AE161" s="14"/>
      <c r="AF161" s="3"/>
      <c r="AG161" s="3"/>
      <c r="AH161" s="3"/>
      <c r="AI161" s="14"/>
      <c r="AJ161" s="14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</row>
    <row r="162" spans="1:58" ht="14.25" customHeight="1" x14ac:dyDescent="0.2">
      <c r="A162" s="637"/>
      <c r="B162" s="417"/>
      <c r="C162" s="173">
        <v>152</v>
      </c>
      <c r="D162" s="165"/>
      <c r="E162" s="174">
        <v>1.3237621699756508E-3</v>
      </c>
      <c r="F162" s="502"/>
      <c r="G162" s="219">
        <f t="shared" si="14"/>
        <v>25.36016486785266</v>
      </c>
      <c r="H162" s="249">
        <f>H161+(G161*E162*'life-tables-test'!$C$66)</f>
        <v>74.63983513214734</v>
      </c>
      <c r="I162" s="516">
        <f t="shared" si="12"/>
        <v>100</v>
      </c>
      <c r="J162" s="153">
        <f>(G162*0)/(1+cDR)^'Markov Model_SA1'!cycle</f>
        <v>0</v>
      </c>
      <c r="K162" s="178">
        <f t="shared" si="8"/>
        <v>25.36016486785266</v>
      </c>
      <c r="L162" s="202">
        <f>(G162*(uPostT))/(1+oDR)^'Markov Model_SA1'!cycle</f>
        <v>13.186808775824055</v>
      </c>
      <c r="M162" s="80"/>
      <c r="N162" s="3"/>
      <c r="O162" s="80"/>
      <c r="P162" s="173">
        <v>152</v>
      </c>
      <c r="Q162" s="165"/>
      <c r="R162" s="174">
        <v>1.3237621699756508E-3</v>
      </c>
      <c r="S162" s="502"/>
      <c r="T162" s="219">
        <f t="shared" si="13"/>
        <v>23.892273551609961</v>
      </c>
      <c r="U162" s="249">
        <f>U161+(T161*R162*'life-tables-test'!$C$66)</f>
        <v>76.107726448390039</v>
      </c>
      <c r="V162" s="516">
        <f t="shared" si="10"/>
        <v>100</v>
      </c>
      <c r="W162" s="153">
        <f>(T162*0)/(1+cDR)^'Markov Model_SA1'!cycle2</f>
        <v>0</v>
      </c>
      <c r="X162" s="178">
        <f t="shared" si="11"/>
        <v>23.892273551609961</v>
      </c>
      <c r="Y162" s="202">
        <f>(T162*(uPostT))/(1+oDR)^'Markov Model_SA1'!cycle</f>
        <v>12.42353289840567</v>
      </c>
      <c r="Z162" s="80"/>
      <c r="AA162" s="3"/>
      <c r="AB162" s="3"/>
      <c r="AC162" s="14">
        <v>150</v>
      </c>
      <c r="AD162" s="14"/>
      <c r="AE162" s="14"/>
      <c r="AF162" s="3"/>
      <c r="AG162" s="3"/>
      <c r="AH162" s="3"/>
      <c r="AI162" s="14"/>
      <c r="AJ162" s="14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</row>
    <row r="163" spans="1:58" ht="14.25" customHeight="1" x14ac:dyDescent="0.2">
      <c r="A163" s="637"/>
      <c r="B163" s="417"/>
      <c r="C163" s="173">
        <v>153</v>
      </c>
      <c r="D163" s="165"/>
      <c r="E163" s="174">
        <v>1.3237621699756508E-3</v>
      </c>
      <c r="F163" s="502"/>
      <c r="G163" s="219">
        <f t="shared" si="14"/>
        <v>25.19231073347062</v>
      </c>
      <c r="H163" s="249">
        <f>H162+(G162*E163*'life-tables-test'!$C$66)</f>
        <v>74.80768926652938</v>
      </c>
      <c r="I163" s="516">
        <f t="shared" si="12"/>
        <v>100</v>
      </c>
      <c r="J163" s="153">
        <f>(G163*0)/(1+cDR)^'Markov Model_SA1'!cycle</f>
        <v>0</v>
      </c>
      <c r="K163" s="178">
        <f t="shared" si="8"/>
        <v>25.19231073347062</v>
      </c>
      <c r="L163" s="202">
        <f>(G163*(uPostT))/(1+oDR)^'Markov Model_SA1'!cycle</f>
        <v>13.06686063124525</v>
      </c>
      <c r="M163" s="80"/>
      <c r="N163" s="3"/>
      <c r="O163" s="80"/>
      <c r="P163" s="173">
        <v>153</v>
      </c>
      <c r="Q163" s="165"/>
      <c r="R163" s="174">
        <v>1.3237621699756508E-3</v>
      </c>
      <c r="S163" s="502"/>
      <c r="T163" s="219">
        <f t="shared" si="13"/>
        <v>23.734135112198302</v>
      </c>
      <c r="U163" s="249">
        <f>U162+(T162*R163*'life-tables-test'!$C$66)</f>
        <v>76.265864887801698</v>
      </c>
      <c r="V163" s="516">
        <f t="shared" si="10"/>
        <v>100</v>
      </c>
      <c r="W163" s="153">
        <f>(T163*0)/(1+cDR)^'Markov Model_SA1'!cycle2</f>
        <v>0</v>
      </c>
      <c r="X163" s="178">
        <f t="shared" si="11"/>
        <v>23.734135112198302</v>
      </c>
      <c r="Y163" s="202">
        <f>(T163*(uPostT))/(1+oDR)^'Markov Model_SA1'!cycle</f>
        <v>12.310527565151004</v>
      </c>
      <c r="Z163" s="80"/>
      <c r="AA163" s="3"/>
      <c r="AB163" s="3"/>
      <c r="AC163" s="14">
        <v>151</v>
      </c>
      <c r="AD163" s="14"/>
      <c r="AE163" s="14"/>
      <c r="AF163" s="3"/>
      <c r="AG163" s="3"/>
      <c r="AH163" s="3"/>
      <c r="AI163" s="14"/>
      <c r="AJ163" s="14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</row>
    <row r="164" spans="1:58" ht="14.25" customHeight="1" x14ac:dyDescent="0.2">
      <c r="A164" s="637"/>
      <c r="B164" s="417"/>
      <c r="C164" s="173">
        <v>154</v>
      </c>
      <c r="D164" s="165"/>
      <c r="E164" s="174">
        <v>1.3237621699756508E-3</v>
      </c>
      <c r="F164" s="502"/>
      <c r="G164" s="219">
        <f t="shared" si="14"/>
        <v>25.025567593854419</v>
      </c>
      <c r="H164" s="249">
        <f>H163+(G163*E164*'life-tables-test'!$C$66)</f>
        <v>74.974432406145581</v>
      </c>
      <c r="I164" s="516">
        <f t="shared" si="12"/>
        <v>100</v>
      </c>
      <c r="J164" s="153">
        <f>(G164*0)/(1+cDR)^'Markov Model_SA1'!cycle</f>
        <v>0</v>
      </c>
      <c r="K164" s="178">
        <f t="shared" si="8"/>
        <v>25.025567593854419</v>
      </c>
      <c r="L164" s="202">
        <f>(G164*(uPostT))/(1+oDR)^'Markov Model_SA1'!cycle</f>
        <v>12.948003543466649</v>
      </c>
      <c r="M164" s="80"/>
      <c r="N164" s="3"/>
      <c r="O164" s="80"/>
      <c r="P164" s="173">
        <v>154</v>
      </c>
      <c r="Q164" s="165"/>
      <c r="R164" s="174">
        <v>1.3237621699756508E-3</v>
      </c>
      <c r="S164" s="502"/>
      <c r="T164" s="219">
        <f t="shared" si="13"/>
        <v>23.577043361205213</v>
      </c>
      <c r="U164" s="249">
        <f>U163+(T163*R164*'life-tables-test'!$C$66)</f>
        <v>76.422956638794787</v>
      </c>
      <c r="V164" s="516">
        <f t="shared" si="10"/>
        <v>100</v>
      </c>
      <c r="W164" s="153">
        <f>(T164*0)/(1+cDR)^'Markov Model_SA1'!cycle2</f>
        <v>0</v>
      </c>
      <c r="X164" s="178">
        <f t="shared" si="11"/>
        <v>23.577043361205213</v>
      </c>
      <c r="Y164" s="202">
        <f>(T164*(uPostT))/(1+oDR)^'Markov Model_SA1'!cycle</f>
        <v>12.198550136394076</v>
      </c>
      <c r="Z164" s="80"/>
      <c r="AA164" s="3"/>
      <c r="AB164" s="3"/>
      <c r="AC164" s="14">
        <v>152</v>
      </c>
      <c r="AD164" s="14"/>
      <c r="AE164" s="14"/>
      <c r="AF164" s="3"/>
      <c r="AG164" s="3"/>
      <c r="AH164" s="3"/>
      <c r="AI164" s="14"/>
      <c r="AJ164" s="14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</row>
    <row r="165" spans="1:58" ht="14.25" customHeight="1" x14ac:dyDescent="0.2">
      <c r="A165" s="637"/>
      <c r="B165" s="417"/>
      <c r="C165" s="173">
        <v>155</v>
      </c>
      <c r="D165" s="165"/>
      <c r="E165" s="174">
        <v>1.3237621699756508E-3</v>
      </c>
      <c r="F165" s="502"/>
      <c r="G165" s="219">
        <f t="shared" si="14"/>
        <v>24.859928095539857</v>
      </c>
      <c r="H165" s="249">
        <f>H164+(G164*E165*'life-tables-test'!$C$66)</f>
        <v>75.140071904460143</v>
      </c>
      <c r="I165" s="516">
        <f t="shared" si="12"/>
        <v>100</v>
      </c>
      <c r="J165" s="153">
        <f>(G165*0)/(1+cDR)^'Markov Model_SA1'!cycle</f>
        <v>0</v>
      </c>
      <c r="K165" s="178">
        <f t="shared" si="8"/>
        <v>24.859928095539857</v>
      </c>
      <c r="L165" s="202">
        <f>(G165*(uPostT))/(1+oDR)^'Markov Model_SA1'!cycle</f>
        <v>12.830227588158497</v>
      </c>
      <c r="M165" s="80"/>
      <c r="N165" s="3"/>
      <c r="O165" s="80"/>
      <c r="P165" s="173">
        <v>155</v>
      </c>
      <c r="Q165" s="165"/>
      <c r="R165" s="174">
        <v>1.3237621699756508E-3</v>
      </c>
      <c r="S165" s="502"/>
      <c r="T165" s="219">
        <f t="shared" si="13"/>
        <v>23.420991370798021</v>
      </c>
      <c r="U165" s="249">
        <f>U164+(T164*R165*'life-tables-test'!$C$66)</f>
        <v>76.579008629201979</v>
      </c>
      <c r="V165" s="516">
        <f t="shared" si="10"/>
        <v>100</v>
      </c>
      <c r="W165" s="153">
        <f>(T165*0)/(1+cDR)^'Markov Model_SA1'!cycle2</f>
        <v>0</v>
      </c>
      <c r="X165" s="178">
        <f t="shared" si="11"/>
        <v>23.420991370798021</v>
      </c>
      <c r="Y165" s="202">
        <f>(T165*(uPostT))/(1+oDR)^'Markov Model_SA1'!cycle</f>
        <v>12.087591262242922</v>
      </c>
      <c r="Z165" s="80"/>
      <c r="AA165" s="3"/>
      <c r="AB165" s="3"/>
      <c r="AC165" s="14">
        <v>153</v>
      </c>
      <c r="AD165" s="14"/>
      <c r="AE165" s="14"/>
      <c r="AF165" s="3"/>
      <c r="AG165" s="3"/>
      <c r="AH165" s="3"/>
      <c r="AI165" s="14"/>
      <c r="AJ165" s="14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</row>
    <row r="166" spans="1:58" ht="14.25" customHeight="1" x14ac:dyDescent="0.2">
      <c r="A166" s="637"/>
      <c r="B166" s="417"/>
      <c r="C166" s="173">
        <v>156</v>
      </c>
      <c r="D166" s="165"/>
      <c r="E166" s="174">
        <v>1.3237621699756508E-3</v>
      </c>
      <c r="F166" s="502"/>
      <c r="G166" s="219">
        <f t="shared" si="14"/>
        <v>24.695384933733905</v>
      </c>
      <c r="H166" s="249">
        <f>H165+(G165*E166*'life-tables-test'!$C$66)</f>
        <v>75.304615066266095</v>
      </c>
      <c r="I166" s="516">
        <f t="shared" si="12"/>
        <v>100</v>
      </c>
      <c r="J166" s="153">
        <f>(G166*0)/(1+cDR)^'Markov Model_SA1'!cycle</f>
        <v>0</v>
      </c>
      <c r="K166" s="178">
        <f t="shared" si="8"/>
        <v>24.695384933733905</v>
      </c>
      <c r="L166" s="202">
        <f>(G166*(uPostT))/(1+oDR)^'Markov Model_SA1'!cycle</f>
        <v>12.713522931263428</v>
      </c>
      <c r="M166" s="80"/>
      <c r="N166" s="3"/>
      <c r="O166" s="80"/>
      <c r="P166" s="173">
        <v>156</v>
      </c>
      <c r="Q166" s="165"/>
      <c r="R166" s="174">
        <v>1.3237621699756508E-3</v>
      </c>
      <c r="S166" s="502"/>
      <c r="T166" s="219">
        <f t="shared" si="13"/>
        <v>23.265972258998076</v>
      </c>
      <c r="U166" s="249">
        <f>U165+(T165*R166*'life-tables-test'!$C$66)</f>
        <v>76.734027741001924</v>
      </c>
      <c r="V166" s="516">
        <f t="shared" si="10"/>
        <v>100</v>
      </c>
      <c r="W166" s="153">
        <f>(T166*0)/(1+cDR)^'Markov Model_SA1'!cycle2</f>
        <v>0</v>
      </c>
      <c r="X166" s="178">
        <f t="shared" si="11"/>
        <v>23.265972258998076</v>
      </c>
      <c r="Y166" s="202">
        <f>(T166*(uPostT))/(1+oDR)^'Markov Model_SA1'!cycle</f>
        <v>11.977641677852862</v>
      </c>
      <c r="Z166" s="80"/>
      <c r="AA166" s="3"/>
      <c r="AB166" s="3"/>
      <c r="AC166" s="14">
        <v>154</v>
      </c>
      <c r="AD166" s="14"/>
      <c r="AE166" s="14"/>
      <c r="AF166" s="3"/>
      <c r="AG166" s="3"/>
      <c r="AH166" s="3"/>
      <c r="AI166" s="14"/>
      <c r="AJ166" s="14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</row>
    <row r="167" spans="1:58" ht="14.25" customHeight="1" x14ac:dyDescent="0.2">
      <c r="A167" s="606"/>
      <c r="B167" s="417"/>
      <c r="C167" s="173">
        <v>157</v>
      </c>
      <c r="D167" s="504"/>
      <c r="E167" s="174">
        <v>1.3237621699756508E-3</v>
      </c>
      <c r="F167" s="505"/>
      <c r="G167" s="219">
        <f t="shared" si="14"/>
        <v>24.531930851992584</v>
      </c>
      <c r="H167" s="249">
        <f>H166+(G166*E167*'life-tables-test'!$C$66)</f>
        <v>75.468069148007416</v>
      </c>
      <c r="I167" s="516">
        <f t="shared" si="12"/>
        <v>100</v>
      </c>
      <c r="J167" s="180">
        <f>(G167*0)/(1+cDR)^'Markov Model_SA1'!cycle</f>
        <v>0</v>
      </c>
      <c r="K167" s="176">
        <f t="shared" si="8"/>
        <v>24.531930851992584</v>
      </c>
      <c r="L167" s="202">
        <f>(G167*(uPostT))/(1+oDR)^'Markov Model_SA1'!cycle</f>
        <v>12.597879828175364</v>
      </c>
      <c r="M167" s="80"/>
      <c r="N167" s="3"/>
      <c r="O167" s="80"/>
      <c r="P167" s="173">
        <v>157</v>
      </c>
      <c r="Q167" s="504"/>
      <c r="R167" s="174">
        <v>1.3237621699756508E-3</v>
      </c>
      <c r="S167" s="505"/>
      <c r="T167" s="219">
        <f t="shared" si="13"/>
        <v>23.111979189377251</v>
      </c>
      <c r="U167" s="249">
        <f>U166+(T166*R167*'life-tables-test'!$C$66)</f>
        <v>76.888020810622749</v>
      </c>
      <c r="V167" s="516">
        <f t="shared" si="10"/>
        <v>100</v>
      </c>
      <c r="W167" s="180">
        <f>(T167*0)/(1+cDR)^'Markov Model_SA1'!cycle2</f>
        <v>0</v>
      </c>
      <c r="X167" s="176">
        <f t="shared" si="11"/>
        <v>23.111979189377251</v>
      </c>
      <c r="Y167" s="202">
        <f>(T167*(uPostT))/(1+oDR)^'Markov Model_SA1'!cycle</f>
        <v>11.8686922026529</v>
      </c>
      <c r="Z167" s="80"/>
      <c r="AA167" s="3"/>
      <c r="AB167" s="3"/>
      <c r="AC167" s="14">
        <v>155</v>
      </c>
      <c r="AD167" s="14"/>
      <c r="AE167" s="14"/>
      <c r="AF167" s="3"/>
      <c r="AG167" s="3"/>
      <c r="AH167" s="3"/>
      <c r="AI167" s="14"/>
      <c r="AJ167" s="14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</row>
    <row r="168" spans="1:58" ht="14.25" customHeight="1" x14ac:dyDescent="0.25">
      <c r="A168" s="637" t="s">
        <v>555</v>
      </c>
      <c r="B168" s="417"/>
      <c r="C168" s="506">
        <v>158</v>
      </c>
      <c r="D168" s="506"/>
      <c r="E168" s="507">
        <v>1.3237621699756508E-3</v>
      </c>
      <c r="F168" s="508"/>
      <c r="G168" s="509">
        <f t="shared" si="14"/>
        <v>24.369558641900952</v>
      </c>
      <c r="H168" s="510">
        <f>H167+(G167*E168*'life-tables-test'!$C$66)</f>
        <v>75.630441358099048</v>
      </c>
      <c r="I168" s="518">
        <f t="shared" si="12"/>
        <v>100</v>
      </c>
      <c r="J168" s="511">
        <f>(G168*0)/(1+cDR)^'Markov Model_SA1'!cycle</f>
        <v>0</v>
      </c>
      <c r="K168" s="512">
        <f t="shared" si="8"/>
        <v>24.369558641900952</v>
      </c>
      <c r="L168" s="513">
        <f>(G168*(uPostT))/(1+oDR)^'Markov Model_SA1'!cycle</f>
        <v>12.483288622925862</v>
      </c>
      <c r="M168" s="80"/>
      <c r="N168" s="3"/>
      <c r="O168" s="80"/>
      <c r="P168" s="506">
        <v>158</v>
      </c>
      <c r="Q168" s="506"/>
      <c r="R168" s="507">
        <v>1.3237621699756508E-3</v>
      </c>
      <c r="S168" s="508"/>
      <c r="T168" s="509">
        <f t="shared" si="13"/>
        <v>22.959005370756444</v>
      </c>
      <c r="U168" s="510">
        <f>U167+(T167*R168*'life-tables-test'!$C$66)</f>
        <v>77.040994629243556</v>
      </c>
      <c r="V168" s="518">
        <f t="shared" si="10"/>
        <v>100</v>
      </c>
      <c r="W168" s="511">
        <f>(T168*0)/(1+cDR)^'Markov Model_SA1'!cycle2</f>
        <v>0</v>
      </c>
      <c r="X168" s="512">
        <f t="shared" si="11"/>
        <v>22.959005370756444</v>
      </c>
      <c r="Y168" s="513">
        <f>(T168*(uPostT))/(1+oDR)^'Markov Model_SA1'!cycle</f>
        <v>11.760733739579171</v>
      </c>
      <c r="Z168" s="80"/>
      <c r="AA168" s="3"/>
      <c r="AB168" s="3"/>
      <c r="AC168" s="14">
        <v>156</v>
      </c>
      <c r="AD168" s="14"/>
      <c r="AE168" s="14"/>
      <c r="AF168" s="3"/>
      <c r="AG168" s="3"/>
      <c r="AH168" s="3"/>
      <c r="AI168" s="14"/>
      <c r="AJ168" s="14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</row>
    <row r="169" spans="1:58" ht="14.25" customHeight="1" x14ac:dyDescent="0.2">
      <c r="A169" s="637"/>
      <c r="B169" s="417"/>
      <c r="C169" s="173">
        <v>159</v>
      </c>
      <c r="D169" s="165"/>
      <c r="E169" s="174">
        <v>1.4362919947250585E-3</v>
      </c>
      <c r="F169" s="502"/>
      <c r="G169" s="219">
        <f t="shared" si="14"/>
        <v>24.194549631939225</v>
      </c>
      <c r="H169" s="249">
        <f>H168+(G168*E169*'life-tables-test'!$C$66)</f>
        <v>75.805450368060775</v>
      </c>
      <c r="I169" s="516">
        <f t="shared" si="12"/>
        <v>100</v>
      </c>
      <c r="J169" s="153">
        <f>(G169*0)/(1+cDR)^'Markov Model_SA1'!cycle</f>
        <v>0</v>
      </c>
      <c r="K169" s="178">
        <f t="shared" si="8"/>
        <v>24.194549631939225</v>
      </c>
      <c r="L169" s="202">
        <f>(G169*(uPostT))/(1+oDR)^'Markov Model_SA1'!cycle</f>
        <v>12.362733551462455</v>
      </c>
      <c r="M169" s="80"/>
      <c r="N169" s="3"/>
      <c r="O169" s="80"/>
      <c r="P169" s="173">
        <v>159</v>
      </c>
      <c r="Q169" s="165"/>
      <c r="R169" s="174">
        <v>1.4362919947250585E-3</v>
      </c>
      <c r="S169" s="502"/>
      <c r="T169" s="219">
        <f t="shared" si="13"/>
        <v>22.794126192652115</v>
      </c>
      <c r="U169" s="249">
        <f>U168+(T168*R169*'life-tables-test'!$C$66)</f>
        <v>77.205873807347885</v>
      </c>
      <c r="V169" s="516">
        <f t="shared" si="10"/>
        <v>100</v>
      </c>
      <c r="W169" s="153">
        <f>(T169*0)/(1+cDR)^'Markov Model_SA1'!cycle2</f>
        <v>0</v>
      </c>
      <c r="X169" s="178">
        <f t="shared" si="11"/>
        <v>22.794126192652115</v>
      </c>
      <c r="Y169" s="202">
        <f>(T169*(uPostT))/(1+oDR)^'Markov Model_SA1'!cycle</f>
        <v>11.647156609444314</v>
      </c>
      <c r="Z169" s="80"/>
      <c r="AA169" s="3"/>
      <c r="AB169" s="3"/>
      <c r="AC169" s="14">
        <v>157</v>
      </c>
      <c r="AD169" s="14"/>
      <c r="AE169" s="14"/>
      <c r="AF169" s="3"/>
      <c r="AG169" s="3"/>
      <c r="AH169" s="3"/>
      <c r="AI169" s="14"/>
      <c r="AJ169" s="14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</row>
    <row r="170" spans="1:58" ht="14.25" customHeight="1" x14ac:dyDescent="0.2">
      <c r="A170" s="637"/>
      <c r="B170" s="417"/>
      <c r="C170" s="173">
        <v>160</v>
      </c>
      <c r="D170" s="165"/>
      <c r="E170" s="174">
        <v>1.4362919947250585E-3</v>
      </c>
      <c r="F170" s="502"/>
      <c r="G170" s="219">
        <f t="shared" si="14"/>
        <v>24.020797442177567</v>
      </c>
      <c r="H170" s="249">
        <f>H169+(G169*E170*'life-tables-test'!$C$66)</f>
        <v>75.979202557822433</v>
      </c>
      <c r="I170" s="516">
        <f t="shared" si="12"/>
        <v>100</v>
      </c>
      <c r="J170" s="153">
        <f>(G170*0)/(1+cDR)^'Markov Model_SA1'!cycle</f>
        <v>0</v>
      </c>
      <c r="K170" s="178">
        <f t="shared" si="8"/>
        <v>24.020797442177567</v>
      </c>
      <c r="L170" s="202">
        <f>(G170*(uPostT))/(1+oDR)^'Markov Model_SA1'!cycle</f>
        <v>12.243342718501777</v>
      </c>
      <c r="M170" s="80"/>
      <c r="N170" s="3"/>
      <c r="O170" s="80"/>
      <c r="P170" s="173">
        <v>160</v>
      </c>
      <c r="Q170" s="165"/>
      <c r="R170" s="174">
        <v>1.4362919947250585E-3</v>
      </c>
      <c r="S170" s="502"/>
      <c r="T170" s="219">
        <f t="shared" si="13"/>
        <v>22.630431087765814</v>
      </c>
      <c r="U170" s="249">
        <f>U169+(T169*R170*'life-tables-test'!$C$66)</f>
        <v>77.369568912234186</v>
      </c>
      <c r="V170" s="516">
        <f t="shared" si="10"/>
        <v>100</v>
      </c>
      <c r="W170" s="153">
        <f>(T170*0)/(1+cDR)^'Markov Model_SA1'!cycle2</f>
        <v>0</v>
      </c>
      <c r="X170" s="178">
        <f t="shared" si="11"/>
        <v>22.630431087765814</v>
      </c>
      <c r="Y170" s="202">
        <f>(T170*(uPostT))/(1+oDR)^'Markov Model_SA1'!cycle</f>
        <v>11.534676329622982</v>
      </c>
      <c r="Z170" s="80"/>
      <c r="AA170" s="3"/>
      <c r="AB170" s="3"/>
      <c r="AC170" s="14">
        <v>158</v>
      </c>
      <c r="AD170" s="14"/>
      <c r="AE170" s="14"/>
      <c r="AF170" s="3"/>
      <c r="AG170" s="3"/>
      <c r="AH170" s="3"/>
      <c r="AI170" s="14"/>
      <c r="AJ170" s="14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</row>
    <row r="171" spans="1:58" ht="14.25" customHeight="1" x14ac:dyDescent="0.2">
      <c r="A171" s="637"/>
      <c r="B171" s="417"/>
      <c r="C171" s="173">
        <v>161</v>
      </c>
      <c r="D171" s="165"/>
      <c r="E171" s="174">
        <v>1.4362919947250585E-3</v>
      </c>
      <c r="F171" s="502"/>
      <c r="G171" s="219">
        <f t="shared" si="14"/>
        <v>23.848293046812003</v>
      </c>
      <c r="H171" s="249">
        <f>H170+(G170*E171*'life-tables-test'!$C$66)</f>
        <v>76.151706953187997</v>
      </c>
      <c r="I171" s="516">
        <f t="shared" si="12"/>
        <v>100</v>
      </c>
      <c r="J171" s="153">
        <f>(G171*0)/(1+cDR)^'Markov Model_SA1'!cycle</f>
        <v>0</v>
      </c>
      <c r="K171" s="178">
        <f t="shared" si="8"/>
        <v>23.848293046812003</v>
      </c>
      <c r="L171" s="202">
        <f>(G171*(uPostT))/(1+oDR)^'Markov Model_SA1'!cycle</f>
        <v>12.125104880623917</v>
      </c>
      <c r="M171" s="80"/>
      <c r="N171" s="3"/>
      <c r="O171" s="80"/>
      <c r="P171" s="173">
        <v>161</v>
      </c>
      <c r="Q171" s="165"/>
      <c r="R171" s="174">
        <v>1.4362919947250585E-3</v>
      </c>
      <c r="S171" s="502"/>
      <c r="T171" s="219">
        <f t="shared" si="13"/>
        <v>22.467911552723137</v>
      </c>
      <c r="U171" s="249">
        <f>U170+(T170*R171*'life-tables-test'!$C$66)</f>
        <v>77.532088447276863</v>
      </c>
      <c r="V171" s="516">
        <f t="shared" si="10"/>
        <v>100</v>
      </c>
      <c r="W171" s="153">
        <f>(T171*0)/(1+cDR)^'Markov Model_SA1'!cycle2</f>
        <v>0</v>
      </c>
      <c r="X171" s="178">
        <f t="shared" si="11"/>
        <v>22.467911552723137</v>
      </c>
      <c r="Y171" s="202">
        <f>(T171*(uPostT))/(1+oDR)^'Markov Model_SA1'!cycle</f>
        <v>11.423282307484358</v>
      </c>
      <c r="Z171" s="80"/>
      <c r="AA171" s="3"/>
      <c r="AB171" s="3"/>
      <c r="AC171" s="14">
        <v>159</v>
      </c>
      <c r="AD171" s="14"/>
      <c r="AE171" s="14"/>
      <c r="AF171" s="3"/>
      <c r="AG171" s="3"/>
      <c r="AH171" s="3"/>
      <c r="AI171" s="14"/>
      <c r="AJ171" s="14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</row>
    <row r="172" spans="1:58" ht="14.25" customHeight="1" x14ac:dyDescent="0.2">
      <c r="A172" s="637"/>
      <c r="B172" s="417"/>
      <c r="C172" s="173">
        <v>162</v>
      </c>
      <c r="D172" s="165"/>
      <c r="E172" s="174">
        <v>1.4362919947250585E-3</v>
      </c>
      <c r="F172" s="502"/>
      <c r="G172" s="219">
        <f t="shared" si="14"/>
        <v>23.677027484857035</v>
      </c>
      <c r="H172" s="249">
        <f>H171+(G171*E172*'life-tables-test'!$C$66)</f>
        <v>76.322972515142965</v>
      </c>
      <c r="I172" s="516">
        <f t="shared" si="12"/>
        <v>100</v>
      </c>
      <c r="J172" s="153">
        <f>(G172*0)/(1+cDR)^'Markov Model_SA1'!cycle</f>
        <v>0</v>
      </c>
      <c r="K172" s="178">
        <f t="shared" si="8"/>
        <v>23.677027484857035</v>
      </c>
      <c r="L172" s="202">
        <f>(G172*(uPostT))/(1+oDR)^'Markov Model_SA1'!cycle</f>
        <v>12.008008902990236</v>
      </c>
      <c r="M172" s="80"/>
      <c r="N172" s="3"/>
      <c r="O172" s="80"/>
      <c r="P172" s="173">
        <v>162</v>
      </c>
      <c r="Q172" s="165"/>
      <c r="R172" s="174">
        <v>1.4362919947250585E-3</v>
      </c>
      <c r="S172" s="502"/>
      <c r="T172" s="219">
        <f t="shared" si="13"/>
        <v>22.306559145216298</v>
      </c>
      <c r="U172" s="249">
        <f>U171+(T171*R172*'life-tables-test'!$C$66)</f>
        <v>77.693440854783702</v>
      </c>
      <c r="V172" s="516">
        <f t="shared" si="10"/>
        <v>100</v>
      </c>
      <c r="W172" s="153">
        <f>(T172*0)/(1+cDR)^'Markov Model_SA1'!cycle2</f>
        <v>0</v>
      </c>
      <c r="X172" s="178">
        <f t="shared" si="11"/>
        <v>22.306559145216298</v>
      </c>
      <c r="Y172" s="202">
        <f>(T172*(uPostT))/(1+oDR)^'Markov Model_SA1'!cycle</f>
        <v>11.312964052694003</v>
      </c>
      <c r="Z172" s="80"/>
      <c r="AA172" s="3"/>
      <c r="AB172" s="3"/>
      <c r="AC172" s="14">
        <v>160</v>
      </c>
      <c r="AD172" s="14"/>
      <c r="AE172" s="14"/>
      <c r="AF172" s="3"/>
      <c r="AG172" s="3"/>
      <c r="AH172" s="3"/>
      <c r="AI172" s="14"/>
      <c r="AJ172" s="14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</row>
    <row r="173" spans="1:58" ht="14.25" customHeight="1" x14ac:dyDescent="0.2">
      <c r="A173" s="637"/>
      <c r="B173" s="417"/>
      <c r="C173" s="173">
        <v>163</v>
      </c>
      <c r="D173" s="165"/>
      <c r="E173" s="174">
        <v>1.4362919947250585E-3</v>
      </c>
      <c r="F173" s="502"/>
      <c r="G173" s="219">
        <f t="shared" si="14"/>
        <v>23.506991859680113</v>
      </c>
      <c r="H173" s="249">
        <f>H172+(G172*E173*'life-tables-test'!$C$66)</f>
        <v>76.493008140319887</v>
      </c>
      <c r="I173" s="516">
        <f t="shared" si="12"/>
        <v>100</v>
      </c>
      <c r="J173" s="153">
        <f>(G173*0)/(1+cDR)^'Markov Model_SA1'!cycle</f>
        <v>0</v>
      </c>
      <c r="K173" s="178">
        <f t="shared" si="8"/>
        <v>23.506991859680113</v>
      </c>
      <c r="L173" s="202">
        <f>(G173*(uPostT))/(1+oDR)^'Markov Model_SA1'!cycle</f>
        <v>11.89204375829474</v>
      </c>
      <c r="M173" s="80"/>
      <c r="N173" s="3"/>
      <c r="O173" s="80"/>
      <c r="P173" s="173">
        <v>163</v>
      </c>
      <c r="Q173" s="165"/>
      <c r="R173" s="174">
        <v>1.4362919947250585E-3</v>
      </c>
      <c r="S173" s="502"/>
      <c r="T173" s="219">
        <f t="shared" si="13"/>
        <v>22.146365483565617</v>
      </c>
      <c r="U173" s="249">
        <f>U172+(T172*R173*'life-tables-test'!$C$66)</f>
        <v>77.853634516434383</v>
      </c>
      <c r="V173" s="516">
        <f t="shared" si="10"/>
        <v>100</v>
      </c>
      <c r="W173" s="153">
        <f>(T173*0)/(1+cDR)^'Markov Model_SA1'!cycle2</f>
        <v>0</v>
      </c>
      <c r="X173" s="178">
        <f t="shared" si="11"/>
        <v>22.146365483565617</v>
      </c>
      <c r="Y173" s="202">
        <f>(T173*(uPostT))/(1+oDR)^'Markov Model_SA1'!cycle</f>
        <v>11.203711176225953</v>
      </c>
      <c r="Z173" s="80"/>
      <c r="AA173" s="3"/>
      <c r="AB173" s="3"/>
      <c r="AC173" s="14">
        <v>161</v>
      </c>
      <c r="AD173" s="14"/>
      <c r="AE173" s="14"/>
      <c r="AF173" s="3"/>
      <c r="AG173" s="3"/>
      <c r="AH173" s="3"/>
      <c r="AI173" s="14"/>
      <c r="AJ173" s="14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</row>
    <row r="174" spans="1:58" ht="14.25" customHeight="1" x14ac:dyDescent="0.2">
      <c r="A174" s="637"/>
      <c r="B174" s="417"/>
      <c r="C174" s="173">
        <v>164</v>
      </c>
      <c r="D174" s="165"/>
      <c r="E174" s="174">
        <v>1.4362919947250585E-3</v>
      </c>
      <c r="F174" s="502"/>
      <c r="G174" s="219">
        <f t="shared" si="14"/>
        <v>23.338177338539481</v>
      </c>
      <c r="H174" s="249">
        <f>H173+(G173*E174*'life-tables-test'!$C$66)</f>
        <v>76.661822661460519</v>
      </c>
      <c r="I174" s="516">
        <f t="shared" si="12"/>
        <v>100</v>
      </c>
      <c r="J174" s="153">
        <f>(G174*0)/(1+cDR)^'Markov Model_SA1'!cycle</f>
        <v>0</v>
      </c>
      <c r="K174" s="178">
        <f t="shared" si="8"/>
        <v>23.338177338539481</v>
      </c>
      <c r="L174" s="202">
        <f>(G174*(uPostT))/(1+oDR)^'Markov Model_SA1'!cycle</f>
        <v>11.777198525725629</v>
      </c>
      <c r="M174" s="80"/>
      <c r="N174" s="3"/>
      <c r="O174" s="80"/>
      <c r="P174" s="173">
        <v>164</v>
      </c>
      <c r="Q174" s="165"/>
      <c r="R174" s="174">
        <v>1.4362919947250585E-3</v>
      </c>
      <c r="S174" s="502"/>
      <c r="T174" s="219">
        <f t="shared" si="13"/>
        <v>21.987322246284108</v>
      </c>
      <c r="U174" s="249">
        <f>U173+(T173*R174*'life-tables-test'!$C$66)</f>
        <v>78.012677753715892</v>
      </c>
      <c r="V174" s="516">
        <f t="shared" si="10"/>
        <v>100</v>
      </c>
      <c r="W174" s="153">
        <f>(T174*0)/(1+cDR)^'Markov Model_SA1'!cycle2</f>
        <v>0</v>
      </c>
      <c r="X174" s="178">
        <f t="shared" si="11"/>
        <v>21.987322246284108</v>
      </c>
      <c r="Y174" s="202">
        <f>(T174*(uPostT))/(1+oDR)^'Markov Model_SA1'!cycle</f>
        <v>11.095513389384362</v>
      </c>
      <c r="Z174" s="80"/>
      <c r="AA174" s="3"/>
      <c r="AB174" s="3"/>
      <c r="AC174" s="14">
        <v>162</v>
      </c>
      <c r="AD174" s="14"/>
      <c r="AE174" s="14"/>
      <c r="AF174" s="3"/>
      <c r="AG174" s="3"/>
      <c r="AH174" s="3"/>
      <c r="AI174" s="14"/>
      <c r="AJ174" s="14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</row>
    <row r="175" spans="1:58" ht="14.25" customHeight="1" x14ac:dyDescent="0.2">
      <c r="A175" s="637"/>
      <c r="B175" s="417"/>
      <c r="C175" s="173">
        <v>165</v>
      </c>
      <c r="D175" s="165"/>
      <c r="E175" s="174">
        <v>1.4362919947250585E-3</v>
      </c>
      <c r="F175" s="502"/>
      <c r="G175" s="219">
        <f t="shared" si="14"/>
        <v>23.170575152125394</v>
      </c>
      <c r="H175" s="249">
        <f>H174+(G174*E175*'life-tables-test'!$C$66)</f>
        <v>76.829424847874606</v>
      </c>
      <c r="I175" s="516">
        <f t="shared" si="12"/>
        <v>100</v>
      </c>
      <c r="J175" s="153">
        <f>(G175*0)/(1+cDR)^'Markov Model_SA1'!cycle</f>
        <v>0</v>
      </c>
      <c r="K175" s="178">
        <f t="shared" si="8"/>
        <v>23.170575152125394</v>
      </c>
      <c r="L175" s="202">
        <f>(G175*(uPostT))/(1+oDR)^'Markov Model_SA1'!cycle</f>
        <v>11.663462389936852</v>
      </c>
      <c r="M175" s="80"/>
      <c r="N175" s="3"/>
      <c r="O175" s="80"/>
      <c r="P175" s="173">
        <v>165</v>
      </c>
      <c r="Q175" s="165"/>
      <c r="R175" s="174">
        <v>1.4362919947250585E-3</v>
      </c>
      <c r="S175" s="502"/>
      <c r="T175" s="219">
        <f t="shared" si="13"/>
        <v>21.829421171645222</v>
      </c>
      <c r="U175" s="249">
        <f>U174+(T174*R175*'life-tables-test'!$C$66)</f>
        <v>78.170578828354778</v>
      </c>
      <c r="V175" s="516">
        <f t="shared" si="10"/>
        <v>100</v>
      </c>
      <c r="W175" s="153">
        <f>(T175*0)/(1+cDR)^'Markov Model_SA1'!cycle2</f>
        <v>0</v>
      </c>
      <c r="X175" s="178">
        <f t="shared" si="11"/>
        <v>21.829421171645222</v>
      </c>
      <c r="Y175" s="202">
        <f>(T175*(uPostT))/(1+oDR)^'Markov Model_SA1'!cycle</f>
        <v>10.98836050283459</v>
      </c>
      <c r="Z175" s="80"/>
      <c r="AA175" s="3"/>
      <c r="AB175" s="3"/>
      <c r="AC175" s="14">
        <v>163</v>
      </c>
      <c r="AD175" s="14"/>
      <c r="AE175" s="14"/>
      <c r="AF175" s="3"/>
      <c r="AG175" s="3"/>
      <c r="AH175" s="3"/>
      <c r="AI175" s="14"/>
      <c r="AJ175" s="14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</row>
    <row r="176" spans="1:58" ht="14.25" customHeight="1" x14ac:dyDescent="0.2">
      <c r="A176" s="637"/>
      <c r="B176" s="417"/>
      <c r="C176" s="173">
        <v>166</v>
      </c>
      <c r="D176" s="165"/>
      <c r="E176" s="174">
        <v>1.4362919947250585E-3</v>
      </c>
      <c r="F176" s="502"/>
      <c r="G176" s="219">
        <f t="shared" si="14"/>
        <v>23.004176594104536</v>
      </c>
      <c r="H176" s="249">
        <f>H175+(G175*E176*'life-tables-test'!$C$66)</f>
        <v>76.995823405895464</v>
      </c>
      <c r="I176" s="516">
        <f t="shared" si="12"/>
        <v>100</v>
      </c>
      <c r="J176" s="153">
        <f>(G176*0)/(1+cDR)^'Markov Model_SA1'!cycle</f>
        <v>0</v>
      </c>
      <c r="K176" s="178">
        <f t="shared" si="8"/>
        <v>23.004176594104536</v>
      </c>
      <c r="L176" s="202">
        <f>(G176*(uPostT))/(1+oDR)^'Markov Model_SA1'!cycle</f>
        <v>11.550824640029569</v>
      </c>
      <c r="M176" s="80"/>
      <c r="N176" s="3"/>
      <c r="O176" s="80"/>
      <c r="P176" s="173">
        <v>166</v>
      </c>
      <c r="Q176" s="165"/>
      <c r="R176" s="174">
        <v>1.4362919947250585E-3</v>
      </c>
      <c r="S176" s="502"/>
      <c r="T176" s="219">
        <f t="shared" si="13"/>
        <v>21.672654057253638</v>
      </c>
      <c r="U176" s="249">
        <f>U175+(T175*R176*'life-tables-test'!$C$66)</f>
        <v>78.327345942746362</v>
      </c>
      <c r="V176" s="516">
        <f t="shared" si="10"/>
        <v>100</v>
      </c>
      <c r="W176" s="153">
        <f>(T176*0)/(1+cDR)^'Markov Model_SA1'!cycle2</f>
        <v>0</v>
      </c>
      <c r="X176" s="178">
        <f t="shared" si="11"/>
        <v>21.672654057253638</v>
      </c>
      <c r="Y176" s="202">
        <f>(T176*(uPostT))/(1+oDR)^'Markov Model_SA1'!cycle</f>
        <v>10.882242425643613</v>
      </c>
      <c r="Z176" s="80"/>
      <c r="AA176" s="3"/>
      <c r="AB176" s="3"/>
      <c r="AC176" s="14">
        <v>164</v>
      </c>
      <c r="AD176" s="14"/>
      <c r="AE176" s="14"/>
      <c r="AF176" s="3"/>
      <c r="AG176" s="3"/>
      <c r="AH176" s="3"/>
      <c r="AI176" s="14"/>
      <c r="AJ176" s="14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</row>
    <row r="177" spans="1:58" ht="14.25" customHeight="1" x14ac:dyDescent="0.2">
      <c r="A177" s="637"/>
      <c r="B177" s="417"/>
      <c r="C177" s="173">
        <v>167</v>
      </c>
      <c r="D177" s="165"/>
      <c r="E177" s="174">
        <v>1.4362919947250585E-3</v>
      </c>
      <c r="F177" s="502"/>
      <c r="G177" s="219">
        <f t="shared" si="14"/>
        <v>22.838973020667765</v>
      </c>
      <c r="H177" s="249">
        <f>H176+(G176*E177*'life-tables-test'!$C$66)</f>
        <v>77.161026979332235</v>
      </c>
      <c r="I177" s="516">
        <f t="shared" si="12"/>
        <v>100</v>
      </c>
      <c r="J177" s="153">
        <f>(G177*0)/(1+cDR)^'Markov Model_SA1'!cycle</f>
        <v>0</v>
      </c>
      <c r="K177" s="178">
        <f t="shared" si="8"/>
        <v>22.838973020667765</v>
      </c>
      <c r="L177" s="202">
        <f>(G177*(uPostT))/(1+oDR)^'Markov Model_SA1'!cycle</f>
        <v>11.439274668543472</v>
      </c>
      <c r="M177" s="80"/>
      <c r="N177" s="3"/>
      <c r="O177" s="80"/>
      <c r="P177" s="173">
        <v>167</v>
      </c>
      <c r="Q177" s="165"/>
      <c r="R177" s="174">
        <v>1.4362919947250585E-3</v>
      </c>
      <c r="S177" s="502"/>
      <c r="T177" s="219">
        <f t="shared" si="13"/>
        <v>21.517012759619249</v>
      </c>
      <c r="U177" s="249">
        <f>U176+(T176*R177*'life-tables-test'!$C$66)</f>
        <v>78.482987240380751</v>
      </c>
      <c r="V177" s="516">
        <f t="shared" si="10"/>
        <v>100</v>
      </c>
      <c r="W177" s="153">
        <f>(T177*0)/(1+cDR)^'Markov Model_SA1'!cycle2</f>
        <v>0</v>
      </c>
      <c r="X177" s="178">
        <f t="shared" si="11"/>
        <v>21.517012759619249</v>
      </c>
      <c r="Y177" s="202">
        <f>(T177*(uPostT))/(1+oDR)^'Markov Model_SA1'!cycle</f>
        <v>10.777149164329742</v>
      </c>
      <c r="Z177" s="80"/>
      <c r="AA177" s="3"/>
      <c r="AB177" s="3"/>
      <c r="AC177" s="14">
        <v>165</v>
      </c>
      <c r="AD177" s="14"/>
      <c r="AE177" s="14"/>
      <c r="AF177" s="3"/>
      <c r="AG177" s="3"/>
      <c r="AH177" s="3"/>
      <c r="AI177" s="14"/>
      <c r="AJ177" s="14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</row>
    <row r="178" spans="1:58" ht="14.25" customHeight="1" x14ac:dyDescent="0.2">
      <c r="A178" s="637"/>
      <c r="B178" s="417"/>
      <c r="C178" s="173">
        <v>168</v>
      </c>
      <c r="D178" s="165"/>
      <c r="E178" s="174">
        <v>1.4362919947250585E-3</v>
      </c>
      <c r="F178" s="502"/>
      <c r="G178" s="219">
        <f t="shared" si="14"/>
        <v>22.674955850081133</v>
      </c>
      <c r="H178" s="249">
        <f>H177+(G177*E178*'life-tables-test'!$C$66)</f>
        <v>77.325044149918867</v>
      </c>
      <c r="I178" s="516">
        <f t="shared" si="12"/>
        <v>100</v>
      </c>
      <c r="J178" s="153">
        <f>(G178*0)/(1+cDR)^'Markov Model_SA1'!cycle</f>
        <v>0</v>
      </c>
      <c r="K178" s="178">
        <f t="shared" ref="K178:K241" si="15">G178</f>
        <v>22.674955850081133</v>
      </c>
      <c r="L178" s="202">
        <f>(G178*(uPostT))/(1+oDR)^'Markov Model_SA1'!cycle</f>
        <v>11.328801970457876</v>
      </c>
      <c r="M178" s="80"/>
      <c r="N178" s="3"/>
      <c r="O178" s="80"/>
      <c r="P178" s="173">
        <v>168</v>
      </c>
      <c r="Q178" s="165"/>
      <c r="R178" s="174">
        <v>1.4362919947250585E-3</v>
      </c>
      <c r="S178" s="502"/>
      <c r="T178" s="219">
        <f t="shared" si="13"/>
        <v>21.362489193734064</v>
      </c>
      <c r="U178" s="249">
        <f>U177+(T177*R178*'life-tables-test'!$C$66)</f>
        <v>78.637510806265936</v>
      </c>
      <c r="V178" s="516">
        <f t="shared" si="10"/>
        <v>100</v>
      </c>
      <c r="W178" s="153">
        <f>(T178*0)/(1+cDR)^'Markov Model_SA1'!cycle2</f>
        <v>0</v>
      </c>
      <c r="X178" s="178">
        <f t="shared" si="11"/>
        <v>21.362489193734064</v>
      </c>
      <c r="Y178" s="202">
        <f>(T178*(uPostT))/(1+oDR)^'Markov Model_SA1'!cycle</f>
        <v>10.673070821921517</v>
      </c>
      <c r="Z178" s="80"/>
      <c r="AA178" s="3"/>
      <c r="AB178" s="3"/>
      <c r="AC178" s="14">
        <v>166</v>
      </c>
      <c r="AD178" s="14"/>
      <c r="AE178" s="14"/>
      <c r="AF178" s="3"/>
      <c r="AG178" s="3"/>
      <c r="AH178" s="3"/>
      <c r="AI178" s="14"/>
      <c r="AJ178" s="14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</row>
    <row r="179" spans="1:58" ht="14.25" customHeight="1" x14ac:dyDescent="0.2">
      <c r="A179" s="606"/>
      <c r="B179" s="417"/>
      <c r="C179" s="173">
        <v>169</v>
      </c>
      <c r="D179" s="504"/>
      <c r="E179" s="174">
        <v>1.4362919947250585E-3</v>
      </c>
      <c r="F179" s="505"/>
      <c r="G179" s="219">
        <f t="shared" si="14"/>
        <v>22.512116562240053</v>
      </c>
      <c r="H179" s="249">
        <f>H178+(G178*E179*'life-tables-test'!$C$66)</f>
        <v>77.487883437759947</v>
      </c>
      <c r="I179" s="516">
        <f t="shared" si="12"/>
        <v>100</v>
      </c>
      <c r="J179" s="180">
        <f>(G179*0)/(1+cDR)^'Markov Model_SA1'!cycle</f>
        <v>0</v>
      </c>
      <c r="K179" s="176">
        <f t="shared" si="15"/>
        <v>22.512116562240053</v>
      </c>
      <c r="L179" s="202">
        <f>(G179*(uPostT))/(1+oDR)^'Markov Model_SA1'!cycle</f>
        <v>11.219396142202401</v>
      </c>
      <c r="M179" s="80"/>
      <c r="N179" s="3"/>
      <c r="O179" s="80"/>
      <c r="P179" s="173">
        <v>169</v>
      </c>
      <c r="Q179" s="504"/>
      <c r="R179" s="174">
        <v>1.4362919947250585E-3</v>
      </c>
      <c r="S179" s="505"/>
      <c r="T179" s="219">
        <f t="shared" si="13"/>
        <v>21.209075332652262</v>
      </c>
      <c r="U179" s="249">
        <f>U178+(T178*R179*'life-tables-test'!$C$66)</f>
        <v>78.790924667347738</v>
      </c>
      <c r="V179" s="516">
        <f t="shared" si="10"/>
        <v>100</v>
      </c>
      <c r="W179" s="180">
        <f>(T179*0)/(1+cDR)^'Markov Model_SA1'!cycle2</f>
        <v>0</v>
      </c>
      <c r="X179" s="176">
        <f t="shared" si="11"/>
        <v>21.209075332652262</v>
      </c>
      <c r="Y179" s="202">
        <f>(T179*(uPostT))/(1+oDR)^'Markov Model_SA1'!cycle</f>
        <v>10.569997597025658</v>
      </c>
      <c r="Z179" s="80"/>
      <c r="AA179" s="3"/>
      <c r="AB179" s="3"/>
      <c r="AC179" s="14">
        <v>167</v>
      </c>
      <c r="AD179" s="14"/>
      <c r="AE179" s="14"/>
      <c r="AF179" s="3"/>
      <c r="AG179" s="3"/>
      <c r="AH179" s="3"/>
      <c r="AI179" s="14"/>
      <c r="AJ179" s="14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</row>
    <row r="180" spans="1:58" ht="14.25" customHeight="1" x14ac:dyDescent="0.25">
      <c r="A180" s="637" t="s">
        <v>556</v>
      </c>
      <c r="B180" s="417"/>
      <c r="C180" s="506">
        <v>170</v>
      </c>
      <c r="D180" s="506"/>
      <c r="E180" s="507">
        <v>1.4362919947250585E-3</v>
      </c>
      <c r="F180" s="508"/>
      <c r="G180" s="509">
        <f t="shared" si="14"/>
        <v>22.350446698226733</v>
      </c>
      <c r="H180" s="510">
        <f>H179+(G179*E180*'life-tables-test'!$C$66)</f>
        <v>77.649553301773267</v>
      </c>
      <c r="I180" s="518">
        <f t="shared" si="12"/>
        <v>100</v>
      </c>
      <c r="J180" s="511">
        <f>(G180*0)/(1+cDR)^'Markov Model_SA1'!cycle</f>
        <v>0</v>
      </c>
      <c r="K180" s="512">
        <f t="shared" si="15"/>
        <v>22.350446698226733</v>
      </c>
      <c r="L180" s="513">
        <f>(G180*(uPostT))/(1+oDR)^'Markov Model_SA1'!cycle</f>
        <v>11.111046880677232</v>
      </c>
      <c r="M180" s="80"/>
      <c r="N180" s="3"/>
      <c r="O180" s="80"/>
      <c r="P180" s="506">
        <v>170</v>
      </c>
      <c r="Q180" s="506"/>
      <c r="R180" s="507">
        <v>1.4362919947250585E-3</v>
      </c>
      <c r="S180" s="508"/>
      <c r="T180" s="509">
        <f t="shared" si="13"/>
        <v>21.056763207073217</v>
      </c>
      <c r="U180" s="510">
        <f>U179+(T179*R180*'life-tables-test'!$C$66)</f>
        <v>78.943236792926783</v>
      </c>
      <c r="V180" s="518">
        <f t="shared" si="10"/>
        <v>100</v>
      </c>
      <c r="W180" s="511">
        <f>(T180*0)/(1+cDR)^'Markov Model_SA1'!cycle2</f>
        <v>0</v>
      </c>
      <c r="X180" s="512">
        <f t="shared" si="11"/>
        <v>21.056763207073217</v>
      </c>
      <c r="Y180" s="513">
        <f>(T180*(uPostT))/(1+oDR)^'Markov Model_SA1'!cycle</f>
        <v>10.467919782904044</v>
      </c>
      <c r="Z180" s="80"/>
      <c r="AA180" s="3"/>
      <c r="AB180" s="3"/>
      <c r="AC180" s="14">
        <v>168</v>
      </c>
      <c r="AD180" s="14"/>
      <c r="AE180" s="14"/>
      <c r="AF180" s="3"/>
      <c r="AG180" s="3"/>
      <c r="AH180" s="3"/>
      <c r="AI180" s="14"/>
      <c r="AJ180" s="14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</row>
    <row r="181" spans="1:58" ht="14.25" customHeight="1" x14ac:dyDescent="0.2">
      <c r="A181" s="637"/>
      <c r="B181" s="417"/>
      <c r="C181" s="173">
        <v>171</v>
      </c>
      <c r="D181" s="165"/>
      <c r="E181" s="174">
        <v>1.5487919527160665E-3</v>
      </c>
      <c r="F181" s="502"/>
      <c r="G181" s="219">
        <f t="shared" si="14"/>
        <v>22.177365738297624</v>
      </c>
      <c r="H181" s="249">
        <f>H180+(G180*E181*'life-tables-test'!$C$66)</f>
        <v>77.822634261702376</v>
      </c>
      <c r="I181" s="516">
        <f t="shared" si="12"/>
        <v>100</v>
      </c>
      <c r="J181" s="153">
        <f>(G181*0)/(1+cDR)^'Markov Model_SA1'!cycle</f>
        <v>0</v>
      </c>
      <c r="K181" s="178">
        <f t="shared" si="15"/>
        <v>22.177365738297624</v>
      </c>
      <c r="L181" s="202">
        <f>(G181*(uPostT))/(1+oDR)^'Markov Model_SA1'!cycle</f>
        <v>10.997509606685304</v>
      </c>
      <c r="M181" s="80"/>
      <c r="N181" s="3"/>
      <c r="O181" s="80"/>
      <c r="P181" s="173">
        <v>171</v>
      </c>
      <c r="Q181" s="165"/>
      <c r="R181" s="174">
        <v>1.5487919527160665E-3</v>
      </c>
      <c r="S181" s="502"/>
      <c r="T181" s="219">
        <f t="shared" si="13"/>
        <v>20.893700480046405</v>
      </c>
      <c r="U181" s="249">
        <f>U180+(T180*R181*'life-tables-test'!$C$66)</f>
        <v>79.106299519953595</v>
      </c>
      <c r="V181" s="516">
        <f t="shared" si="10"/>
        <v>100</v>
      </c>
      <c r="W181" s="153">
        <f>(T181*0)/(1+cDR)^'Markov Model_SA1'!cycle2</f>
        <v>0</v>
      </c>
      <c r="X181" s="178">
        <f t="shared" si="11"/>
        <v>20.893700480046405</v>
      </c>
      <c r="Y181" s="202">
        <f>(T181*(uPostT))/(1+oDR)^'Markov Model_SA1'!cycle</f>
        <v>10.360954247677657</v>
      </c>
      <c r="Z181" s="80"/>
      <c r="AA181" s="3"/>
      <c r="AB181" s="3"/>
      <c r="AC181" s="14">
        <v>169</v>
      </c>
      <c r="AD181" s="14"/>
      <c r="AE181" s="14"/>
      <c r="AF181" s="3"/>
      <c r="AG181" s="3"/>
      <c r="AH181" s="3"/>
      <c r="AI181" s="14"/>
      <c r="AJ181" s="14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</row>
    <row r="182" spans="1:58" ht="14.25" customHeight="1" x14ac:dyDescent="0.2">
      <c r="A182" s="637"/>
      <c r="B182" s="417"/>
      <c r="C182" s="173">
        <v>172</v>
      </c>
      <c r="D182" s="165"/>
      <c r="E182" s="174">
        <v>1.5487919527160665E-3</v>
      </c>
      <c r="F182" s="502"/>
      <c r="G182" s="219">
        <f t="shared" si="14"/>
        <v>22.005625110358039</v>
      </c>
      <c r="H182" s="249">
        <f>H181+(G181*E182*'life-tables-test'!$C$66)</f>
        <v>77.994374889641961</v>
      </c>
      <c r="I182" s="516">
        <f t="shared" si="12"/>
        <v>100</v>
      </c>
      <c r="J182" s="153">
        <f>(G182*0)/(1+cDR)^'Markov Model_SA1'!cycle</f>
        <v>0</v>
      </c>
      <c r="K182" s="178">
        <f t="shared" si="15"/>
        <v>22.005625110358039</v>
      </c>
      <c r="L182" s="202">
        <f>(G182*(uPostT))/(1+oDR)^'Markov Model_SA1'!cycle</f>
        <v>10.885132503532713</v>
      </c>
      <c r="M182" s="80"/>
      <c r="N182" s="3"/>
      <c r="O182" s="80"/>
      <c r="P182" s="173">
        <v>172</v>
      </c>
      <c r="Q182" s="165"/>
      <c r="R182" s="174">
        <v>1.5487919527160665E-3</v>
      </c>
      <c r="S182" s="502"/>
      <c r="T182" s="219">
        <f t="shared" si="13"/>
        <v>20.731900504216625</v>
      </c>
      <c r="U182" s="249">
        <f>U181+(T181*R182*'life-tables-test'!$C$66)</f>
        <v>79.268099495783375</v>
      </c>
      <c r="V182" s="516">
        <f t="shared" si="10"/>
        <v>100</v>
      </c>
      <c r="W182" s="153">
        <f>(T182*0)/(1+cDR)^'Markov Model_SA1'!cycle2</f>
        <v>0</v>
      </c>
      <c r="X182" s="178">
        <f t="shared" si="11"/>
        <v>20.731900504216625</v>
      </c>
      <c r="Y182" s="202">
        <f>(T182*(uPostT))/(1+oDR)^'Markov Model_SA1'!cycle</f>
        <v>10.255081730544982</v>
      </c>
      <c r="Z182" s="80"/>
      <c r="AA182" s="3"/>
      <c r="AB182" s="3"/>
      <c r="AC182" s="14">
        <v>170</v>
      </c>
      <c r="AD182" s="14"/>
      <c r="AE182" s="14"/>
      <c r="AF182" s="3"/>
      <c r="AG182" s="3"/>
      <c r="AH182" s="3"/>
      <c r="AI182" s="14"/>
      <c r="AJ182" s="14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</row>
    <row r="183" spans="1:58" ht="14.25" customHeight="1" x14ac:dyDescent="0.2">
      <c r="A183" s="637"/>
      <c r="B183" s="417"/>
      <c r="C183" s="173">
        <v>173</v>
      </c>
      <c r="D183" s="165"/>
      <c r="E183" s="174">
        <v>1.5487919527160665E-3</v>
      </c>
      <c r="F183" s="502"/>
      <c r="G183" s="219">
        <f t="shared" si="14"/>
        <v>21.83521443493099</v>
      </c>
      <c r="H183" s="249">
        <f>H182+(G182*E183*'life-tables-test'!$C$66)</f>
        <v>78.16478556506901</v>
      </c>
      <c r="I183" s="516">
        <f t="shared" si="12"/>
        <v>100</v>
      </c>
      <c r="J183" s="153">
        <f>(G183*0)/(1+cDR)^'Markov Model_SA1'!cycle</f>
        <v>0</v>
      </c>
      <c r="K183" s="178">
        <f t="shared" si="15"/>
        <v>21.83521443493099</v>
      </c>
      <c r="L183" s="202">
        <f>(G183*(uPostT))/(1+oDR)^'Markov Model_SA1'!cycle</f>
        <v>10.773903716113827</v>
      </c>
      <c r="M183" s="80"/>
      <c r="N183" s="3"/>
      <c r="O183" s="80"/>
      <c r="P183" s="173">
        <v>173</v>
      </c>
      <c r="Q183" s="165"/>
      <c r="R183" s="174">
        <v>1.5487919527160665E-3</v>
      </c>
      <c r="S183" s="502"/>
      <c r="T183" s="219">
        <f t="shared" si="13"/>
        <v>20.571353500889415</v>
      </c>
      <c r="U183" s="249">
        <f>U182+(T182*R183*'life-tables-test'!$C$66)</f>
        <v>79.428646499110585</v>
      </c>
      <c r="V183" s="516">
        <f t="shared" si="10"/>
        <v>100</v>
      </c>
      <c r="W183" s="153">
        <f>(T183*0)/(1+cDR)^'Markov Model_SA1'!cycle2</f>
        <v>0</v>
      </c>
      <c r="X183" s="178">
        <f t="shared" si="11"/>
        <v>20.571353500889415</v>
      </c>
      <c r="Y183" s="202">
        <f>(T183*(uPostT))/(1+oDR)^'Markov Model_SA1'!cycle</f>
        <v>10.150291062594922</v>
      </c>
      <c r="Z183" s="80"/>
      <c r="AA183" s="3"/>
      <c r="AB183" s="3"/>
      <c r="AC183" s="14">
        <v>171</v>
      </c>
      <c r="AD183" s="14"/>
      <c r="AE183" s="14"/>
      <c r="AF183" s="3"/>
      <c r="AG183" s="3"/>
      <c r="AH183" s="3"/>
      <c r="AI183" s="14"/>
      <c r="AJ183" s="14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</row>
    <row r="184" spans="1:58" ht="14.25" customHeight="1" x14ac:dyDescent="0.2">
      <c r="A184" s="637"/>
      <c r="B184" s="417"/>
      <c r="C184" s="173">
        <v>174</v>
      </c>
      <c r="D184" s="165"/>
      <c r="E184" s="174">
        <v>1.5487919527160665E-3</v>
      </c>
      <c r="F184" s="502"/>
      <c r="G184" s="219">
        <f t="shared" si="14"/>
        <v>21.666123412917742</v>
      </c>
      <c r="H184" s="249">
        <f>H183+(G183*E184*'life-tables-test'!$C$66)</f>
        <v>78.333876587082258</v>
      </c>
      <c r="I184" s="516">
        <f t="shared" si="12"/>
        <v>100</v>
      </c>
      <c r="J184" s="153">
        <f>(G184*0)/(1+cDR)^'Markov Model_SA1'!cycle</f>
        <v>0</v>
      </c>
      <c r="K184" s="178">
        <f t="shared" si="15"/>
        <v>21.666123412917742</v>
      </c>
      <c r="L184" s="202">
        <f>(G184*(uPostT))/(1+oDR)^'Markov Model_SA1'!cycle</f>
        <v>10.6638115104634</v>
      </c>
      <c r="M184" s="80"/>
      <c r="N184" s="3"/>
      <c r="O184" s="80"/>
      <c r="P184" s="173">
        <v>174</v>
      </c>
      <c r="Q184" s="165"/>
      <c r="R184" s="174">
        <v>1.5487919527160665E-3</v>
      </c>
      <c r="S184" s="502"/>
      <c r="T184" s="219">
        <f t="shared" si="13"/>
        <v>20.412049767096136</v>
      </c>
      <c r="U184" s="249">
        <f>U183+(T183*R184*'life-tables-test'!$C$66)</f>
        <v>79.587950232903864</v>
      </c>
      <c r="V184" s="516">
        <f t="shared" ref="V184:V247" si="16">SUM(T184:U184)</f>
        <v>100</v>
      </c>
      <c r="W184" s="153">
        <f>(T184*0)/(1+cDR)^'Markov Model_SA1'!cycle2</f>
        <v>0</v>
      </c>
      <c r="X184" s="178">
        <f t="shared" ref="X184:X247" si="17">T184</f>
        <v>20.412049767096136</v>
      </c>
      <c r="Y184" s="202">
        <f>(T184*(uPostT))/(1+oDR)^'Markov Model_SA1'!cycle</f>
        <v>10.046571189044947</v>
      </c>
      <c r="Z184" s="80"/>
      <c r="AA184" s="3"/>
      <c r="AB184" s="3"/>
      <c r="AC184" s="14">
        <v>172</v>
      </c>
      <c r="AD184" s="14"/>
      <c r="AE184" s="14"/>
      <c r="AF184" s="3"/>
      <c r="AG184" s="3"/>
      <c r="AH184" s="3"/>
      <c r="AI184" s="14"/>
      <c r="AJ184" s="14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</row>
    <row r="185" spans="1:58" ht="14.25" customHeight="1" x14ac:dyDescent="0.2">
      <c r="A185" s="637"/>
      <c r="B185" s="417"/>
      <c r="C185" s="173">
        <v>175</v>
      </c>
      <c r="D185" s="165"/>
      <c r="E185" s="174">
        <v>1.5487919527160665E-3</v>
      </c>
      <c r="F185" s="502"/>
      <c r="G185" s="219">
        <f t="shared" si="14"/>
        <v>21.498341824975341</v>
      </c>
      <c r="H185" s="249">
        <f>H184+(G184*E185*'life-tables-test'!$C$66)</f>
        <v>78.501658175024659</v>
      </c>
      <c r="I185" s="516">
        <f t="shared" ref="I185:I248" si="18">SUM(G185:H185)</f>
        <v>100</v>
      </c>
      <c r="J185" s="153">
        <f>(G185*0)/(1+cDR)^'Markov Model_SA1'!cycle</f>
        <v>0</v>
      </c>
      <c r="K185" s="178">
        <f t="shared" si="15"/>
        <v>21.498341824975341</v>
      </c>
      <c r="L185" s="202">
        <f>(G185*(uPostT))/(1+oDR)^'Markov Model_SA1'!cycle</f>
        <v>10.554844272518672</v>
      </c>
      <c r="M185" s="80"/>
      <c r="N185" s="3"/>
      <c r="O185" s="80"/>
      <c r="P185" s="173">
        <v>175</v>
      </c>
      <c r="Q185" s="165"/>
      <c r="R185" s="174">
        <v>1.5487919527160665E-3</v>
      </c>
      <c r="S185" s="502"/>
      <c r="T185" s="219">
        <f t="shared" ref="T185:T248" si="19">$T$10-U185</f>
        <v>20.253979675007542</v>
      </c>
      <c r="U185" s="249">
        <f>U184+(T184*R185*'life-tables-test'!$C$66)</f>
        <v>79.746020324992458</v>
      </c>
      <c r="V185" s="516">
        <f t="shared" si="16"/>
        <v>100</v>
      </c>
      <c r="W185" s="153">
        <f>(T185*0)/(1+cDR)^'Markov Model_SA1'!cycle2</f>
        <v>0</v>
      </c>
      <c r="X185" s="178">
        <f t="shared" si="17"/>
        <v>20.253979675007542</v>
      </c>
      <c r="Y185" s="202">
        <f>(T185*(uPostT))/(1+oDR)^'Markov Model_SA1'!cycle</f>
        <v>9.9439111680748482</v>
      </c>
      <c r="Z185" s="80"/>
      <c r="AA185" s="3"/>
      <c r="AB185" s="3"/>
      <c r="AC185" s="14">
        <v>173</v>
      </c>
      <c r="AD185" s="14"/>
      <c r="AE185" s="14"/>
      <c r="AF185" s="3"/>
      <c r="AG185" s="3"/>
      <c r="AH185" s="3"/>
      <c r="AI185" s="14"/>
      <c r="AJ185" s="14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</row>
    <row r="186" spans="1:58" ht="14.25" customHeight="1" x14ac:dyDescent="0.2">
      <c r="A186" s="637"/>
      <c r="B186" s="417"/>
      <c r="C186" s="173">
        <v>176</v>
      </c>
      <c r="D186" s="165"/>
      <c r="E186" s="174">
        <v>1.5487919527160665E-3</v>
      </c>
      <c r="F186" s="502"/>
      <c r="G186" s="219">
        <f t="shared" si="14"/>
        <v>21.331859530899038</v>
      </c>
      <c r="H186" s="249">
        <f>H185+(G185*E186*'life-tables-test'!$C$66)</f>
        <v>78.668140469100962</v>
      </c>
      <c r="I186" s="516">
        <f t="shared" si="18"/>
        <v>100</v>
      </c>
      <c r="J186" s="153">
        <f>(G186*0)/(1+cDR)^'Markov Model_SA1'!cycle</f>
        <v>0</v>
      </c>
      <c r="K186" s="178">
        <f t="shared" si="15"/>
        <v>21.331859530899038</v>
      </c>
      <c r="L186" s="202">
        <f>(G186*(uPostT))/(1+oDR)^'Markov Model_SA1'!cycle</f>
        <v>10.446990506894194</v>
      </c>
      <c r="M186" s="80"/>
      <c r="N186" s="3"/>
      <c r="O186" s="80"/>
      <c r="P186" s="173">
        <v>176</v>
      </c>
      <c r="Q186" s="165"/>
      <c r="R186" s="174">
        <v>1.5487919527160665E-3</v>
      </c>
      <c r="S186" s="502"/>
      <c r="T186" s="219">
        <f t="shared" si="19"/>
        <v>20.097133671351912</v>
      </c>
      <c r="U186" s="249">
        <f>U185+(T185*R186*'life-tables-test'!$C$66)</f>
        <v>79.902866328648088</v>
      </c>
      <c r="V186" s="516">
        <f t="shared" si="16"/>
        <v>100</v>
      </c>
      <c r="W186" s="153">
        <f>(T186*0)/(1+cDR)^'Markov Model_SA1'!cycle2</f>
        <v>0</v>
      </c>
      <c r="X186" s="178">
        <f t="shared" si="17"/>
        <v>20.097133671351912</v>
      </c>
      <c r="Y186" s="202">
        <f>(T186*(uPostT))/(1+oDR)^'Markov Model_SA1'!cycle</f>
        <v>9.8423001696724786</v>
      </c>
      <c r="Z186" s="80"/>
      <c r="AA186" s="3"/>
      <c r="AB186" s="3"/>
      <c r="AC186" s="14">
        <v>174</v>
      </c>
      <c r="AD186" s="14"/>
      <c r="AE186" s="14"/>
      <c r="AF186" s="3"/>
      <c r="AG186" s="3"/>
      <c r="AH186" s="3"/>
      <c r="AI186" s="14"/>
      <c r="AJ186" s="14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</row>
    <row r="187" spans="1:58" ht="14.25" customHeight="1" x14ac:dyDescent="0.2">
      <c r="A187" s="637"/>
      <c r="B187" s="417"/>
      <c r="C187" s="173">
        <v>177</v>
      </c>
      <c r="D187" s="165"/>
      <c r="E187" s="174">
        <v>1.5487919527160665E-3</v>
      </c>
      <c r="F187" s="502"/>
      <c r="G187" s="219">
        <f t="shared" si="14"/>
        <v>21.166666469009414</v>
      </c>
      <c r="H187" s="249">
        <f>H186+(G186*E187*'life-tables-test'!$C$66)</f>
        <v>78.833333530990586</v>
      </c>
      <c r="I187" s="516">
        <f t="shared" si="18"/>
        <v>100</v>
      </c>
      <c r="J187" s="153">
        <f>(G187*0)/(1+cDR)^'Markov Model_SA1'!cycle</f>
        <v>0</v>
      </c>
      <c r="K187" s="178">
        <f t="shared" si="15"/>
        <v>21.166666469009414</v>
      </c>
      <c r="L187" s="202">
        <f>(G187*(uPostT))/(1+oDR)^'Markov Model_SA1'!cycle</f>
        <v>10.340238835669133</v>
      </c>
      <c r="M187" s="80"/>
      <c r="N187" s="3"/>
      <c r="O187" s="80"/>
      <c r="P187" s="173">
        <v>177</v>
      </c>
      <c r="Q187" s="165"/>
      <c r="R187" s="174">
        <v>1.5487919527160665E-3</v>
      </c>
      <c r="S187" s="502"/>
      <c r="T187" s="219">
        <f t="shared" si="19"/>
        <v>19.941502276837667</v>
      </c>
      <c r="U187" s="249">
        <f>U186+(T186*R187*'life-tables-test'!$C$66)</f>
        <v>80.058497723162333</v>
      </c>
      <c r="V187" s="516">
        <f t="shared" si="16"/>
        <v>100</v>
      </c>
      <c r="W187" s="153">
        <f>(T187*0)/(1+cDR)^'Markov Model_SA1'!cycle2</f>
        <v>0</v>
      </c>
      <c r="X187" s="178">
        <f t="shared" si="17"/>
        <v>19.941502276837667</v>
      </c>
      <c r="Y187" s="202">
        <f>(T187*(uPostT))/(1+oDR)^'Markov Model_SA1'!cycle</f>
        <v>9.7417274744912294</v>
      </c>
      <c r="Z187" s="80"/>
      <c r="AA187" s="3"/>
      <c r="AB187" s="3"/>
      <c r="AC187" s="14">
        <v>175</v>
      </c>
      <c r="AD187" s="14"/>
      <c r="AE187" s="14"/>
      <c r="AF187" s="3"/>
      <c r="AG187" s="3"/>
      <c r="AH187" s="3"/>
      <c r="AI187" s="14"/>
      <c r="AJ187" s="14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</row>
    <row r="188" spans="1:58" ht="14.25" customHeight="1" x14ac:dyDescent="0.2">
      <c r="A188" s="637"/>
      <c r="B188" s="417"/>
      <c r="C188" s="173">
        <v>178</v>
      </c>
      <c r="D188" s="165"/>
      <c r="E188" s="174">
        <v>1.5487919527160665E-3</v>
      </c>
      <c r="F188" s="502"/>
      <c r="G188" s="219">
        <f t="shared" si="14"/>
        <v>21.002752655544285</v>
      </c>
      <c r="H188" s="249">
        <f>H187+(G187*E188*'life-tables-test'!$C$66)</f>
        <v>78.997247344455715</v>
      </c>
      <c r="I188" s="516">
        <f t="shared" si="18"/>
        <v>100</v>
      </c>
      <c r="J188" s="153">
        <f>(G188*0)/(1+cDR)^'Markov Model_SA1'!cycle</f>
        <v>0</v>
      </c>
      <c r="K188" s="178">
        <f t="shared" si="15"/>
        <v>21.002752655544285</v>
      </c>
      <c r="L188" s="202">
        <f>(G188*(uPostT))/(1+oDR)^'Markov Model_SA1'!cycle</f>
        <v>10.234577997186932</v>
      </c>
      <c r="M188" s="80"/>
      <c r="N188" s="3"/>
      <c r="O188" s="80"/>
      <c r="P188" s="173">
        <v>178</v>
      </c>
      <c r="Q188" s="165"/>
      <c r="R188" s="174">
        <v>1.5487919527160665E-3</v>
      </c>
      <c r="S188" s="502"/>
      <c r="T188" s="219">
        <f t="shared" si="19"/>
        <v>19.787076085580495</v>
      </c>
      <c r="U188" s="249">
        <f>U187+(T187*R188*'life-tables-test'!$C$66)</f>
        <v>80.212923914419505</v>
      </c>
      <c r="V188" s="516">
        <f t="shared" si="16"/>
        <v>100</v>
      </c>
      <c r="W188" s="153">
        <f>(T188*0)/(1+cDR)^'Markov Model_SA1'!cycle2</f>
        <v>0</v>
      </c>
      <c r="X188" s="178">
        <f t="shared" si="17"/>
        <v>19.787076085580495</v>
      </c>
      <c r="Y188" s="202">
        <f>(T188*(uPostT))/(1+oDR)^'Markov Model_SA1'!cycle</f>
        <v>9.642182472719206</v>
      </c>
      <c r="Z188" s="80"/>
      <c r="AA188" s="3"/>
      <c r="AB188" s="3"/>
      <c r="AC188" s="14">
        <v>176</v>
      </c>
      <c r="AD188" s="14"/>
      <c r="AE188" s="14"/>
      <c r="AF188" s="3"/>
      <c r="AG188" s="3"/>
      <c r="AH188" s="3"/>
      <c r="AI188" s="14"/>
      <c r="AJ188" s="14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</row>
    <row r="189" spans="1:58" ht="14.25" customHeight="1" x14ac:dyDescent="0.2">
      <c r="A189" s="637"/>
      <c r="B189" s="417"/>
      <c r="C189" s="173">
        <v>179</v>
      </c>
      <c r="D189" s="165"/>
      <c r="E189" s="174">
        <v>1.5487919527160665E-3</v>
      </c>
      <c r="F189" s="502"/>
      <c r="G189" s="219">
        <f t="shared" si="14"/>
        <v>20.840108184055325</v>
      </c>
      <c r="H189" s="249">
        <f>H188+(G188*E189*'life-tables-test'!$C$66)</f>
        <v>79.159891815944675</v>
      </c>
      <c r="I189" s="516">
        <f t="shared" si="18"/>
        <v>100</v>
      </c>
      <c r="J189" s="153">
        <f>(G189*0)/(1+cDR)^'Markov Model_SA1'!cycle</f>
        <v>0</v>
      </c>
      <c r="K189" s="178">
        <f t="shared" si="15"/>
        <v>20.840108184055325</v>
      </c>
      <c r="L189" s="202">
        <f>(G189*(uPostT))/(1+oDR)^'Markov Model_SA1'!cycle</f>
        <v>10.129996844867328</v>
      </c>
      <c r="M189" s="80"/>
      <c r="N189" s="3"/>
      <c r="O189" s="80"/>
      <c r="P189" s="173">
        <v>179</v>
      </c>
      <c r="Q189" s="165"/>
      <c r="R189" s="174">
        <v>1.5487919527160665E-3</v>
      </c>
      <c r="S189" s="502"/>
      <c r="T189" s="219">
        <f t="shared" si="19"/>
        <v>19.633845764534854</v>
      </c>
      <c r="U189" s="249">
        <f>U188+(T188*R189*'life-tables-test'!$C$66)</f>
        <v>80.366154235465146</v>
      </c>
      <c r="V189" s="516">
        <f t="shared" si="16"/>
        <v>100</v>
      </c>
      <c r="W189" s="153">
        <f>(T189*0)/(1+cDR)^'Markov Model_SA1'!cycle2</f>
        <v>0</v>
      </c>
      <c r="X189" s="178">
        <f t="shared" si="17"/>
        <v>19.633845764534854</v>
      </c>
      <c r="Y189" s="202">
        <f>(T189*(uPostT))/(1+oDR)^'Markov Model_SA1'!cycle</f>
        <v>9.5436546629599679</v>
      </c>
      <c r="Z189" s="80"/>
      <c r="AA189" s="3"/>
      <c r="AB189" s="3"/>
      <c r="AC189" s="14">
        <v>177</v>
      </c>
      <c r="AD189" s="14"/>
      <c r="AE189" s="14"/>
      <c r="AF189" s="3"/>
      <c r="AG189" s="3"/>
      <c r="AH189" s="3"/>
      <c r="AI189" s="14"/>
      <c r="AJ189" s="14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</row>
    <row r="190" spans="1:58" ht="14.25" customHeight="1" x14ac:dyDescent="0.2">
      <c r="A190" s="637"/>
      <c r="B190" s="417"/>
      <c r="C190" s="173">
        <v>180</v>
      </c>
      <c r="D190" s="165"/>
      <c r="E190" s="174">
        <v>1.5487919527160665E-3</v>
      </c>
      <c r="F190" s="502"/>
      <c r="G190" s="219">
        <f t="shared" si="14"/>
        <v>20.678723224809346</v>
      </c>
      <c r="H190" s="249">
        <f>H189+(G189*E190*'life-tables-test'!$C$66)</f>
        <v>79.321276775190654</v>
      </c>
      <c r="I190" s="516">
        <f t="shared" si="18"/>
        <v>100</v>
      </c>
      <c r="J190" s="153">
        <f>(G190*0)/(1+cDR)^'Markov Model_SA1'!cycle</f>
        <v>0</v>
      </c>
      <c r="K190" s="178">
        <f t="shared" si="15"/>
        <v>20.678723224809346</v>
      </c>
      <c r="L190" s="202">
        <f>(G190*(uPostT))/(1+oDR)^'Markov Model_SA1'!cycle</f>
        <v>10.026484346030406</v>
      </c>
      <c r="M190" s="80"/>
      <c r="N190" s="3"/>
      <c r="O190" s="80"/>
      <c r="P190" s="173">
        <v>180</v>
      </c>
      <c r="Q190" s="165"/>
      <c r="R190" s="174">
        <v>1.5487919527160665E-3</v>
      </c>
      <c r="S190" s="502"/>
      <c r="T190" s="219">
        <f t="shared" si="19"/>
        <v>19.48180205292995</v>
      </c>
      <c r="U190" s="249">
        <f>U189+(T189*R190*'life-tables-test'!$C$66)</f>
        <v>80.51819794707005</v>
      </c>
      <c r="V190" s="516">
        <f t="shared" si="16"/>
        <v>100</v>
      </c>
      <c r="W190" s="153">
        <f>(T190*0)/(1+cDR)^'Markov Model_SA1'!cycle2</f>
        <v>0</v>
      </c>
      <c r="X190" s="178">
        <f t="shared" si="17"/>
        <v>19.48180205292995</v>
      </c>
      <c r="Y190" s="202">
        <f>(T190*(uPostT))/(1+oDR)^'Markov Model_SA1'!cycle</f>
        <v>9.4461336511246881</v>
      </c>
      <c r="Z190" s="80"/>
      <c r="AA190" s="3"/>
      <c r="AB190" s="3"/>
      <c r="AC190" s="14">
        <v>178</v>
      </c>
      <c r="AD190" s="14"/>
      <c r="AE190" s="14"/>
      <c r="AF190" s="3"/>
      <c r="AG190" s="3"/>
      <c r="AH190" s="3"/>
      <c r="AI190" s="14"/>
      <c r="AJ190" s="14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</row>
    <row r="191" spans="1:58" ht="14.25" customHeight="1" x14ac:dyDescent="0.2">
      <c r="A191" s="606"/>
      <c r="B191" s="417"/>
      <c r="C191" s="173">
        <v>181</v>
      </c>
      <c r="D191" s="504"/>
      <c r="E191" s="174">
        <v>1.5487919527160665E-3</v>
      </c>
      <c r="F191" s="505"/>
      <c r="G191" s="219">
        <f t="shared" si="14"/>
        <v>20.518588024194202</v>
      </c>
      <c r="H191" s="249">
        <f>H190+(G190*E191*'life-tables-test'!$C$66)</f>
        <v>79.481411975805798</v>
      </c>
      <c r="I191" s="516">
        <f t="shared" si="18"/>
        <v>100</v>
      </c>
      <c r="J191" s="180">
        <f>(G191*0)/(1+cDR)^'Markov Model_SA1'!cycle</f>
        <v>0</v>
      </c>
      <c r="K191" s="176">
        <f t="shared" si="15"/>
        <v>20.518588024194202</v>
      </c>
      <c r="L191" s="202">
        <f>(G191*(uPostT))/(1+oDR)^'Markov Model_SA1'!cycle</f>
        <v>9.9240295807327445</v>
      </c>
      <c r="M191" s="80"/>
      <c r="N191" s="3"/>
      <c r="O191" s="80"/>
      <c r="P191" s="173">
        <v>181</v>
      </c>
      <c r="Q191" s="504"/>
      <c r="R191" s="174">
        <v>1.5487919527160665E-3</v>
      </c>
      <c r="S191" s="505"/>
      <c r="T191" s="219">
        <f t="shared" si="19"/>
        <v>19.330935761710023</v>
      </c>
      <c r="U191" s="249">
        <f>U190+(T190*R191*'life-tables-test'!$C$66)</f>
        <v>80.669064238289977</v>
      </c>
      <c r="V191" s="516">
        <f t="shared" si="16"/>
        <v>100</v>
      </c>
      <c r="W191" s="180">
        <f>(T191*0)/(1+cDR)^'Markov Model_SA1'!cycle2</f>
        <v>0</v>
      </c>
      <c r="X191" s="176">
        <f t="shared" si="17"/>
        <v>19.330935761710023</v>
      </c>
      <c r="Y191" s="202">
        <f>(T191*(uPostT))/(1+oDR)^'Markov Model_SA1'!cycle</f>
        <v>9.3496091493356381</v>
      </c>
      <c r="Z191" s="80"/>
      <c r="AA191" s="3"/>
      <c r="AB191" s="3"/>
      <c r="AC191" s="14">
        <v>179</v>
      </c>
      <c r="AD191" s="14"/>
      <c r="AE191" s="14"/>
      <c r="AF191" s="3"/>
      <c r="AG191" s="3"/>
      <c r="AH191" s="3"/>
      <c r="AI191" s="14"/>
      <c r="AJ191" s="14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</row>
    <row r="192" spans="1:58" ht="14.25" customHeight="1" x14ac:dyDescent="0.25">
      <c r="A192" s="637" t="s">
        <v>557</v>
      </c>
      <c r="B192" s="417"/>
      <c r="C192" s="506">
        <v>182</v>
      </c>
      <c r="D192" s="506"/>
      <c r="E192" s="507">
        <v>1.5487919527160665E-3</v>
      </c>
      <c r="F192" s="508"/>
      <c r="G192" s="509">
        <f t="shared" si="14"/>
        <v>20.359692904129361</v>
      </c>
      <c r="H192" s="510">
        <f>H191+(G191*E192*'life-tables-test'!$C$66)</f>
        <v>79.640307095870639</v>
      </c>
      <c r="I192" s="518">
        <f t="shared" si="18"/>
        <v>100</v>
      </c>
      <c r="J192" s="511">
        <f>(G192*0)/(1+cDR)^'Markov Model_SA1'!cycle</f>
        <v>0</v>
      </c>
      <c r="K192" s="512">
        <f t="shared" si="15"/>
        <v>20.359692904129361</v>
      </c>
      <c r="L192" s="513">
        <f>(G192*(uPostT))/(1+oDR)^'Markov Model_SA1'!cycle</f>
        <v>9.8226217406154337</v>
      </c>
      <c r="M192" s="80"/>
      <c r="N192" s="3"/>
      <c r="O192" s="80"/>
      <c r="P192" s="506">
        <v>182</v>
      </c>
      <c r="Q192" s="506"/>
      <c r="R192" s="507">
        <v>1.5487919527160665E-3</v>
      </c>
      <c r="S192" s="508"/>
      <c r="T192" s="509">
        <f t="shared" si="19"/>
        <v>19.181237772978989</v>
      </c>
      <c r="U192" s="510">
        <f>U191+(T191*R192*'life-tables-test'!$C$66)</f>
        <v>80.818762227021011</v>
      </c>
      <c r="V192" s="518">
        <f t="shared" si="16"/>
        <v>100</v>
      </c>
      <c r="W192" s="511">
        <f>(T192*0)/(1+cDR)^'Markov Model_SA1'!cycle2</f>
        <v>0</v>
      </c>
      <c r="X192" s="512">
        <f t="shared" si="17"/>
        <v>19.181237772978989</v>
      </c>
      <c r="Y192" s="513">
        <f>(T192*(uPostT))/(1+oDR)^'Markov Model_SA1'!cycle</f>
        <v>9.2540709748408805</v>
      </c>
      <c r="Z192" s="80"/>
      <c r="AA192" s="3"/>
      <c r="AB192" s="3"/>
      <c r="AC192" s="14">
        <v>180</v>
      </c>
      <c r="AD192" s="14"/>
      <c r="AE192" s="14"/>
      <c r="AF192" s="3"/>
      <c r="AG192" s="3"/>
      <c r="AH192" s="3"/>
      <c r="AI192" s="14"/>
      <c r="AJ192" s="14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</row>
    <row r="193" spans="1:58" ht="14.25" customHeight="1" x14ac:dyDescent="0.2">
      <c r="A193" s="637"/>
      <c r="B193" s="417"/>
      <c r="C193" s="173">
        <v>183</v>
      </c>
      <c r="D193" s="165"/>
      <c r="E193" s="174">
        <v>1.7090569820643609E-3</v>
      </c>
      <c r="F193" s="502"/>
      <c r="G193" s="219">
        <f t="shared" si="14"/>
        <v>20.185713527576922</v>
      </c>
      <c r="H193" s="249">
        <f>H192+(G192*E193*'life-tables-test'!$C$66)</f>
        <v>79.814286472423078</v>
      </c>
      <c r="I193" s="516">
        <f t="shared" si="18"/>
        <v>100</v>
      </c>
      <c r="J193" s="153">
        <f>(G193*0)/(1+cDR)^'Markov Model_SA1'!cycle</f>
        <v>0</v>
      </c>
      <c r="K193" s="178">
        <f t="shared" si="15"/>
        <v>20.185713527576922</v>
      </c>
      <c r="L193" s="202">
        <f>(G193*(uPostT))/(1+oDR)^'Markov Model_SA1'!cycle</f>
        <v>9.7143986426688826</v>
      </c>
      <c r="M193" s="80"/>
      <c r="N193" s="3"/>
      <c r="O193" s="80"/>
      <c r="P193" s="173">
        <v>183</v>
      </c>
      <c r="Q193" s="165"/>
      <c r="R193" s="174">
        <v>1.7090569820643609E-3</v>
      </c>
      <c r="S193" s="502"/>
      <c r="T193" s="219">
        <f t="shared" si="19"/>
        <v>19.017328631276257</v>
      </c>
      <c r="U193" s="249">
        <f>U192+(T192*R193*'life-tables-test'!$C$66)</f>
        <v>80.982671368723743</v>
      </c>
      <c r="V193" s="516">
        <f t="shared" si="16"/>
        <v>100</v>
      </c>
      <c r="W193" s="153">
        <f>(T193*0)/(1+cDR)^'Markov Model_SA1'!cycle2</f>
        <v>0</v>
      </c>
      <c r="X193" s="178">
        <f t="shared" si="17"/>
        <v>19.017328631276257</v>
      </c>
      <c r="Y193" s="202">
        <f>(T193*(uPostT))/(1+oDR)^'Markov Model_SA1'!cycle</f>
        <v>9.1521120217262109</v>
      </c>
      <c r="Z193" s="80"/>
      <c r="AA193" s="3"/>
      <c r="AB193" s="3"/>
      <c r="AC193" s="14">
        <v>181</v>
      </c>
      <c r="AD193" s="14"/>
      <c r="AE193" s="14"/>
      <c r="AF193" s="3"/>
      <c r="AG193" s="3"/>
      <c r="AH193" s="3"/>
      <c r="AI193" s="14"/>
      <c r="AJ193" s="14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</row>
    <row r="194" spans="1:58" ht="14.25" customHeight="1" x14ac:dyDescent="0.2">
      <c r="A194" s="637"/>
      <c r="B194" s="417"/>
      <c r="C194" s="173">
        <v>184</v>
      </c>
      <c r="D194" s="165"/>
      <c r="E194" s="174">
        <v>1.7090569820643609E-3</v>
      </c>
      <c r="F194" s="502"/>
      <c r="G194" s="219">
        <f t="shared" si="14"/>
        <v>20.013220854365642</v>
      </c>
      <c r="H194" s="249">
        <f>H193+(G193*E194*'life-tables-test'!$C$66)</f>
        <v>79.986779145634358</v>
      </c>
      <c r="I194" s="516">
        <f t="shared" si="18"/>
        <v>100</v>
      </c>
      <c r="J194" s="153">
        <f>(G194*0)/(1+cDR)^'Markov Model_SA1'!cycle</f>
        <v>0</v>
      </c>
      <c r="K194" s="178">
        <f t="shared" si="15"/>
        <v>20.013220854365642</v>
      </c>
      <c r="L194" s="202">
        <f>(G194*(uPostT))/(1+oDR)^'Markov Model_SA1'!cycle</f>
        <v>9.6073679187379906</v>
      </c>
      <c r="M194" s="80"/>
      <c r="N194" s="3"/>
      <c r="O194" s="80"/>
      <c r="P194" s="173">
        <v>184</v>
      </c>
      <c r="Q194" s="165"/>
      <c r="R194" s="174">
        <v>1.7090569820643609E-3</v>
      </c>
      <c r="S194" s="502"/>
      <c r="T194" s="219">
        <f t="shared" si="19"/>
        <v>18.854820139888787</v>
      </c>
      <c r="U194" s="249">
        <f>U193+(T193*R194*'life-tables-test'!$C$66)</f>
        <v>81.145179860111213</v>
      </c>
      <c r="V194" s="516">
        <f t="shared" si="16"/>
        <v>100</v>
      </c>
      <c r="W194" s="153">
        <f>(T194*0)/(1+cDR)^'Markov Model_SA1'!cycle2</f>
        <v>0</v>
      </c>
      <c r="X194" s="178">
        <f t="shared" si="17"/>
        <v>18.854820139888787</v>
      </c>
      <c r="Y194" s="202">
        <f>(T194*(uPostT))/(1+oDR)^'Markov Model_SA1'!cycle</f>
        <v>9.0512764259046214</v>
      </c>
      <c r="Z194" s="80"/>
      <c r="AA194" s="3"/>
      <c r="AB194" s="3"/>
      <c r="AC194" s="14">
        <v>182</v>
      </c>
      <c r="AD194" s="14"/>
      <c r="AE194" s="14"/>
      <c r="AF194" s="3"/>
      <c r="AG194" s="3"/>
      <c r="AH194" s="3"/>
      <c r="AI194" s="14"/>
      <c r="AJ194" s="14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</row>
    <row r="195" spans="1:58" ht="14.25" customHeight="1" x14ac:dyDescent="0.2">
      <c r="A195" s="637"/>
      <c r="B195" s="417"/>
      <c r="C195" s="173">
        <v>185</v>
      </c>
      <c r="D195" s="165"/>
      <c r="E195" s="174">
        <v>1.7090569820643609E-3</v>
      </c>
      <c r="F195" s="502"/>
      <c r="G195" s="219">
        <f t="shared" si="14"/>
        <v>19.84220218019189</v>
      </c>
      <c r="H195" s="249">
        <f>H194+(G194*E195*'life-tables-test'!$C$66)</f>
        <v>80.15779781980811</v>
      </c>
      <c r="I195" s="516">
        <f t="shared" si="18"/>
        <v>100</v>
      </c>
      <c r="J195" s="153">
        <f>(G195*0)/(1+cDR)^'Markov Model_SA1'!cycle</f>
        <v>0</v>
      </c>
      <c r="K195" s="178">
        <f t="shared" si="15"/>
        <v>19.84220218019189</v>
      </c>
      <c r="L195" s="202">
        <f>(G195*(uPostT))/(1+oDR)^'Markov Model_SA1'!cycle</f>
        <v>9.5015164315551974</v>
      </c>
      <c r="M195" s="80"/>
      <c r="N195" s="3"/>
      <c r="O195" s="80"/>
      <c r="P195" s="173">
        <v>185</v>
      </c>
      <c r="Q195" s="165"/>
      <c r="R195" s="174">
        <v>1.7090569820643609E-3</v>
      </c>
      <c r="S195" s="502"/>
      <c r="T195" s="219">
        <f t="shared" si="19"/>
        <v>18.693700329860562</v>
      </c>
      <c r="U195" s="249">
        <f>U194+(T194*R195*'life-tables-test'!$C$66)</f>
        <v>81.306299670139438</v>
      </c>
      <c r="V195" s="516">
        <f t="shared" si="16"/>
        <v>100</v>
      </c>
      <c r="W195" s="153">
        <f>(T195*0)/(1+cDR)^'Markov Model_SA1'!cycle2</f>
        <v>0</v>
      </c>
      <c r="X195" s="178">
        <f t="shared" si="17"/>
        <v>18.693700329860562</v>
      </c>
      <c r="Y195" s="202">
        <f>(T195*(uPostT))/(1+oDR)^'Markov Model_SA1'!cycle</f>
        <v>8.951551810516893</v>
      </c>
      <c r="Z195" s="80"/>
      <c r="AA195" s="3"/>
      <c r="AB195" s="3"/>
      <c r="AC195" s="14">
        <v>183</v>
      </c>
      <c r="AD195" s="14"/>
      <c r="AE195" s="14"/>
      <c r="AF195" s="3"/>
      <c r="AG195" s="3"/>
      <c r="AH195" s="3"/>
      <c r="AI195" s="14"/>
      <c r="AJ195" s="14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</row>
    <row r="196" spans="1:58" ht="14.25" customHeight="1" x14ac:dyDescent="0.2">
      <c r="A196" s="637"/>
      <c r="B196" s="417"/>
      <c r="C196" s="173">
        <v>186</v>
      </c>
      <c r="D196" s="165"/>
      <c r="E196" s="174">
        <v>1.7090569820643609E-3</v>
      </c>
      <c r="F196" s="502"/>
      <c r="G196" s="219">
        <f t="shared" si="14"/>
        <v>19.672644909313945</v>
      </c>
      <c r="H196" s="249">
        <f>H195+(G195*E196*'life-tables-test'!$C$66)</f>
        <v>80.327355090686055</v>
      </c>
      <c r="I196" s="516">
        <f t="shared" si="18"/>
        <v>100</v>
      </c>
      <c r="J196" s="153">
        <f>(G196*0)/(1+cDR)^'Markov Model_SA1'!cycle</f>
        <v>0</v>
      </c>
      <c r="K196" s="178">
        <f t="shared" si="15"/>
        <v>19.672644909313945</v>
      </c>
      <c r="L196" s="202">
        <f>(G196*(uPostT))/(1+oDR)^'Markov Model_SA1'!cycle</f>
        <v>9.3968311885959679</v>
      </c>
      <c r="M196" s="80"/>
      <c r="N196" s="3"/>
      <c r="O196" s="80"/>
      <c r="P196" s="173">
        <v>186</v>
      </c>
      <c r="Q196" s="165"/>
      <c r="R196" s="174">
        <v>1.7090569820643609E-3</v>
      </c>
      <c r="S196" s="502"/>
      <c r="T196" s="219">
        <f t="shared" si="19"/>
        <v>18.53395733451373</v>
      </c>
      <c r="U196" s="249">
        <f>U195+(T195*R196*'life-tables-test'!$C$66)</f>
        <v>81.46604266548627</v>
      </c>
      <c r="V196" s="516">
        <f t="shared" si="16"/>
        <v>100</v>
      </c>
      <c r="W196" s="153">
        <f>(T196*0)/(1+cDR)^'Markov Model_SA1'!cycle2</f>
        <v>0</v>
      </c>
      <c r="X196" s="178">
        <f t="shared" si="17"/>
        <v>18.53395733451373</v>
      </c>
      <c r="Y196" s="202">
        <f>(T196*(uPostT))/(1+oDR)^'Markov Model_SA1'!cycle</f>
        <v>8.8529259350688498</v>
      </c>
      <c r="Z196" s="80"/>
      <c r="AA196" s="3"/>
      <c r="AB196" s="3"/>
      <c r="AC196" s="14">
        <v>184</v>
      </c>
      <c r="AD196" s="14"/>
      <c r="AE196" s="14"/>
      <c r="AF196" s="3"/>
      <c r="AG196" s="3"/>
      <c r="AH196" s="3"/>
      <c r="AI196" s="14"/>
      <c r="AJ196" s="14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</row>
    <row r="197" spans="1:58" ht="14.25" customHeight="1" x14ac:dyDescent="0.2">
      <c r="A197" s="637"/>
      <c r="B197" s="417"/>
      <c r="C197" s="173">
        <v>187</v>
      </c>
      <c r="D197" s="165"/>
      <c r="E197" s="174">
        <v>1.7090569820643609E-3</v>
      </c>
      <c r="F197" s="502"/>
      <c r="G197" s="219">
        <f t="shared" si="14"/>
        <v>19.504536553624263</v>
      </c>
      <c r="H197" s="249">
        <f>H196+(G196*E197*'life-tables-test'!$C$66)</f>
        <v>80.495463446375737</v>
      </c>
      <c r="I197" s="516">
        <f t="shared" si="18"/>
        <v>100</v>
      </c>
      <c r="J197" s="153">
        <f>(G197*0)/(1+cDR)^'Markov Model_SA1'!cycle</f>
        <v>0</v>
      </c>
      <c r="K197" s="178">
        <f t="shared" si="15"/>
        <v>19.504536553624263</v>
      </c>
      <c r="L197" s="202">
        <f>(G197*(uPostT))/(1+oDR)^'Markov Model_SA1'!cycle</f>
        <v>9.2932993404840065</v>
      </c>
      <c r="M197" s="80"/>
      <c r="N197" s="3"/>
      <c r="O197" s="80"/>
      <c r="P197" s="173">
        <v>187</v>
      </c>
      <c r="Q197" s="165"/>
      <c r="R197" s="174">
        <v>1.7090569820643609E-3</v>
      </c>
      <c r="S197" s="502"/>
      <c r="T197" s="219">
        <f t="shared" si="19"/>
        <v>18.375579388574565</v>
      </c>
      <c r="U197" s="249">
        <f>U196+(T196*R197*'life-tables-test'!$C$66)</f>
        <v>81.624420611425435</v>
      </c>
      <c r="V197" s="516">
        <f t="shared" si="16"/>
        <v>100</v>
      </c>
      <c r="W197" s="153">
        <f>(T197*0)/(1+cDR)^'Markov Model_SA1'!cycle2</f>
        <v>0</v>
      </c>
      <c r="X197" s="178">
        <f t="shared" si="17"/>
        <v>18.375579388574565</v>
      </c>
      <c r="Y197" s="202">
        <f>(T197*(uPostT))/(1+oDR)^'Markov Model_SA1'!cycle</f>
        <v>8.7553866939288891</v>
      </c>
      <c r="Z197" s="80"/>
      <c r="AA197" s="3"/>
      <c r="AB197" s="3"/>
      <c r="AC197" s="14">
        <v>185</v>
      </c>
      <c r="AD197" s="14"/>
      <c r="AE197" s="14"/>
      <c r="AF197" s="3"/>
      <c r="AG197" s="3"/>
      <c r="AH197" s="3"/>
      <c r="AI197" s="14"/>
      <c r="AJ197" s="14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</row>
    <row r="198" spans="1:58" ht="14.25" customHeight="1" x14ac:dyDescent="0.2">
      <c r="A198" s="637"/>
      <c r="B198" s="417"/>
      <c r="C198" s="173">
        <v>188</v>
      </c>
      <c r="D198" s="165"/>
      <c r="E198" s="174">
        <v>1.7090569820643609E-3</v>
      </c>
      <c r="F198" s="502"/>
      <c r="G198" s="219">
        <f t="shared" si="14"/>
        <v>19.337864731729752</v>
      </c>
      <c r="H198" s="249">
        <f>H197+(G197*E198*'life-tables-test'!$C$66)</f>
        <v>80.662135268270248</v>
      </c>
      <c r="I198" s="516">
        <f t="shared" si="18"/>
        <v>100</v>
      </c>
      <c r="J198" s="153">
        <f>(G198*0)/(1+cDR)^'Markov Model_SA1'!cycle</f>
        <v>0</v>
      </c>
      <c r="K198" s="178">
        <f t="shared" si="15"/>
        <v>19.337864731729752</v>
      </c>
      <c r="L198" s="202">
        <f>(G198*(uPostT))/(1+oDR)^'Markov Model_SA1'!cycle</f>
        <v>9.1909081794141265</v>
      </c>
      <c r="M198" s="80"/>
      <c r="N198" s="3"/>
      <c r="O198" s="80"/>
      <c r="P198" s="173">
        <v>188</v>
      </c>
      <c r="Q198" s="165"/>
      <c r="R198" s="174">
        <v>1.7090569820643609E-3</v>
      </c>
      <c r="S198" s="502"/>
      <c r="T198" s="219">
        <f t="shared" si="19"/>
        <v>18.21855482730696</v>
      </c>
      <c r="U198" s="249">
        <f>U197+(T197*R198*'life-tables-test'!$C$66)</f>
        <v>81.78144517269304</v>
      </c>
      <c r="V198" s="516">
        <f t="shared" si="16"/>
        <v>100</v>
      </c>
      <c r="W198" s="153">
        <f>(T198*0)/(1+cDR)^'Markov Model_SA1'!cycle2</f>
        <v>0</v>
      </c>
      <c r="X198" s="178">
        <f t="shared" si="17"/>
        <v>18.21855482730696</v>
      </c>
      <c r="Y198" s="202">
        <f>(T198*(uPostT))/(1+oDR)^'Markov Model_SA1'!cycle</f>
        <v>8.658922114842122</v>
      </c>
      <c r="Z198" s="80"/>
      <c r="AA198" s="3"/>
      <c r="AB198" s="3"/>
      <c r="AC198" s="14">
        <v>186</v>
      </c>
      <c r="AD198" s="14"/>
      <c r="AE198" s="14"/>
      <c r="AF198" s="3"/>
      <c r="AG198" s="3"/>
      <c r="AH198" s="3"/>
      <c r="AI198" s="14"/>
      <c r="AJ198" s="14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</row>
    <row r="199" spans="1:58" ht="14.25" customHeight="1" x14ac:dyDescent="0.2">
      <c r="A199" s="637"/>
      <c r="B199" s="417"/>
      <c r="C199" s="173">
        <v>189</v>
      </c>
      <c r="D199" s="165"/>
      <c r="E199" s="174">
        <v>1.7090569820643609E-3</v>
      </c>
      <c r="F199" s="502"/>
      <c r="G199" s="219">
        <f t="shared" si="14"/>
        <v>19.172617168039864</v>
      </c>
      <c r="H199" s="249">
        <f>H198+(G198*E199*'life-tables-test'!$C$66)</f>
        <v>80.827382831960136</v>
      </c>
      <c r="I199" s="516">
        <f t="shared" si="18"/>
        <v>100</v>
      </c>
      <c r="J199" s="153">
        <f>(G199*0)/(1+cDR)^'Markov Model_SA1'!cycle</f>
        <v>0</v>
      </c>
      <c r="K199" s="178">
        <f t="shared" si="15"/>
        <v>19.172617168039864</v>
      </c>
      <c r="L199" s="202">
        <f>(G199*(uPostT))/(1+oDR)^'Markov Model_SA1'!cycle</f>
        <v>9.0896451375924467</v>
      </c>
      <c r="M199" s="80"/>
      <c r="N199" s="3"/>
      <c r="O199" s="80"/>
      <c r="P199" s="173">
        <v>189</v>
      </c>
      <c r="Q199" s="165"/>
      <c r="R199" s="174">
        <v>1.7090569820643609E-3</v>
      </c>
      <c r="S199" s="502"/>
      <c r="T199" s="219">
        <f t="shared" si="19"/>
        <v>18.062872085653296</v>
      </c>
      <c r="U199" s="249">
        <f>U198+(T198*R199*'life-tables-test'!$C$66)</f>
        <v>81.937127914346704</v>
      </c>
      <c r="V199" s="516">
        <f t="shared" si="16"/>
        <v>100</v>
      </c>
      <c r="W199" s="153">
        <f>(T199*0)/(1+cDR)^'Markov Model_SA1'!cycle2</f>
        <v>0</v>
      </c>
      <c r="X199" s="178">
        <f t="shared" si="17"/>
        <v>18.062872085653296</v>
      </c>
      <c r="Y199" s="202">
        <f>(T199*(uPostT))/(1+oDR)^'Markov Model_SA1'!cycle</f>
        <v>8.5635203574608525</v>
      </c>
      <c r="Z199" s="80"/>
      <c r="AA199" s="3"/>
      <c r="AB199" s="3"/>
      <c r="AC199" s="14">
        <v>187</v>
      </c>
      <c r="AD199" s="14"/>
      <c r="AE199" s="14"/>
      <c r="AF199" s="3"/>
      <c r="AG199" s="3"/>
      <c r="AH199" s="3"/>
      <c r="AI199" s="14"/>
      <c r="AJ199" s="14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</row>
    <row r="200" spans="1:58" ht="14.25" customHeight="1" x14ac:dyDescent="0.2">
      <c r="A200" s="637"/>
      <c r="B200" s="417"/>
      <c r="C200" s="173">
        <v>190</v>
      </c>
      <c r="D200" s="165"/>
      <c r="E200" s="174">
        <v>1.7090569820643609E-3</v>
      </c>
      <c r="F200" s="502"/>
      <c r="G200" s="219">
        <f t="shared" si="14"/>
        <v>19.008781691862438</v>
      </c>
      <c r="H200" s="249">
        <f>H199+(G199*E200*'life-tables-test'!$C$66)</f>
        <v>80.991218308137562</v>
      </c>
      <c r="I200" s="516">
        <f t="shared" si="18"/>
        <v>100</v>
      </c>
      <c r="J200" s="153">
        <f>(G200*0)/(1+cDR)^'Markov Model_SA1'!cycle</f>
        <v>0</v>
      </c>
      <c r="K200" s="178">
        <f t="shared" si="15"/>
        <v>19.008781691862438</v>
      </c>
      <c r="L200" s="202">
        <f>(G200*(uPostT))/(1+oDR)^'Markov Model_SA1'!cycle</f>
        <v>8.9894977856937679</v>
      </c>
      <c r="M200" s="80"/>
      <c r="N200" s="3"/>
      <c r="O200" s="80"/>
      <c r="P200" s="173">
        <v>190</v>
      </c>
      <c r="Q200" s="165"/>
      <c r="R200" s="174">
        <v>1.7090569820643609E-3</v>
      </c>
      <c r="S200" s="502"/>
      <c r="T200" s="219">
        <f t="shared" si="19"/>
        <v>17.908519697382687</v>
      </c>
      <c r="U200" s="249">
        <f>U199+(T199*R200*'life-tables-test'!$C$66)</f>
        <v>82.091480302617313</v>
      </c>
      <c r="V200" s="516">
        <f t="shared" si="16"/>
        <v>100</v>
      </c>
      <c r="W200" s="153">
        <f>(T200*0)/(1+cDR)^'Markov Model_SA1'!cycle2</f>
        <v>0</v>
      </c>
      <c r="X200" s="178">
        <f t="shared" si="17"/>
        <v>17.908519697382687</v>
      </c>
      <c r="Y200" s="202">
        <f>(T200*(uPostT))/(1+oDR)^'Markov Model_SA1'!cycle</f>
        <v>8.469169711891281</v>
      </c>
      <c r="Z200" s="80"/>
      <c r="AA200" s="3"/>
      <c r="AB200" s="3"/>
      <c r="AC200" s="14">
        <v>188</v>
      </c>
      <c r="AD200" s="14"/>
      <c r="AE200" s="14"/>
      <c r="AF200" s="3"/>
      <c r="AG200" s="3"/>
      <c r="AH200" s="3"/>
      <c r="AI200" s="14"/>
      <c r="AJ200" s="14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</row>
    <row r="201" spans="1:58" ht="14.25" customHeight="1" x14ac:dyDescent="0.2">
      <c r="A201" s="637"/>
      <c r="B201" s="417"/>
      <c r="C201" s="173">
        <v>191</v>
      </c>
      <c r="D201" s="165"/>
      <c r="E201" s="174">
        <v>1.7090569820643609E-3</v>
      </c>
      <c r="F201" s="502"/>
      <c r="G201" s="219">
        <f t="shared" si="14"/>
        <v>18.846346236507358</v>
      </c>
      <c r="H201" s="249">
        <f>H200+(G200*E201*'life-tables-test'!$C$66)</f>
        <v>81.153653763492642</v>
      </c>
      <c r="I201" s="516">
        <f t="shared" si="18"/>
        <v>100</v>
      </c>
      <c r="J201" s="153">
        <f>(G201*0)/(1+cDR)^'Markov Model_SA1'!cycle</f>
        <v>0</v>
      </c>
      <c r="K201" s="178">
        <f t="shared" si="15"/>
        <v>18.846346236507358</v>
      </c>
      <c r="L201" s="202">
        <f>(G201*(uPostT))/(1+oDR)^'Markov Model_SA1'!cycle</f>
        <v>8.8904538313359662</v>
      </c>
      <c r="M201" s="80"/>
      <c r="N201" s="3"/>
      <c r="O201" s="80"/>
      <c r="P201" s="173">
        <v>191</v>
      </c>
      <c r="Q201" s="165"/>
      <c r="R201" s="174">
        <v>1.7090569820643609E-3</v>
      </c>
      <c r="S201" s="502"/>
      <c r="T201" s="219">
        <f t="shared" si="19"/>
        <v>17.755486294246438</v>
      </c>
      <c r="U201" s="249">
        <f>U200+(T200*R201*'life-tables-test'!$C$66)</f>
        <v>82.244513705753562</v>
      </c>
      <c r="V201" s="516">
        <f t="shared" si="16"/>
        <v>100</v>
      </c>
      <c r="W201" s="153">
        <f>(T201*0)/(1+cDR)^'Markov Model_SA1'!cycle2</f>
        <v>0</v>
      </c>
      <c r="X201" s="178">
        <f t="shared" si="17"/>
        <v>17.755486294246438</v>
      </c>
      <c r="Y201" s="202">
        <f>(T201*(uPostT))/(1+oDR)^'Markov Model_SA1'!cycle</f>
        <v>8.3758585972561619</v>
      </c>
      <c r="Z201" s="80"/>
      <c r="AA201" s="3"/>
      <c r="AB201" s="3"/>
      <c r="AC201" s="14">
        <v>189</v>
      </c>
      <c r="AD201" s="14"/>
      <c r="AE201" s="14"/>
      <c r="AF201" s="3"/>
      <c r="AG201" s="3"/>
      <c r="AH201" s="3"/>
      <c r="AI201" s="14"/>
      <c r="AJ201" s="14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ht="14.25" customHeight="1" x14ac:dyDescent="0.2">
      <c r="A202" s="637"/>
      <c r="B202" s="417"/>
      <c r="C202" s="173">
        <v>192</v>
      </c>
      <c r="D202" s="165"/>
      <c r="E202" s="174">
        <v>1.7090569820643609E-3</v>
      </c>
      <c r="F202" s="502"/>
      <c r="G202" s="219">
        <f t="shared" si="14"/>
        <v>18.685298838397827</v>
      </c>
      <c r="H202" s="249">
        <f>H201+(G201*E202*'life-tables-test'!$C$66)</f>
        <v>81.314701161602173</v>
      </c>
      <c r="I202" s="516">
        <f t="shared" si="18"/>
        <v>100</v>
      </c>
      <c r="J202" s="153">
        <f>(G202*0)/(1+cDR)^'Markov Model_SA1'!cycle</f>
        <v>0</v>
      </c>
      <c r="K202" s="178">
        <f t="shared" si="15"/>
        <v>18.685298838397827</v>
      </c>
      <c r="L202" s="202">
        <f>(G202*(uPostT))/(1+oDR)^'Markov Model_SA1'!cycle</f>
        <v>8.7925011175712058</v>
      </c>
      <c r="M202" s="80"/>
      <c r="N202" s="3"/>
      <c r="O202" s="80"/>
      <c r="P202" s="173">
        <v>192</v>
      </c>
      <c r="Q202" s="165"/>
      <c r="R202" s="174">
        <v>1.7090569820643609E-3</v>
      </c>
      <c r="S202" s="502"/>
      <c r="T202" s="219">
        <f t="shared" si="19"/>
        <v>17.603760605140792</v>
      </c>
      <c r="U202" s="249">
        <f>U201+(T201*R202*'life-tables-test'!$C$66)</f>
        <v>82.396239394859208</v>
      </c>
      <c r="V202" s="516">
        <f t="shared" si="16"/>
        <v>100</v>
      </c>
      <c r="W202" s="153">
        <f>(T202*0)/(1+cDR)^'Markov Model_SA1'!cycle2</f>
        <v>0</v>
      </c>
      <c r="X202" s="178">
        <f t="shared" si="17"/>
        <v>17.603760605140792</v>
      </c>
      <c r="Y202" s="202">
        <f>(T202*(uPostT))/(1+oDR)^'Markov Model_SA1'!cycle</f>
        <v>8.2835755602733556</v>
      </c>
      <c r="Z202" s="80"/>
      <c r="AA202" s="3"/>
      <c r="AB202" s="3"/>
      <c r="AC202" s="14">
        <v>190</v>
      </c>
      <c r="AD202" s="14"/>
      <c r="AE202" s="14"/>
      <c r="AF202" s="3"/>
      <c r="AG202" s="3"/>
      <c r="AH202" s="3"/>
      <c r="AI202" s="14"/>
      <c r="AJ202" s="14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ht="14.25" customHeight="1" x14ac:dyDescent="0.2">
      <c r="A203" s="606"/>
      <c r="B203" s="417"/>
      <c r="C203" s="173">
        <v>193</v>
      </c>
      <c r="D203" s="504"/>
      <c r="E203" s="174">
        <v>1.7090569820643609E-3</v>
      </c>
      <c r="F203" s="505"/>
      <c r="G203" s="219">
        <f t="shared" si="14"/>
        <v>18.525627636189213</v>
      </c>
      <c r="H203" s="249">
        <f>H202+(G202*E203*'life-tables-test'!$C$66)</f>
        <v>81.474372363810787</v>
      </c>
      <c r="I203" s="516">
        <f t="shared" si="18"/>
        <v>100</v>
      </c>
      <c r="J203" s="180">
        <f>(G203*0)/(1+cDR)^'Markov Model_SA1'!cycle</f>
        <v>0</v>
      </c>
      <c r="K203" s="176">
        <f t="shared" si="15"/>
        <v>18.525627636189213</v>
      </c>
      <c r="L203" s="202">
        <f>(G203*(uPostT))/(1+oDR)^'Markov Model_SA1'!cycle</f>
        <v>8.6956276213937524</v>
      </c>
      <c r="M203" s="80"/>
      <c r="N203" s="3"/>
      <c r="O203" s="80"/>
      <c r="P203" s="173">
        <v>193</v>
      </c>
      <c r="Q203" s="504"/>
      <c r="R203" s="174">
        <v>1.7090569820643609E-3</v>
      </c>
      <c r="S203" s="505"/>
      <c r="T203" s="219">
        <f t="shared" si="19"/>
        <v>17.453331455276768</v>
      </c>
      <c r="U203" s="249">
        <f>U202+(T202*R203*'life-tables-test'!$C$66)</f>
        <v>82.546668544723232</v>
      </c>
      <c r="V203" s="516">
        <f t="shared" si="16"/>
        <v>100</v>
      </c>
      <c r="W203" s="180">
        <f>(T203*0)/(1+cDR)^'Markov Model_SA1'!cycle2</f>
        <v>0</v>
      </c>
      <c r="X203" s="176">
        <f t="shared" si="17"/>
        <v>17.453331455276768</v>
      </c>
      <c r="Y203" s="202">
        <f>(T203*(uPostT))/(1+oDR)^'Markov Model_SA1'!cycle</f>
        <v>8.1923092738500181</v>
      </c>
      <c r="Z203" s="80"/>
      <c r="AA203" s="3"/>
      <c r="AB203" s="3"/>
      <c r="AC203" s="14">
        <v>191</v>
      </c>
      <c r="AD203" s="14"/>
      <c r="AE203" s="14"/>
      <c r="AF203" s="3"/>
      <c r="AG203" s="3"/>
      <c r="AH203" s="3"/>
      <c r="AI203" s="14"/>
      <c r="AJ203" s="14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  <row r="204" spans="1:58" ht="14.25" customHeight="1" x14ac:dyDescent="0.25">
      <c r="A204" s="637" t="s">
        <v>558</v>
      </c>
      <c r="B204" s="417"/>
      <c r="C204" s="506">
        <v>194</v>
      </c>
      <c r="D204" s="506"/>
      <c r="E204" s="507">
        <v>1.7090569820643609E-3</v>
      </c>
      <c r="F204" s="508"/>
      <c r="G204" s="509">
        <f t="shared" ref="G204:G267" si="20">$G$10-H204</f>
        <v>18.367320869895451</v>
      </c>
      <c r="H204" s="510">
        <f>H203+(G203*E204*'life-tables-test'!$C$66)</f>
        <v>81.632679130104549</v>
      </c>
      <c r="I204" s="518">
        <f t="shared" si="18"/>
        <v>100</v>
      </c>
      <c r="J204" s="511">
        <f>(G204*0)/(1+cDR)^'Markov Model_SA1'!cycle</f>
        <v>0</v>
      </c>
      <c r="K204" s="512">
        <f t="shared" si="15"/>
        <v>18.367320869895451</v>
      </c>
      <c r="L204" s="513">
        <f>(G204*(uPostT))/(1+oDR)^'Markov Model_SA1'!cycle</f>
        <v>8.5998214522642211</v>
      </c>
      <c r="M204" s="80"/>
      <c r="N204" s="3"/>
      <c r="O204" s="80"/>
      <c r="P204" s="506">
        <v>194</v>
      </c>
      <c r="Q204" s="506"/>
      <c r="R204" s="507">
        <v>1.7090569820643609E-3</v>
      </c>
      <c r="S204" s="508"/>
      <c r="T204" s="509">
        <f t="shared" si="19"/>
        <v>17.304187765357142</v>
      </c>
      <c r="U204" s="510">
        <f>U203+(T203*R204*'life-tables-test'!$C$66)</f>
        <v>82.695812234642858</v>
      </c>
      <c r="V204" s="518">
        <f t="shared" si="16"/>
        <v>100</v>
      </c>
      <c r="W204" s="511">
        <f>(T204*0)/(1+cDR)^'Markov Model_SA1'!cycle2</f>
        <v>0</v>
      </c>
      <c r="X204" s="512">
        <f t="shared" si="17"/>
        <v>17.304187765357142</v>
      </c>
      <c r="Y204" s="513">
        <f>(T204*(uPostT))/(1+oDR)^'Markov Model_SA1'!cycle</f>
        <v>8.1020485356922656</v>
      </c>
      <c r="Z204" s="80"/>
      <c r="AA204" s="3"/>
      <c r="AB204" s="3"/>
      <c r="AC204" s="14">
        <v>192</v>
      </c>
      <c r="AD204" s="14"/>
      <c r="AE204" s="14"/>
      <c r="AF204" s="3"/>
      <c r="AG204" s="3"/>
      <c r="AH204" s="3"/>
      <c r="AI204" s="14"/>
      <c r="AJ204" s="14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</row>
    <row r="205" spans="1:58" ht="14.25" customHeight="1" x14ac:dyDescent="0.2">
      <c r="A205" s="637"/>
      <c r="B205" s="417"/>
      <c r="C205" s="173">
        <v>195</v>
      </c>
      <c r="D205" s="165"/>
      <c r="E205" s="174">
        <v>1.8607590427197618E-3</v>
      </c>
      <c r="F205" s="502"/>
      <c r="G205" s="219">
        <f t="shared" si="20"/>
        <v>18.19643507789948</v>
      </c>
      <c r="H205" s="249">
        <f>H204+(G204*E205*'life-tables-test'!$C$66)</f>
        <v>81.80356492210052</v>
      </c>
      <c r="I205" s="516">
        <f t="shared" si="18"/>
        <v>100</v>
      </c>
      <c r="J205" s="153">
        <f>(G205*0)/(1+cDR)^'Markov Model_SA1'!cycle</f>
        <v>0</v>
      </c>
      <c r="K205" s="178">
        <f t="shared" si="15"/>
        <v>18.19643507789948</v>
      </c>
      <c r="L205" s="202">
        <f>(G205*(uPostT))/(1+oDR)^'Markov Model_SA1'!cycle</f>
        <v>8.4985640644377458</v>
      </c>
      <c r="M205" s="80"/>
      <c r="N205" s="3"/>
      <c r="O205" s="80"/>
      <c r="P205" s="173">
        <v>195</v>
      </c>
      <c r="Q205" s="165"/>
      <c r="R205" s="174">
        <v>1.8607590427197618E-3</v>
      </c>
      <c r="S205" s="502"/>
      <c r="T205" s="219">
        <f t="shared" si="19"/>
        <v>17.143193146050592</v>
      </c>
      <c r="U205" s="249">
        <f>U204+(T204*R205*'life-tables-test'!$C$66)</f>
        <v>82.856806853949408</v>
      </c>
      <c r="V205" s="516">
        <f t="shared" si="16"/>
        <v>100</v>
      </c>
      <c r="W205" s="153">
        <f>(T205*0)/(1+cDR)^'Markov Model_SA1'!cycle2</f>
        <v>0</v>
      </c>
      <c r="X205" s="178">
        <f t="shared" si="17"/>
        <v>17.143193146050592</v>
      </c>
      <c r="Y205" s="202">
        <f>(T205*(uPostT))/(1+oDR)^'Markov Model_SA1'!cycle</f>
        <v>8.0066521050429387</v>
      </c>
      <c r="Z205" s="80"/>
      <c r="AA205" s="3"/>
      <c r="AB205" s="3"/>
      <c r="AC205" s="14">
        <v>193</v>
      </c>
      <c r="AD205" s="14"/>
      <c r="AE205" s="14"/>
      <c r="AF205" s="3"/>
      <c r="AG205" s="3"/>
      <c r="AH205" s="3"/>
      <c r="AI205" s="14"/>
      <c r="AJ205" s="14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</row>
    <row r="206" spans="1:58" ht="14.25" customHeight="1" x14ac:dyDescent="0.2">
      <c r="A206" s="637"/>
      <c r="B206" s="417"/>
      <c r="C206" s="173">
        <v>196</v>
      </c>
      <c r="D206" s="165"/>
      <c r="E206" s="174">
        <v>1.8607590427197618E-3</v>
      </c>
      <c r="F206" s="502"/>
      <c r="G206" s="219">
        <f t="shared" si="20"/>
        <v>18.027139172317163</v>
      </c>
      <c r="H206" s="249">
        <f>H205+(G205*E206*'life-tables-test'!$C$66)</f>
        <v>81.972860827682837</v>
      </c>
      <c r="I206" s="516">
        <f t="shared" si="18"/>
        <v>100</v>
      </c>
      <c r="J206" s="153">
        <f>(G206*0)/(1+cDR)^'Markov Model_SA1'!cycle</f>
        <v>0</v>
      </c>
      <c r="K206" s="178">
        <f t="shared" si="15"/>
        <v>18.027139172317163</v>
      </c>
      <c r="L206" s="202">
        <f>(G206*(uPostT))/(1+oDR)^'Markov Model_SA1'!cycle</f>
        <v>8.3984989174788733</v>
      </c>
      <c r="M206" s="80"/>
      <c r="N206" s="3"/>
      <c r="O206" s="80"/>
      <c r="P206" s="173">
        <v>196</v>
      </c>
      <c r="Q206" s="165"/>
      <c r="R206" s="174">
        <v>1.8607590427197618E-3</v>
      </c>
      <c r="S206" s="502"/>
      <c r="T206" s="219">
        <f t="shared" si="19"/>
        <v>16.98369638771257</v>
      </c>
      <c r="U206" s="249">
        <f>U205+(T205*R206*'life-tables-test'!$C$66)</f>
        <v>83.01630361228743</v>
      </c>
      <c r="V206" s="516">
        <f t="shared" si="16"/>
        <v>100</v>
      </c>
      <c r="W206" s="153">
        <f>(T206*0)/(1+cDR)^'Markov Model_SA1'!cycle2</f>
        <v>0</v>
      </c>
      <c r="X206" s="178">
        <f t="shared" si="17"/>
        <v>16.98369638771257</v>
      </c>
      <c r="Y206" s="202">
        <f>(T206*(uPostT))/(1+oDR)^'Markov Model_SA1'!cycle</f>
        <v>7.9123789062454764</v>
      </c>
      <c r="Z206" s="80"/>
      <c r="AA206" s="3"/>
      <c r="AB206" s="3"/>
      <c r="AC206" s="14">
        <v>194</v>
      </c>
      <c r="AD206" s="14"/>
      <c r="AE206" s="14"/>
      <c r="AF206" s="3"/>
      <c r="AG206" s="3"/>
      <c r="AH206" s="3"/>
      <c r="AI206" s="14"/>
      <c r="AJ206" s="14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</row>
    <row r="207" spans="1:58" ht="14.25" customHeight="1" x14ac:dyDescent="0.2">
      <c r="A207" s="637"/>
      <c r="B207" s="417"/>
      <c r="C207" s="173">
        <v>197</v>
      </c>
      <c r="D207" s="165"/>
      <c r="E207" s="174">
        <v>1.8607590427197618E-3</v>
      </c>
      <c r="F207" s="502"/>
      <c r="G207" s="219">
        <f t="shared" si="20"/>
        <v>17.859418361170881</v>
      </c>
      <c r="H207" s="249">
        <f>H206+(G206*E207*'life-tables-test'!$C$66)</f>
        <v>82.140581638829119</v>
      </c>
      <c r="I207" s="516">
        <f t="shared" si="18"/>
        <v>100</v>
      </c>
      <c r="J207" s="153">
        <f>(G207*0)/(1+cDR)^'Markov Model_SA1'!cycle</f>
        <v>0</v>
      </c>
      <c r="K207" s="178">
        <f t="shared" si="15"/>
        <v>17.859418361170881</v>
      </c>
      <c r="L207" s="202">
        <f>(G207*(uPostT))/(1+oDR)^'Markov Model_SA1'!cycle</f>
        <v>8.2996119735152316</v>
      </c>
      <c r="M207" s="80"/>
      <c r="N207" s="3"/>
      <c r="O207" s="80"/>
      <c r="P207" s="173">
        <v>197</v>
      </c>
      <c r="Q207" s="165"/>
      <c r="R207" s="174">
        <v>1.8607590427197618E-3</v>
      </c>
      <c r="S207" s="502"/>
      <c r="T207" s="219">
        <f t="shared" si="19"/>
        <v>16.825683554551361</v>
      </c>
      <c r="U207" s="249">
        <f>U206+(T206*R207*'life-tables-test'!$C$66)</f>
        <v>83.174316445448639</v>
      </c>
      <c r="V207" s="516">
        <f t="shared" si="16"/>
        <v>100</v>
      </c>
      <c r="W207" s="153">
        <f>(T207*0)/(1+cDR)^'Markov Model_SA1'!cycle2</f>
        <v>0</v>
      </c>
      <c r="X207" s="178">
        <f t="shared" si="17"/>
        <v>16.825683554551361</v>
      </c>
      <c r="Y207" s="202">
        <f>(T207*(uPostT))/(1+oDR)^'Markov Model_SA1'!cycle</f>
        <v>7.8192157139644616</v>
      </c>
      <c r="Z207" s="80"/>
      <c r="AA207" s="3"/>
      <c r="AB207" s="3"/>
      <c r="AC207" s="14">
        <v>195</v>
      </c>
      <c r="AD207" s="14"/>
      <c r="AE207" s="14"/>
      <c r="AF207" s="3"/>
      <c r="AG207" s="3"/>
      <c r="AH207" s="3"/>
      <c r="AI207" s="14"/>
      <c r="AJ207" s="14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</row>
    <row r="208" spans="1:58" ht="14.25" customHeight="1" x14ac:dyDescent="0.2">
      <c r="A208" s="637"/>
      <c r="B208" s="417"/>
      <c r="C208" s="173">
        <v>198</v>
      </c>
      <c r="D208" s="165"/>
      <c r="E208" s="174">
        <v>1.8607590427197618E-3</v>
      </c>
      <c r="F208" s="502"/>
      <c r="G208" s="219">
        <f t="shared" si="20"/>
        <v>17.693257990104556</v>
      </c>
      <c r="H208" s="249">
        <f>H207+(G207*E208*'life-tables-test'!$C$66)</f>
        <v>82.306742009895444</v>
      </c>
      <c r="I208" s="516">
        <f t="shared" si="18"/>
        <v>100</v>
      </c>
      <c r="J208" s="153">
        <f>(G208*0)/(1+cDR)^'Markov Model_SA1'!cycle</f>
        <v>0</v>
      </c>
      <c r="K208" s="178">
        <f t="shared" si="15"/>
        <v>17.693257990104556</v>
      </c>
      <c r="L208" s="202">
        <f>(G208*(uPostT))/(1+oDR)^'Markov Model_SA1'!cycle</f>
        <v>8.2018893599614096</v>
      </c>
      <c r="M208" s="80"/>
      <c r="N208" s="3"/>
      <c r="O208" s="80"/>
      <c r="P208" s="173">
        <v>198</v>
      </c>
      <c r="Q208" s="165"/>
      <c r="R208" s="174">
        <v>1.8607590427197618E-3</v>
      </c>
      <c r="S208" s="502"/>
      <c r="T208" s="219">
        <f t="shared" si="19"/>
        <v>16.669140840430998</v>
      </c>
      <c r="U208" s="249">
        <f>U207+(T207*R208*'life-tables-test'!$C$66)</f>
        <v>83.330859159569002</v>
      </c>
      <c r="V208" s="516">
        <f t="shared" si="16"/>
        <v>100</v>
      </c>
      <c r="W208" s="153">
        <f>(T208*0)/(1+cDR)^'Markov Model_SA1'!cycle2</f>
        <v>0</v>
      </c>
      <c r="X208" s="178">
        <f t="shared" si="17"/>
        <v>16.669140840430998</v>
      </c>
      <c r="Y208" s="202">
        <f>(T208*(uPostT))/(1+oDR)^'Markov Model_SA1'!cycle</f>
        <v>7.7271494585843241</v>
      </c>
      <c r="Z208" s="80"/>
      <c r="AA208" s="3"/>
      <c r="AB208" s="3"/>
      <c r="AC208" s="14">
        <v>196</v>
      </c>
      <c r="AD208" s="14"/>
      <c r="AE208" s="14"/>
      <c r="AF208" s="3"/>
      <c r="AG208" s="3"/>
      <c r="AH208" s="3"/>
      <c r="AI208" s="14"/>
      <c r="AJ208" s="14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</row>
    <row r="209" spans="1:58" ht="14.25" customHeight="1" x14ac:dyDescent="0.2">
      <c r="A209" s="637"/>
      <c r="B209" s="417"/>
      <c r="C209" s="173">
        <v>199</v>
      </c>
      <c r="D209" s="165"/>
      <c r="E209" s="174">
        <v>1.8607590427197618E-3</v>
      </c>
      <c r="F209" s="502"/>
      <c r="G209" s="219">
        <f t="shared" si="20"/>
        <v>17.52864354110325</v>
      </c>
      <c r="H209" s="249">
        <f>H208+(G208*E209*'life-tables-test'!$C$66)</f>
        <v>82.47135645889675</v>
      </c>
      <c r="I209" s="516">
        <f t="shared" si="18"/>
        <v>100</v>
      </c>
      <c r="J209" s="153">
        <f>(G209*0)/(1+cDR)^'Markov Model_SA1'!cycle</f>
        <v>0</v>
      </c>
      <c r="K209" s="178">
        <f t="shared" si="15"/>
        <v>17.52864354110325</v>
      </c>
      <c r="L209" s="202">
        <f>(G209*(uPostT))/(1+oDR)^'Markov Model_SA1'!cycle</f>
        <v>8.1053173675728019</v>
      </c>
      <c r="M209" s="80"/>
      <c r="N209" s="3"/>
      <c r="O209" s="80"/>
      <c r="P209" s="173">
        <v>199</v>
      </c>
      <c r="Q209" s="165"/>
      <c r="R209" s="174">
        <v>1.8607590427197618E-3</v>
      </c>
      <c r="S209" s="502"/>
      <c r="T209" s="219">
        <f t="shared" si="19"/>
        <v>16.514054567664985</v>
      </c>
      <c r="U209" s="249">
        <f>U208+(T208*R209*'life-tables-test'!$C$66)</f>
        <v>83.485945432335015</v>
      </c>
      <c r="V209" s="516">
        <f t="shared" si="16"/>
        <v>100</v>
      </c>
      <c r="W209" s="153">
        <f>(T209*0)/(1+cDR)^'Markov Model_SA1'!cycle2</f>
        <v>0</v>
      </c>
      <c r="X209" s="178">
        <f t="shared" si="17"/>
        <v>16.514054567664985</v>
      </c>
      <c r="Y209" s="202">
        <f>(T209*(uPostT))/(1+oDR)^'Markov Model_SA1'!cycle</f>
        <v>7.6361672243758427</v>
      </c>
      <c r="Z209" s="80"/>
      <c r="AA209" s="3"/>
      <c r="AB209" s="3"/>
      <c r="AC209" s="14">
        <v>197</v>
      </c>
      <c r="AD209" s="14"/>
      <c r="AE209" s="14"/>
      <c r="AF209" s="3"/>
      <c r="AG209" s="3"/>
      <c r="AH209" s="3"/>
      <c r="AI209" s="14"/>
      <c r="AJ209" s="14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</row>
    <row r="210" spans="1:58" ht="14.25" customHeight="1" x14ac:dyDescent="0.2">
      <c r="A210" s="637"/>
      <c r="B210" s="417"/>
      <c r="C210" s="173">
        <v>200</v>
      </c>
      <c r="D210" s="165"/>
      <c r="E210" s="174">
        <v>1.8607590427197618E-3</v>
      </c>
      <c r="F210" s="502"/>
      <c r="G210" s="219">
        <f t="shared" si="20"/>
        <v>17.365560631224653</v>
      </c>
      <c r="H210" s="249">
        <f>H209+(G209*E210*'life-tables-test'!$C$66)</f>
        <v>82.634439368775347</v>
      </c>
      <c r="I210" s="516">
        <f t="shared" si="18"/>
        <v>100</v>
      </c>
      <c r="J210" s="153">
        <f>(G210*0)/(1+cDR)^'Markov Model_SA1'!cycle</f>
        <v>0</v>
      </c>
      <c r="K210" s="178">
        <f t="shared" si="15"/>
        <v>17.365560631224653</v>
      </c>
      <c r="L210" s="202">
        <f>(G210*(uPostT))/(1+oDR)^'Markov Model_SA1'!cycle</f>
        <v>8.0098824485223723</v>
      </c>
      <c r="M210" s="80"/>
      <c r="N210" s="3"/>
      <c r="O210" s="80"/>
      <c r="P210" s="173">
        <v>200</v>
      </c>
      <c r="Q210" s="165"/>
      <c r="R210" s="174">
        <v>1.8607590427197618E-3</v>
      </c>
      <c r="S210" s="502"/>
      <c r="T210" s="219">
        <f t="shared" si="19"/>
        <v>16.360411185821235</v>
      </c>
      <c r="U210" s="249">
        <f>U209+(T209*R210*'life-tables-test'!$C$66)</f>
        <v>83.639588814178765</v>
      </c>
      <c r="V210" s="516">
        <f t="shared" si="16"/>
        <v>100</v>
      </c>
      <c r="W210" s="153">
        <f>(T210*0)/(1+cDR)^'Markov Model_SA1'!cycle2</f>
        <v>0</v>
      </c>
      <c r="X210" s="178">
        <f t="shared" si="17"/>
        <v>16.360411185821235</v>
      </c>
      <c r="Y210" s="202">
        <f>(T210*(uPostT))/(1+oDR)^'Markov Model_SA1'!cycle</f>
        <v>7.5462562476842443</v>
      </c>
      <c r="Z210" s="80"/>
      <c r="AA210" s="3"/>
      <c r="AB210" s="3"/>
      <c r="AC210" s="14">
        <v>198</v>
      </c>
      <c r="AD210" s="14"/>
      <c r="AE210" s="14"/>
      <c r="AF210" s="3"/>
      <c r="AG210" s="3"/>
      <c r="AH210" s="3"/>
      <c r="AI210" s="14"/>
      <c r="AJ210" s="14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</row>
    <row r="211" spans="1:58" ht="14.25" customHeight="1" x14ac:dyDescent="0.2">
      <c r="A211" s="637"/>
      <c r="B211" s="417"/>
      <c r="C211" s="173">
        <v>201</v>
      </c>
      <c r="D211" s="165"/>
      <c r="E211" s="174">
        <v>1.8607590427197618E-3</v>
      </c>
      <c r="F211" s="502"/>
      <c r="G211" s="219">
        <f t="shared" si="20"/>
        <v>17.2039950113424</v>
      </c>
      <c r="H211" s="249">
        <f>H210+(G210*E211*'life-tables-test'!$C$66)</f>
        <v>82.7960049886576</v>
      </c>
      <c r="I211" s="516">
        <f t="shared" si="18"/>
        <v>100</v>
      </c>
      <c r="J211" s="153">
        <f>(G211*0)/(1+cDR)^'Markov Model_SA1'!cycle</f>
        <v>0</v>
      </c>
      <c r="K211" s="178">
        <f t="shared" si="15"/>
        <v>17.2039950113424</v>
      </c>
      <c r="L211" s="202">
        <f>(G211*(uPostT))/(1+oDR)^'Markov Model_SA1'!cycle</f>
        <v>7.9155712145000674</v>
      </c>
      <c r="M211" s="80"/>
      <c r="N211" s="3"/>
      <c r="O211" s="80"/>
      <c r="P211" s="173">
        <v>201</v>
      </c>
      <c r="Q211" s="165"/>
      <c r="R211" s="174">
        <v>1.8607590427197618E-3</v>
      </c>
      <c r="S211" s="502"/>
      <c r="T211" s="219">
        <f t="shared" si="19"/>
        <v>16.208197270538079</v>
      </c>
      <c r="U211" s="249">
        <f>U210+(T210*R211*'life-tables-test'!$C$66)</f>
        <v>83.791802729461921</v>
      </c>
      <c r="V211" s="516">
        <f t="shared" si="16"/>
        <v>100</v>
      </c>
      <c r="W211" s="153">
        <f>(T211*0)/(1+cDR)^'Markov Model_SA1'!cycle2</f>
        <v>0</v>
      </c>
      <c r="X211" s="178">
        <f t="shared" si="17"/>
        <v>16.208197270538079</v>
      </c>
      <c r="Y211" s="202">
        <f>(T211*(uPostT))/(1+oDR)^'Markov Model_SA1'!cycle</f>
        <v>7.4574039151386016</v>
      </c>
      <c r="Z211" s="80"/>
      <c r="AA211" s="3"/>
      <c r="AB211" s="3"/>
      <c r="AC211" s="14">
        <v>199</v>
      </c>
      <c r="AD211" s="14"/>
      <c r="AE211" s="14"/>
      <c r="AF211" s="3"/>
      <c r="AG211" s="3"/>
      <c r="AH211" s="3"/>
      <c r="AI211" s="14"/>
      <c r="AJ211" s="14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</row>
    <row r="212" spans="1:58" ht="14.25" customHeight="1" x14ac:dyDescent="0.2">
      <c r="A212" s="637"/>
      <c r="B212" s="417"/>
      <c r="C212" s="173">
        <v>202</v>
      </c>
      <c r="D212" s="165"/>
      <c r="E212" s="174">
        <v>1.8607590427197618E-3</v>
      </c>
      <c r="F212" s="502"/>
      <c r="G212" s="219">
        <f t="shared" si="20"/>
        <v>17.043932564901098</v>
      </c>
      <c r="H212" s="249">
        <f>H211+(G211*E212*'life-tables-test'!$C$66)</f>
        <v>82.956067435098902</v>
      </c>
      <c r="I212" s="516">
        <f t="shared" si="18"/>
        <v>100</v>
      </c>
      <c r="J212" s="153">
        <f>(G212*0)/(1+cDR)^'Markov Model_SA1'!cycle</f>
        <v>0</v>
      </c>
      <c r="K212" s="178">
        <f t="shared" si="15"/>
        <v>17.043932564901098</v>
      </c>
      <c r="L212" s="202">
        <f>(G212*(uPostT))/(1+oDR)^'Markov Model_SA1'!cycle</f>
        <v>7.8223704348346166</v>
      </c>
      <c r="M212" s="80"/>
      <c r="N212" s="3"/>
      <c r="O212" s="80"/>
      <c r="P212" s="173">
        <v>202</v>
      </c>
      <c r="Q212" s="165"/>
      <c r="R212" s="174">
        <v>1.8607590427197618E-3</v>
      </c>
      <c r="S212" s="502"/>
      <c r="T212" s="219">
        <f t="shared" si="19"/>
        <v>16.057399522351375</v>
      </c>
      <c r="U212" s="249">
        <f>U211+(T211*R212*'life-tables-test'!$C$66)</f>
        <v>83.942600477648625</v>
      </c>
      <c r="V212" s="516">
        <f t="shared" si="16"/>
        <v>100</v>
      </c>
      <c r="W212" s="153">
        <f>(T212*0)/(1+cDR)^'Markov Model_SA1'!cycle2</f>
        <v>0</v>
      </c>
      <c r="X212" s="178">
        <f t="shared" si="17"/>
        <v>16.057399522351375</v>
      </c>
      <c r="Y212" s="202">
        <f>(T212*(uPostT))/(1+oDR)^'Markov Model_SA1'!cycle</f>
        <v>7.3695977618823525</v>
      </c>
      <c r="Z212" s="80"/>
      <c r="AA212" s="3"/>
      <c r="AB212" s="3"/>
      <c r="AC212" s="14">
        <v>200</v>
      </c>
      <c r="AD212" s="14"/>
      <c r="AE212" s="14"/>
      <c r="AF212" s="3"/>
      <c r="AG212" s="3"/>
      <c r="AH212" s="3"/>
      <c r="AI212" s="14"/>
      <c r="AJ212" s="14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</row>
    <row r="213" spans="1:58" ht="14.25" customHeight="1" x14ac:dyDescent="0.2">
      <c r="A213" s="637"/>
      <c r="B213" s="417"/>
      <c r="C213" s="173">
        <v>203</v>
      </c>
      <c r="D213" s="165"/>
      <c r="E213" s="174">
        <v>1.8607590427197618E-3</v>
      </c>
      <c r="F213" s="502"/>
      <c r="G213" s="219">
        <f t="shared" si="20"/>
        <v>16.885359306682872</v>
      </c>
      <c r="H213" s="249">
        <f>H212+(G212*E213*'life-tables-test'!$C$66)</f>
        <v>83.114640693317128</v>
      </c>
      <c r="I213" s="516">
        <f t="shared" si="18"/>
        <v>100</v>
      </c>
      <c r="J213" s="153">
        <f>(G213*0)/(1+cDR)^'Markov Model_SA1'!cycle</f>
        <v>0</v>
      </c>
      <c r="K213" s="178">
        <f t="shared" si="15"/>
        <v>16.885359306682872</v>
      </c>
      <c r="L213" s="202">
        <f>(G213*(uPostT))/(1+oDR)^'Markov Model_SA1'!cycle</f>
        <v>7.7302670346374134</v>
      </c>
      <c r="M213" s="80"/>
      <c r="N213" s="3"/>
      <c r="O213" s="80"/>
      <c r="P213" s="173">
        <v>203</v>
      </c>
      <c r="Q213" s="165"/>
      <c r="R213" s="174">
        <v>1.8607590427197618E-3</v>
      </c>
      <c r="S213" s="502"/>
      <c r="T213" s="219">
        <f t="shared" si="19"/>
        <v>15.908004765532482</v>
      </c>
      <c r="U213" s="249">
        <f>U212+(T212*R213*'life-tables-test'!$C$66)</f>
        <v>84.091995234467518</v>
      </c>
      <c r="V213" s="516">
        <f t="shared" si="16"/>
        <v>100</v>
      </c>
      <c r="W213" s="153">
        <f>(T213*0)/(1+cDR)^'Markov Model_SA1'!cycle2</f>
        <v>0</v>
      </c>
      <c r="X213" s="178">
        <f t="shared" si="17"/>
        <v>15.908004765532482</v>
      </c>
      <c r="Y213" s="202">
        <f>(T213*(uPostT))/(1+oDR)^'Markov Model_SA1'!cycle</f>
        <v>7.2828254698246448</v>
      </c>
      <c r="Z213" s="80"/>
      <c r="AA213" s="3"/>
      <c r="AB213" s="3"/>
      <c r="AC213" s="14">
        <v>201</v>
      </c>
      <c r="AD213" s="14"/>
      <c r="AE213" s="14"/>
      <c r="AF213" s="3"/>
      <c r="AG213" s="3"/>
      <c r="AH213" s="3"/>
      <c r="AI213" s="14"/>
      <c r="AJ213" s="14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</row>
    <row r="214" spans="1:58" ht="14.25" customHeight="1" x14ac:dyDescent="0.2">
      <c r="A214" s="637"/>
      <c r="B214" s="417"/>
      <c r="C214" s="173">
        <v>204</v>
      </c>
      <c r="D214" s="165"/>
      <c r="E214" s="174">
        <v>1.8607590427197618E-3</v>
      </c>
      <c r="F214" s="502"/>
      <c r="G214" s="219">
        <f t="shared" si="20"/>
        <v>16.728261381585455</v>
      </c>
      <c r="H214" s="249">
        <f>H213+(G213*E214*'life-tables-test'!$C$66)</f>
        <v>83.271738618414545</v>
      </c>
      <c r="I214" s="516">
        <f t="shared" si="18"/>
        <v>100</v>
      </c>
      <c r="J214" s="153">
        <f>(G214*0)/(1+cDR)^'Markov Model_SA1'!cycle</f>
        <v>0</v>
      </c>
      <c r="K214" s="178">
        <f t="shared" si="15"/>
        <v>16.728261381585455</v>
      </c>
      <c r="L214" s="202">
        <f>(G214*(uPostT))/(1+oDR)^'Markov Model_SA1'!cycle</f>
        <v>7.6392480929682902</v>
      </c>
      <c r="M214" s="80"/>
      <c r="N214" s="3"/>
      <c r="O214" s="80"/>
      <c r="P214" s="173">
        <v>204</v>
      </c>
      <c r="Q214" s="165"/>
      <c r="R214" s="174">
        <v>1.8607590427197618E-3</v>
      </c>
      <c r="S214" s="502"/>
      <c r="T214" s="219">
        <f t="shared" si="19"/>
        <v>15.759999946937015</v>
      </c>
      <c r="U214" s="249">
        <f>U213+(T213*R214*'life-tables-test'!$C$66)</f>
        <v>84.240000053062985</v>
      </c>
      <c r="V214" s="516">
        <f t="shared" si="16"/>
        <v>100</v>
      </c>
      <c r="W214" s="153">
        <f>(T214*0)/(1+cDR)^'Markov Model_SA1'!cycle2</f>
        <v>0</v>
      </c>
      <c r="X214" s="178">
        <f t="shared" si="17"/>
        <v>15.759999946937015</v>
      </c>
      <c r="Y214" s="202">
        <f>(T214*(uPostT))/(1+oDR)^'Markov Model_SA1'!cycle</f>
        <v>7.1970748659122341</v>
      </c>
      <c r="Z214" s="80"/>
      <c r="AA214" s="3"/>
      <c r="AB214" s="3"/>
      <c r="AC214" s="14">
        <v>202</v>
      </c>
      <c r="AD214" s="14"/>
      <c r="AE214" s="14"/>
      <c r="AF214" s="3"/>
      <c r="AG214" s="3"/>
      <c r="AH214" s="3"/>
      <c r="AI214" s="14"/>
      <c r="AJ214" s="14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</row>
    <row r="215" spans="1:58" ht="14.25" customHeight="1" x14ac:dyDescent="0.2">
      <c r="A215" s="606"/>
      <c r="B215" s="417"/>
      <c r="C215" s="173">
        <v>205</v>
      </c>
      <c r="D215" s="504"/>
      <c r="E215" s="174">
        <v>1.8607590427197618E-3</v>
      </c>
      <c r="F215" s="505"/>
      <c r="G215" s="219">
        <f t="shared" si="20"/>
        <v>16.572625063411635</v>
      </c>
      <c r="H215" s="249">
        <f>H214+(G214*E215*'life-tables-test'!$C$66)</f>
        <v>83.427374936588365</v>
      </c>
      <c r="I215" s="516">
        <f t="shared" si="18"/>
        <v>100</v>
      </c>
      <c r="J215" s="180">
        <f>(G215*0)/(1+cDR)^'Markov Model_SA1'!cycle</f>
        <v>0</v>
      </c>
      <c r="K215" s="176">
        <f t="shared" si="15"/>
        <v>16.572625063411635</v>
      </c>
      <c r="L215" s="202">
        <f>(G215*(uPostT))/(1+oDR)^'Markov Model_SA1'!cycle</f>
        <v>7.5493008410228821</v>
      </c>
      <c r="M215" s="80"/>
      <c r="N215" s="3"/>
      <c r="O215" s="80"/>
      <c r="P215" s="173">
        <v>205</v>
      </c>
      <c r="Q215" s="504"/>
      <c r="R215" s="174">
        <v>1.8607590427197618E-3</v>
      </c>
      <c r="S215" s="505"/>
      <c r="T215" s="219">
        <f t="shared" si="19"/>
        <v>15.613372134864392</v>
      </c>
      <c r="U215" s="249">
        <f>U214+(T214*R215*'life-tables-test'!$C$66)</f>
        <v>84.386627865135608</v>
      </c>
      <c r="V215" s="516">
        <f t="shared" si="16"/>
        <v>100</v>
      </c>
      <c r="W215" s="180">
        <f>(T215*0)/(1+cDR)^'Markov Model_SA1'!cycle2</f>
        <v>0</v>
      </c>
      <c r="X215" s="176">
        <f t="shared" si="17"/>
        <v>15.613372134864392</v>
      </c>
      <c r="Y215" s="202">
        <f>(T215*(uPostT))/(1+oDR)^'Markov Model_SA1'!cycle</f>
        <v>7.1123339204217952</v>
      </c>
      <c r="Z215" s="80"/>
      <c r="AA215" s="3"/>
      <c r="AB215" s="3"/>
      <c r="AC215" s="14">
        <v>203</v>
      </c>
      <c r="AD215" s="14"/>
      <c r="AE215" s="14"/>
      <c r="AF215" s="3"/>
      <c r="AG215" s="3"/>
      <c r="AH215" s="3"/>
      <c r="AI215" s="14"/>
      <c r="AJ215" s="14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</row>
    <row r="216" spans="1:58" ht="14.25" customHeight="1" x14ac:dyDescent="0.25">
      <c r="A216" s="637" t="s">
        <v>559</v>
      </c>
      <c r="B216" s="417"/>
      <c r="C216" s="506">
        <v>206</v>
      </c>
      <c r="D216" s="506"/>
      <c r="E216" s="507">
        <v>1.8607590427197618E-3</v>
      </c>
      <c r="F216" s="508"/>
      <c r="G216" s="509">
        <f t="shared" si="20"/>
        <v>16.418436753669894</v>
      </c>
      <c r="H216" s="510">
        <f>H215+(G215*E216*'life-tables-test'!$C$66)</f>
        <v>83.581563246330106</v>
      </c>
      <c r="I216" s="518">
        <f t="shared" si="18"/>
        <v>100</v>
      </c>
      <c r="J216" s="511">
        <f>(G216*0)/(1+cDR)^'Markov Model_SA1'!cycle</f>
        <v>0</v>
      </c>
      <c r="K216" s="512">
        <f t="shared" si="15"/>
        <v>16.418436753669894</v>
      </c>
      <c r="L216" s="513">
        <f>(G216*(uPostT))/(1+oDR)^'Markov Model_SA1'!cycle</f>
        <v>7.4604126603413023</v>
      </c>
      <c r="M216" s="80"/>
      <c r="N216" s="3"/>
      <c r="O216" s="80"/>
      <c r="P216" s="506">
        <v>206</v>
      </c>
      <c r="Q216" s="506"/>
      <c r="R216" s="507">
        <v>1.8607590427197618E-3</v>
      </c>
      <c r="S216" s="508"/>
      <c r="T216" s="509">
        <f t="shared" si="19"/>
        <v>15.468108517927902</v>
      </c>
      <c r="U216" s="510">
        <f>U215+(T215*R216*'life-tables-test'!$C$66)</f>
        <v>84.531891482072098</v>
      </c>
      <c r="V216" s="518">
        <f t="shared" si="16"/>
        <v>100</v>
      </c>
      <c r="W216" s="511">
        <f>(T216*0)/(1+cDR)^'Markov Model_SA1'!cycle2</f>
        <v>0</v>
      </c>
      <c r="X216" s="512">
        <f t="shared" si="17"/>
        <v>15.468108517927902</v>
      </c>
      <c r="Y216" s="513">
        <f>(T216*(uPostT))/(1+oDR)^'Markov Model_SA1'!cycle</f>
        <v>7.0285907452722789</v>
      </c>
      <c r="Z216" s="80"/>
      <c r="AA216" s="3"/>
      <c r="AB216" s="3"/>
      <c r="AC216" s="14">
        <v>204</v>
      </c>
      <c r="AD216" s="14"/>
      <c r="AE216" s="14"/>
      <c r="AF216" s="3"/>
      <c r="AG216" s="3"/>
      <c r="AH216" s="3"/>
      <c r="AI216" s="14"/>
      <c r="AJ216" s="14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</row>
    <row r="217" spans="1:58" ht="14.25" customHeight="1" x14ac:dyDescent="0.2">
      <c r="A217" s="637"/>
      <c r="B217" s="417"/>
      <c r="C217" s="173">
        <v>207</v>
      </c>
      <c r="D217" s="165"/>
      <c r="E217" s="174">
        <v>2.0388755652031021E-3</v>
      </c>
      <c r="F217" s="502"/>
      <c r="G217" s="219">
        <f t="shared" si="20"/>
        <v>16.251061006090438</v>
      </c>
      <c r="H217" s="249">
        <f>H216+(G216*E217*'life-tables-test'!$C$66)</f>
        <v>83.748938993909562</v>
      </c>
      <c r="I217" s="516">
        <f t="shared" si="18"/>
        <v>100</v>
      </c>
      <c r="J217" s="153">
        <f>(G217*0)/(1+cDR)^'Markov Model_SA1'!cycle</f>
        <v>0</v>
      </c>
      <c r="K217" s="178">
        <f t="shared" si="15"/>
        <v>16.251061006090438</v>
      </c>
      <c r="L217" s="202">
        <f>(G217*(uPostT))/(1+oDR)^'Markov Model_SA1'!cycle</f>
        <v>7.3659435361035328</v>
      </c>
      <c r="M217" s="80"/>
      <c r="N217" s="3"/>
      <c r="O217" s="80"/>
      <c r="P217" s="173">
        <v>207</v>
      </c>
      <c r="Q217" s="165"/>
      <c r="R217" s="174">
        <v>2.0388755652031021E-3</v>
      </c>
      <c r="S217" s="502"/>
      <c r="T217" s="219">
        <f t="shared" si="19"/>
        <v>15.310420775442338</v>
      </c>
      <c r="U217" s="249">
        <f>U216+(T216*R217*'life-tables-test'!$C$66)</f>
        <v>84.689579224557662</v>
      </c>
      <c r="V217" s="516">
        <f t="shared" si="16"/>
        <v>100</v>
      </c>
      <c r="W217" s="153">
        <f>(T217*0)/(1+cDR)^'Markov Model_SA1'!cycle2</f>
        <v>0</v>
      </c>
      <c r="X217" s="178">
        <f t="shared" si="17"/>
        <v>15.310420775442338</v>
      </c>
      <c r="Y217" s="202">
        <f>(T217*(uPostT))/(1+oDR)^'Markov Model_SA1'!cycle</f>
        <v>6.9395896614768473</v>
      </c>
      <c r="Z217" s="80"/>
      <c r="AA217" s="3"/>
      <c r="AB217" s="3"/>
      <c r="AC217" s="14">
        <v>205</v>
      </c>
      <c r="AD217" s="14"/>
      <c r="AE217" s="14"/>
      <c r="AF217" s="3"/>
      <c r="AG217" s="3"/>
      <c r="AH217" s="3"/>
      <c r="AI217" s="14"/>
      <c r="AJ217" s="14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</row>
    <row r="218" spans="1:58" ht="14.25" customHeight="1" x14ac:dyDescent="0.2">
      <c r="A218" s="637"/>
      <c r="B218" s="417"/>
      <c r="C218" s="173">
        <v>208</v>
      </c>
      <c r="D218" s="165"/>
      <c r="E218" s="174">
        <v>2.0388755652031021E-3</v>
      </c>
      <c r="F218" s="502"/>
      <c r="G218" s="219">
        <f t="shared" si="20"/>
        <v>16.085391550120718</v>
      </c>
      <c r="H218" s="249">
        <f>H217+(G217*E218*'life-tables-test'!$C$66)</f>
        <v>83.914608449879282</v>
      </c>
      <c r="I218" s="516">
        <f t="shared" si="18"/>
        <v>100</v>
      </c>
      <c r="J218" s="153">
        <f>(G218*0)/(1+cDR)^'Markov Model_SA1'!cycle</f>
        <v>0</v>
      </c>
      <c r="K218" s="178">
        <f t="shared" si="15"/>
        <v>16.085391550120718</v>
      </c>
      <c r="L218" s="202">
        <f>(G218*(uPostT))/(1+oDR)^'Markov Model_SA1'!cycle</f>
        <v>7.2726706480313146</v>
      </c>
      <c r="M218" s="80"/>
      <c r="N218" s="3"/>
      <c r="O218" s="80"/>
      <c r="P218" s="173">
        <v>208</v>
      </c>
      <c r="Q218" s="165"/>
      <c r="R218" s="174">
        <v>2.0388755652031021E-3</v>
      </c>
      <c r="S218" s="502"/>
      <c r="T218" s="219">
        <f t="shared" si="19"/>
        <v>15.154340561382199</v>
      </c>
      <c r="U218" s="249">
        <f>U217+(T217*R218*'life-tables-test'!$C$66)</f>
        <v>84.845659438617801</v>
      </c>
      <c r="V218" s="516">
        <f t="shared" si="16"/>
        <v>100</v>
      </c>
      <c r="W218" s="153">
        <f>(T218*0)/(1+cDR)^'Markov Model_SA1'!cycle2</f>
        <v>0</v>
      </c>
      <c r="X218" s="178">
        <f t="shared" si="17"/>
        <v>15.154340561382199</v>
      </c>
      <c r="Y218" s="202">
        <f>(T218*(uPostT))/(1+oDR)^'Markov Model_SA1'!cycle</f>
        <v>6.851715573576298</v>
      </c>
      <c r="Z218" s="80"/>
      <c r="AA218" s="3"/>
      <c r="AB218" s="3"/>
      <c r="AC218" s="14">
        <v>206</v>
      </c>
      <c r="AD218" s="14"/>
      <c r="AE218" s="14"/>
      <c r="AF218" s="3"/>
      <c r="AG218" s="3"/>
      <c r="AH218" s="3"/>
      <c r="AI218" s="14"/>
      <c r="AJ218" s="14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</row>
    <row r="219" spans="1:58" ht="14.25" customHeight="1" x14ac:dyDescent="0.2">
      <c r="A219" s="637"/>
      <c r="B219" s="417"/>
      <c r="C219" s="173">
        <v>209</v>
      </c>
      <c r="D219" s="165"/>
      <c r="E219" s="174">
        <v>2.0388755652031021E-3</v>
      </c>
      <c r="F219" s="502"/>
      <c r="G219" s="219">
        <f t="shared" si="20"/>
        <v>15.921410991179386</v>
      </c>
      <c r="H219" s="249">
        <f>H218+(G218*E219*'life-tables-test'!$C$66)</f>
        <v>84.078589008820614</v>
      </c>
      <c r="I219" s="516">
        <f t="shared" si="18"/>
        <v>100</v>
      </c>
      <c r="J219" s="153">
        <f>(G219*0)/(1+cDR)^'Markov Model_SA1'!cycle</f>
        <v>0</v>
      </c>
      <c r="K219" s="178">
        <f t="shared" si="15"/>
        <v>15.921410991179386</v>
      </c>
      <c r="L219" s="202">
        <f>(G219*(uPostT))/(1+oDR)^'Markov Model_SA1'!cycle</f>
        <v>7.1805788485198105</v>
      </c>
      <c r="M219" s="80"/>
      <c r="N219" s="3"/>
      <c r="O219" s="80"/>
      <c r="P219" s="173">
        <v>209</v>
      </c>
      <c r="Q219" s="165"/>
      <c r="R219" s="174">
        <v>2.0388755652031021E-3</v>
      </c>
      <c r="S219" s="502"/>
      <c r="T219" s="219">
        <f t="shared" si="19"/>
        <v>14.999851487995358</v>
      </c>
      <c r="U219" s="249">
        <f>U218+(T218*R219*'life-tables-test'!$C$66)</f>
        <v>85.000148512004642</v>
      </c>
      <c r="V219" s="516">
        <f t="shared" si="16"/>
        <v>100</v>
      </c>
      <c r="W219" s="153">
        <f>(T219*0)/(1+cDR)^'Markov Model_SA1'!cycle2</f>
        <v>0</v>
      </c>
      <c r="X219" s="178">
        <f t="shared" si="17"/>
        <v>14.999851487995358</v>
      </c>
      <c r="Y219" s="202">
        <f>(T219*(uPostT))/(1+oDR)^'Markov Model_SA1'!cycle</f>
        <v>6.7649542107360281</v>
      </c>
      <c r="Z219" s="80"/>
      <c r="AA219" s="3"/>
      <c r="AB219" s="3"/>
      <c r="AC219" s="14">
        <v>207</v>
      </c>
      <c r="AD219" s="14"/>
      <c r="AE219" s="14"/>
      <c r="AF219" s="3"/>
      <c r="AG219" s="3"/>
      <c r="AH219" s="3"/>
      <c r="AI219" s="14"/>
      <c r="AJ219" s="14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</row>
    <row r="220" spans="1:58" ht="14.25" customHeight="1" x14ac:dyDescent="0.2">
      <c r="A220" s="637"/>
      <c r="B220" s="417"/>
      <c r="C220" s="173">
        <v>210</v>
      </c>
      <c r="D220" s="165"/>
      <c r="E220" s="174">
        <v>2.0388755652031021E-3</v>
      </c>
      <c r="F220" s="502"/>
      <c r="G220" s="219">
        <f t="shared" si="20"/>
        <v>15.75910211201203</v>
      </c>
      <c r="H220" s="249">
        <f>H219+(G219*E220*'life-tables-test'!$C$66)</f>
        <v>84.24089788798797</v>
      </c>
      <c r="I220" s="516">
        <f t="shared" si="18"/>
        <v>100</v>
      </c>
      <c r="J220" s="153">
        <f>(G220*0)/(1+cDR)^'Markov Model_SA1'!cycle</f>
        <v>0</v>
      </c>
      <c r="K220" s="178">
        <f t="shared" si="15"/>
        <v>15.75910211201203</v>
      </c>
      <c r="L220" s="202">
        <f>(G220*(uPostT))/(1+oDR)^'Markov Model_SA1'!cycle</f>
        <v>7.0896531817740689</v>
      </c>
      <c r="M220" s="80"/>
      <c r="N220" s="3"/>
      <c r="O220" s="80"/>
      <c r="P220" s="173">
        <v>210</v>
      </c>
      <c r="Q220" s="165"/>
      <c r="R220" s="174">
        <v>2.0388755652031021E-3</v>
      </c>
      <c r="S220" s="502"/>
      <c r="T220" s="219">
        <f t="shared" si="19"/>
        <v>14.84693733459261</v>
      </c>
      <c r="U220" s="249">
        <f>U219+(T219*R220*'life-tables-test'!$C$66)</f>
        <v>85.15306266540739</v>
      </c>
      <c r="V220" s="516">
        <f t="shared" si="16"/>
        <v>100</v>
      </c>
      <c r="W220" s="153">
        <f>(T220*0)/(1+cDR)^'Markov Model_SA1'!cycle2</f>
        <v>0</v>
      </c>
      <c r="X220" s="178">
        <f t="shared" si="17"/>
        <v>14.84693733459261</v>
      </c>
      <c r="Y220" s="202">
        <f>(T220*(uPostT))/(1+oDR)^'Markov Model_SA1'!cycle</f>
        <v>6.679291482829016</v>
      </c>
      <c r="Z220" s="80"/>
      <c r="AA220" s="3"/>
      <c r="AB220" s="3"/>
      <c r="AC220" s="14">
        <v>208</v>
      </c>
      <c r="AD220" s="14"/>
      <c r="AE220" s="14"/>
      <c r="AF220" s="3"/>
      <c r="AG220" s="3"/>
      <c r="AH220" s="3"/>
      <c r="AI220" s="14"/>
      <c r="AJ220" s="14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</row>
    <row r="221" spans="1:58" ht="14.25" customHeight="1" x14ac:dyDescent="0.2">
      <c r="A221" s="637"/>
      <c r="B221" s="417"/>
      <c r="C221" s="173">
        <v>211</v>
      </c>
      <c r="D221" s="165"/>
      <c r="E221" s="174">
        <v>2.0388755652031021E-3</v>
      </c>
      <c r="F221" s="502"/>
      <c r="G221" s="219">
        <f t="shared" si="20"/>
        <v>15.598447870883419</v>
      </c>
      <c r="H221" s="249">
        <f>H220+(G220*E221*'life-tables-test'!$C$66)</f>
        <v>84.401552129116581</v>
      </c>
      <c r="I221" s="516">
        <f t="shared" si="18"/>
        <v>100</v>
      </c>
      <c r="J221" s="153">
        <f>(G221*0)/(1+cDR)^'Markov Model_SA1'!cycle</f>
        <v>0</v>
      </c>
      <c r="K221" s="178">
        <f t="shared" si="15"/>
        <v>15.598447870883419</v>
      </c>
      <c r="L221" s="202">
        <f>(G221*(uPostT))/(1+oDR)^'Markov Model_SA1'!cycle</f>
        <v>6.9998788813802006</v>
      </c>
      <c r="M221" s="80"/>
      <c r="N221" s="3"/>
      <c r="O221" s="80"/>
      <c r="P221" s="173">
        <v>211</v>
      </c>
      <c r="Q221" s="165"/>
      <c r="R221" s="174">
        <v>2.0388755652031021E-3</v>
      </c>
      <c r="S221" s="502"/>
      <c r="T221" s="219">
        <f t="shared" si="19"/>
        <v>14.695582045844603</v>
      </c>
      <c r="U221" s="249">
        <f>U220+(T220*R221*'life-tables-test'!$C$66)</f>
        <v>85.304417954155397</v>
      </c>
      <c r="V221" s="516">
        <f t="shared" si="16"/>
        <v>100</v>
      </c>
      <c r="W221" s="153">
        <f>(T221*0)/(1+cDR)^'Markov Model_SA1'!cycle2</f>
        <v>0</v>
      </c>
      <c r="X221" s="178">
        <f t="shared" si="17"/>
        <v>14.695582045844603</v>
      </c>
      <c r="Y221" s="202">
        <f>(T221*(uPostT))/(1+oDR)^'Markov Model_SA1'!cycle</f>
        <v>6.5947134781476038</v>
      </c>
      <c r="Z221" s="80"/>
      <c r="AA221" s="3"/>
      <c r="AB221" s="3"/>
      <c r="AC221" s="14">
        <v>209</v>
      </c>
      <c r="AD221" s="14"/>
      <c r="AE221" s="14"/>
      <c r="AF221" s="3"/>
      <c r="AG221" s="3"/>
      <c r="AH221" s="3"/>
      <c r="AI221" s="14"/>
      <c r="AJ221" s="14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</row>
    <row r="222" spans="1:58" ht="14.25" customHeight="1" x14ac:dyDescent="0.2">
      <c r="A222" s="637"/>
      <c r="B222" s="417"/>
      <c r="C222" s="173">
        <v>212</v>
      </c>
      <c r="D222" s="165"/>
      <c r="E222" s="174">
        <v>2.0388755652031021E-3</v>
      </c>
      <c r="F222" s="502"/>
      <c r="G222" s="219">
        <f t="shared" si="20"/>
        <v>15.439431399788219</v>
      </c>
      <c r="H222" s="249">
        <f>H221+(G221*E222*'life-tables-test'!$C$66)</f>
        <v>84.560568600211781</v>
      </c>
      <c r="I222" s="516">
        <f t="shared" si="18"/>
        <v>100</v>
      </c>
      <c r="J222" s="153">
        <f>(G222*0)/(1+cDR)^'Markov Model_SA1'!cycle</f>
        <v>0</v>
      </c>
      <c r="K222" s="178">
        <f t="shared" si="15"/>
        <v>15.439431399788219</v>
      </c>
      <c r="L222" s="202">
        <f>(G222*(uPostT))/(1+oDR)^'Markov Model_SA1'!cycle</f>
        <v>6.9112413679072926</v>
      </c>
      <c r="M222" s="80"/>
      <c r="N222" s="3"/>
      <c r="O222" s="80"/>
      <c r="P222" s="173">
        <v>212</v>
      </c>
      <c r="Q222" s="165"/>
      <c r="R222" s="174">
        <v>2.0388755652031021E-3</v>
      </c>
      <c r="S222" s="502"/>
      <c r="T222" s="219">
        <f t="shared" si="19"/>
        <v>14.545769730096055</v>
      </c>
      <c r="U222" s="249">
        <f>U221+(T221*R222*'life-tables-test'!$C$66)</f>
        <v>85.454230269903945</v>
      </c>
      <c r="V222" s="516">
        <f t="shared" si="16"/>
        <v>100</v>
      </c>
      <c r="W222" s="153">
        <f>(T222*0)/(1+cDR)^'Markov Model_SA1'!cycle2</f>
        <v>0</v>
      </c>
      <c r="X222" s="178">
        <f t="shared" si="17"/>
        <v>14.545769730096055</v>
      </c>
      <c r="Y222" s="202">
        <f>(T222*(uPostT))/(1+oDR)^'Markov Model_SA1'!cycle</f>
        <v>6.5112064611441909</v>
      </c>
      <c r="Z222" s="80"/>
      <c r="AA222" s="3"/>
      <c r="AB222" s="3"/>
      <c r="AC222" s="14">
        <v>210</v>
      </c>
      <c r="AD222" s="14"/>
      <c r="AE222" s="14"/>
      <c r="AF222" s="3"/>
      <c r="AG222" s="3"/>
      <c r="AH222" s="3"/>
      <c r="AI222" s="14"/>
      <c r="AJ222" s="14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</row>
    <row r="223" spans="1:58" ht="14.25" customHeight="1" x14ac:dyDescent="0.2">
      <c r="A223" s="637"/>
      <c r="B223" s="417"/>
      <c r="C223" s="173">
        <v>213</v>
      </c>
      <c r="D223" s="165"/>
      <c r="E223" s="174">
        <v>2.0388755652031021E-3</v>
      </c>
      <c r="F223" s="502"/>
      <c r="G223" s="219">
        <f t="shared" si="20"/>
        <v>15.282036002679931</v>
      </c>
      <c r="H223" s="249">
        <f>H222+(G222*E223*'life-tables-test'!$C$66)</f>
        <v>84.717963997320069</v>
      </c>
      <c r="I223" s="516">
        <f t="shared" si="18"/>
        <v>100</v>
      </c>
      <c r="J223" s="153">
        <f>(G223*0)/(1+cDR)^'Markov Model_SA1'!cycle</f>
        <v>0</v>
      </c>
      <c r="K223" s="178">
        <f t="shared" si="15"/>
        <v>15.282036002679931</v>
      </c>
      <c r="L223" s="202">
        <f>(G223*(uPostT))/(1+oDR)^'Markov Model_SA1'!cycle</f>
        <v>6.8237262465397084</v>
      </c>
      <c r="M223" s="80"/>
      <c r="N223" s="3"/>
      <c r="O223" s="80"/>
      <c r="P223" s="173">
        <v>213</v>
      </c>
      <c r="Q223" s="165"/>
      <c r="R223" s="174">
        <v>2.0388755652031021E-3</v>
      </c>
      <c r="S223" s="502"/>
      <c r="T223" s="219">
        <f t="shared" si="19"/>
        <v>14.397484657697234</v>
      </c>
      <c r="U223" s="249">
        <f>U222+(T222*R223*'life-tables-test'!$C$66)</f>
        <v>85.602515342302766</v>
      </c>
      <c r="V223" s="516">
        <f t="shared" si="16"/>
        <v>100</v>
      </c>
      <c r="W223" s="153">
        <f>(T223*0)/(1+cDR)^'Markov Model_SA1'!cycle2</f>
        <v>0</v>
      </c>
      <c r="X223" s="178">
        <f t="shared" si="17"/>
        <v>14.397484657697234</v>
      </c>
      <c r="Y223" s="202">
        <f>(T223*(uPostT))/(1+oDR)^'Markov Model_SA1'!cycle</f>
        <v>6.4287568702005915</v>
      </c>
      <c r="Z223" s="80"/>
      <c r="AA223" s="3"/>
      <c r="AB223" s="3"/>
      <c r="AC223" s="14">
        <v>211</v>
      </c>
      <c r="AD223" s="14"/>
      <c r="AE223" s="14"/>
      <c r="AF223" s="3"/>
      <c r="AG223" s="3"/>
      <c r="AH223" s="3"/>
      <c r="AI223" s="14"/>
      <c r="AJ223" s="14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</row>
    <row r="224" spans="1:58" ht="14.25" customHeight="1" x14ac:dyDescent="0.2">
      <c r="A224" s="637"/>
      <c r="B224" s="417"/>
      <c r="C224" s="173">
        <v>214</v>
      </c>
      <c r="D224" s="165"/>
      <c r="E224" s="174">
        <v>2.0388755652031021E-3</v>
      </c>
      <c r="F224" s="502"/>
      <c r="G224" s="219">
        <f t="shared" si="20"/>
        <v>15.126245153717846</v>
      </c>
      <c r="H224" s="249">
        <f>H223+(G223*E224*'life-tables-test'!$C$66)</f>
        <v>84.873754846282154</v>
      </c>
      <c r="I224" s="516">
        <f t="shared" si="18"/>
        <v>100</v>
      </c>
      <c r="J224" s="153">
        <f>(G224*0)/(1+cDR)^'Markov Model_SA1'!cycle</f>
        <v>0</v>
      </c>
      <c r="K224" s="178">
        <f t="shared" si="15"/>
        <v>15.126245153717846</v>
      </c>
      <c r="L224" s="202">
        <f>(G224*(uPostT))/(1+oDR)^'Markov Model_SA1'!cycle</f>
        <v>6.7373193047393407</v>
      </c>
      <c r="M224" s="80"/>
      <c r="N224" s="3"/>
      <c r="O224" s="80"/>
      <c r="P224" s="173">
        <v>214</v>
      </c>
      <c r="Q224" s="165"/>
      <c r="R224" s="174">
        <v>2.0388755652031021E-3</v>
      </c>
      <c r="S224" s="502"/>
      <c r="T224" s="219">
        <f t="shared" si="19"/>
        <v>14.2507112593524</v>
      </c>
      <c r="U224" s="249">
        <f>U223+(T223*R224*'life-tables-test'!$C$66)</f>
        <v>85.7492887406476</v>
      </c>
      <c r="V224" s="516">
        <f t="shared" si="16"/>
        <v>100</v>
      </c>
      <c r="W224" s="153">
        <f>(T224*0)/(1+cDR)^'Markov Model_SA1'!cycle2</f>
        <v>0</v>
      </c>
      <c r="X224" s="178">
        <f t="shared" si="17"/>
        <v>14.2507112593524</v>
      </c>
      <c r="Y224" s="202">
        <f>(T224*(uPostT))/(1+oDR)^'Markov Model_SA1'!cycle</f>
        <v>6.3473513154256089</v>
      </c>
      <c r="Z224" s="80"/>
      <c r="AA224" s="3"/>
      <c r="AB224" s="3"/>
      <c r="AC224" s="14">
        <v>212</v>
      </c>
      <c r="AD224" s="14"/>
      <c r="AE224" s="14"/>
      <c r="AF224" s="3"/>
      <c r="AG224" s="3"/>
      <c r="AH224" s="3"/>
      <c r="AI224" s="14"/>
      <c r="AJ224" s="14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</row>
    <row r="225" spans="1:58" ht="14.25" customHeight="1" x14ac:dyDescent="0.2">
      <c r="A225" s="637"/>
      <c r="B225" s="417"/>
      <c r="C225" s="173">
        <v>215</v>
      </c>
      <c r="D225" s="165"/>
      <c r="E225" s="174">
        <v>2.0388755652031021E-3</v>
      </c>
      <c r="F225" s="502"/>
      <c r="G225" s="219">
        <f t="shared" si="20"/>
        <v>14.972042495531909</v>
      </c>
      <c r="H225" s="249">
        <f>H224+(G224*E225*'life-tables-test'!$C$66)</f>
        <v>85.027957504468091</v>
      </c>
      <c r="I225" s="516">
        <f t="shared" si="18"/>
        <v>100</v>
      </c>
      <c r="J225" s="153">
        <f>(G225*0)/(1+cDR)^'Markov Model_SA1'!cycle</f>
        <v>0</v>
      </c>
      <c r="K225" s="178">
        <f t="shared" si="15"/>
        <v>14.972042495531909</v>
      </c>
      <c r="L225" s="202">
        <f>(G225*(uPostT))/(1+oDR)^'Markov Model_SA1'!cycle</f>
        <v>6.6520065099374746</v>
      </c>
      <c r="M225" s="80"/>
      <c r="N225" s="3"/>
      <c r="O225" s="80"/>
      <c r="P225" s="173">
        <v>215</v>
      </c>
      <c r="Q225" s="165"/>
      <c r="R225" s="174">
        <v>2.0388755652031021E-3</v>
      </c>
      <c r="S225" s="502"/>
      <c r="T225" s="219">
        <f t="shared" si="19"/>
        <v>14.105434124485114</v>
      </c>
      <c r="U225" s="249">
        <f>U224+(T224*R225*'life-tables-test'!$C$66)</f>
        <v>85.894565875514886</v>
      </c>
      <c r="V225" s="516">
        <f t="shared" si="16"/>
        <v>100</v>
      </c>
      <c r="W225" s="153">
        <f>(T225*0)/(1+cDR)^'Markov Model_SA1'!cycle2</f>
        <v>0</v>
      </c>
      <c r="X225" s="178">
        <f t="shared" si="17"/>
        <v>14.105434124485114</v>
      </c>
      <c r="Y225" s="202">
        <f>(T225*(uPostT))/(1+oDR)^'Markov Model_SA1'!cycle</f>
        <v>6.2669765764805039</v>
      </c>
      <c r="Z225" s="80"/>
      <c r="AA225" s="3"/>
      <c r="AB225" s="3"/>
      <c r="AC225" s="14">
        <v>213</v>
      </c>
      <c r="AD225" s="14"/>
      <c r="AE225" s="14"/>
      <c r="AF225" s="3"/>
      <c r="AG225" s="3"/>
      <c r="AH225" s="3"/>
      <c r="AI225" s="14"/>
      <c r="AJ225" s="14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</row>
    <row r="226" spans="1:58" ht="14.25" customHeight="1" x14ac:dyDescent="0.2">
      <c r="A226" s="637"/>
      <c r="B226" s="417"/>
      <c r="C226" s="173">
        <v>216</v>
      </c>
      <c r="D226" s="165"/>
      <c r="E226" s="174">
        <v>2.0388755652031021E-3</v>
      </c>
      <c r="F226" s="502"/>
      <c r="G226" s="219">
        <f t="shared" si="20"/>
        <v>14.819411837505299</v>
      </c>
      <c r="H226" s="249">
        <f>H225+(G225*E226*'life-tables-test'!$C$66)</f>
        <v>85.180588162494701</v>
      </c>
      <c r="I226" s="516">
        <f t="shared" si="18"/>
        <v>100</v>
      </c>
      <c r="J226" s="153">
        <f>(G226*0)/(1+cDR)^'Markov Model_SA1'!cycle</f>
        <v>0</v>
      </c>
      <c r="K226" s="178">
        <f t="shared" si="15"/>
        <v>14.819411837505299</v>
      </c>
      <c r="L226" s="202">
        <f>(G226*(uPostT))/(1+oDR)^'Markov Model_SA1'!cycle</f>
        <v>6.5677740072559194</v>
      </c>
      <c r="M226" s="80"/>
      <c r="N226" s="3"/>
      <c r="O226" s="80"/>
      <c r="P226" s="173">
        <v>216</v>
      </c>
      <c r="Q226" s="165"/>
      <c r="R226" s="174">
        <v>2.0388755652031021E-3</v>
      </c>
      <c r="S226" s="502"/>
      <c r="T226" s="219">
        <f t="shared" si="19"/>
        <v>13.961637999620137</v>
      </c>
      <c r="U226" s="249">
        <f>U225+(T225*R226*'life-tables-test'!$C$66)</f>
        <v>86.038362000379863</v>
      </c>
      <c r="V226" s="516">
        <f t="shared" si="16"/>
        <v>100</v>
      </c>
      <c r="W226" s="153">
        <f>(T226*0)/(1+cDR)^'Markov Model_SA1'!cycle2</f>
        <v>0</v>
      </c>
      <c r="X226" s="178">
        <f t="shared" si="17"/>
        <v>13.961637999620137</v>
      </c>
      <c r="Y226" s="202">
        <f>(T226*(uPostT))/(1+oDR)^'Markov Model_SA1'!cycle</f>
        <v>6.1876196004319919</v>
      </c>
      <c r="Z226" s="80"/>
      <c r="AA226" s="3"/>
      <c r="AB226" s="3"/>
      <c r="AC226" s="14">
        <v>214</v>
      </c>
      <c r="AD226" s="14"/>
      <c r="AE226" s="14"/>
      <c r="AF226" s="3"/>
      <c r="AG226" s="3"/>
      <c r="AH226" s="3"/>
      <c r="AI226" s="14"/>
      <c r="AJ226" s="14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</row>
    <row r="227" spans="1:58" ht="14.25" customHeight="1" x14ac:dyDescent="0.2">
      <c r="A227" s="606"/>
      <c r="B227" s="417"/>
      <c r="C227" s="173">
        <v>217</v>
      </c>
      <c r="D227" s="504"/>
      <c r="E227" s="174">
        <v>2.0388755652031021E-3</v>
      </c>
      <c r="F227" s="505"/>
      <c r="G227" s="219">
        <f t="shared" si="20"/>
        <v>14.66833715407445</v>
      </c>
      <c r="H227" s="249">
        <f>H226+(G226*E227*'life-tables-test'!$C$66)</f>
        <v>85.33166284592555</v>
      </c>
      <c r="I227" s="516">
        <f t="shared" si="18"/>
        <v>100</v>
      </c>
      <c r="J227" s="180">
        <f>(G227*0)/(1+cDR)^'Markov Model_SA1'!cycle</f>
        <v>0</v>
      </c>
      <c r="K227" s="176">
        <f t="shared" si="15"/>
        <v>14.66833715407445</v>
      </c>
      <c r="L227" s="202">
        <f>(G227*(uPostT))/(1+oDR)^'Markov Model_SA1'!cycle</f>
        <v>6.4846081172569283</v>
      </c>
      <c r="M227" s="80"/>
      <c r="N227" s="3"/>
      <c r="O227" s="80"/>
      <c r="P227" s="173">
        <v>217</v>
      </c>
      <c r="Q227" s="504"/>
      <c r="R227" s="174">
        <v>2.0388755652031021E-3</v>
      </c>
      <c r="S227" s="505"/>
      <c r="T227" s="219">
        <f t="shared" si="19"/>
        <v>13.819307786781948</v>
      </c>
      <c r="U227" s="249">
        <f>U226+(T226*R227*'life-tables-test'!$C$66)</f>
        <v>86.180692213218052</v>
      </c>
      <c r="V227" s="516">
        <f t="shared" si="16"/>
        <v>100</v>
      </c>
      <c r="W227" s="180">
        <f>(T227*0)/(1+cDR)^'Markov Model_SA1'!cycle2</f>
        <v>0</v>
      </c>
      <c r="X227" s="176">
        <f t="shared" si="17"/>
        <v>13.819307786781948</v>
      </c>
      <c r="Y227" s="202">
        <f>(T227*(uPostT))/(1+oDR)^'Markov Model_SA1'!cycle</f>
        <v>6.1092674996324448</v>
      </c>
      <c r="Z227" s="80"/>
      <c r="AA227" s="3"/>
      <c r="AB227" s="3"/>
      <c r="AC227" s="14">
        <v>215</v>
      </c>
      <c r="AD227" s="14"/>
      <c r="AE227" s="14"/>
      <c r="AF227" s="3"/>
      <c r="AG227" s="3"/>
      <c r="AH227" s="3"/>
      <c r="AI227" s="14"/>
      <c r="AJ227" s="14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</row>
    <row r="228" spans="1:58" ht="14.25" customHeight="1" x14ac:dyDescent="0.25">
      <c r="A228" s="637" t="s">
        <v>560</v>
      </c>
      <c r="B228" s="417"/>
      <c r="C228" s="506">
        <v>218</v>
      </c>
      <c r="D228" s="506"/>
      <c r="E228" s="507">
        <v>2.0388755652031021E-3</v>
      </c>
      <c r="F228" s="508"/>
      <c r="G228" s="509">
        <f t="shared" si="20"/>
        <v>14.518802583046437</v>
      </c>
      <c r="H228" s="510">
        <f>H227+(G227*E228*'life-tables-test'!$C$66)</f>
        <v>85.481197416953563</v>
      </c>
      <c r="I228" s="518">
        <f t="shared" si="18"/>
        <v>100</v>
      </c>
      <c r="J228" s="511">
        <f>(G228*0)/(1+cDR)^'Markov Model_SA1'!cycle</f>
        <v>0</v>
      </c>
      <c r="K228" s="512">
        <f t="shared" si="15"/>
        <v>14.518802583046437</v>
      </c>
      <c r="L228" s="513">
        <f>(G228*(uPostT))/(1+oDR)^'Markov Model_SA1'!cycle</f>
        <v>6.402495333721661</v>
      </c>
      <c r="M228" s="80"/>
      <c r="N228" s="3"/>
      <c r="O228" s="80"/>
      <c r="P228" s="506">
        <v>218</v>
      </c>
      <c r="Q228" s="506"/>
      <c r="R228" s="507">
        <v>2.0388755652031021E-3</v>
      </c>
      <c r="S228" s="508"/>
      <c r="T228" s="509">
        <f t="shared" si="19"/>
        <v>13.678428541909497</v>
      </c>
      <c r="U228" s="510">
        <f>U227+(T227*R228*'life-tables-test'!$C$66)</f>
        <v>86.321571458090503</v>
      </c>
      <c r="V228" s="518">
        <f t="shared" si="16"/>
        <v>100</v>
      </c>
      <c r="W228" s="511">
        <f>(T228*0)/(1+cDR)^'Markov Model_SA1'!cycle2</f>
        <v>0</v>
      </c>
      <c r="X228" s="512">
        <f t="shared" si="17"/>
        <v>13.678428541909497</v>
      </c>
      <c r="Y228" s="513">
        <f>(T228*(uPostT))/(1+oDR)^'Markov Model_SA1'!cycle</f>
        <v>6.0319075496269274</v>
      </c>
      <c r="Z228" s="80"/>
      <c r="AA228" s="3"/>
      <c r="AB228" s="3"/>
      <c r="AC228" s="14">
        <v>216</v>
      </c>
      <c r="AD228" s="14"/>
      <c r="AE228" s="14"/>
      <c r="AF228" s="3"/>
      <c r="AG228" s="3"/>
      <c r="AH228" s="3"/>
      <c r="AI228" s="14"/>
      <c r="AJ228" s="14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</row>
    <row r="229" spans="1:58" ht="14.25" customHeight="1" x14ac:dyDescent="0.2">
      <c r="A229" s="637"/>
      <c r="B229" s="417"/>
      <c r="C229" s="173">
        <v>219</v>
      </c>
      <c r="D229" s="165"/>
      <c r="E229" s="174">
        <v>2.2221246144455975E-3</v>
      </c>
      <c r="F229" s="502"/>
      <c r="G229" s="219">
        <f t="shared" si="20"/>
        <v>14.357489640086115</v>
      </c>
      <c r="H229" s="249">
        <f>H228+(G228*E229*'life-tables-test'!$C$66)</f>
        <v>85.642510359913885</v>
      </c>
      <c r="I229" s="516">
        <f t="shared" si="18"/>
        <v>100</v>
      </c>
      <c r="J229" s="153">
        <f>(G229*0)/(1+cDR)^'Markov Model_SA1'!cycle</f>
        <v>0</v>
      </c>
      <c r="K229" s="178">
        <f t="shared" si="15"/>
        <v>14.357489640086115</v>
      </c>
      <c r="L229" s="202">
        <f>(G229*(uPostT))/(1+oDR)^'Markov Model_SA1'!cycle</f>
        <v>6.3155706946104555</v>
      </c>
      <c r="M229" s="80"/>
      <c r="N229" s="3"/>
      <c r="O229" s="80"/>
      <c r="P229" s="173">
        <v>219</v>
      </c>
      <c r="Q229" s="165"/>
      <c r="R229" s="174">
        <v>2.2221246144455975E-3</v>
      </c>
      <c r="S229" s="502"/>
      <c r="T229" s="219">
        <f t="shared" si="19"/>
        <v>13.526452678159941</v>
      </c>
      <c r="U229" s="249">
        <f>U228+(T228*R229*'life-tables-test'!$C$66)</f>
        <v>86.473547321840059</v>
      </c>
      <c r="V229" s="516">
        <f t="shared" si="16"/>
        <v>100</v>
      </c>
      <c r="W229" s="153">
        <f>(T229*0)/(1+cDR)^'Markov Model_SA1'!cycle2</f>
        <v>0</v>
      </c>
      <c r="X229" s="178">
        <f t="shared" si="17"/>
        <v>13.526452678159941</v>
      </c>
      <c r="Y229" s="202">
        <f>(T229*(uPostT))/(1+oDR)^'Markov Model_SA1'!cycle</f>
        <v>5.9500142627795514</v>
      </c>
      <c r="Z229" s="80"/>
      <c r="AA229" s="3"/>
      <c r="AB229" s="3"/>
      <c r="AC229" s="14">
        <v>217</v>
      </c>
      <c r="AD229" s="14"/>
      <c r="AE229" s="14"/>
      <c r="AF229" s="3"/>
      <c r="AG229" s="3"/>
      <c r="AH229" s="3"/>
      <c r="AI229" s="14"/>
      <c r="AJ229" s="14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</row>
    <row r="230" spans="1:58" ht="14.25" customHeight="1" x14ac:dyDescent="0.2">
      <c r="A230" s="637"/>
      <c r="B230" s="417"/>
      <c r="C230" s="173">
        <v>220</v>
      </c>
      <c r="D230" s="165"/>
      <c r="E230" s="174">
        <v>2.2221246144455975E-3</v>
      </c>
      <c r="F230" s="502"/>
      <c r="G230" s="219">
        <f t="shared" si="20"/>
        <v>14.197968984431697</v>
      </c>
      <c r="H230" s="249">
        <f>H229+(G229*E230*'life-tables-test'!$C$66)</f>
        <v>85.802031015568303</v>
      </c>
      <c r="I230" s="516">
        <f t="shared" si="18"/>
        <v>100</v>
      </c>
      <c r="J230" s="153">
        <f>(G230*0)/(1+cDR)^'Markov Model_SA1'!cycle</f>
        <v>0</v>
      </c>
      <c r="K230" s="178">
        <f t="shared" si="15"/>
        <v>14.197968984431697</v>
      </c>
      <c r="L230" s="202">
        <f>(G230*(uPostT))/(1+oDR)^'Markov Model_SA1'!cycle</f>
        <v>6.2298262036275602</v>
      </c>
      <c r="M230" s="80"/>
      <c r="N230" s="3"/>
      <c r="O230" s="80"/>
      <c r="P230" s="173">
        <v>220</v>
      </c>
      <c r="Q230" s="165"/>
      <c r="R230" s="174">
        <v>2.2221246144455975E-3</v>
      </c>
      <c r="S230" s="502"/>
      <c r="T230" s="219">
        <f t="shared" si="19"/>
        <v>13.376165360948576</v>
      </c>
      <c r="U230" s="249">
        <f>U229+(T229*R230*'life-tables-test'!$C$66)</f>
        <v>86.623834639051424</v>
      </c>
      <c r="V230" s="516">
        <f t="shared" si="16"/>
        <v>100</v>
      </c>
      <c r="W230" s="153">
        <f>(T230*0)/(1+cDR)^'Markov Model_SA1'!cycle2</f>
        <v>0</v>
      </c>
      <c r="X230" s="178">
        <f t="shared" si="17"/>
        <v>13.376165360948576</v>
      </c>
      <c r="Y230" s="202">
        <f>(T230*(uPostT))/(1+oDR)^'Markov Model_SA1'!cycle</f>
        <v>5.8692328149939428</v>
      </c>
      <c r="Z230" s="80"/>
      <c r="AA230" s="3"/>
      <c r="AB230" s="3"/>
      <c r="AC230" s="14">
        <v>218</v>
      </c>
      <c r="AD230" s="14"/>
      <c r="AE230" s="14"/>
      <c r="AF230" s="3"/>
      <c r="AG230" s="3"/>
      <c r="AH230" s="3"/>
      <c r="AI230" s="14"/>
      <c r="AJ230" s="14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</row>
    <row r="231" spans="1:58" ht="14.25" customHeight="1" x14ac:dyDescent="0.2">
      <c r="A231" s="637"/>
      <c r="B231" s="417"/>
      <c r="C231" s="173">
        <v>221</v>
      </c>
      <c r="D231" s="165"/>
      <c r="E231" s="174">
        <v>2.2221246144455975E-3</v>
      </c>
      <c r="F231" s="502"/>
      <c r="G231" s="219">
        <f t="shared" si="20"/>
        <v>14.040220702654494</v>
      </c>
      <c r="H231" s="249">
        <f>H230+(G230*E231*'life-tables-test'!$C$66)</f>
        <v>85.959779297345506</v>
      </c>
      <c r="I231" s="516">
        <f t="shared" si="18"/>
        <v>100</v>
      </c>
      <c r="J231" s="153">
        <f>(G231*0)/(1+cDR)^'Markov Model_SA1'!cycle</f>
        <v>0</v>
      </c>
      <c r="K231" s="178">
        <f t="shared" si="15"/>
        <v>14.040220702654494</v>
      </c>
      <c r="L231" s="202">
        <f>(G231*(uPostT))/(1+oDR)^'Markov Model_SA1'!cycle</f>
        <v>6.1452458382778694</v>
      </c>
      <c r="M231" s="80"/>
      <c r="N231" s="3"/>
      <c r="O231" s="80"/>
      <c r="P231" s="173">
        <v>221</v>
      </c>
      <c r="Q231" s="165"/>
      <c r="R231" s="174">
        <v>2.2221246144455975E-3</v>
      </c>
      <c r="S231" s="502"/>
      <c r="T231" s="219">
        <f t="shared" si="19"/>
        <v>13.227547829471291</v>
      </c>
      <c r="U231" s="249">
        <f>U230+(T230*R231*'life-tables-test'!$C$66)</f>
        <v>86.772452170528709</v>
      </c>
      <c r="V231" s="516">
        <f t="shared" si="16"/>
        <v>100</v>
      </c>
      <c r="W231" s="153">
        <f>(T231*0)/(1+cDR)^'Markov Model_SA1'!cycle2</f>
        <v>0</v>
      </c>
      <c r="X231" s="178">
        <f t="shared" si="17"/>
        <v>13.227547829471291</v>
      </c>
      <c r="Y231" s="202">
        <f>(T231*(uPostT))/(1+oDR)^'Markov Model_SA1'!cycle</f>
        <v>5.7895481111854306</v>
      </c>
      <c r="Z231" s="80"/>
      <c r="AA231" s="3"/>
      <c r="AB231" s="3"/>
      <c r="AC231" s="14">
        <v>219</v>
      </c>
      <c r="AD231" s="14"/>
      <c r="AE231" s="14"/>
      <c r="AF231" s="3"/>
      <c r="AG231" s="3"/>
      <c r="AH231" s="3"/>
      <c r="AI231" s="14"/>
      <c r="AJ231" s="14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</row>
    <row r="232" spans="1:58" ht="14.25" customHeight="1" x14ac:dyDescent="0.2">
      <c r="A232" s="637"/>
      <c r="B232" s="417"/>
      <c r="C232" s="173">
        <v>222</v>
      </c>
      <c r="D232" s="165"/>
      <c r="E232" s="174">
        <v>2.2221246144455975E-3</v>
      </c>
      <c r="F232" s="502"/>
      <c r="G232" s="219">
        <f t="shared" si="20"/>
        <v>13.884225102576409</v>
      </c>
      <c r="H232" s="249">
        <f>H231+(G231*E232*'life-tables-test'!$C$66)</f>
        <v>86.115774897423591</v>
      </c>
      <c r="I232" s="516">
        <f t="shared" si="18"/>
        <v>100</v>
      </c>
      <c r="J232" s="153">
        <f>(G232*0)/(1+cDR)^'Markov Model_SA1'!cycle</f>
        <v>0</v>
      </c>
      <c r="K232" s="178">
        <f t="shared" si="15"/>
        <v>13.884225102576409</v>
      </c>
      <c r="L232" s="202">
        <f>(G232*(uPostT))/(1+oDR)^'Markov Model_SA1'!cycle</f>
        <v>6.0618137935985912</v>
      </c>
      <c r="M232" s="80"/>
      <c r="N232" s="3"/>
      <c r="O232" s="80"/>
      <c r="P232" s="173">
        <v>222</v>
      </c>
      <c r="Q232" s="165"/>
      <c r="R232" s="174">
        <v>2.2221246144455975E-3</v>
      </c>
      <c r="S232" s="502"/>
      <c r="T232" s="219">
        <f t="shared" si="19"/>
        <v>13.080581531368168</v>
      </c>
      <c r="U232" s="249">
        <f>U231+(T231*R232*'life-tables-test'!$C$66)</f>
        <v>86.919418468631832</v>
      </c>
      <c r="V232" s="516">
        <f t="shared" si="16"/>
        <v>100</v>
      </c>
      <c r="W232" s="153">
        <f>(T232*0)/(1+cDR)^'Markov Model_SA1'!cycle2</f>
        <v>0</v>
      </c>
      <c r="X232" s="178">
        <f t="shared" si="17"/>
        <v>13.080581531368168</v>
      </c>
      <c r="Y232" s="202">
        <f>(T232*(uPostT))/(1+oDR)^'Markov Model_SA1'!cycle</f>
        <v>5.7109452612104956</v>
      </c>
      <c r="Z232" s="80"/>
      <c r="AA232" s="3"/>
      <c r="AB232" s="3"/>
      <c r="AC232" s="14">
        <v>220</v>
      </c>
      <c r="AD232" s="14"/>
      <c r="AE232" s="14"/>
      <c r="AF232" s="3"/>
      <c r="AG232" s="3"/>
      <c r="AH232" s="3"/>
      <c r="AI232" s="14"/>
      <c r="AJ232" s="14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</row>
    <row r="233" spans="1:58" ht="14.25" customHeight="1" x14ac:dyDescent="0.2">
      <c r="A233" s="637"/>
      <c r="B233" s="417"/>
      <c r="C233" s="173">
        <v>223</v>
      </c>
      <c r="D233" s="165"/>
      <c r="E233" s="174">
        <v>2.2221246144455975E-3</v>
      </c>
      <c r="F233" s="502"/>
      <c r="G233" s="219">
        <f t="shared" si="20"/>
        <v>13.729962710811719</v>
      </c>
      <c r="H233" s="249">
        <f>H232+(G232*E233*'life-tables-test'!$C$66)</f>
        <v>86.270037289188281</v>
      </c>
      <c r="I233" s="516">
        <f t="shared" si="18"/>
        <v>100</v>
      </c>
      <c r="J233" s="153">
        <f>(G233*0)/(1+cDR)^'Markov Model_SA1'!cycle</f>
        <v>0</v>
      </c>
      <c r="K233" s="178">
        <f t="shared" si="15"/>
        <v>13.729962710811719</v>
      </c>
      <c r="L233" s="202">
        <f>(G233*(uPostT))/(1+oDR)^'Markov Model_SA1'!cycle</f>
        <v>5.9795144792058732</v>
      </c>
      <c r="M233" s="80"/>
      <c r="N233" s="3"/>
      <c r="O233" s="80"/>
      <c r="P233" s="173">
        <v>223</v>
      </c>
      <c r="Q233" s="165"/>
      <c r="R233" s="174">
        <v>2.2221246144455975E-3</v>
      </c>
      <c r="S233" s="502"/>
      <c r="T233" s="219">
        <f t="shared" si="19"/>
        <v>12.935248120407593</v>
      </c>
      <c r="U233" s="249">
        <f>U232+(T232*R233*'life-tables-test'!$C$66)</f>
        <v>87.064751879592407</v>
      </c>
      <c r="V233" s="516">
        <f t="shared" si="16"/>
        <v>100</v>
      </c>
      <c r="W233" s="153">
        <f>(T233*0)/(1+cDR)^'Markov Model_SA1'!cycle2</f>
        <v>0</v>
      </c>
      <c r="X233" s="178">
        <f t="shared" si="17"/>
        <v>12.935248120407593</v>
      </c>
      <c r="Y233" s="202">
        <f>(T233*(uPostT))/(1+oDR)^'Markov Model_SA1'!cycle</f>
        <v>5.6334095770843513</v>
      </c>
      <c r="Z233" s="80"/>
      <c r="AA233" s="3"/>
      <c r="AB233" s="3"/>
      <c r="AC233" s="14">
        <v>221</v>
      </c>
      <c r="AD233" s="14"/>
      <c r="AE233" s="14"/>
      <c r="AF233" s="3"/>
      <c r="AG233" s="3"/>
      <c r="AH233" s="3"/>
      <c r="AI233" s="14"/>
      <c r="AJ233" s="14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</row>
    <row r="234" spans="1:58" ht="14.25" customHeight="1" x14ac:dyDescent="0.2">
      <c r="A234" s="637"/>
      <c r="B234" s="417"/>
      <c r="C234" s="173">
        <v>224</v>
      </c>
      <c r="D234" s="165"/>
      <c r="E234" s="174">
        <v>2.2221246144455975E-3</v>
      </c>
      <c r="F234" s="502"/>
      <c r="G234" s="219">
        <f t="shared" si="20"/>
        <v>13.577414270336149</v>
      </c>
      <c r="H234" s="249">
        <f>H233+(G233*E234*'life-tables-test'!$C$66)</f>
        <v>86.422585729663851</v>
      </c>
      <c r="I234" s="516">
        <f t="shared" si="18"/>
        <v>100</v>
      </c>
      <c r="J234" s="153">
        <f>(G234*0)/(1+cDR)^'Markov Model_SA1'!cycle</f>
        <v>0</v>
      </c>
      <c r="K234" s="178">
        <f t="shared" si="15"/>
        <v>13.577414270336149</v>
      </c>
      <c r="L234" s="202">
        <f>(G234*(uPostT))/(1+oDR)^'Markov Model_SA1'!cycle</f>
        <v>5.8983325163815339</v>
      </c>
      <c r="M234" s="80"/>
      <c r="N234" s="3"/>
      <c r="O234" s="80"/>
      <c r="P234" s="173">
        <v>224</v>
      </c>
      <c r="Q234" s="165"/>
      <c r="R234" s="174">
        <v>2.2221246144455975E-3</v>
      </c>
      <c r="S234" s="502"/>
      <c r="T234" s="219">
        <f t="shared" si="19"/>
        <v>12.791529454195995</v>
      </c>
      <c r="U234" s="249">
        <f>U233+(T233*R234*'life-tables-test'!$C$66)</f>
        <v>87.208470545804005</v>
      </c>
      <c r="V234" s="516">
        <f t="shared" si="16"/>
        <v>100</v>
      </c>
      <c r="W234" s="153">
        <f>(T234*0)/(1+cDR)^'Markov Model_SA1'!cycle2</f>
        <v>0</v>
      </c>
      <c r="X234" s="178">
        <f t="shared" si="17"/>
        <v>12.791529454195995</v>
      </c>
      <c r="Y234" s="202">
        <f>(T234*(uPostT))/(1+oDR)^'Markov Model_SA1'!cycle</f>
        <v>5.5569265702362944</v>
      </c>
      <c r="Z234" s="80"/>
      <c r="AA234" s="3"/>
      <c r="AB234" s="3"/>
      <c r="AC234" s="14">
        <v>222</v>
      </c>
      <c r="AD234" s="14"/>
      <c r="AE234" s="14"/>
      <c r="AF234" s="3"/>
      <c r="AG234" s="3"/>
      <c r="AH234" s="3"/>
      <c r="AI234" s="14"/>
      <c r="AJ234" s="14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</row>
    <row r="235" spans="1:58" ht="14.25" customHeight="1" x14ac:dyDescent="0.2">
      <c r="A235" s="637"/>
      <c r="B235" s="417"/>
      <c r="C235" s="173">
        <v>225</v>
      </c>
      <c r="D235" s="165"/>
      <c r="E235" s="174">
        <v>2.2221246144455975E-3</v>
      </c>
      <c r="F235" s="502"/>
      <c r="G235" s="219">
        <f t="shared" si="20"/>
        <v>13.426560738082955</v>
      </c>
      <c r="H235" s="249">
        <f>H234+(G234*E235*'life-tables-test'!$C$66)</f>
        <v>86.573439261917045</v>
      </c>
      <c r="I235" s="516">
        <f t="shared" si="18"/>
        <v>100</v>
      </c>
      <c r="J235" s="153">
        <f>(G235*0)/(1+cDR)^'Markov Model_SA1'!cycle</f>
        <v>0</v>
      </c>
      <c r="K235" s="178">
        <f t="shared" si="15"/>
        <v>13.426560738082955</v>
      </c>
      <c r="L235" s="202">
        <f>(G235*(uPostT))/(1+oDR)^'Markov Model_SA1'!cycle</f>
        <v>5.818252735199354</v>
      </c>
      <c r="M235" s="80"/>
      <c r="N235" s="3"/>
      <c r="O235" s="80"/>
      <c r="P235" s="173">
        <v>225</v>
      </c>
      <c r="Q235" s="165"/>
      <c r="R235" s="174">
        <v>2.2221246144455975E-3</v>
      </c>
      <c r="S235" s="502"/>
      <c r="T235" s="219">
        <f t="shared" si="19"/>
        <v>12.649407591913118</v>
      </c>
      <c r="U235" s="249">
        <f>U234+(T234*R235*'life-tables-test'!$C$66)</f>
        <v>87.350592408086882</v>
      </c>
      <c r="V235" s="516">
        <f t="shared" si="16"/>
        <v>100</v>
      </c>
      <c r="W235" s="153">
        <f>(T235*0)/(1+cDR)^'Markov Model_SA1'!cycle2</f>
        <v>0</v>
      </c>
      <c r="X235" s="178">
        <f t="shared" si="17"/>
        <v>12.649407591913118</v>
      </c>
      <c r="Y235" s="202">
        <f>(T235*(uPostT))/(1+oDR)^'Markov Model_SA1'!cycle</f>
        <v>5.481481948802343</v>
      </c>
      <c r="Z235" s="80"/>
      <c r="AA235" s="3"/>
      <c r="AB235" s="3"/>
      <c r="AC235" s="14">
        <v>223</v>
      </c>
      <c r="AD235" s="14"/>
      <c r="AE235" s="14"/>
      <c r="AF235" s="3"/>
      <c r="AG235" s="3"/>
      <c r="AH235" s="3"/>
      <c r="AI235" s="14"/>
      <c r="AJ235" s="14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</row>
    <row r="236" spans="1:58" ht="14.25" customHeight="1" x14ac:dyDescent="0.2">
      <c r="A236" s="637"/>
      <c r="B236" s="417"/>
      <c r="C236" s="173">
        <v>226</v>
      </c>
      <c r="D236" s="165"/>
      <c r="E236" s="174">
        <v>2.2221246144455975E-3</v>
      </c>
      <c r="F236" s="502"/>
      <c r="G236" s="219">
        <f t="shared" si="20"/>
        <v>13.277383282565737</v>
      </c>
      <c r="H236" s="249">
        <f>H235+(G235*E236*'life-tables-test'!$C$66)</f>
        <v>86.722616717434263</v>
      </c>
      <c r="I236" s="516">
        <f t="shared" si="18"/>
        <v>100</v>
      </c>
      <c r="J236" s="153">
        <f>(G236*0)/(1+cDR)^'Markov Model_SA1'!cycle</f>
        <v>0</v>
      </c>
      <c r="K236" s="178">
        <f t="shared" si="15"/>
        <v>13.277383282565737</v>
      </c>
      <c r="L236" s="202">
        <f>(G236*(uPostT))/(1+oDR)^'Markov Model_SA1'!cycle</f>
        <v>5.7392601716903684</v>
      </c>
      <c r="M236" s="80"/>
      <c r="N236" s="3"/>
      <c r="O236" s="80"/>
      <c r="P236" s="173">
        <v>226</v>
      </c>
      <c r="Q236" s="165"/>
      <c r="R236" s="174">
        <v>2.2221246144455975E-3</v>
      </c>
      <c r="S236" s="502"/>
      <c r="T236" s="219">
        <f t="shared" si="19"/>
        <v>12.508864792072387</v>
      </c>
      <c r="U236" s="249">
        <f>U235+(T235*R236*'life-tables-test'!$C$66)</f>
        <v>87.491135207927613</v>
      </c>
      <c r="V236" s="516">
        <f t="shared" si="16"/>
        <v>100</v>
      </c>
      <c r="W236" s="153">
        <f>(T236*0)/(1+cDR)^'Markov Model_SA1'!cycle2</f>
        <v>0</v>
      </c>
      <c r="X236" s="178">
        <f t="shared" si="17"/>
        <v>12.508864792072387</v>
      </c>
      <c r="Y236" s="202">
        <f>(T236*(uPostT))/(1+oDR)^'Markov Model_SA1'!cycle</f>
        <v>5.40706161495459</v>
      </c>
      <c r="Z236" s="80"/>
      <c r="AA236" s="3"/>
      <c r="AB236" s="3"/>
      <c r="AC236" s="14">
        <v>224</v>
      </c>
      <c r="AD236" s="14"/>
      <c r="AE236" s="14"/>
      <c r="AF236" s="3"/>
      <c r="AG236" s="3"/>
      <c r="AH236" s="3"/>
      <c r="AI236" s="14"/>
      <c r="AJ236" s="14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</row>
    <row r="237" spans="1:58" ht="14.25" customHeight="1" x14ac:dyDescent="0.2">
      <c r="A237" s="637"/>
      <c r="B237" s="417"/>
      <c r="C237" s="173">
        <v>227</v>
      </c>
      <c r="D237" s="165"/>
      <c r="E237" s="174">
        <v>2.2221246144455975E-3</v>
      </c>
      <c r="F237" s="502"/>
      <c r="G237" s="219">
        <f t="shared" si="20"/>
        <v>13.129863281527648</v>
      </c>
      <c r="H237" s="249">
        <f>H236+(G236*E237*'life-tables-test'!$C$66)</f>
        <v>86.870136718472352</v>
      </c>
      <c r="I237" s="516">
        <f t="shared" si="18"/>
        <v>100</v>
      </c>
      <c r="J237" s="153">
        <f>(G237*0)/(1+cDR)^'Markov Model_SA1'!cycle</f>
        <v>0</v>
      </c>
      <c r="K237" s="178">
        <f t="shared" si="15"/>
        <v>13.129863281527648</v>
      </c>
      <c r="L237" s="202">
        <f>(G237*(uPostT))/(1+oDR)^'Markov Model_SA1'!cycle</f>
        <v>5.6613400650466508</v>
      </c>
      <c r="M237" s="80"/>
      <c r="N237" s="3"/>
      <c r="O237" s="80"/>
      <c r="P237" s="173">
        <v>227</v>
      </c>
      <c r="Q237" s="165"/>
      <c r="R237" s="174">
        <v>2.2221246144455975E-3</v>
      </c>
      <c r="S237" s="502"/>
      <c r="T237" s="219">
        <f t="shared" si="19"/>
        <v>12.369883510306209</v>
      </c>
      <c r="U237" s="249">
        <f>U236+(T236*R237*'life-tables-test'!$C$66)</f>
        <v>87.630116489693791</v>
      </c>
      <c r="V237" s="516">
        <f t="shared" si="16"/>
        <v>100</v>
      </c>
      <c r="W237" s="153">
        <f>(T237*0)/(1+cDR)^'Markov Model_SA1'!cycle2</f>
        <v>0</v>
      </c>
      <c r="X237" s="178">
        <f t="shared" si="17"/>
        <v>12.369883510306209</v>
      </c>
      <c r="Y237" s="202">
        <f>(T237*(uPostT))/(1+oDR)^'Markov Model_SA1'!cycle</f>
        <v>5.3336516622668517</v>
      </c>
      <c r="Z237" s="80"/>
      <c r="AA237" s="3"/>
      <c r="AB237" s="3"/>
      <c r="AC237" s="14">
        <v>225</v>
      </c>
      <c r="AD237" s="14"/>
      <c r="AE237" s="14"/>
      <c r="AF237" s="3"/>
      <c r="AG237" s="3"/>
      <c r="AH237" s="3"/>
      <c r="AI237" s="14"/>
      <c r="AJ237" s="14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</row>
    <row r="238" spans="1:58" ht="14.25" customHeight="1" x14ac:dyDescent="0.2">
      <c r="A238" s="637"/>
      <c r="B238" s="417"/>
      <c r="C238" s="173">
        <v>228</v>
      </c>
      <c r="D238" s="165"/>
      <c r="E238" s="174">
        <v>2.2221246144455975E-3</v>
      </c>
      <c r="F238" s="502"/>
      <c r="G238" s="219">
        <f t="shared" si="20"/>
        <v>12.983982319616715</v>
      </c>
      <c r="H238" s="249">
        <f>H237+(G237*E238*'life-tables-test'!$C$66)</f>
        <v>87.016017680383285</v>
      </c>
      <c r="I238" s="516">
        <f t="shared" si="18"/>
        <v>100</v>
      </c>
      <c r="J238" s="153">
        <f>(G238*0)/(1+cDR)^'Markov Model_SA1'!cycle</f>
        <v>0</v>
      </c>
      <c r="K238" s="178">
        <f t="shared" si="15"/>
        <v>12.983982319616715</v>
      </c>
      <c r="L238" s="202">
        <f>(G238*(uPostT))/(1+oDR)^'Markov Model_SA1'!cycle</f>
        <v>5.5844778548630591</v>
      </c>
      <c r="M238" s="80"/>
      <c r="N238" s="3"/>
      <c r="O238" s="80"/>
      <c r="P238" s="173">
        <v>228</v>
      </c>
      <c r="Q238" s="165"/>
      <c r="R238" s="174">
        <v>2.2221246144455975E-3</v>
      </c>
      <c r="S238" s="502"/>
      <c r="T238" s="219">
        <f t="shared" si="19"/>
        <v>12.232446397175835</v>
      </c>
      <c r="U238" s="249">
        <f>U237+(T237*R238*'life-tables-test'!$C$66)</f>
        <v>87.767553602824165</v>
      </c>
      <c r="V238" s="516">
        <f t="shared" si="16"/>
        <v>100</v>
      </c>
      <c r="W238" s="153">
        <f>(T238*0)/(1+cDR)^'Markov Model_SA1'!cycle2</f>
        <v>0</v>
      </c>
      <c r="X238" s="178">
        <f t="shared" si="17"/>
        <v>12.232446397175835</v>
      </c>
      <c r="Y238" s="202">
        <f>(T238*(uPostT))/(1+oDR)^'Markov Model_SA1'!cycle</f>
        <v>5.2612383731160541</v>
      </c>
      <c r="Z238" s="80"/>
      <c r="AA238" s="3"/>
      <c r="AB238" s="3"/>
      <c r="AC238" s="14">
        <v>226</v>
      </c>
      <c r="AD238" s="14"/>
      <c r="AE238" s="14"/>
      <c r="AF238" s="3"/>
      <c r="AG238" s="3"/>
      <c r="AH238" s="3"/>
      <c r="AI238" s="14"/>
      <c r="AJ238" s="14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</row>
    <row r="239" spans="1:58" ht="14.25" customHeight="1" x14ac:dyDescent="0.2">
      <c r="A239" s="606"/>
      <c r="B239" s="417"/>
      <c r="C239" s="173">
        <v>229</v>
      </c>
      <c r="D239" s="504"/>
      <c r="E239" s="174">
        <v>2.2221246144455975E-3</v>
      </c>
      <c r="F239" s="505"/>
      <c r="G239" s="219">
        <f t="shared" si="20"/>
        <v>12.839722186086988</v>
      </c>
      <c r="H239" s="249">
        <f>H238+(G238*E239*'life-tables-test'!$C$66)</f>
        <v>87.160277813913012</v>
      </c>
      <c r="I239" s="516">
        <f t="shared" si="18"/>
        <v>100</v>
      </c>
      <c r="J239" s="180">
        <f>(G239*0)/(1+cDR)^'Markov Model_SA1'!cycle</f>
        <v>0</v>
      </c>
      <c r="K239" s="176">
        <f t="shared" si="15"/>
        <v>12.839722186086988</v>
      </c>
      <c r="L239" s="202">
        <f>(G239*(uPostT))/(1+oDR)^'Markov Model_SA1'!cycle</f>
        <v>5.5086591784164334</v>
      </c>
      <c r="M239" s="80"/>
      <c r="N239" s="3"/>
      <c r="O239" s="80"/>
      <c r="P239" s="173">
        <v>229</v>
      </c>
      <c r="Q239" s="504"/>
      <c r="R239" s="174">
        <v>2.2221246144455975E-3</v>
      </c>
      <c r="S239" s="505"/>
      <c r="T239" s="219">
        <f t="shared" si="19"/>
        <v>12.096536296005581</v>
      </c>
      <c r="U239" s="249">
        <f>U238+(T238*R239*'life-tables-test'!$C$66)</f>
        <v>87.903463703994419</v>
      </c>
      <c r="V239" s="516">
        <f t="shared" si="16"/>
        <v>100</v>
      </c>
      <c r="W239" s="180">
        <f>(T239*0)/(1+cDR)^'Markov Model_SA1'!cycle2</f>
        <v>0</v>
      </c>
      <c r="X239" s="176">
        <f t="shared" si="17"/>
        <v>12.096536296005581</v>
      </c>
      <c r="Y239" s="202">
        <f>(T239*(uPostT))/(1+oDR)^'Markov Model_SA1'!cycle</f>
        <v>5.189808216118923</v>
      </c>
      <c r="Z239" s="80"/>
      <c r="AA239" s="3"/>
      <c r="AB239" s="3"/>
      <c r="AC239" s="14">
        <v>227</v>
      </c>
      <c r="AD239" s="14"/>
      <c r="AE239" s="14"/>
      <c r="AF239" s="3"/>
      <c r="AG239" s="3"/>
      <c r="AH239" s="3"/>
      <c r="AI239" s="14"/>
      <c r="AJ239" s="14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</row>
    <row r="240" spans="1:58" ht="14.25" customHeight="1" x14ac:dyDescent="0.25">
      <c r="A240" s="637" t="s">
        <v>561</v>
      </c>
      <c r="B240" s="417"/>
      <c r="C240" s="506">
        <v>230</v>
      </c>
      <c r="D240" s="506"/>
      <c r="E240" s="507">
        <v>2.2221246144455975E-3</v>
      </c>
      <c r="F240" s="508"/>
      <c r="G240" s="509">
        <f t="shared" si="20"/>
        <v>12.697064872525246</v>
      </c>
      <c r="H240" s="510">
        <f>H239+(G239*E240*'life-tables-test'!$C$66)</f>
        <v>87.302935127474754</v>
      </c>
      <c r="I240" s="518">
        <f t="shared" si="18"/>
        <v>100</v>
      </c>
      <c r="J240" s="511">
        <f>(G240*0)/(1+cDR)^'Markov Model_SA1'!cycle</f>
        <v>0</v>
      </c>
      <c r="K240" s="512">
        <f t="shared" si="15"/>
        <v>12.697064872525246</v>
      </c>
      <c r="L240" s="513">
        <f>(G240*(uPostT))/(1+oDR)^'Markov Model_SA1'!cycle</f>
        <v>5.4338698679817243</v>
      </c>
      <c r="M240" s="80"/>
      <c r="N240" s="3"/>
      <c r="O240" s="80"/>
      <c r="P240" s="506">
        <v>230</v>
      </c>
      <c r="Q240" s="506"/>
      <c r="R240" s="507">
        <v>2.2221246144455975E-3</v>
      </c>
      <c r="S240" s="508"/>
      <c r="T240" s="509">
        <f t="shared" si="19"/>
        <v>11.962136240741145</v>
      </c>
      <c r="U240" s="510">
        <f>U239+(T239*R240*'life-tables-test'!$C$66)</f>
        <v>88.037863759258855</v>
      </c>
      <c r="V240" s="518">
        <f t="shared" si="16"/>
        <v>100</v>
      </c>
      <c r="W240" s="511">
        <f>(T240*0)/(1+cDR)^'Markov Model_SA1'!cycle2</f>
        <v>0</v>
      </c>
      <c r="X240" s="512">
        <f t="shared" si="17"/>
        <v>11.962136240741145</v>
      </c>
      <c r="Y240" s="513">
        <f>(T240*(uPostT))/(1+oDR)^'Markov Model_SA1'!cycle</f>
        <v>5.1193478436034692</v>
      </c>
      <c r="Z240" s="80"/>
      <c r="AA240" s="3"/>
      <c r="AB240" s="3"/>
      <c r="AC240" s="14">
        <v>228</v>
      </c>
      <c r="AD240" s="14"/>
      <c r="AE240" s="14"/>
      <c r="AF240" s="3"/>
      <c r="AG240" s="3"/>
      <c r="AH240" s="3"/>
      <c r="AI240" s="14"/>
      <c r="AJ240" s="14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</row>
    <row r="241" spans="1:58" ht="14.25" customHeight="1" x14ac:dyDescent="0.2">
      <c r="A241" s="637"/>
      <c r="B241" s="417"/>
      <c r="C241" s="173">
        <v>231</v>
      </c>
      <c r="D241" s="165"/>
      <c r="E241" s="174">
        <v>2.4529919863351957E-3</v>
      </c>
      <c r="F241" s="502"/>
      <c r="G241" s="219">
        <f t="shared" si="20"/>
        <v>12.541335880613829</v>
      </c>
      <c r="H241" s="249">
        <f>H240+(G240*E241*'life-tables-test'!$C$66)</f>
        <v>87.458664119386171</v>
      </c>
      <c r="I241" s="516">
        <f t="shared" si="18"/>
        <v>100</v>
      </c>
      <c r="J241" s="153">
        <f>(G241*0)/(1+cDR)^'Markov Model_SA1'!cycle</f>
        <v>0</v>
      </c>
      <c r="K241" s="178">
        <f t="shared" si="15"/>
        <v>12.541335880613829</v>
      </c>
      <c r="L241" s="202">
        <f>(G241*(uPostT))/(1+oDR)^'Markov Model_SA1'!cycle</f>
        <v>5.3538390740917547</v>
      </c>
      <c r="M241" s="80"/>
      <c r="N241" s="3"/>
      <c r="O241" s="80"/>
      <c r="P241" s="173">
        <v>231</v>
      </c>
      <c r="Q241" s="165"/>
      <c r="R241" s="174">
        <v>2.4529919863351957E-3</v>
      </c>
      <c r="S241" s="502"/>
      <c r="T241" s="219">
        <f t="shared" si="19"/>
        <v>11.815421119051209</v>
      </c>
      <c r="U241" s="249">
        <f>U240+(T240*R241*'life-tables-test'!$C$66)</f>
        <v>88.184578880948791</v>
      </c>
      <c r="V241" s="516">
        <f t="shared" si="16"/>
        <v>100</v>
      </c>
      <c r="W241" s="153">
        <f>(T241*0)/(1+cDR)^'Markov Model_SA1'!cycle2</f>
        <v>0</v>
      </c>
      <c r="X241" s="178">
        <f t="shared" si="17"/>
        <v>11.815421119051209</v>
      </c>
      <c r="Y241" s="202">
        <f>(T241*(uPostT))/(1+oDR)^'Markov Model_SA1'!cycle</f>
        <v>5.0439493739903858</v>
      </c>
      <c r="Z241" s="80"/>
      <c r="AA241" s="3"/>
      <c r="AB241" s="3"/>
      <c r="AC241" s="14">
        <v>229</v>
      </c>
      <c r="AD241" s="14"/>
      <c r="AE241" s="14"/>
      <c r="AF241" s="3"/>
      <c r="AG241" s="3"/>
      <c r="AH241" s="3"/>
      <c r="AI241" s="14"/>
      <c r="AJ241" s="14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</row>
    <row r="242" spans="1:58" ht="14.25" customHeight="1" x14ac:dyDescent="0.2">
      <c r="A242" s="637"/>
      <c r="B242" s="417"/>
      <c r="C242" s="173">
        <v>232</v>
      </c>
      <c r="D242" s="165"/>
      <c r="E242" s="174">
        <v>2.4529919863351957E-3</v>
      </c>
      <c r="F242" s="502"/>
      <c r="G242" s="219">
        <f t="shared" si="20"/>
        <v>12.387516898548412</v>
      </c>
      <c r="H242" s="249">
        <f>H241+(G241*E242*'life-tables-test'!$C$66)</f>
        <v>87.612483101451588</v>
      </c>
      <c r="I242" s="516">
        <f t="shared" si="18"/>
        <v>100</v>
      </c>
      <c r="J242" s="153">
        <f>(G242*0)/(1+cDR)^'Markov Model_SA1'!cycle</f>
        <v>0</v>
      </c>
      <c r="K242" s="178">
        <f t="shared" ref="K242:K305" si="21">G242</f>
        <v>12.387516898548412</v>
      </c>
      <c r="L242" s="202">
        <f>(G242*(uPostT))/(1+oDR)^'Markov Model_SA1'!cycle</f>
        <v>5.2749869849051159</v>
      </c>
      <c r="M242" s="80"/>
      <c r="N242" s="3"/>
      <c r="O242" s="80"/>
      <c r="P242" s="173">
        <v>232</v>
      </c>
      <c r="Q242" s="165"/>
      <c r="R242" s="174">
        <v>2.4529919863351957E-3</v>
      </c>
      <c r="S242" s="502"/>
      <c r="T242" s="219">
        <f t="shared" si="19"/>
        <v>11.670505452450172</v>
      </c>
      <c r="U242" s="249">
        <f>U241+(T241*R242*'life-tables-test'!$C$66)</f>
        <v>88.329494547549828</v>
      </c>
      <c r="V242" s="516">
        <f t="shared" si="16"/>
        <v>100</v>
      </c>
      <c r="W242" s="153">
        <f>(T242*0)/(1+cDR)^'Markov Model_SA1'!cycle2</f>
        <v>0</v>
      </c>
      <c r="X242" s="178">
        <f t="shared" si="17"/>
        <v>11.670505452450172</v>
      </c>
      <c r="Y242" s="202">
        <f>(T242*(uPostT))/(1+oDR)^'Markov Model_SA1'!cycle</f>
        <v>4.9696613835620882</v>
      </c>
      <c r="Z242" s="80"/>
      <c r="AA242" s="3"/>
      <c r="AB242" s="3"/>
      <c r="AC242" s="14">
        <v>230</v>
      </c>
      <c r="AD242" s="14"/>
      <c r="AE242" s="14"/>
      <c r="AF242" s="3"/>
      <c r="AG242" s="3"/>
      <c r="AH242" s="3"/>
      <c r="AI242" s="14"/>
      <c r="AJ242" s="14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</row>
    <row r="243" spans="1:58" ht="14.25" customHeight="1" x14ac:dyDescent="0.2">
      <c r="A243" s="637"/>
      <c r="B243" s="417"/>
      <c r="C243" s="173">
        <v>233</v>
      </c>
      <c r="D243" s="165"/>
      <c r="E243" s="174">
        <v>2.4529919863351957E-3</v>
      </c>
      <c r="F243" s="502"/>
      <c r="G243" s="219">
        <f t="shared" si="20"/>
        <v>12.235584500134763</v>
      </c>
      <c r="H243" s="249">
        <f>H242+(G242*E243*'life-tables-test'!$C$66)</f>
        <v>87.764415499865237</v>
      </c>
      <c r="I243" s="516">
        <f t="shared" si="18"/>
        <v>100</v>
      </c>
      <c r="J243" s="153">
        <f>(G243*0)/(1+cDR)^'Markov Model_SA1'!cycle</f>
        <v>0</v>
      </c>
      <c r="K243" s="178">
        <f t="shared" si="21"/>
        <v>12.235584500134763</v>
      </c>
      <c r="L243" s="202">
        <f>(G243*(uPostT))/(1+oDR)^'Markov Model_SA1'!cycle</f>
        <v>5.1972962402944098</v>
      </c>
      <c r="M243" s="80"/>
      <c r="N243" s="3"/>
      <c r="O243" s="80"/>
      <c r="P243" s="173">
        <v>233</v>
      </c>
      <c r="Q243" s="165"/>
      <c r="R243" s="174">
        <v>2.4529919863351957E-3</v>
      </c>
      <c r="S243" s="502"/>
      <c r="T243" s="219">
        <f t="shared" si="19"/>
        <v>11.527367170693466</v>
      </c>
      <c r="U243" s="249">
        <f>U242+(T242*R243*'life-tables-test'!$C$66)</f>
        <v>88.472632829306534</v>
      </c>
      <c r="V243" s="516">
        <f t="shared" si="16"/>
        <v>100</v>
      </c>
      <c r="W243" s="153">
        <f>(T243*0)/(1+cDR)^'Markov Model_SA1'!cycle2</f>
        <v>0</v>
      </c>
      <c r="X243" s="178">
        <f t="shared" si="17"/>
        <v>11.527367170693466</v>
      </c>
      <c r="Y243" s="202">
        <f>(T243*(uPostT))/(1+oDR)^'Markov Model_SA1'!cycle</f>
        <v>4.8964675170261378</v>
      </c>
      <c r="Z243" s="80"/>
      <c r="AA243" s="3"/>
      <c r="AB243" s="3"/>
      <c r="AC243" s="14">
        <v>231</v>
      </c>
      <c r="AD243" s="14"/>
      <c r="AE243" s="14"/>
      <c r="AF243" s="3"/>
      <c r="AG243" s="3"/>
      <c r="AH243" s="3"/>
      <c r="AI243" s="14"/>
      <c r="AJ243" s="14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</row>
    <row r="244" spans="1:58" ht="14.25" customHeight="1" x14ac:dyDescent="0.2">
      <c r="A244" s="637"/>
      <c r="B244" s="417"/>
      <c r="C244" s="173">
        <v>234</v>
      </c>
      <c r="D244" s="165"/>
      <c r="E244" s="174">
        <v>2.4529919863351957E-3</v>
      </c>
      <c r="F244" s="502"/>
      <c r="G244" s="219">
        <f t="shared" si="20"/>
        <v>12.085515546499977</v>
      </c>
      <c r="H244" s="249">
        <f>H243+(G243*E244*'life-tables-test'!$C$66)</f>
        <v>87.914484453500023</v>
      </c>
      <c r="I244" s="516">
        <f t="shared" si="18"/>
        <v>100</v>
      </c>
      <c r="J244" s="153">
        <f>(G244*0)/(1+cDR)^'Markov Model_SA1'!cycle</f>
        <v>0</v>
      </c>
      <c r="K244" s="178">
        <f t="shared" si="21"/>
        <v>12.085515546499977</v>
      </c>
      <c r="L244" s="202">
        <f>(G244*(uPostT))/(1+oDR)^'Markov Model_SA1'!cycle</f>
        <v>5.1207497358146137</v>
      </c>
      <c r="M244" s="80"/>
      <c r="N244" s="3"/>
      <c r="O244" s="80"/>
      <c r="P244" s="173">
        <v>234</v>
      </c>
      <c r="Q244" s="165"/>
      <c r="R244" s="174">
        <v>2.4529919863351957E-3</v>
      </c>
      <c r="S244" s="502"/>
      <c r="T244" s="219">
        <f t="shared" si="19"/>
        <v>11.3859844742272</v>
      </c>
      <c r="U244" s="249">
        <f>U243+(T243*R244*'life-tables-test'!$C$66)</f>
        <v>88.6140155257728</v>
      </c>
      <c r="V244" s="516">
        <f t="shared" si="16"/>
        <v>100</v>
      </c>
      <c r="W244" s="153">
        <f>(T244*0)/(1+cDR)^'Markov Model_SA1'!cycle2</f>
        <v>0</v>
      </c>
      <c r="X244" s="178">
        <f t="shared" si="17"/>
        <v>11.3859844742272</v>
      </c>
      <c r="Y244" s="202">
        <f>(T244*(uPostT))/(1+oDR)^'Markov Model_SA1'!cycle</f>
        <v>4.8243516599731295</v>
      </c>
      <c r="Z244" s="80"/>
      <c r="AA244" s="3"/>
      <c r="AB244" s="3"/>
      <c r="AC244" s="14">
        <v>232</v>
      </c>
      <c r="AD244" s="14"/>
      <c r="AE244" s="14"/>
      <c r="AF244" s="3"/>
      <c r="AG244" s="3"/>
      <c r="AH244" s="3"/>
      <c r="AI244" s="14"/>
      <c r="AJ244" s="14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</row>
    <row r="245" spans="1:58" ht="14.25" customHeight="1" x14ac:dyDescent="0.2">
      <c r="A245" s="637"/>
      <c r="B245" s="417"/>
      <c r="C245" s="173">
        <v>235</v>
      </c>
      <c r="D245" s="165"/>
      <c r="E245" s="174">
        <v>2.4529919863351957E-3</v>
      </c>
      <c r="F245" s="502"/>
      <c r="G245" s="219">
        <f t="shared" si="20"/>
        <v>11.937287182568511</v>
      </c>
      <c r="H245" s="249">
        <f>H244+(G244*E245*'life-tables-test'!$C$66)</f>
        <v>88.062712817431489</v>
      </c>
      <c r="I245" s="516">
        <f t="shared" si="18"/>
        <v>100</v>
      </c>
      <c r="J245" s="153">
        <f>(G245*0)/(1+cDR)^'Markov Model_SA1'!cycle</f>
        <v>0</v>
      </c>
      <c r="K245" s="178">
        <f t="shared" si="21"/>
        <v>11.937287182568511</v>
      </c>
      <c r="L245" s="202">
        <f>(G245*(uPostT))/(1+oDR)^'Markov Model_SA1'!cycle</f>
        <v>5.0453306189373652</v>
      </c>
      <c r="M245" s="80"/>
      <c r="N245" s="3"/>
      <c r="O245" s="80"/>
      <c r="P245" s="173">
        <v>235</v>
      </c>
      <c r="Q245" s="165"/>
      <c r="R245" s="174">
        <v>2.4529919863351957E-3</v>
      </c>
      <c r="S245" s="502"/>
      <c r="T245" s="219">
        <f t="shared" si="19"/>
        <v>11.246335830868119</v>
      </c>
      <c r="U245" s="249">
        <f>U244+(T244*R245*'life-tables-test'!$C$66)</f>
        <v>88.753664169131881</v>
      </c>
      <c r="V245" s="516">
        <f t="shared" si="16"/>
        <v>100</v>
      </c>
      <c r="W245" s="153">
        <f>(T245*0)/(1+cDR)^'Markov Model_SA1'!cycle2</f>
        <v>0</v>
      </c>
      <c r="X245" s="178">
        <f t="shared" si="17"/>
        <v>11.246335830868119</v>
      </c>
      <c r="Y245" s="202">
        <f>(T245*(uPostT))/(1+oDR)^'Markov Model_SA1'!cycle</f>
        <v>4.7532979353289226</v>
      </c>
      <c r="Z245" s="80"/>
      <c r="AA245" s="3"/>
      <c r="AB245" s="3"/>
      <c r="AC245" s="14">
        <v>233</v>
      </c>
      <c r="AD245" s="14"/>
      <c r="AE245" s="14"/>
      <c r="AF245" s="3"/>
      <c r="AG245" s="3"/>
      <c r="AH245" s="3"/>
      <c r="AI245" s="14"/>
      <c r="AJ245" s="14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</row>
    <row r="246" spans="1:58" ht="14.25" customHeight="1" x14ac:dyDescent="0.2">
      <c r="A246" s="637"/>
      <c r="B246" s="417"/>
      <c r="C246" s="173">
        <v>236</v>
      </c>
      <c r="D246" s="165"/>
      <c r="E246" s="174">
        <v>2.4529919863351957E-3</v>
      </c>
      <c r="F246" s="502"/>
      <c r="G246" s="219">
        <f t="shared" si="20"/>
        <v>11.790876833581393</v>
      </c>
      <c r="H246" s="249">
        <f>H245+(G245*E246*'life-tables-test'!$C$66)</f>
        <v>88.209123166418607</v>
      </c>
      <c r="I246" s="516">
        <f t="shared" si="18"/>
        <v>100</v>
      </c>
      <c r="J246" s="153">
        <f>(G246*0)/(1+cDR)^'Markov Model_SA1'!cycle</f>
        <v>0</v>
      </c>
      <c r="K246" s="178">
        <f t="shared" si="21"/>
        <v>11.790876833581393</v>
      </c>
      <c r="L246" s="202">
        <f>(G246*(uPostT))/(1+oDR)^'Markov Model_SA1'!cycle</f>
        <v>4.9710222853406867</v>
      </c>
      <c r="M246" s="80"/>
      <c r="N246" s="3"/>
      <c r="O246" s="80"/>
      <c r="P246" s="173">
        <v>236</v>
      </c>
      <c r="Q246" s="165"/>
      <c r="R246" s="174">
        <v>2.4529919863351957E-3</v>
      </c>
      <c r="S246" s="502"/>
      <c r="T246" s="219">
        <f t="shared" si="19"/>
        <v>11.108399972524353</v>
      </c>
      <c r="U246" s="249">
        <f>U245+(T245*R246*'life-tables-test'!$C$66)</f>
        <v>88.891600027475647</v>
      </c>
      <c r="V246" s="516">
        <f t="shared" si="16"/>
        <v>100</v>
      </c>
      <c r="W246" s="153">
        <f>(T246*0)/(1+cDR)^'Markov Model_SA1'!cycle2</f>
        <v>0</v>
      </c>
      <c r="X246" s="178">
        <f t="shared" si="17"/>
        <v>11.108399972524353</v>
      </c>
      <c r="Y246" s="202">
        <f>(T246*(uPostT))/(1+oDR)^'Markov Model_SA1'!cycle</f>
        <v>4.6832906998591488</v>
      </c>
      <c r="Z246" s="80"/>
      <c r="AA246" s="3"/>
      <c r="AB246" s="3"/>
      <c r="AC246" s="14">
        <v>234</v>
      </c>
      <c r="AD246" s="14"/>
      <c r="AE246" s="14"/>
      <c r="AF246" s="3"/>
      <c r="AG246" s="3"/>
      <c r="AH246" s="3"/>
      <c r="AI246" s="14"/>
      <c r="AJ246" s="14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</row>
    <row r="247" spans="1:58" ht="14.25" customHeight="1" x14ac:dyDescent="0.2">
      <c r="A247" s="637"/>
      <c r="B247" s="417"/>
      <c r="C247" s="173">
        <v>237</v>
      </c>
      <c r="D247" s="165"/>
      <c r="E247" s="174">
        <v>2.4529919863351957E-3</v>
      </c>
      <c r="F247" s="502"/>
      <c r="G247" s="219">
        <f t="shared" si="20"/>
        <v>11.646262201658189</v>
      </c>
      <c r="H247" s="249">
        <f>H246+(G246*E247*'life-tables-test'!$C$66)</f>
        <v>88.353737798341811</v>
      </c>
      <c r="I247" s="516">
        <f t="shared" si="18"/>
        <v>100</v>
      </c>
      <c r="J247" s="153">
        <f>(G247*0)/(1+cDR)^'Markov Model_SA1'!cycle</f>
        <v>0</v>
      </c>
      <c r="K247" s="178">
        <f t="shared" si="21"/>
        <v>11.646262201658189</v>
      </c>
      <c r="L247" s="202">
        <f>(G247*(uPostT))/(1+oDR)^'Markov Model_SA1'!cycle</f>
        <v>4.8978083752533799</v>
      </c>
      <c r="M247" s="80"/>
      <c r="N247" s="3"/>
      <c r="O247" s="80"/>
      <c r="P247" s="173">
        <v>237</v>
      </c>
      <c r="Q247" s="165"/>
      <c r="R247" s="174">
        <v>2.4529919863351957E-3</v>
      </c>
      <c r="S247" s="502"/>
      <c r="T247" s="219">
        <f t="shared" si="19"/>
        <v>10.972155891956305</v>
      </c>
      <c r="U247" s="249">
        <f>U246+(T246*R247*'life-tables-test'!$C$66)</f>
        <v>89.027844108043695</v>
      </c>
      <c r="V247" s="516">
        <f t="shared" si="16"/>
        <v>100</v>
      </c>
      <c r="W247" s="153">
        <f>(T247*0)/(1+cDR)^'Markov Model_SA1'!cycle2</f>
        <v>0</v>
      </c>
      <c r="X247" s="178">
        <f t="shared" si="17"/>
        <v>10.972155891956305</v>
      </c>
      <c r="Y247" s="202">
        <f>(T247*(uPostT))/(1+oDR)^'Markov Model_SA1'!cycle</f>
        <v>4.6143145407251698</v>
      </c>
      <c r="Z247" s="80"/>
      <c r="AA247" s="3"/>
      <c r="AB247" s="3"/>
      <c r="AC247" s="14">
        <v>235</v>
      </c>
      <c r="AD247" s="14"/>
      <c r="AE247" s="14"/>
      <c r="AF247" s="3"/>
      <c r="AG247" s="3"/>
      <c r="AH247" s="3"/>
      <c r="AI247" s="14"/>
      <c r="AJ247" s="14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</row>
    <row r="248" spans="1:58" ht="14.25" customHeight="1" x14ac:dyDescent="0.2">
      <c r="A248" s="637"/>
      <c r="B248" s="417"/>
      <c r="C248" s="173">
        <v>238</v>
      </c>
      <c r="D248" s="165"/>
      <c r="E248" s="174">
        <v>2.4529919863351957E-3</v>
      </c>
      <c r="F248" s="502"/>
      <c r="G248" s="219">
        <f t="shared" si="20"/>
        <v>11.503421262401062</v>
      </c>
      <c r="H248" s="249">
        <f>H247+(G247*E248*'life-tables-test'!$C$66)</f>
        <v>88.496578737598938</v>
      </c>
      <c r="I248" s="516">
        <f t="shared" si="18"/>
        <v>100</v>
      </c>
      <c r="J248" s="153">
        <f>(G248*0)/(1+cDR)^'Markov Model_SA1'!cycle</f>
        <v>0</v>
      </c>
      <c r="K248" s="178">
        <f t="shared" si="21"/>
        <v>11.503421262401062</v>
      </c>
      <c r="L248" s="202">
        <f>(G248*(uPostT))/(1+oDR)^'Markov Model_SA1'!cycle</f>
        <v>4.8256727698532398</v>
      </c>
      <c r="M248" s="80"/>
      <c r="N248" s="3"/>
      <c r="O248" s="80"/>
      <c r="P248" s="173">
        <v>238</v>
      </c>
      <c r="Q248" s="165"/>
      <c r="R248" s="174">
        <v>2.4529919863351957E-3</v>
      </c>
      <c r="S248" s="502"/>
      <c r="T248" s="219">
        <f t="shared" si="19"/>
        <v>10.837582839577365</v>
      </c>
      <c r="U248" s="249">
        <f>U247+(T247*R248*'life-tables-test'!$C$66)</f>
        <v>89.162417160422635</v>
      </c>
      <c r="V248" s="516">
        <f t="shared" ref="V248:V311" si="22">SUM(T248:U248)</f>
        <v>100</v>
      </c>
      <c r="W248" s="153">
        <f>(T248*0)/(1+cDR)^'Markov Model_SA1'!cycle2</f>
        <v>0</v>
      </c>
      <c r="X248" s="178">
        <f t="shared" ref="X248:X311" si="23">T248</f>
        <v>10.837582839577365</v>
      </c>
      <c r="Y248" s="202">
        <f>(T248*(uPostT))/(1+oDR)^'Markov Model_SA1'!cycle</f>
        <v>4.5463542720908032</v>
      </c>
      <c r="Z248" s="80"/>
      <c r="AA248" s="3"/>
      <c r="AB248" s="3"/>
      <c r="AC248" s="14">
        <v>236</v>
      </c>
      <c r="AD248" s="14"/>
      <c r="AE248" s="14"/>
      <c r="AF248" s="3"/>
      <c r="AG248" s="3"/>
      <c r="AH248" s="3"/>
      <c r="AI248" s="14"/>
      <c r="AJ248" s="14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</row>
    <row r="249" spans="1:58" ht="14.25" customHeight="1" x14ac:dyDescent="0.2">
      <c r="A249" s="637"/>
      <c r="B249" s="417"/>
      <c r="C249" s="173">
        <v>239</v>
      </c>
      <c r="D249" s="165"/>
      <c r="E249" s="174">
        <v>2.4529919863351957E-3</v>
      </c>
      <c r="F249" s="502"/>
      <c r="G249" s="219">
        <f t="shared" si="20"/>
        <v>11.36233226154053</v>
      </c>
      <c r="H249" s="249">
        <f>H248+(G248*E249*'life-tables-test'!$C$66)</f>
        <v>88.63766773845947</v>
      </c>
      <c r="I249" s="516">
        <f t="shared" ref="I249:I312" si="24">SUM(G249:H249)</f>
        <v>100</v>
      </c>
      <c r="J249" s="153">
        <f>(G249*0)/(1+cDR)^'Markov Model_SA1'!cycle</f>
        <v>0</v>
      </c>
      <c r="K249" s="178">
        <f t="shared" si="21"/>
        <v>11.36233226154053</v>
      </c>
      <c r="L249" s="202">
        <f>(G249*(uPostT))/(1+oDR)^'Markov Model_SA1'!cycle</f>
        <v>4.7545995877183174</v>
      </c>
      <c r="M249" s="80"/>
      <c r="N249" s="3"/>
      <c r="O249" s="80"/>
      <c r="P249" s="173">
        <v>239</v>
      </c>
      <c r="Q249" s="165"/>
      <c r="R249" s="174">
        <v>2.4529919863351957E-3</v>
      </c>
      <c r="S249" s="502"/>
      <c r="T249" s="219">
        <f t="shared" ref="T249:T312" si="25">$T$10-U249</f>
        <v>10.704660320293726</v>
      </c>
      <c r="U249" s="249">
        <f>U248+(T248*R249*'life-tables-test'!$C$66)</f>
        <v>89.295339679706274</v>
      </c>
      <c r="V249" s="516">
        <f t="shared" si="22"/>
        <v>100</v>
      </c>
      <c r="W249" s="153">
        <f>(T249*0)/(1+cDR)^'Markov Model_SA1'!cycle2</f>
        <v>0</v>
      </c>
      <c r="X249" s="178">
        <f t="shared" si="23"/>
        <v>10.704660320293726</v>
      </c>
      <c r="Y249" s="202">
        <f>(T249*(uPostT))/(1+oDR)^'Markov Model_SA1'!cycle</f>
        <v>4.4793949317789563</v>
      </c>
      <c r="Z249" s="80"/>
      <c r="AA249" s="3"/>
      <c r="AB249" s="3"/>
      <c r="AC249" s="14">
        <v>237</v>
      </c>
      <c r="AD249" s="14"/>
      <c r="AE249" s="14"/>
      <c r="AF249" s="3"/>
      <c r="AG249" s="3"/>
      <c r="AH249" s="3"/>
      <c r="AI249" s="14"/>
      <c r="AJ249" s="14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</row>
    <row r="250" spans="1:58" ht="14.25" customHeight="1" x14ac:dyDescent="0.2">
      <c r="A250" s="637"/>
      <c r="B250" s="417"/>
      <c r="C250" s="173">
        <v>240</v>
      </c>
      <c r="D250" s="165"/>
      <c r="E250" s="174">
        <v>2.4529919863351957E-3</v>
      </c>
      <c r="F250" s="502"/>
      <c r="G250" s="219">
        <f t="shared" si="20"/>
        <v>11.222973711622345</v>
      </c>
      <c r="H250" s="249">
        <f>H249+(G249*E250*'life-tables-test'!$C$66)</f>
        <v>88.777026288377655</v>
      </c>
      <c r="I250" s="516">
        <f t="shared" si="24"/>
        <v>100</v>
      </c>
      <c r="J250" s="153">
        <f>(G250*0)/(1+cDR)^'Markov Model_SA1'!cycle</f>
        <v>0</v>
      </c>
      <c r="K250" s="178">
        <f t="shared" si="21"/>
        <v>11.222973711622345</v>
      </c>
      <c r="L250" s="202">
        <f>(G250*(uPostT))/(1+oDR)^'Markov Model_SA1'!cycle</f>
        <v>4.6845731813304612</v>
      </c>
      <c r="M250" s="80"/>
      <c r="N250" s="3"/>
      <c r="O250" s="80"/>
      <c r="P250" s="173">
        <v>240</v>
      </c>
      <c r="Q250" s="165"/>
      <c r="R250" s="174">
        <v>2.4529919863351957E-3</v>
      </c>
      <c r="S250" s="502"/>
      <c r="T250" s="219">
        <f t="shared" si="25"/>
        <v>10.573368090383127</v>
      </c>
      <c r="U250" s="249">
        <f>U249+(T249*R250*'life-tables-test'!$C$66)</f>
        <v>89.426631909616873</v>
      </c>
      <c r="V250" s="516">
        <f t="shared" si="22"/>
        <v>100</v>
      </c>
      <c r="W250" s="153">
        <f>(T250*0)/(1+cDR)^'Markov Model_SA1'!cycle2</f>
        <v>0</v>
      </c>
      <c r="X250" s="178">
        <f t="shared" si="23"/>
        <v>10.573368090383127</v>
      </c>
      <c r="Y250" s="202">
        <f>(T250*(uPostT))/(1+oDR)^'Markov Model_SA1'!cycle</f>
        <v>4.4134217779775922</v>
      </c>
      <c r="Z250" s="80"/>
      <c r="AA250" s="3"/>
      <c r="AB250" s="3"/>
      <c r="AC250" s="14">
        <v>238</v>
      </c>
      <c r="AD250" s="14"/>
      <c r="AE250" s="14"/>
      <c r="AF250" s="3"/>
      <c r="AG250" s="3"/>
      <c r="AH250" s="3"/>
      <c r="AI250" s="14"/>
      <c r="AJ250" s="14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</row>
    <row r="251" spans="1:58" ht="14.25" customHeight="1" x14ac:dyDescent="0.2">
      <c r="A251" s="606"/>
      <c r="B251" s="417"/>
      <c r="C251" s="173">
        <v>241</v>
      </c>
      <c r="D251" s="504"/>
      <c r="E251" s="174">
        <v>2.4529919863351957E-3</v>
      </c>
      <c r="F251" s="505"/>
      <c r="G251" s="219">
        <f t="shared" si="20"/>
        <v>11.085324388735046</v>
      </c>
      <c r="H251" s="249">
        <f>H250+(G250*E251*'life-tables-test'!$C$66)</f>
        <v>88.914675611264954</v>
      </c>
      <c r="I251" s="516">
        <f t="shared" si="24"/>
        <v>100</v>
      </c>
      <c r="J251" s="180">
        <f>(G251*0)/(1+cDR)^'Markov Model_SA1'!cycle</f>
        <v>0</v>
      </c>
      <c r="K251" s="176">
        <f t="shared" si="21"/>
        <v>11.085324388735046</v>
      </c>
      <c r="L251" s="202">
        <f>(G251*(uPostT))/(1+oDR)^'Markov Model_SA1'!cycle</f>
        <v>4.6155781336303647</v>
      </c>
      <c r="M251" s="80"/>
      <c r="N251" s="3"/>
      <c r="O251" s="80"/>
      <c r="P251" s="173">
        <v>241</v>
      </c>
      <c r="Q251" s="504"/>
      <c r="R251" s="174">
        <v>2.4529919863351957E-3</v>
      </c>
      <c r="S251" s="505"/>
      <c r="T251" s="219">
        <f t="shared" si="25"/>
        <v>10.443686154411722</v>
      </c>
      <c r="U251" s="249">
        <f>U250+(T250*R251*'life-tables-test'!$C$66)</f>
        <v>89.556313845588278</v>
      </c>
      <c r="V251" s="516">
        <f t="shared" si="22"/>
        <v>100</v>
      </c>
      <c r="W251" s="180">
        <f>(T251*0)/(1+cDR)^'Markov Model_SA1'!cycle2</f>
        <v>0</v>
      </c>
      <c r="X251" s="176">
        <f t="shared" si="23"/>
        <v>10.443686154411722</v>
      </c>
      <c r="Y251" s="202">
        <f>(T251*(uPostT))/(1+oDR)^'Markov Model_SA1'!cycle</f>
        <v>4.3484202859941297</v>
      </c>
      <c r="Z251" s="80"/>
      <c r="AA251" s="3"/>
      <c r="AB251" s="3"/>
      <c r="AC251" s="14">
        <v>239</v>
      </c>
      <c r="AD251" s="14"/>
      <c r="AE251" s="14"/>
      <c r="AF251" s="3"/>
      <c r="AG251" s="3"/>
      <c r="AH251" s="3"/>
      <c r="AI251" s="14"/>
      <c r="AJ251" s="14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</row>
    <row r="252" spans="1:58" ht="14.25" customHeight="1" x14ac:dyDescent="0.25">
      <c r="A252" s="637" t="s">
        <v>562</v>
      </c>
      <c r="B252" s="417"/>
      <c r="C252" s="506">
        <v>242</v>
      </c>
      <c r="D252" s="506"/>
      <c r="E252" s="507">
        <v>2.4529919863351957E-3</v>
      </c>
      <c r="F252" s="508"/>
      <c r="G252" s="509">
        <f t="shared" si="20"/>
        <v>10.949363329277574</v>
      </c>
      <c r="H252" s="510">
        <f>H251+(G251*E252*'life-tables-test'!$C$66)</f>
        <v>89.050636670722426</v>
      </c>
      <c r="I252" s="518">
        <f t="shared" si="24"/>
        <v>100</v>
      </c>
      <c r="J252" s="511">
        <f>(G252*0)/(1+cDR)^'Markov Model_SA1'!cycle</f>
        <v>0</v>
      </c>
      <c r="K252" s="512">
        <f t="shared" si="21"/>
        <v>10.949363329277574</v>
      </c>
      <c r="L252" s="513">
        <f>(G252*(uPostT))/(1+oDR)^'Markov Model_SA1'!cycle</f>
        <v>4.5475992546233064</v>
      </c>
      <c r="M252" s="80"/>
      <c r="N252" s="3"/>
      <c r="O252" s="80"/>
      <c r="P252" s="506">
        <v>242</v>
      </c>
      <c r="Q252" s="506"/>
      <c r="R252" s="507">
        <v>2.4529919863351957E-3</v>
      </c>
      <c r="S252" s="508"/>
      <c r="T252" s="509">
        <f t="shared" si="25"/>
        <v>10.315594762188866</v>
      </c>
      <c r="U252" s="510">
        <f>U251+(T251*R252*'life-tables-test'!$C$66)</f>
        <v>89.684405237811134</v>
      </c>
      <c r="V252" s="518">
        <f t="shared" si="22"/>
        <v>100</v>
      </c>
      <c r="W252" s="511">
        <f>(T252*0)/(1+cDR)^'Markov Model_SA1'!cycle2</f>
        <v>0</v>
      </c>
      <c r="X252" s="512">
        <f t="shared" si="23"/>
        <v>10.315594762188866</v>
      </c>
      <c r="Y252" s="513">
        <f>(T252*(uPostT))/(1+oDR)^'Markov Model_SA1'!cycle</f>
        <v>4.2843761450576796</v>
      </c>
      <c r="Z252" s="80"/>
      <c r="AA252" s="3"/>
      <c r="AB252" s="3"/>
      <c r="AC252" s="14">
        <v>240</v>
      </c>
      <c r="AD252" s="14"/>
      <c r="AE252" s="14"/>
      <c r="AF252" s="3"/>
      <c r="AG252" s="3"/>
      <c r="AH252" s="3"/>
      <c r="AI252" s="14"/>
      <c r="AJ252" s="14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</row>
    <row r="253" spans="1:58" ht="14.25" customHeight="1" x14ac:dyDescent="0.2">
      <c r="A253" s="637"/>
      <c r="B253" s="417"/>
      <c r="C253" s="173">
        <v>243</v>
      </c>
      <c r="D253" s="165"/>
      <c r="E253" s="174">
        <v>2.7066823756384251E-3</v>
      </c>
      <c r="F253" s="502"/>
      <c r="G253" s="219">
        <f t="shared" si="20"/>
        <v>10.801181085538488</v>
      </c>
      <c r="H253" s="249">
        <f>H252+(G252*E253*'life-tables-test'!$C$66)</f>
        <v>89.198818914461512</v>
      </c>
      <c r="I253" s="516">
        <f t="shared" si="24"/>
        <v>100</v>
      </c>
      <c r="J253" s="153">
        <f>(G253*0)/(1+cDR)^'Markov Model_SA1'!cycle</f>
        <v>0</v>
      </c>
      <c r="K253" s="178">
        <f t="shared" si="21"/>
        <v>10.801181085538488</v>
      </c>
      <c r="L253" s="202">
        <f>(G253*(uPostT))/(1+oDR)^'Markov Model_SA1'!cycle</f>
        <v>4.4748675519735981</v>
      </c>
      <c r="M253" s="80"/>
      <c r="N253" s="3"/>
      <c r="O253" s="80"/>
      <c r="P253" s="173">
        <v>243</v>
      </c>
      <c r="Q253" s="165"/>
      <c r="R253" s="174">
        <v>2.7066823756384251E-3</v>
      </c>
      <c r="S253" s="502"/>
      <c r="T253" s="219">
        <f t="shared" si="25"/>
        <v>10.175989569503642</v>
      </c>
      <c r="U253" s="249">
        <f>U252+(T252*R253*'life-tables-test'!$C$66)</f>
        <v>89.824010430496358</v>
      </c>
      <c r="V253" s="516">
        <f t="shared" si="22"/>
        <v>100</v>
      </c>
      <c r="W253" s="153">
        <f>(T253*0)/(1+cDR)^'Markov Model_SA1'!cycle2</f>
        <v>0</v>
      </c>
      <c r="X253" s="178">
        <f t="shared" si="23"/>
        <v>10.175989569503642</v>
      </c>
      <c r="Y253" s="202">
        <f>(T253*(uPostT))/(1+oDR)^'Markov Model_SA1'!cycle</f>
        <v>4.2158542823396656</v>
      </c>
      <c r="Z253" s="80"/>
      <c r="AA253" s="3"/>
      <c r="AB253" s="3"/>
      <c r="AC253" s="14">
        <v>241</v>
      </c>
      <c r="AD253" s="14"/>
      <c r="AE253" s="14"/>
      <c r="AF253" s="3"/>
      <c r="AG253" s="3"/>
      <c r="AH253" s="3"/>
      <c r="AI253" s="14"/>
      <c r="AJ253" s="14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</row>
    <row r="254" spans="1:58" ht="14.25" customHeight="1" x14ac:dyDescent="0.2">
      <c r="A254" s="637"/>
      <c r="B254" s="417"/>
      <c r="C254" s="173">
        <v>244</v>
      </c>
      <c r="D254" s="165"/>
      <c r="E254" s="174">
        <v>2.7066823756384251E-3</v>
      </c>
      <c r="F254" s="502"/>
      <c r="G254" s="219">
        <f t="shared" si="20"/>
        <v>10.655004253136951</v>
      </c>
      <c r="H254" s="249">
        <f>H253+(G253*E254*'life-tables-test'!$C$66)</f>
        <v>89.344995746863049</v>
      </c>
      <c r="I254" s="516">
        <f t="shared" si="24"/>
        <v>100</v>
      </c>
      <c r="J254" s="153">
        <f>(G254*0)/(1+cDR)^'Markov Model_SA1'!cycle</f>
        <v>0</v>
      </c>
      <c r="K254" s="178">
        <f t="shared" si="21"/>
        <v>10.655004253136951</v>
      </c>
      <c r="L254" s="202">
        <f>(G254*(uPostT))/(1+oDR)^'Markov Model_SA1'!cycle</f>
        <v>4.4032990785958894</v>
      </c>
      <c r="M254" s="80"/>
      <c r="N254" s="3"/>
      <c r="O254" s="80"/>
      <c r="P254" s="173">
        <v>244</v>
      </c>
      <c r="Q254" s="165"/>
      <c r="R254" s="174">
        <v>2.7066823756384251E-3</v>
      </c>
      <c r="S254" s="502"/>
      <c r="T254" s="219">
        <f t="shared" si="25"/>
        <v>10.038273711391369</v>
      </c>
      <c r="U254" s="249">
        <f>U253+(T253*R254*'life-tables-test'!$C$66)</f>
        <v>89.961726288608631</v>
      </c>
      <c r="V254" s="516">
        <f t="shared" si="22"/>
        <v>100</v>
      </c>
      <c r="W254" s="153">
        <f>(T254*0)/(1+cDR)^'Markov Model_SA1'!cycle2</f>
        <v>0</v>
      </c>
      <c r="X254" s="178">
        <f t="shared" si="23"/>
        <v>10.038273711391369</v>
      </c>
      <c r="Y254" s="202">
        <f>(T254*(uPostT))/(1+oDR)^'Markov Model_SA1'!cycle</f>
        <v>4.1484283191205238</v>
      </c>
      <c r="Z254" s="80"/>
      <c r="AA254" s="3"/>
      <c r="AB254" s="3"/>
      <c r="AC254" s="14">
        <v>242</v>
      </c>
      <c r="AD254" s="14"/>
      <c r="AE254" s="14"/>
      <c r="AF254" s="3"/>
      <c r="AG254" s="3"/>
      <c r="AH254" s="3"/>
      <c r="AI254" s="14"/>
      <c r="AJ254" s="14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</row>
    <row r="255" spans="1:58" ht="14.25" customHeight="1" x14ac:dyDescent="0.2">
      <c r="A255" s="637"/>
      <c r="B255" s="417"/>
      <c r="C255" s="173">
        <v>245</v>
      </c>
      <c r="D255" s="165"/>
      <c r="E255" s="174">
        <v>2.7066823756384251E-3</v>
      </c>
      <c r="F255" s="502"/>
      <c r="G255" s="219">
        <f t="shared" si="20"/>
        <v>10.510805692015367</v>
      </c>
      <c r="H255" s="249">
        <f>H254+(G254*E255*'life-tables-test'!$C$66)</f>
        <v>89.489194307984633</v>
      </c>
      <c r="I255" s="516">
        <f t="shared" si="24"/>
        <v>100</v>
      </c>
      <c r="J255" s="153">
        <f>(G255*0)/(1+cDR)^'Markov Model_SA1'!cycle</f>
        <v>0</v>
      </c>
      <c r="K255" s="178">
        <f t="shared" si="21"/>
        <v>10.510805692015367</v>
      </c>
      <c r="L255" s="202">
        <f>(G255*(uPostT))/(1+oDR)^'Markov Model_SA1'!cycle</f>
        <v>4.3328752304662244</v>
      </c>
      <c r="M255" s="80"/>
      <c r="N255" s="3"/>
      <c r="O255" s="80"/>
      <c r="P255" s="173">
        <v>245</v>
      </c>
      <c r="Q255" s="165"/>
      <c r="R255" s="174">
        <v>2.7066823756384251E-3</v>
      </c>
      <c r="S255" s="502"/>
      <c r="T255" s="219">
        <f t="shared" si="25"/>
        <v>9.9024216187090843</v>
      </c>
      <c r="U255" s="249">
        <f>U254+(T254*R255*'life-tables-test'!$C$66)</f>
        <v>90.097578381290916</v>
      </c>
      <c r="V255" s="516">
        <f t="shared" si="22"/>
        <v>100</v>
      </c>
      <c r="W255" s="153">
        <f>(T255*0)/(1+cDR)^'Markov Model_SA1'!cycle2</f>
        <v>0</v>
      </c>
      <c r="X255" s="178">
        <f t="shared" si="23"/>
        <v>9.9024216187090843</v>
      </c>
      <c r="Y255" s="202">
        <f>(T255*(uPostT))/(1+oDR)^'Markov Model_SA1'!cycle</f>
        <v>4.0820807282101859</v>
      </c>
      <c r="Z255" s="80"/>
      <c r="AA255" s="3"/>
      <c r="AB255" s="3"/>
      <c r="AC255" s="14">
        <v>243</v>
      </c>
      <c r="AD255" s="14"/>
      <c r="AE255" s="14"/>
      <c r="AF255" s="3"/>
      <c r="AG255" s="3"/>
      <c r="AH255" s="3"/>
      <c r="AI255" s="14"/>
      <c r="AJ255" s="14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</row>
    <row r="256" spans="1:58" ht="14.25" customHeight="1" x14ac:dyDescent="0.2">
      <c r="A256" s="637"/>
      <c r="B256" s="417"/>
      <c r="C256" s="173">
        <v>246</v>
      </c>
      <c r="D256" s="165"/>
      <c r="E256" s="174">
        <v>2.7066823756384251E-3</v>
      </c>
      <c r="F256" s="502"/>
      <c r="G256" s="219">
        <f t="shared" si="20"/>
        <v>10.368558629413684</v>
      </c>
      <c r="H256" s="249">
        <f>H255+(G255*E256*'life-tables-test'!$C$66)</f>
        <v>89.631441370586316</v>
      </c>
      <c r="I256" s="516">
        <f t="shared" si="24"/>
        <v>100</v>
      </c>
      <c r="J256" s="153">
        <f>(G256*0)/(1+cDR)^'Markov Model_SA1'!cycle</f>
        <v>0</v>
      </c>
      <c r="K256" s="178">
        <f t="shared" si="21"/>
        <v>10.368558629413684</v>
      </c>
      <c r="L256" s="202">
        <f>(G256*(uPostT))/(1+oDR)^'Markov Model_SA1'!cycle</f>
        <v>4.263577701102756</v>
      </c>
      <c r="M256" s="80"/>
      <c r="N256" s="3"/>
      <c r="O256" s="80"/>
      <c r="P256" s="173">
        <v>246</v>
      </c>
      <c r="Q256" s="165"/>
      <c r="R256" s="174">
        <v>2.7066823756384251E-3</v>
      </c>
      <c r="S256" s="502"/>
      <c r="T256" s="219">
        <f t="shared" si="25"/>
        <v>9.7684080683515759</v>
      </c>
      <c r="U256" s="249">
        <f>U255+(T255*R256*'life-tables-test'!$C$66)</f>
        <v>90.231591931648424</v>
      </c>
      <c r="V256" s="516">
        <f t="shared" si="22"/>
        <v>100</v>
      </c>
      <c r="W256" s="153">
        <f>(T256*0)/(1+cDR)^'Markov Model_SA1'!cycle2</f>
        <v>0</v>
      </c>
      <c r="X256" s="178">
        <f t="shared" si="23"/>
        <v>9.7684080683515759</v>
      </c>
      <c r="Y256" s="202">
        <f>(T256*(uPostT))/(1+oDR)^'Markov Model_SA1'!cycle</f>
        <v>4.0167942627384399</v>
      </c>
      <c r="Z256" s="80"/>
      <c r="AA256" s="3"/>
      <c r="AB256" s="3"/>
      <c r="AC256" s="14">
        <v>244</v>
      </c>
      <c r="AD256" s="14"/>
      <c r="AE256" s="14"/>
      <c r="AF256" s="3"/>
      <c r="AG256" s="3"/>
      <c r="AH256" s="3"/>
      <c r="AI256" s="14"/>
      <c r="AJ256" s="14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</row>
    <row r="257" spans="1:58" ht="14.25" customHeight="1" x14ac:dyDescent="0.2">
      <c r="A257" s="637"/>
      <c r="B257" s="417"/>
      <c r="C257" s="173">
        <v>247</v>
      </c>
      <c r="D257" s="165"/>
      <c r="E257" s="174">
        <v>2.7066823756384251E-3</v>
      </c>
      <c r="F257" s="502"/>
      <c r="G257" s="219">
        <f t="shared" si="20"/>
        <v>10.228236654898652</v>
      </c>
      <c r="H257" s="249">
        <f>H256+(G256*E257*'life-tables-test'!$C$66)</f>
        <v>89.771763345101348</v>
      </c>
      <c r="I257" s="516">
        <f t="shared" si="24"/>
        <v>100</v>
      </c>
      <c r="J257" s="153">
        <f>(G257*0)/(1+cDR)^'Markov Model_SA1'!cycle</f>
        <v>0</v>
      </c>
      <c r="K257" s="178">
        <f t="shared" si="21"/>
        <v>10.228236654898652</v>
      </c>
      <c r="L257" s="202">
        <f>(G257*(uPostT))/(1+oDR)^'Markov Model_SA1'!cycle</f>
        <v>4.1953884768070422</v>
      </c>
      <c r="M257" s="80"/>
      <c r="N257" s="3"/>
      <c r="O257" s="80"/>
      <c r="P257" s="173">
        <v>247</v>
      </c>
      <c r="Q257" s="165"/>
      <c r="R257" s="174">
        <v>2.7066823756384251E-3</v>
      </c>
      <c r="S257" s="502"/>
      <c r="T257" s="219">
        <f t="shared" si="25"/>
        <v>9.6362081785683245</v>
      </c>
      <c r="U257" s="249">
        <f>U256+(T256*R257*'life-tables-test'!$C$66)</f>
        <v>90.363791821431676</v>
      </c>
      <c r="V257" s="516">
        <f t="shared" si="22"/>
        <v>100</v>
      </c>
      <c r="W257" s="153">
        <f>(T257*0)/(1+cDR)^'Markov Model_SA1'!cycle2</f>
        <v>0</v>
      </c>
      <c r="X257" s="178">
        <f t="shared" si="23"/>
        <v>9.6362081785683245</v>
      </c>
      <c r="Y257" s="202">
        <f>(T257*(uPostT))/(1+oDR)^'Markov Model_SA1'!cycle</f>
        <v>3.9525519516716643</v>
      </c>
      <c r="Z257" s="80"/>
      <c r="AA257" s="3"/>
      <c r="AB257" s="3"/>
      <c r="AC257" s="14">
        <v>245</v>
      </c>
      <c r="AD257" s="14"/>
      <c r="AE257" s="14"/>
      <c r="AF257" s="3"/>
      <c r="AG257" s="3"/>
      <c r="AH257" s="3"/>
      <c r="AI257" s="14"/>
      <c r="AJ257" s="14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</row>
    <row r="258" spans="1:58" ht="14.25" customHeight="1" x14ac:dyDescent="0.2">
      <c r="A258" s="637"/>
      <c r="B258" s="417"/>
      <c r="C258" s="173">
        <v>248</v>
      </c>
      <c r="D258" s="165"/>
      <c r="E258" s="174">
        <v>2.7066823756384251E-3</v>
      </c>
      <c r="F258" s="502"/>
      <c r="G258" s="219">
        <f t="shared" si="20"/>
        <v>10.089813715460281</v>
      </c>
      <c r="H258" s="249">
        <f>H257+(G257*E258*'life-tables-test'!$C$66)</f>
        <v>89.910186284539719</v>
      </c>
      <c r="I258" s="516">
        <f t="shared" si="24"/>
        <v>100</v>
      </c>
      <c r="J258" s="153">
        <f>(G258*0)/(1+cDR)^'Markov Model_SA1'!cycle</f>
        <v>0</v>
      </c>
      <c r="K258" s="178">
        <f t="shared" si="21"/>
        <v>10.089813715460281</v>
      </c>
      <c r="L258" s="202">
        <f>(G258*(uPostT))/(1+oDR)^'Markov Model_SA1'!cycle</f>
        <v>4.1282898319814363</v>
      </c>
      <c r="M258" s="80"/>
      <c r="N258" s="3"/>
      <c r="O258" s="80"/>
      <c r="P258" s="173">
        <v>248</v>
      </c>
      <c r="Q258" s="165"/>
      <c r="R258" s="174">
        <v>2.7066823756384251E-3</v>
      </c>
      <c r="S258" s="502"/>
      <c r="T258" s="219">
        <f t="shared" si="25"/>
        <v>9.5057974043437525</v>
      </c>
      <c r="U258" s="249">
        <f>U257+(T257*R258*'life-tables-test'!$C$66)</f>
        <v>90.494202595656247</v>
      </c>
      <c r="V258" s="516">
        <f t="shared" si="22"/>
        <v>100</v>
      </c>
      <c r="W258" s="153">
        <f>(T258*0)/(1+cDR)^'Markov Model_SA1'!cycle2</f>
        <v>0</v>
      </c>
      <c r="X258" s="178">
        <f t="shared" si="23"/>
        <v>9.5057974043437525</v>
      </c>
      <c r="Y258" s="202">
        <f>(T258*(uPostT))/(1+oDR)^'Markov Model_SA1'!cycle</f>
        <v>3.8893370954012361</v>
      </c>
      <c r="Z258" s="80"/>
      <c r="AA258" s="3"/>
      <c r="AB258" s="3"/>
      <c r="AC258" s="14">
        <v>246</v>
      </c>
      <c r="AD258" s="14"/>
      <c r="AE258" s="14"/>
      <c r="AF258" s="3"/>
      <c r="AG258" s="3"/>
      <c r="AH258" s="3"/>
      <c r="AI258" s="14"/>
      <c r="AJ258" s="14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</row>
    <row r="259" spans="1:58" ht="14.25" customHeight="1" x14ac:dyDescent="0.2">
      <c r="A259" s="637"/>
      <c r="B259" s="417"/>
      <c r="C259" s="173">
        <v>249</v>
      </c>
      <c r="D259" s="165"/>
      <c r="E259" s="174">
        <v>2.7066823756384251E-3</v>
      </c>
      <c r="F259" s="502"/>
      <c r="G259" s="219">
        <f t="shared" si="20"/>
        <v>9.9532641106747235</v>
      </c>
      <c r="H259" s="249">
        <f>H258+(G258*E259*'life-tables-test'!$C$66)</f>
        <v>90.046735889325277</v>
      </c>
      <c r="I259" s="516">
        <f t="shared" si="24"/>
        <v>100</v>
      </c>
      <c r="J259" s="153">
        <f>(G259*0)/(1+cDR)^'Markov Model_SA1'!cycle</f>
        <v>0</v>
      </c>
      <c r="K259" s="178">
        <f t="shared" si="21"/>
        <v>9.9532641106747235</v>
      </c>
      <c r="L259" s="202">
        <f>(G259*(uPostT))/(1+oDR)^'Markov Model_SA1'!cycle</f>
        <v>4.0622643245213741</v>
      </c>
      <c r="M259" s="80"/>
      <c r="N259" s="3"/>
      <c r="O259" s="80"/>
      <c r="P259" s="173">
        <v>249</v>
      </c>
      <c r="Q259" s="165"/>
      <c r="R259" s="174">
        <v>2.7066823756384251E-3</v>
      </c>
      <c r="S259" s="502"/>
      <c r="T259" s="219">
        <f t="shared" si="25"/>
        <v>9.3771515328401165</v>
      </c>
      <c r="U259" s="249">
        <f>U258+(T258*R259*'life-tables-test'!$C$66)</f>
        <v>90.622848467159884</v>
      </c>
      <c r="V259" s="516">
        <f t="shared" si="22"/>
        <v>100</v>
      </c>
      <c r="W259" s="153">
        <f>(T259*0)/(1+cDR)^'Markov Model_SA1'!cycle2</f>
        <v>0</v>
      </c>
      <c r="X259" s="178">
        <f t="shared" si="23"/>
        <v>9.3771515328401165</v>
      </c>
      <c r="Y259" s="202">
        <f>(T259*(uPostT))/(1+oDR)^'Markov Model_SA1'!cycle</f>
        <v>3.827133261402532</v>
      </c>
      <c r="Z259" s="80"/>
      <c r="AA259" s="3"/>
      <c r="AB259" s="3"/>
      <c r="AC259" s="14">
        <v>247</v>
      </c>
      <c r="AD259" s="14"/>
      <c r="AE259" s="14"/>
      <c r="AF259" s="3"/>
      <c r="AG259" s="3"/>
      <c r="AH259" s="3"/>
      <c r="AI259" s="14"/>
      <c r="AJ259" s="14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</row>
    <row r="260" spans="1:58" ht="14.25" customHeight="1" x14ac:dyDescent="0.25">
      <c r="A260" s="637"/>
      <c r="B260" s="417"/>
      <c r="C260" s="173">
        <v>250</v>
      </c>
      <c r="D260" s="165"/>
      <c r="E260" s="174">
        <v>2.7066823756384251E-3</v>
      </c>
      <c r="F260" s="502"/>
      <c r="G260" s="219">
        <f t="shared" si="20"/>
        <v>9.8185624879325388</v>
      </c>
      <c r="H260" s="249">
        <f>H259+(G259*E260*'life-tables-test'!$C$66)</f>
        <v>90.181437512067461</v>
      </c>
      <c r="I260" s="516">
        <f t="shared" si="24"/>
        <v>100</v>
      </c>
      <c r="J260" s="153">
        <f>(G260*0)/(1+cDR)^'Markov Model_SA1'!cycle</f>
        <v>0</v>
      </c>
      <c r="K260" s="178">
        <f t="shared" si="21"/>
        <v>9.8185624879325388</v>
      </c>
      <c r="L260" s="202">
        <f>(G260*(uPostT))/(1+oDR)^'Markov Model_SA1'!cycle</f>
        <v>3.9972947912813388</v>
      </c>
      <c r="M260" s="80"/>
      <c r="N260" s="3"/>
      <c r="O260" s="80"/>
      <c r="P260" s="173">
        <v>250</v>
      </c>
      <c r="Q260" s="165"/>
      <c r="R260" s="174">
        <v>2.7066823756384251E-3</v>
      </c>
      <c r="S260" s="502"/>
      <c r="T260" s="219">
        <f t="shared" si="25"/>
        <v>9.2502466789019735</v>
      </c>
      <c r="U260" s="249">
        <f>U259+(T259*R260*'life-tables-test'!$C$66)</f>
        <v>90.749753321098027</v>
      </c>
      <c r="V260" s="516">
        <f t="shared" si="22"/>
        <v>100</v>
      </c>
      <c r="W260" s="153">
        <f>(T260*0)/(1+cDR)^'Markov Model_SA1'!cycle2</f>
        <v>0</v>
      </c>
      <c r="X260" s="178">
        <f t="shared" si="23"/>
        <v>9.2502466789019735</v>
      </c>
      <c r="Y260" s="202">
        <f>(T260*(uPostT))/(1+oDR)^'Markov Model_SA1'!cycle</f>
        <v>3.7659242799633352</v>
      </c>
      <c r="Z260" s="80"/>
      <c r="AA260" s="3"/>
      <c r="AB260" s="3"/>
      <c r="AC260" s="14">
        <v>248</v>
      </c>
      <c r="AD260" s="14"/>
      <c r="AE260" s="14"/>
      <c r="AF260" s="3"/>
      <c r="AG260" s="3"/>
      <c r="AH260" s="3"/>
      <c r="AI260" s="14"/>
      <c r="AJ260" s="14"/>
      <c r="AK260" s="3"/>
      <c r="AL260" s="3"/>
      <c r="AM260" s="3"/>
      <c r="AN260" s="3"/>
      <c r="AO260" s="3"/>
      <c r="AP260" s="3"/>
      <c r="AQ260" s="3"/>
      <c r="AR260" s="3"/>
      <c r="AS260" s="3"/>
      <c r="AT260" s="4"/>
      <c r="AU260" s="4"/>
      <c r="AV260" s="402"/>
      <c r="AW260" s="402"/>
      <c r="AX260" s="402"/>
      <c r="AY260" s="402"/>
      <c r="AZ260" s="402"/>
      <c r="BA260" s="402"/>
      <c r="BB260" s="402"/>
      <c r="BC260" s="402"/>
      <c r="BD260" s="402"/>
      <c r="BE260" s="402"/>
      <c r="BF260" s="402"/>
    </row>
    <row r="261" spans="1:58" ht="14.25" customHeight="1" x14ac:dyDescent="0.25">
      <c r="A261" s="637"/>
      <c r="B261" s="417"/>
      <c r="C261" s="173">
        <v>251</v>
      </c>
      <c r="D261" s="165"/>
      <c r="E261" s="174">
        <v>2.7066823756384251E-3</v>
      </c>
      <c r="F261" s="502"/>
      <c r="G261" s="219">
        <f t="shared" si="20"/>
        <v>9.6856838377315739</v>
      </c>
      <c r="H261" s="249">
        <f>H260+(G260*E261*'life-tables-test'!$C$66)</f>
        <v>90.314316162268426</v>
      </c>
      <c r="I261" s="516">
        <f t="shared" si="24"/>
        <v>100</v>
      </c>
      <c r="J261" s="153">
        <f>(G261*0)/(1+cDR)^'Markov Model_SA1'!cycle</f>
        <v>0</v>
      </c>
      <c r="K261" s="178">
        <f t="shared" si="21"/>
        <v>9.6856838377315739</v>
      </c>
      <c r="L261" s="202">
        <f>(G261*(uPostT))/(1+oDR)^'Markov Model_SA1'!cycle</f>
        <v>3.9333643436133401</v>
      </c>
      <c r="M261" s="80"/>
      <c r="N261" s="3"/>
      <c r="O261" s="80"/>
      <c r="P261" s="173">
        <v>251</v>
      </c>
      <c r="Q261" s="165"/>
      <c r="R261" s="174">
        <v>2.7066823756384251E-3</v>
      </c>
      <c r="S261" s="502"/>
      <c r="T261" s="219">
        <f t="shared" si="25"/>
        <v>9.1250592806215138</v>
      </c>
      <c r="U261" s="249">
        <f>U260+(T260*R261*'life-tables-test'!$C$66)</f>
        <v>90.874940719378486</v>
      </c>
      <c r="V261" s="516">
        <f t="shared" si="22"/>
        <v>100</v>
      </c>
      <c r="W261" s="153">
        <f>(T261*0)/(1+cDR)^'Markov Model_SA1'!cycle2</f>
        <v>0</v>
      </c>
      <c r="X261" s="178">
        <f t="shared" si="23"/>
        <v>9.1250592806215138</v>
      </c>
      <c r="Y261" s="202">
        <f>(T261*(uPostT))/(1+oDR)^'Markov Model_SA1'!cycle</f>
        <v>3.7056942399805557</v>
      </c>
      <c r="Z261" s="80"/>
      <c r="AA261" s="3"/>
      <c r="AB261" s="3"/>
      <c r="AC261" s="14">
        <v>249</v>
      </c>
      <c r="AD261" s="14"/>
      <c r="AE261" s="14"/>
      <c r="AF261" s="3"/>
      <c r="AG261" s="3"/>
      <c r="AH261" s="3"/>
      <c r="AI261" s="14"/>
      <c r="AJ261" s="14"/>
      <c r="AK261" s="3"/>
      <c r="AL261" s="3"/>
      <c r="AM261" s="3"/>
      <c r="AN261" s="3"/>
      <c r="AO261" s="3"/>
      <c r="AP261" s="3"/>
      <c r="AQ261" s="3"/>
      <c r="AR261" s="3"/>
      <c r="AS261" s="3"/>
      <c r="AT261" s="4"/>
      <c r="AU261" s="4"/>
      <c r="AV261" s="402"/>
      <c r="AW261" s="402"/>
      <c r="AX261" s="402"/>
      <c r="AY261" s="402"/>
      <c r="AZ261" s="402"/>
      <c r="BA261" s="402"/>
      <c r="BB261" s="402"/>
      <c r="BC261" s="402"/>
      <c r="BD261" s="402"/>
      <c r="BE261" s="402"/>
      <c r="BF261" s="402"/>
    </row>
    <row r="262" spans="1:58" ht="14.25" customHeight="1" x14ac:dyDescent="0.25">
      <c r="A262" s="637"/>
      <c r="B262" s="417"/>
      <c r="C262" s="173">
        <v>252</v>
      </c>
      <c r="D262" s="165"/>
      <c r="E262" s="174">
        <v>2.7066823756384251E-3</v>
      </c>
      <c r="F262" s="502"/>
      <c r="G262" s="219">
        <f t="shared" si="20"/>
        <v>9.5546034890336102</v>
      </c>
      <c r="H262" s="249">
        <f>H261+(G261*E262*'life-tables-test'!$C$66)</f>
        <v>90.44539651096639</v>
      </c>
      <c r="I262" s="516">
        <f t="shared" si="24"/>
        <v>100</v>
      </c>
      <c r="J262" s="153">
        <f>(G262*0)/(1+cDR)^'Markov Model_SA1'!cycle</f>
        <v>0</v>
      </c>
      <c r="K262" s="178">
        <f t="shared" si="21"/>
        <v>9.5546034890336102</v>
      </c>
      <c r="L262" s="202">
        <f>(G262*(uPostT))/(1+oDR)^'Markov Model_SA1'!cycle</f>
        <v>3.8704563629767872</v>
      </c>
      <c r="M262" s="80"/>
      <c r="N262" s="3"/>
      <c r="O262" s="80"/>
      <c r="P262" s="173">
        <v>252</v>
      </c>
      <c r="Q262" s="165"/>
      <c r="R262" s="174">
        <v>2.7066823756384251E-3</v>
      </c>
      <c r="S262" s="502"/>
      <c r="T262" s="219">
        <f t="shared" si="25"/>
        <v>9.0015660949639482</v>
      </c>
      <c r="U262" s="249">
        <f>U261+(T261*R262*'life-tables-test'!$C$66)</f>
        <v>90.998433905036052</v>
      </c>
      <c r="V262" s="516">
        <f t="shared" si="22"/>
        <v>100</v>
      </c>
      <c r="W262" s="153">
        <f>(T262*0)/(1+cDR)^'Markov Model_SA1'!cycle2</f>
        <v>0</v>
      </c>
      <c r="X262" s="178">
        <f t="shared" si="23"/>
        <v>9.0015660949639482</v>
      </c>
      <c r="Y262" s="202">
        <f>(T262*(uPostT))/(1+oDR)^'Markov Model_SA1'!cycle</f>
        <v>3.6464274848241964</v>
      </c>
      <c r="Z262" s="80"/>
      <c r="AA262" s="3"/>
      <c r="AB262" s="3"/>
      <c r="AC262" s="14">
        <v>250</v>
      </c>
      <c r="AD262" s="14"/>
      <c r="AE262" s="14"/>
      <c r="AF262" s="3"/>
      <c r="AG262" s="3"/>
      <c r="AH262" s="3"/>
      <c r="AI262" s="14"/>
      <c r="AJ262" s="14"/>
      <c r="AK262" s="3"/>
      <c r="AL262" s="3"/>
      <c r="AM262" s="3"/>
      <c r="AN262" s="3"/>
      <c r="AO262" s="3"/>
      <c r="AP262" s="3"/>
      <c r="AQ262" s="3"/>
      <c r="AR262" s="3"/>
      <c r="AS262" s="3"/>
      <c r="AT262" s="4"/>
      <c r="AU262" s="4"/>
      <c r="AV262" s="402"/>
      <c r="AW262" s="402"/>
      <c r="AX262" s="402"/>
      <c r="AY262" s="402"/>
      <c r="AZ262" s="402"/>
      <c r="BA262" s="402"/>
      <c r="BB262" s="402"/>
      <c r="BC262" s="402"/>
      <c r="BD262" s="402"/>
      <c r="BE262" s="402"/>
      <c r="BF262" s="402"/>
    </row>
    <row r="263" spans="1:58" ht="14.25" customHeight="1" x14ac:dyDescent="0.25">
      <c r="A263" s="606"/>
      <c r="B263" s="417"/>
      <c r="C263" s="173">
        <v>253</v>
      </c>
      <c r="D263" s="504"/>
      <c r="E263" s="174">
        <v>2.7066823756384251E-3</v>
      </c>
      <c r="F263" s="505"/>
      <c r="G263" s="219">
        <f t="shared" si="20"/>
        <v>9.4252971046837075</v>
      </c>
      <c r="H263" s="249">
        <f>H262+(G262*E263*'life-tables-test'!$C$66)</f>
        <v>90.574702895316292</v>
      </c>
      <c r="I263" s="516">
        <f t="shared" si="24"/>
        <v>100</v>
      </c>
      <c r="J263" s="180">
        <f>(G263*0)/(1+cDR)^'Markov Model_SA1'!cycle</f>
        <v>0</v>
      </c>
      <c r="K263" s="176">
        <f t="shared" si="21"/>
        <v>9.4252971046837075</v>
      </c>
      <c r="L263" s="202">
        <f>(G263*(uPostT))/(1+oDR)^'Markov Model_SA1'!cycle</f>
        <v>3.8085544966185059</v>
      </c>
      <c r="M263" s="80"/>
      <c r="N263" s="3"/>
      <c r="O263" s="80"/>
      <c r="P263" s="173">
        <v>253</v>
      </c>
      <c r="Q263" s="504"/>
      <c r="R263" s="174">
        <v>2.7066823756384251E-3</v>
      </c>
      <c r="S263" s="505"/>
      <c r="T263" s="219">
        <f t="shared" si="25"/>
        <v>8.8797441934520265</v>
      </c>
      <c r="U263" s="249">
        <f>U262+(T262*R263*'life-tables-test'!$C$66)</f>
        <v>91.120255806547974</v>
      </c>
      <c r="V263" s="516">
        <f t="shared" si="22"/>
        <v>100</v>
      </c>
      <c r="W263" s="180">
        <f>(T263*0)/(1+cDR)^'Markov Model_SA1'!cycle2</f>
        <v>0</v>
      </c>
      <c r="X263" s="176">
        <f t="shared" si="23"/>
        <v>8.8797441934520265</v>
      </c>
      <c r="Y263" s="202">
        <f>(T263*(uPostT))/(1+oDR)^'Markov Model_SA1'!cycle</f>
        <v>3.5881086082674396</v>
      </c>
      <c r="Z263" s="80"/>
      <c r="AA263" s="3"/>
      <c r="AB263" s="3"/>
      <c r="AC263" s="14">
        <v>251</v>
      </c>
      <c r="AD263" s="14"/>
      <c r="AE263" s="14"/>
      <c r="AF263" s="3"/>
      <c r="AG263" s="3"/>
      <c r="AH263" s="3"/>
      <c r="AI263" s="14"/>
      <c r="AJ263" s="14"/>
      <c r="AK263" s="3"/>
      <c r="AL263" s="3"/>
      <c r="AM263" s="3"/>
      <c r="AN263" s="3"/>
      <c r="AO263" s="3"/>
      <c r="AP263" s="3"/>
      <c r="AQ263" s="3"/>
      <c r="AR263" s="3"/>
      <c r="AS263" s="3"/>
      <c r="AT263" s="4"/>
      <c r="AU263" s="4"/>
      <c r="AV263" s="402"/>
      <c r="AW263" s="402"/>
      <c r="AX263" s="402"/>
      <c r="AY263" s="402"/>
      <c r="AZ263" s="402"/>
      <c r="BA263" s="402"/>
      <c r="BB263" s="402"/>
      <c r="BC263" s="402"/>
      <c r="BD263" s="402"/>
      <c r="BE263" s="402"/>
      <c r="BF263" s="402"/>
    </row>
    <row r="264" spans="1:58" ht="14.25" customHeight="1" x14ac:dyDescent="0.25">
      <c r="A264" s="637" t="s">
        <v>563</v>
      </c>
      <c r="B264" s="417"/>
      <c r="C264" s="506">
        <v>254</v>
      </c>
      <c r="D264" s="506"/>
      <c r="E264" s="507">
        <v>2.7066823756384251E-3</v>
      </c>
      <c r="F264" s="508"/>
      <c r="G264" s="509">
        <f t="shared" si="20"/>
        <v>9.2977406768916921</v>
      </c>
      <c r="H264" s="510">
        <f>H263+(G263*E264*'life-tables-test'!$C$66)</f>
        <v>90.702259323108308</v>
      </c>
      <c r="I264" s="518">
        <f t="shared" si="24"/>
        <v>100</v>
      </c>
      <c r="J264" s="511">
        <f>(G264*0)/(1+cDR)^'Markov Model_SA1'!cycle</f>
        <v>0</v>
      </c>
      <c r="K264" s="512">
        <f t="shared" si="21"/>
        <v>9.2977406768916921</v>
      </c>
      <c r="L264" s="513">
        <f>(G264*(uPostT))/(1+oDR)^'Markov Model_SA1'!cycle</f>
        <v>3.7476426533219231</v>
      </c>
      <c r="M264" s="80"/>
      <c r="N264" s="3"/>
      <c r="O264" s="80"/>
      <c r="P264" s="506">
        <v>254</v>
      </c>
      <c r="Q264" s="506"/>
      <c r="R264" s="507">
        <v>2.7066823756384251E-3</v>
      </c>
      <c r="S264" s="508"/>
      <c r="T264" s="509">
        <f t="shared" si="25"/>
        <v>8.7595709579090624</v>
      </c>
      <c r="U264" s="510">
        <f>U263+(T263*R264*'life-tables-test'!$C$66)</f>
        <v>91.240429042090938</v>
      </c>
      <c r="V264" s="518">
        <f t="shared" si="22"/>
        <v>100</v>
      </c>
      <c r="W264" s="511">
        <f>(T264*0)/(1+cDR)^'Markov Model_SA1'!cycle2</f>
        <v>0</v>
      </c>
      <c r="X264" s="512">
        <f t="shared" si="23"/>
        <v>8.7595709579090624</v>
      </c>
      <c r="Y264" s="513">
        <f>(T264*(uPostT))/(1+oDR)^'Markov Model_SA1'!cycle</f>
        <v>3.5307224504818686</v>
      </c>
      <c r="Z264" s="80"/>
      <c r="AA264" s="3"/>
      <c r="AB264" s="3"/>
      <c r="AC264" s="14">
        <v>252</v>
      </c>
      <c r="AD264" s="14"/>
      <c r="AE264" s="14"/>
      <c r="AF264" s="3"/>
      <c r="AG264" s="3"/>
      <c r="AH264" s="3"/>
      <c r="AI264" s="14"/>
      <c r="AJ264" s="14"/>
      <c r="AK264" s="3"/>
      <c r="AL264" s="3"/>
      <c r="AM264" s="3"/>
      <c r="AN264" s="3"/>
      <c r="AO264" s="3"/>
      <c r="AP264" s="3"/>
      <c r="AQ264" s="3"/>
      <c r="AR264" s="3"/>
      <c r="AS264" s="3"/>
      <c r="AT264" s="4"/>
      <c r="AU264" s="4"/>
      <c r="AV264" s="402"/>
      <c r="AW264" s="402"/>
      <c r="AX264" s="402"/>
      <c r="AY264" s="402"/>
      <c r="AZ264" s="402"/>
      <c r="BA264" s="402"/>
      <c r="BB264" s="402"/>
      <c r="BC264" s="402"/>
      <c r="BD264" s="402"/>
      <c r="BE264" s="402"/>
      <c r="BF264" s="402"/>
    </row>
    <row r="265" spans="1:58" ht="14.25" customHeight="1" x14ac:dyDescent="0.25">
      <c r="A265" s="637"/>
      <c r="B265" s="417"/>
      <c r="C265" s="173">
        <v>255</v>
      </c>
      <c r="D265" s="165"/>
      <c r="E265" s="174">
        <v>3.0026787825909729E-3</v>
      </c>
      <c r="F265" s="502"/>
      <c r="G265" s="219">
        <f t="shared" si="20"/>
        <v>9.1581500336090187</v>
      </c>
      <c r="H265" s="249">
        <f>H264+(G264*E265*'life-tables-test'!$C$66)</f>
        <v>90.841849966390981</v>
      </c>
      <c r="I265" s="516">
        <f t="shared" si="24"/>
        <v>100</v>
      </c>
      <c r="J265" s="153">
        <f>(G265*0)/(1+cDR)^'Markov Model_SA1'!cycle</f>
        <v>0</v>
      </c>
      <c r="K265" s="178">
        <f t="shared" si="21"/>
        <v>9.1581500336090187</v>
      </c>
      <c r="L265" s="202">
        <f>(G265*(uPostT))/(1+oDR)^'Markov Model_SA1'!cycle</f>
        <v>3.6821723869552256</v>
      </c>
      <c r="M265" s="80"/>
      <c r="N265" s="3"/>
      <c r="O265" s="80"/>
      <c r="P265" s="173">
        <v>255</v>
      </c>
      <c r="Q265" s="165"/>
      <c r="R265" s="174">
        <v>3.0026787825909729E-3</v>
      </c>
      <c r="S265" s="502"/>
      <c r="T265" s="219">
        <f t="shared" si="25"/>
        <v>8.6280600686094999</v>
      </c>
      <c r="U265" s="249">
        <f>U264+(T264*R265*'life-tables-test'!$C$66)</f>
        <v>91.3719399313905</v>
      </c>
      <c r="V265" s="516">
        <f t="shared" si="22"/>
        <v>100</v>
      </c>
      <c r="W265" s="153">
        <f>(T265*0)/(1+cDR)^'Markov Model_SA1'!cycle2</f>
        <v>0</v>
      </c>
      <c r="X265" s="178">
        <f t="shared" si="23"/>
        <v>8.6280600686094999</v>
      </c>
      <c r="Y265" s="202">
        <f>(T265*(uPostT))/(1+oDR)^'Markov Model_SA1'!cycle</f>
        <v>3.469041719237381</v>
      </c>
      <c r="Z265" s="80"/>
      <c r="AA265" s="3"/>
      <c r="AB265" s="3"/>
      <c r="AC265" s="14">
        <v>253</v>
      </c>
      <c r="AD265" s="14"/>
      <c r="AE265" s="14"/>
      <c r="AF265" s="3"/>
      <c r="AG265" s="3"/>
      <c r="AH265" s="3"/>
      <c r="AI265" s="14"/>
      <c r="AJ265" s="14"/>
      <c r="AK265" s="3"/>
      <c r="AL265" s="3"/>
      <c r="AM265" s="3"/>
      <c r="AN265" s="3"/>
      <c r="AO265" s="3"/>
      <c r="AP265" s="3"/>
      <c r="AQ265" s="3"/>
      <c r="AR265" s="3"/>
      <c r="AS265" s="3"/>
      <c r="AT265" s="4"/>
      <c r="AU265" s="4"/>
      <c r="AV265" s="402"/>
      <c r="AW265" s="402"/>
      <c r="AX265" s="402"/>
      <c r="AY265" s="402"/>
      <c r="AZ265" s="402"/>
      <c r="BA265" s="402"/>
      <c r="BB265" s="402"/>
      <c r="BC265" s="402"/>
      <c r="BD265" s="402"/>
      <c r="BE265" s="402"/>
      <c r="BF265" s="402"/>
    </row>
    <row r="266" spans="1:58" ht="14.25" customHeight="1" x14ac:dyDescent="0.25">
      <c r="A266" s="637"/>
      <c r="B266" s="417"/>
      <c r="C266" s="173">
        <v>256</v>
      </c>
      <c r="D266" s="165"/>
      <c r="E266" s="174">
        <v>3.0026787825909729E-3</v>
      </c>
      <c r="F266" s="502"/>
      <c r="G266" s="219">
        <f t="shared" si="20"/>
        <v>9.0206551196405087</v>
      </c>
      <c r="H266" s="249">
        <f>H265+(G265*E266*'life-tables-test'!$C$66)</f>
        <v>90.979344880359491</v>
      </c>
      <c r="I266" s="516">
        <f t="shared" si="24"/>
        <v>100</v>
      </c>
      <c r="J266" s="153">
        <f>(G266*0)/(1+cDR)^'Markov Model_SA1'!cycle</f>
        <v>0</v>
      </c>
      <c r="K266" s="178">
        <f t="shared" si="21"/>
        <v>9.0206551196405087</v>
      </c>
      <c r="L266" s="202">
        <f>(G266*(uPostT))/(1+oDR)^'Markov Model_SA1'!cycle</f>
        <v>3.6178458677849994</v>
      </c>
      <c r="M266" s="80"/>
      <c r="N266" s="3"/>
      <c r="O266" s="80"/>
      <c r="P266" s="173">
        <v>256</v>
      </c>
      <c r="Q266" s="165"/>
      <c r="R266" s="174">
        <v>3.0026787825909729E-3</v>
      </c>
      <c r="S266" s="502"/>
      <c r="T266" s="219">
        <f t="shared" si="25"/>
        <v>8.498523604094828</v>
      </c>
      <c r="U266" s="249">
        <f>U265+(T265*R266*'life-tables-test'!$C$66)</f>
        <v>91.501476395905172</v>
      </c>
      <c r="V266" s="516">
        <f t="shared" si="22"/>
        <v>100</v>
      </c>
      <c r="W266" s="153">
        <f>(T266*0)/(1+cDR)^'Markov Model_SA1'!cycle2</f>
        <v>0</v>
      </c>
      <c r="X266" s="178">
        <f t="shared" si="23"/>
        <v>8.498523604094828</v>
      </c>
      <c r="Y266" s="202">
        <f>(T266*(uPostT))/(1+oDR)^'Markov Model_SA1'!cycle</f>
        <v>3.4084385330733116</v>
      </c>
      <c r="Z266" s="80"/>
      <c r="AA266" s="3"/>
      <c r="AB266" s="3"/>
      <c r="AC266" s="14">
        <v>254</v>
      </c>
      <c r="AD266" s="14"/>
      <c r="AE266" s="14"/>
      <c r="AF266" s="3"/>
      <c r="AG266" s="3"/>
      <c r="AH266" s="3"/>
      <c r="AI266" s="14"/>
      <c r="AJ266" s="14"/>
      <c r="AK266" s="3"/>
      <c r="AL266" s="3"/>
      <c r="AM266" s="3"/>
      <c r="AN266" s="3"/>
      <c r="AO266" s="3"/>
      <c r="AP266" s="3"/>
      <c r="AQ266" s="3"/>
      <c r="AR266" s="3"/>
      <c r="AS266" s="3"/>
      <c r="AT266" s="4"/>
      <c r="AU266" s="4"/>
      <c r="AV266" s="402"/>
      <c r="AW266" s="402"/>
      <c r="AX266" s="402"/>
      <c r="AY266" s="402"/>
      <c r="AZ266" s="402"/>
      <c r="BA266" s="402"/>
      <c r="BB266" s="402"/>
      <c r="BC266" s="402"/>
      <c r="BD266" s="402"/>
      <c r="BE266" s="402"/>
      <c r="BF266" s="402"/>
    </row>
    <row r="267" spans="1:58" ht="14.25" customHeight="1" x14ac:dyDescent="0.25">
      <c r="A267" s="637"/>
      <c r="B267" s="417"/>
      <c r="C267" s="173">
        <v>257</v>
      </c>
      <c r="D267" s="165"/>
      <c r="E267" s="174">
        <v>3.0026787825909729E-3</v>
      </c>
      <c r="F267" s="502"/>
      <c r="G267" s="219">
        <f t="shared" si="20"/>
        <v>8.8852244709764392</v>
      </c>
      <c r="H267" s="249">
        <f>H266+(G266*E267*'life-tables-test'!$C$66)</f>
        <v>91.114775529023561</v>
      </c>
      <c r="I267" s="516">
        <f t="shared" si="24"/>
        <v>100</v>
      </c>
      <c r="J267" s="153">
        <f>(G267*0)/(1+cDR)^'Markov Model_SA1'!cycle</f>
        <v>0</v>
      </c>
      <c r="K267" s="178">
        <f t="shared" si="21"/>
        <v>8.8852244709764392</v>
      </c>
      <c r="L267" s="202">
        <f>(G267*(uPostT))/(1+oDR)^'Markov Model_SA1'!cycle</f>
        <v>3.5546431148684188</v>
      </c>
      <c r="M267" s="80"/>
      <c r="N267" s="3"/>
      <c r="O267" s="80"/>
      <c r="P267" s="173">
        <v>257</v>
      </c>
      <c r="Q267" s="165"/>
      <c r="R267" s="174">
        <v>3.0026787825909729E-3</v>
      </c>
      <c r="S267" s="502"/>
      <c r="T267" s="219">
        <f t="shared" si="25"/>
        <v>8.3709319215480065</v>
      </c>
      <c r="U267" s="249">
        <f>U266+(T266*R267*'life-tables-test'!$C$66)</f>
        <v>91.629068078451994</v>
      </c>
      <c r="V267" s="516">
        <f t="shared" si="22"/>
        <v>100</v>
      </c>
      <c r="W267" s="153">
        <f>(T267*0)/(1+cDR)^'Markov Model_SA1'!cycle2</f>
        <v>0</v>
      </c>
      <c r="X267" s="178">
        <f t="shared" si="23"/>
        <v>8.3709319215480065</v>
      </c>
      <c r="Y267" s="202">
        <f>(T267*(uPostT))/(1+oDR)^'Markov Model_SA1'!cycle</f>
        <v>3.3488940675792396</v>
      </c>
      <c r="Z267" s="80"/>
      <c r="AA267" s="3"/>
      <c r="AB267" s="3"/>
      <c r="AC267" s="14">
        <v>255</v>
      </c>
      <c r="AD267" s="14"/>
      <c r="AE267" s="14"/>
      <c r="AF267" s="3"/>
      <c r="AG267" s="3"/>
      <c r="AH267" s="3"/>
      <c r="AI267" s="14"/>
      <c r="AJ267" s="14"/>
      <c r="AK267" s="3"/>
      <c r="AL267" s="3"/>
      <c r="AM267" s="3"/>
      <c r="AN267" s="3"/>
      <c r="AO267" s="3"/>
      <c r="AP267" s="3"/>
      <c r="AQ267" s="3"/>
      <c r="AR267" s="3"/>
      <c r="AS267" s="3"/>
      <c r="AT267" s="4"/>
      <c r="AU267" s="4"/>
      <c r="AV267" s="402"/>
      <c r="AW267" s="402"/>
      <c r="AX267" s="402"/>
      <c r="AY267" s="402"/>
      <c r="AZ267" s="402"/>
      <c r="BA267" s="402"/>
      <c r="BB267" s="402"/>
      <c r="BC267" s="402"/>
      <c r="BD267" s="402"/>
      <c r="BE267" s="402"/>
      <c r="BF267" s="402"/>
    </row>
    <row r="268" spans="1:58" ht="14.25" customHeight="1" x14ac:dyDescent="0.25">
      <c r="A268" s="637"/>
      <c r="B268" s="417"/>
      <c r="C268" s="173">
        <v>258</v>
      </c>
      <c r="D268" s="165"/>
      <c r="E268" s="174">
        <v>3.0026787825909729E-3</v>
      </c>
      <c r="F268" s="502"/>
      <c r="G268" s="219">
        <f t="shared" ref="G268:G331" si="26">$G$10-H268</f>
        <v>8.7518270959886451</v>
      </c>
      <c r="H268" s="249">
        <f>H267+(G267*E268*'life-tables-test'!$C$66)</f>
        <v>91.248172904011355</v>
      </c>
      <c r="I268" s="516">
        <f t="shared" si="24"/>
        <v>100</v>
      </c>
      <c r="J268" s="153">
        <f>(G268*0)/(1+cDR)^'Markov Model_SA1'!cycle</f>
        <v>0</v>
      </c>
      <c r="K268" s="178">
        <f t="shared" si="21"/>
        <v>8.7518270959886451</v>
      </c>
      <c r="L268" s="202">
        <f>(G268*(uPostT))/(1+oDR)^'Markov Model_SA1'!cycle</f>
        <v>3.4925444963241166</v>
      </c>
      <c r="M268" s="80"/>
      <c r="N268" s="3"/>
      <c r="O268" s="80"/>
      <c r="P268" s="173">
        <v>258</v>
      </c>
      <c r="Q268" s="165"/>
      <c r="R268" s="174">
        <v>3.0026787825909729E-3</v>
      </c>
      <c r="S268" s="502"/>
      <c r="T268" s="219">
        <f t="shared" si="25"/>
        <v>8.2452558231912718</v>
      </c>
      <c r="U268" s="249">
        <f>U267+(T267*R268*'life-tables-test'!$C$66)</f>
        <v>91.754744176808728</v>
      </c>
      <c r="V268" s="516">
        <f t="shared" si="22"/>
        <v>100</v>
      </c>
      <c r="W268" s="153">
        <f>(T268*0)/(1+cDR)^'Markov Model_SA1'!cycle2</f>
        <v>0</v>
      </c>
      <c r="X268" s="178">
        <f t="shared" si="23"/>
        <v>8.2452558231912718</v>
      </c>
      <c r="Y268" s="202">
        <f>(T268*(uPostT))/(1+oDR)^'Markov Model_SA1'!cycle</f>
        <v>3.2903898272019076</v>
      </c>
      <c r="Z268" s="80"/>
      <c r="AA268" s="3"/>
      <c r="AB268" s="3"/>
      <c r="AC268" s="14">
        <v>256</v>
      </c>
      <c r="AD268" s="14"/>
      <c r="AE268" s="14"/>
      <c r="AF268" s="3"/>
      <c r="AG268" s="3"/>
      <c r="AH268" s="3"/>
      <c r="AI268" s="14"/>
      <c r="AJ268" s="14"/>
      <c r="AK268" s="3"/>
      <c r="AL268" s="3"/>
      <c r="AM268" s="3"/>
      <c r="AN268" s="3"/>
      <c r="AO268" s="3"/>
      <c r="AP268" s="3"/>
      <c r="AQ268" s="3"/>
      <c r="AR268" s="3"/>
      <c r="AS268" s="3"/>
      <c r="AT268" s="4"/>
      <c r="AU268" s="4"/>
      <c r="AV268" s="402"/>
      <c r="AW268" s="402"/>
      <c r="AX268" s="402"/>
      <c r="AY268" s="402"/>
      <c r="AZ268" s="402"/>
      <c r="BA268" s="402"/>
      <c r="BB268" s="402"/>
      <c r="BC268" s="402"/>
      <c r="BD268" s="402"/>
      <c r="BE268" s="402"/>
      <c r="BF268" s="402"/>
    </row>
    <row r="269" spans="1:58" ht="14.25" customHeight="1" x14ac:dyDescent="0.25">
      <c r="A269" s="637"/>
      <c r="B269" s="417"/>
      <c r="C269" s="173">
        <v>259</v>
      </c>
      <c r="D269" s="165"/>
      <c r="E269" s="174">
        <v>3.0026787825909729E-3</v>
      </c>
      <c r="F269" s="502"/>
      <c r="G269" s="219">
        <f t="shared" si="26"/>
        <v>8.6204324683384925</v>
      </c>
      <c r="H269" s="249">
        <f>H268+(G268*E269*'life-tables-test'!$C$66)</f>
        <v>91.379567531661507</v>
      </c>
      <c r="I269" s="516">
        <f t="shared" si="24"/>
        <v>100</v>
      </c>
      <c r="J269" s="153">
        <f>(G269*0)/(1+cDR)^'Markov Model_SA1'!cycle</f>
        <v>0</v>
      </c>
      <c r="K269" s="178">
        <f t="shared" si="21"/>
        <v>8.6204324683384925</v>
      </c>
      <c r="L269" s="202">
        <f>(G269*(uPostT))/(1+oDR)^'Markov Model_SA1'!cycle</f>
        <v>3.4315307232341938</v>
      </c>
      <c r="M269" s="80"/>
      <c r="N269" s="3"/>
      <c r="O269" s="80"/>
      <c r="P269" s="173">
        <v>259</v>
      </c>
      <c r="Q269" s="165"/>
      <c r="R269" s="174">
        <v>3.0026787825909729E-3</v>
      </c>
      <c r="S269" s="502"/>
      <c r="T269" s="219">
        <f t="shared" si="25"/>
        <v>8.1214665496046194</v>
      </c>
      <c r="U269" s="249">
        <f>U268+(T268*R269*'life-tables-test'!$C$66)</f>
        <v>91.878533450395381</v>
      </c>
      <c r="V269" s="516">
        <f t="shared" si="22"/>
        <v>100</v>
      </c>
      <c r="W269" s="153">
        <f>(T269*0)/(1+cDR)^'Markov Model_SA1'!cycle2</f>
        <v>0</v>
      </c>
      <c r="X269" s="178">
        <f t="shared" si="23"/>
        <v>8.1214665496046194</v>
      </c>
      <c r="Y269" s="202">
        <f>(T269*(uPostT))/(1+oDR)^'Markov Model_SA1'!cycle</f>
        <v>3.2329076395001972</v>
      </c>
      <c r="Z269" s="80"/>
      <c r="AA269" s="3"/>
      <c r="AB269" s="3"/>
      <c r="AC269" s="14">
        <v>257</v>
      </c>
      <c r="AD269" s="14"/>
      <c r="AE269" s="14"/>
      <c r="AF269" s="3"/>
      <c r="AG269" s="3"/>
      <c r="AH269" s="3"/>
      <c r="AI269" s="14"/>
      <c r="AJ269" s="14"/>
      <c r="AK269" s="3"/>
      <c r="AL269" s="3"/>
      <c r="AM269" s="3"/>
      <c r="AN269" s="3"/>
      <c r="AO269" s="3"/>
      <c r="AP269" s="3"/>
      <c r="AQ269" s="3"/>
      <c r="AR269" s="3"/>
      <c r="AS269" s="3"/>
      <c r="AT269" s="4"/>
      <c r="AU269" s="4"/>
      <c r="AV269" s="402"/>
      <c r="AW269" s="402"/>
      <c r="AX269" s="402"/>
      <c r="AY269" s="402"/>
      <c r="AZ269" s="402"/>
      <c r="BA269" s="402"/>
      <c r="BB269" s="402"/>
      <c r="BC269" s="402"/>
      <c r="BD269" s="402"/>
      <c r="BE269" s="402"/>
      <c r="BF269" s="402"/>
    </row>
    <row r="270" spans="1:58" ht="14.25" customHeight="1" x14ac:dyDescent="0.25">
      <c r="A270" s="637"/>
      <c r="B270" s="417"/>
      <c r="C270" s="173">
        <v>260</v>
      </c>
      <c r="D270" s="165"/>
      <c r="E270" s="174">
        <v>3.0026787825909729E-3</v>
      </c>
      <c r="F270" s="502"/>
      <c r="G270" s="219">
        <f t="shared" si="26"/>
        <v>8.4910105199913062</v>
      </c>
      <c r="H270" s="249">
        <f>H269+(G269*E270*'life-tables-test'!$C$66)</f>
        <v>91.508989480008694</v>
      </c>
      <c r="I270" s="516">
        <f t="shared" si="24"/>
        <v>100</v>
      </c>
      <c r="J270" s="153">
        <f>(G270*0)/(1+cDR)^'Markov Model_SA1'!cycle</f>
        <v>0</v>
      </c>
      <c r="K270" s="178">
        <f t="shared" si="21"/>
        <v>8.4910105199913062</v>
      </c>
      <c r="L270" s="202">
        <f>(G270*(uPostT))/(1+oDR)^'Markov Model_SA1'!cycle</f>
        <v>3.3715828436527424</v>
      </c>
      <c r="M270" s="80"/>
      <c r="N270" s="3"/>
      <c r="O270" s="80"/>
      <c r="P270" s="173">
        <v>260</v>
      </c>
      <c r="Q270" s="165"/>
      <c r="R270" s="174">
        <v>3.0026787825909729E-3</v>
      </c>
      <c r="S270" s="502"/>
      <c r="T270" s="219">
        <f t="shared" si="25"/>
        <v>7.9995357731445154</v>
      </c>
      <c r="U270" s="249">
        <f>U269+(T269*R270*'life-tables-test'!$C$66)</f>
        <v>92.000464226855485</v>
      </c>
      <c r="V270" s="516">
        <f t="shared" si="22"/>
        <v>100</v>
      </c>
      <c r="W270" s="153">
        <f>(T270*0)/(1+cDR)^'Markov Model_SA1'!cycle2</f>
        <v>0</v>
      </c>
      <c r="X270" s="178">
        <f t="shared" si="23"/>
        <v>7.9995357731445154</v>
      </c>
      <c r="Y270" s="202">
        <f>(T270*(uPostT))/(1+oDR)^'Markov Model_SA1'!cycle</f>
        <v>3.1764296495004274</v>
      </c>
      <c r="Z270" s="80"/>
      <c r="AA270" s="3"/>
      <c r="AB270" s="3"/>
      <c r="AC270" s="14">
        <v>258</v>
      </c>
      <c r="AD270" s="14"/>
      <c r="AE270" s="14"/>
      <c r="AF270" s="3"/>
      <c r="AG270" s="3"/>
      <c r="AH270" s="3"/>
      <c r="AI270" s="14"/>
      <c r="AJ270" s="14"/>
      <c r="AK270" s="3"/>
      <c r="AL270" s="3"/>
      <c r="AM270" s="3"/>
      <c r="AN270" s="3"/>
      <c r="AO270" s="3"/>
      <c r="AP270" s="3"/>
      <c r="AQ270" s="3"/>
      <c r="AR270" s="3"/>
      <c r="AS270" s="3"/>
      <c r="AT270" s="4"/>
      <c r="AU270" s="4"/>
      <c r="AV270" s="402"/>
      <c r="AW270" s="402"/>
      <c r="AX270" s="402"/>
      <c r="AY270" s="402"/>
      <c r="AZ270" s="402"/>
      <c r="BA270" s="402"/>
      <c r="BB270" s="402"/>
      <c r="BC270" s="402"/>
      <c r="BD270" s="402"/>
      <c r="BE270" s="402"/>
      <c r="BF270" s="402"/>
    </row>
    <row r="271" spans="1:58" ht="14.25" customHeight="1" x14ac:dyDescent="0.25">
      <c r="A271" s="637"/>
      <c r="B271" s="417"/>
      <c r="C271" s="173">
        <v>261</v>
      </c>
      <c r="D271" s="165"/>
      <c r="E271" s="174">
        <v>3.0026787825909729E-3</v>
      </c>
      <c r="F271" s="502"/>
      <c r="G271" s="219">
        <f t="shared" si="26"/>
        <v>8.3635316343356294</v>
      </c>
      <c r="H271" s="249">
        <f>H270+(G270*E271*'life-tables-test'!$C$66)</f>
        <v>91.636468365664371</v>
      </c>
      <c r="I271" s="516">
        <f t="shared" si="24"/>
        <v>100</v>
      </c>
      <c r="J271" s="153">
        <f>(G271*0)/(1+cDR)^'Markov Model_SA1'!cycle</f>
        <v>0</v>
      </c>
      <c r="K271" s="178">
        <f t="shared" si="21"/>
        <v>8.3635316343356294</v>
      </c>
      <c r="L271" s="202">
        <f>(G271*(uPostT))/(1+oDR)^'Markov Model_SA1'!cycle</f>
        <v>3.3126822367190236</v>
      </c>
      <c r="M271" s="80"/>
      <c r="N271" s="3"/>
      <c r="O271" s="80"/>
      <c r="P271" s="173">
        <v>261</v>
      </c>
      <c r="Q271" s="165"/>
      <c r="R271" s="174">
        <v>3.0026787825909729E-3</v>
      </c>
      <c r="S271" s="502"/>
      <c r="T271" s="219">
        <f t="shared" si="25"/>
        <v>7.8794355914615295</v>
      </c>
      <c r="U271" s="249">
        <f>U270+(T270*R271*'life-tables-test'!$C$66)</f>
        <v>92.120564408538471</v>
      </c>
      <c r="V271" s="516">
        <f t="shared" si="22"/>
        <v>100</v>
      </c>
      <c r="W271" s="153">
        <f>(T271*0)/(1+cDR)^'Markov Model_SA1'!cycle2</f>
        <v>0</v>
      </c>
      <c r="X271" s="178">
        <f t="shared" si="23"/>
        <v>7.8794355914615295</v>
      </c>
      <c r="Y271" s="202">
        <f>(T271*(uPostT))/(1+oDR)^'Markov Model_SA1'!cycle</f>
        <v>3.1209383141503144</v>
      </c>
      <c r="Z271" s="80"/>
      <c r="AA271" s="3"/>
      <c r="AB271" s="3"/>
      <c r="AC271" s="14">
        <v>259</v>
      </c>
      <c r="AD271" s="14"/>
      <c r="AE271" s="14"/>
      <c r="AF271" s="3"/>
      <c r="AG271" s="3"/>
      <c r="AH271" s="3"/>
      <c r="AI271" s="14"/>
      <c r="AJ271" s="14"/>
      <c r="AK271" s="3"/>
      <c r="AL271" s="3"/>
      <c r="AM271" s="3"/>
      <c r="AN271" s="3"/>
      <c r="AO271" s="3"/>
      <c r="AP271" s="3"/>
      <c r="AQ271" s="3"/>
      <c r="AR271" s="3"/>
      <c r="AS271" s="3"/>
      <c r="AT271" s="4"/>
      <c r="AU271" s="4"/>
      <c r="AV271" s="402"/>
      <c r="AW271" s="402"/>
      <c r="AX271" s="402"/>
      <c r="AY271" s="402"/>
      <c r="AZ271" s="402"/>
      <c r="BA271" s="402"/>
      <c r="BB271" s="402"/>
      <c r="BC271" s="402"/>
      <c r="BD271" s="402"/>
      <c r="BE271" s="402"/>
      <c r="BF271" s="402"/>
    </row>
    <row r="272" spans="1:58" ht="14.25" customHeight="1" x14ac:dyDescent="0.25">
      <c r="A272" s="637"/>
      <c r="B272" s="417"/>
      <c r="C272" s="173">
        <v>262</v>
      </c>
      <c r="D272" s="165"/>
      <c r="E272" s="174">
        <v>3.0026787825909729E-3</v>
      </c>
      <c r="F272" s="502"/>
      <c r="G272" s="219">
        <f t="shared" si="26"/>
        <v>8.237966639405883</v>
      </c>
      <c r="H272" s="249">
        <f>H271+(G271*E272*'life-tables-test'!$C$66)</f>
        <v>91.762033360594117</v>
      </c>
      <c r="I272" s="516">
        <f t="shared" si="24"/>
        <v>100</v>
      </c>
      <c r="J272" s="153">
        <f>(G272*0)/(1+cDR)^'Markov Model_SA1'!cycle</f>
        <v>0</v>
      </c>
      <c r="K272" s="178">
        <f t="shared" si="21"/>
        <v>8.237966639405883</v>
      </c>
      <c r="L272" s="202">
        <f>(G272*(uPostT))/(1+oDR)^'Markov Model_SA1'!cycle</f>
        <v>3.254810606873527</v>
      </c>
      <c r="M272" s="80"/>
      <c r="N272" s="3"/>
      <c r="O272" s="80"/>
      <c r="P272" s="173">
        <v>262</v>
      </c>
      <c r="Q272" s="165"/>
      <c r="R272" s="174">
        <v>3.0026787825909729E-3</v>
      </c>
      <c r="S272" s="502"/>
      <c r="T272" s="219">
        <f t="shared" si="25"/>
        <v>7.7611385211151571</v>
      </c>
      <c r="U272" s="249">
        <f>U271+(T271*R272*'life-tables-test'!$C$66)</f>
        <v>92.238861478884843</v>
      </c>
      <c r="V272" s="516">
        <f t="shared" si="22"/>
        <v>100</v>
      </c>
      <c r="W272" s="153">
        <f>(T272*0)/(1+cDR)^'Markov Model_SA1'!cycle2</f>
        <v>0</v>
      </c>
      <c r="X272" s="178">
        <f t="shared" si="23"/>
        <v>7.7611385211151571</v>
      </c>
      <c r="Y272" s="202">
        <f>(T272*(uPostT))/(1+oDR)^'Markov Model_SA1'!cycle</f>
        <v>3.0664163968697675</v>
      </c>
      <c r="Z272" s="80"/>
      <c r="AA272" s="3"/>
      <c r="AB272" s="3"/>
      <c r="AC272" s="14">
        <v>260</v>
      </c>
      <c r="AD272" s="14"/>
      <c r="AE272" s="14"/>
      <c r="AF272" s="3"/>
      <c r="AG272" s="3"/>
      <c r="AH272" s="3"/>
      <c r="AI272" s="14"/>
      <c r="AJ272" s="14"/>
      <c r="AK272" s="3"/>
      <c r="AL272" s="3"/>
      <c r="AM272" s="3"/>
      <c r="AN272" s="3"/>
      <c r="AO272" s="3"/>
      <c r="AP272" s="3"/>
      <c r="AQ272" s="3"/>
      <c r="AR272" s="3"/>
      <c r="AS272" s="3"/>
      <c r="AT272" s="4"/>
      <c r="AU272" s="4"/>
      <c r="AV272" s="402"/>
      <c r="AW272" s="402"/>
      <c r="AX272" s="402"/>
      <c r="AY272" s="402"/>
      <c r="AZ272" s="402"/>
      <c r="BA272" s="402"/>
      <c r="BB272" s="402"/>
      <c r="BC272" s="402"/>
      <c r="BD272" s="402"/>
      <c r="BE272" s="402"/>
      <c r="BF272" s="402"/>
    </row>
    <row r="273" spans="1:58" ht="14.25" customHeight="1" x14ac:dyDescent="0.25">
      <c r="A273" s="637"/>
      <c r="B273" s="417"/>
      <c r="C273" s="173">
        <v>263</v>
      </c>
      <c r="D273" s="165"/>
      <c r="E273" s="174">
        <v>3.0026787825909729E-3</v>
      </c>
      <c r="F273" s="502"/>
      <c r="G273" s="219">
        <f t="shared" si="26"/>
        <v>8.1142868012067026</v>
      </c>
      <c r="H273" s="249">
        <f>H272+(G272*E273*'life-tables-test'!$C$66)</f>
        <v>91.885713198793297</v>
      </c>
      <c r="I273" s="516">
        <f t="shared" si="24"/>
        <v>100</v>
      </c>
      <c r="J273" s="153">
        <f>(G273*0)/(1+cDR)^'Markov Model_SA1'!cycle</f>
        <v>0</v>
      </c>
      <c r="K273" s="178">
        <f t="shared" si="21"/>
        <v>8.1142868012067026</v>
      </c>
      <c r="L273" s="202">
        <f>(G273*(uPostT))/(1+oDR)^'Markov Model_SA1'!cycle</f>
        <v>3.1979499781750342</v>
      </c>
      <c r="M273" s="80"/>
      <c r="N273" s="3"/>
      <c r="O273" s="80"/>
      <c r="P273" s="173">
        <v>263</v>
      </c>
      <c r="Q273" s="165"/>
      <c r="R273" s="174">
        <v>3.0026787825909729E-3</v>
      </c>
      <c r="S273" s="502"/>
      <c r="T273" s="219">
        <f t="shared" si="25"/>
        <v>7.6446174912846487</v>
      </c>
      <c r="U273" s="249">
        <f>U272+(T272*R273*'life-tables-test'!$C$66)</f>
        <v>92.355382508715351</v>
      </c>
      <c r="V273" s="516">
        <f t="shared" si="22"/>
        <v>100</v>
      </c>
      <c r="W273" s="153">
        <f>(T273*0)/(1+cDR)^'Markov Model_SA1'!cycle2</f>
        <v>0</v>
      </c>
      <c r="X273" s="178">
        <f t="shared" si="23"/>
        <v>7.6446174912846487</v>
      </c>
      <c r="Y273" s="202">
        <f>(T273*(uPostT))/(1+oDR)^'Markov Model_SA1'!cycle</f>
        <v>3.0128469621969263</v>
      </c>
      <c r="Z273" s="80"/>
      <c r="AA273" s="3"/>
      <c r="AB273" s="3"/>
      <c r="AC273" s="14">
        <v>261</v>
      </c>
      <c r="AD273" s="14"/>
      <c r="AE273" s="14"/>
      <c r="AF273" s="3"/>
      <c r="AG273" s="3"/>
      <c r="AH273" s="3"/>
      <c r="AI273" s="14"/>
      <c r="AJ273" s="14"/>
      <c r="AK273" s="3"/>
      <c r="AL273" s="3"/>
      <c r="AM273" s="3"/>
      <c r="AN273" s="3"/>
      <c r="AO273" s="3"/>
      <c r="AP273" s="3"/>
      <c r="AQ273" s="3"/>
      <c r="AR273" s="3"/>
      <c r="AS273" s="3"/>
      <c r="AT273" s="4"/>
      <c r="AU273" s="4"/>
      <c r="AV273" s="402"/>
      <c r="AW273" s="402"/>
      <c r="AX273" s="402"/>
      <c r="AY273" s="402"/>
      <c r="AZ273" s="402"/>
      <c r="BA273" s="402"/>
      <c r="BB273" s="402"/>
      <c r="BC273" s="402"/>
      <c r="BD273" s="402"/>
      <c r="BE273" s="402"/>
      <c r="BF273" s="402"/>
    </row>
    <row r="274" spans="1:58" ht="14.25" customHeight="1" x14ac:dyDescent="0.25">
      <c r="A274" s="637"/>
      <c r="B274" s="417"/>
      <c r="C274" s="173">
        <v>264</v>
      </c>
      <c r="D274" s="165"/>
      <c r="E274" s="174">
        <v>3.0026787825909729E-3</v>
      </c>
      <c r="F274" s="502"/>
      <c r="G274" s="219">
        <f t="shared" si="26"/>
        <v>7.9924638171374909</v>
      </c>
      <c r="H274" s="249">
        <f>H273+(G273*E274*'life-tables-test'!$C$66)</f>
        <v>92.007536182862509</v>
      </c>
      <c r="I274" s="516">
        <f t="shared" si="24"/>
        <v>100</v>
      </c>
      <c r="J274" s="153">
        <f>(G274*0)/(1+cDR)^'Markov Model_SA1'!cycle</f>
        <v>0</v>
      </c>
      <c r="K274" s="178">
        <f t="shared" si="21"/>
        <v>7.9924638171374909</v>
      </c>
      <c r="L274" s="202">
        <f>(G274*(uPostT))/(1+oDR)^'Markov Model_SA1'!cycle</f>
        <v>3.1420826887169726</v>
      </c>
      <c r="M274" s="80"/>
      <c r="N274" s="3"/>
      <c r="O274" s="80"/>
      <c r="P274" s="173">
        <v>264</v>
      </c>
      <c r="Q274" s="165"/>
      <c r="R274" s="174">
        <v>3.0026787825909729E-3</v>
      </c>
      <c r="S274" s="502"/>
      <c r="T274" s="219">
        <f t="shared" si="25"/>
        <v>7.5298458375741291</v>
      </c>
      <c r="U274" s="249">
        <f>U273+(T273*R274*'life-tables-test'!$C$66)</f>
        <v>92.470154162425871</v>
      </c>
      <c r="V274" s="516">
        <f t="shared" si="22"/>
        <v>100</v>
      </c>
      <c r="W274" s="153">
        <f>(T274*0)/(1+cDR)^'Markov Model_SA1'!cycle2</f>
        <v>0</v>
      </c>
      <c r="X274" s="178">
        <f t="shared" si="23"/>
        <v>7.5298458375741291</v>
      </c>
      <c r="Y274" s="202">
        <f>(T274*(uPostT))/(1+oDR)^'Markov Model_SA1'!cycle</f>
        <v>2.9602133705276952</v>
      </c>
      <c r="Z274" s="80"/>
      <c r="AA274" s="3"/>
      <c r="AB274" s="3"/>
      <c r="AC274" s="14">
        <v>262</v>
      </c>
      <c r="AD274" s="14"/>
      <c r="AE274" s="14"/>
      <c r="AF274" s="3"/>
      <c r="AG274" s="3"/>
      <c r="AH274" s="3"/>
      <c r="AI274" s="14"/>
      <c r="AJ274" s="14"/>
      <c r="AK274" s="3"/>
      <c r="AL274" s="3"/>
      <c r="AM274" s="3"/>
      <c r="AN274" s="3"/>
      <c r="AO274" s="3"/>
      <c r="AP274" s="3"/>
      <c r="AQ274" s="3"/>
      <c r="AR274" s="3"/>
      <c r="AS274" s="3"/>
      <c r="AT274" s="4"/>
      <c r="AU274" s="4"/>
      <c r="AV274" s="402"/>
      <c r="AW274" s="402"/>
      <c r="AX274" s="402"/>
      <c r="AY274" s="402"/>
      <c r="AZ274" s="402"/>
      <c r="BA274" s="402"/>
      <c r="BB274" s="402"/>
      <c r="BC274" s="402"/>
      <c r="BD274" s="402"/>
      <c r="BE274" s="402"/>
      <c r="BF274" s="402"/>
    </row>
    <row r="275" spans="1:58" ht="14.25" customHeight="1" x14ac:dyDescent="0.25">
      <c r="A275" s="606"/>
      <c r="B275" s="417"/>
      <c r="C275" s="173">
        <v>265</v>
      </c>
      <c r="D275" s="504"/>
      <c r="E275" s="174">
        <v>3.0026787825909729E-3</v>
      </c>
      <c r="F275" s="505"/>
      <c r="G275" s="219">
        <f t="shared" si="26"/>
        <v>7.8724698095157635</v>
      </c>
      <c r="H275" s="249">
        <f>H274+(G274*E275*'life-tables-test'!$C$66)</f>
        <v>92.127530190484237</v>
      </c>
      <c r="I275" s="516">
        <f t="shared" si="24"/>
        <v>100</v>
      </c>
      <c r="J275" s="180">
        <f>(G275*0)/(1+cDR)^'Markov Model_SA1'!cycle</f>
        <v>0</v>
      </c>
      <c r="K275" s="176">
        <f t="shared" si="21"/>
        <v>7.8724698095157635</v>
      </c>
      <c r="L275" s="202">
        <f>(G275*(uPostT))/(1+oDR)^'Markov Model_SA1'!cycle</f>
        <v>3.0871913851413333</v>
      </c>
      <c r="M275" s="80"/>
      <c r="N275" s="3"/>
      <c r="O275" s="80"/>
      <c r="P275" s="173">
        <v>265</v>
      </c>
      <c r="Q275" s="504"/>
      <c r="R275" s="174">
        <v>3.0026787825909729E-3</v>
      </c>
      <c r="S275" s="505"/>
      <c r="T275" s="219">
        <f t="shared" si="25"/>
        <v>7.4167972959108113</v>
      </c>
      <c r="U275" s="249">
        <f>U274+(T274*R275*'life-tables-test'!$C$66)</f>
        <v>92.583202704089189</v>
      </c>
      <c r="V275" s="516">
        <f t="shared" si="22"/>
        <v>100</v>
      </c>
      <c r="W275" s="180">
        <f>(T275*0)/(1+cDR)^'Markov Model_SA1'!cycle2</f>
        <v>0</v>
      </c>
      <c r="X275" s="176">
        <f t="shared" si="23"/>
        <v>7.4167972959108113</v>
      </c>
      <c r="Y275" s="202">
        <f>(T275*(uPostT))/(1+oDR)^'Markov Model_SA1'!cycle</f>
        <v>2.9084992729472017</v>
      </c>
      <c r="Z275" s="80"/>
      <c r="AA275" s="3"/>
      <c r="AB275" s="3"/>
      <c r="AC275" s="14">
        <v>263</v>
      </c>
      <c r="AD275" s="14"/>
      <c r="AE275" s="14"/>
      <c r="AF275" s="3"/>
      <c r="AG275" s="3"/>
      <c r="AH275" s="3"/>
      <c r="AI275" s="14"/>
      <c r="AJ275" s="14"/>
      <c r="AK275" s="3"/>
      <c r="AL275" s="3"/>
      <c r="AM275" s="3"/>
      <c r="AN275" s="3"/>
      <c r="AO275" s="3"/>
      <c r="AP275" s="3"/>
      <c r="AQ275" s="3"/>
      <c r="AR275" s="3"/>
      <c r="AS275" s="3"/>
      <c r="AT275" s="4"/>
      <c r="AU275" s="4"/>
      <c r="AV275" s="402"/>
      <c r="AW275" s="402"/>
      <c r="AX275" s="402"/>
      <c r="AY275" s="402"/>
      <c r="AZ275" s="402"/>
      <c r="BA275" s="402"/>
      <c r="BB275" s="402"/>
      <c r="BC275" s="402"/>
      <c r="BD275" s="402"/>
      <c r="BE275" s="402"/>
      <c r="BF275" s="402"/>
    </row>
    <row r="276" spans="1:58" ht="14.25" customHeight="1" x14ac:dyDescent="0.25">
      <c r="A276" s="637" t="s">
        <v>564</v>
      </c>
      <c r="B276" s="417"/>
      <c r="C276" s="506">
        <v>266</v>
      </c>
      <c r="D276" s="506"/>
      <c r="E276" s="507">
        <v>3.0026787825909729E-3</v>
      </c>
      <c r="F276" s="508"/>
      <c r="G276" s="509">
        <f t="shared" si="26"/>
        <v>7.7542773191976551</v>
      </c>
      <c r="H276" s="510">
        <f>H275+(G275*E276*'life-tables-test'!$C$66)</f>
        <v>92.245722680802345</v>
      </c>
      <c r="I276" s="518">
        <f t="shared" si="24"/>
        <v>100</v>
      </c>
      <c r="J276" s="511">
        <f>(G276*0)/(1+cDR)^'Markov Model_SA1'!cycle</f>
        <v>0</v>
      </c>
      <c r="K276" s="512">
        <f t="shared" si="21"/>
        <v>7.7542773191976551</v>
      </c>
      <c r="L276" s="513">
        <f>(G276*(uPostT))/(1+oDR)^'Markov Model_SA1'!cycle</f>
        <v>3.0332590172484037</v>
      </c>
      <c r="M276" s="80"/>
      <c r="N276" s="3"/>
      <c r="O276" s="80"/>
      <c r="P276" s="506">
        <v>266</v>
      </c>
      <c r="Q276" s="506"/>
      <c r="R276" s="507">
        <v>3.0026787825909729E-3</v>
      </c>
      <c r="S276" s="508"/>
      <c r="T276" s="509">
        <f t="shared" si="25"/>
        <v>7.3054459965347576</v>
      </c>
      <c r="U276" s="510">
        <f>U275+(T275*R276*'life-tables-test'!$C$66)</f>
        <v>92.694554003465242</v>
      </c>
      <c r="V276" s="518">
        <f t="shared" si="22"/>
        <v>100</v>
      </c>
      <c r="W276" s="511">
        <f>(T276*0)/(1+cDR)^'Markov Model_SA1'!cycle2</f>
        <v>0</v>
      </c>
      <c r="X276" s="512">
        <f t="shared" si="23"/>
        <v>7.3054459965347576</v>
      </c>
      <c r="Y276" s="513">
        <f>(T276*(uPostT))/(1+oDR)^'Markov Model_SA1'!cycle</f>
        <v>2.8576886061515214</v>
      </c>
      <c r="Z276" s="80"/>
      <c r="AA276" s="3"/>
      <c r="AB276" s="3"/>
      <c r="AC276" s="14">
        <v>264</v>
      </c>
      <c r="AD276" s="14"/>
      <c r="AE276" s="14"/>
      <c r="AF276" s="3"/>
      <c r="AG276" s="3"/>
      <c r="AH276" s="3"/>
      <c r="AI276" s="14"/>
      <c r="AJ276" s="14"/>
      <c r="AK276" s="3"/>
      <c r="AL276" s="3"/>
      <c r="AM276" s="3"/>
      <c r="AN276" s="3"/>
      <c r="AO276" s="3"/>
      <c r="AP276" s="3"/>
      <c r="AQ276" s="3"/>
      <c r="AR276" s="3"/>
      <c r="AS276" s="3"/>
      <c r="AT276" s="4"/>
      <c r="AU276" s="4"/>
      <c r="AV276" s="402"/>
      <c r="AW276" s="402"/>
      <c r="AX276" s="402"/>
      <c r="AY276" s="402"/>
      <c r="AZ276" s="402"/>
      <c r="BA276" s="402"/>
      <c r="BB276" s="402"/>
      <c r="BC276" s="402"/>
      <c r="BD276" s="402"/>
      <c r="BE276" s="402"/>
      <c r="BF276" s="402"/>
    </row>
    <row r="277" spans="1:58" ht="14.25" customHeight="1" x14ac:dyDescent="0.25">
      <c r="A277" s="637"/>
      <c r="B277" s="417"/>
      <c r="C277" s="173">
        <v>267</v>
      </c>
      <c r="D277" s="165"/>
      <c r="E277" s="174">
        <v>3.331798494724536E-3</v>
      </c>
      <c r="F277" s="502"/>
      <c r="G277" s="219">
        <f t="shared" si="26"/>
        <v>7.6250988716987536</v>
      </c>
      <c r="H277" s="249">
        <f>H276+(G276*E277*'life-tables-test'!$C$66)</f>
        <v>92.374901128301246</v>
      </c>
      <c r="I277" s="516">
        <f t="shared" si="24"/>
        <v>100</v>
      </c>
      <c r="J277" s="153">
        <f>(G277*0)/(1+cDR)^'Markov Model_SA1'!cycle</f>
        <v>0</v>
      </c>
      <c r="K277" s="178">
        <f t="shared" si="21"/>
        <v>7.6250988716987536</v>
      </c>
      <c r="L277" s="202">
        <f>(G277*(uPostT))/(1+oDR)^'Markov Model_SA1'!cycle</f>
        <v>2.9752897537252001</v>
      </c>
      <c r="M277" s="80"/>
      <c r="N277" s="3"/>
      <c r="O277" s="80"/>
      <c r="P277" s="173">
        <v>267</v>
      </c>
      <c r="Q277" s="165"/>
      <c r="R277" s="174">
        <v>3.331798494724536E-3</v>
      </c>
      <c r="S277" s="502"/>
      <c r="T277" s="219">
        <f t="shared" si="25"/>
        <v>7.1837446266620333</v>
      </c>
      <c r="U277" s="249">
        <f>U276+(T276*R277*'life-tables-test'!$C$66)</f>
        <v>92.816255373337967</v>
      </c>
      <c r="V277" s="516">
        <f t="shared" si="22"/>
        <v>100</v>
      </c>
      <c r="W277" s="153">
        <f>(T277*0)/(1+cDR)^'Markov Model_SA1'!cycle2</f>
        <v>0</v>
      </c>
      <c r="X277" s="178">
        <f t="shared" si="23"/>
        <v>7.1837446266620333</v>
      </c>
      <c r="Y277" s="202">
        <f>(T277*(uPostT))/(1+oDR)^'Markov Model_SA1'!cycle</f>
        <v>2.8030747064036796</v>
      </c>
      <c r="Z277" s="80"/>
      <c r="AA277" s="3"/>
      <c r="AB277" s="3"/>
      <c r="AC277" s="14">
        <v>265</v>
      </c>
      <c r="AD277" s="14"/>
      <c r="AE277" s="14"/>
      <c r="AF277" s="3"/>
      <c r="AG277" s="3"/>
      <c r="AH277" s="3"/>
      <c r="AI277" s="14"/>
      <c r="AJ277" s="14"/>
      <c r="AK277" s="3"/>
      <c r="AL277" s="3"/>
      <c r="AM277" s="3"/>
      <c r="AN277" s="3"/>
      <c r="AO277" s="3"/>
      <c r="AP277" s="3"/>
      <c r="AQ277" s="3"/>
      <c r="AR277" s="3"/>
      <c r="AS277" s="3"/>
      <c r="AT277" s="4"/>
      <c r="AU277" s="4"/>
      <c r="AV277" s="402"/>
      <c r="AW277" s="402"/>
      <c r="AX277" s="402"/>
      <c r="AY277" s="402"/>
      <c r="AZ277" s="402"/>
      <c r="BA277" s="402"/>
      <c r="BB277" s="402"/>
      <c r="BC277" s="402"/>
      <c r="BD277" s="402"/>
      <c r="BE277" s="402"/>
      <c r="BF277" s="402"/>
    </row>
    <row r="278" spans="1:58" ht="14.25" customHeight="1" x14ac:dyDescent="0.25">
      <c r="A278" s="637"/>
      <c r="B278" s="417"/>
      <c r="C278" s="173">
        <v>268</v>
      </c>
      <c r="D278" s="165"/>
      <c r="E278" s="174">
        <v>3.331798494724536E-3</v>
      </c>
      <c r="F278" s="502"/>
      <c r="G278" s="219">
        <f t="shared" si="26"/>
        <v>7.4980724069844911</v>
      </c>
      <c r="H278" s="249">
        <f>H277+(G277*E278*'life-tables-test'!$C$66)</f>
        <v>92.501927593015509</v>
      </c>
      <c r="I278" s="516">
        <f t="shared" si="24"/>
        <v>100</v>
      </c>
      <c r="J278" s="153">
        <f>(G278*0)/(1+cDR)^'Markov Model_SA1'!cycle</f>
        <v>0</v>
      </c>
      <c r="K278" s="178">
        <f t="shared" si="21"/>
        <v>7.4980724069844911</v>
      </c>
      <c r="L278" s="202">
        <f>(G278*(uPostT))/(1+oDR)^'Markov Model_SA1'!cycle</f>
        <v>2.9184283532279736</v>
      </c>
      <c r="M278" s="80"/>
      <c r="N278" s="3"/>
      <c r="O278" s="80"/>
      <c r="P278" s="173">
        <v>268</v>
      </c>
      <c r="Q278" s="165"/>
      <c r="R278" s="174">
        <v>3.331798494724536E-3</v>
      </c>
      <c r="S278" s="502"/>
      <c r="T278" s="219">
        <f t="shared" si="25"/>
        <v>7.0640706789940424</v>
      </c>
      <c r="U278" s="249">
        <f>U277+(T277*R278*'life-tables-test'!$C$66)</f>
        <v>92.935929321005958</v>
      </c>
      <c r="V278" s="516">
        <f t="shared" si="22"/>
        <v>100</v>
      </c>
      <c r="W278" s="153">
        <f>(T278*0)/(1+cDR)^'Markov Model_SA1'!cycle2</f>
        <v>0</v>
      </c>
      <c r="X278" s="178">
        <f t="shared" si="23"/>
        <v>7.0640706789940424</v>
      </c>
      <c r="Y278" s="202">
        <f>(T278*(uPostT))/(1+oDR)^'Markov Model_SA1'!cycle</f>
        <v>2.7495045446051849</v>
      </c>
      <c r="Z278" s="80"/>
      <c r="AA278" s="3"/>
      <c r="AB278" s="3"/>
      <c r="AC278" s="14">
        <v>266</v>
      </c>
      <c r="AD278" s="14"/>
      <c r="AE278" s="14"/>
      <c r="AF278" s="3"/>
      <c r="AG278" s="3"/>
      <c r="AH278" s="3"/>
      <c r="AI278" s="14"/>
      <c r="AJ278" s="14"/>
      <c r="AK278" s="3"/>
      <c r="AL278" s="3"/>
      <c r="AM278" s="3"/>
      <c r="AN278" s="3"/>
      <c r="AO278" s="3"/>
      <c r="AP278" s="3"/>
      <c r="AQ278" s="3"/>
      <c r="AR278" s="3"/>
      <c r="AS278" s="3"/>
      <c r="AT278" s="4"/>
      <c r="AU278" s="4"/>
      <c r="AV278" s="402"/>
      <c r="AW278" s="402"/>
      <c r="AX278" s="402"/>
      <c r="AY278" s="402"/>
      <c r="AZ278" s="402"/>
      <c r="BA278" s="402"/>
      <c r="BB278" s="402"/>
      <c r="BC278" s="402"/>
      <c r="BD278" s="402"/>
      <c r="BE278" s="402"/>
      <c r="BF278" s="402"/>
    </row>
    <row r="279" spans="1:58" ht="14.25" customHeight="1" x14ac:dyDescent="0.25">
      <c r="A279" s="637"/>
      <c r="B279" s="417"/>
      <c r="C279" s="173">
        <v>269</v>
      </c>
      <c r="D279" s="165"/>
      <c r="E279" s="174">
        <v>3.331798494724536E-3</v>
      </c>
      <c r="F279" s="502"/>
      <c r="G279" s="219">
        <f t="shared" si="26"/>
        <v>7.3731620751898532</v>
      </c>
      <c r="H279" s="249">
        <f>H278+(G278*E279*'life-tables-test'!$C$66)</f>
        <v>92.626837924810147</v>
      </c>
      <c r="I279" s="516">
        <f t="shared" si="24"/>
        <v>100</v>
      </c>
      <c r="J279" s="153">
        <f>(G279*0)/(1+cDR)^'Markov Model_SA1'!cycle</f>
        <v>0</v>
      </c>
      <c r="K279" s="178">
        <f t="shared" si="21"/>
        <v>7.3731620751898532</v>
      </c>
      <c r="L279" s="202">
        <f>(G279*(uPostT))/(1+oDR)^'Markov Model_SA1'!cycle</f>
        <v>2.8626536431488669</v>
      </c>
      <c r="M279" s="80"/>
      <c r="N279" s="3"/>
      <c r="O279" s="80"/>
      <c r="P279" s="173">
        <v>269</v>
      </c>
      <c r="Q279" s="165"/>
      <c r="R279" s="174">
        <v>3.331798494724536E-3</v>
      </c>
      <c r="S279" s="502"/>
      <c r="T279" s="219">
        <f t="shared" si="25"/>
        <v>6.946390378719542</v>
      </c>
      <c r="U279" s="249">
        <f>U278+(T278*R279*'life-tables-test'!$C$66)</f>
        <v>93.053609621280458</v>
      </c>
      <c r="V279" s="516">
        <f t="shared" si="22"/>
        <v>100</v>
      </c>
      <c r="W279" s="153">
        <f>(T279*0)/(1+cDR)^'Markov Model_SA1'!cycle2</f>
        <v>0</v>
      </c>
      <c r="X279" s="178">
        <f t="shared" si="23"/>
        <v>6.946390378719542</v>
      </c>
      <c r="Y279" s="202">
        <f>(T279*(uPostT))/(1+oDR)^'Markov Model_SA1'!cycle</f>
        <v>2.6969581736562747</v>
      </c>
      <c r="Z279" s="80"/>
      <c r="AA279" s="3"/>
      <c r="AB279" s="3"/>
      <c r="AC279" s="14">
        <v>267</v>
      </c>
      <c r="AD279" s="14"/>
      <c r="AE279" s="14"/>
      <c r="AF279" s="3"/>
      <c r="AG279" s="3"/>
      <c r="AH279" s="3"/>
      <c r="AI279" s="14"/>
      <c r="AJ279" s="14"/>
      <c r="AK279" s="3"/>
      <c r="AL279" s="3"/>
      <c r="AM279" s="3"/>
      <c r="AN279" s="3"/>
      <c r="AO279" s="3"/>
      <c r="AP279" s="3"/>
      <c r="AQ279" s="3"/>
      <c r="AR279" s="3"/>
      <c r="AS279" s="3"/>
      <c r="AT279" s="4"/>
      <c r="AU279" s="4"/>
      <c r="AV279" s="402"/>
      <c r="AW279" s="402"/>
      <c r="AX279" s="402"/>
      <c r="AY279" s="402"/>
      <c r="AZ279" s="402"/>
      <c r="BA279" s="402"/>
      <c r="BB279" s="402"/>
      <c r="BC279" s="402"/>
      <c r="BD279" s="402"/>
      <c r="BE279" s="402"/>
      <c r="BF279" s="402"/>
    </row>
    <row r="280" spans="1:58" ht="14.25" customHeight="1" x14ac:dyDescent="0.25">
      <c r="A280" s="637"/>
      <c r="B280" s="417"/>
      <c r="C280" s="173">
        <v>270</v>
      </c>
      <c r="D280" s="165"/>
      <c r="E280" s="174">
        <v>3.331798494724536E-3</v>
      </c>
      <c r="F280" s="502"/>
      <c r="G280" s="219">
        <f t="shared" si="26"/>
        <v>7.2503326236724632</v>
      </c>
      <c r="H280" s="249">
        <f>H279+(G279*E280*'life-tables-test'!$C$66)</f>
        <v>92.749667376327537</v>
      </c>
      <c r="I280" s="516">
        <f t="shared" si="24"/>
        <v>100</v>
      </c>
      <c r="J280" s="153">
        <f>(G280*0)/(1+cDR)^'Markov Model_SA1'!cycle</f>
        <v>0</v>
      </c>
      <c r="K280" s="178">
        <f t="shared" si="21"/>
        <v>7.2503326236724632</v>
      </c>
      <c r="L280" s="202">
        <f>(G280*(uPostT))/(1+oDR)^'Markov Model_SA1'!cycle</f>
        <v>2.8079448555142763</v>
      </c>
      <c r="M280" s="80"/>
      <c r="N280" s="3"/>
      <c r="O280" s="80"/>
      <c r="P280" s="173">
        <v>270</v>
      </c>
      <c r="Q280" s="165"/>
      <c r="R280" s="174">
        <v>3.331798494724536E-3</v>
      </c>
      <c r="S280" s="502"/>
      <c r="T280" s="219">
        <f t="shared" si="25"/>
        <v>6.8306705136816106</v>
      </c>
      <c r="U280" s="249">
        <f>U279+(T279*R280*'life-tables-test'!$C$66)</f>
        <v>93.169329486318389</v>
      </c>
      <c r="V280" s="516">
        <f t="shared" si="22"/>
        <v>100</v>
      </c>
      <c r="W280" s="153">
        <f>(T280*0)/(1+cDR)^'Markov Model_SA1'!cycle2</f>
        <v>0</v>
      </c>
      <c r="X280" s="178">
        <f t="shared" si="23"/>
        <v>6.8306705136816106</v>
      </c>
      <c r="Y280" s="202">
        <f>(T280*(uPostT))/(1+oDR)^'Markov Model_SA1'!cycle</f>
        <v>2.6454160276704854</v>
      </c>
      <c r="Z280" s="80"/>
      <c r="AA280" s="3"/>
      <c r="AB280" s="3"/>
      <c r="AC280" s="14">
        <v>268</v>
      </c>
      <c r="AD280" s="14"/>
      <c r="AE280" s="14"/>
      <c r="AF280" s="3"/>
      <c r="AG280" s="3"/>
      <c r="AH280" s="3"/>
      <c r="AI280" s="14"/>
      <c r="AJ280" s="14"/>
      <c r="AK280" s="3"/>
      <c r="AL280" s="3"/>
      <c r="AM280" s="3"/>
      <c r="AN280" s="3"/>
      <c r="AO280" s="3"/>
      <c r="AP280" s="3"/>
      <c r="AQ280" s="3"/>
      <c r="AR280" s="3"/>
      <c r="AS280" s="3"/>
      <c r="AT280" s="4"/>
      <c r="AU280" s="4"/>
      <c r="AV280" s="402"/>
      <c r="AW280" s="402"/>
      <c r="AX280" s="402"/>
      <c r="AY280" s="402"/>
      <c r="AZ280" s="402"/>
      <c r="BA280" s="402"/>
      <c r="BB280" s="402"/>
      <c r="BC280" s="402"/>
      <c r="BD280" s="402"/>
      <c r="BE280" s="402"/>
      <c r="BF280" s="402"/>
    </row>
    <row r="281" spans="1:58" ht="14.25" customHeight="1" x14ac:dyDescent="0.25">
      <c r="A281" s="637"/>
      <c r="B281" s="417"/>
      <c r="C281" s="173">
        <v>271</v>
      </c>
      <c r="D281" s="165"/>
      <c r="E281" s="174">
        <v>3.331798494724536E-3</v>
      </c>
      <c r="F281" s="502"/>
      <c r="G281" s="219">
        <f t="shared" si="26"/>
        <v>7.1295493870634488</v>
      </c>
      <c r="H281" s="249">
        <f>H280+(G280*E281*'life-tables-test'!$C$66)</f>
        <v>92.870450612936551</v>
      </c>
      <c r="I281" s="516">
        <f t="shared" si="24"/>
        <v>100</v>
      </c>
      <c r="J281" s="153">
        <f>(G281*0)/(1+cDR)^'Markov Model_SA1'!cycle</f>
        <v>0</v>
      </c>
      <c r="K281" s="178">
        <f t="shared" si="21"/>
        <v>7.1295493870634488</v>
      </c>
      <c r="L281" s="202">
        <f>(G281*(uPostT))/(1+oDR)^'Markov Model_SA1'!cycle</f>
        <v>2.7542816192517892</v>
      </c>
      <c r="M281" s="80"/>
      <c r="N281" s="3"/>
      <c r="O281" s="80"/>
      <c r="P281" s="173">
        <v>271</v>
      </c>
      <c r="Q281" s="165"/>
      <c r="R281" s="174">
        <v>3.331798494724536E-3</v>
      </c>
      <c r="S281" s="502"/>
      <c r="T281" s="219">
        <f t="shared" si="25"/>
        <v>6.7168784250043956</v>
      </c>
      <c r="U281" s="249">
        <f>U280+(T280*R281*'life-tables-test'!$C$66)</f>
        <v>93.283121574995604</v>
      </c>
      <c r="V281" s="516">
        <f t="shared" si="22"/>
        <v>100</v>
      </c>
      <c r="W281" s="153">
        <f>(T281*0)/(1+cDR)^'Markov Model_SA1'!cycle2</f>
        <v>0</v>
      </c>
      <c r="X281" s="178">
        <f t="shared" si="23"/>
        <v>6.7168784250043956</v>
      </c>
      <c r="Y281" s="202">
        <f>(T281*(uPostT))/(1+oDR)^'Markov Model_SA1'!cycle</f>
        <v>2.5948589146892003</v>
      </c>
      <c r="Z281" s="80"/>
      <c r="AA281" s="3"/>
      <c r="AB281" s="3"/>
      <c r="AC281" s="14">
        <v>269</v>
      </c>
      <c r="AD281" s="14"/>
      <c r="AE281" s="14"/>
      <c r="AF281" s="3"/>
      <c r="AG281" s="3"/>
      <c r="AH281" s="3"/>
      <c r="AI281" s="14"/>
      <c r="AJ281" s="14"/>
      <c r="AK281" s="3"/>
      <c r="AL281" s="3"/>
      <c r="AM281" s="3"/>
      <c r="AN281" s="3"/>
      <c r="AO281" s="3"/>
      <c r="AP281" s="3"/>
      <c r="AQ281" s="3"/>
      <c r="AR281" s="3"/>
      <c r="AS281" s="3"/>
      <c r="AT281" s="4"/>
      <c r="AU281" s="4"/>
      <c r="AV281" s="402"/>
      <c r="AW281" s="402"/>
      <c r="AX281" s="402"/>
      <c r="AY281" s="402"/>
      <c r="AZ281" s="402"/>
      <c r="BA281" s="402"/>
      <c r="BB281" s="402"/>
      <c r="BC281" s="402"/>
      <c r="BD281" s="402"/>
      <c r="BE281" s="402"/>
      <c r="BF281" s="402"/>
    </row>
    <row r="282" spans="1:58" ht="14.25" customHeight="1" x14ac:dyDescent="0.25">
      <c r="A282" s="637"/>
      <c r="B282" s="417"/>
      <c r="C282" s="173">
        <v>272</v>
      </c>
      <c r="D282" s="165"/>
      <c r="E282" s="174">
        <v>3.331798494724536E-3</v>
      </c>
      <c r="F282" s="502"/>
      <c r="G282" s="219">
        <f t="shared" si="26"/>
        <v>7.0107782774840359</v>
      </c>
      <c r="H282" s="249">
        <f>H281+(G281*E282*'life-tables-test'!$C$66)</f>
        <v>92.989221722515964</v>
      </c>
      <c r="I282" s="516">
        <f t="shared" si="24"/>
        <v>100</v>
      </c>
      <c r="J282" s="153">
        <f>(G282*0)/(1+cDR)^'Markov Model_SA1'!cycle</f>
        <v>0</v>
      </c>
      <c r="K282" s="178">
        <f t="shared" si="21"/>
        <v>7.0107782774840359</v>
      </c>
      <c r="L282" s="202">
        <f>(G282*(uPostT))/(1+oDR)^'Markov Model_SA1'!cycle</f>
        <v>2.7016439526049232</v>
      </c>
      <c r="M282" s="80"/>
      <c r="N282" s="3"/>
      <c r="O282" s="80"/>
      <c r="P282" s="173">
        <v>272</v>
      </c>
      <c r="Q282" s="165"/>
      <c r="R282" s="174">
        <v>3.331798494724536E-3</v>
      </c>
      <c r="S282" s="502"/>
      <c r="T282" s="219">
        <f t="shared" si="25"/>
        <v>6.6049819978760098</v>
      </c>
      <c r="U282" s="249">
        <f>U281+(T281*R282*'life-tables-test'!$C$66)</f>
        <v>93.39501800212399</v>
      </c>
      <c r="V282" s="516">
        <f t="shared" si="22"/>
        <v>100</v>
      </c>
      <c r="W282" s="153">
        <f>(T282*0)/(1+cDR)^'Markov Model_SA1'!cycle2</f>
        <v>0</v>
      </c>
      <c r="X282" s="178">
        <f t="shared" si="23"/>
        <v>6.6049819978760098</v>
      </c>
      <c r="Y282" s="202">
        <f>(T282*(uPostT))/(1+oDR)^'Markov Model_SA1'!cycle</f>
        <v>2.5452680095354419</v>
      </c>
      <c r="Z282" s="80"/>
      <c r="AA282" s="3"/>
      <c r="AB282" s="3"/>
      <c r="AC282" s="14">
        <v>270</v>
      </c>
      <c r="AD282" s="14"/>
      <c r="AE282" s="14"/>
      <c r="AF282" s="3"/>
      <c r="AG282" s="3"/>
      <c r="AH282" s="3"/>
      <c r="AI282" s="14"/>
      <c r="AJ282" s="14"/>
      <c r="AK282" s="3"/>
      <c r="AL282" s="3"/>
      <c r="AM282" s="3"/>
      <c r="AN282" s="3"/>
      <c r="AO282" s="3"/>
      <c r="AP282" s="3"/>
      <c r="AQ282" s="3"/>
      <c r="AR282" s="3"/>
      <c r="AS282" s="3"/>
      <c r="AT282" s="4"/>
      <c r="AU282" s="4"/>
      <c r="AV282" s="402"/>
      <c r="AW282" s="402"/>
      <c r="AX282" s="402"/>
      <c r="AY282" s="402"/>
      <c r="AZ282" s="402"/>
      <c r="BA282" s="402"/>
      <c r="BB282" s="402"/>
      <c r="BC282" s="402"/>
      <c r="BD282" s="402"/>
      <c r="BE282" s="402"/>
      <c r="BF282" s="402"/>
    </row>
    <row r="283" spans="1:58" ht="14.25" customHeight="1" x14ac:dyDescent="0.2">
      <c r="A283" s="637"/>
      <c r="B283" s="417"/>
      <c r="C283" s="173">
        <v>273</v>
      </c>
      <c r="D283" s="165"/>
      <c r="E283" s="174">
        <v>3.331798494724536E-3</v>
      </c>
      <c r="F283" s="502"/>
      <c r="G283" s="219">
        <f t="shared" si="26"/>
        <v>6.8939857749251985</v>
      </c>
      <c r="H283" s="249">
        <f>H282+(G282*E283*'life-tables-test'!$C$66)</f>
        <v>93.106014225074802</v>
      </c>
      <c r="I283" s="516">
        <f t="shared" si="24"/>
        <v>100</v>
      </c>
      <c r="J283" s="153">
        <f>(G283*0)/(1+cDR)^'Markov Model_SA1'!cycle</f>
        <v>0</v>
      </c>
      <c r="K283" s="178">
        <f t="shared" si="21"/>
        <v>6.8939857749251985</v>
      </c>
      <c r="L283" s="202">
        <f>(G283*(uPostT))/(1+oDR)^'Markov Model_SA1'!cycle</f>
        <v>2.6500122556928405</v>
      </c>
      <c r="M283" s="80"/>
      <c r="N283" s="3"/>
      <c r="O283" s="80"/>
      <c r="P283" s="173">
        <v>273</v>
      </c>
      <c r="Q283" s="165"/>
      <c r="R283" s="174">
        <v>3.331798494724536E-3</v>
      </c>
      <c r="S283" s="502"/>
      <c r="T283" s="219">
        <f t="shared" si="25"/>
        <v>6.4949496524849764</v>
      </c>
      <c r="U283" s="249">
        <f>U282+(T282*R283*'life-tables-test'!$C$66)</f>
        <v>93.505050347515024</v>
      </c>
      <c r="V283" s="516">
        <f t="shared" si="22"/>
        <v>100</v>
      </c>
      <c r="W283" s="153">
        <f>(T283*0)/(1+cDR)^'Markov Model_SA1'!cycle2</f>
        <v>0</v>
      </c>
      <c r="X283" s="178">
        <f t="shared" si="23"/>
        <v>6.4949496524849764</v>
      </c>
      <c r="Y283" s="202">
        <f>(T283*(uPostT))/(1+oDR)^'Markov Model_SA1'!cycle</f>
        <v>2.4966248468042269</v>
      </c>
      <c r="Z283" s="80"/>
      <c r="AA283" s="3"/>
      <c r="AB283" s="3"/>
      <c r="AC283" s="14">
        <v>271</v>
      </c>
      <c r="AD283" s="14"/>
      <c r="AE283" s="14"/>
      <c r="AF283" s="3"/>
      <c r="AG283" s="3"/>
      <c r="AH283" s="3"/>
      <c r="AI283" s="14"/>
      <c r="AJ283" s="14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</row>
    <row r="284" spans="1:58" ht="14.25" customHeight="1" x14ac:dyDescent="0.2">
      <c r="A284" s="637"/>
      <c r="B284" s="417"/>
      <c r="C284" s="173">
        <v>274</v>
      </c>
      <c r="D284" s="165"/>
      <c r="E284" s="174">
        <v>3.331798494724536E-3</v>
      </c>
      <c r="F284" s="502"/>
      <c r="G284" s="219">
        <f t="shared" si="26"/>
        <v>6.7791389177874635</v>
      </c>
      <c r="H284" s="249">
        <f>H283+(G283*E284*'life-tables-test'!$C$66)</f>
        <v>93.220861082212537</v>
      </c>
      <c r="I284" s="516">
        <f t="shared" si="24"/>
        <v>100</v>
      </c>
      <c r="J284" s="153">
        <f>(G284*0)/(1+cDR)^'Markov Model_SA1'!cycle</f>
        <v>0</v>
      </c>
      <c r="K284" s="178">
        <f t="shared" si="21"/>
        <v>6.7791389177874635</v>
      </c>
      <c r="L284" s="202">
        <f>(G284*(uPostT))/(1+oDR)^'Markov Model_SA1'!cycle</f>
        <v>2.5993673032122167</v>
      </c>
      <c r="M284" s="80"/>
      <c r="N284" s="3"/>
      <c r="O284" s="80"/>
      <c r="P284" s="173">
        <v>274</v>
      </c>
      <c r="Q284" s="165"/>
      <c r="R284" s="174">
        <v>3.331798494724536E-3</v>
      </c>
      <c r="S284" s="502"/>
      <c r="T284" s="219">
        <f t="shared" si="25"/>
        <v>6.3867503351076778</v>
      </c>
      <c r="U284" s="249">
        <f>U283+(T283*R284*'life-tables-test'!$C$66)</f>
        <v>93.613249664892322</v>
      </c>
      <c r="V284" s="516">
        <f t="shared" si="22"/>
        <v>100</v>
      </c>
      <c r="W284" s="153">
        <f>(T284*0)/(1+cDR)^'Markov Model_SA1'!cycle2</f>
        <v>0</v>
      </c>
      <c r="X284" s="178">
        <f t="shared" si="23"/>
        <v>6.3867503351076778</v>
      </c>
      <c r="Y284" s="202">
        <f>(T284*(uPostT))/(1+oDR)^'Markov Model_SA1'!cycle</f>
        <v>2.4489113139868905</v>
      </c>
      <c r="Z284" s="80"/>
      <c r="AA284" s="3"/>
      <c r="AB284" s="3"/>
      <c r="AC284" s="14">
        <v>272</v>
      </c>
      <c r="AD284" s="14"/>
      <c r="AE284" s="14"/>
      <c r="AF284" s="3"/>
      <c r="AG284" s="3"/>
      <c r="AH284" s="3"/>
      <c r="AI284" s="14"/>
      <c r="AJ284" s="14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</row>
    <row r="285" spans="1:58" ht="14.25" customHeight="1" x14ac:dyDescent="0.2">
      <c r="A285" s="637"/>
      <c r="B285" s="417"/>
      <c r="C285" s="173">
        <v>275</v>
      </c>
      <c r="D285" s="165"/>
      <c r="E285" s="174">
        <v>3.331798494724536E-3</v>
      </c>
      <c r="F285" s="502"/>
      <c r="G285" s="219">
        <f t="shared" si="26"/>
        <v>6.6662052935784004</v>
      </c>
      <c r="H285" s="249">
        <f>H284+(G284*E285*'life-tables-test'!$C$66)</f>
        <v>93.3337947064216</v>
      </c>
      <c r="I285" s="516">
        <f t="shared" si="24"/>
        <v>100</v>
      </c>
      <c r="J285" s="153">
        <f>(G285*0)/(1+cDR)^'Markov Model_SA1'!cycle</f>
        <v>0</v>
      </c>
      <c r="K285" s="178">
        <f t="shared" si="21"/>
        <v>6.6662052935784004</v>
      </c>
      <c r="L285" s="202">
        <f>(G285*(uPostT))/(1+oDR)^'Markov Model_SA1'!cycle</f>
        <v>2.5496902372786279</v>
      </c>
      <c r="M285" s="80"/>
      <c r="N285" s="3"/>
      <c r="O285" s="80"/>
      <c r="P285" s="173">
        <v>275</v>
      </c>
      <c r="Q285" s="165"/>
      <c r="R285" s="174">
        <v>3.331798494724536E-3</v>
      </c>
      <c r="S285" s="502"/>
      <c r="T285" s="219">
        <f t="shared" si="25"/>
        <v>6.2803535093442093</v>
      </c>
      <c r="U285" s="249">
        <f>U284+(T284*R285*'life-tables-test'!$C$66)</f>
        <v>93.719646490655791</v>
      </c>
      <c r="V285" s="516">
        <f t="shared" si="22"/>
        <v>100</v>
      </c>
      <c r="W285" s="153">
        <f>(T285*0)/(1+cDR)^'Markov Model_SA1'!cycle2</f>
        <v>0</v>
      </c>
      <c r="X285" s="178">
        <f t="shared" si="23"/>
        <v>6.2803535093442093</v>
      </c>
      <c r="Y285" s="202">
        <f>(T285*(uPostT))/(1+oDR)^'Markov Model_SA1'!cycle</f>
        <v>2.4021096447267967</v>
      </c>
      <c r="Z285" s="80"/>
      <c r="AA285" s="3"/>
      <c r="AB285" s="3"/>
      <c r="AC285" s="14">
        <v>273</v>
      </c>
      <c r="AD285" s="14"/>
      <c r="AE285" s="14"/>
      <c r="AF285" s="3"/>
      <c r="AG285" s="3"/>
      <c r="AH285" s="3"/>
      <c r="AI285" s="14"/>
      <c r="AJ285" s="14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</row>
    <row r="286" spans="1:58" ht="14.25" customHeight="1" x14ac:dyDescent="0.2">
      <c r="A286" s="637"/>
      <c r="B286" s="417"/>
      <c r="C286" s="173">
        <v>276</v>
      </c>
      <c r="D286" s="165"/>
      <c r="E286" s="174">
        <v>3.331798494724536E-3</v>
      </c>
      <c r="F286" s="502"/>
      <c r="G286" s="219">
        <f t="shared" si="26"/>
        <v>6.5551530297650515</v>
      </c>
      <c r="H286" s="249">
        <f>H285+(G285*E286*'life-tables-test'!$C$66)</f>
        <v>93.444846970234948</v>
      </c>
      <c r="I286" s="516">
        <f t="shared" si="24"/>
        <v>100</v>
      </c>
      <c r="J286" s="153">
        <f>(G286*0)/(1+cDR)^'Markov Model_SA1'!cycle</f>
        <v>0</v>
      </c>
      <c r="K286" s="178">
        <f t="shared" si="21"/>
        <v>6.5551530297650515</v>
      </c>
      <c r="L286" s="202">
        <f>(G286*(uPostT))/(1+oDR)^'Markov Model_SA1'!cycle</f>
        <v>2.5009625604047208</v>
      </c>
      <c r="M286" s="80"/>
      <c r="N286" s="3"/>
      <c r="O286" s="80"/>
      <c r="P286" s="173">
        <v>276</v>
      </c>
      <c r="Q286" s="165"/>
      <c r="R286" s="174">
        <v>3.331798494724536E-3</v>
      </c>
      <c r="S286" s="502"/>
      <c r="T286" s="219">
        <f t="shared" si="25"/>
        <v>6.1757291475003484</v>
      </c>
      <c r="U286" s="249">
        <f>U285+(T285*R286*'life-tables-test'!$C$66)</f>
        <v>93.824270852499652</v>
      </c>
      <c r="V286" s="516">
        <f t="shared" si="22"/>
        <v>100</v>
      </c>
      <c r="W286" s="153">
        <f>(T286*0)/(1+cDR)^'Markov Model_SA1'!cycle2</f>
        <v>0</v>
      </c>
      <c r="X286" s="178">
        <f t="shared" si="23"/>
        <v>6.1757291475003484</v>
      </c>
      <c r="Y286" s="202">
        <f>(T286*(uPostT))/(1+oDR)^'Markov Model_SA1'!cycle</f>
        <v>2.3562024122039635</v>
      </c>
      <c r="Z286" s="80"/>
      <c r="AA286" s="3"/>
      <c r="AB286" s="3"/>
      <c r="AC286" s="14">
        <v>274</v>
      </c>
      <c r="AD286" s="14"/>
      <c r="AE286" s="14"/>
      <c r="AF286" s="3"/>
      <c r="AG286" s="3"/>
      <c r="AH286" s="3"/>
      <c r="AI286" s="14"/>
      <c r="AJ286" s="14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</row>
    <row r="287" spans="1:58" ht="14.25" customHeight="1" x14ac:dyDescent="0.2">
      <c r="A287" s="606"/>
      <c r="B287" s="417"/>
      <c r="C287" s="173">
        <v>277</v>
      </c>
      <c r="D287" s="504"/>
      <c r="E287" s="174">
        <v>3.331798494724536E-3</v>
      </c>
      <c r="F287" s="505"/>
      <c r="G287" s="219">
        <f t="shared" si="26"/>
        <v>6.4459507847787449</v>
      </c>
      <c r="H287" s="249">
        <f>H286+(G286*E287*'life-tables-test'!$C$66)</f>
        <v>93.554049215221255</v>
      </c>
      <c r="I287" s="516">
        <f t="shared" si="24"/>
        <v>100</v>
      </c>
      <c r="J287" s="180">
        <f>(G287*0)/(1+cDR)^'Markov Model_SA1'!cycle</f>
        <v>0</v>
      </c>
      <c r="K287" s="176">
        <f t="shared" si="21"/>
        <v>6.4459507847787449</v>
      </c>
      <c r="L287" s="202">
        <f>(G287*(uPostT))/(1+oDR)^'Markov Model_SA1'!cycle</f>
        <v>2.453166128612593</v>
      </c>
      <c r="M287" s="80"/>
      <c r="N287" s="3"/>
      <c r="O287" s="80"/>
      <c r="P287" s="173">
        <v>277</v>
      </c>
      <c r="Q287" s="504"/>
      <c r="R287" s="174">
        <v>3.331798494724536E-3</v>
      </c>
      <c r="S287" s="505"/>
      <c r="T287" s="219">
        <f t="shared" si="25"/>
        <v>6.0728477221130106</v>
      </c>
      <c r="U287" s="249">
        <f>U286+(T286*R287*'life-tables-test'!$C$66)</f>
        <v>93.927152277886989</v>
      </c>
      <c r="V287" s="516">
        <f t="shared" si="22"/>
        <v>100</v>
      </c>
      <c r="W287" s="180">
        <f>(T287*0)/(1+cDR)^'Markov Model_SA1'!cycle2</f>
        <v>0</v>
      </c>
      <c r="X287" s="176">
        <f t="shared" si="23"/>
        <v>6.0728477221130106</v>
      </c>
      <c r="Y287" s="202">
        <f>(T287*(uPostT))/(1+oDR)^'Markov Model_SA1'!cycle</f>
        <v>2.3111725226461122</v>
      </c>
      <c r="Z287" s="80"/>
      <c r="AA287" s="3"/>
      <c r="AB287" s="3"/>
      <c r="AC287" s="14">
        <v>275</v>
      </c>
      <c r="AD287" s="14"/>
      <c r="AE287" s="14"/>
      <c r="AF287" s="3"/>
      <c r="AG287" s="3"/>
      <c r="AH287" s="3"/>
      <c r="AI287" s="14"/>
      <c r="AJ287" s="14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</row>
    <row r="288" spans="1:58" ht="14.25" customHeight="1" x14ac:dyDescent="0.25">
      <c r="A288" s="3">
        <v>25</v>
      </c>
      <c r="B288" s="417"/>
      <c r="C288" s="506">
        <v>278</v>
      </c>
      <c r="D288" s="506"/>
      <c r="E288" s="507">
        <v>3.331798494724536E-3</v>
      </c>
      <c r="F288" s="508"/>
      <c r="G288" s="509">
        <f t="shared" si="26"/>
        <v>6.3385677391697755</v>
      </c>
      <c r="H288" s="510">
        <f>H287+(G287*E288*'life-tables-test'!$C$66)</f>
        <v>93.661432260830225</v>
      </c>
      <c r="I288" s="518">
        <f t="shared" si="24"/>
        <v>100</v>
      </c>
      <c r="J288" s="511">
        <f>(G288*0)/(1+cDR)^'Markov Model_SA1'!cycle</f>
        <v>0</v>
      </c>
      <c r="K288" s="512">
        <f t="shared" si="21"/>
        <v>6.3385677391697755</v>
      </c>
      <c r="L288" s="513">
        <f>(G288*(uPostT))/(1+oDR)^'Markov Model_SA1'!cycle</f>
        <v>2.4062831446777966</v>
      </c>
      <c r="M288" s="80"/>
      <c r="N288" s="3"/>
      <c r="O288" s="80"/>
      <c r="P288" s="506">
        <v>278</v>
      </c>
      <c r="Q288" s="506"/>
      <c r="R288" s="507">
        <v>3.331798494724536E-3</v>
      </c>
      <c r="S288" s="508"/>
      <c r="T288" s="509">
        <f t="shared" si="25"/>
        <v>5.9716801976168767</v>
      </c>
      <c r="U288" s="510">
        <f>U287+(T287*R288*'life-tables-test'!$C$66)</f>
        <v>94.028319802383123</v>
      </c>
      <c r="V288" s="518">
        <f t="shared" si="22"/>
        <v>100</v>
      </c>
      <c r="W288" s="511">
        <f>(T288*0)/(1+cDR)^'Markov Model_SA1'!cycle2</f>
        <v>0</v>
      </c>
      <c r="X288" s="512">
        <f t="shared" si="23"/>
        <v>5.9716801976168767</v>
      </c>
      <c r="Y288" s="513">
        <f>(T288*(uPostT))/(1+oDR)^'Markov Model_SA1'!cycle</f>
        <v>2.2670032089637</v>
      </c>
      <c r="Z288" s="80"/>
      <c r="AA288" s="3"/>
      <c r="AB288" s="3"/>
      <c r="AC288" s="14">
        <v>276</v>
      </c>
      <c r="AD288" s="14"/>
      <c r="AE288" s="14"/>
      <c r="AF288" s="3"/>
      <c r="AG288" s="3"/>
      <c r="AH288" s="3"/>
      <c r="AI288" s="14"/>
      <c r="AJ288" s="14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</row>
    <row r="289" spans="1:47" ht="14.25" customHeight="1" x14ac:dyDescent="0.2">
      <c r="A289" s="3"/>
      <c r="B289" s="417"/>
      <c r="C289" s="173">
        <v>279</v>
      </c>
      <c r="D289" s="165"/>
      <c r="E289" s="174">
        <v>3.6900607789041029E-3</v>
      </c>
      <c r="F289" s="502"/>
      <c r="G289" s="219">
        <f t="shared" si="26"/>
        <v>6.2216192381260953</v>
      </c>
      <c r="H289" s="249">
        <f>H288+(G288*E289*'life-tables-test'!$C$66)</f>
        <v>93.778380761873905</v>
      </c>
      <c r="I289" s="516">
        <f t="shared" si="24"/>
        <v>100</v>
      </c>
      <c r="J289" s="153">
        <f>(G289*0)/(1+cDR)^'Markov Model_SA1'!cycle</f>
        <v>0</v>
      </c>
      <c r="K289" s="178">
        <f t="shared" si="21"/>
        <v>6.2216192381260953</v>
      </c>
      <c r="L289" s="202">
        <f>(G289*(uPostT))/(1+oDR)^'Markov Model_SA1'!cycle</f>
        <v>2.3559964981568391</v>
      </c>
      <c r="M289" s="80"/>
      <c r="N289" s="3"/>
      <c r="O289" s="80"/>
      <c r="P289" s="173">
        <v>279</v>
      </c>
      <c r="Q289" s="165"/>
      <c r="R289" s="174">
        <v>3.6900607789041029E-3</v>
      </c>
      <c r="S289" s="502"/>
      <c r="T289" s="219">
        <f t="shared" si="25"/>
        <v>5.8615008832099562</v>
      </c>
      <c r="U289" s="249">
        <f>U288+(T288*R289*'life-tables-test'!$C$66)</f>
        <v>94.138499116790044</v>
      </c>
      <c r="V289" s="516">
        <f t="shared" si="22"/>
        <v>100</v>
      </c>
      <c r="W289" s="153">
        <f>(T289*0)/(1+cDR)^'Markov Model_SA1'!cycle2</f>
        <v>0</v>
      </c>
      <c r="X289" s="178">
        <f t="shared" si="23"/>
        <v>5.8615008832099562</v>
      </c>
      <c r="Y289" s="202">
        <f>(T289*(uPostT))/(1+oDR)^'Markov Model_SA1'!cycle</f>
        <v>2.2196272427216628</v>
      </c>
      <c r="Z289" s="80"/>
      <c r="AA289" s="3"/>
      <c r="AB289" s="3"/>
      <c r="AC289" s="14">
        <v>277</v>
      </c>
      <c r="AD289" s="14"/>
      <c r="AE289" s="14"/>
      <c r="AF289" s="3"/>
      <c r="AG289" s="3"/>
      <c r="AH289" s="3"/>
      <c r="AI289" s="14"/>
      <c r="AJ289" s="14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</row>
    <row r="290" spans="1:47" ht="14.25" customHeight="1" x14ac:dyDescent="0.2">
      <c r="A290" s="3"/>
      <c r="B290" s="417"/>
      <c r="C290" s="173">
        <v>280</v>
      </c>
      <c r="D290" s="165"/>
      <c r="E290" s="174">
        <v>3.6900607789041029E-3</v>
      </c>
      <c r="F290" s="502"/>
      <c r="G290" s="219">
        <f t="shared" si="26"/>
        <v>6.1068284724666739</v>
      </c>
      <c r="H290" s="249">
        <f>H289+(G289*E290*'life-tables-test'!$C$66)</f>
        <v>93.893171527533326</v>
      </c>
      <c r="I290" s="516">
        <f t="shared" si="24"/>
        <v>100</v>
      </c>
      <c r="J290" s="153">
        <f>(G290*0)/(1+cDR)^'Markov Model_SA1'!cycle</f>
        <v>0</v>
      </c>
      <c r="K290" s="178">
        <f t="shared" si="21"/>
        <v>6.1068284724666739</v>
      </c>
      <c r="L290" s="202">
        <f>(G290*(uPostT))/(1+oDR)^'Markov Model_SA1'!cycle</f>
        <v>2.3067607449290963</v>
      </c>
      <c r="M290" s="80"/>
      <c r="N290" s="3"/>
      <c r="O290" s="80"/>
      <c r="P290" s="173">
        <v>280</v>
      </c>
      <c r="Q290" s="165"/>
      <c r="R290" s="174">
        <v>3.6900607789041029E-3</v>
      </c>
      <c r="S290" s="502"/>
      <c r="T290" s="219">
        <f t="shared" si="25"/>
        <v>5.7533544106367316</v>
      </c>
      <c r="U290" s="249">
        <f>U289+(T289*R290*'life-tables-test'!$C$66)</f>
        <v>94.246645589363268</v>
      </c>
      <c r="V290" s="516">
        <f t="shared" si="22"/>
        <v>100</v>
      </c>
      <c r="W290" s="153">
        <f>(T290*0)/(1+cDR)^'Markov Model_SA1'!cycle2</f>
        <v>0</v>
      </c>
      <c r="X290" s="178">
        <f t="shared" si="23"/>
        <v>5.7533544106367316</v>
      </c>
      <c r="Y290" s="202">
        <f>(T290*(uPostT))/(1+oDR)^'Markov Model_SA1'!cycle</f>
        <v>2.1732413422053778</v>
      </c>
      <c r="Z290" s="80"/>
      <c r="AA290" s="3"/>
      <c r="AB290" s="3"/>
      <c r="AC290" s="14">
        <v>278</v>
      </c>
      <c r="AD290" s="14"/>
      <c r="AE290" s="14"/>
      <c r="AF290" s="3"/>
      <c r="AG290" s="3"/>
      <c r="AH290" s="3"/>
      <c r="AI290" s="14"/>
      <c r="AJ290" s="14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</row>
    <row r="291" spans="1:47" ht="14.25" customHeight="1" x14ac:dyDescent="0.2">
      <c r="A291" s="3"/>
      <c r="B291" s="417"/>
      <c r="C291" s="173">
        <v>281</v>
      </c>
      <c r="D291" s="165"/>
      <c r="E291" s="174">
        <v>3.6900607789041029E-3</v>
      </c>
      <c r="F291" s="502"/>
      <c r="G291" s="219">
        <f t="shared" si="26"/>
        <v>5.9941556313179518</v>
      </c>
      <c r="H291" s="249">
        <f>H290+(G290*E291*'life-tables-test'!$C$66)</f>
        <v>94.005844368682048</v>
      </c>
      <c r="I291" s="516">
        <f t="shared" si="24"/>
        <v>100</v>
      </c>
      <c r="J291" s="153">
        <f>(G291*0)/(1+cDR)^'Markov Model_SA1'!cycle</f>
        <v>0</v>
      </c>
      <c r="K291" s="178">
        <f t="shared" si="21"/>
        <v>5.9941556313179518</v>
      </c>
      <c r="L291" s="202">
        <f>(G291*(uPostT))/(1+oDR)^'Markov Model_SA1'!cycle</f>
        <v>2.2585539233647918</v>
      </c>
      <c r="M291" s="80"/>
      <c r="N291" s="3"/>
      <c r="O291" s="80"/>
      <c r="P291" s="173">
        <v>281</v>
      </c>
      <c r="Q291" s="165"/>
      <c r="R291" s="174">
        <v>3.6900607789041029E-3</v>
      </c>
      <c r="S291" s="502"/>
      <c r="T291" s="219">
        <f t="shared" si="25"/>
        <v>5.6472032733475999</v>
      </c>
      <c r="U291" s="249">
        <f>U290+(T290*R291*'life-tables-test'!$C$66)</f>
        <v>94.3527967266524</v>
      </c>
      <c r="V291" s="516">
        <f t="shared" si="22"/>
        <v>100</v>
      </c>
      <c r="W291" s="153">
        <f>(T291*0)/(1+cDR)^'Markov Model_SA1'!cycle2</f>
        <v>0</v>
      </c>
      <c r="X291" s="178">
        <f t="shared" si="23"/>
        <v>5.6472032733475999</v>
      </c>
      <c r="Y291" s="202">
        <f>(T291*(uPostT))/(1+oDR)^'Markov Model_SA1'!cycle</f>
        <v>2.1278248169631433</v>
      </c>
      <c r="Z291" s="80"/>
      <c r="AA291" s="3"/>
      <c r="AB291" s="3"/>
      <c r="AC291" s="14">
        <v>279</v>
      </c>
      <c r="AD291" s="14"/>
      <c r="AE291" s="14"/>
      <c r="AF291" s="3"/>
      <c r="AG291" s="3"/>
      <c r="AH291" s="3"/>
      <c r="AI291" s="14"/>
      <c r="AJ291" s="14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</row>
    <row r="292" spans="1:47" ht="14.25" customHeight="1" x14ac:dyDescent="0.2">
      <c r="A292" s="3"/>
      <c r="B292" s="417"/>
      <c r="C292" s="173">
        <v>282</v>
      </c>
      <c r="D292" s="165"/>
      <c r="E292" s="174">
        <v>3.6900607789041029E-3</v>
      </c>
      <c r="F292" s="502"/>
      <c r="G292" s="219">
        <f t="shared" si="26"/>
        <v>5.8835616383290841</v>
      </c>
      <c r="H292" s="249">
        <f>H291+(G291*E292*'life-tables-test'!$C$66)</f>
        <v>94.116438361670916</v>
      </c>
      <c r="I292" s="516">
        <f t="shared" si="24"/>
        <v>100</v>
      </c>
      <c r="J292" s="153">
        <f>(G292*0)/(1+cDR)^'Markov Model_SA1'!cycle</f>
        <v>0</v>
      </c>
      <c r="K292" s="178">
        <f t="shared" si="21"/>
        <v>5.8835616383290841</v>
      </c>
      <c r="L292" s="202">
        <f>(G292*(uPostT))/(1+oDR)^'Markov Model_SA1'!cycle</f>
        <v>2.2113545307895759</v>
      </c>
      <c r="M292" s="80"/>
      <c r="N292" s="3"/>
      <c r="O292" s="80"/>
      <c r="P292" s="173">
        <v>282</v>
      </c>
      <c r="Q292" s="165"/>
      <c r="R292" s="174">
        <v>3.6900607789041029E-3</v>
      </c>
      <c r="S292" s="502"/>
      <c r="T292" s="219">
        <f t="shared" si="25"/>
        <v>5.543010656800206</v>
      </c>
      <c r="U292" s="249">
        <f>U291+(T291*R292*'life-tables-test'!$C$66)</f>
        <v>94.456989343199794</v>
      </c>
      <c r="V292" s="516">
        <f t="shared" si="22"/>
        <v>100</v>
      </c>
      <c r="W292" s="153">
        <f>(T292*0)/(1+cDR)^'Markov Model_SA1'!cycle2</f>
        <v>0</v>
      </c>
      <c r="X292" s="178">
        <f t="shared" si="23"/>
        <v>5.543010656800206</v>
      </c>
      <c r="Y292" s="202">
        <f>(T292*(uPostT))/(1+oDR)^'Markov Model_SA1'!cycle</f>
        <v>2.0833574089335367</v>
      </c>
      <c r="Z292" s="80"/>
      <c r="AA292" s="3"/>
      <c r="AB292" s="3"/>
      <c r="AC292" s="14">
        <v>280</v>
      </c>
      <c r="AD292" s="14"/>
      <c r="AE292" s="14"/>
      <c r="AF292" s="3"/>
      <c r="AG292" s="3"/>
      <c r="AH292" s="3"/>
      <c r="AI292" s="14"/>
      <c r="AJ292" s="14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</row>
    <row r="293" spans="1:47" ht="14.25" customHeight="1" x14ac:dyDescent="0.2">
      <c r="A293" s="3"/>
      <c r="B293" s="417"/>
      <c r="C293" s="173">
        <v>283</v>
      </c>
      <c r="D293" s="165"/>
      <c r="E293" s="174">
        <v>3.6900607789041029E-3</v>
      </c>
      <c r="F293" s="502"/>
      <c r="G293" s="219">
        <f t="shared" si="26"/>
        <v>5.7750081381197731</v>
      </c>
      <c r="H293" s="249">
        <f>H292+(G292*E293*'life-tables-test'!$C$66)</f>
        <v>94.224991861880227</v>
      </c>
      <c r="I293" s="516">
        <f t="shared" si="24"/>
        <v>100</v>
      </c>
      <c r="J293" s="153">
        <f>(G293*0)/(1+cDR)^'Markov Model_SA1'!cycle</f>
        <v>0</v>
      </c>
      <c r="K293" s="178">
        <f t="shared" si="21"/>
        <v>5.7750081381197731</v>
      </c>
      <c r="L293" s="202">
        <f>(G293*(uPostT))/(1+oDR)^'Markov Model_SA1'!cycle</f>
        <v>2.1651415138932522</v>
      </c>
      <c r="M293" s="80"/>
      <c r="N293" s="3"/>
      <c r="O293" s="80"/>
      <c r="P293" s="173">
        <v>283</v>
      </c>
      <c r="Q293" s="165"/>
      <c r="R293" s="174">
        <v>3.6900607789041029E-3</v>
      </c>
      <c r="S293" s="502"/>
      <c r="T293" s="219">
        <f t="shared" si="25"/>
        <v>5.440740425691672</v>
      </c>
      <c r="U293" s="249">
        <f>U292+(T292*R293*'life-tables-test'!$C$66)</f>
        <v>94.559259574308328</v>
      </c>
      <c r="V293" s="516">
        <f t="shared" si="22"/>
        <v>100</v>
      </c>
      <c r="W293" s="153">
        <f>(T293*0)/(1+cDR)^'Markov Model_SA1'!cycle2</f>
        <v>0</v>
      </c>
      <c r="X293" s="178">
        <f t="shared" si="23"/>
        <v>5.440740425691672</v>
      </c>
      <c r="Y293" s="202">
        <f>(T293*(uPostT))/(1+oDR)^'Markov Model_SA1'!cycle</f>
        <v>2.0398192834092881</v>
      </c>
      <c r="Z293" s="80"/>
      <c r="AA293" s="3"/>
      <c r="AB293" s="3"/>
      <c r="AC293" s="14">
        <v>281</v>
      </c>
      <c r="AD293" s="14"/>
      <c r="AE293" s="14"/>
      <c r="AF293" s="3"/>
      <c r="AG293" s="3"/>
      <c r="AH293" s="3"/>
      <c r="AI293" s="14"/>
      <c r="AJ293" s="14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</row>
    <row r="294" spans="1:47" ht="14.25" customHeight="1" x14ac:dyDescent="0.2">
      <c r="A294" s="3"/>
      <c r="B294" s="417"/>
      <c r="C294" s="173">
        <v>284</v>
      </c>
      <c r="D294" s="165"/>
      <c r="E294" s="174">
        <v>3.6900607789041029E-3</v>
      </c>
      <c r="F294" s="502"/>
      <c r="G294" s="219">
        <f t="shared" si="26"/>
        <v>5.6684574829781411</v>
      </c>
      <c r="H294" s="249">
        <f>H293+(G293*E294*'life-tables-test'!$C$66)</f>
        <v>94.331542517021859</v>
      </c>
      <c r="I294" s="516">
        <f t="shared" si="24"/>
        <v>100</v>
      </c>
      <c r="J294" s="153">
        <f>(G294*0)/(1+cDR)^'Markov Model_SA1'!cycle</f>
        <v>0</v>
      </c>
      <c r="K294" s="178">
        <f t="shared" si="21"/>
        <v>5.6684574829781411</v>
      </c>
      <c r="L294" s="202">
        <f>(G294*(uPostT))/(1+oDR)^'Markov Model_SA1'!cycle</f>
        <v>2.1198942593389343</v>
      </c>
      <c r="M294" s="80"/>
      <c r="N294" s="3"/>
      <c r="O294" s="80"/>
      <c r="P294" s="173">
        <v>284</v>
      </c>
      <c r="Q294" s="165"/>
      <c r="R294" s="174">
        <v>3.6900607789041029E-3</v>
      </c>
      <c r="S294" s="502"/>
      <c r="T294" s="219">
        <f t="shared" si="25"/>
        <v>5.3403571114264565</v>
      </c>
      <c r="U294" s="249">
        <f>U293+(T293*R294*'life-tables-test'!$C$66)</f>
        <v>94.659642888573543</v>
      </c>
      <c r="V294" s="516">
        <f t="shared" si="22"/>
        <v>100</v>
      </c>
      <c r="W294" s="153">
        <f>(T294*0)/(1+cDR)^'Markov Model_SA1'!cycle2</f>
        <v>0</v>
      </c>
      <c r="X294" s="178">
        <f t="shared" si="23"/>
        <v>5.3403571114264565</v>
      </c>
      <c r="Y294" s="202">
        <f>(T294*(uPostT))/(1+oDR)^'Markov Model_SA1'!cycle</f>
        <v>1.997191020190008</v>
      </c>
      <c r="Z294" s="80"/>
      <c r="AA294" s="3"/>
      <c r="AB294" s="3"/>
      <c r="AC294" s="14">
        <v>282</v>
      </c>
      <c r="AD294" s="14"/>
      <c r="AE294" s="14"/>
      <c r="AF294" s="297"/>
      <c r="AG294" s="297"/>
      <c r="AH294" s="297"/>
      <c r="AI294" s="14"/>
      <c r="AJ294" s="14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</row>
    <row r="295" spans="1:47" ht="14.25" customHeight="1" x14ac:dyDescent="0.2">
      <c r="A295" s="3"/>
      <c r="B295" s="417"/>
      <c r="C295" s="173">
        <v>285</v>
      </c>
      <c r="D295" s="165"/>
      <c r="E295" s="174">
        <v>3.6900607789041029E-3</v>
      </c>
      <c r="F295" s="502"/>
      <c r="G295" s="219">
        <f t="shared" si="26"/>
        <v>5.5638727198040243</v>
      </c>
      <c r="H295" s="249">
        <f>H294+(G294*E295*'life-tables-test'!$C$66)</f>
        <v>94.436127280195976</v>
      </c>
      <c r="I295" s="516">
        <f t="shared" si="24"/>
        <v>100</v>
      </c>
      <c r="J295" s="153">
        <f>(G295*0)/(1+cDR)^'Markov Model_SA1'!cycle</f>
        <v>0</v>
      </c>
      <c r="K295" s="178">
        <f t="shared" si="21"/>
        <v>5.5638727198040243</v>
      </c>
      <c r="L295" s="202">
        <f>(G295*(uPostT))/(1+oDR)^'Markov Model_SA1'!cycle</f>
        <v>2.0755925845684593</v>
      </c>
      <c r="M295" s="80"/>
      <c r="N295" s="3"/>
      <c r="O295" s="80"/>
      <c r="P295" s="173">
        <v>285</v>
      </c>
      <c r="Q295" s="165"/>
      <c r="R295" s="174">
        <v>3.6900607789041029E-3</v>
      </c>
      <c r="S295" s="502"/>
      <c r="T295" s="219">
        <f t="shared" si="25"/>
        <v>5.2418258998153817</v>
      </c>
      <c r="U295" s="249">
        <f>U294+(T294*R295*'life-tables-test'!$C$66)</f>
        <v>94.758174100184618</v>
      </c>
      <c r="V295" s="516">
        <f t="shared" si="22"/>
        <v>100</v>
      </c>
      <c r="W295" s="153">
        <f>(T295*0)/(1+cDR)^'Markov Model_SA1'!cycle2</f>
        <v>0</v>
      </c>
      <c r="X295" s="178">
        <f t="shared" si="23"/>
        <v>5.2418258998153817</v>
      </c>
      <c r="Y295" s="202">
        <f>(T295*(uPostT))/(1+oDR)^'Markov Model_SA1'!cycle</f>
        <v>1.9554536049197975</v>
      </c>
      <c r="Z295" s="80"/>
      <c r="AA295" s="3"/>
      <c r="AB295" s="3"/>
      <c r="AC295" s="14">
        <v>283</v>
      </c>
      <c r="AD295" s="14"/>
      <c r="AE295" s="14"/>
      <c r="AF295" s="297"/>
      <c r="AG295" s="297"/>
      <c r="AH295" s="297"/>
      <c r="AI295" s="14"/>
      <c r="AJ295" s="14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</row>
    <row r="296" spans="1:47" ht="14.25" customHeight="1" x14ac:dyDescent="0.2">
      <c r="A296" s="3"/>
      <c r="B296" s="417"/>
      <c r="C296" s="173">
        <v>286</v>
      </c>
      <c r="D296" s="165"/>
      <c r="E296" s="174">
        <v>3.6900607789041029E-3</v>
      </c>
      <c r="F296" s="502"/>
      <c r="G296" s="219">
        <f t="shared" si="26"/>
        <v>5.4612175772932119</v>
      </c>
      <c r="H296" s="249">
        <f>H295+(G295*E296*'life-tables-test'!$C$66)</f>
        <v>94.538782422706788</v>
      </c>
      <c r="I296" s="516">
        <f t="shared" si="24"/>
        <v>100</v>
      </c>
      <c r="J296" s="153">
        <f>(G296*0)/(1+cDR)^'Markov Model_SA1'!cycle</f>
        <v>0</v>
      </c>
      <c r="K296" s="178">
        <f t="shared" si="21"/>
        <v>5.4612175772932119</v>
      </c>
      <c r="L296" s="202">
        <f>(G296*(uPostT))/(1+oDR)^'Markov Model_SA1'!cycle</f>
        <v>2.0322167287999604</v>
      </c>
      <c r="M296" s="80"/>
      <c r="N296" s="3"/>
      <c r="O296" s="80"/>
      <c r="P296" s="173">
        <v>286</v>
      </c>
      <c r="Q296" s="165"/>
      <c r="R296" s="174">
        <v>3.6900607789041029E-3</v>
      </c>
      <c r="S296" s="502"/>
      <c r="T296" s="219">
        <f t="shared" si="25"/>
        <v>5.1451126190016225</v>
      </c>
      <c r="U296" s="249">
        <f>U295+(T295*R296*'life-tables-test'!$C$66)</f>
        <v>94.854887380998377</v>
      </c>
      <c r="V296" s="516">
        <f t="shared" si="22"/>
        <v>100</v>
      </c>
      <c r="W296" s="153">
        <f>(T296*0)/(1+cDR)^'Markov Model_SA1'!cycle2</f>
        <v>0</v>
      </c>
      <c r="X296" s="178">
        <f t="shared" si="23"/>
        <v>5.1451126190016225</v>
      </c>
      <c r="Y296" s="202">
        <f>(T296*(uPostT))/(1+oDR)^'Markov Model_SA1'!cycle</f>
        <v>1.914588420605879</v>
      </c>
      <c r="Z296" s="80"/>
      <c r="AA296" s="3"/>
      <c r="AB296" s="3"/>
      <c r="AC296" s="14">
        <v>284</v>
      </c>
      <c r="AD296" s="14"/>
      <c r="AE296" s="14"/>
      <c r="AF296" s="297"/>
      <c r="AG296" s="297"/>
      <c r="AH296" s="297"/>
      <c r="AI296" s="14"/>
      <c r="AJ296" s="14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</row>
    <row r="297" spans="1:47" ht="14.25" customHeight="1" x14ac:dyDescent="0.2">
      <c r="A297" s="3"/>
      <c r="B297" s="417"/>
      <c r="C297" s="173">
        <v>287</v>
      </c>
      <c r="D297" s="165"/>
      <c r="E297" s="174">
        <v>3.6900607789041029E-3</v>
      </c>
      <c r="F297" s="502"/>
      <c r="G297" s="219">
        <f t="shared" si="26"/>
        <v>5.3604564533580543</v>
      </c>
      <c r="H297" s="249">
        <f>H296+(G296*E297*'life-tables-test'!$C$66)</f>
        <v>94.639543546641946</v>
      </c>
      <c r="I297" s="516">
        <f t="shared" si="24"/>
        <v>100</v>
      </c>
      <c r="J297" s="153">
        <f>(G297*0)/(1+cDR)^'Markov Model_SA1'!cycle</f>
        <v>0</v>
      </c>
      <c r="K297" s="178">
        <f t="shared" si="21"/>
        <v>5.3604564533580543</v>
      </c>
      <c r="L297" s="202">
        <f>(G297*(uPostT))/(1+oDR)^'Markov Model_SA1'!cycle</f>
        <v>1.9897473442135392</v>
      </c>
      <c r="M297" s="80"/>
      <c r="N297" s="3"/>
      <c r="O297" s="80"/>
      <c r="P297" s="173">
        <v>287</v>
      </c>
      <c r="Q297" s="165"/>
      <c r="R297" s="174">
        <v>3.6900607789041029E-3</v>
      </c>
      <c r="S297" s="502"/>
      <c r="T297" s="219">
        <f t="shared" si="25"/>
        <v>5.0501837276095074</v>
      </c>
      <c r="U297" s="249">
        <f>U296+(T296*R297*'life-tables-test'!$C$66)</f>
        <v>94.949816272390493</v>
      </c>
      <c r="V297" s="516">
        <f t="shared" si="22"/>
        <v>100</v>
      </c>
      <c r="W297" s="153">
        <f>(T297*0)/(1+cDR)^'Markov Model_SA1'!cycle2</f>
        <v>0</v>
      </c>
      <c r="X297" s="178">
        <f t="shared" si="23"/>
        <v>5.0501837276095074</v>
      </c>
      <c r="Y297" s="202">
        <f>(T297*(uPostT))/(1+oDR)^'Markov Model_SA1'!cycle</f>
        <v>1.8745772393144835</v>
      </c>
      <c r="Z297" s="80"/>
      <c r="AA297" s="3"/>
      <c r="AB297" s="3"/>
      <c r="AC297" s="14">
        <v>285</v>
      </c>
      <c r="AD297" s="14"/>
      <c r="AE297" s="14"/>
      <c r="AF297" s="297"/>
      <c r="AG297" s="297"/>
      <c r="AH297" s="297"/>
      <c r="AI297" s="14"/>
      <c r="AJ297" s="14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</row>
    <row r="298" spans="1:47" ht="14.25" customHeight="1" x14ac:dyDescent="0.2">
      <c r="A298" s="3"/>
      <c r="B298" s="417"/>
      <c r="C298" s="173">
        <v>288</v>
      </c>
      <c r="D298" s="165"/>
      <c r="E298" s="174">
        <v>3.6900607789041029E-3</v>
      </c>
      <c r="F298" s="502"/>
      <c r="G298" s="219">
        <f t="shared" si="26"/>
        <v>5.2615544027802486</v>
      </c>
      <c r="H298" s="249">
        <f>H297+(G297*E298*'life-tables-test'!$C$66)</f>
        <v>94.738445597219751</v>
      </c>
      <c r="I298" s="516">
        <f t="shared" si="24"/>
        <v>100</v>
      </c>
      <c r="J298" s="153">
        <f>(G298*0)/(1+cDR)^'Markov Model_SA1'!cycle</f>
        <v>0</v>
      </c>
      <c r="K298" s="178">
        <f t="shared" si="21"/>
        <v>5.2615544027802486</v>
      </c>
      <c r="L298" s="202">
        <f>(G298*(uPostT))/(1+oDR)^'Markov Model_SA1'!cycle</f>
        <v>1.9481654873211784</v>
      </c>
      <c r="M298" s="80"/>
      <c r="N298" s="3"/>
      <c r="O298" s="80"/>
      <c r="P298" s="173">
        <v>288</v>
      </c>
      <c r="Q298" s="165"/>
      <c r="R298" s="174">
        <v>3.6900607789041029E-3</v>
      </c>
      <c r="S298" s="502"/>
      <c r="T298" s="219">
        <f t="shared" si="25"/>
        <v>4.9570063031119531</v>
      </c>
      <c r="U298" s="249">
        <f>U297+(T297*R298*'life-tables-test'!$C$66)</f>
        <v>95.042993696888047</v>
      </c>
      <c r="V298" s="516">
        <f t="shared" si="22"/>
        <v>100</v>
      </c>
      <c r="W298" s="153">
        <f>(T298*0)/(1+cDR)^'Markov Model_SA1'!cycle2</f>
        <v>0</v>
      </c>
      <c r="X298" s="178">
        <f t="shared" si="23"/>
        <v>4.9570063031119531</v>
      </c>
      <c r="Y298" s="202">
        <f>(T298*(uPostT))/(1+oDR)^'Markov Model_SA1'!cycle</f>
        <v>1.8354022140402799</v>
      </c>
      <c r="Z298" s="80"/>
      <c r="AA298" s="3"/>
      <c r="AB298" s="3"/>
      <c r="AC298" s="14">
        <v>286</v>
      </c>
      <c r="AD298" s="14"/>
      <c r="AE298" s="14"/>
      <c r="AF298" s="297"/>
      <c r="AG298" s="297"/>
      <c r="AH298" s="297"/>
      <c r="AI298" s="14"/>
      <c r="AJ298" s="14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</row>
    <row r="299" spans="1:47" ht="14.25" customHeight="1" x14ac:dyDescent="0.2">
      <c r="A299" s="3"/>
      <c r="B299" s="417"/>
      <c r="C299" s="173">
        <v>289</v>
      </c>
      <c r="D299" s="504"/>
      <c r="E299" s="174">
        <v>3.6900607789041029E-3</v>
      </c>
      <c r="F299" s="505"/>
      <c r="G299" s="219">
        <f t="shared" si="26"/>
        <v>5.1644771250913948</v>
      </c>
      <c r="H299" s="249">
        <f>H298+(G298*E299*'life-tables-test'!$C$66)</f>
        <v>94.835522874908605</v>
      </c>
      <c r="I299" s="516">
        <f t="shared" si="24"/>
        <v>100</v>
      </c>
      <c r="J299" s="180">
        <f>(G299*0)/(1+cDR)^'Markov Model_SA1'!cycle</f>
        <v>0</v>
      </c>
      <c r="K299" s="176">
        <f t="shared" si="21"/>
        <v>5.1644771250913948</v>
      </c>
      <c r="L299" s="202">
        <f>(G299*(uPostT))/(1+oDR)^'Markov Model_SA1'!cycle</f>
        <v>1.9074526105169913</v>
      </c>
      <c r="M299" s="80"/>
      <c r="N299" s="3"/>
      <c r="O299" s="80"/>
      <c r="P299" s="173">
        <v>289</v>
      </c>
      <c r="Q299" s="504"/>
      <c r="R299" s="174">
        <v>3.6900607789041029E-3</v>
      </c>
      <c r="S299" s="505"/>
      <c r="T299" s="219">
        <f t="shared" si="25"/>
        <v>4.8655480304124836</v>
      </c>
      <c r="U299" s="249">
        <f>U298+(T298*R299*'life-tables-test'!$C$66)</f>
        <v>95.134451969587516</v>
      </c>
      <c r="V299" s="516">
        <f t="shared" si="22"/>
        <v>100</v>
      </c>
      <c r="W299" s="180">
        <f>(T299*0)/(1+cDR)^'Markov Model_SA1'!cycle2</f>
        <v>0</v>
      </c>
      <c r="X299" s="176">
        <f t="shared" si="23"/>
        <v>4.8655480304124836</v>
      </c>
      <c r="Y299" s="202">
        <f>(T299*(uPostT))/(1+oDR)^'Markov Model_SA1'!cycle</f>
        <v>1.7970458707456969</v>
      </c>
      <c r="Z299" s="80"/>
      <c r="AA299" s="3"/>
      <c r="AB299" s="3"/>
      <c r="AC299" s="14">
        <v>287</v>
      </c>
      <c r="AD299" s="14"/>
      <c r="AE299" s="14"/>
      <c r="AF299" s="297"/>
      <c r="AG299" s="297"/>
      <c r="AH299" s="297"/>
      <c r="AI299" s="14"/>
      <c r="AJ299" s="14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</row>
    <row r="300" spans="1:47" ht="14.25" customHeight="1" x14ac:dyDescent="0.25">
      <c r="A300" s="3">
        <v>26</v>
      </c>
      <c r="B300" s="417"/>
      <c r="C300" s="506">
        <v>290</v>
      </c>
      <c r="D300" s="506"/>
      <c r="E300" s="507">
        <v>3.6900607789041029E-3</v>
      </c>
      <c r="F300" s="508"/>
      <c r="G300" s="509">
        <f t="shared" si="26"/>
        <v>5.069190952677161</v>
      </c>
      <c r="H300" s="510">
        <f>H299+(G299*E300*'life-tables-test'!$C$66)</f>
        <v>94.930809047322839</v>
      </c>
      <c r="I300" s="518">
        <f t="shared" si="24"/>
        <v>100</v>
      </c>
      <c r="J300" s="511">
        <f>(G300*0)/(1+cDR)^'Markov Model_SA1'!cycle</f>
        <v>0</v>
      </c>
      <c r="K300" s="512">
        <f t="shared" si="21"/>
        <v>5.069190952677161</v>
      </c>
      <c r="L300" s="513">
        <f>(G300*(uPostT))/(1+oDR)^'Markov Model_SA1'!cycle</f>
        <v>1.8675905538040474</v>
      </c>
      <c r="M300" s="80"/>
      <c r="N300" s="3"/>
      <c r="O300" s="80"/>
      <c r="P300" s="506">
        <v>290</v>
      </c>
      <c r="Q300" s="506"/>
      <c r="R300" s="507">
        <v>3.6900607789041029E-3</v>
      </c>
      <c r="S300" s="508"/>
      <c r="T300" s="509">
        <f t="shared" si="25"/>
        <v>4.7757771906379816</v>
      </c>
      <c r="U300" s="510">
        <f>U299+(T299*R300*'life-tables-test'!$C$66)</f>
        <v>95.224222809362018</v>
      </c>
      <c r="V300" s="518">
        <f t="shared" si="22"/>
        <v>100</v>
      </c>
      <c r="W300" s="511">
        <f>(T300*0)/(1+cDR)^'Markov Model_SA1'!cycle2</f>
        <v>0</v>
      </c>
      <c r="X300" s="512">
        <f t="shared" si="23"/>
        <v>4.7757771906379816</v>
      </c>
      <c r="Y300" s="513">
        <f>(T300*(uPostT))/(1+oDR)^'Markov Model_SA1'!cycle</f>
        <v>1.7594911005666269</v>
      </c>
      <c r="Z300" s="80"/>
      <c r="AA300" s="3"/>
      <c r="AB300" s="3"/>
      <c r="AC300" s="14">
        <v>288</v>
      </c>
      <c r="AD300" s="14"/>
      <c r="AE300" s="14"/>
      <c r="AF300" s="297"/>
      <c r="AG300" s="297"/>
      <c r="AH300" s="297"/>
      <c r="AI300" s="14"/>
      <c r="AJ300" s="14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</row>
    <row r="301" spans="1:47" ht="14.25" customHeight="1" x14ac:dyDescent="0.2">
      <c r="A301" s="3"/>
      <c r="B301" s="417"/>
      <c r="C301" s="173">
        <v>291</v>
      </c>
      <c r="D301" s="165"/>
      <c r="E301" s="174">
        <v>4.1050077712355693E-3</v>
      </c>
      <c r="F301" s="502"/>
      <c r="G301" s="219">
        <f t="shared" si="26"/>
        <v>4.9651456114040826</v>
      </c>
      <c r="H301" s="249">
        <f>H300+(G300*E301*'life-tables-test'!$C$66)</f>
        <v>95.034854388595917</v>
      </c>
      <c r="I301" s="516">
        <f t="shared" si="24"/>
        <v>100</v>
      </c>
      <c r="J301" s="153">
        <f>(G301*0)/(1+cDR)^'Markov Model_SA1'!cycle</f>
        <v>0</v>
      </c>
      <c r="K301" s="178">
        <f t="shared" si="21"/>
        <v>4.9651456114040826</v>
      </c>
      <c r="L301" s="202">
        <f>(G301*(uPostT))/(1+oDR)^'Markov Model_SA1'!cycle</f>
        <v>1.8246964440097664</v>
      </c>
      <c r="M301" s="80"/>
      <c r="N301" s="3"/>
      <c r="O301" s="80"/>
      <c r="P301" s="173">
        <v>291</v>
      </c>
      <c r="Q301" s="165"/>
      <c r="R301" s="174">
        <v>4.1050077712355693E-3</v>
      </c>
      <c r="S301" s="502"/>
      <c r="T301" s="219">
        <f t="shared" si="25"/>
        <v>4.6777541782316945</v>
      </c>
      <c r="U301" s="249">
        <f>U300+(T300*R301*'life-tables-test'!$C$66)</f>
        <v>95.322245821768306</v>
      </c>
      <c r="V301" s="516">
        <f t="shared" si="22"/>
        <v>100</v>
      </c>
      <c r="W301" s="153">
        <f>(T301*0)/(1+cDR)^'Markov Model_SA1'!cycle2</f>
        <v>0</v>
      </c>
      <c r="X301" s="178">
        <f t="shared" si="23"/>
        <v>4.6777541782316945</v>
      </c>
      <c r="Y301" s="202">
        <f>(T301*(uPostT))/(1+oDR)^'Markov Model_SA1'!cycle</f>
        <v>1.7190797779156108</v>
      </c>
      <c r="Z301" s="80"/>
      <c r="AA301" s="3"/>
      <c r="AB301" s="3"/>
      <c r="AC301" s="14">
        <v>289</v>
      </c>
      <c r="AD301" s="14"/>
      <c r="AE301" s="14"/>
      <c r="AF301" s="297"/>
      <c r="AG301" s="297"/>
      <c r="AH301" s="297"/>
      <c r="AI301" s="14"/>
      <c r="AJ301" s="14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</row>
    <row r="302" spans="1:47" ht="14.25" customHeight="1" x14ac:dyDescent="0.2">
      <c r="A302" s="3"/>
      <c r="B302" s="417"/>
      <c r="C302" s="173">
        <v>292</v>
      </c>
      <c r="D302" s="165"/>
      <c r="E302" s="174">
        <v>4.1050077712355693E-3</v>
      </c>
      <c r="F302" s="502"/>
      <c r="G302" s="219">
        <f t="shared" si="26"/>
        <v>4.8632358048034376</v>
      </c>
      <c r="H302" s="249">
        <f>H301+(G301*E302*'life-tables-test'!$C$66)</f>
        <v>95.136764195196562</v>
      </c>
      <c r="I302" s="516">
        <f t="shared" si="24"/>
        <v>100</v>
      </c>
      <c r="J302" s="153">
        <f>(G302*0)/(1+cDR)^'Markov Model_SA1'!cycle</f>
        <v>0</v>
      </c>
      <c r="K302" s="178">
        <f t="shared" si="21"/>
        <v>4.8632358048034376</v>
      </c>
      <c r="L302" s="202">
        <f>(G302*(uPostT))/(1+oDR)^'Markov Model_SA1'!cycle</f>
        <v>1.7827875098211849</v>
      </c>
      <c r="M302" s="80"/>
      <c r="N302" s="3"/>
      <c r="O302" s="80"/>
      <c r="P302" s="173">
        <v>292</v>
      </c>
      <c r="Q302" s="165"/>
      <c r="R302" s="174">
        <v>4.1050077712355693E-3</v>
      </c>
      <c r="S302" s="502"/>
      <c r="T302" s="219">
        <f t="shared" si="25"/>
        <v>4.581743091963844</v>
      </c>
      <c r="U302" s="249">
        <f>U301+(T301*R302*'life-tables-test'!$C$66)</f>
        <v>95.418256908036156</v>
      </c>
      <c r="V302" s="516">
        <f t="shared" si="22"/>
        <v>100</v>
      </c>
      <c r="W302" s="153">
        <f>(T302*0)/(1+cDR)^'Markov Model_SA1'!cycle2</f>
        <v>0</v>
      </c>
      <c r="X302" s="178">
        <f t="shared" si="23"/>
        <v>4.581743091963844</v>
      </c>
      <c r="Y302" s="202">
        <f>(T302*(uPostT))/(1+oDR)^'Markov Model_SA1'!cycle</f>
        <v>1.6795966071591266</v>
      </c>
      <c r="Z302" s="80"/>
      <c r="AA302" s="3"/>
      <c r="AB302" s="3"/>
      <c r="AC302" s="14">
        <v>290</v>
      </c>
      <c r="AD302" s="14"/>
      <c r="AE302" s="14"/>
      <c r="AF302" s="297"/>
      <c r="AG302" s="297"/>
      <c r="AH302" s="297"/>
      <c r="AI302" s="14"/>
      <c r="AJ302" s="14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</row>
    <row r="303" spans="1:47" ht="14.25" customHeight="1" x14ac:dyDescent="0.2">
      <c r="A303" s="3"/>
      <c r="B303" s="417"/>
      <c r="C303" s="173">
        <v>293</v>
      </c>
      <c r="D303" s="165"/>
      <c r="E303" s="174">
        <v>4.1050077712355693E-3</v>
      </c>
      <c r="F303" s="502"/>
      <c r="G303" s="219">
        <f t="shared" si="26"/>
        <v>4.7634177009430942</v>
      </c>
      <c r="H303" s="249">
        <f>H302+(G302*E303*'life-tables-test'!$C$66)</f>
        <v>95.236582299056906</v>
      </c>
      <c r="I303" s="516">
        <f t="shared" si="24"/>
        <v>100</v>
      </c>
      <c r="J303" s="153">
        <f>(G303*0)/(1+cDR)^'Markov Model_SA1'!cycle</f>
        <v>0</v>
      </c>
      <c r="K303" s="178">
        <f t="shared" si="21"/>
        <v>4.7634177009430942</v>
      </c>
      <c r="L303" s="202">
        <f>(G303*(uPostT))/(1+oDR)^'Markov Model_SA1'!cycle</f>
        <v>1.7418411240995486</v>
      </c>
      <c r="M303" s="80"/>
      <c r="N303" s="3"/>
      <c r="O303" s="80"/>
      <c r="P303" s="173">
        <v>293</v>
      </c>
      <c r="Q303" s="165"/>
      <c r="R303" s="174">
        <v>4.1050077712355693E-3</v>
      </c>
      <c r="S303" s="502"/>
      <c r="T303" s="219">
        <f t="shared" si="25"/>
        <v>4.4877026369722586</v>
      </c>
      <c r="U303" s="249">
        <f>U302+(T302*R303*'life-tables-test'!$C$66)</f>
        <v>95.512297363027741</v>
      </c>
      <c r="V303" s="516">
        <f t="shared" si="22"/>
        <v>100</v>
      </c>
      <c r="W303" s="153">
        <f>(T303*0)/(1+cDR)^'Markov Model_SA1'!cycle2</f>
        <v>0</v>
      </c>
      <c r="X303" s="178">
        <f t="shared" si="23"/>
        <v>4.4877026369722586</v>
      </c>
      <c r="Y303" s="202">
        <f>(T303*(uPostT))/(1+oDR)^'Markov Model_SA1'!cycle</f>
        <v>1.6410202708573363</v>
      </c>
      <c r="Z303" s="80"/>
      <c r="AA303" s="3"/>
      <c r="AB303" s="3"/>
      <c r="AC303" s="14">
        <v>291</v>
      </c>
      <c r="AD303" s="14"/>
      <c r="AE303" s="14"/>
      <c r="AF303" s="297"/>
      <c r="AG303" s="297"/>
      <c r="AH303" s="297"/>
      <c r="AI303" s="14"/>
      <c r="AJ303" s="14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</row>
    <row r="304" spans="1:47" ht="14.25" customHeight="1" x14ac:dyDescent="0.2">
      <c r="A304" s="3"/>
      <c r="B304" s="417"/>
      <c r="C304" s="173">
        <v>294</v>
      </c>
      <c r="D304" s="165"/>
      <c r="E304" s="174">
        <v>4.1050077712355693E-3</v>
      </c>
      <c r="F304" s="502"/>
      <c r="G304" s="219">
        <f t="shared" si="26"/>
        <v>4.665648367543028</v>
      </c>
      <c r="H304" s="249">
        <f>H303+(G303*E304*'life-tables-test'!$C$66)</f>
        <v>95.334351632456972</v>
      </c>
      <c r="I304" s="516">
        <f t="shared" si="24"/>
        <v>100</v>
      </c>
      <c r="J304" s="153">
        <f>(G304*0)/(1+cDR)^'Markov Model_SA1'!cycle</f>
        <v>0</v>
      </c>
      <c r="K304" s="178">
        <f t="shared" si="21"/>
        <v>4.665648367543028</v>
      </c>
      <c r="L304" s="202">
        <f>(G304*(uPostT))/(1+oDR)^'Markov Model_SA1'!cycle</f>
        <v>1.7018351793976221</v>
      </c>
      <c r="M304" s="80"/>
      <c r="N304" s="3"/>
      <c r="O304" s="80"/>
      <c r="P304" s="173">
        <v>294</v>
      </c>
      <c r="Q304" s="165"/>
      <c r="R304" s="174">
        <v>4.1050077712355693E-3</v>
      </c>
      <c r="S304" s="502"/>
      <c r="T304" s="219">
        <f t="shared" si="25"/>
        <v>4.3955923659734282</v>
      </c>
      <c r="U304" s="249">
        <f>U303+(T303*R304*'life-tables-test'!$C$66)</f>
        <v>95.604407634026572</v>
      </c>
      <c r="V304" s="516">
        <f t="shared" si="22"/>
        <v>100</v>
      </c>
      <c r="W304" s="153">
        <f>(T304*0)/(1+cDR)^'Markov Model_SA1'!cycle2</f>
        <v>0</v>
      </c>
      <c r="X304" s="178">
        <f t="shared" si="23"/>
        <v>4.3955923659734282</v>
      </c>
      <c r="Y304" s="202">
        <f>(T304*(uPostT))/(1+oDR)^'Markov Model_SA1'!cycle</f>
        <v>1.6033299411812605</v>
      </c>
      <c r="Z304" s="80"/>
      <c r="AA304" s="3"/>
      <c r="AB304" s="3"/>
      <c r="AC304" s="14">
        <v>292</v>
      </c>
      <c r="AD304" s="14"/>
      <c r="AE304" s="14"/>
      <c r="AF304" s="297"/>
      <c r="AG304" s="297"/>
      <c r="AH304" s="297"/>
      <c r="AI304" s="14"/>
      <c r="AJ304" s="14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</row>
    <row r="305" spans="1:47" ht="14.25" customHeight="1" x14ac:dyDescent="0.2">
      <c r="A305" s="3"/>
      <c r="B305" s="417"/>
      <c r="C305" s="173">
        <v>295</v>
      </c>
      <c r="D305" s="165"/>
      <c r="E305" s="174">
        <v>4.1050077712355693E-3</v>
      </c>
      <c r="F305" s="502"/>
      <c r="G305" s="219">
        <f t="shared" si="26"/>
        <v>4.5698857535099506</v>
      </c>
      <c r="H305" s="249">
        <f>H304+(G304*E305*'life-tables-test'!$C$66)</f>
        <v>95.430114246490049</v>
      </c>
      <c r="I305" s="516">
        <f t="shared" si="24"/>
        <v>100</v>
      </c>
      <c r="J305" s="153">
        <f>(G305*0)/(1+cDR)^'Markov Model_SA1'!cycle</f>
        <v>0</v>
      </c>
      <c r="K305" s="178">
        <f t="shared" si="21"/>
        <v>4.5698857535099506</v>
      </c>
      <c r="L305" s="202">
        <f>(G305*(uPostT))/(1+oDR)^'Markov Model_SA1'!cycle</f>
        <v>1.6627480760236184</v>
      </c>
      <c r="M305" s="80"/>
      <c r="N305" s="3"/>
      <c r="O305" s="80"/>
      <c r="P305" s="173">
        <v>295</v>
      </c>
      <c r="Q305" s="165"/>
      <c r="R305" s="174">
        <v>4.1050077712355693E-3</v>
      </c>
      <c r="S305" s="502"/>
      <c r="T305" s="219">
        <f t="shared" si="25"/>
        <v>4.3053726618659027</v>
      </c>
      <c r="U305" s="249">
        <f>U304+(T304*R305*'life-tables-test'!$C$66)</f>
        <v>95.694627338134097</v>
      </c>
      <c r="V305" s="516">
        <f t="shared" si="22"/>
        <v>100</v>
      </c>
      <c r="W305" s="153">
        <f>(T305*0)/(1+cDR)^'Markov Model_SA1'!cycle2</f>
        <v>0</v>
      </c>
      <c r="X305" s="178">
        <f t="shared" si="23"/>
        <v>4.3053726618659027</v>
      </c>
      <c r="Y305" s="202">
        <f>(T305*(uPostT))/(1+oDR)^'Markov Model_SA1'!cycle</f>
        <v>1.566505268667572</v>
      </c>
      <c r="Z305" s="80"/>
      <c r="AA305" s="3"/>
      <c r="AB305" s="3"/>
      <c r="AC305" s="14">
        <v>293</v>
      </c>
      <c r="AD305" s="14"/>
      <c r="AE305" s="14"/>
      <c r="AF305" s="297"/>
      <c r="AG305" s="297"/>
      <c r="AH305" s="297"/>
      <c r="AI305" s="14"/>
      <c r="AJ305" s="14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</row>
    <row r="306" spans="1:47" ht="14.25" customHeight="1" x14ac:dyDescent="0.2">
      <c r="A306" s="3"/>
      <c r="B306" s="417"/>
      <c r="C306" s="173">
        <v>296</v>
      </c>
      <c r="D306" s="165"/>
      <c r="E306" s="174">
        <v>4.1050077712355693E-3</v>
      </c>
      <c r="F306" s="502"/>
      <c r="G306" s="219">
        <f t="shared" si="26"/>
        <v>4.4760886708508707</v>
      </c>
      <c r="H306" s="249">
        <f>H305+(G305*E306*'life-tables-test'!$C$66)</f>
        <v>95.523911329149129</v>
      </c>
      <c r="I306" s="516">
        <f t="shared" si="24"/>
        <v>100</v>
      </c>
      <c r="J306" s="153">
        <f>(G306*0)/(1+cDR)^'Markov Model_SA1'!cycle</f>
        <v>0</v>
      </c>
      <c r="K306" s="178">
        <f t="shared" ref="K306:K369" si="27">G306</f>
        <v>4.4760886708508707</v>
      </c>
      <c r="L306" s="202">
        <f>(G306*(uPostT))/(1+oDR)^'Markov Model_SA1'!cycle</f>
        <v>1.6245587103792525</v>
      </c>
      <c r="M306" s="80"/>
      <c r="N306" s="3"/>
      <c r="O306" s="80"/>
      <c r="P306" s="173">
        <v>296</v>
      </c>
      <c r="Q306" s="165"/>
      <c r="R306" s="174">
        <v>4.1050077712355693E-3</v>
      </c>
      <c r="S306" s="502"/>
      <c r="T306" s="219">
        <f t="shared" si="25"/>
        <v>4.217004720690781</v>
      </c>
      <c r="U306" s="249">
        <f>U305+(T305*R306*'life-tables-test'!$C$66)</f>
        <v>95.782995279309219</v>
      </c>
      <c r="V306" s="516">
        <f t="shared" si="22"/>
        <v>100</v>
      </c>
      <c r="W306" s="153">
        <f>(T306*0)/(1+cDR)^'Markov Model_SA1'!cycle2</f>
        <v>0</v>
      </c>
      <c r="X306" s="178">
        <f t="shared" si="23"/>
        <v>4.217004720690781</v>
      </c>
      <c r="Y306" s="202">
        <f>(T306*(uPostT))/(1+oDR)^'Markov Model_SA1'!cycle</f>
        <v>1.5305263712316841</v>
      </c>
      <c r="Z306" s="80"/>
      <c r="AA306" s="3"/>
      <c r="AB306" s="3"/>
      <c r="AC306" s="14">
        <v>294</v>
      </c>
      <c r="AD306" s="14"/>
      <c r="AE306" s="14"/>
      <c r="AF306" s="297"/>
      <c r="AG306" s="297"/>
      <c r="AH306" s="297"/>
      <c r="AI306" s="14"/>
      <c r="AJ306" s="14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</row>
    <row r="307" spans="1:47" ht="14.25" customHeight="1" x14ac:dyDescent="0.2">
      <c r="A307" s="3"/>
      <c r="B307" s="417"/>
      <c r="C307" s="173">
        <v>297</v>
      </c>
      <c r="D307" s="165"/>
      <c r="E307" s="174">
        <v>4.1050077712355693E-3</v>
      </c>
      <c r="F307" s="502"/>
      <c r="G307" s="219">
        <f t="shared" si="26"/>
        <v>4.3842167769579561</v>
      </c>
      <c r="H307" s="249">
        <f>H306+(G306*E307*'life-tables-test'!$C$66)</f>
        <v>95.615783223042044</v>
      </c>
      <c r="I307" s="516">
        <f t="shared" si="24"/>
        <v>100</v>
      </c>
      <c r="J307" s="153">
        <f>(G307*0)/(1+cDR)^'Markov Model_SA1'!cycle</f>
        <v>0</v>
      </c>
      <c r="K307" s="178">
        <f t="shared" si="27"/>
        <v>4.3842167769579561</v>
      </c>
      <c r="L307" s="202">
        <f>(G307*(uPostT))/(1+oDR)^'Markov Model_SA1'!cycle</f>
        <v>1.5872464635656613</v>
      </c>
      <c r="M307" s="80"/>
      <c r="N307" s="3"/>
      <c r="O307" s="80"/>
      <c r="P307" s="173">
        <v>297</v>
      </c>
      <c r="Q307" s="165"/>
      <c r="R307" s="174">
        <v>4.1050077712355693E-3</v>
      </c>
      <c r="S307" s="502"/>
      <c r="T307" s="219">
        <f t="shared" si="25"/>
        <v>4.1304505349419145</v>
      </c>
      <c r="U307" s="249">
        <f>U306+(T306*R307*'life-tables-test'!$C$66)</f>
        <v>95.869549465058086</v>
      </c>
      <c r="V307" s="516">
        <f t="shared" si="22"/>
        <v>100</v>
      </c>
      <c r="W307" s="153">
        <f>(T307*0)/(1+cDR)^'Markov Model_SA1'!cycle2</f>
        <v>0</v>
      </c>
      <c r="X307" s="178">
        <f t="shared" si="23"/>
        <v>4.1304505349419145</v>
      </c>
      <c r="Y307" s="202">
        <f>(T307*(uPostT))/(1+oDR)^'Markov Model_SA1'!cycle</f>
        <v>1.4953738234331651</v>
      </c>
      <c r="Z307" s="80"/>
      <c r="AA307" s="3"/>
      <c r="AB307" s="3"/>
      <c r="AC307" s="14">
        <v>295</v>
      </c>
      <c r="AD307" s="14"/>
      <c r="AE307" s="14"/>
      <c r="AF307" s="297"/>
      <c r="AG307" s="297"/>
      <c r="AH307" s="297"/>
      <c r="AI307" s="14"/>
      <c r="AJ307" s="14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</row>
    <row r="308" spans="1:47" ht="14.25" customHeight="1" x14ac:dyDescent="0.2">
      <c r="A308" s="3"/>
      <c r="B308" s="417"/>
      <c r="C308" s="173">
        <v>298</v>
      </c>
      <c r="D308" s="165"/>
      <c r="E308" s="174">
        <v>4.1050077712355693E-3</v>
      </c>
      <c r="F308" s="502"/>
      <c r="G308" s="219">
        <f t="shared" si="26"/>
        <v>4.2942305572569808</v>
      </c>
      <c r="H308" s="249">
        <f>H307+(G307*E308*'life-tables-test'!$C$66)</f>
        <v>95.705769442743019</v>
      </c>
      <c r="I308" s="516">
        <f t="shared" si="24"/>
        <v>100</v>
      </c>
      <c r="J308" s="153">
        <f>(G308*0)/(1+cDR)^'Markov Model_SA1'!cycle</f>
        <v>0</v>
      </c>
      <c r="K308" s="178">
        <f t="shared" si="27"/>
        <v>4.2942305572569808</v>
      </c>
      <c r="L308" s="202">
        <f>(G308*(uPostT))/(1+oDR)^'Markov Model_SA1'!cycle</f>
        <v>1.5507911902510154</v>
      </c>
      <c r="M308" s="80"/>
      <c r="N308" s="3"/>
      <c r="O308" s="80"/>
      <c r="P308" s="173">
        <v>298</v>
      </c>
      <c r="Q308" s="165"/>
      <c r="R308" s="174">
        <v>4.1050077712355693E-3</v>
      </c>
      <c r="S308" s="502"/>
      <c r="T308" s="219">
        <f t="shared" si="25"/>
        <v>4.0456728772187063</v>
      </c>
      <c r="U308" s="249">
        <f>U307+(T307*R308*'life-tables-test'!$C$66)</f>
        <v>95.954327122781294</v>
      </c>
      <c r="V308" s="516">
        <f t="shared" si="22"/>
        <v>100</v>
      </c>
      <c r="W308" s="153">
        <f>(T308*0)/(1+cDR)^'Markov Model_SA1'!cycle2</f>
        <v>0</v>
      </c>
      <c r="X308" s="178">
        <f t="shared" si="23"/>
        <v>4.0456728772187063</v>
      </c>
      <c r="Y308" s="202">
        <f>(T308*(uPostT))/(1+oDR)^'Markov Model_SA1'!cycle</f>
        <v>1.4610286459877173</v>
      </c>
      <c r="Z308" s="80"/>
      <c r="AA308" s="3"/>
      <c r="AB308" s="3"/>
      <c r="AC308" s="14">
        <v>296</v>
      </c>
      <c r="AD308" s="14"/>
      <c r="AE308" s="14"/>
      <c r="AF308" s="297"/>
      <c r="AG308" s="297"/>
      <c r="AH308" s="297"/>
      <c r="AI308" s="14"/>
      <c r="AJ308" s="14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</row>
    <row r="309" spans="1:47" ht="14.25" customHeight="1" x14ac:dyDescent="0.2">
      <c r="A309" s="3"/>
      <c r="B309" s="417"/>
      <c r="C309" s="173">
        <v>299</v>
      </c>
      <c r="D309" s="165"/>
      <c r="E309" s="174">
        <v>4.1050077712355693E-3</v>
      </c>
      <c r="F309" s="502"/>
      <c r="G309" s="219">
        <f t="shared" si="26"/>
        <v>4.2060913082118958</v>
      </c>
      <c r="H309" s="249">
        <f>H308+(G308*E309*'life-tables-test'!$C$66)</f>
        <v>95.793908691788104</v>
      </c>
      <c r="I309" s="516">
        <f t="shared" si="24"/>
        <v>100</v>
      </c>
      <c r="J309" s="153">
        <f>(G309*0)/(1+cDR)^'Markov Model_SA1'!cycle</f>
        <v>0</v>
      </c>
      <c r="K309" s="178">
        <f t="shared" si="27"/>
        <v>4.2060913082118958</v>
      </c>
      <c r="L309" s="202">
        <f>(G309*(uPostT))/(1+oDR)^'Markov Model_SA1'!cycle</f>
        <v>1.5151732077938109</v>
      </c>
      <c r="M309" s="80"/>
      <c r="N309" s="3"/>
      <c r="O309" s="80"/>
      <c r="P309" s="173">
        <v>299</v>
      </c>
      <c r="Q309" s="165"/>
      <c r="R309" s="174">
        <v>4.1050077712355693E-3</v>
      </c>
      <c r="S309" s="502"/>
      <c r="T309" s="219">
        <f t="shared" si="25"/>
        <v>3.9626352842144144</v>
      </c>
      <c r="U309" s="249">
        <f>U308+(T308*R309*'life-tables-test'!$C$66)</f>
        <v>96.037364715785586</v>
      </c>
      <c r="V309" s="516">
        <f t="shared" si="22"/>
        <v>100</v>
      </c>
      <c r="W309" s="153">
        <f>(T309*0)/(1+cDR)^'Markov Model_SA1'!cycle2</f>
        <v>0</v>
      </c>
      <c r="X309" s="178">
        <f t="shared" si="23"/>
        <v>3.9626352842144144</v>
      </c>
      <c r="Y309" s="202">
        <f>(T309*(uPostT))/(1+oDR)^'Markov Model_SA1'!cycle</f>
        <v>1.427472295520033</v>
      </c>
      <c r="Z309" s="80"/>
      <c r="AA309" s="3"/>
      <c r="AB309" s="3"/>
      <c r="AC309" s="14">
        <v>297</v>
      </c>
      <c r="AD309" s="14"/>
      <c r="AE309" s="14"/>
      <c r="AF309" s="297"/>
      <c r="AG309" s="297"/>
      <c r="AH309" s="297"/>
      <c r="AI309" s="14"/>
      <c r="AJ309" s="14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</row>
    <row r="310" spans="1:47" ht="14.25" customHeight="1" x14ac:dyDescent="0.2">
      <c r="A310" s="3"/>
      <c r="B310" s="417"/>
      <c r="C310" s="173">
        <v>300</v>
      </c>
      <c r="D310" s="165"/>
      <c r="E310" s="174">
        <v>4.1050077712355693E-3</v>
      </c>
      <c r="F310" s="502"/>
      <c r="G310" s="219">
        <f t="shared" si="26"/>
        <v>4.1197611206782199</v>
      </c>
      <c r="H310" s="249">
        <f>H309+(G309*E310*'life-tables-test'!$C$66)</f>
        <v>95.88023887932178</v>
      </c>
      <c r="I310" s="516">
        <f t="shared" si="24"/>
        <v>100</v>
      </c>
      <c r="J310" s="153">
        <f>(G310*0)/(1+cDR)^'Markov Model_SA1'!cycle</f>
        <v>0</v>
      </c>
      <c r="K310" s="178">
        <f t="shared" si="27"/>
        <v>4.1197611206782199</v>
      </c>
      <c r="L310" s="202">
        <f>(G310*(uPostT))/(1+oDR)^'Markov Model_SA1'!cycle</f>
        <v>1.4803732856159653</v>
      </c>
      <c r="M310" s="80"/>
      <c r="N310" s="3"/>
      <c r="O310" s="80"/>
      <c r="P310" s="173">
        <v>300</v>
      </c>
      <c r="Q310" s="165"/>
      <c r="R310" s="174">
        <v>4.1050077712355693E-3</v>
      </c>
      <c r="S310" s="502"/>
      <c r="T310" s="219">
        <f t="shared" si="25"/>
        <v>3.8813020410330523</v>
      </c>
      <c r="U310" s="249">
        <f>U309+(T309*R310*'life-tables-test'!$C$66)</f>
        <v>96.118697958966948</v>
      </c>
      <c r="V310" s="516">
        <f t="shared" si="22"/>
        <v>100</v>
      </c>
      <c r="W310" s="153">
        <f>(T310*0)/(1+cDR)^'Markov Model_SA1'!cycle2</f>
        <v>0</v>
      </c>
      <c r="X310" s="178">
        <f t="shared" si="23"/>
        <v>3.8813020410330523</v>
      </c>
      <c r="Y310" s="202">
        <f>(T310*(uPostT))/(1+oDR)^'Markov Model_SA1'!cycle</f>
        <v>1.3946866545519871</v>
      </c>
      <c r="Z310" s="80"/>
      <c r="AA310" s="3"/>
      <c r="AB310" s="3"/>
      <c r="AC310" s="14">
        <v>298</v>
      </c>
      <c r="AD310" s="14"/>
      <c r="AE310" s="14"/>
      <c r="AF310" s="297"/>
      <c r="AG310" s="297"/>
      <c r="AH310" s="297"/>
      <c r="AI310" s="14"/>
      <c r="AJ310" s="14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</row>
    <row r="311" spans="1:47" ht="14.25" customHeight="1" x14ac:dyDescent="0.2">
      <c r="A311" s="3"/>
      <c r="B311" s="417"/>
      <c r="C311" s="173">
        <v>301</v>
      </c>
      <c r="D311" s="504"/>
      <c r="E311" s="174">
        <v>4.1050077712355693E-3</v>
      </c>
      <c r="F311" s="505"/>
      <c r="G311" s="219">
        <f t="shared" si="26"/>
        <v>4.0352028635981299</v>
      </c>
      <c r="H311" s="249">
        <f>H310+(G310*E311*'life-tables-test'!$C$66)</f>
        <v>95.96479713640187</v>
      </c>
      <c r="I311" s="516">
        <f t="shared" si="24"/>
        <v>100</v>
      </c>
      <c r="J311" s="180">
        <f>(G311*0)/(1+cDR)^'Markov Model_SA1'!cycle</f>
        <v>0</v>
      </c>
      <c r="K311" s="176">
        <f t="shared" si="27"/>
        <v>4.0352028635981299</v>
      </c>
      <c r="L311" s="202">
        <f>(G311*(uPostT))/(1+oDR)^'Markov Model_SA1'!cycle</f>
        <v>1.4463726348200003</v>
      </c>
      <c r="M311" s="80"/>
      <c r="N311" s="3"/>
      <c r="O311" s="80"/>
      <c r="P311" s="173">
        <v>301</v>
      </c>
      <c r="Q311" s="504"/>
      <c r="R311" s="174">
        <v>4.1050077712355693E-3</v>
      </c>
      <c r="S311" s="505"/>
      <c r="T311" s="219">
        <f t="shared" si="25"/>
        <v>3.8016381658282796</v>
      </c>
      <c r="U311" s="249">
        <f>U310+(T310*R311*'life-tables-test'!$C$66)</f>
        <v>96.19836183417172</v>
      </c>
      <c r="V311" s="516">
        <f t="shared" si="22"/>
        <v>100</v>
      </c>
      <c r="W311" s="180">
        <f>(T311*0)/(1+cDR)^'Markov Model_SA1'!cycle2</f>
        <v>0</v>
      </c>
      <c r="X311" s="176">
        <f t="shared" si="23"/>
        <v>3.8016381658282796</v>
      </c>
      <c r="Y311" s="202">
        <f>(T311*(uPostT))/(1+oDR)^'Markov Model_SA1'!cycle</f>
        <v>1.3626540217208103</v>
      </c>
      <c r="Z311" s="80"/>
      <c r="AA311" s="3"/>
      <c r="AB311" s="3"/>
      <c r="AC311" s="14">
        <v>299</v>
      </c>
      <c r="AD311" s="14"/>
      <c r="AE311" s="14"/>
      <c r="AF311" s="297"/>
      <c r="AG311" s="297"/>
      <c r="AH311" s="297"/>
      <c r="AI311" s="14"/>
      <c r="AJ311" s="14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</row>
    <row r="312" spans="1:47" ht="14.25" customHeight="1" x14ac:dyDescent="0.25">
      <c r="A312" s="3">
        <v>27</v>
      </c>
      <c r="B312" s="417"/>
      <c r="C312" s="506">
        <v>302</v>
      </c>
      <c r="D312" s="506"/>
      <c r="E312" s="507">
        <v>4.1050077712355693E-3</v>
      </c>
      <c r="F312" s="508"/>
      <c r="G312" s="509">
        <f t="shared" si="26"/>
        <v>3.9523801680302171</v>
      </c>
      <c r="H312" s="510">
        <f>H311+(G311*E312*'life-tables-test'!$C$66)</f>
        <v>96.047619831969783</v>
      </c>
      <c r="I312" s="518">
        <f t="shared" si="24"/>
        <v>100</v>
      </c>
      <c r="J312" s="511">
        <f>(G312*0)/(1+cDR)^'Markov Model_SA1'!cycle</f>
        <v>0</v>
      </c>
      <c r="K312" s="512">
        <f t="shared" si="27"/>
        <v>3.9523801680302171</v>
      </c>
      <c r="L312" s="513">
        <f>(G312*(uPostT))/(1+oDR)^'Markov Model_SA1'!cycle</f>
        <v>1.4131528980446957</v>
      </c>
      <c r="M312" s="80"/>
      <c r="N312" s="3"/>
      <c r="O312" s="80"/>
      <c r="P312" s="506">
        <v>302</v>
      </c>
      <c r="Q312" s="506"/>
      <c r="R312" s="507">
        <v>4.1050077712355693E-3</v>
      </c>
      <c r="S312" s="508"/>
      <c r="T312" s="509">
        <f t="shared" si="25"/>
        <v>3.7236093947575313</v>
      </c>
      <c r="U312" s="510">
        <f>U311+(T311*R312*'life-tables-test'!$C$66)</f>
        <v>96.276390605242469</v>
      </c>
      <c r="V312" s="518">
        <f t="shared" ref="V312:V375" si="28">SUM(T312:U312)</f>
        <v>100</v>
      </c>
      <c r="W312" s="511">
        <f>(T312*0)/(1+cDR)^'Markov Model_SA1'!cycle2</f>
        <v>0</v>
      </c>
      <c r="X312" s="512">
        <f t="shared" ref="X312:X375" si="29">T312</f>
        <v>3.7236093947575313</v>
      </c>
      <c r="Y312" s="513">
        <f>(T312*(uPostT))/(1+oDR)^'Markov Model_SA1'!cycle</f>
        <v>1.3313571022219115</v>
      </c>
      <c r="Z312" s="80"/>
      <c r="AA312" s="3"/>
      <c r="AB312" s="3"/>
      <c r="AC312" s="14">
        <v>300</v>
      </c>
      <c r="AD312" s="14"/>
      <c r="AE312" s="14"/>
      <c r="AF312" s="297"/>
      <c r="AG312" s="297"/>
      <c r="AH312" s="297"/>
      <c r="AI312" s="14"/>
      <c r="AJ312" s="14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</row>
    <row r="313" spans="1:47" ht="14.25" customHeight="1" x14ac:dyDescent="0.2">
      <c r="A313" s="3"/>
      <c r="B313" s="417"/>
      <c r="C313" s="173">
        <v>303</v>
      </c>
      <c r="D313" s="165"/>
      <c r="E313" s="174">
        <v>4.5466575584373059E-3</v>
      </c>
      <c r="F313" s="502"/>
      <c r="G313" s="219">
        <f t="shared" si="26"/>
        <v>3.862529572206256</v>
      </c>
      <c r="H313" s="249">
        <f>H312+(G312*E313*'life-tables-test'!$C$66)</f>
        <v>96.137470427793744</v>
      </c>
      <c r="I313" s="516">
        <f t="shared" ref="I313:I376" si="30">SUM(G313:H313)</f>
        <v>100</v>
      </c>
      <c r="J313" s="153">
        <f>(G313*0)/(1+cDR)^'Markov Model_SA1'!cycle</f>
        <v>0</v>
      </c>
      <c r="K313" s="178">
        <f t="shared" si="27"/>
        <v>3.862529572206256</v>
      </c>
      <c r="L313" s="202">
        <f>(G313*(uPostT))/(1+oDR)^'Markov Model_SA1'!cycle</f>
        <v>1.377583328198587</v>
      </c>
      <c r="M313" s="80"/>
      <c r="N313" s="3"/>
      <c r="O313" s="80"/>
      <c r="P313" s="173">
        <v>303</v>
      </c>
      <c r="Q313" s="165"/>
      <c r="R313" s="174">
        <v>4.5466575584373059E-3</v>
      </c>
      <c r="S313" s="502"/>
      <c r="T313" s="219">
        <f t="shared" ref="T313:T376" si="31">$T$10-U313</f>
        <v>3.638959510760813</v>
      </c>
      <c r="U313" s="249">
        <f>U312+(T312*R313*'life-tables-test'!$C$66)</f>
        <v>96.361040489239187</v>
      </c>
      <c r="V313" s="516">
        <f t="shared" si="28"/>
        <v>100</v>
      </c>
      <c r="W313" s="153">
        <f>(T313*0)/(1+cDR)^'Markov Model_SA1'!cycle2</f>
        <v>0</v>
      </c>
      <c r="X313" s="178">
        <f t="shared" si="29"/>
        <v>3.638959510760813</v>
      </c>
      <c r="Y313" s="202">
        <f>(T313*(uPostT))/(1+oDR)^'Markov Model_SA1'!cycle</f>
        <v>1.2978463621575334</v>
      </c>
      <c r="Z313" s="80"/>
      <c r="AA313" s="3"/>
      <c r="AB313" s="3"/>
      <c r="AC313" s="14">
        <v>301</v>
      </c>
      <c r="AD313" s="14"/>
      <c r="AE313" s="14"/>
      <c r="AF313" s="297"/>
      <c r="AG313" s="297"/>
      <c r="AH313" s="297"/>
      <c r="AI313" s="14"/>
      <c r="AJ313" s="14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</row>
    <row r="314" spans="1:47" ht="14.25" customHeight="1" x14ac:dyDescent="0.2">
      <c r="A314" s="3"/>
      <c r="B314" s="417"/>
      <c r="C314" s="173">
        <v>304</v>
      </c>
      <c r="D314" s="165"/>
      <c r="E314" s="174">
        <v>4.5466575584373059E-3</v>
      </c>
      <c r="F314" s="502"/>
      <c r="G314" s="219">
        <f t="shared" si="26"/>
        <v>3.7747215758354571</v>
      </c>
      <c r="H314" s="249">
        <f>H313+(G313*E314*'life-tables-test'!$C$66)</f>
        <v>96.225278424164543</v>
      </c>
      <c r="I314" s="516">
        <f t="shared" si="30"/>
        <v>100</v>
      </c>
      <c r="J314" s="153">
        <f>(G314*0)/(1+cDR)^'Markov Model_SA1'!cycle</f>
        <v>0</v>
      </c>
      <c r="K314" s="178">
        <f t="shared" si="27"/>
        <v>3.7747215758354571</v>
      </c>
      <c r="L314" s="202">
        <f>(G314*(uPostT))/(1+oDR)^'Markov Model_SA1'!cycle</f>
        <v>1.3429090572976847</v>
      </c>
      <c r="M314" s="80"/>
      <c r="N314" s="3"/>
      <c r="O314" s="80"/>
      <c r="P314" s="173">
        <v>304</v>
      </c>
      <c r="Q314" s="165"/>
      <c r="R314" s="174">
        <v>4.5466575584373059E-3</v>
      </c>
      <c r="S314" s="502"/>
      <c r="T314" s="219">
        <f t="shared" si="31"/>
        <v>3.5562339969385732</v>
      </c>
      <c r="U314" s="249">
        <f>U313+(T313*R314*'life-tables-test'!$C$66)</f>
        <v>96.443766003061427</v>
      </c>
      <c r="V314" s="516">
        <f t="shared" si="28"/>
        <v>100</v>
      </c>
      <c r="W314" s="153">
        <f>(T314*0)/(1+cDR)^'Markov Model_SA1'!cycle2</f>
        <v>0</v>
      </c>
      <c r="X314" s="178">
        <f t="shared" si="29"/>
        <v>3.5562339969385732</v>
      </c>
      <c r="Y314" s="202">
        <f>(T314*(uPostT))/(1+oDR)^'Markov Model_SA1'!cycle</f>
        <v>1.2651790995476939</v>
      </c>
      <c r="Z314" s="80"/>
      <c r="AA314" s="3"/>
      <c r="AB314" s="3"/>
      <c r="AC314" s="14">
        <v>302</v>
      </c>
      <c r="AD314" s="14"/>
      <c r="AE314" s="14"/>
      <c r="AF314" s="297"/>
      <c r="AG314" s="297"/>
      <c r="AH314" s="297"/>
      <c r="AI314" s="14"/>
      <c r="AJ314" s="14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</row>
    <row r="315" spans="1:47" ht="14.25" customHeight="1" x14ac:dyDescent="0.2">
      <c r="A315" s="3"/>
      <c r="B315" s="417"/>
      <c r="C315" s="173">
        <v>305</v>
      </c>
      <c r="D315" s="165"/>
      <c r="E315" s="174">
        <v>4.5466575584373059E-3</v>
      </c>
      <c r="F315" s="502"/>
      <c r="G315" s="219">
        <f t="shared" si="26"/>
        <v>3.6889097439166108</v>
      </c>
      <c r="H315" s="249">
        <f>H314+(G314*E315*'life-tables-test'!$C$66)</f>
        <v>96.311090256083389</v>
      </c>
      <c r="I315" s="516">
        <f t="shared" si="30"/>
        <v>100</v>
      </c>
      <c r="J315" s="153">
        <f>(G315*0)/(1+cDR)^'Markov Model_SA1'!cycle</f>
        <v>0</v>
      </c>
      <c r="K315" s="178">
        <f t="shared" si="27"/>
        <v>3.6889097439166108</v>
      </c>
      <c r="L315" s="202">
        <f>(G315*(uPostT))/(1+oDR)^'Markov Model_SA1'!cycle</f>
        <v>1.309107550343543</v>
      </c>
      <c r="M315" s="80"/>
      <c r="N315" s="3"/>
      <c r="O315" s="80"/>
      <c r="P315" s="173">
        <v>305</v>
      </c>
      <c r="Q315" s="165"/>
      <c r="R315" s="174">
        <v>4.5466575584373059E-3</v>
      </c>
      <c r="S315" s="502"/>
      <c r="T315" s="219">
        <f t="shared" si="31"/>
        <v>3.4753891060298088</v>
      </c>
      <c r="U315" s="249">
        <f>U314+(T314*R315*'life-tables-test'!$C$66)</f>
        <v>96.524610893970191</v>
      </c>
      <c r="V315" s="516">
        <f t="shared" si="28"/>
        <v>100</v>
      </c>
      <c r="W315" s="153">
        <f>(T315*0)/(1+cDR)^'Markov Model_SA1'!cycle2</f>
        <v>0</v>
      </c>
      <c r="X315" s="178">
        <f t="shared" si="29"/>
        <v>3.4753891060298088</v>
      </c>
      <c r="Y315" s="202">
        <f>(T315*(uPostT))/(1+oDR)^'Markov Model_SA1'!cycle</f>
        <v>1.2333340837596176</v>
      </c>
      <c r="Z315" s="80"/>
      <c r="AA315" s="3"/>
      <c r="AB315" s="3"/>
      <c r="AC315" s="14">
        <v>303</v>
      </c>
      <c r="AD315" s="14"/>
      <c r="AE315" s="14"/>
      <c r="AF315" s="297"/>
      <c r="AG315" s="297"/>
      <c r="AH315" s="297"/>
      <c r="AI315" s="14"/>
      <c r="AJ315" s="14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</row>
    <row r="316" spans="1:47" ht="14.25" customHeight="1" x14ac:dyDescent="0.2">
      <c r="A316" s="3"/>
      <c r="B316" s="417"/>
      <c r="C316" s="173">
        <v>306</v>
      </c>
      <c r="D316" s="165"/>
      <c r="E316" s="174">
        <v>4.5466575584373059E-3</v>
      </c>
      <c r="F316" s="502"/>
      <c r="G316" s="219">
        <f t="shared" si="26"/>
        <v>3.605048697068753</v>
      </c>
      <c r="H316" s="249">
        <f>H315+(G315*E316*'life-tables-test'!$C$66)</f>
        <v>96.394951302931247</v>
      </c>
      <c r="I316" s="516">
        <f t="shared" si="30"/>
        <v>100</v>
      </c>
      <c r="J316" s="153">
        <f>(G316*0)/(1+cDR)^'Markov Model_SA1'!cycle</f>
        <v>0</v>
      </c>
      <c r="K316" s="178">
        <f t="shared" si="27"/>
        <v>3.605048697068753</v>
      </c>
      <c r="L316" s="202">
        <f>(G316*(uPostT))/(1+oDR)^'Markov Model_SA1'!cycle</f>
        <v>1.2761568395517791</v>
      </c>
      <c r="M316" s="80"/>
      <c r="N316" s="3"/>
      <c r="O316" s="80"/>
      <c r="P316" s="173">
        <v>306</v>
      </c>
      <c r="Q316" s="165"/>
      <c r="R316" s="174">
        <v>4.5466575584373059E-3</v>
      </c>
      <c r="S316" s="502"/>
      <c r="T316" s="219">
        <f t="shared" si="31"/>
        <v>3.3963820852926006</v>
      </c>
      <c r="U316" s="249">
        <f>U315+(T315*R316*'life-tables-test'!$C$66)</f>
        <v>96.603617914707399</v>
      </c>
      <c r="V316" s="516">
        <f t="shared" si="28"/>
        <v>100</v>
      </c>
      <c r="W316" s="153">
        <f>(T316*0)/(1+cDR)^'Markov Model_SA1'!cycle2</f>
        <v>0</v>
      </c>
      <c r="X316" s="178">
        <f t="shared" si="29"/>
        <v>3.3963820852926006</v>
      </c>
      <c r="Y316" s="202">
        <f>(T316*(uPostT))/(1+oDR)^'Markov Model_SA1'!cycle</f>
        <v>1.2022906185432383</v>
      </c>
      <c r="Z316" s="80"/>
      <c r="AA316" s="3"/>
      <c r="AB316" s="3"/>
      <c r="AC316" s="14">
        <v>304</v>
      </c>
      <c r="AD316" s="14"/>
      <c r="AE316" s="14"/>
      <c r="AF316" s="297"/>
      <c r="AG316" s="297"/>
      <c r="AH316" s="297"/>
      <c r="AI316" s="14"/>
      <c r="AJ316" s="14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</row>
    <row r="317" spans="1:47" ht="14.25" customHeight="1" x14ac:dyDescent="0.2">
      <c r="A317" s="3"/>
      <c r="B317" s="417"/>
      <c r="C317" s="173">
        <v>307</v>
      </c>
      <c r="D317" s="165"/>
      <c r="E317" s="174">
        <v>4.5466575584373059E-3</v>
      </c>
      <c r="F317" s="502"/>
      <c r="G317" s="219">
        <f t="shared" si="26"/>
        <v>3.5230940875334369</v>
      </c>
      <c r="H317" s="249">
        <f>H316+(G316*E317*'life-tables-test'!$C$66)</f>
        <v>96.476905912466563</v>
      </c>
      <c r="I317" s="516">
        <f t="shared" si="30"/>
        <v>100</v>
      </c>
      <c r="J317" s="153">
        <f>(G317*0)/(1+cDR)^'Markov Model_SA1'!cycle</f>
        <v>0</v>
      </c>
      <c r="K317" s="178">
        <f t="shared" si="27"/>
        <v>3.5230940875334369</v>
      </c>
      <c r="L317" s="202">
        <f>(G317*(uPostT))/(1+oDR)^'Markov Model_SA1'!cycle</f>
        <v>1.2440355100750919</v>
      </c>
      <c r="M317" s="80"/>
      <c r="N317" s="3"/>
      <c r="O317" s="80"/>
      <c r="P317" s="173">
        <v>307</v>
      </c>
      <c r="Q317" s="165"/>
      <c r="R317" s="174">
        <v>4.5466575584373059E-3</v>
      </c>
      <c r="S317" s="502"/>
      <c r="T317" s="219">
        <f t="shared" si="31"/>
        <v>3.319171153895411</v>
      </c>
      <c r="U317" s="249">
        <f>U316+(T316*R317*'life-tables-test'!$C$66)</f>
        <v>96.680828846104589</v>
      </c>
      <c r="V317" s="516">
        <f t="shared" si="28"/>
        <v>100</v>
      </c>
      <c r="W317" s="153">
        <f>(T317*0)/(1+cDR)^'Markov Model_SA1'!cycle2</f>
        <v>0</v>
      </c>
      <c r="X317" s="178">
        <f t="shared" si="29"/>
        <v>3.319171153895411</v>
      </c>
      <c r="Y317" s="202">
        <f>(T317*(uPostT))/(1+oDR)^'Markov Model_SA1'!cycle</f>
        <v>1.1720285285805951</v>
      </c>
      <c r="Z317" s="80"/>
      <c r="AA317" s="3"/>
      <c r="AB317" s="3"/>
      <c r="AC317" s="14">
        <v>305</v>
      </c>
      <c r="AD317" s="14"/>
      <c r="AE317" s="14"/>
      <c r="AF317" s="297"/>
      <c r="AG317" s="297"/>
      <c r="AH317" s="297"/>
      <c r="AI317" s="14"/>
      <c r="AJ317" s="14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</row>
    <row r="318" spans="1:47" ht="14.25" customHeight="1" x14ac:dyDescent="0.2">
      <c r="A318" s="3"/>
      <c r="B318" s="417"/>
      <c r="C318" s="173">
        <v>308</v>
      </c>
      <c r="D318" s="165"/>
      <c r="E318" s="174">
        <v>4.5466575584373059E-3</v>
      </c>
      <c r="F318" s="502"/>
      <c r="G318" s="219">
        <f t="shared" si="26"/>
        <v>3.4430025757225877</v>
      </c>
      <c r="H318" s="249">
        <f>H317+(G317*E318*'life-tables-test'!$C$66)</f>
        <v>96.556997424277412</v>
      </c>
      <c r="I318" s="516">
        <f t="shared" si="30"/>
        <v>100</v>
      </c>
      <c r="J318" s="153">
        <f>(G318*0)/(1+cDR)^'Markov Model_SA1'!cycle</f>
        <v>0</v>
      </c>
      <c r="K318" s="178">
        <f t="shared" si="27"/>
        <v>3.4430025757225877</v>
      </c>
      <c r="L318" s="202">
        <f>(G318*(uPostT))/(1+oDR)^'Markov Model_SA1'!cycle</f>
        <v>1.2127226860856408</v>
      </c>
      <c r="M318" s="80"/>
      <c r="N318" s="3"/>
      <c r="O318" s="80"/>
      <c r="P318" s="173">
        <v>308</v>
      </c>
      <c r="Q318" s="165"/>
      <c r="R318" s="174">
        <v>4.5466575584373059E-3</v>
      </c>
      <c r="S318" s="502"/>
      <c r="T318" s="219">
        <f t="shared" si="31"/>
        <v>3.243715480822388</v>
      </c>
      <c r="U318" s="249">
        <f>U317+(T317*R318*'life-tables-test'!$C$66)</f>
        <v>96.756284519177612</v>
      </c>
      <c r="V318" s="516">
        <f t="shared" si="28"/>
        <v>100</v>
      </c>
      <c r="W318" s="153">
        <f>(T318*0)/(1+cDR)^'Markov Model_SA1'!cycle2</f>
        <v>0</v>
      </c>
      <c r="X318" s="178">
        <f t="shared" si="29"/>
        <v>3.243715480822388</v>
      </c>
      <c r="Y318" s="202">
        <f>(T318*(uPostT))/(1+oDR)^'Markov Model_SA1'!cycle</f>
        <v>1.1425281463737871</v>
      </c>
      <c r="Z318" s="80"/>
      <c r="AA318" s="3"/>
      <c r="AB318" s="3"/>
      <c r="AC318" s="14">
        <v>306</v>
      </c>
      <c r="AD318" s="14"/>
      <c r="AE318" s="14"/>
      <c r="AF318" s="297"/>
      <c r="AG318" s="297"/>
      <c r="AH318" s="297"/>
      <c r="AI318" s="14"/>
      <c r="AJ318" s="14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</row>
    <row r="319" spans="1:47" ht="14.25" customHeight="1" x14ac:dyDescent="0.2">
      <c r="A319" s="3"/>
      <c r="B319" s="417"/>
      <c r="C319" s="173">
        <v>309</v>
      </c>
      <c r="D319" s="165"/>
      <c r="E319" s="174">
        <v>4.5466575584373059E-3</v>
      </c>
      <c r="F319" s="502"/>
      <c r="G319" s="219">
        <f t="shared" si="26"/>
        <v>3.3647318072994494</v>
      </c>
      <c r="H319" s="249">
        <f>H318+(G318*E319*'life-tables-test'!$C$66)</f>
        <v>96.635268192700551</v>
      </c>
      <c r="I319" s="516">
        <f t="shared" si="30"/>
        <v>100</v>
      </c>
      <c r="J319" s="153">
        <f>(G319*0)/(1+cDR)^'Markov Model_SA1'!cycle</f>
        <v>0</v>
      </c>
      <c r="K319" s="178">
        <f t="shared" si="27"/>
        <v>3.3647318072994494</v>
      </c>
      <c r="L319" s="202">
        <f>(G319*(uPostT))/(1+oDR)^'Markov Model_SA1'!cycle</f>
        <v>1.1821980172077242</v>
      </c>
      <c r="M319" s="80"/>
      <c r="N319" s="3"/>
      <c r="O319" s="80"/>
      <c r="P319" s="173">
        <v>309</v>
      </c>
      <c r="Q319" s="165"/>
      <c r="R319" s="174">
        <v>4.5466575584373059E-3</v>
      </c>
      <c r="S319" s="502"/>
      <c r="T319" s="219">
        <f t="shared" si="31"/>
        <v>3.1699751632808812</v>
      </c>
      <c r="U319" s="249">
        <f>U318+(T318*R319*'life-tables-test'!$C$66)</f>
        <v>96.830024836719119</v>
      </c>
      <c r="V319" s="516">
        <f t="shared" si="28"/>
        <v>100</v>
      </c>
      <c r="W319" s="153">
        <f>(T319*0)/(1+cDR)^'Markov Model_SA1'!cycle2</f>
        <v>0</v>
      </c>
      <c r="X319" s="178">
        <f t="shared" si="29"/>
        <v>3.1699751632808812</v>
      </c>
      <c r="Y319" s="202">
        <f>(T319*(uPostT))/(1+oDR)^'Markov Model_SA1'!cycle</f>
        <v>1.1137702994629408</v>
      </c>
      <c r="Z319" s="80"/>
      <c r="AA319" s="3"/>
      <c r="AB319" s="3"/>
      <c r="AC319" s="14">
        <v>307</v>
      </c>
      <c r="AD319" s="14"/>
      <c r="AE319" s="14"/>
      <c r="AF319" s="297"/>
      <c r="AG319" s="297"/>
      <c r="AH319" s="297"/>
      <c r="AI319" s="14"/>
      <c r="AJ319" s="14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</row>
    <row r="320" spans="1:47" ht="14.25" customHeight="1" x14ac:dyDescent="0.2">
      <c r="A320" s="3"/>
      <c r="B320" s="417"/>
      <c r="C320" s="173">
        <v>310</v>
      </c>
      <c r="D320" s="165"/>
      <c r="E320" s="174">
        <v>4.5466575584373059E-3</v>
      </c>
      <c r="F320" s="502"/>
      <c r="G320" s="219">
        <f t="shared" si="26"/>
        <v>3.2882403907805866</v>
      </c>
      <c r="H320" s="249">
        <f>H319+(G319*E320*'life-tables-test'!$C$66)</f>
        <v>96.711759609219413</v>
      </c>
      <c r="I320" s="516">
        <f t="shared" si="30"/>
        <v>100</v>
      </c>
      <c r="J320" s="153">
        <f>(G320*0)/(1+cDR)^'Markov Model_SA1'!cycle</f>
        <v>0</v>
      </c>
      <c r="K320" s="178">
        <f t="shared" si="27"/>
        <v>3.2882403907805866</v>
      </c>
      <c r="L320" s="202">
        <f>(G320*(uPostT))/(1+oDR)^'Markov Model_SA1'!cycle</f>
        <v>1.1524416652919589</v>
      </c>
      <c r="M320" s="80"/>
      <c r="N320" s="3"/>
      <c r="O320" s="80"/>
      <c r="P320" s="173">
        <v>310</v>
      </c>
      <c r="Q320" s="165"/>
      <c r="R320" s="174">
        <v>4.5466575584373059E-3</v>
      </c>
      <c r="S320" s="502"/>
      <c r="T320" s="219">
        <f t="shared" si="31"/>
        <v>3.0979112055999281</v>
      </c>
      <c r="U320" s="249">
        <f>U319+(T319*R320*'life-tables-test'!$C$66)</f>
        <v>96.902088794400072</v>
      </c>
      <c r="V320" s="516">
        <f t="shared" si="28"/>
        <v>100</v>
      </c>
      <c r="W320" s="153">
        <f>(T320*0)/(1+cDR)^'Markov Model_SA1'!cycle2</f>
        <v>0</v>
      </c>
      <c r="X320" s="178">
        <f t="shared" si="29"/>
        <v>3.0979112055999281</v>
      </c>
      <c r="Y320" s="202">
        <f>(T320*(uPostT))/(1+oDR)^'Markov Model_SA1'!cycle</f>
        <v>1.0857362979659435</v>
      </c>
      <c r="Z320" s="80"/>
      <c r="AA320" s="3"/>
      <c r="AB320" s="3"/>
      <c r="AC320" s="14">
        <v>308</v>
      </c>
      <c r="AD320" s="14"/>
      <c r="AE320" s="14"/>
      <c r="AF320" s="297"/>
      <c r="AG320" s="297"/>
      <c r="AH320" s="297"/>
      <c r="AI320" s="14"/>
      <c r="AJ320" s="14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</row>
    <row r="321" spans="1:47" ht="14.25" customHeight="1" x14ac:dyDescent="0.2">
      <c r="A321" s="3"/>
      <c r="B321" s="417"/>
      <c r="C321" s="173">
        <v>311</v>
      </c>
      <c r="D321" s="165"/>
      <c r="E321" s="174">
        <v>4.5466575584373059E-3</v>
      </c>
      <c r="F321" s="502"/>
      <c r="G321" s="219">
        <f t="shared" si="26"/>
        <v>3.2134878756470755</v>
      </c>
      <c r="H321" s="249">
        <f>H320+(G320*E321*'life-tables-test'!$C$66)</f>
        <v>96.786512124352925</v>
      </c>
      <c r="I321" s="516">
        <f t="shared" si="30"/>
        <v>100</v>
      </c>
      <c r="J321" s="153">
        <f>(G321*0)/(1+cDR)^'Markov Model_SA1'!cycle</f>
        <v>0</v>
      </c>
      <c r="K321" s="178">
        <f t="shared" si="27"/>
        <v>3.2134878756470755</v>
      </c>
      <c r="L321" s="202">
        <f>(G321*(uPostT))/(1+oDR)^'Markov Model_SA1'!cycle</f>
        <v>1.1234342915223627</v>
      </c>
      <c r="M321" s="80"/>
      <c r="N321" s="3"/>
      <c r="O321" s="80"/>
      <c r="P321" s="173">
        <v>311</v>
      </c>
      <c r="Q321" s="165"/>
      <c r="R321" s="174">
        <v>4.5466575584373059E-3</v>
      </c>
      <c r="S321" s="502"/>
      <c r="T321" s="219">
        <f t="shared" si="31"/>
        <v>3.0274854986083852</v>
      </c>
      <c r="U321" s="249">
        <f>U320+(T320*R321*'life-tables-test'!$C$66)</f>
        <v>96.972514501391615</v>
      </c>
      <c r="V321" s="516">
        <f t="shared" si="28"/>
        <v>100</v>
      </c>
      <c r="W321" s="153">
        <f>(T321*0)/(1+cDR)^'Markov Model_SA1'!cycle2</f>
        <v>0</v>
      </c>
      <c r="X321" s="178">
        <f t="shared" si="29"/>
        <v>3.0274854986083852</v>
      </c>
      <c r="Y321" s="202">
        <f>(T321*(uPostT))/(1+oDR)^'Markov Model_SA1'!cycle</f>
        <v>1.0584079224317811</v>
      </c>
      <c r="Z321" s="80"/>
      <c r="AA321" s="3"/>
      <c r="AB321" s="3"/>
      <c r="AC321" s="14">
        <v>309</v>
      </c>
      <c r="AD321" s="14"/>
      <c r="AE321" s="14"/>
      <c r="AF321" s="297"/>
      <c r="AG321" s="297"/>
      <c r="AH321" s="297"/>
      <c r="AI321" s="14"/>
      <c r="AJ321" s="14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</row>
    <row r="322" spans="1:47" ht="14.25" customHeight="1" x14ac:dyDescent="0.2">
      <c r="A322" s="3"/>
      <c r="B322" s="417"/>
      <c r="C322" s="173">
        <v>312</v>
      </c>
      <c r="D322" s="165"/>
      <c r="E322" s="174">
        <v>4.5466575584373059E-3</v>
      </c>
      <c r="F322" s="502"/>
      <c r="G322" s="219">
        <f t="shared" si="26"/>
        <v>3.1404347309532881</v>
      </c>
      <c r="H322" s="249">
        <f>H321+(G321*E322*'life-tables-test'!$C$66)</f>
        <v>96.859565269046712</v>
      </c>
      <c r="I322" s="516">
        <f t="shared" si="30"/>
        <v>100</v>
      </c>
      <c r="J322" s="153">
        <f>(G322*0)/(1+cDR)^'Markov Model_SA1'!cycle</f>
        <v>0</v>
      </c>
      <c r="K322" s="178">
        <f t="shared" si="27"/>
        <v>3.1404347309532881</v>
      </c>
      <c r="L322" s="202">
        <f>(G322*(uPostT))/(1+oDR)^'Markov Model_SA1'!cycle</f>
        <v>1.0951570438479536</v>
      </c>
      <c r="M322" s="80"/>
      <c r="N322" s="3"/>
      <c r="O322" s="80"/>
      <c r="P322" s="173">
        <v>312</v>
      </c>
      <c r="Q322" s="165"/>
      <c r="R322" s="174">
        <v>4.5466575584373059E-3</v>
      </c>
      <c r="S322" s="502"/>
      <c r="T322" s="219">
        <f t="shared" si="31"/>
        <v>2.9586607994818479</v>
      </c>
      <c r="U322" s="249">
        <f>U321+(T321*R322*'life-tables-test'!$C$66)</f>
        <v>97.041339200518152</v>
      </c>
      <c r="V322" s="516">
        <f t="shared" si="28"/>
        <v>100</v>
      </c>
      <c r="W322" s="153">
        <f>(T322*0)/(1+cDR)^'Markov Model_SA1'!cycle2</f>
        <v>0</v>
      </c>
      <c r="X322" s="178">
        <f t="shared" si="29"/>
        <v>2.9586607994818479</v>
      </c>
      <c r="Y322" s="202">
        <f>(T322*(uPostT))/(1+oDR)^'Markov Model_SA1'!cycle</f>
        <v>1.0317674119996096</v>
      </c>
      <c r="Z322" s="80"/>
      <c r="AA322" s="3"/>
      <c r="AB322" s="3"/>
      <c r="AC322" s="14">
        <v>310</v>
      </c>
      <c r="AD322" s="14"/>
      <c r="AE322" s="14"/>
      <c r="AF322" s="297"/>
      <c r="AG322" s="297"/>
      <c r="AH322" s="297"/>
      <c r="AI322" s="14"/>
      <c r="AJ322" s="14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</row>
    <row r="323" spans="1:47" ht="14.25" customHeight="1" x14ac:dyDescent="0.2">
      <c r="A323" s="3"/>
      <c r="B323" s="417"/>
      <c r="C323" s="173">
        <v>313</v>
      </c>
      <c r="D323" s="504"/>
      <c r="E323" s="174">
        <v>4.5466575584373059E-3</v>
      </c>
      <c r="F323" s="505"/>
      <c r="G323" s="219">
        <f t="shared" si="26"/>
        <v>3.0690423244219431</v>
      </c>
      <c r="H323" s="249">
        <f>H322+(G322*E323*'life-tables-test'!$C$66)</f>
        <v>96.930957675578057</v>
      </c>
      <c r="I323" s="516">
        <f t="shared" si="30"/>
        <v>100</v>
      </c>
      <c r="J323" s="180">
        <f>(G323*0)/(1+cDR)^'Markov Model_SA1'!cycle</f>
        <v>0</v>
      </c>
      <c r="K323" s="176">
        <f t="shared" si="27"/>
        <v>3.0690423244219431</v>
      </c>
      <c r="L323" s="202">
        <f>(G323*(uPostT))/(1+oDR)^'Markov Model_SA1'!cycle</f>
        <v>1.0675915447306892</v>
      </c>
      <c r="M323" s="80"/>
      <c r="N323" s="3"/>
      <c r="O323" s="80"/>
      <c r="P323" s="173">
        <v>313</v>
      </c>
      <c r="Q323" s="504"/>
      <c r="R323" s="174">
        <v>4.5466575584373059E-3</v>
      </c>
      <c r="S323" s="505"/>
      <c r="T323" s="219">
        <f t="shared" si="31"/>
        <v>2.8914007120477692</v>
      </c>
      <c r="U323" s="249">
        <f>U322+(T322*R323*'life-tables-test'!$C$66)</f>
        <v>97.108599287952231</v>
      </c>
      <c r="V323" s="516">
        <f t="shared" si="28"/>
        <v>100</v>
      </c>
      <c r="W323" s="180">
        <f>(T323*0)/(1+cDR)^'Markov Model_SA1'!cycle2</f>
        <v>0</v>
      </c>
      <c r="X323" s="176">
        <f t="shared" si="29"/>
        <v>2.8914007120477692</v>
      </c>
      <c r="Y323" s="202">
        <f>(T323*(uPostT))/(1+oDR)^'Markov Model_SA1'!cycle</f>
        <v>1.0057974528558842</v>
      </c>
      <c r="Z323" s="80"/>
      <c r="AA323" s="3"/>
      <c r="AB323" s="3"/>
      <c r="AC323" s="14">
        <v>311</v>
      </c>
      <c r="AD323" s="14"/>
      <c r="AE323" s="14"/>
      <c r="AF323" s="297"/>
      <c r="AG323" s="297"/>
      <c r="AH323" s="297"/>
      <c r="AI323" s="14"/>
      <c r="AJ323" s="14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</row>
    <row r="324" spans="1:47" ht="14.25" customHeight="1" x14ac:dyDescent="0.25">
      <c r="A324" s="3">
        <v>28</v>
      </c>
      <c r="B324" s="417"/>
      <c r="C324" s="506">
        <v>314</v>
      </c>
      <c r="D324" s="506"/>
      <c r="E324" s="507">
        <v>4.5466575584373059E-3</v>
      </c>
      <c r="F324" s="508"/>
      <c r="G324" s="509">
        <f t="shared" si="26"/>
        <v>2.9992729020144537</v>
      </c>
      <c r="H324" s="510">
        <f>H323+(G323*E324*'life-tables-test'!$C$66)</f>
        <v>97.000727097985546</v>
      </c>
      <c r="I324" s="518">
        <f t="shared" si="30"/>
        <v>100</v>
      </c>
      <c r="J324" s="511">
        <f>(G324*0)/(1+cDR)^'Markov Model_SA1'!cycle</f>
        <v>0</v>
      </c>
      <c r="K324" s="512">
        <f t="shared" si="27"/>
        <v>2.9992729020144537</v>
      </c>
      <c r="L324" s="513">
        <f>(G324*(uPostT))/(1+oDR)^'Markov Model_SA1'!cycle</f>
        <v>1.0407198792018155</v>
      </c>
      <c r="M324" s="80"/>
      <c r="N324" s="3"/>
      <c r="O324" s="80"/>
      <c r="P324" s="506">
        <v>314</v>
      </c>
      <c r="Q324" s="506"/>
      <c r="R324" s="507">
        <v>4.5466575584373059E-3</v>
      </c>
      <c r="S324" s="508"/>
      <c r="T324" s="509">
        <f t="shared" si="31"/>
        <v>2.82566966753825</v>
      </c>
      <c r="U324" s="510">
        <f>U323+(T323*R324*'life-tables-test'!$C$66)</f>
        <v>97.17433033246175</v>
      </c>
      <c r="V324" s="518">
        <f t="shared" si="28"/>
        <v>100</v>
      </c>
      <c r="W324" s="511">
        <f>(T324*0)/(1+cDR)^'Markov Model_SA1'!cycle2</f>
        <v>0</v>
      </c>
      <c r="X324" s="512">
        <f t="shared" si="29"/>
        <v>2.82566966753825</v>
      </c>
      <c r="Y324" s="513">
        <f>(T324*(uPostT))/(1+oDR)^'Markov Model_SA1'!cycle</f>
        <v>0.98048116698200671</v>
      </c>
      <c r="Z324" s="80"/>
      <c r="AA324" s="3"/>
      <c r="AB324" s="3"/>
      <c r="AC324" s="14">
        <v>312</v>
      </c>
      <c r="AD324" s="14"/>
      <c r="AE324" s="14"/>
      <c r="AF324" s="297"/>
      <c r="AG324" s="297"/>
      <c r="AH324" s="297"/>
      <c r="AI324" s="14"/>
      <c r="AJ324" s="14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</row>
    <row r="325" spans="1:47" ht="14.25" customHeight="1" x14ac:dyDescent="0.2">
      <c r="A325" s="3"/>
      <c r="B325" s="417"/>
      <c r="C325" s="173">
        <v>315</v>
      </c>
      <c r="D325" s="165"/>
      <c r="E325" s="174">
        <v>5.0760082864224065E-3</v>
      </c>
      <c r="F325" s="502"/>
      <c r="G325" s="219">
        <f t="shared" si="26"/>
        <v>2.9231512314951118</v>
      </c>
      <c r="H325" s="249">
        <f>H324+(G324*E325*'life-tables-test'!$C$66)</f>
        <v>97.076848768504888</v>
      </c>
      <c r="I325" s="516">
        <f t="shared" si="30"/>
        <v>100</v>
      </c>
      <c r="J325" s="153">
        <f>(G325*0)/(1+cDR)^'Markov Model_SA1'!cycle</f>
        <v>0</v>
      </c>
      <c r="K325" s="178">
        <f t="shared" si="27"/>
        <v>2.9231512314951118</v>
      </c>
      <c r="L325" s="202">
        <f>(G325*(uPostT))/(1+oDR)^'Markov Model_SA1'!cycle</f>
        <v>1.0117769232403484</v>
      </c>
      <c r="M325" s="80"/>
      <c r="N325" s="3"/>
      <c r="O325" s="80"/>
      <c r="P325" s="173">
        <v>315</v>
      </c>
      <c r="Q325" s="165"/>
      <c r="R325" s="174">
        <v>5.0760082864224065E-3</v>
      </c>
      <c r="S325" s="502"/>
      <c r="T325" s="219">
        <f t="shared" si="31"/>
        <v>2.7539540543026675</v>
      </c>
      <c r="U325" s="249">
        <f>U324+(T324*R325*'life-tables-test'!$C$66)</f>
        <v>97.246045945697333</v>
      </c>
      <c r="V325" s="516">
        <f t="shared" si="28"/>
        <v>100</v>
      </c>
      <c r="W325" s="153">
        <f>(T325*0)/(1+cDR)^'Markov Model_SA1'!cycle2</f>
        <v>0</v>
      </c>
      <c r="X325" s="178">
        <f t="shared" si="29"/>
        <v>2.7539540543026675</v>
      </c>
      <c r="Y325" s="202">
        <f>(T325*(uPostT))/(1+oDR)^'Markov Model_SA1'!cycle</f>
        <v>0.95321348063900047</v>
      </c>
      <c r="Z325" s="80"/>
      <c r="AA325" s="3"/>
      <c r="AB325" s="3"/>
      <c r="AC325" s="14">
        <v>313</v>
      </c>
      <c r="AD325" s="14"/>
      <c r="AE325" s="14"/>
      <c r="AF325" s="297"/>
      <c r="AG325" s="297"/>
      <c r="AH325" s="297"/>
      <c r="AI325" s="14"/>
      <c r="AJ325" s="14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</row>
    <row r="326" spans="1:47" ht="14.25" customHeight="1" x14ac:dyDescent="0.2">
      <c r="A326" s="3"/>
      <c r="B326" s="417"/>
      <c r="C326" s="173">
        <v>316</v>
      </c>
      <c r="D326" s="165"/>
      <c r="E326" s="174">
        <v>5.0760082864224065E-3</v>
      </c>
      <c r="F326" s="502"/>
      <c r="G326" s="219">
        <f t="shared" si="26"/>
        <v>2.8489615321274329</v>
      </c>
      <c r="H326" s="249">
        <f>H325+(G325*E326*'life-tables-test'!$C$66)</f>
        <v>97.151038467872567</v>
      </c>
      <c r="I326" s="516">
        <f t="shared" si="30"/>
        <v>100</v>
      </c>
      <c r="J326" s="153">
        <f>(G326*0)/(1+cDR)^'Markov Model_SA1'!cycle</f>
        <v>0</v>
      </c>
      <c r="K326" s="178">
        <f t="shared" si="27"/>
        <v>2.8489615321274329</v>
      </c>
      <c r="L326" s="202">
        <f>(G326*(uPostT))/(1+oDR)^'Markov Model_SA1'!cycle</f>
        <v>0.98363888579396752</v>
      </c>
      <c r="M326" s="80"/>
      <c r="N326" s="3"/>
      <c r="O326" s="80"/>
      <c r="P326" s="173">
        <v>316</v>
      </c>
      <c r="Q326" s="165"/>
      <c r="R326" s="174">
        <v>5.0760082864224065E-3</v>
      </c>
      <c r="S326" s="502"/>
      <c r="T326" s="219">
        <f t="shared" si="31"/>
        <v>2.6840585863023279</v>
      </c>
      <c r="U326" s="249">
        <f>U325+(T325*R326*'life-tables-test'!$C$66)</f>
        <v>97.315941413697672</v>
      </c>
      <c r="V326" s="516">
        <f t="shared" si="28"/>
        <v>100</v>
      </c>
      <c r="W326" s="153">
        <f>(T326*0)/(1+cDR)^'Markov Model_SA1'!cycle2</f>
        <v>0</v>
      </c>
      <c r="X326" s="178">
        <f t="shared" si="29"/>
        <v>2.6840585863023279</v>
      </c>
      <c r="Y326" s="202">
        <f>(T326*(uPostT))/(1+oDR)^'Markov Model_SA1'!cycle</f>
        <v>0.92670412269998348</v>
      </c>
      <c r="Z326" s="80"/>
      <c r="AA326" s="3"/>
      <c r="AB326" s="3"/>
      <c r="AC326" s="14">
        <v>314</v>
      </c>
      <c r="AD326" s="14"/>
      <c r="AE326" s="14"/>
      <c r="AF326" s="297"/>
      <c r="AG326" s="297"/>
      <c r="AH326" s="297"/>
      <c r="AI326" s="14"/>
      <c r="AJ326" s="14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</row>
    <row r="327" spans="1:47" ht="14.25" customHeight="1" x14ac:dyDescent="0.2">
      <c r="A327" s="3"/>
      <c r="B327" s="417"/>
      <c r="C327" s="173">
        <v>317</v>
      </c>
      <c r="D327" s="165"/>
      <c r="E327" s="174">
        <v>5.0760082864224065E-3</v>
      </c>
      <c r="F327" s="502"/>
      <c r="G327" s="219">
        <f t="shared" si="26"/>
        <v>2.7766547704035389</v>
      </c>
      <c r="H327" s="249">
        <f>H326+(G326*E327*'life-tables-test'!$C$66)</f>
        <v>97.223345229596461</v>
      </c>
      <c r="I327" s="516">
        <f t="shared" si="30"/>
        <v>100</v>
      </c>
      <c r="J327" s="153">
        <f>(G327*0)/(1+cDR)^'Markov Model_SA1'!cycle</f>
        <v>0</v>
      </c>
      <c r="K327" s="178">
        <f t="shared" si="27"/>
        <v>2.7766547704035389</v>
      </c>
      <c r="L327" s="202">
        <f>(G327*(uPostT))/(1+oDR)^'Markov Model_SA1'!cycle</f>
        <v>0.9562833816641173</v>
      </c>
      <c r="M327" s="80"/>
      <c r="N327" s="3"/>
      <c r="O327" s="80"/>
      <c r="P327" s="173">
        <v>317</v>
      </c>
      <c r="Q327" s="165"/>
      <c r="R327" s="174">
        <v>5.0760082864224065E-3</v>
      </c>
      <c r="S327" s="502"/>
      <c r="T327" s="219">
        <f t="shared" si="31"/>
        <v>2.6159370681757537</v>
      </c>
      <c r="U327" s="249">
        <f>U326+(T326*R327*'life-tables-test'!$C$66)</f>
        <v>97.384062931824246</v>
      </c>
      <c r="V327" s="516">
        <f t="shared" si="28"/>
        <v>100</v>
      </c>
      <c r="W327" s="153">
        <f>(T327*0)/(1+cDR)^'Markov Model_SA1'!cycle2</f>
        <v>0</v>
      </c>
      <c r="X327" s="178">
        <f t="shared" si="29"/>
        <v>2.6159370681757537</v>
      </c>
      <c r="Y327" s="202">
        <f>(T327*(uPostT))/(1+oDR)^'Markov Model_SA1'!cycle</f>
        <v>0.90093200366139337</v>
      </c>
      <c r="Z327" s="80"/>
      <c r="AA327" s="3"/>
      <c r="AB327" s="3"/>
      <c r="AC327" s="14">
        <v>315</v>
      </c>
      <c r="AD327" s="14"/>
      <c r="AE327" s="14"/>
      <c r="AF327" s="297"/>
      <c r="AG327" s="297"/>
      <c r="AH327" s="297"/>
      <c r="AI327" s="14"/>
      <c r="AJ327" s="14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</row>
    <row r="328" spans="1:47" ht="14.25" customHeight="1" x14ac:dyDescent="0.2">
      <c r="A328" s="3"/>
      <c r="B328" s="417"/>
      <c r="C328" s="173">
        <v>318</v>
      </c>
      <c r="D328" s="165"/>
      <c r="E328" s="174">
        <v>5.0760082864224065E-3</v>
      </c>
      <c r="F328" s="502"/>
      <c r="G328" s="219">
        <f t="shared" si="26"/>
        <v>2.7061831572880237</v>
      </c>
      <c r="H328" s="249">
        <f>H327+(G327*E328*'life-tables-test'!$C$66)</f>
        <v>97.293816842711976</v>
      </c>
      <c r="I328" s="516">
        <f t="shared" si="30"/>
        <v>100</v>
      </c>
      <c r="J328" s="153">
        <f>(G328*0)/(1+cDR)^'Markov Model_SA1'!cycle</f>
        <v>0</v>
      </c>
      <c r="K328" s="178">
        <f t="shared" si="27"/>
        <v>2.7061831572880237</v>
      </c>
      <c r="L328" s="202">
        <f>(G328*(uPostT))/(1+oDR)^'Markov Model_SA1'!cycle</f>
        <v>0.92968864819615105</v>
      </c>
      <c r="M328" s="80"/>
      <c r="N328" s="3"/>
      <c r="O328" s="80"/>
      <c r="P328" s="173">
        <v>318</v>
      </c>
      <c r="Q328" s="165"/>
      <c r="R328" s="174">
        <v>5.0760082864224065E-3</v>
      </c>
      <c r="S328" s="502"/>
      <c r="T328" s="219">
        <f t="shared" si="31"/>
        <v>2.5495444770016604</v>
      </c>
      <c r="U328" s="249">
        <f>U327+(T327*R328*'life-tables-test'!$C$66)</f>
        <v>97.45045552299834</v>
      </c>
      <c r="V328" s="516">
        <f t="shared" si="28"/>
        <v>100</v>
      </c>
      <c r="W328" s="153">
        <f>(T328*0)/(1+cDR)^'Markov Model_SA1'!cycle2</f>
        <v>0</v>
      </c>
      <c r="X328" s="178">
        <f t="shared" si="29"/>
        <v>2.5495444770016604</v>
      </c>
      <c r="Y328" s="202">
        <f>(T328*(uPostT))/(1+oDR)^'Markov Model_SA1'!cycle</f>
        <v>0.87587662052962945</v>
      </c>
      <c r="Z328" s="80"/>
      <c r="AA328" s="3"/>
      <c r="AB328" s="3"/>
      <c r="AC328" s="14">
        <v>316</v>
      </c>
      <c r="AD328" s="14"/>
      <c r="AE328" s="14"/>
      <c r="AF328" s="297"/>
      <c r="AG328" s="297"/>
      <c r="AH328" s="297"/>
      <c r="AI328" s="14"/>
      <c r="AJ328" s="14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</row>
    <row r="329" spans="1:47" ht="14.25" customHeight="1" x14ac:dyDescent="0.2">
      <c r="A329" s="3"/>
      <c r="B329" s="417"/>
      <c r="C329" s="173">
        <v>319</v>
      </c>
      <c r="D329" s="165"/>
      <c r="E329" s="174">
        <v>5.0760082864224065E-3</v>
      </c>
      <c r="F329" s="502"/>
      <c r="G329" s="219">
        <f t="shared" si="26"/>
        <v>2.6375001166331629</v>
      </c>
      <c r="H329" s="249">
        <f>H328+(G328*E329*'life-tables-test'!$C$66)</f>
        <v>97.362499883366837</v>
      </c>
      <c r="I329" s="516">
        <f t="shared" si="30"/>
        <v>100</v>
      </c>
      <c r="J329" s="153">
        <f>(G329*0)/(1+cDR)^'Markov Model_SA1'!cycle</f>
        <v>0</v>
      </c>
      <c r="K329" s="178">
        <f t="shared" si="27"/>
        <v>2.6375001166331629</v>
      </c>
      <c r="L329" s="202">
        <f>(G329*(uPostT))/(1+oDR)^'Markov Model_SA1'!cycle</f>
        <v>0.90383352796605132</v>
      </c>
      <c r="M329" s="80"/>
      <c r="N329" s="3"/>
      <c r="O329" s="80"/>
      <c r="P329" s="173">
        <v>319</v>
      </c>
      <c r="Q329" s="165"/>
      <c r="R329" s="174">
        <v>5.0760082864224065E-3</v>
      </c>
      <c r="S329" s="502"/>
      <c r="T329" s="219">
        <f t="shared" si="31"/>
        <v>2.4848369325423505</v>
      </c>
      <c r="U329" s="249">
        <f>U328+(T328*R329*'life-tables-test'!$C$66)</f>
        <v>97.51516306745765</v>
      </c>
      <c r="V329" s="516">
        <f t="shared" si="28"/>
        <v>100</v>
      </c>
      <c r="W329" s="153">
        <f>(T329*0)/(1+cDR)^'Markov Model_SA1'!cycle2</f>
        <v>0</v>
      </c>
      <c r="X329" s="178">
        <f t="shared" si="29"/>
        <v>2.4848369325423505</v>
      </c>
      <c r="Y329" s="202">
        <f>(T329*(uPostT))/(1+oDR)^'Markov Model_SA1'!cycle</f>
        <v>0.85151804050989632</v>
      </c>
      <c r="Z329" s="80"/>
      <c r="AA329" s="3"/>
      <c r="AB329" s="3"/>
      <c r="AC329" s="14">
        <v>317</v>
      </c>
      <c r="AD329" s="14"/>
      <c r="AE329" s="14"/>
      <c r="AF329" s="3"/>
      <c r="AG329" s="3"/>
      <c r="AH329" s="3"/>
      <c r="AI329" s="14"/>
      <c r="AJ329" s="14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</row>
    <row r="330" spans="1:47" ht="14.25" customHeight="1" x14ac:dyDescent="0.2">
      <c r="A330" s="3"/>
      <c r="B330" s="417"/>
      <c r="C330" s="173">
        <v>320</v>
      </c>
      <c r="D330" s="165"/>
      <c r="E330" s="174">
        <v>5.0760082864224065E-3</v>
      </c>
      <c r="F330" s="502"/>
      <c r="G330" s="219">
        <f t="shared" si="26"/>
        <v>2.570560254395815</v>
      </c>
      <c r="H330" s="249">
        <f>H329+(G329*E330*'life-tables-test'!$C$66)</f>
        <v>97.429439745604185</v>
      </c>
      <c r="I330" s="516">
        <f t="shared" si="30"/>
        <v>100</v>
      </c>
      <c r="J330" s="153">
        <f>(G330*0)/(1+cDR)^'Markov Model_SA1'!cycle</f>
        <v>0</v>
      </c>
      <c r="K330" s="178">
        <f t="shared" si="27"/>
        <v>2.570560254395815</v>
      </c>
      <c r="L330" s="202">
        <f>(G330*(uPostT))/(1+oDR)^'Markov Model_SA1'!cycle</f>
        <v>0.87869745194866966</v>
      </c>
      <c r="M330" s="80"/>
      <c r="N330" s="3"/>
      <c r="O330" s="80"/>
      <c r="P330" s="173">
        <v>320</v>
      </c>
      <c r="Q330" s="165"/>
      <c r="R330" s="174">
        <v>5.0760082864224065E-3</v>
      </c>
      <c r="S330" s="502"/>
      <c r="T330" s="219">
        <f t="shared" si="31"/>
        <v>2.4217716682423855</v>
      </c>
      <c r="U330" s="249">
        <f>U329+(T329*R330*'life-tables-test'!$C$66)</f>
        <v>97.578228331757614</v>
      </c>
      <c r="V330" s="516">
        <f t="shared" si="28"/>
        <v>100</v>
      </c>
      <c r="W330" s="153">
        <f>(T330*0)/(1+cDR)^'Markov Model_SA1'!cycle2</f>
        <v>0</v>
      </c>
      <c r="X330" s="178">
        <f t="shared" si="29"/>
        <v>2.4217716682423855</v>
      </c>
      <c r="Y330" s="202">
        <f>(T330*(uPostT))/(1+oDR)^'Markov Model_SA1'!cycle</f>
        <v>0.82783688514869291</v>
      </c>
      <c r="Z330" s="80"/>
      <c r="AA330" s="3"/>
      <c r="AB330" s="3"/>
      <c r="AC330" s="14">
        <v>318</v>
      </c>
      <c r="AD330" s="14"/>
      <c r="AE330" s="14"/>
      <c r="AF330" s="3"/>
      <c r="AG330" s="3"/>
      <c r="AH330" s="3"/>
      <c r="AI330" s="14"/>
      <c r="AJ330" s="14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</row>
    <row r="331" spans="1:47" ht="14.25" customHeight="1" x14ac:dyDescent="0.2">
      <c r="A331" s="3"/>
      <c r="B331" s="417"/>
      <c r="C331" s="173">
        <v>321</v>
      </c>
      <c r="D331" s="165"/>
      <c r="E331" s="174">
        <v>5.0760082864224065E-3</v>
      </c>
      <c r="F331" s="502"/>
      <c r="G331" s="219">
        <f t="shared" si="26"/>
        <v>2.5053193286355082</v>
      </c>
      <c r="H331" s="249">
        <f>H330+(G330*E331*'life-tables-test'!$C$66)</f>
        <v>97.494680671364492</v>
      </c>
      <c r="I331" s="516">
        <f t="shared" si="30"/>
        <v>100</v>
      </c>
      <c r="J331" s="153">
        <f>(G331*0)/(1+cDR)^'Markov Model_SA1'!cycle</f>
        <v>0</v>
      </c>
      <c r="K331" s="178">
        <f t="shared" si="27"/>
        <v>2.5053193286355082</v>
      </c>
      <c r="L331" s="202">
        <f>(G331*(uPostT))/(1+oDR)^'Markov Model_SA1'!cycle</f>
        <v>0.85426042315403594</v>
      </c>
      <c r="M331" s="80"/>
      <c r="N331" s="3"/>
      <c r="O331" s="80"/>
      <c r="P331" s="173">
        <v>321</v>
      </c>
      <c r="Q331" s="165"/>
      <c r="R331" s="174">
        <v>5.0760082864224065E-3</v>
      </c>
      <c r="S331" s="502"/>
      <c r="T331" s="219">
        <f t="shared" si="31"/>
        <v>2.3603070029632818</v>
      </c>
      <c r="U331" s="249">
        <f>U330+(T330*R331*'life-tables-test'!$C$66)</f>
        <v>97.639692997036718</v>
      </c>
      <c r="V331" s="516">
        <f t="shared" si="28"/>
        <v>100</v>
      </c>
      <c r="W331" s="153">
        <f>(T331*0)/(1+cDR)^'Markov Model_SA1'!cycle2</f>
        <v>0</v>
      </c>
      <c r="X331" s="178">
        <f t="shared" si="29"/>
        <v>2.3603070029632818</v>
      </c>
      <c r="Y331" s="202">
        <f>(T331*(uPostT))/(1+oDR)^'Markov Model_SA1'!cycle</f>
        <v>0.80481431491729627</v>
      </c>
      <c r="Z331" s="80"/>
      <c r="AA331" s="3"/>
      <c r="AB331" s="3"/>
      <c r="AC331" s="14">
        <v>319</v>
      </c>
      <c r="AD331" s="14"/>
      <c r="AE331" s="14"/>
      <c r="AF331" s="3"/>
      <c r="AG331" s="3"/>
      <c r="AH331" s="3"/>
      <c r="AI331" s="14"/>
      <c r="AJ331" s="14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</row>
    <row r="332" spans="1:47" ht="14.25" customHeight="1" x14ac:dyDescent="0.2">
      <c r="A332" s="3"/>
      <c r="B332" s="417"/>
      <c r="C332" s="173">
        <v>322</v>
      </c>
      <c r="D332" s="165"/>
      <c r="E332" s="174">
        <v>5.0760082864224065E-3</v>
      </c>
      <c r="F332" s="502"/>
      <c r="G332" s="219">
        <f t="shared" ref="G332:G395" si="32">$G$10-H332</f>
        <v>2.4417342202740713</v>
      </c>
      <c r="H332" s="249">
        <f>H331+(G331*E332*'life-tables-test'!$C$66)</f>
        <v>97.558265779725929</v>
      </c>
      <c r="I332" s="516">
        <f t="shared" si="30"/>
        <v>100</v>
      </c>
      <c r="J332" s="153">
        <f>(G332*0)/(1+cDR)^'Markov Model_SA1'!cycle</f>
        <v>0</v>
      </c>
      <c r="K332" s="178">
        <f t="shared" si="27"/>
        <v>2.4417342202740713</v>
      </c>
      <c r="L332" s="202">
        <f>(G332*(uPostT))/(1+oDR)^'Markov Model_SA1'!cycle</f>
        <v>0.83050300071877714</v>
      </c>
      <c r="M332" s="80"/>
      <c r="N332" s="3"/>
      <c r="O332" s="80"/>
      <c r="P332" s="173">
        <v>322</v>
      </c>
      <c r="Q332" s="165"/>
      <c r="R332" s="174">
        <v>5.0760082864224065E-3</v>
      </c>
      <c r="S332" s="502"/>
      <c r="T332" s="219">
        <f t="shared" si="31"/>
        <v>2.3004023134355691</v>
      </c>
      <c r="U332" s="249">
        <f>U331+(T331*R332*'life-tables-test'!$C$66)</f>
        <v>97.699597686564431</v>
      </c>
      <c r="V332" s="516">
        <f t="shared" si="28"/>
        <v>100</v>
      </c>
      <c r="W332" s="153">
        <f>(T332*0)/(1+cDR)^'Markov Model_SA1'!cycle2</f>
        <v>0</v>
      </c>
      <c r="X332" s="178">
        <f t="shared" si="29"/>
        <v>2.3004023134355691</v>
      </c>
      <c r="Y332" s="202">
        <f>(T332*(uPostT))/(1+oDR)^'Markov Model_SA1'!cycle</f>
        <v>0.78243201422397857</v>
      </c>
      <c r="Z332" s="80"/>
      <c r="AA332" s="3"/>
      <c r="AB332" s="3"/>
      <c r="AC332" s="14">
        <v>320</v>
      </c>
      <c r="AD332" s="14"/>
      <c r="AE332" s="14"/>
      <c r="AF332" s="3"/>
      <c r="AG332" s="3"/>
      <c r="AH332" s="3"/>
      <c r="AI332" s="14"/>
      <c r="AJ332" s="14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</row>
    <row r="333" spans="1:47" ht="14.25" customHeight="1" x14ac:dyDescent="0.2">
      <c r="A333" s="3"/>
      <c r="B333" s="417"/>
      <c r="C333" s="173">
        <v>323</v>
      </c>
      <c r="D333" s="165"/>
      <c r="E333" s="174">
        <v>5.0760082864224065E-3</v>
      </c>
      <c r="F333" s="502"/>
      <c r="G333" s="219">
        <f t="shared" si="32"/>
        <v>2.3797629045973139</v>
      </c>
      <c r="H333" s="249">
        <f>H332+(G332*E333*'life-tables-test'!$C$66)</f>
        <v>97.620237095402686</v>
      </c>
      <c r="I333" s="516">
        <f t="shared" si="30"/>
        <v>100</v>
      </c>
      <c r="J333" s="153">
        <f>(G333*0)/(1+cDR)^'Markov Model_SA1'!cycle</f>
        <v>0</v>
      </c>
      <c r="K333" s="178">
        <f t="shared" si="27"/>
        <v>2.3797629045973139</v>
      </c>
      <c r="L333" s="202">
        <f>(G333*(uPostT))/(1+oDR)^'Markov Model_SA1'!cycle</f>
        <v>0.807406284439943</v>
      </c>
      <c r="M333" s="80"/>
      <c r="N333" s="3"/>
      <c r="O333" s="80"/>
      <c r="P333" s="173">
        <v>323</v>
      </c>
      <c r="Q333" s="165"/>
      <c r="R333" s="174">
        <v>5.0760082864224065E-3</v>
      </c>
      <c r="S333" s="502"/>
      <c r="T333" s="219">
        <f t="shared" si="31"/>
        <v>2.2420180074100529</v>
      </c>
      <c r="U333" s="249">
        <f>U332+(T332*R333*'life-tables-test'!$C$66)</f>
        <v>97.757981992589947</v>
      </c>
      <c r="V333" s="516">
        <f t="shared" si="28"/>
        <v>100</v>
      </c>
      <c r="W333" s="153">
        <f>(T333*0)/(1+cDR)^'Markov Model_SA1'!cycle2</f>
        <v>0</v>
      </c>
      <c r="X333" s="178">
        <f t="shared" si="29"/>
        <v>2.2420180074100529</v>
      </c>
      <c r="Y333" s="202">
        <f>(T333*(uPostT))/(1+oDR)^'Markov Model_SA1'!cycle</f>
        <v>0.76067217684305721</v>
      </c>
      <c r="Z333" s="80"/>
      <c r="AA333" s="3"/>
      <c r="AB333" s="3"/>
      <c r="AC333" s="14">
        <v>321</v>
      </c>
      <c r="AD333" s="14"/>
      <c r="AE333" s="14"/>
      <c r="AF333" s="3"/>
      <c r="AG333" s="3"/>
      <c r="AH333" s="3"/>
      <c r="AI333" s="14"/>
      <c r="AJ333" s="14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</row>
    <row r="334" spans="1:47" ht="14.25" customHeight="1" x14ac:dyDescent="0.2">
      <c r="A334" s="3"/>
      <c r="B334" s="417"/>
      <c r="C334" s="173">
        <v>324</v>
      </c>
      <c r="D334" s="165"/>
      <c r="E334" s="174">
        <v>5.0760082864224065E-3</v>
      </c>
      <c r="F334" s="502"/>
      <c r="G334" s="219">
        <f t="shared" si="32"/>
        <v>2.3193644234800246</v>
      </c>
      <c r="H334" s="249">
        <f>H333+(G333*E334*'life-tables-test'!$C$66)</f>
        <v>97.680635576519975</v>
      </c>
      <c r="I334" s="516">
        <f t="shared" si="30"/>
        <v>100</v>
      </c>
      <c r="J334" s="153">
        <f>(G334*0)/(1+cDR)^'Markov Model_SA1'!cycle</f>
        <v>0</v>
      </c>
      <c r="K334" s="178">
        <f t="shared" si="27"/>
        <v>2.3193644234800246</v>
      </c>
      <c r="L334" s="202">
        <f>(G334*(uPostT))/(1+oDR)^'Markov Model_SA1'!cycle</f>
        <v>0.78495189973895996</v>
      </c>
      <c r="M334" s="80"/>
      <c r="N334" s="3"/>
      <c r="O334" s="80"/>
      <c r="P334" s="173">
        <v>324</v>
      </c>
      <c r="Q334" s="165"/>
      <c r="R334" s="174">
        <v>5.0760082864224065E-3</v>
      </c>
      <c r="S334" s="502"/>
      <c r="T334" s="219">
        <f t="shared" si="31"/>
        <v>2.1851154974904432</v>
      </c>
      <c r="U334" s="249">
        <f>U333+(T333*R334*'life-tables-test'!$C$66)</f>
        <v>97.814884502509557</v>
      </c>
      <c r="V334" s="516">
        <f t="shared" si="28"/>
        <v>100</v>
      </c>
      <c r="W334" s="153">
        <f>(T334*0)/(1+cDR)^'Markov Model_SA1'!cycle2</f>
        <v>0</v>
      </c>
      <c r="X334" s="178">
        <f t="shared" si="29"/>
        <v>2.1851154974904432</v>
      </c>
      <c r="Y334" s="202">
        <f>(T334*(uPostT))/(1+oDR)^'Markov Model_SA1'!cycle</f>
        <v>0.73951749174915216</v>
      </c>
      <c r="Z334" s="80"/>
      <c r="AA334" s="3"/>
      <c r="AB334" s="3"/>
      <c r="AC334" s="14">
        <v>322</v>
      </c>
      <c r="AD334" s="14"/>
      <c r="AE334" s="14"/>
      <c r="AF334" s="3"/>
      <c r="AG334" s="3"/>
      <c r="AH334" s="3"/>
      <c r="AI334" s="14"/>
      <c r="AJ334" s="14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</row>
    <row r="335" spans="1:47" ht="14.25" customHeight="1" x14ac:dyDescent="0.2">
      <c r="A335" s="3"/>
      <c r="B335" s="417"/>
      <c r="C335" s="173">
        <v>325</v>
      </c>
      <c r="D335" s="504"/>
      <c r="E335" s="174">
        <v>5.0760082864224065E-3</v>
      </c>
      <c r="F335" s="505"/>
      <c r="G335" s="219">
        <f t="shared" si="32"/>
        <v>2.2604988583159411</v>
      </c>
      <c r="H335" s="249">
        <f>H334+(G334*E335*'life-tables-test'!$C$66)</f>
        <v>97.739501141684059</v>
      </c>
      <c r="I335" s="516">
        <f t="shared" si="30"/>
        <v>100</v>
      </c>
      <c r="J335" s="180">
        <f>(G335*0)/(1+cDR)^'Markov Model_SA1'!cycle</f>
        <v>0</v>
      </c>
      <c r="K335" s="176">
        <f t="shared" si="27"/>
        <v>2.2604988583159411</v>
      </c>
      <c r="L335" s="202">
        <f>(G335*(uPostT))/(1+oDR)^'Markov Model_SA1'!cycle</f>
        <v>0.76312198304376289</v>
      </c>
      <c r="M335" s="80"/>
      <c r="N335" s="3"/>
      <c r="O335" s="80"/>
      <c r="P335" s="173">
        <v>325</v>
      </c>
      <c r="Q335" s="504"/>
      <c r="R335" s="174">
        <v>5.0760082864224065E-3</v>
      </c>
      <c r="S335" s="505"/>
      <c r="T335" s="219">
        <f t="shared" si="31"/>
        <v>2.1296571756301859</v>
      </c>
      <c r="U335" s="249">
        <f>U334+(T334*R335*'life-tables-test'!$C$66)</f>
        <v>97.870342824369814</v>
      </c>
      <c r="V335" s="516">
        <f t="shared" si="28"/>
        <v>100</v>
      </c>
      <c r="W335" s="180">
        <f>(T335*0)/(1+cDR)^'Markov Model_SA1'!cycle2</f>
        <v>0</v>
      </c>
      <c r="X335" s="176">
        <f t="shared" si="29"/>
        <v>2.1296571756301859</v>
      </c>
      <c r="Y335" s="202">
        <f>(T335*(uPostT))/(1+oDR)^'Markov Model_SA1'!cycle</f>
        <v>0.7189511293454236</v>
      </c>
      <c r="Z335" s="80"/>
      <c r="AA335" s="3"/>
      <c r="AB335" s="3"/>
      <c r="AC335" s="14">
        <v>323</v>
      </c>
      <c r="AD335" s="14"/>
      <c r="AE335" s="14"/>
      <c r="AF335" s="3"/>
      <c r="AG335" s="3"/>
      <c r="AH335" s="3"/>
      <c r="AI335" s="14"/>
      <c r="AJ335" s="14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</row>
    <row r="336" spans="1:47" ht="14.25" customHeight="1" x14ac:dyDescent="0.25">
      <c r="A336" s="3">
        <v>29</v>
      </c>
      <c r="B336" s="417"/>
      <c r="C336" s="506">
        <v>326</v>
      </c>
      <c r="D336" s="506"/>
      <c r="E336" s="507">
        <v>5.0760082864224065E-3</v>
      </c>
      <c r="F336" s="508"/>
      <c r="G336" s="509">
        <f t="shared" si="32"/>
        <v>2.2031273036346448</v>
      </c>
      <c r="H336" s="510">
        <f>H335+(G335*E336*'life-tables-test'!$C$66)</f>
        <v>97.796872696365355</v>
      </c>
      <c r="I336" s="518">
        <f t="shared" si="30"/>
        <v>100</v>
      </c>
      <c r="J336" s="511">
        <f>(G336*0)/(1+cDR)^'Markov Model_SA1'!cycle</f>
        <v>0</v>
      </c>
      <c r="K336" s="512">
        <f t="shared" si="27"/>
        <v>2.2031273036346448</v>
      </c>
      <c r="L336" s="513">
        <f>(G336*(uPostT))/(1+oDR)^'Markov Model_SA1'!cycle</f>
        <v>0.74189916757741492</v>
      </c>
      <c r="M336" s="80"/>
      <c r="N336" s="3"/>
      <c r="O336" s="80"/>
      <c r="P336" s="506">
        <v>326</v>
      </c>
      <c r="Q336" s="506"/>
      <c r="R336" s="507">
        <v>5.0760082864224065E-3</v>
      </c>
      <c r="S336" s="508"/>
      <c r="T336" s="509">
        <f t="shared" si="31"/>
        <v>2.0756063882764977</v>
      </c>
      <c r="U336" s="510">
        <f>U335+(T335*R336*'life-tables-test'!$C$66)</f>
        <v>97.924393611723502</v>
      </c>
      <c r="V336" s="518">
        <f t="shared" si="28"/>
        <v>100</v>
      </c>
      <c r="W336" s="511">
        <f>(T336*0)/(1+cDR)^'Markov Model_SA1'!cycle2</f>
        <v>0</v>
      </c>
      <c r="X336" s="512">
        <f t="shared" si="29"/>
        <v>2.0756063882764977</v>
      </c>
      <c r="Y336" s="513">
        <f>(T336*(uPostT))/(1+oDR)^'Markov Model_SA1'!cycle</f>
        <v>0.69895672807478659</v>
      </c>
      <c r="Z336" s="80"/>
      <c r="AA336" s="3"/>
      <c r="AB336" s="3"/>
      <c r="AC336" s="14">
        <v>324</v>
      </c>
      <c r="AD336" s="14"/>
      <c r="AE336" s="14"/>
      <c r="AF336" s="3"/>
      <c r="AG336" s="3"/>
      <c r="AH336" s="3"/>
      <c r="AI336" s="14"/>
      <c r="AJ336" s="14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</row>
    <row r="337" spans="1:47" ht="14.25" customHeight="1" x14ac:dyDescent="0.2">
      <c r="A337" s="3"/>
      <c r="B337" s="417"/>
      <c r="C337" s="173">
        <v>327</v>
      </c>
      <c r="D337" s="165"/>
      <c r="E337" s="174">
        <v>5.7237960968931079E-3</v>
      </c>
      <c r="F337" s="502"/>
      <c r="G337" s="219">
        <f t="shared" si="32"/>
        <v>2.1400760463271382</v>
      </c>
      <c r="H337" s="249">
        <f>H336+(G336*E337*'life-tables-test'!$C$66)</f>
        <v>97.859923953672862</v>
      </c>
      <c r="I337" s="516">
        <f t="shared" si="30"/>
        <v>100</v>
      </c>
      <c r="J337" s="153">
        <f>(G337*0)/(1+cDR)^'Markov Model_SA1'!cycle</f>
        <v>0</v>
      </c>
      <c r="K337" s="178">
        <f t="shared" si="27"/>
        <v>2.1400760463271382</v>
      </c>
      <c r="L337" s="202">
        <f>(G337*(uPostT))/(1+oDR)^'Markov Model_SA1'!cycle</f>
        <v>0.71886959578960374</v>
      </c>
      <c r="M337" s="80"/>
      <c r="N337" s="3"/>
      <c r="O337" s="80"/>
      <c r="P337" s="173">
        <v>327</v>
      </c>
      <c r="Q337" s="165"/>
      <c r="R337" s="174">
        <v>5.7237960968931079E-3</v>
      </c>
      <c r="S337" s="502"/>
      <c r="T337" s="219">
        <f t="shared" si="31"/>
        <v>2.0162046495569825</v>
      </c>
      <c r="U337" s="249">
        <f>U336+(T336*R337*'life-tables-test'!$C$66)</f>
        <v>97.983795350443017</v>
      </c>
      <c r="V337" s="516">
        <f t="shared" si="28"/>
        <v>100</v>
      </c>
      <c r="W337" s="153">
        <f>(T337*0)/(1+cDR)^'Markov Model_SA1'!cycle2</f>
        <v>0</v>
      </c>
      <c r="X337" s="178">
        <f t="shared" si="29"/>
        <v>2.0162046495569825</v>
      </c>
      <c r="Y337" s="202">
        <f>(T337*(uPostT))/(1+oDR)^'Markov Model_SA1'!cycle</f>
        <v>0.67726014874267237</v>
      </c>
      <c r="Z337" s="80"/>
      <c r="AA337" s="3"/>
      <c r="AB337" s="3"/>
      <c r="AC337" s="14">
        <v>325</v>
      </c>
      <c r="AD337" s="14"/>
      <c r="AE337" s="14"/>
      <c r="AF337" s="3"/>
      <c r="AG337" s="3"/>
      <c r="AH337" s="3"/>
      <c r="AI337" s="14"/>
      <c r="AJ337" s="14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</row>
    <row r="338" spans="1:47" ht="14.25" customHeight="1" x14ac:dyDescent="0.2">
      <c r="A338" s="3"/>
      <c r="B338" s="417"/>
      <c r="C338" s="173">
        <v>328</v>
      </c>
      <c r="D338" s="165"/>
      <c r="E338" s="174">
        <v>5.7237960968931079E-3</v>
      </c>
      <c r="F338" s="502"/>
      <c r="G338" s="219">
        <f t="shared" si="32"/>
        <v>2.078829251722027</v>
      </c>
      <c r="H338" s="249">
        <f>H337+(G337*E338*'life-tables-test'!$C$66)</f>
        <v>97.921170748277973</v>
      </c>
      <c r="I338" s="516">
        <f t="shared" si="30"/>
        <v>100</v>
      </c>
      <c r="J338" s="153">
        <f>(G338*0)/(1+cDR)^'Markov Model_SA1'!cycle</f>
        <v>0</v>
      </c>
      <c r="K338" s="178">
        <f t="shared" si="27"/>
        <v>2.078829251722027</v>
      </c>
      <c r="L338" s="202">
        <f>(G338*(uPostT))/(1+oDR)^'Markov Model_SA1'!cycle</f>
        <v>0.69655489362276768</v>
      </c>
      <c r="M338" s="80"/>
      <c r="N338" s="3"/>
      <c r="O338" s="80"/>
      <c r="P338" s="173">
        <v>328</v>
      </c>
      <c r="Q338" s="165"/>
      <c r="R338" s="174">
        <v>5.7237960968931079E-3</v>
      </c>
      <c r="S338" s="502"/>
      <c r="T338" s="219">
        <f t="shared" si="31"/>
        <v>1.9585029280386266</v>
      </c>
      <c r="U338" s="249">
        <f>U337+(T337*R338*'life-tables-test'!$C$66)</f>
        <v>98.041497071961373</v>
      </c>
      <c r="V338" s="516">
        <f t="shared" si="28"/>
        <v>100</v>
      </c>
      <c r="W338" s="153">
        <f>(T338*0)/(1+cDR)^'Markov Model_SA1'!cycle2</f>
        <v>0</v>
      </c>
      <c r="X338" s="178">
        <f t="shared" si="29"/>
        <v>1.9585029280386266</v>
      </c>
      <c r="Y338" s="202">
        <f>(T338*(uPostT))/(1+oDR)^'Markov Model_SA1'!cycle</f>
        <v>0.65623706111012559</v>
      </c>
      <c r="Z338" s="80"/>
      <c r="AA338" s="3"/>
      <c r="AB338" s="3"/>
      <c r="AC338" s="14">
        <v>326</v>
      </c>
      <c r="AD338" s="14"/>
      <c r="AE338" s="14"/>
      <c r="AF338" s="3"/>
      <c r="AG338" s="3"/>
      <c r="AH338" s="3"/>
      <c r="AI338" s="14"/>
      <c r="AJ338" s="14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</row>
    <row r="339" spans="1:47" ht="14.25" customHeight="1" x14ac:dyDescent="0.2">
      <c r="A339" s="3"/>
      <c r="B339" s="417"/>
      <c r="C339" s="173">
        <v>329</v>
      </c>
      <c r="D339" s="165"/>
      <c r="E339" s="174">
        <v>5.7237960968931079E-3</v>
      </c>
      <c r="F339" s="502"/>
      <c r="G339" s="219">
        <f t="shared" si="32"/>
        <v>2.0193352779364631</v>
      </c>
      <c r="H339" s="249">
        <f>H338+(G338*E339*'life-tables-test'!$C$66)</f>
        <v>97.980664722063537</v>
      </c>
      <c r="I339" s="516">
        <f t="shared" si="30"/>
        <v>100</v>
      </c>
      <c r="J339" s="153">
        <f>(G339*0)/(1+cDR)^'Markov Model_SA1'!cycle</f>
        <v>0</v>
      </c>
      <c r="K339" s="178">
        <f t="shared" si="27"/>
        <v>2.0193352779364631</v>
      </c>
      <c r="L339" s="202">
        <f>(G339*(uPostT))/(1+oDR)^'Markov Model_SA1'!cycle</f>
        <v>0.67493287053947171</v>
      </c>
      <c r="M339" s="80"/>
      <c r="N339" s="3"/>
      <c r="O339" s="80"/>
      <c r="P339" s="173">
        <v>329</v>
      </c>
      <c r="Q339" s="165"/>
      <c r="R339" s="174">
        <v>5.7237960968931079E-3</v>
      </c>
      <c r="S339" s="502"/>
      <c r="T339" s="219">
        <f t="shared" si="31"/>
        <v>1.9024525709623248</v>
      </c>
      <c r="U339" s="249">
        <f>U338+(T338*R339*'life-tables-test'!$C$66)</f>
        <v>98.097547429037675</v>
      </c>
      <c r="V339" s="516">
        <f t="shared" si="28"/>
        <v>100</v>
      </c>
      <c r="W339" s="153">
        <f>(T339*0)/(1+cDR)^'Markov Model_SA1'!cycle2</f>
        <v>0</v>
      </c>
      <c r="X339" s="178">
        <f t="shared" si="29"/>
        <v>1.9024525709623248</v>
      </c>
      <c r="Y339" s="202">
        <f>(T339*(uPostT))/(1+oDR)^'Markov Model_SA1'!cycle</f>
        <v>0.635866559067365</v>
      </c>
      <c r="Z339" s="80"/>
      <c r="AA339" s="3"/>
      <c r="AB339" s="3"/>
      <c r="AC339" s="14">
        <v>327</v>
      </c>
      <c r="AD339" s="14"/>
      <c r="AE339" s="14"/>
      <c r="AF339" s="3"/>
      <c r="AG339" s="3"/>
      <c r="AH339" s="3"/>
      <c r="AI339" s="14"/>
      <c r="AJ339" s="14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</row>
    <row r="340" spans="1:47" ht="14.25" customHeight="1" x14ac:dyDescent="0.2">
      <c r="A340" s="3"/>
      <c r="B340" s="417"/>
      <c r="C340" s="173">
        <v>330</v>
      </c>
      <c r="D340" s="165"/>
      <c r="E340" s="174">
        <v>5.7237960968931079E-3</v>
      </c>
      <c r="F340" s="502"/>
      <c r="G340" s="219">
        <f t="shared" si="32"/>
        <v>1.9615439610256118</v>
      </c>
      <c r="H340" s="249">
        <f>H339+(G339*E340*'life-tables-test'!$C$66)</f>
        <v>98.038456038974388</v>
      </c>
      <c r="I340" s="516">
        <f t="shared" si="30"/>
        <v>100</v>
      </c>
      <c r="J340" s="153">
        <f>(G340*0)/(1+cDR)^'Markov Model_SA1'!cycle</f>
        <v>0</v>
      </c>
      <c r="K340" s="178">
        <f t="shared" si="27"/>
        <v>1.9615439610256118</v>
      </c>
      <c r="L340" s="202">
        <f>(G340*(uPostT))/(1+oDR)^'Markov Model_SA1'!cycle</f>
        <v>0.65398202482711221</v>
      </c>
      <c r="M340" s="80"/>
      <c r="N340" s="3"/>
      <c r="O340" s="80"/>
      <c r="P340" s="173">
        <v>330</v>
      </c>
      <c r="Q340" s="165"/>
      <c r="R340" s="174">
        <v>5.7237960968931079E-3</v>
      </c>
      <c r="S340" s="502"/>
      <c r="T340" s="219">
        <f t="shared" si="31"/>
        <v>1.8480063179613353</v>
      </c>
      <c r="U340" s="249">
        <f>U339+(T339*R340*'life-tables-test'!$C$66)</f>
        <v>98.151993682038665</v>
      </c>
      <c r="V340" s="516">
        <f t="shared" si="28"/>
        <v>100</v>
      </c>
      <c r="W340" s="153">
        <f>(T340*0)/(1+cDR)^'Markov Model_SA1'!cycle2</f>
        <v>0</v>
      </c>
      <c r="X340" s="178">
        <f t="shared" si="29"/>
        <v>1.8480063179613353</v>
      </c>
      <c r="Y340" s="202">
        <f>(T340*(uPostT))/(1+oDR)^'Markov Model_SA1'!cycle</f>
        <v>0.61612838545904502</v>
      </c>
      <c r="Z340" s="80"/>
      <c r="AA340" s="3"/>
      <c r="AB340" s="3"/>
      <c r="AC340" s="14">
        <v>328</v>
      </c>
      <c r="AD340" s="14"/>
      <c r="AE340" s="14"/>
      <c r="AF340" s="3"/>
      <c r="AG340" s="3"/>
      <c r="AH340" s="3"/>
      <c r="AI340" s="14"/>
      <c r="AJ340" s="14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</row>
    <row r="341" spans="1:47" ht="14.25" customHeight="1" x14ac:dyDescent="0.2">
      <c r="A341" s="3"/>
      <c r="B341" s="417"/>
      <c r="C341" s="173">
        <v>331</v>
      </c>
      <c r="D341" s="165"/>
      <c r="E341" s="174">
        <v>5.7237960968931079E-3</v>
      </c>
      <c r="F341" s="502"/>
      <c r="G341" s="219">
        <f t="shared" si="32"/>
        <v>1.9054065726855924</v>
      </c>
      <c r="H341" s="249">
        <f>H340+(G340*E341*'life-tables-test'!$C$66)</f>
        <v>98.094593427314408</v>
      </c>
      <c r="I341" s="516">
        <f t="shared" si="30"/>
        <v>100</v>
      </c>
      <c r="J341" s="153">
        <f>(G341*0)/(1+cDR)^'Markov Model_SA1'!cycle</f>
        <v>0</v>
      </c>
      <c r="K341" s="178">
        <f t="shared" si="27"/>
        <v>1.9054065726855924</v>
      </c>
      <c r="L341" s="202">
        <f>(G341*(uPostT))/(1+oDR)^'Markov Model_SA1'!cycle</f>
        <v>0.63368152221585217</v>
      </c>
      <c r="M341" s="80"/>
      <c r="N341" s="3"/>
      <c r="O341" s="80"/>
      <c r="P341" s="173">
        <v>331</v>
      </c>
      <c r="Q341" s="165"/>
      <c r="R341" s="174">
        <v>5.7237960968931079E-3</v>
      </c>
      <c r="S341" s="502"/>
      <c r="T341" s="219">
        <f t="shared" si="31"/>
        <v>1.795118261212437</v>
      </c>
      <c r="U341" s="249">
        <f>U340+(T340*R341*'life-tables-test'!$C$66)</f>
        <v>98.204881738787563</v>
      </c>
      <c r="V341" s="516">
        <f t="shared" si="28"/>
        <v>100</v>
      </c>
      <c r="W341" s="153">
        <f>(T341*0)/(1+cDR)^'Markov Model_SA1'!cycle2</f>
        <v>0</v>
      </c>
      <c r="X341" s="178">
        <f t="shared" si="29"/>
        <v>1.795118261212437</v>
      </c>
      <c r="Y341" s="202">
        <f>(T341*(uPostT))/(1+oDR)^'Markov Model_SA1'!cycle</f>
        <v>0.59700291193981991</v>
      </c>
      <c r="Z341" s="80"/>
      <c r="AA341" s="3"/>
      <c r="AB341" s="3"/>
      <c r="AC341" s="14">
        <v>329</v>
      </c>
      <c r="AD341" s="14"/>
      <c r="AE341" s="14"/>
      <c r="AF341" s="3"/>
      <c r="AG341" s="3"/>
      <c r="AH341" s="3"/>
      <c r="AI341" s="14"/>
      <c r="AJ341" s="14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</row>
    <row r="342" spans="1:47" ht="14.25" customHeight="1" x14ac:dyDescent="0.2">
      <c r="A342" s="3"/>
      <c r="B342" s="417"/>
      <c r="C342" s="173">
        <v>332</v>
      </c>
      <c r="D342" s="165"/>
      <c r="E342" s="174">
        <v>5.7237960968931079E-3</v>
      </c>
      <c r="F342" s="502"/>
      <c r="G342" s="219">
        <f t="shared" si="32"/>
        <v>1.8508757791669268</v>
      </c>
      <c r="H342" s="249">
        <f>H341+(G341*E342*'life-tables-test'!$C$66)</f>
        <v>98.149124220833073</v>
      </c>
      <c r="I342" s="516">
        <f t="shared" si="30"/>
        <v>100</v>
      </c>
      <c r="J342" s="153">
        <f>(G342*0)/(1+cDR)^'Markov Model_SA1'!cycle</f>
        <v>0</v>
      </c>
      <c r="K342" s="178">
        <f t="shared" si="27"/>
        <v>1.8508757791669268</v>
      </c>
      <c r="L342" s="202">
        <f>(G342*(uPostT))/(1+oDR)^'Markov Model_SA1'!cycle</f>
        <v>0.61401117516028825</v>
      </c>
      <c r="M342" s="80"/>
      <c r="N342" s="3"/>
      <c r="O342" s="80"/>
      <c r="P342" s="173">
        <v>332</v>
      </c>
      <c r="Q342" s="165"/>
      <c r="R342" s="174">
        <v>5.7237960968931079E-3</v>
      </c>
      <c r="S342" s="502"/>
      <c r="T342" s="219">
        <f t="shared" si="31"/>
        <v>1.743743806727494</v>
      </c>
      <c r="U342" s="249">
        <f>U341+(T341*R342*'life-tables-test'!$C$66)</f>
        <v>98.256256193272506</v>
      </c>
      <c r="V342" s="516">
        <f t="shared" si="28"/>
        <v>100</v>
      </c>
      <c r="W342" s="153">
        <f>(T342*0)/(1+cDR)^'Markov Model_SA1'!cycle2</f>
        <v>0</v>
      </c>
      <c r="X342" s="178">
        <f t="shared" si="29"/>
        <v>1.743743806727494</v>
      </c>
      <c r="Y342" s="202">
        <f>(T342*(uPostT))/(1+oDR)^'Markov Model_SA1'!cycle</f>
        <v>0.57847111945520824</v>
      </c>
      <c r="Z342" s="80"/>
      <c r="AA342" s="3"/>
      <c r="AB342" s="3"/>
      <c r="AC342" s="14">
        <v>330</v>
      </c>
      <c r="AD342" s="14"/>
      <c r="AE342" s="14"/>
      <c r="AF342" s="3"/>
      <c r="AG342" s="3"/>
      <c r="AH342" s="3"/>
      <c r="AI342" s="14"/>
      <c r="AJ342" s="14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</row>
    <row r="343" spans="1:47" ht="14.25" customHeight="1" x14ac:dyDescent="0.2">
      <c r="A343" s="3"/>
      <c r="B343" s="417"/>
      <c r="C343" s="173">
        <v>333</v>
      </c>
      <c r="D343" s="165"/>
      <c r="E343" s="174">
        <v>5.7237960968931079E-3</v>
      </c>
      <c r="F343" s="502"/>
      <c r="G343" s="219">
        <f t="shared" si="32"/>
        <v>1.7979056013637802</v>
      </c>
      <c r="H343" s="249">
        <f>H342+(G342*E343*'life-tables-test'!$C$66)</f>
        <v>98.20209439863622</v>
      </c>
      <c r="I343" s="516">
        <f t="shared" si="30"/>
        <v>100</v>
      </c>
      <c r="J343" s="153">
        <f>(G343*0)/(1+cDR)^'Markov Model_SA1'!cycle</f>
        <v>0</v>
      </c>
      <c r="K343" s="178">
        <f t="shared" si="27"/>
        <v>1.7979056013637802</v>
      </c>
      <c r="L343" s="202">
        <f>(G343*(uPostT))/(1+oDR)^'Markov Model_SA1'!cycle</f>
        <v>0.59495142276422197</v>
      </c>
      <c r="M343" s="80"/>
      <c r="N343" s="3"/>
      <c r="O343" s="80"/>
      <c r="P343" s="173">
        <v>333</v>
      </c>
      <c r="Q343" s="165"/>
      <c r="R343" s="174">
        <v>5.7237960968931079E-3</v>
      </c>
      <c r="S343" s="502"/>
      <c r="T343" s="219">
        <f t="shared" si="31"/>
        <v>1.6938396367528554</v>
      </c>
      <c r="U343" s="249">
        <f>U342+(T342*R343*'life-tables-test'!$C$66)</f>
        <v>98.306160363247145</v>
      </c>
      <c r="V343" s="516">
        <f t="shared" si="28"/>
        <v>100</v>
      </c>
      <c r="W343" s="153">
        <f>(T343*0)/(1+cDR)^'Markov Model_SA1'!cycle2</f>
        <v>0</v>
      </c>
      <c r="X343" s="178">
        <f t="shared" si="29"/>
        <v>1.6938396367528554</v>
      </c>
      <c r="Y343" s="202">
        <f>(T343*(uPostT))/(1+oDR)^'Markov Model_SA1'!cycle</f>
        <v>0.56051457932837268</v>
      </c>
      <c r="Z343" s="80"/>
      <c r="AA343" s="3"/>
      <c r="AB343" s="3"/>
      <c r="AC343" s="14">
        <v>331</v>
      </c>
      <c r="AD343" s="14"/>
      <c r="AE343" s="14"/>
      <c r="AF343" s="3"/>
      <c r="AG343" s="3"/>
      <c r="AH343" s="3"/>
      <c r="AI343" s="14"/>
      <c r="AJ343" s="14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</row>
    <row r="344" spans="1:47" ht="14.25" customHeight="1" x14ac:dyDescent="0.2">
      <c r="A344" s="3"/>
      <c r="B344" s="417"/>
      <c r="C344" s="173">
        <v>334</v>
      </c>
      <c r="D344" s="165"/>
      <c r="E344" s="174">
        <v>5.7237960968931079E-3</v>
      </c>
      <c r="F344" s="502"/>
      <c r="G344" s="219">
        <f t="shared" si="32"/>
        <v>1.7464513760454423</v>
      </c>
      <c r="H344" s="249">
        <f>H343+(G343*E344*'life-tables-test'!$C$66)</f>
        <v>98.253548623954558</v>
      </c>
      <c r="I344" s="516">
        <f t="shared" si="30"/>
        <v>100</v>
      </c>
      <c r="J344" s="153">
        <f>(G344*0)/(1+cDR)^'Markov Model_SA1'!cycle</f>
        <v>0</v>
      </c>
      <c r="K344" s="178">
        <f t="shared" si="27"/>
        <v>1.7464513760454423</v>
      </c>
      <c r="L344" s="202">
        <f>(G344*(uPostT))/(1+oDR)^'Markov Model_SA1'!cycle</f>
        <v>0.57648331132860764</v>
      </c>
      <c r="M344" s="80"/>
      <c r="N344" s="3"/>
      <c r="O344" s="80"/>
      <c r="P344" s="173">
        <v>334</v>
      </c>
      <c r="Q344" s="165"/>
      <c r="R344" s="174">
        <v>5.7237960968931079E-3</v>
      </c>
      <c r="S344" s="502"/>
      <c r="T344" s="219">
        <f t="shared" si="31"/>
        <v>1.645363673244816</v>
      </c>
      <c r="U344" s="249">
        <f>U343+(T343*R344*'life-tables-test'!$C$66)</f>
        <v>98.354636326755184</v>
      </c>
      <c r="V344" s="516">
        <f t="shared" si="28"/>
        <v>100</v>
      </c>
      <c r="W344" s="153">
        <f>(T344*0)/(1+cDR)^'Markov Model_SA1'!cycle2</f>
        <v>0</v>
      </c>
      <c r="X344" s="178">
        <f t="shared" si="29"/>
        <v>1.645363673244816</v>
      </c>
      <c r="Y344" s="202">
        <f>(T344*(uPostT))/(1+oDR)^'Markov Model_SA1'!cycle</f>
        <v>0.54311543493398251</v>
      </c>
      <c r="Z344" s="80"/>
      <c r="AA344" s="3"/>
      <c r="AB344" s="3"/>
      <c r="AC344" s="14">
        <v>332</v>
      </c>
      <c r="AD344" s="14"/>
      <c r="AE344" s="14"/>
      <c r="AF344" s="3"/>
      <c r="AG344" s="3"/>
      <c r="AH344" s="3"/>
      <c r="AI344" s="14"/>
      <c r="AJ344" s="14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</row>
    <row r="345" spans="1:47" ht="14.25" customHeight="1" x14ac:dyDescent="0.2">
      <c r="A345" s="3"/>
      <c r="B345" s="417"/>
      <c r="C345" s="173">
        <v>335</v>
      </c>
      <c r="D345" s="165"/>
      <c r="E345" s="174">
        <v>5.7237960968931079E-3</v>
      </c>
      <c r="F345" s="502"/>
      <c r="G345" s="219">
        <f t="shared" si="32"/>
        <v>1.6964697181973349</v>
      </c>
      <c r="H345" s="249">
        <f>H344+(G344*E345*'life-tables-test'!$C$66)</f>
        <v>98.303530281802665</v>
      </c>
      <c r="I345" s="516">
        <f t="shared" si="30"/>
        <v>100</v>
      </c>
      <c r="J345" s="153">
        <f>(G345*0)/(1+cDR)^'Markov Model_SA1'!cycle</f>
        <v>0</v>
      </c>
      <c r="K345" s="178">
        <f t="shared" si="27"/>
        <v>1.6964697181973349</v>
      </c>
      <c r="L345" s="202">
        <f>(G345*(uPostT))/(1+oDR)^'Markov Model_SA1'!cycle</f>
        <v>0.55858847550331747</v>
      </c>
      <c r="M345" s="80"/>
      <c r="N345" s="3"/>
      <c r="O345" s="80"/>
      <c r="P345" s="173">
        <v>335</v>
      </c>
      <c r="Q345" s="165"/>
      <c r="R345" s="174">
        <v>5.7237960968931079E-3</v>
      </c>
      <c r="S345" s="502"/>
      <c r="T345" s="219">
        <f t="shared" si="31"/>
        <v>1.5982750423903695</v>
      </c>
      <c r="U345" s="249">
        <f>U344+(T344*R345*'life-tables-test'!$C$66)</f>
        <v>98.40172495760963</v>
      </c>
      <c r="V345" s="516">
        <f t="shared" si="28"/>
        <v>100</v>
      </c>
      <c r="W345" s="153">
        <f>(T345*0)/(1+cDR)^'Markov Model_SA1'!cycle2</f>
        <v>0</v>
      </c>
      <c r="X345" s="178">
        <f t="shared" si="29"/>
        <v>1.5982750423903695</v>
      </c>
      <c r="Y345" s="202">
        <f>(T345*(uPostT))/(1+oDR)^'Markov Model_SA1'!cycle</f>
        <v>0.52625638394094088</v>
      </c>
      <c r="Z345" s="80"/>
      <c r="AA345" s="3"/>
      <c r="AB345" s="3"/>
      <c r="AC345" s="14">
        <v>333</v>
      </c>
      <c r="AD345" s="14"/>
      <c r="AE345" s="14"/>
      <c r="AF345" s="3"/>
      <c r="AG345" s="3"/>
      <c r="AH345" s="3"/>
      <c r="AI345" s="14"/>
      <c r="AJ345" s="14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</row>
    <row r="346" spans="1:47" ht="14.25" customHeight="1" x14ac:dyDescent="0.2">
      <c r="A346" s="3"/>
      <c r="B346" s="417"/>
      <c r="C346" s="173">
        <v>336</v>
      </c>
      <c r="D346" s="165"/>
      <c r="E346" s="174">
        <v>5.7237960968931079E-3</v>
      </c>
      <c r="F346" s="502"/>
      <c r="G346" s="219">
        <f t="shared" si="32"/>
        <v>1.6479184844397565</v>
      </c>
      <c r="H346" s="249">
        <f>H345+(G345*E346*'life-tables-test'!$C$66)</f>
        <v>98.352081515560243</v>
      </c>
      <c r="I346" s="516">
        <f t="shared" si="30"/>
        <v>100</v>
      </c>
      <c r="J346" s="153">
        <f>(G346*0)/(1+cDR)^'Markov Model_SA1'!cycle</f>
        <v>0</v>
      </c>
      <c r="K346" s="178">
        <f t="shared" si="27"/>
        <v>1.6479184844397565</v>
      </c>
      <c r="L346" s="202">
        <f>(G346*(uPostT))/(1+oDR)^'Markov Model_SA1'!cycle</f>
        <v>0.54124912002397985</v>
      </c>
      <c r="M346" s="80"/>
      <c r="N346" s="3"/>
      <c r="O346" s="80"/>
      <c r="P346" s="173">
        <v>336</v>
      </c>
      <c r="Q346" s="165"/>
      <c r="R346" s="174">
        <v>5.7237960968931079E-3</v>
      </c>
      <c r="S346" s="502"/>
      <c r="T346" s="219">
        <f t="shared" si="31"/>
        <v>1.5525340401433851</v>
      </c>
      <c r="U346" s="249">
        <f>U345+(T345*R346*'life-tables-test'!$C$66)</f>
        <v>98.447465959856615</v>
      </c>
      <c r="V346" s="516">
        <f t="shared" si="28"/>
        <v>100</v>
      </c>
      <c r="W346" s="153">
        <f>(T346*0)/(1+cDR)^'Markov Model_SA1'!cycle2</f>
        <v>0</v>
      </c>
      <c r="X346" s="178">
        <f t="shared" si="29"/>
        <v>1.5525340401433851</v>
      </c>
      <c r="Y346" s="202">
        <f>(T346*(uPostT))/(1+oDR)^'Markov Model_SA1'!cycle</f>
        <v>0.50992066110634182</v>
      </c>
      <c r="Z346" s="80"/>
      <c r="AA346" s="3"/>
      <c r="AB346" s="3"/>
      <c r="AC346" s="14">
        <v>334</v>
      </c>
      <c r="AD346" s="14"/>
      <c r="AE346" s="14"/>
      <c r="AF346" s="3"/>
      <c r="AG346" s="3"/>
      <c r="AH346" s="3"/>
      <c r="AI346" s="14"/>
      <c r="AJ346" s="14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</row>
    <row r="347" spans="1:47" ht="14.25" customHeight="1" x14ac:dyDescent="0.2">
      <c r="A347" s="3"/>
      <c r="B347" s="417"/>
      <c r="C347" s="173">
        <v>337</v>
      </c>
      <c r="D347" s="504"/>
      <c r="E347" s="174">
        <v>5.7237960968931079E-3</v>
      </c>
      <c r="F347" s="505"/>
      <c r="G347" s="219">
        <f t="shared" si="32"/>
        <v>1.6007567374935832</v>
      </c>
      <c r="H347" s="249">
        <f>H346+(G346*E347*'life-tables-test'!$C$66)</f>
        <v>98.399243262506417</v>
      </c>
      <c r="I347" s="516">
        <f t="shared" si="30"/>
        <v>100</v>
      </c>
      <c r="J347" s="180">
        <f>(G347*0)/(1+cDR)^'Markov Model_SA1'!cycle</f>
        <v>0</v>
      </c>
      <c r="K347" s="176">
        <f t="shared" si="27"/>
        <v>1.6007567374935832</v>
      </c>
      <c r="L347" s="202">
        <f>(G347*(uPostT))/(1+oDR)^'Markov Model_SA1'!cycle</f>
        <v>0.5244480020157396</v>
      </c>
      <c r="M347" s="80"/>
      <c r="N347" s="3"/>
      <c r="O347" s="80"/>
      <c r="P347" s="173">
        <v>337</v>
      </c>
      <c r="Q347" s="504"/>
      <c r="R347" s="174">
        <v>5.7237960968931079E-3</v>
      </c>
      <c r="S347" s="505"/>
      <c r="T347" s="219">
        <f t="shared" si="31"/>
        <v>1.5081020987470595</v>
      </c>
      <c r="U347" s="249">
        <f>U346+(T346*R347*'life-tables-test'!$C$66)</f>
        <v>98.491897901252941</v>
      </c>
      <c r="V347" s="516">
        <f t="shared" si="28"/>
        <v>100</v>
      </c>
      <c r="W347" s="180">
        <f>(T347*0)/(1+cDR)^'Markov Model_SA1'!cycle2</f>
        <v>0</v>
      </c>
      <c r="X347" s="176">
        <f t="shared" si="29"/>
        <v>1.5081020987470595</v>
      </c>
      <c r="Y347" s="202">
        <f>(T347*(uPostT))/(1+oDR)^'Markov Model_SA1'!cycle</f>
        <v>0.49409202160350707</v>
      </c>
      <c r="Z347" s="80"/>
      <c r="AA347" s="3"/>
      <c r="AB347" s="3"/>
      <c r="AC347" s="14">
        <v>335</v>
      </c>
      <c r="AD347" s="14"/>
      <c r="AE347" s="14"/>
      <c r="AF347" s="3"/>
      <c r="AG347" s="3"/>
      <c r="AH347" s="3"/>
      <c r="AI347" s="14"/>
      <c r="AJ347" s="14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</row>
    <row r="348" spans="1:47" ht="14.25" customHeight="1" x14ac:dyDescent="0.25">
      <c r="A348" s="3">
        <v>30</v>
      </c>
      <c r="B348" s="417"/>
      <c r="C348" s="506">
        <v>338</v>
      </c>
      <c r="D348" s="506"/>
      <c r="E348" s="507">
        <v>5.7237960968931079E-3</v>
      </c>
      <c r="F348" s="508"/>
      <c r="G348" s="509">
        <f t="shared" si="32"/>
        <v>1.5549447116628841</v>
      </c>
      <c r="H348" s="510">
        <f>H347+(G347*E348*'life-tables-test'!$C$66)</f>
        <v>98.445055288337116</v>
      </c>
      <c r="I348" s="518">
        <f t="shared" si="30"/>
        <v>100</v>
      </c>
      <c r="J348" s="511">
        <f>(G348*0)/(1+cDR)^'Markov Model_SA1'!cycle</f>
        <v>0</v>
      </c>
      <c r="K348" s="512">
        <f t="shared" si="27"/>
        <v>1.5549447116628841</v>
      </c>
      <c r="L348" s="513">
        <f>(G348*(uPostT))/(1+oDR)^'Markov Model_SA1'!cycle</f>
        <v>0.50816841384632039</v>
      </c>
      <c r="M348" s="80"/>
      <c r="N348" s="3"/>
      <c r="O348" s="80"/>
      <c r="P348" s="506">
        <v>338</v>
      </c>
      <c r="Q348" s="506"/>
      <c r="R348" s="507">
        <v>5.7237960968931079E-3</v>
      </c>
      <c r="S348" s="508"/>
      <c r="T348" s="509">
        <f t="shared" si="31"/>
        <v>1.4649417542144363</v>
      </c>
      <c r="U348" s="510">
        <f>U347+(T347*R348*'life-tables-test'!$C$66)</f>
        <v>98.535058245785564</v>
      </c>
      <c r="V348" s="518">
        <f t="shared" si="28"/>
        <v>100</v>
      </c>
      <c r="W348" s="511">
        <f>(T348*0)/(1+cDR)^'Markov Model_SA1'!cycle2</f>
        <v>0</v>
      </c>
      <c r="X348" s="512">
        <f t="shared" si="29"/>
        <v>1.4649417542144363</v>
      </c>
      <c r="Y348" s="513">
        <f>(T348*(uPostT))/(1+oDR)^'Markov Model_SA1'!cycle</f>
        <v>0.47875472486753734</v>
      </c>
      <c r="Z348" s="80"/>
      <c r="AA348" s="3"/>
      <c r="AB348" s="3"/>
      <c r="AC348" s="14">
        <v>336</v>
      </c>
      <c r="AD348" s="14"/>
      <c r="AE348" s="14"/>
      <c r="AF348" s="3"/>
      <c r="AG348" s="3"/>
      <c r="AH348" s="3"/>
      <c r="AI348" s="14"/>
      <c r="AJ348" s="14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</row>
    <row r="349" spans="1:47" ht="14.25" customHeight="1" x14ac:dyDescent="0.2">
      <c r="A349" s="3"/>
      <c r="B349" s="417"/>
      <c r="C349" s="173">
        <v>339</v>
      </c>
      <c r="D349" s="165"/>
      <c r="E349" s="174">
        <v>6.3902981105391499E-3</v>
      </c>
      <c r="F349" s="502"/>
      <c r="G349" s="219">
        <f t="shared" si="32"/>
        <v>1.5052619103982181</v>
      </c>
      <c r="H349" s="249">
        <f>H348+(G348*E349*'life-tables-test'!$C$66)</f>
        <v>98.494738089601782</v>
      </c>
      <c r="I349" s="516">
        <f t="shared" si="30"/>
        <v>100</v>
      </c>
      <c r="J349" s="153">
        <f>(G349*0)/(1+cDR)^'Markov Model_SA1'!cycle</f>
        <v>0</v>
      </c>
      <c r="K349" s="178">
        <f t="shared" si="27"/>
        <v>1.5052619103982181</v>
      </c>
      <c r="L349" s="202">
        <f>(G349*(uPostT))/(1+oDR)^'Markov Model_SA1'!cycle</f>
        <v>0.49070491328890742</v>
      </c>
      <c r="M349" s="80"/>
      <c r="N349" s="3"/>
      <c r="O349" s="80"/>
      <c r="P349" s="173">
        <v>339</v>
      </c>
      <c r="Q349" s="165"/>
      <c r="R349" s="174">
        <v>6.3902981105391499E-3</v>
      </c>
      <c r="S349" s="502"/>
      <c r="T349" s="219">
        <f t="shared" si="31"/>
        <v>1.4181346815944096</v>
      </c>
      <c r="U349" s="249">
        <f>U348+(T348*R349*'life-tables-test'!$C$66)</f>
        <v>98.58186531840559</v>
      </c>
      <c r="V349" s="516">
        <f t="shared" si="28"/>
        <v>100</v>
      </c>
      <c r="W349" s="153">
        <f>(T349*0)/(1+cDR)^'Markov Model_SA1'!cycle2</f>
        <v>0</v>
      </c>
      <c r="X349" s="178">
        <f t="shared" si="29"/>
        <v>1.4181346815944096</v>
      </c>
      <c r="Y349" s="202">
        <f>(T349*(uPostT))/(1+oDR)^'Markov Model_SA1'!cycle</f>
        <v>0.46230204269214525</v>
      </c>
      <c r="Z349" s="80"/>
      <c r="AA349" s="3"/>
      <c r="AB349" s="3"/>
      <c r="AC349" s="14">
        <v>337</v>
      </c>
      <c r="AD349" s="14"/>
      <c r="AE349" s="14"/>
      <c r="AF349" s="3"/>
      <c r="AG349" s="3"/>
      <c r="AH349" s="3"/>
      <c r="AI349" s="14"/>
      <c r="AJ349" s="14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</row>
    <row r="350" spans="1:47" ht="14.25" customHeight="1" x14ac:dyDescent="0.2">
      <c r="A350" s="3"/>
      <c r="B350" s="417"/>
      <c r="C350" s="173">
        <v>340</v>
      </c>
      <c r="D350" s="165"/>
      <c r="E350" s="174">
        <v>6.3902981105391499E-3</v>
      </c>
      <c r="F350" s="502"/>
      <c r="G350" s="219">
        <f t="shared" si="32"/>
        <v>1.4571665486888037</v>
      </c>
      <c r="H350" s="249">
        <f>H349+(G349*E350*'life-tables-test'!$C$66)</f>
        <v>98.542833451311196</v>
      </c>
      <c r="I350" s="516">
        <f t="shared" si="30"/>
        <v>100</v>
      </c>
      <c r="J350" s="153">
        <f>(G350*0)/(1+cDR)^'Markov Model_SA1'!cycle</f>
        <v>0</v>
      </c>
      <c r="K350" s="178">
        <f t="shared" si="27"/>
        <v>1.4571665486888037</v>
      </c>
      <c r="L350" s="202">
        <f>(G350*(uPostT))/(1+oDR)^'Markov Model_SA1'!cycle</f>
        <v>0.47384155599780337</v>
      </c>
      <c r="M350" s="80"/>
      <c r="N350" s="3"/>
      <c r="O350" s="80"/>
      <c r="P350" s="173">
        <v>340</v>
      </c>
      <c r="Q350" s="165"/>
      <c r="R350" s="174">
        <v>6.3902981105391499E-3</v>
      </c>
      <c r="S350" s="502"/>
      <c r="T350" s="219">
        <f t="shared" si="31"/>
        <v>1.3728231647129974</v>
      </c>
      <c r="U350" s="249">
        <f>U349+(T349*R350*'life-tables-test'!$C$66)</f>
        <v>98.627176835287003</v>
      </c>
      <c r="V350" s="516">
        <f t="shared" si="28"/>
        <v>100</v>
      </c>
      <c r="W350" s="153">
        <f>(T350*0)/(1+cDR)^'Markov Model_SA1'!cycle2</f>
        <v>0</v>
      </c>
      <c r="X350" s="178">
        <f t="shared" si="29"/>
        <v>1.3728231647129974</v>
      </c>
      <c r="Y350" s="202">
        <f>(T350*(uPostT))/(1+oDR)^'Markov Model_SA1'!cycle</f>
        <v>0.44641476642650951</v>
      </c>
      <c r="Z350" s="80"/>
      <c r="AA350" s="3"/>
      <c r="AB350" s="3"/>
      <c r="AC350" s="14">
        <v>338</v>
      </c>
      <c r="AD350" s="14"/>
      <c r="AE350" s="14"/>
      <c r="AF350" s="3"/>
      <c r="AG350" s="3"/>
      <c r="AH350" s="3"/>
      <c r="AI350" s="14"/>
      <c r="AJ350" s="14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</row>
    <row r="351" spans="1:47" ht="14.25" customHeight="1" x14ac:dyDescent="0.2">
      <c r="A351" s="3"/>
      <c r="B351" s="417"/>
      <c r="C351" s="173">
        <v>341</v>
      </c>
      <c r="D351" s="165"/>
      <c r="E351" s="174">
        <v>6.3902981105391499E-3</v>
      </c>
      <c r="F351" s="502"/>
      <c r="G351" s="219">
        <f t="shared" si="32"/>
        <v>1.410607905474663</v>
      </c>
      <c r="H351" s="249">
        <f>H350+(G350*E351*'life-tables-test'!$C$66)</f>
        <v>98.589392094525337</v>
      </c>
      <c r="I351" s="516">
        <f t="shared" si="30"/>
        <v>100</v>
      </c>
      <c r="J351" s="153">
        <f>(G351*0)/(1+cDR)^'Markov Model_SA1'!cycle</f>
        <v>0</v>
      </c>
      <c r="K351" s="178">
        <f t="shared" si="27"/>
        <v>1.410607905474663</v>
      </c>
      <c r="L351" s="202">
        <f>(G351*(uPostT))/(1+oDR)^'Markov Model_SA1'!cycle</f>
        <v>0.45755771770360393</v>
      </c>
      <c r="M351" s="80"/>
      <c r="N351" s="3"/>
      <c r="O351" s="80"/>
      <c r="P351" s="173">
        <v>341</v>
      </c>
      <c r="Q351" s="165"/>
      <c r="R351" s="174">
        <v>6.3902981105391499E-3</v>
      </c>
      <c r="S351" s="502"/>
      <c r="T351" s="219">
        <f t="shared" si="31"/>
        <v>1.3289594183351454</v>
      </c>
      <c r="U351" s="249">
        <f>U350+(T350*R351*'life-tables-test'!$C$66)</f>
        <v>98.671040581664855</v>
      </c>
      <c r="V351" s="516">
        <f t="shared" si="28"/>
        <v>100</v>
      </c>
      <c r="W351" s="153">
        <f>(T351*0)/(1+cDR)^'Markov Model_SA1'!cycle2</f>
        <v>0</v>
      </c>
      <c r="X351" s="178">
        <f t="shared" si="29"/>
        <v>1.3289594183351454</v>
      </c>
      <c r="Y351" s="202">
        <f>(T351*(uPostT))/(1+oDR)^'Markov Model_SA1'!cycle</f>
        <v>0.4310734655705219</v>
      </c>
      <c r="Z351" s="80"/>
      <c r="AA351" s="3"/>
      <c r="AB351" s="3"/>
      <c r="AC351" s="14">
        <v>339</v>
      </c>
      <c r="AD351" s="14"/>
      <c r="AE351" s="14"/>
      <c r="AF351" s="3"/>
      <c r="AG351" s="3"/>
      <c r="AH351" s="3"/>
      <c r="AI351" s="14"/>
      <c r="AJ351" s="14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</row>
    <row r="352" spans="1:47" ht="14.25" customHeight="1" x14ac:dyDescent="0.2">
      <c r="A352" s="3"/>
      <c r="B352" s="417"/>
      <c r="C352" s="173">
        <v>342</v>
      </c>
      <c r="D352" s="165"/>
      <c r="E352" s="174">
        <v>6.3902981105391499E-3</v>
      </c>
      <c r="F352" s="502"/>
      <c r="G352" s="219">
        <f t="shared" si="32"/>
        <v>1.3655368803093353</v>
      </c>
      <c r="H352" s="249">
        <f>H351+(G351*E352*'life-tables-test'!$C$66)</f>
        <v>98.634463119690665</v>
      </c>
      <c r="I352" s="516">
        <f t="shared" si="30"/>
        <v>100</v>
      </c>
      <c r="J352" s="153">
        <f>(G352*0)/(1+cDR)^'Markov Model_SA1'!cycle</f>
        <v>0</v>
      </c>
      <c r="K352" s="178">
        <f t="shared" si="27"/>
        <v>1.3655368803093353</v>
      </c>
      <c r="L352" s="202">
        <f>(G352*(uPostT))/(1+oDR)^'Markov Model_SA1'!cycle</f>
        <v>0.441833482901831</v>
      </c>
      <c r="M352" s="80"/>
      <c r="N352" s="3"/>
      <c r="O352" s="80"/>
      <c r="P352" s="173">
        <v>342</v>
      </c>
      <c r="Q352" s="165"/>
      <c r="R352" s="174">
        <v>6.3902981105391499E-3</v>
      </c>
      <c r="S352" s="502"/>
      <c r="T352" s="219">
        <f t="shared" si="31"/>
        <v>1.2864971840352979</v>
      </c>
      <c r="U352" s="249">
        <f>U351+(T351*R352*'life-tables-test'!$C$66)</f>
        <v>98.713502815964702</v>
      </c>
      <c r="V352" s="516">
        <f t="shared" si="28"/>
        <v>100</v>
      </c>
      <c r="W352" s="153">
        <f>(T352*0)/(1+cDR)^'Markov Model_SA1'!cycle2</f>
        <v>0</v>
      </c>
      <c r="X352" s="178">
        <f t="shared" si="29"/>
        <v>1.2864971840352979</v>
      </c>
      <c r="Y352" s="202">
        <f>(T352*(uPostT))/(1+oDR)^'Markov Model_SA1'!cycle</f>
        <v>0.41625937736441787</v>
      </c>
      <c r="Z352" s="80"/>
      <c r="AA352" s="3"/>
      <c r="AB352" s="3"/>
      <c r="AC352" s="14">
        <v>340</v>
      </c>
      <c r="AD352" s="14"/>
      <c r="AE352" s="14"/>
      <c r="AF352" s="3"/>
      <c r="AG352" s="3"/>
      <c r="AH352" s="3"/>
      <c r="AI352" s="14"/>
      <c r="AJ352" s="14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</row>
    <row r="353" spans="1:47" ht="14.25" customHeight="1" x14ac:dyDescent="0.2">
      <c r="A353" s="3"/>
      <c r="B353" s="417"/>
      <c r="C353" s="173">
        <v>343</v>
      </c>
      <c r="D353" s="165"/>
      <c r="E353" s="174">
        <v>6.3902981105391499E-3</v>
      </c>
      <c r="F353" s="502"/>
      <c r="G353" s="219">
        <f t="shared" si="32"/>
        <v>1.3219059415787768</v>
      </c>
      <c r="H353" s="249">
        <f>H352+(G352*E353*'life-tables-test'!$C$66)</f>
        <v>98.678094058421223</v>
      </c>
      <c r="I353" s="516">
        <f t="shared" si="30"/>
        <v>100</v>
      </c>
      <c r="J353" s="153">
        <f>(G353*0)/(1+cDR)^'Markov Model_SA1'!cycle</f>
        <v>0</v>
      </c>
      <c r="K353" s="178">
        <f t="shared" si="27"/>
        <v>1.3219059415787768</v>
      </c>
      <c r="L353" s="202">
        <f>(G353*(uPostT))/(1+oDR)^'Markov Model_SA1'!cycle</f>
        <v>0.42664962049578986</v>
      </c>
      <c r="M353" s="80"/>
      <c r="N353" s="3"/>
      <c r="O353" s="80"/>
      <c r="P353" s="173">
        <v>343</v>
      </c>
      <c r="Q353" s="165"/>
      <c r="R353" s="174">
        <v>6.3902981105391499E-3</v>
      </c>
      <c r="S353" s="502"/>
      <c r="T353" s="219">
        <f t="shared" si="31"/>
        <v>1.2453916814135226</v>
      </c>
      <c r="U353" s="249">
        <f>U352+(T352*R353*'life-tables-test'!$C$66)</f>
        <v>98.754608318586477</v>
      </c>
      <c r="V353" s="516">
        <f t="shared" si="28"/>
        <v>100</v>
      </c>
      <c r="W353" s="153">
        <f>(T353*0)/(1+cDR)^'Markov Model_SA1'!cycle2</f>
        <v>0</v>
      </c>
      <c r="X353" s="178">
        <f t="shared" si="29"/>
        <v>1.2453916814135226</v>
      </c>
      <c r="Y353" s="202">
        <f>(T353*(uPostT))/(1+oDR)^'Markov Model_SA1'!cycle</f>
        <v>0.40195438384148335</v>
      </c>
      <c r="Z353" s="80"/>
      <c r="AA353" s="3"/>
      <c r="AB353" s="3"/>
      <c r="AC353" s="14">
        <v>341</v>
      </c>
      <c r="AD353" s="14"/>
      <c r="AE353" s="14"/>
      <c r="AF353" s="3"/>
      <c r="AG353" s="3"/>
      <c r="AH353" s="3"/>
      <c r="AI353" s="14"/>
      <c r="AJ353" s="14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</row>
    <row r="354" spans="1:47" ht="14.25" customHeight="1" x14ac:dyDescent="0.2">
      <c r="A354" s="3"/>
      <c r="B354" s="417"/>
      <c r="C354" s="173">
        <v>344</v>
      </c>
      <c r="D354" s="165"/>
      <c r="E354" s="174">
        <v>6.3902981105391499E-3</v>
      </c>
      <c r="F354" s="502"/>
      <c r="G354" s="219">
        <f t="shared" si="32"/>
        <v>1.2796690763748728</v>
      </c>
      <c r="H354" s="249">
        <f>H353+(G353*E354*'life-tables-test'!$C$66)</f>
        <v>98.720330923625127</v>
      </c>
      <c r="I354" s="516">
        <f t="shared" si="30"/>
        <v>100</v>
      </c>
      <c r="J354" s="153">
        <f>(G354*0)/(1+cDR)^'Markov Model_SA1'!cycle</f>
        <v>0</v>
      </c>
      <c r="K354" s="178">
        <f t="shared" si="27"/>
        <v>1.2796690763748728</v>
      </c>
      <c r="L354" s="202">
        <f>(G354*(uPostT))/(1+oDR)^'Markov Model_SA1'!cycle</f>
        <v>0.41198756027651706</v>
      </c>
      <c r="M354" s="80"/>
      <c r="N354" s="3"/>
      <c r="O354" s="80"/>
      <c r="P354" s="173">
        <v>344</v>
      </c>
      <c r="Q354" s="165"/>
      <c r="R354" s="174">
        <v>6.3902981105391499E-3</v>
      </c>
      <c r="S354" s="502"/>
      <c r="T354" s="219">
        <f t="shared" si="31"/>
        <v>1.2055995608704393</v>
      </c>
      <c r="U354" s="249">
        <f>U353+(T353*R354*'life-tables-test'!$C$66)</f>
        <v>98.794400439129561</v>
      </c>
      <c r="V354" s="516">
        <f t="shared" si="28"/>
        <v>100</v>
      </c>
      <c r="W354" s="153">
        <f>(T354*0)/(1+cDR)^'Markov Model_SA1'!cycle2</f>
        <v>0</v>
      </c>
      <c r="X354" s="178">
        <f t="shared" si="29"/>
        <v>1.2055995608704393</v>
      </c>
      <c r="Y354" s="202">
        <f>(T354*(uPostT))/(1+oDR)^'Markov Model_SA1'!cycle</f>
        <v>0.38814098966938632</v>
      </c>
      <c r="Z354" s="80"/>
      <c r="AA354" s="3"/>
      <c r="AB354" s="3"/>
      <c r="AC354" s="14">
        <v>342</v>
      </c>
      <c r="AD354" s="14"/>
      <c r="AE354" s="14"/>
      <c r="AF354" s="3"/>
      <c r="AG354" s="3"/>
      <c r="AH354" s="3"/>
      <c r="AI354" s="14"/>
      <c r="AJ354" s="14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</row>
    <row r="355" spans="1:47" ht="14.25" customHeight="1" x14ac:dyDescent="0.2">
      <c r="A355" s="3"/>
      <c r="B355" s="417"/>
      <c r="C355" s="173">
        <v>345</v>
      </c>
      <c r="D355" s="165"/>
      <c r="E355" s="174">
        <v>6.3902981105391499E-3</v>
      </c>
      <c r="F355" s="502"/>
      <c r="G355" s="219">
        <f t="shared" si="32"/>
        <v>1.2387817419704987</v>
      </c>
      <c r="H355" s="249">
        <f>H354+(G354*E355*'life-tables-test'!$C$66)</f>
        <v>98.761218258029501</v>
      </c>
      <c r="I355" s="516">
        <f t="shared" si="30"/>
        <v>100</v>
      </c>
      <c r="J355" s="153">
        <f>(G355*0)/(1+cDR)^'Markov Model_SA1'!cycle</f>
        <v>0</v>
      </c>
      <c r="K355" s="178">
        <f t="shared" si="27"/>
        <v>1.2387817419704987</v>
      </c>
      <c r="L355" s="202">
        <f>(G355*(uPostT))/(1+oDR)^'Markov Model_SA1'!cycle</f>
        <v>0.39782937021098447</v>
      </c>
      <c r="M355" s="80"/>
      <c r="N355" s="3"/>
      <c r="O355" s="80"/>
      <c r="P355" s="173">
        <v>345</v>
      </c>
      <c r="Q355" s="165"/>
      <c r="R355" s="174">
        <v>6.3902981105391499E-3</v>
      </c>
      <c r="S355" s="502"/>
      <c r="T355" s="219">
        <f t="shared" si="31"/>
        <v>1.1670788578909566</v>
      </c>
      <c r="U355" s="249">
        <f>U354+(T354*R355*'life-tables-test'!$C$66)</f>
        <v>98.832921142109043</v>
      </c>
      <c r="V355" s="516">
        <f t="shared" si="28"/>
        <v>100</v>
      </c>
      <c r="W355" s="153">
        <f>(T355*0)/(1+cDR)^'Markov Model_SA1'!cycle2</f>
        <v>0</v>
      </c>
      <c r="X355" s="178">
        <f t="shared" si="29"/>
        <v>1.1670788578909566</v>
      </c>
      <c r="Y355" s="202">
        <f>(T355*(uPostT))/(1+oDR)^'Markov Model_SA1'!cycle</f>
        <v>0.3748023007529695</v>
      </c>
      <c r="Z355" s="80"/>
      <c r="AA355" s="3"/>
      <c r="AB355" s="3"/>
      <c r="AC355" s="14">
        <v>343</v>
      </c>
      <c r="AD355" s="14"/>
      <c r="AE355" s="14"/>
      <c r="AF355" s="3"/>
      <c r="AG355" s="3"/>
      <c r="AH355" s="3"/>
      <c r="AI355" s="14"/>
      <c r="AJ355" s="14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</row>
    <row r="356" spans="1:47" ht="14.25" customHeight="1" x14ac:dyDescent="0.2">
      <c r="A356" s="3"/>
      <c r="B356" s="417"/>
      <c r="C356" s="173">
        <v>346</v>
      </c>
      <c r="D356" s="165"/>
      <c r="E356" s="174">
        <v>6.3902981105391499E-3</v>
      </c>
      <c r="F356" s="502"/>
      <c r="G356" s="219">
        <f t="shared" si="32"/>
        <v>1.1992008188450711</v>
      </c>
      <c r="H356" s="249">
        <f>H355+(G355*E356*'life-tables-test'!$C$66)</f>
        <v>98.800799181154929</v>
      </c>
      <c r="I356" s="516">
        <f t="shared" si="30"/>
        <v>100</v>
      </c>
      <c r="J356" s="153">
        <f>(G356*0)/(1+cDR)^'Markov Model_SA1'!cycle</f>
        <v>0</v>
      </c>
      <c r="K356" s="178">
        <f t="shared" si="27"/>
        <v>1.1992008188450711</v>
      </c>
      <c r="L356" s="202">
        <f>(G356*(uPostT))/(1+oDR)^'Markov Model_SA1'!cycle</f>
        <v>0.38415773451082458</v>
      </c>
      <c r="M356" s="80"/>
      <c r="N356" s="3"/>
      <c r="O356" s="80"/>
      <c r="P356" s="173">
        <v>346</v>
      </c>
      <c r="Q356" s="165"/>
      <c r="R356" s="174">
        <v>6.3902981105391499E-3</v>
      </c>
      <c r="S356" s="502"/>
      <c r="T356" s="219">
        <f t="shared" si="31"/>
        <v>1.1297889487888</v>
      </c>
      <c r="U356" s="249">
        <f>U355+(T355*R356*'life-tables-test'!$C$66)</f>
        <v>98.8702110512112</v>
      </c>
      <c r="V356" s="516">
        <f t="shared" si="28"/>
        <v>100</v>
      </c>
      <c r="W356" s="153">
        <f>(T356*0)/(1+cDR)^'Markov Model_SA1'!cycle2</f>
        <v>0</v>
      </c>
      <c r="X356" s="178">
        <f t="shared" si="29"/>
        <v>1.1297889487888</v>
      </c>
      <c r="Y356" s="202">
        <f>(T356*(uPostT))/(1+oDR)^'Markov Model_SA1'!cycle</f>
        <v>0.36192200357240051</v>
      </c>
      <c r="Z356" s="80"/>
      <c r="AA356" s="3"/>
      <c r="AB356" s="3"/>
      <c r="AC356" s="14">
        <v>344</v>
      </c>
      <c r="AD356" s="14"/>
      <c r="AE356" s="14"/>
      <c r="AF356" s="3"/>
      <c r="AG356" s="3"/>
      <c r="AH356" s="3"/>
      <c r="AI356" s="14"/>
      <c r="AJ356" s="14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</row>
    <row r="357" spans="1:47" ht="14.25" customHeight="1" x14ac:dyDescent="0.2">
      <c r="A357" s="3"/>
      <c r="B357" s="417"/>
      <c r="C357" s="173">
        <v>347</v>
      </c>
      <c r="D357" s="165"/>
      <c r="E357" s="174">
        <v>6.3902981105391499E-3</v>
      </c>
      <c r="F357" s="502"/>
      <c r="G357" s="219">
        <f t="shared" si="32"/>
        <v>1.1608845652109636</v>
      </c>
      <c r="H357" s="249">
        <f>H356+(G356*E357*'life-tables-test'!$C$66)</f>
        <v>98.839115434789036</v>
      </c>
      <c r="I357" s="516">
        <f t="shared" si="30"/>
        <v>100</v>
      </c>
      <c r="J357" s="153">
        <f>(G357*0)/(1+cDR)^'Markov Model_SA1'!cycle</f>
        <v>0</v>
      </c>
      <c r="K357" s="178">
        <f t="shared" si="27"/>
        <v>1.1608845652109636</v>
      </c>
      <c r="L357" s="202">
        <f>(G357*(uPostT))/(1+oDR)^'Markov Model_SA1'!cycle</f>
        <v>0.37095593245472208</v>
      </c>
      <c r="M357" s="80"/>
      <c r="N357" s="3"/>
      <c r="O357" s="80"/>
      <c r="P357" s="173">
        <v>347</v>
      </c>
      <c r="Q357" s="165"/>
      <c r="R357" s="174">
        <v>6.3902981105391499E-3</v>
      </c>
      <c r="S357" s="502"/>
      <c r="T357" s="219">
        <f t="shared" si="31"/>
        <v>1.0936905078650341</v>
      </c>
      <c r="U357" s="249">
        <f>U356+(T356*R357*'life-tables-test'!$C$66)</f>
        <v>98.906309492134966</v>
      </c>
      <c r="V357" s="516">
        <f t="shared" si="28"/>
        <v>100</v>
      </c>
      <c r="W357" s="153">
        <f>(T357*0)/(1+cDR)^'Markov Model_SA1'!cycle2</f>
        <v>0</v>
      </c>
      <c r="X357" s="178">
        <f t="shared" si="29"/>
        <v>1.0936905078650341</v>
      </c>
      <c r="Y357" s="202">
        <f>(T357*(uPostT))/(1+oDR)^'Markov Model_SA1'!cycle</f>
        <v>0.34948434523136568</v>
      </c>
      <c r="Z357" s="80"/>
      <c r="AA357" s="3"/>
      <c r="AB357" s="3"/>
      <c r="AC357" s="14">
        <v>345</v>
      </c>
      <c r="AD357" s="14"/>
      <c r="AE357" s="14"/>
      <c r="AF357" s="3"/>
      <c r="AG357" s="3"/>
      <c r="AH357" s="3"/>
      <c r="AI357" s="14"/>
      <c r="AJ357" s="14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</row>
    <row r="358" spans="1:47" ht="14.25" customHeight="1" x14ac:dyDescent="0.2">
      <c r="A358" s="3"/>
      <c r="B358" s="417"/>
      <c r="C358" s="173">
        <v>348</v>
      </c>
      <c r="D358" s="165"/>
      <c r="E358" s="174">
        <v>6.3902981105391499E-3</v>
      </c>
      <c r="F358" s="502"/>
      <c r="G358" s="219">
        <f t="shared" si="32"/>
        <v>1.1237925729928548</v>
      </c>
      <c r="H358" s="249">
        <f>H357+(G357*E358*'life-tables-test'!$C$66)</f>
        <v>98.876207427007145</v>
      </c>
      <c r="I358" s="516">
        <f t="shared" si="30"/>
        <v>100</v>
      </c>
      <c r="J358" s="153">
        <f>(G358*0)/(1+cDR)^'Markov Model_SA1'!cycle</f>
        <v>0</v>
      </c>
      <c r="K358" s="178">
        <f t="shared" si="27"/>
        <v>1.1237925729928548</v>
      </c>
      <c r="L358" s="202">
        <f>(G358*(uPostT))/(1+oDR)^'Markov Model_SA1'!cycle</f>
        <v>0.35820781793858203</v>
      </c>
      <c r="M358" s="80"/>
      <c r="N358" s="3"/>
      <c r="O358" s="80"/>
      <c r="P358" s="173">
        <v>348</v>
      </c>
      <c r="Q358" s="165"/>
      <c r="R358" s="174">
        <v>6.3902981105391499E-3</v>
      </c>
      <c r="S358" s="502"/>
      <c r="T358" s="219">
        <f t="shared" si="31"/>
        <v>1.0587454659354165</v>
      </c>
      <c r="U358" s="249">
        <f>U357+(T357*R358*'life-tables-test'!$C$66)</f>
        <v>98.941254534064583</v>
      </c>
      <c r="V358" s="516">
        <f t="shared" si="28"/>
        <v>100</v>
      </c>
      <c r="W358" s="153">
        <f>(T358*0)/(1+cDR)^'Markov Model_SA1'!cycle2</f>
        <v>0</v>
      </c>
      <c r="X358" s="178">
        <f t="shared" si="29"/>
        <v>1.0587454659354165</v>
      </c>
      <c r="Y358" s="202">
        <f>(T358*(uPostT))/(1+oDR)^'Markov Model_SA1'!cycle</f>
        <v>0.33747411419091505</v>
      </c>
      <c r="Z358" s="80"/>
      <c r="AA358" s="3"/>
      <c r="AB358" s="3"/>
      <c r="AC358" s="14">
        <v>346</v>
      </c>
      <c r="AD358" s="14"/>
      <c r="AE358" s="14"/>
      <c r="AF358" s="3"/>
      <c r="AG358" s="3"/>
      <c r="AH358" s="3"/>
      <c r="AI358" s="14"/>
      <c r="AJ358" s="14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</row>
    <row r="359" spans="1:47" ht="14.25" customHeight="1" x14ac:dyDescent="0.2">
      <c r="A359" s="3"/>
      <c r="B359" s="417"/>
      <c r="C359" s="173">
        <v>349</v>
      </c>
      <c r="D359" s="504"/>
      <c r="E359" s="174">
        <v>6.3902981105391499E-3</v>
      </c>
      <c r="F359" s="505"/>
      <c r="G359" s="219">
        <f t="shared" si="32"/>
        <v>1.0878857252136811</v>
      </c>
      <c r="H359" s="249">
        <f>H358+(G358*E359*'life-tables-test'!$C$66)</f>
        <v>98.912114274786319</v>
      </c>
      <c r="I359" s="516">
        <f t="shared" si="30"/>
        <v>100</v>
      </c>
      <c r="J359" s="180">
        <f>(G359*0)/(1+cDR)^'Markov Model_SA1'!cycle</f>
        <v>0</v>
      </c>
      <c r="K359" s="176">
        <f t="shared" si="27"/>
        <v>1.0878857252136811</v>
      </c>
      <c r="L359" s="202">
        <f>(G359*(uPostT))/(1+oDR)^'Markov Model_SA1'!cycle</f>
        <v>0.34589779972849338</v>
      </c>
      <c r="M359" s="80"/>
      <c r="N359" s="3"/>
      <c r="O359" s="80"/>
      <c r="P359" s="173">
        <v>349</v>
      </c>
      <c r="Q359" s="504"/>
      <c r="R359" s="174">
        <v>6.3902981105391499E-3</v>
      </c>
      <c r="S359" s="505"/>
      <c r="T359" s="219">
        <f t="shared" si="31"/>
        <v>1.024916970182872</v>
      </c>
      <c r="U359" s="249">
        <f>U358+(T358*R359*'life-tables-test'!$C$66)</f>
        <v>98.975083029817128</v>
      </c>
      <c r="V359" s="516">
        <f t="shared" si="28"/>
        <v>100</v>
      </c>
      <c r="W359" s="180">
        <f>(T359*0)/(1+cDR)^'Markov Model_SA1'!cycle2</f>
        <v>0</v>
      </c>
      <c r="X359" s="176">
        <f t="shared" si="29"/>
        <v>1.024916970182872</v>
      </c>
      <c r="Y359" s="202">
        <f>(T359*(uPostT))/(1+oDR)^'Markov Model_SA1'!cycle</f>
        <v>0.32587662166540116</v>
      </c>
      <c r="Z359" s="80"/>
      <c r="AA359" s="3"/>
      <c r="AB359" s="3"/>
      <c r="AC359" s="14">
        <v>347</v>
      </c>
      <c r="AD359" s="14"/>
      <c r="AE359" s="14"/>
      <c r="AF359" s="3"/>
      <c r="AG359" s="3"/>
      <c r="AH359" s="3"/>
      <c r="AI359" s="14"/>
      <c r="AJ359" s="14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</row>
    <row r="360" spans="1:47" ht="14.25" customHeight="1" x14ac:dyDescent="0.25">
      <c r="A360" s="3">
        <v>31</v>
      </c>
      <c r="B360" s="417"/>
      <c r="C360" s="506">
        <v>350</v>
      </c>
      <c r="D360" s="506"/>
      <c r="E360" s="507">
        <v>6.3902981105391499E-3</v>
      </c>
      <c r="F360" s="508"/>
      <c r="G360" s="509">
        <f t="shared" si="32"/>
        <v>1.0531261547421025</v>
      </c>
      <c r="H360" s="510">
        <f>H359+(G359*E360*'life-tables-test'!$C$66)</f>
        <v>98.946873845257898</v>
      </c>
      <c r="I360" s="518">
        <f t="shared" si="30"/>
        <v>100</v>
      </c>
      <c r="J360" s="511">
        <f>(G360*0)/(1+cDR)^'Markov Model_SA1'!cycle</f>
        <v>0</v>
      </c>
      <c r="K360" s="512">
        <f t="shared" si="27"/>
        <v>1.0531261547421025</v>
      </c>
      <c r="L360" s="513">
        <f>(G360*(uPostT))/(1+oDR)^'Markov Model_SA1'!cycle</f>
        <v>0.33401082239228924</v>
      </c>
      <c r="M360" s="80"/>
      <c r="N360" s="3"/>
      <c r="O360" s="80"/>
      <c r="P360" s="506">
        <v>350</v>
      </c>
      <c r="Q360" s="506"/>
      <c r="R360" s="507">
        <v>6.3902981105391499E-3</v>
      </c>
      <c r="S360" s="508"/>
      <c r="T360" s="509">
        <f t="shared" si="31"/>
        <v>0.99216934529277978</v>
      </c>
      <c r="U360" s="510">
        <f>U359+(T359*R360*'life-tables-test'!$C$66)</f>
        <v>99.00783065470722</v>
      </c>
      <c r="V360" s="518">
        <f t="shared" si="28"/>
        <v>100</v>
      </c>
      <c r="W360" s="511">
        <f>(T360*0)/(1+cDR)^'Markov Model_SA1'!cycle2</f>
        <v>0</v>
      </c>
      <c r="X360" s="512">
        <f t="shared" si="29"/>
        <v>0.99216934529277978</v>
      </c>
      <c r="Y360" s="513">
        <f>(T360*(uPostT))/(1+oDR)^'Markov Model_SA1'!cycle</f>
        <v>0.31467768365777143</v>
      </c>
      <c r="Z360" s="80"/>
      <c r="AA360" s="3"/>
      <c r="AB360" s="3"/>
      <c r="AC360" s="14">
        <v>348</v>
      </c>
      <c r="AD360" s="14"/>
      <c r="AE360" s="14"/>
      <c r="AF360" s="3"/>
      <c r="AG360" s="3"/>
      <c r="AH360" s="3"/>
      <c r="AI360" s="14"/>
      <c r="AJ360" s="14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</row>
    <row r="361" spans="1:47" ht="14.25" customHeight="1" x14ac:dyDescent="0.2">
      <c r="A361" s="3"/>
      <c r="B361" s="417"/>
      <c r="C361" s="173">
        <v>351</v>
      </c>
      <c r="D361" s="165"/>
      <c r="E361" s="174">
        <v>7.1003211512630227E-3</v>
      </c>
      <c r="F361" s="502"/>
      <c r="G361" s="219">
        <f t="shared" si="32"/>
        <v>1.0157384851847837</v>
      </c>
      <c r="H361" s="249">
        <f>H360+(G360*E361*'life-tables-test'!$C$66)</f>
        <v>98.984261514815216</v>
      </c>
      <c r="I361" s="516">
        <f t="shared" si="30"/>
        <v>100</v>
      </c>
      <c r="J361" s="153">
        <f>(G361*0)/(1+cDR)^'Markov Model_SA1'!cycle</f>
        <v>0</v>
      </c>
      <c r="K361" s="178">
        <f t="shared" si="27"/>
        <v>1.0157384851847837</v>
      </c>
      <c r="L361" s="202">
        <f>(G361*(uPostT))/(1+oDR)^'Markov Model_SA1'!cycle</f>
        <v>0.32134952803728228</v>
      </c>
      <c r="M361" s="80"/>
      <c r="N361" s="3"/>
      <c r="O361" s="80"/>
      <c r="P361" s="173">
        <v>351</v>
      </c>
      <c r="Q361" s="165"/>
      <c r="R361" s="174">
        <v>7.1003211512630227E-3</v>
      </c>
      <c r="S361" s="502"/>
      <c r="T361" s="219">
        <f t="shared" si="31"/>
        <v>0.95694574035269397</v>
      </c>
      <c r="U361" s="249">
        <f>U360+(T360*R361*'life-tables-test'!$C$66)</f>
        <v>99.043054259647306</v>
      </c>
      <c r="V361" s="516">
        <f t="shared" si="28"/>
        <v>100</v>
      </c>
      <c r="W361" s="153">
        <f>(T361*0)/(1+cDR)^'Markov Model_SA1'!cycle2</f>
        <v>0</v>
      </c>
      <c r="X361" s="178">
        <f t="shared" si="29"/>
        <v>0.95694574035269397</v>
      </c>
      <c r="Y361" s="202">
        <f>(T361*(uPostT))/(1+oDR)^'Markov Model_SA1'!cycle</f>
        <v>0.30274924747355891</v>
      </c>
      <c r="Z361" s="80"/>
      <c r="AA361" s="3"/>
      <c r="AB361" s="3"/>
      <c r="AC361" s="14">
        <v>349</v>
      </c>
      <c r="AD361" s="14"/>
      <c r="AE361" s="14"/>
      <c r="AF361" s="3"/>
      <c r="AG361" s="3"/>
      <c r="AH361" s="3"/>
      <c r="AI361" s="14"/>
      <c r="AJ361" s="14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</row>
    <row r="362" spans="1:47" ht="14.25" customHeight="1" x14ac:dyDescent="0.2">
      <c r="A362" s="3"/>
      <c r="B362" s="417"/>
      <c r="C362" s="173">
        <v>352</v>
      </c>
      <c r="D362" s="165"/>
      <c r="E362" s="174">
        <v>7.1003211512630227E-3</v>
      </c>
      <c r="F362" s="502"/>
      <c r="G362" s="219">
        <f t="shared" si="32"/>
        <v>0.97967813793223968</v>
      </c>
      <c r="H362" s="249">
        <f>H361+(G361*E362*'life-tables-test'!$C$66)</f>
        <v>99.02032186206776</v>
      </c>
      <c r="I362" s="516">
        <f t="shared" si="30"/>
        <v>100</v>
      </c>
      <c r="J362" s="153">
        <f>(G362*0)/(1+cDR)^'Markov Model_SA1'!cycle</f>
        <v>0</v>
      </c>
      <c r="K362" s="178">
        <f t="shared" si="27"/>
        <v>0.97967813793223968</v>
      </c>
      <c r="L362" s="202">
        <f>(G362*(uPostT))/(1+oDR)^'Markov Model_SA1'!cycle</f>
        <v>0.3091681833246141</v>
      </c>
      <c r="M362" s="80"/>
      <c r="N362" s="3"/>
      <c r="O362" s="80"/>
      <c r="P362" s="173">
        <v>352</v>
      </c>
      <c r="Q362" s="165"/>
      <c r="R362" s="174">
        <v>7.1003211512630227E-3</v>
      </c>
      <c r="S362" s="502"/>
      <c r="T362" s="219">
        <f t="shared" si="31"/>
        <v>0.92297262994850371</v>
      </c>
      <c r="U362" s="249">
        <f>U361+(T361*R362*'life-tables-test'!$C$66)</f>
        <v>99.077027370051496</v>
      </c>
      <c r="V362" s="516">
        <f t="shared" si="28"/>
        <v>100</v>
      </c>
      <c r="W362" s="153">
        <f>(T362*0)/(1+cDR)^'Markov Model_SA1'!cycle2</f>
        <v>0</v>
      </c>
      <c r="X362" s="178">
        <f t="shared" si="29"/>
        <v>0.92297262994850371</v>
      </c>
      <c r="Y362" s="202">
        <f>(T362*(uPostT))/(1+oDR)^'Markov Model_SA1'!cycle</f>
        <v>0.29127298059524215</v>
      </c>
      <c r="Z362" s="80"/>
      <c r="AA362" s="3"/>
      <c r="AB362" s="3"/>
      <c r="AC362" s="14">
        <v>350</v>
      </c>
      <c r="AD362" s="14"/>
      <c r="AE362" s="14"/>
      <c r="AF362" s="3"/>
      <c r="AG362" s="3"/>
      <c r="AH362" s="3"/>
      <c r="AI362" s="14"/>
      <c r="AJ362" s="14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</row>
    <row r="363" spans="1:47" ht="14.25" customHeight="1" x14ac:dyDescent="0.2">
      <c r="A363" s="3"/>
      <c r="B363" s="417"/>
      <c r="C363" s="173">
        <v>353</v>
      </c>
      <c r="D363" s="165"/>
      <c r="E363" s="174">
        <v>7.1003211512630227E-3</v>
      </c>
      <c r="F363" s="502"/>
      <c r="G363" s="219">
        <f t="shared" si="32"/>
        <v>0.94489799091128646</v>
      </c>
      <c r="H363" s="249">
        <f>H362+(G362*E363*'life-tables-test'!$C$66)</f>
        <v>99.055102009088714</v>
      </c>
      <c r="I363" s="516">
        <f t="shared" si="30"/>
        <v>100</v>
      </c>
      <c r="J363" s="153">
        <f>(G363*0)/(1+cDR)^'Markov Model_SA1'!cycle</f>
        <v>0</v>
      </c>
      <c r="K363" s="178">
        <f t="shared" si="27"/>
        <v>0.94489799091128646</v>
      </c>
      <c r="L363" s="202">
        <f>(G363*(uPostT))/(1+oDR)^'Markov Model_SA1'!cycle</f>
        <v>0.29744859488062531</v>
      </c>
      <c r="M363" s="80"/>
      <c r="N363" s="3"/>
      <c r="O363" s="80"/>
      <c r="P363" s="173">
        <v>353</v>
      </c>
      <c r="Q363" s="165"/>
      <c r="R363" s="174">
        <v>7.1003211512630227E-3</v>
      </c>
      <c r="S363" s="502"/>
      <c r="T363" s="219">
        <f t="shared" si="31"/>
        <v>0.89020561951620891</v>
      </c>
      <c r="U363" s="249">
        <f>U362+(T362*R363*'life-tables-test'!$C$66)</f>
        <v>99.109794380483791</v>
      </c>
      <c r="V363" s="516">
        <f t="shared" si="28"/>
        <v>100</v>
      </c>
      <c r="W363" s="153">
        <f>(T363*0)/(1+cDR)^'Markov Model_SA1'!cycle2</f>
        <v>0</v>
      </c>
      <c r="X363" s="178">
        <f t="shared" si="29"/>
        <v>0.89020561951620891</v>
      </c>
      <c r="Y363" s="202">
        <f>(T363*(uPostT))/(1+oDR)^'Markov Model_SA1'!cycle</f>
        <v>0.28023174271390022</v>
      </c>
      <c r="Z363" s="80"/>
      <c r="AA363" s="3"/>
      <c r="AB363" s="3"/>
      <c r="AC363" s="14">
        <v>351</v>
      </c>
      <c r="AD363" s="14"/>
      <c r="AE363" s="14"/>
      <c r="AF363" s="3"/>
      <c r="AG363" s="3"/>
      <c r="AH363" s="3"/>
      <c r="AI363" s="14"/>
      <c r="AJ363" s="14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</row>
    <row r="364" spans="1:47" ht="14.25" customHeight="1" x14ac:dyDescent="0.2">
      <c r="A364" s="3"/>
      <c r="B364" s="417"/>
      <c r="C364" s="173">
        <v>354</v>
      </c>
      <c r="D364" s="165"/>
      <c r="E364" s="174">
        <v>7.1003211512630227E-3</v>
      </c>
      <c r="F364" s="502"/>
      <c r="G364" s="219">
        <f t="shared" si="32"/>
        <v>0.9113525949580179</v>
      </c>
      <c r="H364" s="249">
        <f>H363+(G363*E364*'life-tables-test'!$C$66)</f>
        <v>99.088647405041982</v>
      </c>
      <c r="I364" s="516">
        <f t="shared" si="30"/>
        <v>100</v>
      </c>
      <c r="J364" s="153">
        <f>(G364*0)/(1+cDR)^'Markov Model_SA1'!cycle</f>
        <v>0</v>
      </c>
      <c r="K364" s="178">
        <f t="shared" si="27"/>
        <v>0.9113525949580179</v>
      </c>
      <c r="L364" s="202">
        <f>(G364*(uPostT))/(1+oDR)^'Markov Model_SA1'!cycle</f>
        <v>0.28617325898494056</v>
      </c>
      <c r="M364" s="80"/>
      <c r="N364" s="3"/>
      <c r="O364" s="80"/>
      <c r="P364" s="173">
        <v>354</v>
      </c>
      <c r="Q364" s="165"/>
      <c r="R364" s="174">
        <v>7.1003211512630227E-3</v>
      </c>
      <c r="S364" s="502"/>
      <c r="T364" s="219">
        <f t="shared" si="31"/>
        <v>0.8586018905700854</v>
      </c>
      <c r="U364" s="249">
        <f>U363+(T363*R364*'life-tables-test'!$C$66)</f>
        <v>99.141398109429915</v>
      </c>
      <c r="V364" s="516">
        <f t="shared" si="28"/>
        <v>100</v>
      </c>
      <c r="W364" s="153">
        <f>(T364*0)/(1+cDR)^'Markov Model_SA1'!cycle2</f>
        <v>0</v>
      </c>
      <c r="X364" s="178">
        <f t="shared" si="29"/>
        <v>0.8586018905700854</v>
      </c>
      <c r="Y364" s="202">
        <f>(T364*(uPostT))/(1+oDR)^'Markov Model_SA1'!cycle</f>
        <v>0.26960904325552659</v>
      </c>
      <c r="Z364" s="80"/>
      <c r="AA364" s="3"/>
      <c r="AB364" s="3"/>
      <c r="AC364" s="14">
        <v>352</v>
      </c>
      <c r="AD364" s="14"/>
      <c r="AE364" s="14"/>
      <c r="AF364" s="3"/>
      <c r="AG364" s="3"/>
      <c r="AH364" s="3"/>
      <c r="AI364" s="14"/>
      <c r="AJ364" s="14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</row>
    <row r="365" spans="1:47" ht="14.25" customHeight="1" x14ac:dyDescent="0.2">
      <c r="A365" s="3"/>
      <c r="B365" s="417"/>
      <c r="C365" s="173">
        <v>355</v>
      </c>
      <c r="D365" s="165"/>
      <c r="E365" s="174">
        <v>7.1003211512630227E-3</v>
      </c>
      <c r="F365" s="502"/>
      <c r="G365" s="219">
        <f t="shared" si="32"/>
        <v>0.87899811442682108</v>
      </c>
      <c r="H365" s="249">
        <f>H364+(G364*E365*'life-tables-test'!$C$66)</f>
        <v>99.121001885573179</v>
      </c>
      <c r="I365" s="516">
        <f t="shared" si="30"/>
        <v>100</v>
      </c>
      <c r="J365" s="153">
        <f>(G365*0)/(1+cDR)^'Markov Model_SA1'!cycle</f>
        <v>0</v>
      </c>
      <c r="K365" s="178">
        <f t="shared" si="27"/>
        <v>0.87899811442682108</v>
      </c>
      <c r="L365" s="202">
        <f>(G365*(uPostT))/(1+oDR)^'Markov Model_SA1'!cycle</f>
        <v>0.27532533542788684</v>
      </c>
      <c r="M365" s="80"/>
      <c r="N365" s="3"/>
      <c r="O365" s="80"/>
      <c r="P365" s="173">
        <v>355</v>
      </c>
      <c r="Q365" s="165"/>
      <c r="R365" s="174">
        <v>7.1003211512630227E-3</v>
      </c>
      <c r="S365" s="502"/>
      <c r="T365" s="219">
        <f t="shared" si="31"/>
        <v>0.82812014474943396</v>
      </c>
      <c r="U365" s="249">
        <f>U364+(T364*R365*'life-tables-test'!$C$66)</f>
        <v>99.171879855250566</v>
      </c>
      <c r="V365" s="516">
        <f t="shared" si="28"/>
        <v>100</v>
      </c>
      <c r="W365" s="153">
        <f>(T365*0)/(1+cDR)^'Markov Model_SA1'!cycle2</f>
        <v>0</v>
      </c>
      <c r="X365" s="178">
        <f t="shared" si="29"/>
        <v>0.82812014474943396</v>
      </c>
      <c r="Y365" s="202">
        <f>(T365*(uPostT))/(1+oDR)^'Markov Model_SA1'!cycle</f>
        <v>0.25938901675165077</v>
      </c>
      <c r="Z365" s="80"/>
      <c r="AA365" s="3"/>
      <c r="AB365" s="3"/>
      <c r="AC365" s="14">
        <v>353</v>
      </c>
      <c r="AD365" s="14"/>
      <c r="AE365" s="14"/>
      <c r="AF365" s="3"/>
      <c r="AG365" s="3"/>
      <c r="AH365" s="3"/>
      <c r="AI365" s="14"/>
      <c r="AJ365" s="14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</row>
    <row r="366" spans="1:47" ht="14.25" customHeight="1" x14ac:dyDescent="0.2">
      <c r="A366" s="3"/>
      <c r="B366" s="417"/>
      <c r="C366" s="173">
        <v>356</v>
      </c>
      <c r="D366" s="165"/>
      <c r="E366" s="174">
        <v>7.1003211512630227E-3</v>
      </c>
      <c r="F366" s="502"/>
      <c r="G366" s="219">
        <f t="shared" si="32"/>
        <v>0.8477922699078988</v>
      </c>
      <c r="H366" s="249">
        <f>H365+(G365*E366*'life-tables-test'!$C$66)</f>
        <v>99.152207730092101</v>
      </c>
      <c r="I366" s="516">
        <f t="shared" si="30"/>
        <v>100</v>
      </c>
      <c r="J366" s="153">
        <f>(G366*0)/(1+cDR)^'Markov Model_SA1'!cycle</f>
        <v>0</v>
      </c>
      <c r="K366" s="178">
        <f t="shared" si="27"/>
        <v>0.8477922699078988</v>
      </c>
      <c r="L366" s="202">
        <f>(G366*(uPostT))/(1+oDR)^'Markov Model_SA1'!cycle</f>
        <v>0.26488862235890448</v>
      </c>
      <c r="M366" s="80"/>
      <c r="N366" s="3"/>
      <c r="O366" s="80"/>
      <c r="P366" s="173">
        <v>356</v>
      </c>
      <c r="Q366" s="165"/>
      <c r="R366" s="174">
        <v>7.1003211512630227E-3</v>
      </c>
      <c r="S366" s="502"/>
      <c r="T366" s="219">
        <f t="shared" si="31"/>
        <v>0.79872054985168006</v>
      </c>
      <c r="U366" s="249">
        <f>U365+(T365*R366*'life-tables-test'!$C$66)</f>
        <v>99.20127945014832</v>
      </c>
      <c r="V366" s="516">
        <f t="shared" si="28"/>
        <v>100</v>
      </c>
      <c r="W366" s="153">
        <f>(T366*0)/(1+cDR)^'Markov Model_SA1'!cycle2</f>
        <v>0</v>
      </c>
      <c r="X366" s="178">
        <f t="shared" si="29"/>
        <v>0.79872054985168006</v>
      </c>
      <c r="Y366" s="202">
        <f>(T366*(uPostT))/(1+oDR)^'Markov Model_SA1'!cycle</f>
        <v>0.24955639914355748</v>
      </c>
      <c r="Z366" s="80"/>
      <c r="AA366" s="3"/>
      <c r="AB366" s="3"/>
      <c r="AC366" s="14">
        <v>354</v>
      </c>
      <c r="AD366" s="14"/>
      <c r="AE366" s="14"/>
      <c r="AF366" s="3"/>
      <c r="AG366" s="3"/>
      <c r="AH366" s="3"/>
      <c r="AI366" s="14"/>
      <c r="AJ366" s="14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</row>
    <row r="367" spans="1:47" ht="14.25" customHeight="1" x14ac:dyDescent="0.2">
      <c r="A367" s="3"/>
      <c r="B367" s="417"/>
      <c r="C367" s="173">
        <v>357</v>
      </c>
      <c r="D367" s="165"/>
      <c r="E367" s="174">
        <v>7.1003211512630227E-3</v>
      </c>
      <c r="F367" s="502"/>
      <c r="G367" s="219">
        <f t="shared" si="32"/>
        <v>0.81769428297837976</v>
      </c>
      <c r="H367" s="249">
        <f>H366+(G366*E367*'life-tables-test'!$C$66)</f>
        <v>99.18230571702162</v>
      </c>
      <c r="I367" s="516">
        <f t="shared" si="30"/>
        <v>100</v>
      </c>
      <c r="J367" s="153">
        <f>(G367*0)/(1+cDR)^'Markov Model_SA1'!cycle</f>
        <v>0</v>
      </c>
      <c r="K367" s="178">
        <f t="shared" si="27"/>
        <v>0.81769428297837976</v>
      </c>
      <c r="L367" s="202">
        <f>(G367*(uPostT))/(1+oDR)^'Markov Model_SA1'!cycle</f>
        <v>0.25484753208836508</v>
      </c>
      <c r="M367" s="80"/>
      <c r="N367" s="3"/>
      <c r="O367" s="80"/>
      <c r="P367" s="173">
        <v>357</v>
      </c>
      <c r="Q367" s="165"/>
      <c r="R367" s="174">
        <v>7.1003211512630227E-3</v>
      </c>
      <c r="S367" s="502"/>
      <c r="T367" s="219">
        <f t="shared" si="31"/>
        <v>0.77036468778138101</v>
      </c>
      <c r="U367" s="249">
        <f>U366+(T366*R367*'life-tables-test'!$C$66)</f>
        <v>99.229635312218619</v>
      </c>
      <c r="V367" s="516">
        <f t="shared" si="28"/>
        <v>100</v>
      </c>
      <c r="W367" s="153">
        <f>(T367*0)/(1+cDR)^'Markov Model_SA1'!cycle2</f>
        <v>0</v>
      </c>
      <c r="X367" s="178">
        <f t="shared" si="29"/>
        <v>0.77036468778138101</v>
      </c>
      <c r="Y367" s="202">
        <f>(T367*(uPostT))/(1+oDR)^'Markov Model_SA1'!cycle</f>
        <v>0.2400965049847362</v>
      </c>
      <c r="Z367" s="80"/>
      <c r="AA367" s="3"/>
      <c r="AB367" s="3"/>
      <c r="AC367" s="14">
        <v>355</v>
      </c>
      <c r="AD367" s="14"/>
      <c r="AE367" s="14"/>
      <c r="AF367" s="3"/>
      <c r="AG367" s="3"/>
      <c r="AH367" s="3"/>
      <c r="AI367" s="14"/>
      <c r="AJ367" s="14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</row>
    <row r="368" spans="1:47" ht="14.25" customHeight="1" x14ac:dyDescent="0.2">
      <c r="A368" s="3"/>
      <c r="B368" s="417"/>
      <c r="C368" s="173">
        <v>358</v>
      </c>
      <c r="D368" s="165"/>
      <c r="E368" s="174">
        <v>7.1003211512630227E-3</v>
      </c>
      <c r="F368" s="502"/>
      <c r="G368" s="219">
        <f t="shared" si="32"/>
        <v>0.78866482291488182</v>
      </c>
      <c r="H368" s="249">
        <f>H367+(G367*E368*'life-tables-test'!$C$66)</f>
        <v>99.211335177085118</v>
      </c>
      <c r="I368" s="516">
        <f t="shared" si="30"/>
        <v>100</v>
      </c>
      <c r="J368" s="153">
        <f>(G368*0)/(1+cDR)^'Markov Model_SA1'!cycle</f>
        <v>0</v>
      </c>
      <c r="K368" s="178">
        <f t="shared" si="27"/>
        <v>0.78866482291488182</v>
      </c>
      <c r="L368" s="202">
        <f>(G368*(uPostT))/(1+oDR)^'Markov Model_SA1'!cycle</f>
        <v>0.24518706780667543</v>
      </c>
      <c r="M368" s="80"/>
      <c r="N368" s="3"/>
      <c r="O368" s="80"/>
      <c r="P368" s="173">
        <v>358</v>
      </c>
      <c r="Q368" s="165"/>
      <c r="R368" s="174">
        <v>7.1003211512630227E-3</v>
      </c>
      <c r="S368" s="502"/>
      <c r="T368" s="219">
        <f t="shared" si="31"/>
        <v>0.74301550434718422</v>
      </c>
      <c r="U368" s="249">
        <f>U367+(T367*R368*'life-tables-test'!$C$66)</f>
        <v>99.256984495652816</v>
      </c>
      <c r="V368" s="516">
        <f t="shared" si="28"/>
        <v>100</v>
      </c>
      <c r="W368" s="153">
        <f>(T368*0)/(1+cDR)^'Markov Model_SA1'!cycle2</f>
        <v>0</v>
      </c>
      <c r="X368" s="178">
        <f t="shared" si="29"/>
        <v>0.74301550434718422</v>
      </c>
      <c r="Y368" s="202">
        <f>(T368*(uPostT))/(1+oDR)^'Markov Model_SA1'!cycle</f>
        <v>0.23099520550753166</v>
      </c>
      <c r="Z368" s="80"/>
      <c r="AA368" s="3"/>
      <c r="AB368" s="3"/>
      <c r="AC368" s="14">
        <v>356</v>
      </c>
      <c r="AD368" s="14"/>
      <c r="AE368" s="14"/>
      <c r="AF368" s="3"/>
      <c r="AG368" s="3"/>
      <c r="AH368" s="3"/>
      <c r="AI368" s="14"/>
      <c r="AJ368" s="14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</row>
    <row r="369" spans="1:47" ht="14.25" customHeight="1" x14ac:dyDescent="0.2">
      <c r="A369" s="3"/>
      <c r="B369" s="417"/>
      <c r="C369" s="173">
        <v>359</v>
      </c>
      <c r="D369" s="165"/>
      <c r="E369" s="174">
        <v>7.1003211512630227E-3</v>
      </c>
      <c r="F369" s="502"/>
      <c r="G369" s="219">
        <f t="shared" si="32"/>
        <v>0.76066595529788117</v>
      </c>
      <c r="H369" s="249">
        <f>H368+(G368*E369*'life-tables-test'!$C$66)</f>
        <v>99.239334044702119</v>
      </c>
      <c r="I369" s="516">
        <f t="shared" si="30"/>
        <v>100</v>
      </c>
      <c r="J369" s="153">
        <f>(G369*0)/(1+cDR)^'Markov Model_SA1'!cycle</f>
        <v>0</v>
      </c>
      <c r="K369" s="178">
        <f t="shared" si="27"/>
        <v>0.76066595529788117</v>
      </c>
      <c r="L369" s="202">
        <f>(G369*(uPostT))/(1+oDR)^'Markov Model_SA1'!cycle</f>
        <v>0.2358928011858904</v>
      </c>
      <c r="M369" s="80"/>
      <c r="N369" s="3"/>
      <c r="O369" s="80"/>
      <c r="P369" s="173">
        <v>359</v>
      </c>
      <c r="Q369" s="165"/>
      <c r="R369" s="174">
        <v>7.1003211512630227E-3</v>
      </c>
      <c r="S369" s="502"/>
      <c r="T369" s="219">
        <f t="shared" si="31"/>
        <v>0.71663726084102564</v>
      </c>
      <c r="U369" s="249">
        <f>U368+(T368*R369*'life-tables-test'!$C$66)</f>
        <v>99.283362739158974</v>
      </c>
      <c r="V369" s="516">
        <f t="shared" si="28"/>
        <v>100</v>
      </c>
      <c r="W369" s="153">
        <f>(T369*0)/(1+cDR)^'Markov Model_SA1'!cycle2</f>
        <v>0</v>
      </c>
      <c r="X369" s="178">
        <f t="shared" si="29"/>
        <v>0.71663726084102564</v>
      </c>
      <c r="Y369" s="202">
        <f>(T369*(uPostT))/(1+oDR)^'Markov Model_SA1'!cycle</f>
        <v>0.22223890752120273</v>
      </c>
      <c r="Z369" s="80"/>
      <c r="AA369" s="3"/>
      <c r="AB369" s="3"/>
      <c r="AC369" s="14">
        <v>357</v>
      </c>
      <c r="AD369" s="14"/>
      <c r="AE369" s="14"/>
      <c r="AF369" s="3"/>
      <c r="AG369" s="3"/>
      <c r="AH369" s="3"/>
      <c r="AI369" s="14"/>
      <c r="AJ369" s="14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</row>
    <row r="370" spans="1:47" ht="14.25" customHeight="1" x14ac:dyDescent="0.2">
      <c r="A370" s="3"/>
      <c r="B370" s="417"/>
      <c r="C370" s="173">
        <v>360</v>
      </c>
      <c r="D370" s="165"/>
      <c r="E370" s="174">
        <v>7.1003211512630227E-3</v>
      </c>
      <c r="F370" s="502"/>
      <c r="G370" s="219">
        <f t="shared" si="32"/>
        <v>0.73366109244064148</v>
      </c>
      <c r="H370" s="249">
        <f>H369+(G369*E370*'life-tables-test'!$C$66)</f>
        <v>99.266338907559359</v>
      </c>
      <c r="I370" s="516">
        <f t="shared" si="30"/>
        <v>100</v>
      </c>
      <c r="J370" s="153">
        <f>(G370*0)/(1+cDR)^'Markov Model_SA1'!cycle</f>
        <v>0</v>
      </c>
      <c r="K370" s="178">
        <f t="shared" ref="K370:K408" si="33">G370</f>
        <v>0.73366109244064148</v>
      </c>
      <c r="L370" s="202">
        <f>(G370*(uPostT))/(1+oDR)^'Markov Model_SA1'!cycle</f>
        <v>0.22695085083035912</v>
      </c>
      <c r="M370" s="80"/>
      <c r="N370" s="3"/>
      <c r="O370" s="80"/>
      <c r="P370" s="173">
        <v>360</v>
      </c>
      <c r="Q370" s="165"/>
      <c r="R370" s="174">
        <v>7.1003211512630227E-3</v>
      </c>
      <c r="S370" s="502"/>
      <c r="T370" s="219">
        <f t="shared" si="31"/>
        <v>0.69119548733635838</v>
      </c>
      <c r="U370" s="249">
        <f>U369+(T369*R370*'life-tables-test'!$C$66)</f>
        <v>99.308804512663642</v>
      </c>
      <c r="V370" s="516">
        <f t="shared" si="28"/>
        <v>100</v>
      </c>
      <c r="W370" s="153">
        <f>(T370*0)/(1+cDR)^'Markov Model_SA1'!cycle2</f>
        <v>0</v>
      </c>
      <c r="X370" s="178">
        <f t="shared" si="29"/>
        <v>0.69119548733635838</v>
      </c>
      <c r="Y370" s="202">
        <f>(T370*(uPostT))/(1+oDR)^'Markov Model_SA1'!cycle</f>
        <v>0.21381453310989498</v>
      </c>
      <c r="Z370" s="80"/>
      <c r="AA370" s="3"/>
      <c r="AB370" s="3"/>
      <c r="AC370" s="14">
        <v>358</v>
      </c>
      <c r="AD370" s="14"/>
      <c r="AE370" s="14"/>
      <c r="AF370" s="3"/>
      <c r="AG370" s="3"/>
      <c r="AH370" s="3"/>
      <c r="AI370" s="14"/>
      <c r="AJ370" s="14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</row>
    <row r="371" spans="1:47" ht="14.25" customHeight="1" x14ac:dyDescent="0.2">
      <c r="A371" s="3"/>
      <c r="B371" s="417"/>
      <c r="C371" s="173">
        <v>361</v>
      </c>
      <c r="D371" s="504"/>
      <c r="E371" s="174">
        <v>7.1003211512630227E-3</v>
      </c>
      <c r="F371" s="505"/>
      <c r="G371" s="219">
        <f t="shared" si="32"/>
        <v>0.70761494557807225</v>
      </c>
      <c r="H371" s="249">
        <f>H370+(G370*E371*'life-tables-test'!$C$66)</f>
        <v>99.292385054421928</v>
      </c>
      <c r="I371" s="516">
        <f t="shared" si="30"/>
        <v>100</v>
      </c>
      <c r="J371" s="180">
        <f>(G371*0)/(1+cDR)^'Markov Model_SA1'!cycle</f>
        <v>0</v>
      </c>
      <c r="K371" s="176">
        <f t="shared" si="33"/>
        <v>0.70761494557807225</v>
      </c>
      <c r="L371" s="202">
        <f>(G371*(uPostT))/(1+oDR)^'Markov Model_SA1'!cycle</f>
        <v>0.21834786154426064</v>
      </c>
      <c r="M371" s="80"/>
      <c r="N371" s="3"/>
      <c r="O371" s="80"/>
      <c r="P371" s="173">
        <v>361</v>
      </c>
      <c r="Q371" s="504"/>
      <c r="R371" s="174">
        <v>7.1003211512630227E-3</v>
      </c>
      <c r="S371" s="505"/>
      <c r="T371" s="219">
        <f t="shared" si="31"/>
        <v>0.66665693764440448</v>
      </c>
      <c r="U371" s="249">
        <f>U370+(T370*R371*'life-tables-test'!$C$66)</f>
        <v>99.333343062355596</v>
      </c>
      <c r="V371" s="516">
        <f t="shared" si="28"/>
        <v>100</v>
      </c>
      <c r="W371" s="180">
        <f>(T371*0)/(1+cDR)^'Markov Model_SA1'!cycle2</f>
        <v>0</v>
      </c>
      <c r="X371" s="176">
        <f t="shared" si="29"/>
        <v>0.66665693764440448</v>
      </c>
      <c r="Y371" s="202">
        <f>(T371*(uPostT))/(1+oDR)^'Markov Model_SA1'!cycle</f>
        <v>0.20570950010020814</v>
      </c>
      <c r="Z371" s="80"/>
      <c r="AA371" s="3"/>
      <c r="AB371" s="3"/>
      <c r="AC371" s="14">
        <v>359</v>
      </c>
      <c r="AD371" s="14"/>
      <c r="AE371" s="14"/>
      <c r="AF371" s="3"/>
      <c r="AG371" s="3"/>
      <c r="AH371" s="3"/>
      <c r="AI371" s="14"/>
      <c r="AJ371" s="14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</row>
    <row r="372" spans="1:47" ht="14.25" customHeight="1" x14ac:dyDescent="0.25">
      <c r="A372" s="3">
        <v>32</v>
      </c>
      <c r="B372" s="417"/>
      <c r="C372" s="506">
        <v>362</v>
      </c>
      <c r="D372" s="506"/>
      <c r="E372" s="507">
        <v>7.1003211512630227E-3</v>
      </c>
      <c r="F372" s="508"/>
      <c r="G372" s="509">
        <f t="shared" si="32"/>
        <v>0.6824934787528889</v>
      </c>
      <c r="H372" s="510">
        <f>H371+(G371*E372*'life-tables-test'!$C$66)</f>
        <v>99.317506521247111</v>
      </c>
      <c r="I372" s="518">
        <f t="shared" si="30"/>
        <v>100</v>
      </c>
      <c r="J372" s="511">
        <f>(G372*0)/(1+cDR)^'Markov Model_SA1'!cycle</f>
        <v>0</v>
      </c>
      <c r="K372" s="512">
        <f t="shared" si="33"/>
        <v>0.6824934787528889</v>
      </c>
      <c r="L372" s="513">
        <f>(G372*(uPostT))/(1+oDR)^'Markov Model_SA1'!cycle</f>
        <v>0.21007098438502106</v>
      </c>
      <c r="M372" s="80"/>
      <c r="N372" s="3"/>
      <c r="O372" s="80"/>
      <c r="P372" s="506">
        <v>362</v>
      </c>
      <c r="Q372" s="506"/>
      <c r="R372" s="507">
        <v>7.1003211512630227E-3</v>
      </c>
      <c r="S372" s="508"/>
      <c r="T372" s="509">
        <f t="shared" si="31"/>
        <v>0.64298954586944035</v>
      </c>
      <c r="U372" s="510">
        <f>U371+(T371*R372*'life-tables-test'!$C$66)</f>
        <v>99.35701045413056</v>
      </c>
      <c r="V372" s="518">
        <f t="shared" si="28"/>
        <v>100</v>
      </c>
      <c r="W372" s="511">
        <f>(T372*0)/(1+cDR)^'Markov Model_SA1'!cycle2</f>
        <v>0</v>
      </c>
      <c r="X372" s="512">
        <f t="shared" si="29"/>
        <v>0.64298954586944035</v>
      </c>
      <c r="Y372" s="513">
        <f>(T372*(uPostT))/(1+oDR)^'Markov Model_SA1'!cycle</f>
        <v>0.197911703269149</v>
      </c>
      <c r="Z372" s="80"/>
      <c r="AA372" s="3"/>
      <c r="AB372" s="3"/>
      <c r="AC372" s="14">
        <v>360</v>
      </c>
      <c r="AD372" s="14"/>
      <c r="AE372" s="14"/>
      <c r="AF372" s="3"/>
      <c r="AG372" s="3"/>
      <c r="AH372" s="3"/>
      <c r="AI372" s="14"/>
      <c r="AJ372" s="14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</row>
    <row r="373" spans="1:47" ht="14.25" customHeight="1" x14ac:dyDescent="0.2">
      <c r="A373" s="3"/>
      <c r="B373" s="417"/>
      <c r="C373" s="173">
        <v>363</v>
      </c>
      <c r="D373" s="165"/>
      <c r="E373" s="174">
        <v>7.9083200825209587E-3</v>
      </c>
      <c r="F373" s="502"/>
      <c r="G373" s="219">
        <f t="shared" si="32"/>
        <v>0.65550659433183966</v>
      </c>
      <c r="H373" s="249">
        <f>H372+(G372*E373*'life-tables-test'!$C$66)</f>
        <v>99.34449340566816</v>
      </c>
      <c r="I373" s="516">
        <f t="shared" si="30"/>
        <v>100</v>
      </c>
      <c r="J373" s="153">
        <f>(G373*0)/(1+cDR)^'Markov Model_SA1'!cycle</f>
        <v>0</v>
      </c>
      <c r="K373" s="178">
        <f t="shared" si="33"/>
        <v>0.65550659433183966</v>
      </c>
      <c r="L373" s="202">
        <f>(G373*(uPostT))/(1+oDR)^'Markov Model_SA1'!cycle</f>
        <v>0.20126128824158393</v>
      </c>
      <c r="M373" s="80"/>
      <c r="N373" s="3"/>
      <c r="O373" s="80"/>
      <c r="P373" s="173">
        <v>363</v>
      </c>
      <c r="Q373" s="165"/>
      <c r="R373" s="174">
        <v>7.9083200825209587E-3</v>
      </c>
      <c r="S373" s="502"/>
      <c r="T373" s="219">
        <f t="shared" si="31"/>
        <v>0.6175647101771915</v>
      </c>
      <c r="U373" s="249">
        <f>U372+(T372*R373*'life-tables-test'!$C$66)</f>
        <v>99.382435289822808</v>
      </c>
      <c r="V373" s="516">
        <f t="shared" si="28"/>
        <v>100</v>
      </c>
      <c r="W373" s="153">
        <f>(T373*0)/(1+cDR)^'Markov Model_SA1'!cycle2</f>
        <v>0</v>
      </c>
      <c r="X373" s="178">
        <f t="shared" si="29"/>
        <v>0.6175647101771915</v>
      </c>
      <c r="Y373" s="202">
        <f>(T373*(uPostT))/(1+oDR)^'Markov Model_SA1'!cycle</f>
        <v>0.18961192796159915</v>
      </c>
      <c r="Z373" s="80"/>
      <c r="AA373" s="3"/>
      <c r="AB373" s="3"/>
      <c r="AC373" s="14">
        <v>361</v>
      </c>
      <c r="AD373" s="14"/>
      <c r="AE373" s="14"/>
      <c r="AF373" s="3"/>
      <c r="AG373" s="3"/>
      <c r="AH373" s="3"/>
      <c r="AI373" s="14"/>
      <c r="AJ373" s="14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</row>
    <row r="374" spans="1:47" ht="14.25" customHeight="1" x14ac:dyDescent="0.2">
      <c r="A374" s="3"/>
      <c r="B374" s="417"/>
      <c r="C374" s="173">
        <v>364</v>
      </c>
      <c r="D374" s="165"/>
      <c r="E374" s="174">
        <v>7.9083200825209587E-3</v>
      </c>
      <c r="F374" s="502"/>
      <c r="G374" s="219">
        <f t="shared" si="32"/>
        <v>0.62958681451094378</v>
      </c>
      <c r="H374" s="249">
        <f>H373+(G373*E374*'life-tables-test'!$C$66)</f>
        <v>99.370413185489056</v>
      </c>
      <c r="I374" s="516">
        <f t="shared" si="30"/>
        <v>100</v>
      </c>
      <c r="J374" s="153">
        <f>(G374*0)/(1+cDR)^'Markov Model_SA1'!cycle</f>
        <v>0</v>
      </c>
      <c r="K374" s="178">
        <f t="shared" si="33"/>
        <v>0.62958681451094378</v>
      </c>
      <c r="L374" s="202">
        <f>(G374*(uPostT))/(1+oDR)^'Markov Model_SA1'!cycle</f>
        <v>0.19282104219791471</v>
      </c>
      <c r="M374" s="80"/>
      <c r="N374" s="3"/>
      <c r="O374" s="80"/>
      <c r="P374" s="173">
        <v>364</v>
      </c>
      <c r="Q374" s="165"/>
      <c r="R374" s="174">
        <v>7.9083200825209587E-3</v>
      </c>
      <c r="S374" s="502"/>
      <c r="T374" s="219">
        <f t="shared" si="31"/>
        <v>0.59314521317844537</v>
      </c>
      <c r="U374" s="249">
        <f>U373+(T373*R374*'life-tables-test'!$C$66)</f>
        <v>99.406854786821555</v>
      </c>
      <c r="V374" s="516">
        <f t="shared" si="28"/>
        <v>100</v>
      </c>
      <c r="W374" s="153">
        <f>(T374*0)/(1+cDR)^'Markov Model_SA1'!cycle2</f>
        <v>0</v>
      </c>
      <c r="X374" s="178">
        <f t="shared" si="29"/>
        <v>0.59314521317844537</v>
      </c>
      <c r="Y374" s="202">
        <f>(T374*(uPostT))/(1+oDR)^'Markov Model_SA1'!cycle</f>
        <v>0.18166021832686283</v>
      </c>
      <c r="Z374" s="80"/>
      <c r="AA374" s="3"/>
      <c r="AB374" s="3"/>
      <c r="AC374" s="14">
        <v>362</v>
      </c>
      <c r="AD374" s="14"/>
      <c r="AE374" s="14"/>
      <c r="AF374" s="3"/>
      <c r="AG374" s="3"/>
      <c r="AH374" s="3"/>
      <c r="AI374" s="14"/>
      <c r="AJ374" s="14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</row>
    <row r="375" spans="1:47" ht="14.25" customHeight="1" x14ac:dyDescent="0.2">
      <c r="A375" s="3"/>
      <c r="B375" s="417"/>
      <c r="C375" s="173">
        <v>365</v>
      </c>
      <c r="D375" s="165"/>
      <c r="E375" s="174">
        <v>7.9083200825209587E-3</v>
      </c>
      <c r="F375" s="502"/>
      <c r="G375" s="219">
        <f t="shared" si="32"/>
        <v>0.60469194426650574</v>
      </c>
      <c r="H375" s="249">
        <f>H374+(G374*E375*'life-tables-test'!$C$66)</f>
        <v>99.395308055733494</v>
      </c>
      <c r="I375" s="516">
        <f t="shared" si="30"/>
        <v>100</v>
      </c>
      <c r="J375" s="153">
        <f>(G375*0)/(1+cDR)^'Markov Model_SA1'!cycle</f>
        <v>0</v>
      </c>
      <c r="K375" s="178">
        <f t="shared" si="33"/>
        <v>0.60469194426650574</v>
      </c>
      <c r="L375" s="202">
        <f>(G375*(uPostT))/(1+oDR)^'Markov Model_SA1'!cycle</f>
        <v>0.18473475271439627</v>
      </c>
      <c r="M375" s="80"/>
      <c r="N375" s="3"/>
      <c r="O375" s="80"/>
      <c r="P375" s="173">
        <v>365</v>
      </c>
      <c r="Q375" s="165"/>
      <c r="R375" s="174">
        <v>7.9083200825209587E-3</v>
      </c>
      <c r="S375" s="502"/>
      <c r="T375" s="219">
        <f t="shared" si="31"/>
        <v>0.56969130217228781</v>
      </c>
      <c r="U375" s="249">
        <f>U374+(T374*R375*'life-tables-test'!$C$66)</f>
        <v>99.430308697827712</v>
      </c>
      <c r="V375" s="516">
        <f t="shared" si="28"/>
        <v>100</v>
      </c>
      <c r="W375" s="153">
        <f>(T375*0)/(1+cDR)^'Markov Model_SA1'!cycle2</f>
        <v>0</v>
      </c>
      <c r="X375" s="178">
        <f t="shared" si="29"/>
        <v>0.56969130217228781</v>
      </c>
      <c r="Y375" s="202">
        <f>(T375*(uPostT))/(1+oDR)^'Markov Model_SA1'!cycle</f>
        <v>0.17404197761886639</v>
      </c>
      <c r="Z375" s="80"/>
      <c r="AA375" s="3"/>
      <c r="AB375" s="3"/>
      <c r="AC375" s="14">
        <v>363</v>
      </c>
      <c r="AD375" s="14"/>
      <c r="AE375" s="14"/>
      <c r="AF375" s="3"/>
      <c r="AG375" s="3"/>
      <c r="AH375" s="3"/>
      <c r="AI375" s="14"/>
      <c r="AJ375" s="14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</row>
    <row r="376" spans="1:47" ht="14.25" customHeight="1" x14ac:dyDescent="0.2">
      <c r="A376" s="3"/>
      <c r="B376" s="417"/>
      <c r="C376" s="173">
        <v>366</v>
      </c>
      <c r="D376" s="165"/>
      <c r="E376" s="174">
        <v>7.9083200825209587E-3</v>
      </c>
      <c r="F376" s="502"/>
      <c r="G376" s="219">
        <f t="shared" si="32"/>
        <v>0.58078145703359496</v>
      </c>
      <c r="H376" s="249">
        <f>H375+(G375*E376*'life-tables-test'!$C$66)</f>
        <v>99.419218542966405</v>
      </c>
      <c r="I376" s="516">
        <f t="shared" si="30"/>
        <v>100</v>
      </c>
      <c r="J376" s="153">
        <f>(G376*0)/(1+cDR)^'Markov Model_SA1'!cycle</f>
        <v>0</v>
      </c>
      <c r="K376" s="178">
        <f t="shared" si="33"/>
        <v>0.58078145703359496</v>
      </c>
      <c r="L376" s="202">
        <f>(G376*(uPostT))/(1+oDR)^'Markov Model_SA1'!cycle</f>
        <v>0.17698757600024065</v>
      </c>
      <c r="M376" s="80"/>
      <c r="N376" s="3"/>
      <c r="O376" s="80"/>
      <c r="P376" s="173">
        <v>366</v>
      </c>
      <c r="Q376" s="165"/>
      <c r="R376" s="174">
        <v>7.9083200825209587E-3</v>
      </c>
      <c r="S376" s="502"/>
      <c r="T376" s="219">
        <f t="shared" si="31"/>
        <v>0.5471647963432531</v>
      </c>
      <c r="U376" s="249">
        <f>U375+(T375*R376*'life-tables-test'!$C$66)</f>
        <v>99.452835203656747</v>
      </c>
      <c r="V376" s="516">
        <f t="shared" ref="V376:V408" si="34">SUM(T376:U376)</f>
        <v>100</v>
      </c>
      <c r="W376" s="153">
        <f>(T376*0)/(1+cDR)^'Markov Model_SA1'!cycle2</f>
        <v>0</v>
      </c>
      <c r="X376" s="178">
        <f t="shared" ref="X376:X408" si="35">T376</f>
        <v>0.5471647963432531</v>
      </c>
      <c r="Y376" s="202">
        <f>(T376*(uPostT))/(1+oDR)^'Markov Model_SA1'!cycle</f>
        <v>0.16674322123176183</v>
      </c>
      <c r="Z376" s="80"/>
      <c r="AA376" s="3"/>
      <c r="AB376" s="3"/>
      <c r="AC376" s="14">
        <v>364</v>
      </c>
      <c r="AD376" s="14"/>
      <c r="AE376" s="14"/>
      <c r="AF376" s="3"/>
      <c r="AG376" s="3"/>
      <c r="AH376" s="3"/>
      <c r="AI376" s="14"/>
      <c r="AJ376" s="14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</row>
    <row r="377" spans="1:47" ht="14.25" customHeight="1" x14ac:dyDescent="0.2">
      <c r="A377" s="3"/>
      <c r="B377" s="417"/>
      <c r="C377" s="173">
        <v>367</v>
      </c>
      <c r="D377" s="165"/>
      <c r="E377" s="174">
        <v>7.9083200825209587E-3</v>
      </c>
      <c r="F377" s="502"/>
      <c r="G377" s="219">
        <f t="shared" si="32"/>
        <v>0.55781642873252224</v>
      </c>
      <c r="H377" s="249">
        <f>H376+(G376*E377*'life-tables-test'!$C$66)</f>
        <v>99.442183571267478</v>
      </c>
      <c r="I377" s="516">
        <f t="shared" ref="I377:I408" si="36">SUM(G377:H377)</f>
        <v>100</v>
      </c>
      <c r="J377" s="153">
        <f>(G377*0)/(1+cDR)^'Markov Model_SA1'!cycle</f>
        <v>0</v>
      </c>
      <c r="K377" s="178">
        <f t="shared" si="33"/>
        <v>0.55781642873252224</v>
      </c>
      <c r="L377" s="202">
        <f>(G377*(uPostT))/(1+oDR)^'Markov Model_SA1'!cycle</f>
        <v>0.16956529076513077</v>
      </c>
      <c r="M377" s="80"/>
      <c r="N377" s="3"/>
      <c r="O377" s="80"/>
      <c r="P377" s="173">
        <v>367</v>
      </c>
      <c r="Q377" s="165"/>
      <c r="R377" s="174">
        <v>7.9083200825209587E-3</v>
      </c>
      <c r="S377" s="502"/>
      <c r="T377" s="219">
        <f t="shared" ref="T377:T408" si="37">$T$10-U377</f>
        <v>0.52552902460639928</v>
      </c>
      <c r="U377" s="249">
        <f>U376+(T376*R377*'life-tables-test'!$C$66)</f>
        <v>99.474470975393601</v>
      </c>
      <c r="V377" s="516">
        <f t="shared" si="34"/>
        <v>100</v>
      </c>
      <c r="W377" s="153">
        <f>(T377*0)/(1+cDR)^'Markov Model_SA1'!cycle2</f>
        <v>0</v>
      </c>
      <c r="X377" s="178">
        <f t="shared" si="35"/>
        <v>0.52552902460639928</v>
      </c>
      <c r="Y377" s="202">
        <f>(T377*(uPostT))/(1+oDR)^'Markov Model_SA1'!cycle</f>
        <v>0.15975055102873167</v>
      </c>
      <c r="Z377" s="80"/>
      <c r="AA377" s="3"/>
      <c r="AB377" s="3"/>
      <c r="AC377" s="14">
        <v>365</v>
      </c>
      <c r="AD377" s="14"/>
      <c r="AE377" s="14"/>
      <c r="AF377" s="3"/>
      <c r="AG377" s="3"/>
      <c r="AH377" s="3"/>
      <c r="AI377" s="14"/>
      <c r="AJ377" s="14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</row>
    <row r="378" spans="1:47" ht="14.25" customHeight="1" x14ac:dyDescent="0.2">
      <c r="A378" s="3"/>
      <c r="B378" s="417"/>
      <c r="C378" s="173">
        <v>368</v>
      </c>
      <c r="D378" s="165"/>
      <c r="E378" s="174">
        <v>7.9083200825209587E-3</v>
      </c>
      <c r="F378" s="502"/>
      <c r="G378" s="219">
        <f t="shared" si="32"/>
        <v>0.53575947440398863</v>
      </c>
      <c r="H378" s="249">
        <f>H377+(G377*E378*'life-tables-test'!$C$66)</f>
        <v>99.464240525596011</v>
      </c>
      <c r="I378" s="516">
        <f t="shared" si="36"/>
        <v>100</v>
      </c>
      <c r="J378" s="153">
        <f>(G378*0)/(1+cDR)^'Markov Model_SA1'!cycle</f>
        <v>0</v>
      </c>
      <c r="K378" s="178">
        <f t="shared" si="33"/>
        <v>0.53575947440398863</v>
      </c>
      <c r="L378" s="202">
        <f>(G378*(uPostT))/(1+oDR)^'Markov Model_SA1'!cycle</f>
        <v>0.16245427211356311</v>
      </c>
      <c r="M378" s="80"/>
      <c r="N378" s="3"/>
      <c r="O378" s="80"/>
      <c r="P378" s="173">
        <v>368</v>
      </c>
      <c r="Q378" s="165"/>
      <c r="R378" s="174">
        <v>7.9083200825209587E-3</v>
      </c>
      <c r="S378" s="502"/>
      <c r="T378" s="219">
        <f t="shared" si="37"/>
        <v>0.50474876591019324</v>
      </c>
      <c r="U378" s="249">
        <f>U377+(T377*R378*'life-tables-test'!$C$66)</f>
        <v>99.495251234089807</v>
      </c>
      <c r="V378" s="516">
        <f t="shared" si="34"/>
        <v>100</v>
      </c>
      <c r="W378" s="153">
        <f>(T378*0)/(1+cDR)^'Markov Model_SA1'!cycle2</f>
        <v>0</v>
      </c>
      <c r="X378" s="178">
        <f t="shared" si="35"/>
        <v>0.50474876591019324</v>
      </c>
      <c r="Y378" s="202">
        <f>(T378*(uPostT))/(1+oDR)^'Markov Model_SA1'!cycle</f>
        <v>0.15305113074739352</v>
      </c>
      <c r="Z378" s="80"/>
      <c r="AA378" s="3"/>
      <c r="AB378" s="3"/>
      <c r="AC378" s="14">
        <v>366</v>
      </c>
      <c r="AD378" s="14"/>
      <c r="AE378" s="14"/>
      <c r="AF378" s="3"/>
      <c r="AG378" s="3"/>
      <c r="AH378" s="3"/>
      <c r="AI378" s="14"/>
      <c r="AJ378" s="14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</row>
    <row r="379" spans="1:47" ht="14.25" customHeight="1" x14ac:dyDescent="0.2">
      <c r="A379" s="3"/>
      <c r="B379" s="417"/>
      <c r="C379" s="173">
        <v>369</v>
      </c>
      <c r="D379" s="165"/>
      <c r="E379" s="174">
        <v>7.9083200825209587E-3</v>
      </c>
      <c r="F379" s="502"/>
      <c r="G379" s="219">
        <f t="shared" si="32"/>
        <v>0.51457468734983536</v>
      </c>
      <c r="H379" s="249">
        <f>H378+(G378*E379*'life-tables-test'!$C$66)</f>
        <v>99.485425312650165</v>
      </c>
      <c r="I379" s="516">
        <f t="shared" si="36"/>
        <v>100</v>
      </c>
      <c r="J379" s="153">
        <f>(G379*0)/(1+cDR)^'Markov Model_SA1'!cycle</f>
        <v>0</v>
      </c>
      <c r="K379" s="178">
        <f t="shared" si="33"/>
        <v>0.51457468734983536</v>
      </c>
      <c r="L379" s="202">
        <f>(G379*(uPostT))/(1+oDR)^'Markov Model_SA1'!cycle</f>
        <v>0.15564146653399197</v>
      </c>
      <c r="M379" s="80"/>
      <c r="N379" s="3"/>
      <c r="O379" s="80"/>
      <c r="P379" s="173">
        <v>369</v>
      </c>
      <c r="Q379" s="165"/>
      <c r="R379" s="174">
        <v>7.9083200825209587E-3</v>
      </c>
      <c r="S379" s="502"/>
      <c r="T379" s="219">
        <f t="shared" si="37"/>
        <v>0.48479019189981898</v>
      </c>
      <c r="U379" s="249">
        <f>U378+(T378*R379*'life-tables-test'!$C$66)</f>
        <v>99.515209808100181</v>
      </c>
      <c r="V379" s="516">
        <f t="shared" si="34"/>
        <v>100</v>
      </c>
      <c r="W379" s="153">
        <f>(T379*0)/(1+cDR)^'Markov Model_SA1'!cycle2</f>
        <v>0</v>
      </c>
      <c r="X379" s="178">
        <f t="shared" si="35"/>
        <v>0.48479019189981898</v>
      </c>
      <c r="Y379" s="202">
        <f>(T379*(uPostT))/(1+oDR)^'Markov Model_SA1'!cycle</f>
        <v>0.14663266243659193</v>
      </c>
      <c r="Z379" s="80"/>
      <c r="AA379" s="3"/>
      <c r="AB379" s="3"/>
      <c r="AC379" s="14">
        <v>367</v>
      </c>
      <c r="AD379" s="14"/>
      <c r="AE379" s="14"/>
      <c r="AF379" s="3"/>
      <c r="AG379" s="3"/>
      <c r="AH379" s="3"/>
      <c r="AI379" s="14"/>
      <c r="AJ379" s="14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</row>
    <row r="380" spans="1:47" ht="14.25" customHeight="1" x14ac:dyDescent="0.2">
      <c r="A380" s="3"/>
      <c r="B380" s="417"/>
      <c r="C380" s="173">
        <v>370</v>
      </c>
      <c r="D380" s="165"/>
      <c r="E380" s="174">
        <v>7.9083200825209587E-3</v>
      </c>
      <c r="F380" s="502"/>
      <c r="G380" s="219">
        <f t="shared" si="32"/>
        <v>0.494227580680203</v>
      </c>
      <c r="H380" s="249">
        <f>H379+(G379*E380*'life-tables-test'!$C$66)</f>
        <v>99.505772419319797</v>
      </c>
      <c r="I380" s="516">
        <f t="shared" si="36"/>
        <v>100</v>
      </c>
      <c r="J380" s="153">
        <f>(G380*0)/(1+cDR)^'Markov Model_SA1'!cycle</f>
        <v>0</v>
      </c>
      <c r="K380" s="178">
        <f t="shared" si="33"/>
        <v>0.494227580680203</v>
      </c>
      <c r="L380" s="202">
        <f>(G380*(uPostT))/(1+oDR)^'Markov Model_SA1'!cycle</f>
        <v>0.14911436793682972</v>
      </c>
      <c r="M380" s="80"/>
      <c r="N380" s="3"/>
      <c r="O380" s="80"/>
      <c r="P380" s="173">
        <v>370</v>
      </c>
      <c r="Q380" s="165"/>
      <c r="R380" s="174">
        <v>7.9083200825209587E-3</v>
      </c>
      <c r="S380" s="502"/>
      <c r="T380" s="219">
        <f t="shared" si="37"/>
        <v>0.46562081184777071</v>
      </c>
      <c r="U380" s="249">
        <f>U379+(T379*R380*'life-tables-test'!$C$66)</f>
        <v>99.534379188152229</v>
      </c>
      <c r="V380" s="516">
        <f t="shared" si="34"/>
        <v>100</v>
      </c>
      <c r="W380" s="153">
        <f>(T380*0)/(1+cDR)^'Markov Model_SA1'!cycle2</f>
        <v>0</v>
      </c>
      <c r="X380" s="178">
        <f t="shared" si="35"/>
        <v>0.46562081184777071</v>
      </c>
      <c r="Y380" s="202">
        <f>(T380*(uPostT))/(1+oDR)^'Markov Model_SA1'!cycle</f>
        <v>0.14048336388138566</v>
      </c>
      <c r="Z380" s="80"/>
      <c r="AA380" s="3"/>
      <c r="AB380" s="3"/>
      <c r="AC380" s="14">
        <v>368</v>
      </c>
      <c r="AD380" s="14"/>
      <c r="AE380" s="14"/>
      <c r="AF380" s="3"/>
      <c r="AG380" s="3"/>
      <c r="AH380" s="3"/>
      <c r="AI380" s="14"/>
      <c r="AJ380" s="14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</row>
    <row r="381" spans="1:47" ht="14.25" customHeight="1" x14ac:dyDescent="0.2">
      <c r="A381" s="3"/>
      <c r="B381" s="417"/>
      <c r="C381" s="173">
        <v>371</v>
      </c>
      <c r="D381" s="165"/>
      <c r="E381" s="174">
        <v>7.9083200825209587E-3</v>
      </c>
      <c r="F381" s="502"/>
      <c r="G381" s="219">
        <f t="shared" si="32"/>
        <v>0.47468503117205785</v>
      </c>
      <c r="H381" s="249">
        <f>H380+(G380*E381*'life-tables-test'!$C$66)</f>
        <v>99.525314968827942</v>
      </c>
      <c r="I381" s="516">
        <f t="shared" si="36"/>
        <v>100</v>
      </c>
      <c r="J381" s="153">
        <f>(G381*0)/(1+cDR)^'Markov Model_SA1'!cycle</f>
        <v>0</v>
      </c>
      <c r="K381" s="178">
        <f t="shared" si="33"/>
        <v>0.47468503117205785</v>
      </c>
      <c r="L381" s="202">
        <f>(G381*(uPostT))/(1+oDR)^'Markov Model_SA1'!cycle</f>
        <v>0.14286099469735009</v>
      </c>
      <c r="M381" s="80"/>
      <c r="N381" s="3"/>
      <c r="O381" s="80"/>
      <c r="P381" s="173">
        <v>371</v>
      </c>
      <c r="Q381" s="165"/>
      <c r="R381" s="174">
        <v>7.9083200825209587E-3</v>
      </c>
      <c r="S381" s="502"/>
      <c r="T381" s="219">
        <f t="shared" si="37"/>
        <v>0.4472094197618901</v>
      </c>
      <c r="U381" s="249">
        <f>U380+(T380*R381*'life-tables-test'!$C$66)</f>
        <v>99.55279058023811</v>
      </c>
      <c r="V381" s="516">
        <f t="shared" si="34"/>
        <v>100</v>
      </c>
      <c r="W381" s="153">
        <f>(T381*0)/(1+cDR)^'Markov Model_SA1'!cycle2</f>
        <v>0</v>
      </c>
      <c r="X381" s="178">
        <f t="shared" si="35"/>
        <v>0.4472094197618901</v>
      </c>
      <c r="Y381" s="202">
        <f>(T381*(uPostT))/(1+oDR)^'Markov Model_SA1'!cycle</f>
        <v>0.13459194697473151</v>
      </c>
      <c r="Z381" s="80"/>
      <c r="AA381" s="3"/>
      <c r="AB381" s="3"/>
      <c r="AC381" s="14">
        <v>369</v>
      </c>
      <c r="AD381" s="14"/>
      <c r="AE381" s="14"/>
      <c r="AF381" s="3"/>
      <c r="AG381" s="3"/>
      <c r="AH381" s="3"/>
      <c r="AI381" s="14"/>
      <c r="AJ381" s="14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</row>
    <row r="382" spans="1:47" ht="14.25" customHeight="1" x14ac:dyDescent="0.2">
      <c r="A382" s="3"/>
      <c r="B382" s="417"/>
      <c r="C382" s="173">
        <v>372</v>
      </c>
      <c r="D382" s="165"/>
      <c r="E382" s="174">
        <v>7.9083200825209587E-3</v>
      </c>
      <c r="F382" s="502"/>
      <c r="G382" s="219">
        <f t="shared" si="32"/>
        <v>0.45591522534760998</v>
      </c>
      <c r="H382" s="249">
        <f>H381+(G381*E382*'life-tables-test'!$C$66)</f>
        <v>99.54408477465239</v>
      </c>
      <c r="I382" s="516">
        <f t="shared" si="36"/>
        <v>100</v>
      </c>
      <c r="J382" s="153">
        <f>(G382*0)/(1+cDR)^'Markov Model_SA1'!cycle</f>
        <v>0</v>
      </c>
      <c r="K382" s="178">
        <f t="shared" si="33"/>
        <v>0.45591522534760998</v>
      </c>
      <c r="L382" s="202">
        <f>(G382*(uPostT))/(1+oDR)^'Markov Model_SA1'!cycle</f>
        <v>0.13686986766132764</v>
      </c>
      <c r="M382" s="80"/>
      <c r="N382" s="3"/>
      <c r="O382" s="80"/>
      <c r="P382" s="173">
        <v>372</v>
      </c>
      <c r="Q382" s="165"/>
      <c r="R382" s="174">
        <v>7.9083200825209587E-3</v>
      </c>
      <c r="S382" s="502"/>
      <c r="T382" s="219">
        <f t="shared" si="37"/>
        <v>0.42952604358491442</v>
      </c>
      <c r="U382" s="249">
        <f>U381+(T381*R382*'life-tables-test'!$C$66)</f>
        <v>99.570473956415086</v>
      </c>
      <c r="V382" s="516">
        <f t="shared" si="34"/>
        <v>100</v>
      </c>
      <c r="W382" s="153">
        <f>(T382*0)/(1+cDR)^'Markov Model_SA1'!cycle2</f>
        <v>0</v>
      </c>
      <c r="X382" s="178">
        <f t="shared" si="35"/>
        <v>0.42952604358491442</v>
      </c>
      <c r="Y382" s="202">
        <f>(T382*(uPostT))/(1+oDR)^'Markov Model_SA1'!cycle</f>
        <v>0.12894759699621222</v>
      </c>
      <c r="Z382" s="80"/>
      <c r="AA382" s="3"/>
      <c r="AB382" s="3"/>
      <c r="AC382" s="14">
        <v>370</v>
      </c>
      <c r="AD382" s="14"/>
      <c r="AE382" s="14"/>
      <c r="AF382" s="3"/>
      <c r="AG382" s="3"/>
      <c r="AH382" s="3"/>
      <c r="AI382" s="14"/>
      <c r="AJ382" s="14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</row>
    <row r="383" spans="1:47" ht="14.25" customHeight="1" x14ac:dyDescent="0.2">
      <c r="A383" s="3"/>
      <c r="B383" s="417"/>
      <c r="C383" s="173">
        <v>373</v>
      </c>
      <c r="D383" s="504"/>
      <c r="E383" s="174">
        <v>7.9083200825209587E-3</v>
      </c>
      <c r="F383" s="505"/>
      <c r="G383" s="219">
        <f t="shared" si="32"/>
        <v>0.43788760768488544</v>
      </c>
      <c r="H383" s="249">
        <f>H382+(G382*E383*'life-tables-test'!$C$66)</f>
        <v>99.562112392315115</v>
      </c>
      <c r="I383" s="516">
        <f t="shared" si="36"/>
        <v>100</v>
      </c>
      <c r="J383" s="180">
        <f>(G383*0)/(1+cDR)^'Markov Model_SA1'!cycle</f>
        <v>0</v>
      </c>
      <c r="K383" s="176">
        <f t="shared" si="33"/>
        <v>0.43788760768488544</v>
      </c>
      <c r="L383" s="202">
        <f>(G383*(uPostT))/(1+oDR)^'Markov Model_SA1'!cycle</f>
        <v>0.13112998907305271</v>
      </c>
      <c r="M383" s="80"/>
      <c r="N383" s="3"/>
      <c r="O383" s="80"/>
      <c r="P383" s="173">
        <v>373</v>
      </c>
      <c r="Q383" s="504"/>
      <c r="R383" s="174">
        <v>7.9083200825209587E-3</v>
      </c>
      <c r="S383" s="505"/>
      <c r="T383" s="219">
        <f t="shared" si="37"/>
        <v>0.41254189640267214</v>
      </c>
      <c r="U383" s="249">
        <f>U382+(T382*R383*'life-tables-test'!$C$66)</f>
        <v>99.587458103597328</v>
      </c>
      <c r="V383" s="516">
        <f t="shared" si="34"/>
        <v>100</v>
      </c>
      <c r="W383" s="180">
        <f>(T383*0)/(1+cDR)^'Markov Model_SA1'!cycle2</f>
        <v>0</v>
      </c>
      <c r="X383" s="176">
        <f t="shared" si="35"/>
        <v>0.41254189640267214</v>
      </c>
      <c r="Y383" s="202">
        <f>(T383*(uPostT))/(1+oDR)^'Markov Model_SA1'!cycle</f>
        <v>0.12353995275972295</v>
      </c>
      <c r="Z383" s="80"/>
      <c r="AA383" s="3"/>
      <c r="AB383" s="3"/>
      <c r="AC383" s="14">
        <v>371</v>
      </c>
      <c r="AD383" s="14"/>
      <c r="AE383" s="14"/>
      <c r="AF383" s="3"/>
      <c r="AG383" s="3"/>
      <c r="AH383" s="3"/>
      <c r="AI383" s="14"/>
      <c r="AJ383" s="14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</row>
    <row r="384" spans="1:47" ht="14.25" customHeight="1" x14ac:dyDescent="0.25">
      <c r="A384" s="3">
        <v>33</v>
      </c>
      <c r="B384" s="417"/>
      <c r="C384" s="506">
        <v>374</v>
      </c>
      <c r="D384" s="506"/>
      <c r="E384" s="507">
        <v>7.9083200825209587E-3</v>
      </c>
      <c r="F384" s="508"/>
      <c r="G384" s="509">
        <f t="shared" si="32"/>
        <v>0.42057283087618202</v>
      </c>
      <c r="H384" s="510">
        <f>H383+(G383*E384*'life-tables-test'!$C$66)</f>
        <v>99.579427169123818</v>
      </c>
      <c r="I384" s="518">
        <f t="shared" si="36"/>
        <v>100</v>
      </c>
      <c r="J384" s="511">
        <f>(G384*0)/(1+cDR)^'Markov Model_SA1'!cycle</f>
        <v>0</v>
      </c>
      <c r="K384" s="512">
        <f t="shared" si="33"/>
        <v>0.42057283087618202</v>
      </c>
      <c r="L384" s="513">
        <f>(G384*(uPostT))/(1+oDR)^'Markov Model_SA1'!cycle</f>
        <v>0.12563082238705034</v>
      </c>
      <c r="M384" s="80"/>
      <c r="N384" s="3"/>
      <c r="O384" s="80"/>
      <c r="P384" s="506">
        <v>374</v>
      </c>
      <c r="Q384" s="506"/>
      <c r="R384" s="507">
        <v>7.9083200825209587E-3</v>
      </c>
      <c r="S384" s="508"/>
      <c r="T384" s="509">
        <f t="shared" si="37"/>
        <v>0.39622932958165791</v>
      </c>
      <c r="U384" s="510">
        <f>U383+(T383*R384*'life-tables-test'!$C$66)</f>
        <v>99.603770670418342</v>
      </c>
      <c r="V384" s="518">
        <f t="shared" si="34"/>
        <v>100</v>
      </c>
      <c r="W384" s="511">
        <f>(T384*0)/(1+cDR)^'Markov Model_SA1'!cycle2</f>
        <v>0</v>
      </c>
      <c r="X384" s="512">
        <f t="shared" si="35"/>
        <v>0.39622932958165791</v>
      </c>
      <c r="Y384" s="513">
        <f>(T384*(uPostT))/(1+oDR)^'Markov Model_SA1'!cycle</f>
        <v>0.11835908759372116</v>
      </c>
      <c r="Z384" s="80"/>
      <c r="AA384" s="3"/>
      <c r="AB384" s="3"/>
      <c r="AC384" s="14">
        <v>372</v>
      </c>
      <c r="AD384" s="14"/>
      <c r="AE384" s="14"/>
      <c r="AF384" s="3"/>
      <c r="AG384" s="3"/>
      <c r="AH384" s="3"/>
      <c r="AI384" s="14"/>
      <c r="AJ384" s="14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</row>
    <row r="385" spans="1:47" ht="14.25" customHeight="1" x14ac:dyDescent="0.2">
      <c r="A385" s="3"/>
      <c r="B385" s="417"/>
      <c r="C385" s="173">
        <v>375</v>
      </c>
      <c r="D385" s="165"/>
      <c r="E385" s="174">
        <v>8.9196625610592495E-3</v>
      </c>
      <c r="F385" s="502"/>
      <c r="G385" s="219">
        <f t="shared" si="32"/>
        <v>0.40181599220736075</v>
      </c>
      <c r="H385" s="249">
        <f>H384+(G384*E385*'life-tables-test'!$C$66)</f>
        <v>99.598184007792639</v>
      </c>
      <c r="I385" s="516">
        <f t="shared" si="36"/>
        <v>100</v>
      </c>
      <c r="J385" s="153">
        <f>(G385*0)/(1+cDR)^'Markov Model_SA1'!cycle</f>
        <v>0</v>
      </c>
      <c r="K385" s="178">
        <f t="shared" si="33"/>
        <v>0.40181599220736075</v>
      </c>
      <c r="L385" s="202">
        <f>(G385*(uPostT))/(1+oDR)^'Markov Model_SA1'!cycle</f>
        <v>0.11972857822668045</v>
      </c>
      <c r="M385" s="80"/>
      <c r="N385" s="3"/>
      <c r="O385" s="80"/>
      <c r="P385" s="173">
        <v>375</v>
      </c>
      <c r="Q385" s="165"/>
      <c r="R385" s="174">
        <v>8.9196625610592495E-3</v>
      </c>
      <c r="S385" s="502"/>
      <c r="T385" s="219">
        <f t="shared" si="37"/>
        <v>0.37855816999834246</v>
      </c>
      <c r="U385" s="249">
        <f>U384+(T384*R385*'life-tables-test'!$C$66)</f>
        <v>99.621441830001658</v>
      </c>
      <c r="V385" s="516">
        <f t="shared" si="34"/>
        <v>100</v>
      </c>
      <c r="W385" s="153">
        <f>(T385*0)/(1+cDR)^'Markov Model_SA1'!cycle2</f>
        <v>0</v>
      </c>
      <c r="X385" s="178">
        <f t="shared" si="35"/>
        <v>0.37855816999834246</v>
      </c>
      <c r="Y385" s="202">
        <f>(T385*(uPostT))/(1+oDR)^'Markov Model_SA1'!cycle</f>
        <v>0.11279847579238601</v>
      </c>
      <c r="Z385" s="80"/>
      <c r="AA385" s="3"/>
      <c r="AB385" s="3"/>
      <c r="AC385" s="14">
        <v>373</v>
      </c>
      <c r="AD385" s="14"/>
      <c r="AE385" s="14"/>
      <c r="AF385" s="3"/>
      <c r="AG385" s="3"/>
      <c r="AH385" s="3"/>
      <c r="AI385" s="14"/>
      <c r="AJ385" s="14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</row>
    <row r="386" spans="1:47" ht="14.25" customHeight="1" x14ac:dyDescent="0.2">
      <c r="A386" s="3"/>
      <c r="B386" s="417"/>
      <c r="C386" s="173">
        <v>376</v>
      </c>
      <c r="D386" s="165"/>
      <c r="E386" s="174">
        <v>8.9196625610592495E-3</v>
      </c>
      <c r="F386" s="502"/>
      <c r="G386" s="219">
        <f t="shared" si="32"/>
        <v>0.38389567689672788</v>
      </c>
      <c r="H386" s="249">
        <f>H385+(G385*E386*'life-tables-test'!$C$66)</f>
        <v>99.616104323103272</v>
      </c>
      <c r="I386" s="516">
        <f t="shared" si="36"/>
        <v>100</v>
      </c>
      <c r="J386" s="153">
        <f>(G386*0)/(1+cDR)^'Markov Model_SA1'!cycle</f>
        <v>0</v>
      </c>
      <c r="K386" s="178">
        <f t="shared" si="33"/>
        <v>0.38389567689672788</v>
      </c>
      <c r="L386" s="202">
        <f>(G386*(uPostT))/(1+oDR)^'Markov Model_SA1'!cycle</f>
        <v>0.11410362657675216</v>
      </c>
      <c r="M386" s="80"/>
      <c r="N386" s="3"/>
      <c r="O386" s="80"/>
      <c r="P386" s="173">
        <v>376</v>
      </c>
      <c r="Q386" s="165"/>
      <c r="R386" s="174">
        <v>8.9196625610592495E-3</v>
      </c>
      <c r="S386" s="502"/>
      <c r="T386" s="219">
        <f t="shared" si="37"/>
        <v>0.36167511431776234</v>
      </c>
      <c r="U386" s="249">
        <f>U385+(T385*R386*'life-tables-test'!$C$66)</f>
        <v>99.638324885682238</v>
      </c>
      <c r="V386" s="516">
        <f t="shared" si="34"/>
        <v>100</v>
      </c>
      <c r="W386" s="153">
        <f>(T386*0)/(1+cDR)^'Markov Model_SA1'!cycle2</f>
        <v>0</v>
      </c>
      <c r="X386" s="178">
        <f t="shared" si="35"/>
        <v>0.36167511431776234</v>
      </c>
      <c r="Y386" s="202">
        <f>(T386*(uPostT))/(1+oDR)^'Markov Model_SA1'!cycle</f>
        <v>0.10749910631924037</v>
      </c>
      <c r="Z386" s="80"/>
      <c r="AA386" s="3"/>
      <c r="AB386" s="3"/>
      <c r="AC386" s="14">
        <v>374</v>
      </c>
      <c r="AD386" s="14"/>
      <c r="AE386" s="14"/>
      <c r="AF386" s="3"/>
      <c r="AG386" s="3"/>
      <c r="AH386" s="3"/>
      <c r="AI386" s="14"/>
      <c r="AJ386" s="14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</row>
    <row r="387" spans="1:47" ht="14.25" customHeight="1" x14ac:dyDescent="0.2">
      <c r="A387" s="3"/>
      <c r="B387" s="417"/>
      <c r="C387" s="173">
        <v>377</v>
      </c>
      <c r="D387" s="165"/>
      <c r="E387" s="174">
        <v>8.9196625610592495E-3</v>
      </c>
      <c r="F387" s="502"/>
      <c r="G387" s="219">
        <f t="shared" si="32"/>
        <v>0.36677457741389219</v>
      </c>
      <c r="H387" s="249">
        <f>H386+(G386*E387*'life-tables-test'!$C$66)</f>
        <v>99.633225422586108</v>
      </c>
      <c r="I387" s="516">
        <f t="shared" si="36"/>
        <v>100</v>
      </c>
      <c r="J387" s="153">
        <f>(G387*0)/(1+cDR)^'Markov Model_SA1'!cycle</f>
        <v>0</v>
      </c>
      <c r="K387" s="178">
        <f t="shared" si="33"/>
        <v>0.36677457741389219</v>
      </c>
      <c r="L387" s="202">
        <f>(G387*(uPostT))/(1+oDR)^'Markov Model_SA1'!cycle</f>
        <v>0.10874293999647389</v>
      </c>
      <c r="M387" s="80"/>
      <c r="N387" s="3"/>
      <c r="O387" s="80"/>
      <c r="P387" s="173">
        <v>377</v>
      </c>
      <c r="Q387" s="165"/>
      <c r="R387" s="174">
        <v>8.9196625610592495E-3</v>
      </c>
      <c r="S387" s="502"/>
      <c r="T387" s="219">
        <f t="shared" si="37"/>
        <v>0.34554501443552965</v>
      </c>
      <c r="U387" s="249">
        <f>U386+(T386*R387*'life-tables-test'!$C$66)</f>
        <v>99.65445498556447</v>
      </c>
      <c r="V387" s="516">
        <f t="shared" si="34"/>
        <v>100</v>
      </c>
      <c r="W387" s="153">
        <f>(T387*0)/(1+cDR)^'Markov Model_SA1'!cycle2</f>
        <v>0</v>
      </c>
      <c r="X387" s="178">
        <f t="shared" si="35"/>
        <v>0.34554501443552965</v>
      </c>
      <c r="Y387" s="202">
        <f>(T387*(uPostT))/(1+oDR)^'Markov Model_SA1'!cycle</f>
        <v>0.10244870578486355</v>
      </c>
      <c r="Z387" s="80"/>
      <c r="AA387" s="3"/>
      <c r="AB387" s="3"/>
      <c r="AC387" s="14">
        <v>375</v>
      </c>
      <c r="AD387" s="14"/>
      <c r="AE387" s="14"/>
      <c r="AF387" s="3"/>
      <c r="AG387" s="3"/>
      <c r="AH387" s="3"/>
      <c r="AI387" s="14"/>
      <c r="AJ387" s="14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</row>
    <row r="388" spans="1:47" ht="14.25" customHeight="1" x14ac:dyDescent="0.2">
      <c r="A388" s="3"/>
      <c r="B388" s="417"/>
      <c r="C388" s="173">
        <v>378</v>
      </c>
      <c r="D388" s="165"/>
      <c r="E388" s="174">
        <v>8.9196625610592495E-3</v>
      </c>
      <c r="F388" s="502"/>
      <c r="G388" s="219">
        <f t="shared" si="32"/>
        <v>0.35041705008136148</v>
      </c>
      <c r="H388" s="249">
        <f>H387+(G387*E388*'life-tables-test'!$C$66)</f>
        <v>99.649582949918639</v>
      </c>
      <c r="I388" s="516">
        <f t="shared" si="36"/>
        <v>100</v>
      </c>
      <c r="J388" s="153">
        <f>(G388*0)/(1+cDR)^'Markov Model_SA1'!cycle</f>
        <v>0</v>
      </c>
      <c r="K388" s="178">
        <f t="shared" si="33"/>
        <v>0.35041705008136148</v>
      </c>
      <c r="L388" s="202">
        <f>(G388*(uPostT))/(1+oDR)^'Markov Model_SA1'!cycle</f>
        <v>0.10363410308543132</v>
      </c>
      <c r="M388" s="80"/>
      <c r="N388" s="3"/>
      <c r="O388" s="80"/>
      <c r="P388" s="173">
        <v>378</v>
      </c>
      <c r="Q388" s="165"/>
      <c r="R388" s="174">
        <v>8.9196625610592495E-3</v>
      </c>
      <c r="S388" s="502"/>
      <c r="T388" s="219">
        <f t="shared" si="37"/>
        <v>0.33013428979342052</v>
      </c>
      <c r="U388" s="249">
        <f>U387+(T387*R388*'life-tables-test'!$C$66)</f>
        <v>99.669865710206579</v>
      </c>
      <c r="V388" s="516">
        <f t="shared" si="34"/>
        <v>100</v>
      </c>
      <c r="W388" s="153">
        <f>(T388*0)/(1+cDR)^'Markov Model_SA1'!cycle2</f>
        <v>0</v>
      </c>
      <c r="X388" s="178">
        <f t="shared" si="35"/>
        <v>0.33013428979342052</v>
      </c>
      <c r="Y388" s="202">
        <f>(T388*(uPostT))/(1+oDR)^'Markov Model_SA1'!cycle</f>
        <v>9.7635577414236049E-2</v>
      </c>
      <c r="Z388" s="80"/>
      <c r="AA388" s="3"/>
      <c r="AB388" s="3"/>
      <c r="AC388" s="14">
        <v>376</v>
      </c>
      <c r="AD388" s="14"/>
      <c r="AE388" s="14"/>
      <c r="AF388" s="3"/>
      <c r="AG388" s="3"/>
      <c r="AH388" s="3"/>
      <c r="AI388" s="14"/>
      <c r="AJ388" s="14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</row>
    <row r="389" spans="1:47" ht="14.25" customHeight="1" x14ac:dyDescent="0.2">
      <c r="A389" s="3"/>
      <c r="B389" s="417"/>
      <c r="C389" s="173">
        <v>379</v>
      </c>
      <c r="D389" s="165"/>
      <c r="E389" s="174">
        <v>8.9196625610592495E-3</v>
      </c>
      <c r="F389" s="502"/>
      <c r="G389" s="219">
        <f t="shared" si="32"/>
        <v>0.33478904086952355</v>
      </c>
      <c r="H389" s="249">
        <f>H388+(G388*E389*'life-tables-test'!$C$66)</f>
        <v>99.665210959130476</v>
      </c>
      <c r="I389" s="516">
        <f t="shared" si="36"/>
        <v>100</v>
      </c>
      <c r="J389" s="153">
        <f>(G389*0)/(1+cDR)^'Markov Model_SA1'!cycle</f>
        <v>0</v>
      </c>
      <c r="K389" s="178">
        <f t="shared" si="33"/>
        <v>0.33478904086952355</v>
      </c>
      <c r="L389" s="202">
        <f>(G389*(uPostT))/(1+oDR)^'Markov Model_SA1'!cycle</f>
        <v>9.8765283729407349E-2</v>
      </c>
      <c r="M389" s="80"/>
      <c r="N389" s="3"/>
      <c r="O389" s="80"/>
      <c r="P389" s="173">
        <v>379</v>
      </c>
      <c r="Q389" s="165"/>
      <c r="R389" s="174">
        <v>8.9196625610592495E-3</v>
      </c>
      <c r="S389" s="502"/>
      <c r="T389" s="219">
        <f t="shared" si="37"/>
        <v>0.31541085746945896</v>
      </c>
      <c r="U389" s="249">
        <f>U388+(T388*R389*'life-tables-test'!$C$66)</f>
        <v>99.684589142530541</v>
      </c>
      <c r="V389" s="516">
        <f t="shared" si="34"/>
        <v>100</v>
      </c>
      <c r="W389" s="153">
        <f>(T389*0)/(1+cDR)^'Markov Model_SA1'!cycle2</f>
        <v>0</v>
      </c>
      <c r="X389" s="178">
        <f t="shared" si="35"/>
        <v>0.31541085746945896</v>
      </c>
      <c r="Y389" s="202">
        <f>(T389*(uPostT))/(1+oDR)^'Markov Model_SA1'!cycle</f>
        <v>9.304857395689789E-2</v>
      </c>
      <c r="Z389" s="80"/>
      <c r="AA389" s="3"/>
      <c r="AB389" s="3"/>
      <c r="AC389" s="14">
        <v>377</v>
      </c>
      <c r="AD389" s="14"/>
      <c r="AE389" s="14"/>
      <c r="AF389" s="3"/>
      <c r="AG389" s="3"/>
      <c r="AH389" s="3"/>
      <c r="AI389" s="14"/>
      <c r="AJ389" s="14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</row>
    <row r="390" spans="1:47" ht="14.25" customHeight="1" x14ac:dyDescent="0.2">
      <c r="A390" s="3"/>
      <c r="B390" s="417"/>
      <c r="C390" s="173">
        <v>380</v>
      </c>
      <c r="D390" s="165"/>
      <c r="E390" s="174">
        <v>8.9196625610592495E-3</v>
      </c>
      <c r="F390" s="502"/>
      <c r="G390" s="219">
        <f t="shared" si="32"/>
        <v>0.31985801450103679</v>
      </c>
      <c r="H390" s="249">
        <f>H389+(G389*E390*'life-tables-test'!$C$66)</f>
        <v>99.680141985498963</v>
      </c>
      <c r="I390" s="516">
        <f t="shared" si="36"/>
        <v>100</v>
      </c>
      <c r="J390" s="153">
        <f>(G390*0)/(1+cDR)^'Markov Model_SA1'!cycle</f>
        <v>0</v>
      </c>
      <c r="K390" s="178">
        <f t="shared" si="33"/>
        <v>0.31985801450103679</v>
      </c>
      <c r="L390" s="202">
        <f>(G390*(uPostT))/(1+oDR)^'Markov Model_SA1'!cycle</f>
        <v>9.4125205697095884E-2</v>
      </c>
      <c r="M390" s="80"/>
      <c r="N390" s="3"/>
      <c r="O390" s="80"/>
      <c r="P390" s="173">
        <v>380</v>
      </c>
      <c r="Q390" s="165"/>
      <c r="R390" s="174">
        <v>8.9196625610592495E-3</v>
      </c>
      <c r="S390" s="502"/>
      <c r="T390" s="219">
        <f t="shared" si="37"/>
        <v>0.30134406538584813</v>
      </c>
      <c r="U390" s="249">
        <f>U389+(T389*R390*'life-tables-test'!$C$66)</f>
        <v>99.698655934614152</v>
      </c>
      <c r="V390" s="516">
        <f t="shared" si="34"/>
        <v>100</v>
      </c>
      <c r="W390" s="153">
        <f>(T390*0)/(1+cDR)^'Markov Model_SA1'!cycle2</f>
        <v>0</v>
      </c>
      <c r="X390" s="178">
        <f t="shared" si="35"/>
        <v>0.30134406538584813</v>
      </c>
      <c r="Y390" s="202">
        <f>(T390*(uPostT))/(1+oDR)^'Markov Model_SA1'!cycle</f>
        <v>8.8677071869806556E-2</v>
      </c>
      <c r="Z390" s="80"/>
      <c r="AA390" s="3"/>
      <c r="AB390" s="3"/>
      <c r="AC390" s="14">
        <v>378</v>
      </c>
      <c r="AD390" s="14"/>
      <c r="AE390" s="14"/>
      <c r="AF390" s="3"/>
      <c r="AG390" s="3"/>
      <c r="AH390" s="3"/>
      <c r="AI390" s="14"/>
      <c r="AJ390" s="14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</row>
    <row r="391" spans="1:47" ht="14.25" customHeight="1" x14ac:dyDescent="0.2">
      <c r="A391" s="3"/>
      <c r="B391" s="417"/>
      <c r="C391" s="173">
        <v>381</v>
      </c>
      <c r="D391" s="165"/>
      <c r="E391" s="174">
        <v>8.9196625610592495E-3</v>
      </c>
      <c r="F391" s="502"/>
      <c r="G391" s="219">
        <f t="shared" si="32"/>
        <v>0.30559288671703655</v>
      </c>
      <c r="H391" s="249">
        <f>H390+(G390*E391*'life-tables-test'!$C$66)</f>
        <v>99.694407113282963</v>
      </c>
      <c r="I391" s="516">
        <f t="shared" si="36"/>
        <v>100</v>
      </c>
      <c r="J391" s="153">
        <f>(G391*0)/(1+cDR)^'Markov Model_SA1'!cycle</f>
        <v>0</v>
      </c>
      <c r="K391" s="178">
        <f t="shared" si="33"/>
        <v>0.30559288671703655</v>
      </c>
      <c r="L391" s="202">
        <f>(G391*(uPostT))/(1+oDR)^'Markov Model_SA1'!cycle</f>
        <v>8.9703122524242757E-2</v>
      </c>
      <c r="M391" s="80"/>
      <c r="N391" s="3"/>
      <c r="O391" s="80"/>
      <c r="P391" s="173">
        <v>381</v>
      </c>
      <c r="Q391" s="165"/>
      <c r="R391" s="174">
        <v>8.9196625610592495E-3</v>
      </c>
      <c r="S391" s="502"/>
      <c r="T391" s="219">
        <f t="shared" si="37"/>
        <v>0.28790462849575249</v>
      </c>
      <c r="U391" s="249">
        <f>U390+(T390*R391*'life-tables-test'!$C$66)</f>
        <v>99.712095371504248</v>
      </c>
      <c r="V391" s="516">
        <f t="shared" si="34"/>
        <v>100</v>
      </c>
      <c r="W391" s="153">
        <f>(T391*0)/(1+cDR)^'Markov Model_SA1'!cycle2</f>
        <v>0</v>
      </c>
      <c r="X391" s="178">
        <f t="shared" si="35"/>
        <v>0.28790462849575249</v>
      </c>
      <c r="Y391" s="202">
        <f>(T391*(uPostT))/(1+oDR)^'Markov Model_SA1'!cycle</f>
        <v>8.4510946713116999E-2</v>
      </c>
      <c r="Z391" s="80"/>
      <c r="AA391" s="3"/>
      <c r="AB391" s="3"/>
      <c r="AC391" s="14">
        <v>379</v>
      </c>
      <c r="AD391" s="14"/>
      <c r="AE391" s="14"/>
      <c r="AF391" s="3"/>
      <c r="AG391" s="3"/>
      <c r="AH391" s="3"/>
      <c r="AI391" s="14"/>
      <c r="AJ391" s="14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</row>
    <row r="392" spans="1:47" ht="14.25" customHeight="1" x14ac:dyDescent="0.2">
      <c r="A392" s="3"/>
      <c r="B392" s="417"/>
      <c r="C392" s="173">
        <v>382</v>
      </c>
      <c r="D392" s="165"/>
      <c r="E392" s="174">
        <v>8.9196625610592495E-3</v>
      </c>
      <c r="F392" s="502"/>
      <c r="G392" s="219">
        <f t="shared" si="32"/>
        <v>0.29196395956415699</v>
      </c>
      <c r="H392" s="249">
        <f>H391+(G391*E392*'life-tables-test'!$C$66)</f>
        <v>99.708036040435843</v>
      </c>
      <c r="I392" s="516">
        <f t="shared" si="36"/>
        <v>100</v>
      </c>
      <c r="J392" s="153">
        <f>(G392*0)/(1+cDR)^'Markov Model_SA1'!cycle</f>
        <v>0</v>
      </c>
      <c r="K392" s="178">
        <f t="shared" si="33"/>
        <v>0.29196395956415699</v>
      </c>
      <c r="L392" s="202">
        <f>(G392*(uPostT))/(1+oDR)^'Markov Model_SA1'!cycle</f>
        <v>8.5488792624733023E-2</v>
      </c>
      <c r="M392" s="80"/>
      <c r="N392" s="3"/>
      <c r="O392" s="80"/>
      <c r="P392" s="173">
        <v>382</v>
      </c>
      <c r="Q392" s="165"/>
      <c r="R392" s="174">
        <v>8.9196625610592495E-3</v>
      </c>
      <c r="S392" s="502"/>
      <c r="T392" s="219">
        <f t="shared" si="37"/>
        <v>0.27506456781600264</v>
      </c>
      <c r="U392" s="249">
        <f>U391+(T391*R392*'life-tables-test'!$C$66)</f>
        <v>99.724935432183997</v>
      </c>
      <c r="V392" s="516">
        <f t="shared" si="34"/>
        <v>100</v>
      </c>
      <c r="W392" s="153">
        <f>(T392*0)/(1+cDR)^'Markov Model_SA1'!cycle2</f>
        <v>0</v>
      </c>
      <c r="X392" s="178">
        <f t="shared" si="35"/>
        <v>0.27506456781600264</v>
      </c>
      <c r="Y392" s="202">
        <f>(T392*(uPostT))/(1+oDR)^'Markov Model_SA1'!cycle</f>
        <v>8.0540549701877934E-2</v>
      </c>
      <c r="Z392" s="80"/>
      <c r="AA392" s="3"/>
      <c r="AB392" s="3"/>
      <c r="AC392" s="14">
        <v>380</v>
      </c>
      <c r="AD392" s="14"/>
      <c r="AE392" s="14"/>
      <c r="AF392" s="3"/>
      <c r="AG392" s="3"/>
      <c r="AH392" s="3"/>
      <c r="AI392" s="14"/>
      <c r="AJ392" s="14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</row>
    <row r="393" spans="1:47" ht="14.25" customHeight="1" x14ac:dyDescent="0.2">
      <c r="A393" s="3"/>
      <c r="B393" s="417"/>
      <c r="C393" s="173">
        <v>383</v>
      </c>
      <c r="D393" s="165"/>
      <c r="E393" s="174">
        <v>8.9196625610592495E-3</v>
      </c>
      <c r="F393" s="502"/>
      <c r="G393" s="219">
        <f t="shared" si="32"/>
        <v>0.27894285956763554</v>
      </c>
      <c r="H393" s="249">
        <f>H392+(G392*E393*'life-tables-test'!$C$66)</f>
        <v>99.721057140432364</v>
      </c>
      <c r="I393" s="516">
        <f t="shared" si="36"/>
        <v>100</v>
      </c>
      <c r="J393" s="153">
        <f>(G393*0)/(1+cDR)^'Markov Model_SA1'!cycle</f>
        <v>0</v>
      </c>
      <c r="K393" s="178">
        <f t="shared" si="33"/>
        <v>0.27894285956763554</v>
      </c>
      <c r="L393" s="202">
        <f>(G393*(uPostT))/(1+oDR)^'Markov Model_SA1'!cycle</f>
        <v>8.1472455570978819E-2</v>
      </c>
      <c r="M393" s="80"/>
      <c r="N393" s="3"/>
      <c r="O393" s="80"/>
      <c r="P393" s="173">
        <v>383</v>
      </c>
      <c r="Q393" s="165"/>
      <c r="R393" s="174">
        <v>8.9196625610592495E-3</v>
      </c>
      <c r="S393" s="502"/>
      <c r="T393" s="219">
        <f t="shared" si="37"/>
        <v>0.26279715217889077</v>
      </c>
      <c r="U393" s="249">
        <f>U392+(T392*R393*'life-tables-test'!$C$66)</f>
        <v>99.737202847821109</v>
      </c>
      <c r="V393" s="516">
        <f t="shared" si="34"/>
        <v>100</v>
      </c>
      <c r="W393" s="153">
        <f>(T393*0)/(1+cDR)^'Markov Model_SA1'!cycle2</f>
        <v>0</v>
      </c>
      <c r="X393" s="178">
        <f t="shared" si="35"/>
        <v>0.26279715217889077</v>
      </c>
      <c r="Y393" s="202">
        <f>(T393*(uPostT))/(1+oDR)^'Markov Model_SA1'!cycle</f>
        <v>7.6756685359364626E-2</v>
      </c>
      <c r="Z393" s="80"/>
      <c r="AA393" s="3"/>
      <c r="AB393" s="3"/>
      <c r="AC393" s="14">
        <v>381</v>
      </c>
      <c r="AD393" s="14"/>
      <c r="AE393" s="14"/>
      <c r="AF393" s="3"/>
      <c r="AG393" s="3"/>
      <c r="AH393" s="3"/>
      <c r="AI393" s="14"/>
      <c r="AJ393" s="14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</row>
    <row r="394" spans="1:47" ht="14.25" customHeight="1" x14ac:dyDescent="0.2">
      <c r="A394" s="3"/>
      <c r="B394" s="417"/>
      <c r="C394" s="173">
        <v>384</v>
      </c>
      <c r="D394" s="165"/>
      <c r="E394" s="174">
        <v>8.9196625610592495E-3</v>
      </c>
      <c r="F394" s="502"/>
      <c r="G394" s="219">
        <f t="shared" si="32"/>
        <v>0.26650247866183463</v>
      </c>
      <c r="H394" s="249">
        <f>H393+(G393*E394*'life-tables-test'!$C$66)</f>
        <v>99.733497521338165</v>
      </c>
      <c r="I394" s="516">
        <f t="shared" si="36"/>
        <v>100</v>
      </c>
      <c r="J394" s="153">
        <f>(G394*0)/(1+cDR)^'Markov Model_SA1'!cycle</f>
        <v>0</v>
      </c>
      <c r="K394" s="178">
        <f t="shared" si="33"/>
        <v>0.26650247866183463</v>
      </c>
      <c r="L394" s="202">
        <f>(G394*(uPostT))/(1+oDR)^'Markov Model_SA1'!cycle</f>
        <v>7.7644809488687058E-2</v>
      </c>
      <c r="M394" s="80"/>
      <c r="N394" s="3"/>
      <c r="O394" s="80"/>
      <c r="P394" s="173">
        <v>384</v>
      </c>
      <c r="Q394" s="165"/>
      <c r="R394" s="174">
        <v>8.9196625610592495E-3</v>
      </c>
      <c r="S394" s="502"/>
      <c r="T394" s="219">
        <f t="shared" si="37"/>
        <v>0.25107684258168206</v>
      </c>
      <c r="U394" s="249">
        <f>U393+(T393*R394*'life-tables-test'!$C$66)</f>
        <v>99.748923157418318</v>
      </c>
      <c r="V394" s="516">
        <f t="shared" si="34"/>
        <v>100</v>
      </c>
      <c r="W394" s="153">
        <f>(T394*0)/(1+cDR)^'Markov Model_SA1'!cycle2</f>
        <v>0</v>
      </c>
      <c r="X394" s="178">
        <f t="shared" si="35"/>
        <v>0.25107684258168206</v>
      </c>
      <c r="Y394" s="202">
        <f>(T394*(uPostT))/(1+oDR)^'Markov Model_SA1'!cycle</f>
        <v>7.3150590220261213E-2</v>
      </c>
      <c r="Z394" s="80"/>
      <c r="AA394" s="3"/>
      <c r="AB394" s="3"/>
      <c r="AC394" s="14">
        <v>382</v>
      </c>
      <c r="AD394" s="14"/>
      <c r="AE394" s="14"/>
      <c r="AF394" s="3"/>
      <c r="AG394" s="3"/>
      <c r="AH394" s="3"/>
      <c r="AI394" s="14"/>
      <c r="AJ394" s="14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</row>
    <row r="395" spans="1:47" ht="14.25" customHeight="1" x14ac:dyDescent="0.2">
      <c r="A395" s="3"/>
      <c r="B395" s="417"/>
      <c r="C395" s="173">
        <v>385</v>
      </c>
      <c r="D395" s="504"/>
      <c r="E395" s="174">
        <v>8.9196625610592495E-3</v>
      </c>
      <c r="F395" s="505"/>
      <c r="G395" s="219">
        <f t="shared" si="32"/>
        <v>0.25461691775508655</v>
      </c>
      <c r="H395" s="249">
        <f>H394+(G394*E395*'life-tables-test'!$C$66)</f>
        <v>99.745383082244913</v>
      </c>
      <c r="I395" s="516">
        <f t="shared" si="36"/>
        <v>100</v>
      </c>
      <c r="J395" s="180">
        <f>(G395*0)/(1+cDR)^'Markov Model_SA1'!cycle</f>
        <v>0</v>
      </c>
      <c r="K395" s="176">
        <f t="shared" si="33"/>
        <v>0.25461691775508655</v>
      </c>
      <c r="L395" s="202">
        <f>(G395*(uPostT))/(1+oDR)^'Markov Model_SA1'!cycle</f>
        <v>7.3996989513618688E-2</v>
      </c>
      <c r="M395" s="80"/>
      <c r="N395" s="3"/>
      <c r="O395" s="80"/>
      <c r="P395" s="173">
        <v>385</v>
      </c>
      <c r="Q395" s="504"/>
      <c r="R395" s="174">
        <v>8.9196625610592495E-3</v>
      </c>
      <c r="S395" s="505"/>
      <c r="T395" s="219">
        <f t="shared" si="37"/>
        <v>0.23987923901805175</v>
      </c>
      <c r="U395" s="249">
        <f>U394+(T394*R395*'life-tables-test'!$C$66)</f>
        <v>99.760120760981948</v>
      </c>
      <c r="V395" s="516">
        <f t="shared" si="34"/>
        <v>100</v>
      </c>
      <c r="W395" s="180">
        <f>(T395*0)/(1+cDR)^'Markov Model_SA1'!cycle2</f>
        <v>0</v>
      </c>
      <c r="X395" s="176">
        <f t="shared" si="35"/>
        <v>0.23987923901805175</v>
      </c>
      <c r="Y395" s="202">
        <f>(T395*(uPostT))/(1+oDR)^'Markov Model_SA1'!cycle</f>
        <v>6.9713912534388148E-2</v>
      </c>
      <c r="Z395" s="80"/>
      <c r="AA395" s="3"/>
      <c r="AB395" s="3"/>
      <c r="AC395" s="14">
        <v>383</v>
      </c>
      <c r="AD395" s="14"/>
      <c r="AE395" s="14"/>
      <c r="AF395" s="3"/>
      <c r="AG395" s="3"/>
      <c r="AH395" s="3"/>
      <c r="AI395" s="14"/>
      <c r="AJ395" s="14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</row>
    <row r="396" spans="1:47" ht="14.25" customHeight="1" x14ac:dyDescent="0.25">
      <c r="A396" s="3">
        <v>34</v>
      </c>
      <c r="B396" s="417"/>
      <c r="C396" s="506">
        <v>386</v>
      </c>
      <c r="D396" s="506"/>
      <c r="E396" s="507">
        <v>8.9196625610592495E-3</v>
      </c>
      <c r="F396" s="508"/>
      <c r="G396" s="509">
        <f t="shared" ref="G396:G408" si="38">$G$10-H396</f>
        <v>0.24326143281152213</v>
      </c>
      <c r="H396" s="510">
        <f>H395+(G395*E396*'life-tables-test'!$C$66)</f>
        <v>99.756738567188478</v>
      </c>
      <c r="I396" s="518">
        <f t="shared" si="36"/>
        <v>100</v>
      </c>
      <c r="J396" s="511">
        <f>(G396*0)/(1+cDR)^'Markov Model_SA1'!cycle</f>
        <v>0</v>
      </c>
      <c r="K396" s="512">
        <f t="shared" si="33"/>
        <v>0.24326143281152213</v>
      </c>
      <c r="L396" s="513">
        <f>(G396*(uPostT))/(1+oDR)^'Markov Model_SA1'!cycle</f>
        <v>7.0520547260488092E-2</v>
      </c>
      <c r="M396" s="80"/>
      <c r="N396" s="3"/>
      <c r="O396" s="80"/>
      <c r="P396" s="506">
        <v>386</v>
      </c>
      <c r="Q396" s="506"/>
      <c r="R396" s="507">
        <v>8.9196625610592495E-3</v>
      </c>
      <c r="S396" s="508"/>
      <c r="T396" s="509">
        <f t="shared" si="37"/>
        <v>0.22918102968083076</v>
      </c>
      <c r="U396" s="510">
        <f>U395+(T395*R396*'life-tables-test'!$C$66)</f>
        <v>99.770818970319169</v>
      </c>
      <c r="V396" s="518">
        <f t="shared" si="34"/>
        <v>100</v>
      </c>
      <c r="W396" s="511">
        <f>(T396*0)/(1+cDR)^'Markov Model_SA1'!cycle2</f>
        <v>0</v>
      </c>
      <c r="X396" s="512">
        <f t="shared" si="35"/>
        <v>0.22918102968083076</v>
      </c>
      <c r="Y396" s="513">
        <f>(T396*(uPostT))/(1+oDR)^'Markov Model_SA1'!cycle</f>
        <v>6.6438692923989198E-2</v>
      </c>
      <c r="Z396" s="80"/>
      <c r="AA396" s="3"/>
      <c r="AB396" s="3"/>
      <c r="AC396" s="14">
        <v>384</v>
      </c>
      <c r="AD396" s="14"/>
      <c r="AE396" s="14"/>
      <c r="AF396" s="3"/>
      <c r="AG396" s="3"/>
      <c r="AH396" s="3"/>
      <c r="AI396" s="14"/>
      <c r="AJ396" s="14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</row>
    <row r="397" spans="1:47" ht="14.25" customHeight="1" x14ac:dyDescent="0.2">
      <c r="A397" s="3"/>
      <c r="B397" s="417"/>
      <c r="C397" s="173">
        <v>387</v>
      </c>
      <c r="D397" s="165"/>
      <c r="E397" s="174">
        <v>1.0042812600308371E-2</v>
      </c>
      <c r="F397" s="502"/>
      <c r="G397" s="219">
        <f t="shared" si="38"/>
        <v>0.23104628789847936</v>
      </c>
      <c r="H397" s="249">
        <f>H396+(G396*E397*'life-tables-test'!$C$66)</f>
        <v>99.768953712101521</v>
      </c>
      <c r="I397" s="516">
        <f t="shared" si="36"/>
        <v>100</v>
      </c>
      <c r="J397" s="153">
        <f>(G397*0)/(1+cDR)^'Markov Model_SA1'!cycle</f>
        <v>0</v>
      </c>
      <c r="K397" s="178">
        <f t="shared" si="33"/>
        <v>0.23104628789847936</v>
      </c>
      <c r="L397" s="202">
        <f>(G397*(uPostT))/(1+oDR)^'Markov Model_SA1'!cycle</f>
        <v>6.6812393074759932E-2</v>
      </c>
      <c r="M397" s="80"/>
      <c r="N397" s="3"/>
      <c r="O397" s="80"/>
      <c r="P397" s="173">
        <v>387</v>
      </c>
      <c r="Q397" s="165"/>
      <c r="R397" s="174">
        <v>1.0042812600308371E-2</v>
      </c>
      <c r="S397" s="502"/>
      <c r="T397" s="219">
        <f t="shared" si="37"/>
        <v>0.21767291901767294</v>
      </c>
      <c r="U397" s="249">
        <f>U396+(T396*R397*'life-tables-test'!$C$66)</f>
        <v>99.782327080982327</v>
      </c>
      <c r="V397" s="516">
        <f t="shared" si="34"/>
        <v>100</v>
      </c>
      <c r="W397" s="153">
        <f>(T397*0)/(1+cDR)^'Markov Model_SA1'!cycle2</f>
        <v>0</v>
      </c>
      <c r="X397" s="178">
        <f t="shared" si="35"/>
        <v>0.21767291901767294</v>
      </c>
      <c r="Y397" s="202">
        <f>(T397*(uPostT))/(1+oDR)^'Markov Model_SA1'!cycle</f>
        <v>6.2945173278565664E-2</v>
      </c>
      <c r="Z397" s="80"/>
      <c r="AA397" s="3"/>
      <c r="AB397" s="3"/>
      <c r="AC397" s="14">
        <v>385</v>
      </c>
      <c r="AD397" s="14"/>
      <c r="AE397" s="14"/>
      <c r="AF397" s="3"/>
      <c r="AG397" s="3"/>
      <c r="AH397" s="3"/>
      <c r="AI397" s="14"/>
      <c r="AJ397" s="14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</row>
    <row r="398" spans="1:47" ht="14.25" customHeight="1" x14ac:dyDescent="0.2">
      <c r="A398" s="3"/>
      <c r="B398" s="417"/>
      <c r="C398" s="173">
        <v>388</v>
      </c>
      <c r="D398" s="165"/>
      <c r="E398" s="174">
        <v>1.0042812600308371E-2</v>
      </c>
      <c r="F398" s="502"/>
      <c r="G398" s="219">
        <f t="shared" si="38"/>
        <v>0.21944451504167262</v>
      </c>
      <c r="H398" s="249">
        <f>H397+(G397*E398*'life-tables-test'!$C$66)</f>
        <v>99.780555484958327</v>
      </c>
      <c r="I398" s="516">
        <f t="shared" si="36"/>
        <v>100</v>
      </c>
      <c r="J398" s="153">
        <f>(G398*0)/(1+cDR)^'Markov Model_SA1'!cycle</f>
        <v>0</v>
      </c>
      <c r="K398" s="178">
        <f t="shared" si="33"/>
        <v>0.21944451504167262</v>
      </c>
      <c r="L398" s="202">
        <f>(G398*(uPostT))/(1+oDR)^'Markov Model_SA1'!cycle</f>
        <v>6.3299223301366711E-2</v>
      </c>
      <c r="M398" s="80"/>
      <c r="N398" s="3"/>
      <c r="O398" s="80"/>
      <c r="P398" s="173">
        <v>388</v>
      </c>
      <c r="Q398" s="165"/>
      <c r="R398" s="174">
        <v>1.0042812600308371E-2</v>
      </c>
      <c r="S398" s="502"/>
      <c r="T398" s="219">
        <f t="shared" si="37"/>
        <v>0.20674267734838736</v>
      </c>
      <c r="U398" s="249">
        <f>U397+(T397*R398*'life-tables-test'!$C$66)</f>
        <v>99.793257322651613</v>
      </c>
      <c r="V398" s="516">
        <f t="shared" si="34"/>
        <v>100</v>
      </c>
      <c r="W398" s="153">
        <f>(T398*0)/(1+cDR)^'Markov Model_SA1'!cycle2</f>
        <v>0</v>
      </c>
      <c r="X398" s="178">
        <f t="shared" si="35"/>
        <v>0.20674267734838736</v>
      </c>
      <c r="Y398" s="202">
        <f>(T398*(uPostT))/(1+oDR)^'Markov Model_SA1'!cycle</f>
        <v>5.9635352001907276E-2</v>
      </c>
      <c r="Z398" s="80"/>
      <c r="AA398" s="3"/>
      <c r="AB398" s="3"/>
      <c r="AC398" s="14">
        <v>386</v>
      </c>
      <c r="AD398" s="14"/>
      <c r="AE398" s="14"/>
      <c r="AF398" s="3"/>
      <c r="AG398" s="3"/>
      <c r="AH398" s="3"/>
      <c r="AI398" s="14"/>
      <c r="AJ398" s="14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</row>
    <row r="399" spans="1:47" ht="14.25" customHeight="1" x14ac:dyDescent="0.2">
      <c r="A399" s="3"/>
      <c r="B399" s="417"/>
      <c r="C399" s="173">
        <v>389</v>
      </c>
      <c r="D399" s="165"/>
      <c r="E399" s="174">
        <v>1.0042812600308371E-2</v>
      </c>
      <c r="F399" s="502"/>
      <c r="G399" s="219">
        <f t="shared" si="38"/>
        <v>0.20842531433802947</v>
      </c>
      <c r="H399" s="249">
        <f>H398+(G398*E399*'life-tables-test'!$C$66)</f>
        <v>99.791574685661971</v>
      </c>
      <c r="I399" s="516">
        <f t="shared" si="36"/>
        <v>100</v>
      </c>
      <c r="J399" s="153">
        <f>(G399*0)/(1+cDR)^'Markov Model_SA1'!cycle</f>
        <v>0</v>
      </c>
      <c r="K399" s="178">
        <f t="shared" si="33"/>
        <v>0.20842531433802947</v>
      </c>
      <c r="L399" s="202">
        <f>(G399*(uPostT))/(1+oDR)^'Markov Model_SA1'!cycle</f>
        <v>5.9970785151684643E-2</v>
      </c>
      <c r="M399" s="80"/>
      <c r="N399" s="3"/>
      <c r="O399" s="80"/>
      <c r="P399" s="173">
        <v>389</v>
      </c>
      <c r="Q399" s="165"/>
      <c r="R399" s="174">
        <v>1.0042812600308371E-2</v>
      </c>
      <c r="S399" s="502"/>
      <c r="T399" s="219">
        <f t="shared" si="37"/>
        <v>0.1963612875229046</v>
      </c>
      <c r="U399" s="249">
        <f>U398+(T398*R399*'life-tables-test'!$C$66)</f>
        <v>99.803638712477095</v>
      </c>
      <c r="V399" s="516">
        <f t="shared" si="34"/>
        <v>100</v>
      </c>
      <c r="W399" s="153">
        <f>(T399*0)/(1+cDR)^'Markov Model_SA1'!cycle2</f>
        <v>0</v>
      </c>
      <c r="X399" s="178">
        <f t="shared" si="35"/>
        <v>0.1963612875229046</v>
      </c>
      <c r="Y399" s="202">
        <f>(T399*(uPostT))/(1+oDR)^'Markov Model_SA1'!cycle</f>
        <v>5.649956975497597E-2</v>
      </c>
      <c r="Z399" s="80"/>
      <c r="AA399" s="3"/>
      <c r="AB399" s="3"/>
      <c r="AC399" s="14">
        <v>387</v>
      </c>
      <c r="AD399" s="3"/>
      <c r="AE399" s="3"/>
      <c r="AF399" s="3"/>
      <c r="AG399" s="3"/>
      <c r="AH399" s="3"/>
      <c r="AI399" s="14"/>
      <c r="AJ399" s="14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</row>
    <row r="400" spans="1:47" ht="14.25" customHeight="1" x14ac:dyDescent="0.2">
      <c r="A400" s="3"/>
      <c r="B400" s="417"/>
      <c r="C400" s="173">
        <v>390</v>
      </c>
      <c r="D400" s="165"/>
      <c r="E400" s="174">
        <v>1.0042812600308371E-2</v>
      </c>
      <c r="F400" s="502"/>
      <c r="G400" s="219">
        <f t="shared" si="38"/>
        <v>0.19795943247274295</v>
      </c>
      <c r="H400" s="249">
        <f>H399+(G399*E400*'life-tables-test'!$C$66)</f>
        <v>99.802040567527257</v>
      </c>
      <c r="I400" s="516">
        <f t="shared" si="36"/>
        <v>100</v>
      </c>
      <c r="J400" s="153">
        <f>(G400*0)/(1+cDR)^'Markov Model_SA1'!cycle</f>
        <v>0</v>
      </c>
      <c r="K400" s="178">
        <f t="shared" si="33"/>
        <v>0.19795943247274295</v>
      </c>
      <c r="L400" s="202">
        <f>(G400*(uPostT))/(1+oDR)^'Markov Model_SA1'!cycle</f>
        <v>5.6817364955437287E-2</v>
      </c>
      <c r="M400" s="80"/>
      <c r="N400" s="3"/>
      <c r="O400" s="80"/>
      <c r="P400" s="173">
        <v>390</v>
      </c>
      <c r="Q400" s="165"/>
      <c r="R400" s="174">
        <v>1.0042812600308371E-2</v>
      </c>
      <c r="S400" s="502"/>
      <c r="T400" s="219">
        <f t="shared" si="37"/>
        <v>0.18650118946015937</v>
      </c>
      <c r="U400" s="249">
        <f>U399+(T399*R400*'life-tables-test'!$C$66)</f>
        <v>99.813498810539841</v>
      </c>
      <c r="V400" s="516">
        <f t="shared" si="34"/>
        <v>100</v>
      </c>
      <c r="W400" s="153">
        <f>(T400*0)/(1+cDR)^'Markov Model_SA1'!cycle2</f>
        <v>0</v>
      </c>
      <c r="X400" s="178">
        <f t="shared" si="35"/>
        <v>0.18650118946015937</v>
      </c>
      <c r="Y400" s="202">
        <f>(T400*(uPostT))/(1+oDR)^'Markov Model_SA1'!cycle</f>
        <v>5.3528675111957906E-2</v>
      </c>
      <c r="Z400" s="80"/>
      <c r="AA400" s="3"/>
      <c r="AB400" s="3"/>
      <c r="AC400" s="14">
        <v>388</v>
      </c>
      <c r="AD400" s="3"/>
      <c r="AE400" s="3"/>
      <c r="AF400" s="3"/>
      <c r="AG400" s="3"/>
      <c r="AH400" s="3"/>
      <c r="AI400" s="14"/>
      <c r="AJ400" s="14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</row>
    <row r="401" spans="1:47" ht="14.25" customHeight="1" x14ac:dyDescent="0.2">
      <c r="A401" s="3"/>
      <c r="B401" s="417"/>
      <c r="C401" s="173">
        <v>391</v>
      </c>
      <c r="D401" s="165"/>
      <c r="E401" s="174">
        <v>1.0042812600308371E-2</v>
      </c>
      <c r="F401" s="502"/>
      <c r="G401" s="219">
        <f t="shared" si="38"/>
        <v>0.18801908505881215</v>
      </c>
      <c r="H401" s="249">
        <f>H400+(G400*E401*'life-tables-test'!$C$66)</f>
        <v>99.811980914941188</v>
      </c>
      <c r="I401" s="516">
        <f t="shared" si="36"/>
        <v>100</v>
      </c>
      <c r="J401" s="153">
        <f>(G401*0)/(1+cDR)^'Markov Model_SA1'!cycle</f>
        <v>0</v>
      </c>
      <c r="K401" s="178">
        <f t="shared" si="33"/>
        <v>0.18801908505881215</v>
      </c>
      <c r="L401" s="202">
        <f>(G401*(uPostT))/(1+oDR)^'Markov Model_SA1'!cycle</f>
        <v>5.3829759812453665E-2</v>
      </c>
      <c r="M401" s="80"/>
      <c r="N401" s="3"/>
      <c r="O401" s="80"/>
      <c r="P401" s="173">
        <v>391</v>
      </c>
      <c r="Q401" s="165"/>
      <c r="R401" s="174">
        <v>1.0042812600308371E-2</v>
      </c>
      <c r="S401" s="502"/>
      <c r="T401" s="219">
        <f t="shared" si="37"/>
        <v>0.17713620698273758</v>
      </c>
      <c r="U401" s="249">
        <f>U400+(T400*R401*'life-tables-test'!$C$66)</f>
        <v>99.822863793017262</v>
      </c>
      <c r="V401" s="516">
        <f t="shared" si="34"/>
        <v>100</v>
      </c>
      <c r="W401" s="153">
        <f>(T401*0)/(1+cDR)^'Markov Model_SA1'!cycle2</f>
        <v>0</v>
      </c>
      <c r="X401" s="178">
        <f t="shared" si="35"/>
        <v>0.17713620698273758</v>
      </c>
      <c r="Y401" s="202">
        <f>(T401*(uPostT))/(1+oDR)^'Markov Model_SA1'!cycle</f>
        <v>5.071399785286286E-2</v>
      </c>
      <c r="Z401" s="80"/>
      <c r="AA401" s="3"/>
      <c r="AB401" s="3"/>
      <c r="AC401" s="3"/>
      <c r="AD401" s="3"/>
      <c r="AE401" s="3"/>
      <c r="AF401" s="3"/>
      <c r="AG401" s="3"/>
      <c r="AH401" s="3"/>
      <c r="AI401" s="14"/>
      <c r="AJ401" s="14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</row>
    <row r="402" spans="1:47" ht="14.25" customHeight="1" x14ac:dyDescent="0.2">
      <c r="A402" s="3"/>
      <c r="B402" s="417"/>
      <c r="C402" s="173">
        <v>392</v>
      </c>
      <c r="D402" s="165"/>
      <c r="E402" s="174">
        <v>1.0042812600308371E-2</v>
      </c>
      <c r="F402" s="502"/>
      <c r="G402" s="219">
        <f t="shared" si="38"/>
        <v>0.17857788287618348</v>
      </c>
      <c r="H402" s="249">
        <f>H401+(G401*E402*'life-tables-test'!$C$66)</f>
        <v>99.821422117123817</v>
      </c>
      <c r="I402" s="516">
        <f t="shared" si="36"/>
        <v>100</v>
      </c>
      <c r="J402" s="153">
        <f>(G402*0)/(1+cDR)^'Markov Model_SA1'!cycle</f>
        <v>0</v>
      </c>
      <c r="K402" s="178">
        <f t="shared" si="33"/>
        <v>0.17857788287618348</v>
      </c>
      <c r="L402" s="202">
        <f>(G402*(uPostT))/(1+oDR)^'Markov Model_SA1'!cycle</f>
        <v>5.0999250735037575E-2</v>
      </c>
      <c r="M402" s="80"/>
      <c r="N402" s="3"/>
      <c r="O402" s="80"/>
      <c r="P402" s="173">
        <v>392</v>
      </c>
      <c r="Q402" s="165"/>
      <c r="R402" s="174">
        <v>1.0042812600308371E-2</v>
      </c>
      <c r="S402" s="502"/>
      <c r="T402" s="219">
        <f t="shared" si="37"/>
        <v>0.16824147832545577</v>
      </c>
      <c r="U402" s="249">
        <f>U401+(T401*R402*'life-tables-test'!$C$66)</f>
        <v>99.831758521674544</v>
      </c>
      <c r="V402" s="516">
        <f t="shared" si="34"/>
        <v>100</v>
      </c>
      <c r="W402" s="153">
        <f>(T402*0)/(1+cDR)^'Markov Model_SA1'!cycle2</f>
        <v>0</v>
      </c>
      <c r="X402" s="178">
        <f t="shared" si="35"/>
        <v>0.16824147832545577</v>
      </c>
      <c r="Y402" s="202">
        <f>(T402*(uPostT))/(1+oDR)^'Markov Model_SA1'!cycle</f>
        <v>4.8047323660468988E-2</v>
      </c>
      <c r="Z402" s="80"/>
      <c r="AA402" s="3"/>
      <c r="AB402" s="3"/>
      <c r="AC402" s="3"/>
      <c r="AD402" s="3"/>
      <c r="AE402" s="3"/>
      <c r="AF402" s="3"/>
      <c r="AG402" s="3"/>
      <c r="AH402" s="3"/>
      <c r="AI402" s="14"/>
      <c r="AJ402" s="14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</row>
    <row r="403" spans="1:47" ht="14.25" customHeight="1" x14ac:dyDescent="0.2">
      <c r="A403" s="3"/>
      <c r="B403" s="417"/>
      <c r="C403" s="173">
        <v>393</v>
      </c>
      <c r="D403" s="165"/>
      <c r="E403" s="174">
        <v>1.0042812600308371E-2</v>
      </c>
      <c r="F403" s="502"/>
      <c r="G403" s="219">
        <f t="shared" si="38"/>
        <v>0.16961076181475221</v>
      </c>
      <c r="H403" s="249">
        <f>H402+(G402*E403*'life-tables-test'!$C$66)</f>
        <v>99.830389238185248</v>
      </c>
      <c r="I403" s="516">
        <f t="shared" si="36"/>
        <v>100</v>
      </c>
      <c r="J403" s="153">
        <f>(G403*0)/(1+cDR)^'Markov Model_SA1'!cycle</f>
        <v>0</v>
      </c>
      <c r="K403" s="178">
        <f t="shared" si="33"/>
        <v>0.16961076181475221</v>
      </c>
      <c r="L403" s="202">
        <f>(G403*(uPostT))/(1+oDR)^'Markov Model_SA1'!cycle</f>
        <v>4.8317577202589189E-2</v>
      </c>
      <c r="M403" s="80"/>
      <c r="N403" s="3"/>
      <c r="O403" s="80"/>
      <c r="P403" s="173">
        <v>393</v>
      </c>
      <c r="Q403" s="165"/>
      <c r="R403" s="174">
        <v>1.0042812600308371E-2</v>
      </c>
      <c r="S403" s="502"/>
      <c r="T403" s="219">
        <f t="shared" si="37"/>
        <v>0.15979339013334481</v>
      </c>
      <c r="U403" s="249">
        <f>U402+(T402*R403*'life-tables-test'!$C$66)</f>
        <v>99.840206609866655</v>
      </c>
      <c r="V403" s="516">
        <f t="shared" si="34"/>
        <v>100</v>
      </c>
      <c r="W403" s="153">
        <f>(T403*0)/(1+cDR)^'Markov Model_SA1'!cycle2</f>
        <v>0</v>
      </c>
      <c r="X403" s="178">
        <f t="shared" si="35"/>
        <v>0.15979339013334481</v>
      </c>
      <c r="Y403" s="202">
        <f>(T403*(uPostT))/(1+oDR)^'Markov Model_SA1'!cycle</f>
        <v>4.5520870147756194E-2</v>
      </c>
      <c r="Z403" s="80"/>
      <c r="AA403" s="3"/>
      <c r="AB403" s="3"/>
      <c r="AC403" s="3"/>
      <c r="AD403" s="3"/>
      <c r="AE403" s="3"/>
      <c r="AF403" s="3"/>
      <c r="AG403" s="3"/>
      <c r="AH403" s="3"/>
      <c r="AI403" s="14"/>
      <c r="AJ403" s="14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</row>
    <row r="404" spans="1:47" ht="14.25" customHeight="1" x14ac:dyDescent="0.2">
      <c r="A404" s="3"/>
      <c r="B404" s="417"/>
      <c r="C404" s="173">
        <v>394</v>
      </c>
      <c r="D404" s="165"/>
      <c r="E404" s="174">
        <v>1.0042812600308371E-2</v>
      </c>
      <c r="F404" s="502"/>
      <c r="G404" s="219">
        <f t="shared" si="38"/>
        <v>0.16109391633524694</v>
      </c>
      <c r="H404" s="249">
        <f>H403+(G403*E404*'life-tables-test'!$C$66)</f>
        <v>99.838906083664753</v>
      </c>
      <c r="I404" s="516">
        <f t="shared" si="36"/>
        <v>100</v>
      </c>
      <c r="J404" s="153">
        <f>(G404*0)/(1+cDR)^'Markov Model_SA1'!cycle</f>
        <v>0</v>
      </c>
      <c r="K404" s="178">
        <f t="shared" si="33"/>
        <v>0.16109391633524694</v>
      </c>
      <c r="L404" s="202">
        <f>(G404*(uPostT))/(1+oDR)^'Markov Model_SA1'!cycle</f>
        <v>4.5776913054221026E-2</v>
      </c>
      <c r="M404" s="80"/>
      <c r="N404" s="3"/>
      <c r="O404" s="80"/>
      <c r="P404" s="173">
        <v>394</v>
      </c>
      <c r="Q404" s="165"/>
      <c r="R404" s="174">
        <v>1.0042812600308371E-2</v>
      </c>
      <c r="S404" s="502"/>
      <c r="T404" s="219">
        <f t="shared" si="37"/>
        <v>0.15176951477396017</v>
      </c>
      <c r="U404" s="249">
        <f>U403+(T403*R404*'life-tables-test'!$C$66)</f>
        <v>99.84823048522604</v>
      </c>
      <c r="V404" s="516">
        <f t="shared" si="34"/>
        <v>100</v>
      </c>
      <c r="W404" s="153">
        <f>(T404*0)/(1+cDR)^'Markov Model_SA1'!cycle2</f>
        <v>0</v>
      </c>
      <c r="X404" s="178">
        <f t="shared" si="35"/>
        <v>0.15176951477396017</v>
      </c>
      <c r="Y404" s="202">
        <f>(T404*(uPostT))/(1+oDR)^'Markov Model_SA1'!cycle</f>
        <v>4.3127264145907306E-2</v>
      </c>
      <c r="Z404" s="80"/>
      <c r="AA404" s="3"/>
      <c r="AB404" s="3"/>
      <c r="AC404" s="3"/>
      <c r="AD404" s="3"/>
      <c r="AE404" s="3"/>
      <c r="AF404" s="3"/>
      <c r="AG404" s="3"/>
      <c r="AH404" s="3"/>
      <c r="AI404" s="14"/>
      <c r="AJ404" s="14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</row>
    <row r="405" spans="1:47" ht="14.25" customHeight="1" x14ac:dyDescent="0.2">
      <c r="A405" s="3"/>
      <c r="B405" s="417"/>
      <c r="C405" s="173">
        <v>395</v>
      </c>
      <c r="D405" s="165"/>
      <c r="E405" s="174">
        <v>1.0042812600308371E-2</v>
      </c>
      <c r="F405" s="502"/>
      <c r="G405" s="219">
        <f t="shared" si="38"/>
        <v>0.15300473627122813</v>
      </c>
      <c r="H405" s="249">
        <f>H404+(G404*E405*'life-tables-test'!$C$66)</f>
        <v>99.846995263728772</v>
      </c>
      <c r="I405" s="516">
        <f t="shared" si="36"/>
        <v>100</v>
      </c>
      <c r="J405" s="153">
        <f>(G405*0)/(1+cDR)^'Markov Model_SA1'!cycle</f>
        <v>0</v>
      </c>
      <c r="K405" s="178">
        <f t="shared" si="33"/>
        <v>0.15300473627122813</v>
      </c>
      <c r="L405" s="202">
        <f>(G405*(uPostT))/(1+oDR)^'Markov Model_SA1'!cycle</f>
        <v>4.336984364897907E-2</v>
      </c>
      <c r="M405" s="80"/>
      <c r="N405" s="3"/>
      <c r="O405" s="80"/>
      <c r="P405" s="173">
        <v>395</v>
      </c>
      <c r="Q405" s="165"/>
      <c r="R405" s="174">
        <v>1.0042812600308371E-2</v>
      </c>
      <c r="S405" s="502"/>
      <c r="T405" s="219">
        <f t="shared" si="37"/>
        <v>0.14414855079738231</v>
      </c>
      <c r="U405" s="249">
        <f>U404+(T404*R405*'life-tables-test'!$C$66)</f>
        <v>99.855851449202618</v>
      </c>
      <c r="V405" s="516">
        <f t="shared" si="34"/>
        <v>100</v>
      </c>
      <c r="W405" s="153">
        <f>(T405*0)/(1+cDR)^'Markov Model_SA1'!cycle2</f>
        <v>0</v>
      </c>
      <c r="X405" s="178">
        <f t="shared" si="35"/>
        <v>0.14414855079738231</v>
      </c>
      <c r="Y405" s="202">
        <f>(T405*(uPostT))/(1+oDR)^'Markov Model_SA1'!cycle</f>
        <v>4.0859520186532904E-2</v>
      </c>
      <c r="Z405" s="80"/>
      <c r="AA405" s="3"/>
      <c r="AB405" s="3"/>
      <c r="AC405" s="3"/>
      <c r="AD405" s="3"/>
      <c r="AE405" s="3"/>
      <c r="AF405" s="3"/>
      <c r="AG405" s="3"/>
      <c r="AH405" s="3"/>
      <c r="AI405" s="14"/>
      <c r="AJ405" s="14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</row>
    <row r="406" spans="1:47" ht="14.25" customHeight="1" x14ac:dyDescent="0.2">
      <c r="A406" s="3"/>
      <c r="B406" s="417"/>
      <c r="C406" s="173">
        <v>396</v>
      </c>
      <c r="D406" s="165"/>
      <c r="E406" s="174">
        <v>1.0042812600308371E-2</v>
      </c>
      <c r="F406" s="502"/>
      <c r="G406" s="219">
        <f t="shared" si="38"/>
        <v>0.14532174680456933</v>
      </c>
      <c r="H406" s="249">
        <f>H405+(G405*E406*'life-tables-test'!$C$66)</f>
        <v>99.854678253195431</v>
      </c>
      <c r="I406" s="516">
        <f t="shared" si="36"/>
        <v>100</v>
      </c>
      <c r="J406" s="153">
        <f>(G406*0)/(1+cDR)^'Markov Model_SA1'!cycle</f>
        <v>0</v>
      </c>
      <c r="K406" s="178">
        <f t="shared" si="33"/>
        <v>0.14532174680456933</v>
      </c>
      <c r="L406" s="202">
        <f>(G406*(uPostT))/(1+oDR)^'Markov Model_SA1'!cycle</f>
        <v>4.1089344227054278E-2</v>
      </c>
      <c r="M406" s="80"/>
      <c r="N406" s="3"/>
      <c r="O406" s="80"/>
      <c r="P406" s="173">
        <v>396</v>
      </c>
      <c r="Q406" s="165"/>
      <c r="R406" s="174">
        <v>1.0042812600308371E-2</v>
      </c>
      <c r="S406" s="502"/>
      <c r="T406" s="219">
        <f t="shared" si="37"/>
        <v>0.13691026638606729</v>
      </c>
      <c r="U406" s="249">
        <f>U405+(T405*R406*'life-tables-test'!$C$66)</f>
        <v>99.863089733613933</v>
      </c>
      <c r="V406" s="516">
        <f t="shared" si="34"/>
        <v>100</v>
      </c>
      <c r="W406" s="153">
        <f>(T406*0)/(1+cDR)^'Markov Model_SA1'!cycle2</f>
        <v>0</v>
      </c>
      <c r="X406" s="178">
        <f t="shared" si="35"/>
        <v>0.13691026638606729</v>
      </c>
      <c r="Y406" s="202">
        <f>(T406*(uPostT))/(1+oDR)^'Markov Model_SA1'!cycle</f>
        <v>3.8711020115386706E-2</v>
      </c>
      <c r="Z406" s="80"/>
      <c r="AA406" s="3"/>
      <c r="AB406" s="3"/>
      <c r="AC406" s="3"/>
      <c r="AD406" s="3"/>
      <c r="AE406" s="3"/>
      <c r="AF406" s="3"/>
      <c r="AG406" s="3"/>
      <c r="AH406" s="3"/>
      <c r="AI406" s="14"/>
      <c r="AJ406" s="14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</row>
    <row r="407" spans="1:47" ht="14.25" customHeight="1" x14ac:dyDescent="0.2">
      <c r="A407" s="3"/>
      <c r="B407" s="417"/>
      <c r="C407" s="173">
        <v>397</v>
      </c>
      <c r="D407" s="504"/>
      <c r="E407" s="174">
        <v>1.0042812600308371E-2</v>
      </c>
      <c r="F407" s="505"/>
      <c r="G407" s="219">
        <f t="shared" si="38"/>
        <v>0.13802455145503245</v>
      </c>
      <c r="H407" s="249">
        <f>H406+(G406*E407*'life-tables-test'!$C$66)</f>
        <v>99.861975448544968</v>
      </c>
      <c r="I407" s="516">
        <f t="shared" si="36"/>
        <v>100</v>
      </c>
      <c r="J407" s="180">
        <f>(G407*0)/(1+cDR)^'Markov Model_SA1'!cycle</f>
        <v>0</v>
      </c>
      <c r="K407" s="176">
        <f t="shared" si="33"/>
        <v>0.13802455145503245</v>
      </c>
      <c r="L407" s="202">
        <f>(G407*(uPostT))/(1+oDR)^'Markov Model_SA1'!cycle</f>
        <v>3.8928759408823399E-2</v>
      </c>
      <c r="M407" s="80"/>
      <c r="N407" s="3"/>
      <c r="O407" s="80"/>
      <c r="P407" s="173">
        <v>397</v>
      </c>
      <c r="Q407" s="504"/>
      <c r="R407" s="174">
        <v>1.0042812600308371E-2</v>
      </c>
      <c r="S407" s="505"/>
      <c r="T407" s="219">
        <f t="shared" si="37"/>
        <v>0.13003544564419656</v>
      </c>
      <c r="U407" s="249">
        <f>U406+(T406*R407*'life-tables-test'!$C$66)</f>
        <v>99.869964554355803</v>
      </c>
      <c r="V407" s="516">
        <f t="shared" si="34"/>
        <v>100</v>
      </c>
      <c r="W407" s="180">
        <f>(T407*0)/(1+cDR)^'Markov Model_SA1'!cycle2</f>
        <v>0</v>
      </c>
      <c r="X407" s="176">
        <f t="shared" si="35"/>
        <v>0.13003544564419656</v>
      </c>
      <c r="Y407" s="202">
        <f>(T407*(uPostT))/(1+oDR)^'Markov Model_SA1'!cycle</f>
        <v>3.667549377801288E-2</v>
      </c>
      <c r="Z407" s="80"/>
      <c r="AA407" s="3"/>
      <c r="AB407" s="3"/>
      <c r="AC407" s="3"/>
      <c r="AD407" s="3"/>
      <c r="AE407" s="3"/>
      <c r="AF407" s="3"/>
      <c r="AG407" s="3"/>
      <c r="AH407" s="3"/>
      <c r="AI407" s="14"/>
      <c r="AJ407" s="14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</row>
    <row r="408" spans="1:47" ht="14.25" customHeight="1" x14ac:dyDescent="0.25">
      <c r="A408" s="3">
        <v>35</v>
      </c>
      <c r="B408" s="417"/>
      <c r="C408" s="506">
        <v>398</v>
      </c>
      <c r="D408" s="506"/>
      <c r="E408" s="507">
        <v>1.0042812600308371E-2</v>
      </c>
      <c r="F408" s="508"/>
      <c r="G408" s="509">
        <f t="shared" si="38"/>
        <v>0.13109377793250587</v>
      </c>
      <c r="H408" s="510">
        <f>H407+(G407*E408*'life-tables-test'!$C$66)</f>
        <v>99.868906222067494</v>
      </c>
      <c r="I408" s="518">
        <f t="shared" si="36"/>
        <v>100</v>
      </c>
      <c r="J408" s="511">
        <f>(G408*0)/(1+cDR)^'Markov Model_SA1'!cycle</f>
        <v>0</v>
      </c>
      <c r="K408" s="512">
        <f t="shared" si="33"/>
        <v>0.13109377793250587</v>
      </c>
      <c r="L408" s="513">
        <f>(G408*(uPostT))/(1+oDR)^'Markov Model_SA1'!cycle</f>
        <v>3.6881783771866093E-2</v>
      </c>
      <c r="M408" s="80"/>
      <c r="N408" s="3"/>
      <c r="O408" s="80"/>
      <c r="P408" s="506">
        <v>398</v>
      </c>
      <c r="Q408" s="506"/>
      <c r="R408" s="507">
        <v>1.0042812600308371E-2</v>
      </c>
      <c r="S408" s="508"/>
      <c r="T408" s="509">
        <f t="shared" si="37"/>
        <v>0.1235058375841902</v>
      </c>
      <c r="U408" s="510">
        <f>U407+(T407*R408*'life-tables-test'!$C$66)</f>
        <v>99.87649416241581</v>
      </c>
      <c r="V408" s="518">
        <f t="shared" si="34"/>
        <v>100</v>
      </c>
      <c r="W408" s="511">
        <f>(T408*0)/(1+cDR)^'Markov Model_SA1'!cycle2</f>
        <v>0</v>
      </c>
      <c r="X408" s="512">
        <f t="shared" si="35"/>
        <v>0.1235058375841902</v>
      </c>
      <c r="Y408" s="513">
        <f>(T408*(uPostT))/(1+oDR)^'Markov Model_SA1'!cycle</f>
        <v>3.4747000721029903E-2</v>
      </c>
      <c r="Z408" s="80"/>
      <c r="AA408" s="3"/>
      <c r="AB408" s="3"/>
      <c r="AC408" s="3"/>
      <c r="AD408" s="3"/>
      <c r="AE408" s="3"/>
      <c r="AF408" s="3"/>
      <c r="AG408" s="3"/>
      <c r="AH408" s="3"/>
      <c r="AI408" s="14"/>
      <c r="AJ408" s="14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</row>
    <row r="409" spans="1:47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416" t="s">
        <v>244</v>
      </c>
      <c r="K409" s="416" t="s">
        <v>354</v>
      </c>
      <c r="L409" s="416" t="s">
        <v>355</v>
      </c>
      <c r="M409" s="3"/>
      <c r="N409" s="3"/>
      <c r="O409" s="252"/>
      <c r="P409" s="252"/>
      <c r="Q409" s="252"/>
      <c r="R409" s="252"/>
      <c r="S409" s="252"/>
      <c r="T409" s="252"/>
      <c r="U409" s="252"/>
      <c r="V409" s="252"/>
      <c r="W409" s="416" t="s">
        <v>244</v>
      </c>
      <c r="X409" s="416" t="s">
        <v>354</v>
      </c>
      <c r="Y409" s="416" t="s">
        <v>355</v>
      </c>
      <c r="Z409" s="3"/>
      <c r="AA409" s="3"/>
      <c r="AB409" s="3"/>
      <c r="AC409" s="3"/>
      <c r="AD409" s="3"/>
      <c r="AE409" s="3"/>
      <c r="AF409" s="3"/>
      <c r="AG409" s="3"/>
      <c r="AH409" s="3"/>
      <c r="AI409" s="14"/>
      <c r="AJ409" s="14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</row>
    <row r="410" spans="1:47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411">
        <f>SUM(J11:J408)/cohortsize</f>
        <v>83857.116128155467</v>
      </c>
      <c r="K410" s="410">
        <f>(SUM(K12:K408)/12/cohortsize)+(K11/cohortsize)</f>
        <v>7.6363108578653511</v>
      </c>
      <c r="L410" s="410">
        <f>(SUM(L12:L408)/12/cohortsize)+(L11/cohortsize)</f>
        <v>4.5501088868917821</v>
      </c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411">
        <f>SUM(W11:W408)/cohortsize</f>
        <v>70660.948978284257</v>
      </c>
      <c r="X410" s="410">
        <f>(SUM(X12:X408)/12/cohortsize)+(X11/cohortsize)</f>
        <v>7.194307643185951</v>
      </c>
      <c r="Y410" s="410">
        <f>(SUM(Y12:Y408)/12/cohortsize)+(Y11/cohortsize)</f>
        <v>4.26280516593678</v>
      </c>
      <c r="Z410" s="3"/>
      <c r="AA410" s="3"/>
      <c r="AB410" s="3"/>
      <c r="AC410" s="3"/>
      <c r="AD410" s="3"/>
      <c r="AE410" s="3"/>
      <c r="AF410" s="3"/>
      <c r="AG410" s="3"/>
      <c r="AH410" s="3"/>
      <c r="AI410" s="14"/>
      <c r="AJ410" s="14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</row>
    <row r="411" spans="1:47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411" t="s">
        <v>351</v>
      </c>
      <c r="K411" s="410" t="s">
        <v>353</v>
      </c>
      <c r="L411" s="410" t="s">
        <v>352</v>
      </c>
      <c r="M411" s="252"/>
      <c r="N411" s="252"/>
      <c r="O411" s="252"/>
      <c r="P411" s="252"/>
      <c r="Q411" s="252"/>
      <c r="R411" s="252"/>
      <c r="S411" s="252"/>
      <c r="T411" s="252"/>
      <c r="U411" s="252"/>
      <c r="V411" s="252"/>
      <c r="W411" s="411" t="s">
        <v>351</v>
      </c>
      <c r="X411" s="410" t="s">
        <v>353</v>
      </c>
      <c r="Y411" s="410" t="s">
        <v>352</v>
      </c>
      <c r="Z411" s="3"/>
      <c r="AA411" s="3"/>
      <c r="AB411" s="3"/>
      <c r="AC411" s="3"/>
      <c r="AD411" s="3"/>
      <c r="AE411" s="3"/>
      <c r="AF411" s="3"/>
      <c r="AG411" s="3"/>
      <c r="AH411" s="3"/>
      <c r="AI411" s="14"/>
      <c r="AJ411" s="14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</row>
    <row r="412" spans="1:47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412">
        <f>SUM(J11:J408)</f>
        <v>8385711.6128155468</v>
      </c>
      <c r="K412" s="410">
        <f>(SUM(K12:K408)/12)+(K11)</f>
        <v>763.6310857865351</v>
      </c>
      <c r="L412" s="410">
        <f>(SUM(L12:L408)/12)+(L11)</f>
        <v>455.01088868917816</v>
      </c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412">
        <f>SUM(W11:W408)</f>
        <v>7066094.8978284262</v>
      </c>
      <c r="X412" s="410">
        <f>(SUM(X12:X408)/12)+(X11)</f>
        <v>719.43076431859515</v>
      </c>
      <c r="Y412" s="410">
        <f>(SUM(Y12:Y408)/12)+(Y11)</f>
        <v>426.28051659367799</v>
      </c>
      <c r="Z412" s="3"/>
      <c r="AA412" s="3"/>
      <c r="AB412" s="3"/>
      <c r="AC412" s="3"/>
      <c r="AD412" s="3"/>
      <c r="AE412" s="3"/>
      <c r="AF412" s="3"/>
      <c r="AG412" s="3"/>
      <c r="AH412" s="3"/>
      <c r="AI412" s="14"/>
      <c r="AJ412" s="14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</row>
    <row r="413" spans="1:47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277"/>
      <c r="K413" s="253"/>
      <c r="L413" s="253"/>
      <c r="M413" s="252"/>
      <c r="N413" s="252"/>
      <c r="O413" s="252"/>
      <c r="P413" s="252"/>
      <c r="Q413" s="252"/>
      <c r="R413" s="252"/>
      <c r="S413" s="252"/>
      <c r="T413" s="252"/>
      <c r="U413" s="252"/>
      <c r="V413" s="252"/>
      <c r="W413" s="277"/>
      <c r="X413" s="25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14"/>
      <c r="AJ413" s="14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</row>
    <row r="414" spans="1:47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 t="s">
        <v>538</v>
      </c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14"/>
      <c r="AJ414" s="14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</row>
    <row r="415" spans="1:47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413" t="s">
        <v>229</v>
      </c>
      <c r="K415" s="415">
        <f>(J410-W410)/(L410-Y410)</f>
        <v>45931.069413256977</v>
      </c>
      <c r="L415" s="4" t="s">
        <v>374</v>
      </c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14"/>
      <c r="AJ415" s="14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</row>
    <row r="416" spans="1:47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76" t="s">
        <v>255</v>
      </c>
      <c r="K416" s="414">
        <f>(J410-W410)/(K410-X410)</f>
        <v>29855.364648066719</v>
      </c>
      <c r="L416" s="272" t="s">
        <v>368</v>
      </c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14"/>
      <c r="AJ416" s="14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</row>
    <row r="417" spans="1:47" ht="8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14"/>
      <c r="AJ417" s="14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</row>
    <row r="418" spans="1:47" ht="6.7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522"/>
      <c r="K418" s="522"/>
      <c r="L418" s="522"/>
      <c r="M418" s="522"/>
      <c r="N418" s="522"/>
      <c r="O418" s="522"/>
      <c r="P418" s="522"/>
      <c r="Q418" s="522"/>
      <c r="R418" s="522"/>
      <c r="S418" s="522"/>
      <c r="T418" s="522"/>
      <c r="U418" s="522"/>
      <c r="V418" s="522"/>
      <c r="W418" s="522"/>
      <c r="X418" s="522"/>
      <c r="Y418" s="522"/>
      <c r="Z418" s="3"/>
      <c r="AA418" s="3"/>
      <c r="AB418" s="3"/>
      <c r="AC418" s="3"/>
      <c r="AD418" s="3"/>
      <c r="AE418" s="3"/>
      <c r="AF418" s="3"/>
      <c r="AG418" s="3"/>
      <c r="AH418" s="3"/>
      <c r="AI418" s="14"/>
      <c r="AJ418" s="14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</row>
    <row r="419" spans="1:47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28" t="s">
        <v>244</v>
      </c>
      <c r="K419" s="328" t="s">
        <v>354</v>
      </c>
      <c r="L419" s="328" t="s">
        <v>355</v>
      </c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28" t="s">
        <v>244</v>
      </c>
      <c r="X419" s="328" t="s">
        <v>354</v>
      </c>
      <c r="Y419" s="328" t="s">
        <v>355</v>
      </c>
      <c r="Z419" s="3"/>
      <c r="AA419" s="3"/>
      <c r="AB419" s="3"/>
      <c r="AC419" s="3"/>
      <c r="AD419" s="3"/>
      <c r="AE419" s="3"/>
      <c r="AF419" s="3"/>
      <c r="AG419" s="3"/>
      <c r="AH419" s="3"/>
      <c r="AI419" s="14"/>
      <c r="AJ419" s="14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</row>
    <row r="420" spans="1:47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411">
        <f>SUM(J11:J119)/cohortsize</f>
        <v>83857.116128155467</v>
      </c>
      <c r="K420" s="410">
        <f>(SUM(K11:K119)/12/cohortsize)+(K11/cohortsize)</f>
        <v>4.8631553865162749</v>
      </c>
      <c r="L420" s="410">
        <f>(SUM(L11:L119)/12/cohortsize)+(L11/cohortsize)</f>
        <v>3.2125907425460776</v>
      </c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411">
        <f>SUM(W11:W119)/cohortsize</f>
        <v>70660.948978284257</v>
      </c>
      <c r="X420" s="410">
        <f>(SUM(X11:X119)/12/cohortsize)+(X11/cohortsize)</f>
        <v>4.5816673284297407</v>
      </c>
      <c r="Y420" s="410">
        <f>(SUM(Y11:Y119)/12/cohortsize)+(Y11/cohortsize)</f>
        <v>3.0007103312872512</v>
      </c>
      <c r="Z420" s="3"/>
      <c r="AA420" s="3"/>
      <c r="AB420" s="3"/>
      <c r="AC420" s="3"/>
      <c r="AD420" s="3"/>
      <c r="AE420" s="3"/>
      <c r="AF420" s="3"/>
      <c r="AG420" s="3"/>
      <c r="AH420" s="3"/>
      <c r="AI420" s="14"/>
      <c r="AJ420" s="14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</row>
    <row r="421" spans="1:47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411" t="s">
        <v>351</v>
      </c>
      <c r="K421" s="410" t="s">
        <v>353</v>
      </c>
      <c r="L421" s="410" t="s">
        <v>352</v>
      </c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411" t="s">
        <v>351</v>
      </c>
      <c r="X421" s="410" t="s">
        <v>353</v>
      </c>
      <c r="Y421" s="410" t="s">
        <v>352</v>
      </c>
      <c r="Z421" s="3"/>
      <c r="AA421" s="3"/>
      <c r="AB421" s="3"/>
      <c r="AC421" s="3"/>
      <c r="AD421" s="3"/>
      <c r="AE421" s="3"/>
      <c r="AF421" s="3"/>
      <c r="AG421" s="3"/>
      <c r="AH421" s="3"/>
      <c r="AI421" s="14"/>
      <c r="AJ421" s="14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</row>
    <row r="422" spans="1:47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412">
        <f>SUM(J11:J119)</f>
        <v>8385711.6128155468</v>
      </c>
      <c r="K422" s="410">
        <f>(SUM(K11:K119)/12)+(K11)</f>
        <v>486.31553865162743</v>
      </c>
      <c r="L422" s="410">
        <f>(SUM(L11:L119)/12)+(L11)</f>
        <v>321.25907425460775</v>
      </c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412">
        <f>SUM(W11:W119)</f>
        <v>7066094.8978284262</v>
      </c>
      <c r="X422" s="410">
        <f>(SUM(X11:X119)/12)+(X11)</f>
        <v>458.16673284297411</v>
      </c>
      <c r="Y422" s="410">
        <f>(SUM(Y11:Y119)/12)+(Y11)</f>
        <v>300.07103312872511</v>
      </c>
      <c r="Z422" s="3"/>
      <c r="AA422" s="3"/>
      <c r="AB422" s="3"/>
      <c r="AC422" s="3"/>
      <c r="AD422" s="3"/>
      <c r="AE422" s="3"/>
      <c r="AF422" s="3"/>
      <c r="AG422" s="3"/>
      <c r="AH422" s="3"/>
      <c r="AI422" s="14"/>
      <c r="AJ422" s="14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</row>
    <row r="423" spans="1:47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14"/>
      <c r="AJ423" s="14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</row>
    <row r="424" spans="1:47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52"/>
      <c r="K424" s="3"/>
      <c r="L424" s="3" t="s">
        <v>539</v>
      </c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14"/>
      <c r="AJ424" s="14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</row>
    <row r="425" spans="1:47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520" t="s">
        <v>253</v>
      </c>
      <c r="K425" s="521">
        <f>(J420-W420)/(L420-Y420)</f>
        <v>62281.20415412631</v>
      </c>
      <c r="L425" s="4" t="s">
        <v>540</v>
      </c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14"/>
      <c r="AJ425" s="14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</row>
    <row r="426" spans="1:47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28" t="s">
        <v>541</v>
      </c>
      <c r="K426" s="414">
        <f>(J420-W420)/(K420-X420)</f>
        <v>46880.024820855753</v>
      </c>
      <c r="L426" s="3" t="s">
        <v>368</v>
      </c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14"/>
      <c r="AJ426" s="14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</row>
    <row r="427" spans="1:47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14"/>
      <c r="AJ427" s="14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</row>
    <row r="428" spans="1:47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14"/>
      <c r="AJ428" s="14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</row>
    <row r="429" spans="1:47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14"/>
      <c r="AJ429" s="14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</row>
    <row r="430" spans="1:47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14"/>
      <c r="AJ430" s="14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</row>
    <row r="431" spans="1:47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14"/>
      <c r="AJ431" s="14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</row>
    <row r="432" spans="1:47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14"/>
      <c r="AJ432" s="14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</row>
    <row r="433" spans="1:47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14"/>
      <c r="AJ433" s="14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</row>
    <row r="434" spans="1:47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14"/>
      <c r="AJ434" s="14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</row>
    <row r="435" spans="1:47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14"/>
      <c r="AJ435" s="14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</row>
    <row r="436" spans="1:47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14"/>
      <c r="AJ436" s="14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</row>
    <row r="437" spans="1:47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14"/>
      <c r="AJ437" s="14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</row>
    <row r="438" spans="1:47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14"/>
      <c r="AJ438" s="14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</row>
    <row r="439" spans="1:47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14"/>
      <c r="AJ439" s="14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</row>
    <row r="440" spans="1:47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14"/>
      <c r="AJ440" s="14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</row>
    <row r="441" spans="1:47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14"/>
      <c r="AJ441" s="14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</row>
    <row r="442" spans="1:47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14"/>
      <c r="AJ442" s="14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</row>
    <row r="443" spans="1:47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14"/>
      <c r="AJ443" s="14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</row>
    <row r="444" spans="1:47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14"/>
      <c r="AJ444" s="14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</row>
    <row r="445" spans="1:47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14"/>
      <c r="AJ445" s="14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</row>
    <row r="446" spans="1:47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14"/>
      <c r="AJ446" s="14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</row>
    <row r="447" spans="1:47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14"/>
      <c r="AJ447" s="14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</row>
    <row r="448" spans="1:47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14"/>
      <c r="AJ448" s="14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</row>
    <row r="449" spans="1:47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14"/>
      <c r="AJ449" s="14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</row>
    <row r="450" spans="1:47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14"/>
      <c r="AJ450" s="14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</row>
    <row r="451" spans="1:47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14"/>
      <c r="AJ451" s="14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</row>
    <row r="452" spans="1:47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14"/>
      <c r="AJ452" s="14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</row>
    <row r="453" spans="1:47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14"/>
      <c r="AJ453" s="14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</row>
    <row r="454" spans="1:47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14"/>
      <c r="AJ454" s="14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</row>
    <row r="455" spans="1:47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14"/>
      <c r="AJ455" s="14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</row>
    <row r="456" spans="1:47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14"/>
      <c r="AJ456" s="14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</row>
    <row r="457" spans="1:47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14"/>
      <c r="AJ457" s="14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</row>
    <row r="458" spans="1:47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14"/>
      <c r="AJ458" s="14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</row>
    <row r="459" spans="1:47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14"/>
      <c r="AJ459" s="14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</row>
    <row r="460" spans="1:47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14"/>
      <c r="AJ460" s="14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</row>
    <row r="461" spans="1:47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14"/>
      <c r="AJ461" s="14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</row>
    <row r="462" spans="1:47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14"/>
      <c r="AJ462" s="14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</row>
    <row r="463" spans="1:47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14"/>
      <c r="AJ463" s="14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</row>
    <row r="464" spans="1:47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14"/>
      <c r="AJ464" s="14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</row>
    <row r="465" spans="1:47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14"/>
      <c r="AJ465" s="14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</row>
    <row r="466" spans="1:47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14"/>
      <c r="AJ466" s="14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</row>
    <row r="467" spans="1:47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14"/>
      <c r="AJ467" s="14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</row>
    <row r="468" spans="1:47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14"/>
      <c r="AJ468" s="14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</row>
    <row r="469" spans="1:47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14"/>
      <c r="AJ469" s="14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</row>
    <row r="470" spans="1:47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14"/>
      <c r="AJ470" s="14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</row>
    <row r="471" spans="1:47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14"/>
      <c r="AJ471" s="14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</row>
    <row r="472" spans="1:47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14"/>
      <c r="AJ472" s="14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</row>
    <row r="473" spans="1:47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14"/>
      <c r="AJ473" s="14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</row>
    <row r="474" spans="1:47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14"/>
      <c r="AJ474" s="14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</row>
    <row r="475" spans="1:47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14"/>
      <c r="AJ475" s="14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</row>
    <row r="476" spans="1:47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14"/>
      <c r="AJ476" s="14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</row>
    <row r="477" spans="1:47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14"/>
      <c r="AJ477" s="14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</row>
    <row r="478" spans="1:47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14"/>
      <c r="AJ478" s="14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</row>
    <row r="479" spans="1:47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14"/>
      <c r="AJ479" s="14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</row>
    <row r="480" spans="1:47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14"/>
      <c r="AJ480" s="14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</row>
    <row r="481" spans="1:47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14"/>
      <c r="AJ481" s="14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</row>
    <row r="482" spans="1:47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14"/>
      <c r="AJ482" s="14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</row>
    <row r="483" spans="1:47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14"/>
      <c r="AJ483" s="14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</row>
    <row r="484" spans="1:47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14"/>
      <c r="AJ484" s="14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</row>
    <row r="485" spans="1:47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14"/>
      <c r="AJ485" s="14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</row>
    <row r="486" spans="1:47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14"/>
      <c r="AJ486" s="14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</row>
    <row r="487" spans="1:47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14"/>
      <c r="AJ487" s="14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</row>
    <row r="488" spans="1:47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14"/>
      <c r="AJ488" s="14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</row>
    <row r="489" spans="1:47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14"/>
      <c r="AJ489" s="14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</row>
    <row r="490" spans="1:47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14"/>
      <c r="AJ490" s="14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</row>
    <row r="491" spans="1:47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14"/>
      <c r="AJ491" s="14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</row>
    <row r="492" spans="1:47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14"/>
      <c r="AJ492" s="14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</row>
    <row r="493" spans="1:47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14"/>
      <c r="AJ493" s="14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</row>
    <row r="494" spans="1:47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14"/>
      <c r="AJ494" s="14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</row>
    <row r="495" spans="1:47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14"/>
      <c r="AJ495" s="14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</row>
    <row r="496" spans="1:47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14"/>
      <c r="AJ496" s="14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</row>
    <row r="497" spans="1:47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14"/>
      <c r="AJ497" s="14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</row>
    <row r="498" spans="1:47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14"/>
      <c r="AJ498" s="14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</row>
    <row r="499" spans="1:47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14"/>
      <c r="AJ499" s="14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</row>
    <row r="500" spans="1:47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14"/>
      <c r="AJ500" s="14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</row>
    <row r="501" spans="1:47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14"/>
      <c r="AJ501" s="14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</row>
    <row r="502" spans="1:47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14"/>
      <c r="AJ502" s="14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</row>
    <row r="503" spans="1:47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14"/>
      <c r="AJ503" s="14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</row>
    <row r="504" spans="1:47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14"/>
      <c r="AJ504" s="14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</row>
    <row r="505" spans="1:47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14"/>
      <c r="AJ505" s="14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</row>
    <row r="506" spans="1:47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14"/>
      <c r="AJ506" s="14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</row>
    <row r="507" spans="1:47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14"/>
      <c r="AJ507" s="14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</row>
    <row r="508" spans="1:47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14"/>
      <c r="AJ508" s="14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</row>
    <row r="509" spans="1:47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14"/>
      <c r="AJ509" s="14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</row>
    <row r="510" spans="1:47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14"/>
      <c r="AJ510" s="14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</row>
    <row r="511" spans="1:47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14"/>
      <c r="AJ511" s="14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</row>
    <row r="512" spans="1:47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14"/>
      <c r="AJ512" s="14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</row>
    <row r="513" spans="1:47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14"/>
      <c r="AJ513" s="14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</row>
    <row r="514" spans="1:47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14"/>
      <c r="AJ514" s="14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</row>
    <row r="515" spans="1:47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14"/>
      <c r="AJ515" s="14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</row>
    <row r="516" spans="1:47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14"/>
      <c r="AJ516" s="14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</row>
    <row r="517" spans="1:47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14"/>
      <c r="AJ517" s="14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</row>
    <row r="518" spans="1:47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14"/>
      <c r="AJ518" s="14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</row>
    <row r="519" spans="1:47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14"/>
      <c r="AJ519" s="14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</row>
    <row r="520" spans="1:47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14"/>
      <c r="AJ520" s="14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</row>
    <row r="521" spans="1:47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14"/>
      <c r="AJ521" s="14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</row>
    <row r="522" spans="1:47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14"/>
      <c r="AJ522" s="14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</row>
    <row r="523" spans="1:47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14"/>
      <c r="AJ523" s="14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</row>
    <row r="524" spans="1:47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14"/>
      <c r="AJ524" s="14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</row>
    <row r="525" spans="1:47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14"/>
      <c r="AJ525" s="14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</row>
    <row r="526" spans="1:47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14"/>
      <c r="AJ526" s="14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</row>
    <row r="527" spans="1:47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14"/>
      <c r="AJ527" s="14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</row>
    <row r="528" spans="1:47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14"/>
      <c r="AJ528" s="14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</row>
    <row r="529" spans="1:47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14"/>
      <c r="AJ529" s="14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</row>
    <row r="530" spans="1:47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14"/>
      <c r="AJ530" s="14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</row>
    <row r="531" spans="1:47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14"/>
      <c r="AJ531" s="14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</row>
    <row r="532" spans="1:47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14"/>
      <c r="AJ532" s="14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</row>
    <row r="533" spans="1:47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14"/>
      <c r="AJ533" s="14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</row>
    <row r="534" spans="1:47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14"/>
      <c r="AJ534" s="14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</row>
    <row r="535" spans="1:47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14"/>
      <c r="AJ535" s="14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</row>
    <row r="536" spans="1:47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14"/>
      <c r="AJ536" s="14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</row>
    <row r="537" spans="1:47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14"/>
      <c r="AJ537" s="14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</row>
    <row r="538" spans="1:47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14"/>
      <c r="AJ538" s="14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</row>
    <row r="539" spans="1:47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14"/>
      <c r="AJ539" s="14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</row>
    <row r="540" spans="1:47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14"/>
      <c r="AJ540" s="14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</row>
    <row r="541" spans="1:47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14"/>
      <c r="AJ541" s="14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</row>
    <row r="542" spans="1:47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14"/>
      <c r="AJ542" s="14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</row>
    <row r="543" spans="1:47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14"/>
      <c r="AJ543" s="14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</row>
    <row r="544" spans="1:47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14"/>
      <c r="AJ544" s="14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</row>
    <row r="545" spans="1:47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14"/>
      <c r="AJ545" s="14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</row>
    <row r="546" spans="1:47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14"/>
      <c r="AJ546" s="14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</row>
    <row r="547" spans="1:47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14"/>
      <c r="AJ547" s="14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</row>
    <row r="548" spans="1:47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14"/>
      <c r="AJ548" s="14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</row>
    <row r="549" spans="1:47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14"/>
      <c r="AJ549" s="14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</row>
    <row r="550" spans="1:47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14"/>
      <c r="AJ550" s="14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</row>
    <row r="551" spans="1:47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14"/>
      <c r="AJ551" s="14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</row>
    <row r="552" spans="1:47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14"/>
      <c r="AJ552" s="14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</row>
    <row r="553" spans="1:47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14"/>
      <c r="AJ553" s="14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</row>
    <row r="554" spans="1:47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14"/>
      <c r="AJ554" s="14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</row>
    <row r="555" spans="1:47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14"/>
      <c r="AJ555" s="14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</row>
    <row r="556" spans="1:47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14"/>
      <c r="AJ556" s="14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</row>
    <row r="557" spans="1:47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14"/>
      <c r="AJ557" s="14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</row>
    <row r="558" spans="1:47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14"/>
      <c r="AJ558" s="14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</row>
    <row r="559" spans="1:47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14"/>
      <c r="AJ559" s="14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</row>
    <row r="560" spans="1:47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14"/>
      <c r="AJ560" s="14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</row>
    <row r="561" spans="1:47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14"/>
      <c r="AJ561" s="14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</row>
    <row r="562" spans="1:47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14"/>
      <c r="AJ562" s="14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</row>
    <row r="563" spans="1:47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14"/>
      <c r="AJ563" s="14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</row>
    <row r="564" spans="1:47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14"/>
      <c r="AJ564" s="14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</row>
    <row r="565" spans="1:47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14"/>
      <c r="AJ565" s="14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</row>
    <row r="566" spans="1:47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14"/>
      <c r="AJ566" s="14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</row>
    <row r="567" spans="1:47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14"/>
      <c r="AJ567" s="14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</row>
    <row r="568" spans="1:47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14"/>
      <c r="AJ568" s="14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</row>
    <row r="569" spans="1:47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14"/>
      <c r="AJ569" s="14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</row>
    <row r="570" spans="1:47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14"/>
      <c r="AJ570" s="14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</row>
    <row r="571" spans="1:47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14"/>
      <c r="AJ571" s="14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</row>
    <row r="572" spans="1:47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14"/>
      <c r="AJ572" s="14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</row>
    <row r="573" spans="1:47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14"/>
      <c r="AJ573" s="14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</row>
    <row r="574" spans="1:47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14"/>
      <c r="AJ574" s="14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</row>
    <row r="575" spans="1:47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14"/>
      <c r="AJ575" s="14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</row>
    <row r="576" spans="1:47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14"/>
      <c r="AJ576" s="14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</row>
    <row r="577" spans="1:47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14"/>
      <c r="AJ577" s="14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</row>
    <row r="578" spans="1:47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14"/>
      <c r="AJ578" s="14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</row>
    <row r="579" spans="1:47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14"/>
      <c r="AJ579" s="14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</row>
    <row r="580" spans="1:47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14"/>
      <c r="AJ580" s="14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</row>
    <row r="581" spans="1:47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14"/>
      <c r="AJ581" s="14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</row>
    <row r="582" spans="1:47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14"/>
      <c r="AJ582" s="14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</row>
    <row r="583" spans="1:47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14"/>
      <c r="AJ583" s="14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</row>
    <row r="584" spans="1:47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14"/>
      <c r="AJ584" s="14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</row>
    <row r="585" spans="1:47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14"/>
      <c r="AJ585" s="14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</row>
    <row r="586" spans="1:47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14"/>
      <c r="AJ586" s="14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</row>
    <row r="587" spans="1:47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14"/>
      <c r="AJ587" s="14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</row>
    <row r="588" spans="1:47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14"/>
      <c r="AJ588" s="14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</row>
    <row r="589" spans="1:47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14"/>
      <c r="AJ589" s="14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</row>
    <row r="590" spans="1:47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14"/>
      <c r="AJ590" s="14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</row>
    <row r="591" spans="1:47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14"/>
      <c r="AJ591" s="14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</row>
    <row r="592" spans="1:47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14"/>
      <c r="AJ592" s="14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</row>
    <row r="593" spans="1:47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14"/>
      <c r="AJ593" s="14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</row>
    <row r="594" spans="1:47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14"/>
      <c r="AJ594" s="14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</row>
    <row r="595" spans="1:47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14"/>
      <c r="AJ595" s="14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</row>
    <row r="596" spans="1:47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14"/>
      <c r="AJ596" s="14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</row>
    <row r="597" spans="1:47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14"/>
      <c r="AJ597" s="14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</row>
    <row r="598" spans="1:47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14"/>
      <c r="AJ598" s="14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</row>
    <row r="599" spans="1:47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14"/>
      <c r="AJ599" s="14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</row>
    <row r="600" spans="1:47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14"/>
      <c r="AJ600" s="14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</row>
    <row r="601" spans="1:47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14"/>
      <c r="AJ601" s="14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</row>
    <row r="602" spans="1:47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14"/>
      <c r="AJ602" s="14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</row>
    <row r="603" spans="1:47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14"/>
      <c r="AJ603" s="14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</row>
    <row r="604" spans="1:47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14"/>
      <c r="AJ604" s="14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</row>
    <row r="605" spans="1:47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14"/>
      <c r="AJ605" s="14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</row>
    <row r="606" spans="1:47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14"/>
      <c r="AJ606" s="14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</row>
    <row r="607" spans="1:47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14"/>
      <c r="AJ607" s="14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</row>
    <row r="608" spans="1:47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14"/>
      <c r="AJ608" s="14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</row>
    <row r="609" spans="1:47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14"/>
      <c r="AJ609" s="14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</row>
    <row r="610" spans="1:47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14"/>
      <c r="AJ610" s="14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</row>
    <row r="611" spans="1:47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14"/>
      <c r="AJ611" s="14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</row>
    <row r="612" spans="1:47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14"/>
      <c r="AJ612" s="14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</row>
    <row r="613" spans="1:47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14"/>
      <c r="AJ613" s="14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</row>
    <row r="614" spans="1:47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14"/>
      <c r="AJ614" s="14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</row>
    <row r="615" spans="1:47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14"/>
      <c r="AJ615" s="14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</row>
    <row r="616" spans="1:47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14"/>
      <c r="AJ616" s="14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</row>
    <row r="617" spans="1:47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14"/>
      <c r="AJ617" s="14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</row>
    <row r="618" spans="1:47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14"/>
      <c r="AJ618" s="14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</row>
    <row r="619" spans="1:47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14"/>
      <c r="AJ619" s="14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</row>
    <row r="620" spans="1:47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14"/>
      <c r="AJ620" s="14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</row>
    <row r="621" spans="1:47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14"/>
      <c r="AJ621" s="14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</row>
    <row r="622" spans="1:47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14"/>
      <c r="AJ622" s="14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</row>
    <row r="623" spans="1:47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14"/>
      <c r="AJ623" s="14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</row>
    <row r="624" spans="1:47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14"/>
      <c r="AJ624" s="14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</row>
    <row r="625" spans="1:47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14"/>
      <c r="AJ625" s="14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</row>
    <row r="626" spans="1:47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14"/>
      <c r="AJ626" s="14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</row>
    <row r="627" spans="1:47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14"/>
      <c r="AJ627" s="14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</row>
    <row r="628" spans="1:47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14"/>
      <c r="AJ628" s="14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</row>
    <row r="629" spans="1:47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14"/>
      <c r="AJ629" s="14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</row>
    <row r="630" spans="1:47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14"/>
      <c r="AJ630" s="14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</row>
    <row r="631" spans="1:47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14"/>
      <c r="AJ631" s="14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</row>
    <row r="632" spans="1:47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14"/>
      <c r="AJ632" s="14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</row>
    <row r="633" spans="1:47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14"/>
      <c r="AJ633" s="14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</row>
    <row r="634" spans="1:47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14"/>
      <c r="AJ634" s="14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</row>
    <row r="635" spans="1:47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14"/>
      <c r="AJ635" s="14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</row>
    <row r="636" spans="1:47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14"/>
      <c r="AJ636" s="14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</row>
    <row r="637" spans="1:47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14"/>
      <c r="AJ637" s="14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</row>
    <row r="638" spans="1:47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14"/>
      <c r="AJ638" s="14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</row>
    <row r="639" spans="1:47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14"/>
      <c r="AJ639" s="14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</row>
    <row r="640" spans="1:47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14"/>
      <c r="AJ640" s="14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</row>
    <row r="641" spans="1:47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14"/>
      <c r="AJ641" s="14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</row>
    <row r="642" spans="1:47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14"/>
      <c r="AJ642" s="14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</row>
    <row r="643" spans="1:47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14"/>
      <c r="AJ643" s="14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</row>
    <row r="644" spans="1:47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14"/>
      <c r="AJ644" s="14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</row>
    <row r="645" spans="1:47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14"/>
      <c r="AJ645" s="14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</row>
    <row r="646" spans="1:47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14"/>
      <c r="AJ646" s="14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</row>
    <row r="647" spans="1:47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14"/>
      <c r="AJ647" s="14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</row>
    <row r="648" spans="1:47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14"/>
      <c r="AJ648" s="14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</row>
    <row r="649" spans="1:47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14"/>
      <c r="AJ649" s="14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</row>
    <row r="650" spans="1:47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14"/>
      <c r="AJ650" s="14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</row>
    <row r="651" spans="1:47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14"/>
      <c r="AJ651" s="14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</row>
    <row r="652" spans="1:47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14"/>
      <c r="AJ652" s="14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</row>
    <row r="653" spans="1:47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14"/>
      <c r="AJ653" s="14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</row>
    <row r="654" spans="1:47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14"/>
      <c r="AJ654" s="14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</row>
    <row r="655" spans="1:47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14"/>
      <c r="AJ655" s="14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</row>
    <row r="656" spans="1:47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14"/>
      <c r="AJ656" s="14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</row>
    <row r="657" spans="1:47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14"/>
      <c r="AJ657" s="14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</row>
    <row r="658" spans="1:47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14"/>
      <c r="AJ658" s="14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</row>
    <row r="659" spans="1:47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14"/>
      <c r="AJ659" s="14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</row>
    <row r="660" spans="1:47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14"/>
      <c r="AJ660" s="14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</row>
    <row r="661" spans="1:47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14"/>
      <c r="AJ661" s="14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</row>
    <row r="662" spans="1:47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14"/>
      <c r="AJ662" s="14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</row>
    <row r="663" spans="1:47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14"/>
      <c r="AJ663" s="14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</row>
    <row r="664" spans="1:47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14"/>
      <c r="AJ664" s="14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</row>
    <row r="665" spans="1:47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14"/>
      <c r="AJ665" s="14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</row>
    <row r="666" spans="1:47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14"/>
      <c r="AJ666" s="14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</row>
    <row r="667" spans="1:47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14"/>
      <c r="AJ667" s="14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</row>
    <row r="668" spans="1:47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14"/>
      <c r="AJ668" s="14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</row>
    <row r="669" spans="1:47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14"/>
      <c r="AJ669" s="14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</row>
    <row r="670" spans="1:47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14"/>
      <c r="AJ670" s="14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</row>
    <row r="671" spans="1:47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14"/>
      <c r="AJ671" s="14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</row>
    <row r="672" spans="1:47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14"/>
      <c r="AJ672" s="14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</row>
    <row r="673" spans="1:47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14"/>
      <c r="AJ673" s="14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</row>
    <row r="674" spans="1:47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14"/>
      <c r="AJ674" s="14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</row>
    <row r="675" spans="1:47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14"/>
      <c r="AJ675" s="14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</row>
    <row r="676" spans="1:47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14"/>
      <c r="AJ676" s="14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</row>
    <row r="677" spans="1:47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14"/>
      <c r="AJ677" s="14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</row>
    <row r="678" spans="1:47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14"/>
      <c r="AJ678" s="14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</row>
    <row r="679" spans="1:47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14"/>
      <c r="AJ679" s="14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</row>
    <row r="680" spans="1:47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14"/>
      <c r="AJ680" s="14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</row>
    <row r="681" spans="1:47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14"/>
      <c r="AJ681" s="14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</row>
    <row r="682" spans="1:47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14"/>
      <c r="AJ682" s="14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</row>
    <row r="683" spans="1:47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14"/>
      <c r="AJ683" s="14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</row>
    <row r="684" spans="1:47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14"/>
      <c r="AJ684" s="14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</row>
    <row r="685" spans="1:47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14"/>
      <c r="AJ685" s="14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</row>
    <row r="686" spans="1:47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14"/>
      <c r="AJ686" s="14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</row>
    <row r="687" spans="1:47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14"/>
      <c r="AJ687" s="14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</row>
    <row r="688" spans="1:47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14"/>
      <c r="AJ688" s="14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</row>
    <row r="689" spans="1:47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14"/>
      <c r="AJ689" s="14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</row>
    <row r="690" spans="1:47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14"/>
      <c r="AJ690" s="14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</row>
    <row r="691" spans="1:47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14"/>
      <c r="AJ691" s="14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</row>
    <row r="692" spans="1:47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14"/>
      <c r="AJ692" s="14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</row>
    <row r="693" spans="1:47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14"/>
      <c r="AJ693" s="14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</row>
    <row r="694" spans="1:47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14"/>
      <c r="AJ694" s="14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</row>
    <row r="695" spans="1:47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14"/>
      <c r="AJ695" s="14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</row>
    <row r="696" spans="1:47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14"/>
      <c r="AJ696" s="14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</row>
    <row r="697" spans="1:47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14"/>
      <c r="AJ697" s="14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</row>
    <row r="698" spans="1:47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14"/>
      <c r="AJ698" s="14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</row>
    <row r="699" spans="1:47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14"/>
      <c r="AJ699" s="14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</row>
    <row r="700" spans="1:47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14"/>
      <c r="AJ700" s="14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</row>
    <row r="701" spans="1:47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14"/>
      <c r="AJ701" s="14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</row>
    <row r="702" spans="1:47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14"/>
      <c r="AJ702" s="14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</row>
    <row r="703" spans="1:47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14"/>
      <c r="AJ703" s="14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</row>
    <row r="704" spans="1:47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14"/>
      <c r="AJ704" s="14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</row>
    <row r="705" spans="1:47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14"/>
      <c r="AJ705" s="14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</row>
    <row r="706" spans="1:47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14"/>
      <c r="AJ706" s="14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</row>
    <row r="707" spans="1:47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14"/>
      <c r="AJ707" s="14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</row>
    <row r="708" spans="1:47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14"/>
      <c r="AJ708" s="14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</row>
    <row r="709" spans="1:47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14"/>
      <c r="AJ709" s="14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</row>
    <row r="710" spans="1:47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14"/>
      <c r="AJ710" s="14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</row>
    <row r="711" spans="1:47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14"/>
      <c r="AJ711" s="14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</row>
    <row r="712" spans="1:47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14"/>
      <c r="AJ712" s="14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</row>
    <row r="713" spans="1:47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14"/>
      <c r="AJ713" s="14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</row>
    <row r="714" spans="1:47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14"/>
      <c r="AJ714" s="14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</row>
    <row r="715" spans="1:47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14"/>
      <c r="AJ715" s="14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</row>
    <row r="716" spans="1:47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14"/>
      <c r="AJ716" s="14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</row>
    <row r="717" spans="1:47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14"/>
      <c r="AJ717" s="14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</row>
    <row r="718" spans="1:47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14"/>
      <c r="AJ718" s="14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</row>
    <row r="719" spans="1:47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14"/>
      <c r="AJ719" s="14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</row>
    <row r="720" spans="1:47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14"/>
      <c r="AJ720" s="14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</row>
    <row r="721" spans="1:47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14"/>
      <c r="AJ721" s="14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</row>
    <row r="722" spans="1:47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14"/>
      <c r="AJ722" s="14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</row>
    <row r="723" spans="1:47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14"/>
      <c r="AJ723" s="14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</row>
    <row r="724" spans="1:47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14"/>
      <c r="AJ724" s="14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</row>
    <row r="725" spans="1:47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14"/>
      <c r="AJ725" s="14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</row>
    <row r="726" spans="1:47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14"/>
      <c r="AJ726" s="14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</row>
    <row r="727" spans="1:47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14"/>
      <c r="AJ727" s="14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</row>
    <row r="728" spans="1:47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14"/>
      <c r="AJ728" s="14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</row>
    <row r="729" spans="1:47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14"/>
      <c r="AJ729" s="14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</row>
    <row r="730" spans="1:47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14"/>
      <c r="AJ730" s="14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</row>
    <row r="731" spans="1:47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14"/>
      <c r="AJ731" s="14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</row>
    <row r="732" spans="1:47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14"/>
      <c r="AJ732" s="14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</row>
    <row r="733" spans="1:47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14"/>
      <c r="AJ733" s="14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</row>
    <row r="734" spans="1:47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14"/>
      <c r="AJ734" s="14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</row>
    <row r="735" spans="1:47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14"/>
      <c r="AJ735" s="14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</row>
    <row r="736" spans="1:47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14"/>
      <c r="AJ736" s="14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</row>
    <row r="737" spans="1:47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14"/>
      <c r="AJ737" s="14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</row>
    <row r="738" spans="1:47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14"/>
      <c r="AJ738" s="14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</row>
    <row r="739" spans="1:47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14"/>
      <c r="AJ739" s="14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</row>
    <row r="740" spans="1:47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14"/>
      <c r="AJ740" s="14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</row>
    <row r="741" spans="1:47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14"/>
      <c r="AJ741" s="14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</row>
    <row r="742" spans="1:47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14"/>
      <c r="AJ742" s="14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</row>
    <row r="743" spans="1:47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14"/>
      <c r="AJ743" s="14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</row>
    <row r="744" spans="1:47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14"/>
      <c r="AJ744" s="14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</row>
    <row r="745" spans="1:47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14"/>
      <c r="AJ745" s="14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</row>
    <row r="746" spans="1:47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14"/>
      <c r="AJ746" s="14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</row>
    <row r="747" spans="1:47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14"/>
      <c r="AJ747" s="14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</row>
    <row r="748" spans="1:47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14"/>
      <c r="AJ748" s="14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</row>
    <row r="749" spans="1:47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14"/>
      <c r="AJ749" s="14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</row>
    <row r="750" spans="1:47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14"/>
      <c r="AJ750" s="14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</row>
    <row r="751" spans="1:47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14"/>
      <c r="AJ751" s="14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</row>
    <row r="752" spans="1:47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14"/>
      <c r="AJ752" s="14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</row>
    <row r="753" spans="1:47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14"/>
      <c r="AJ753" s="14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</row>
    <row r="754" spans="1:47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14"/>
      <c r="AJ754" s="14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</row>
    <row r="755" spans="1:47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14"/>
      <c r="AJ755" s="14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</row>
    <row r="756" spans="1:47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14"/>
      <c r="AJ756" s="14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</row>
    <row r="757" spans="1:47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14"/>
      <c r="AJ757" s="14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</row>
    <row r="758" spans="1:47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14"/>
      <c r="AJ758" s="14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</row>
    <row r="759" spans="1:47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14"/>
      <c r="AJ759" s="14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</row>
    <row r="760" spans="1:47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14"/>
      <c r="AJ760" s="14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</row>
    <row r="761" spans="1:47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14"/>
      <c r="AJ761" s="14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</row>
    <row r="762" spans="1:47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14"/>
      <c r="AJ762" s="14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</row>
    <row r="763" spans="1:47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14"/>
      <c r="AJ763" s="14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</row>
    <row r="764" spans="1:47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14"/>
      <c r="AJ764" s="14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</row>
    <row r="765" spans="1:47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14"/>
      <c r="AJ765" s="14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</row>
    <row r="766" spans="1:47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14"/>
      <c r="AJ766" s="14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</row>
    <row r="767" spans="1:47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14"/>
      <c r="AJ767" s="14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</row>
    <row r="768" spans="1:47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14"/>
      <c r="AJ768" s="14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</row>
    <row r="769" spans="1:47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14"/>
      <c r="AJ769" s="14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</row>
    <row r="770" spans="1:47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14"/>
      <c r="AJ770" s="14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</row>
    <row r="771" spans="1:47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14"/>
      <c r="AJ771" s="14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</row>
    <row r="772" spans="1:47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14"/>
      <c r="AJ772" s="14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</row>
    <row r="773" spans="1:47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14"/>
      <c r="AJ773" s="14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</row>
    <row r="774" spans="1:47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14"/>
      <c r="AJ774" s="14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</row>
    <row r="775" spans="1:47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14"/>
      <c r="AJ775" s="14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</row>
    <row r="776" spans="1:47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14"/>
      <c r="AJ776" s="14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</row>
    <row r="777" spans="1:47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14"/>
      <c r="AJ777" s="14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</row>
    <row r="778" spans="1:47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14"/>
      <c r="AJ778" s="14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</row>
    <row r="779" spans="1:47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14"/>
      <c r="AJ779" s="14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</row>
    <row r="780" spans="1:47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14"/>
      <c r="AJ780" s="14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</row>
    <row r="781" spans="1:47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14"/>
      <c r="AJ781" s="14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</row>
    <row r="782" spans="1:47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14"/>
      <c r="AJ782" s="14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</row>
    <row r="783" spans="1:47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14"/>
      <c r="AJ783" s="14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</row>
    <row r="784" spans="1:47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14"/>
      <c r="AJ784" s="14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</row>
    <row r="785" spans="1:47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14"/>
      <c r="AJ785" s="14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</row>
    <row r="786" spans="1:47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14"/>
      <c r="AJ786" s="14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</row>
    <row r="787" spans="1:47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14"/>
      <c r="AJ787" s="14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</row>
    <row r="788" spans="1:47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14"/>
      <c r="AJ788" s="14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</row>
    <row r="789" spans="1:47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14"/>
      <c r="AJ789" s="14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</row>
    <row r="790" spans="1:47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14"/>
      <c r="AJ790" s="14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</row>
    <row r="791" spans="1:47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14"/>
      <c r="AJ791" s="14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</row>
    <row r="792" spans="1:47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14"/>
      <c r="AJ792" s="14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</row>
    <row r="793" spans="1:47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14"/>
      <c r="AJ793" s="14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</row>
    <row r="794" spans="1:47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14"/>
      <c r="AJ794" s="14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</row>
    <row r="795" spans="1:47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14"/>
      <c r="AJ795" s="14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</row>
    <row r="796" spans="1:47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14"/>
      <c r="AJ796" s="14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</row>
    <row r="797" spans="1:47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14"/>
      <c r="AJ797" s="14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</row>
    <row r="798" spans="1:47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14"/>
      <c r="AJ798" s="14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</row>
    <row r="799" spans="1:47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14"/>
      <c r="AJ799" s="14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</row>
    <row r="800" spans="1:47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14"/>
      <c r="AJ800" s="14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</row>
    <row r="801" spans="1:47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14"/>
      <c r="AJ801" s="14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</row>
    <row r="802" spans="1:47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14"/>
      <c r="AJ802" s="14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</row>
    <row r="803" spans="1:47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14"/>
      <c r="AJ803" s="14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</row>
    <row r="804" spans="1:47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14"/>
      <c r="AJ804" s="14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</row>
    <row r="805" spans="1:47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14"/>
      <c r="AJ805" s="14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</row>
    <row r="806" spans="1:47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14"/>
      <c r="AJ806" s="14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</row>
    <row r="807" spans="1:47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14"/>
      <c r="AJ807" s="14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</row>
    <row r="808" spans="1:47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14"/>
      <c r="AJ808" s="14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</row>
    <row r="809" spans="1:47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14"/>
      <c r="AJ809" s="14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</row>
    <row r="810" spans="1:47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14"/>
      <c r="AJ810" s="14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</row>
    <row r="811" spans="1:47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14"/>
      <c r="AJ811" s="14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</row>
    <row r="812" spans="1:47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14"/>
      <c r="AJ812" s="14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</row>
    <row r="813" spans="1:47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14"/>
      <c r="AJ813" s="14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</row>
    <row r="814" spans="1:47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14"/>
      <c r="AJ814" s="14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</row>
    <row r="815" spans="1:47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14"/>
      <c r="AJ815" s="14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</row>
    <row r="816" spans="1:47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14"/>
      <c r="AJ816" s="14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</row>
    <row r="817" spans="1:47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14"/>
      <c r="AJ817" s="14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</row>
    <row r="818" spans="1:47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14"/>
      <c r="AJ818" s="14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</row>
    <row r="819" spans="1:47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14"/>
      <c r="AJ819" s="14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</row>
    <row r="820" spans="1:47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14"/>
      <c r="AJ820" s="14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</row>
    <row r="821" spans="1:47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14"/>
      <c r="AJ821" s="14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</row>
    <row r="822" spans="1:47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14"/>
      <c r="AJ822" s="14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</row>
    <row r="823" spans="1:47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14"/>
      <c r="AJ823" s="14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</row>
    <row r="824" spans="1:47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14"/>
      <c r="AJ824" s="14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</row>
    <row r="825" spans="1:47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14"/>
      <c r="AJ825" s="14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</row>
    <row r="826" spans="1:47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14"/>
      <c r="AJ826" s="14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</row>
    <row r="827" spans="1:47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14"/>
      <c r="AJ827" s="14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</row>
    <row r="828" spans="1:47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14"/>
      <c r="AJ828" s="14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</row>
    <row r="829" spans="1:47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14"/>
      <c r="AJ829" s="14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</row>
    <row r="830" spans="1:47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14"/>
      <c r="AJ830" s="14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</row>
    <row r="831" spans="1:47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14"/>
      <c r="AJ831" s="14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</row>
    <row r="832" spans="1:47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14"/>
      <c r="AJ832" s="14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</row>
    <row r="833" spans="1:47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14"/>
      <c r="AJ833" s="14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</row>
    <row r="834" spans="1:47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14"/>
      <c r="AJ834" s="14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</row>
    <row r="835" spans="1:47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14"/>
      <c r="AJ835" s="14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</row>
    <row r="836" spans="1:47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14"/>
      <c r="AJ836" s="14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</row>
    <row r="837" spans="1:47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14"/>
      <c r="AJ837" s="14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</row>
    <row r="838" spans="1:47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14"/>
      <c r="AJ838" s="14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</row>
    <row r="839" spans="1:47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14"/>
      <c r="AJ839" s="14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</row>
    <row r="840" spans="1:47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14"/>
      <c r="AJ840" s="14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</row>
    <row r="841" spans="1:47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14"/>
      <c r="AJ841" s="14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</row>
    <row r="842" spans="1:47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14"/>
      <c r="AJ842" s="14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</row>
    <row r="843" spans="1:47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14"/>
      <c r="AJ843" s="14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</row>
    <row r="844" spans="1:47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14"/>
      <c r="AJ844" s="14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</row>
    <row r="845" spans="1:47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14"/>
      <c r="AJ845" s="14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</row>
    <row r="846" spans="1:47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14"/>
      <c r="AJ846" s="14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</row>
    <row r="847" spans="1:47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14"/>
      <c r="AJ847" s="14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</row>
    <row r="848" spans="1:47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14"/>
      <c r="AJ848" s="14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</row>
    <row r="849" spans="1:47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14"/>
      <c r="AJ849" s="14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</row>
    <row r="850" spans="1:47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14"/>
      <c r="AJ850" s="14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</row>
    <row r="851" spans="1:47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14"/>
      <c r="AJ851" s="14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</row>
    <row r="852" spans="1:47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14"/>
      <c r="AJ852" s="14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</row>
    <row r="853" spans="1:47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14"/>
      <c r="AJ853" s="14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</row>
    <row r="854" spans="1:47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14"/>
      <c r="AJ854" s="14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</row>
    <row r="855" spans="1:47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14"/>
      <c r="AJ855" s="14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</row>
    <row r="856" spans="1:47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14"/>
      <c r="AJ856" s="14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</row>
    <row r="857" spans="1:47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14"/>
      <c r="AJ857" s="14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</row>
    <row r="858" spans="1:47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14"/>
      <c r="AJ858" s="14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</row>
    <row r="859" spans="1:47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14"/>
      <c r="AJ859" s="14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</row>
    <row r="860" spans="1:47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14"/>
      <c r="AJ860" s="14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</row>
    <row r="861" spans="1:47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14"/>
      <c r="AJ861" s="14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</row>
    <row r="862" spans="1:47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14"/>
      <c r="AJ862" s="14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</row>
    <row r="863" spans="1:47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14"/>
      <c r="AJ863" s="14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</row>
    <row r="864" spans="1:47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14"/>
      <c r="AJ864" s="14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</row>
    <row r="865" spans="1:47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14"/>
      <c r="AJ865" s="14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</row>
    <row r="866" spans="1:47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14"/>
      <c r="AJ866" s="14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</row>
    <row r="867" spans="1:47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14"/>
      <c r="AJ867" s="14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</row>
    <row r="868" spans="1:47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14"/>
      <c r="AJ868" s="14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</row>
    <row r="869" spans="1:47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14"/>
      <c r="AJ869" s="14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</row>
    <row r="870" spans="1:47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14"/>
      <c r="AJ870" s="14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</row>
    <row r="871" spans="1:47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14"/>
      <c r="AJ871" s="14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</row>
    <row r="872" spans="1:47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14"/>
      <c r="AJ872" s="14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</row>
    <row r="873" spans="1:47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14"/>
      <c r="AJ873" s="14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</row>
    <row r="874" spans="1:47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14"/>
      <c r="AJ874" s="14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</row>
    <row r="875" spans="1:47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14"/>
      <c r="AJ875" s="14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</row>
    <row r="876" spans="1:47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14"/>
      <c r="AJ876" s="14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</row>
    <row r="877" spans="1:47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14"/>
      <c r="AJ877" s="14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</row>
    <row r="878" spans="1:47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14"/>
      <c r="AJ878" s="14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</row>
    <row r="879" spans="1:47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14"/>
      <c r="AJ879" s="14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</row>
    <row r="880" spans="1:47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14"/>
      <c r="AJ880" s="14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</row>
    <row r="881" spans="1:47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14"/>
      <c r="AJ881" s="14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</row>
    <row r="882" spans="1:47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14"/>
      <c r="AJ882" s="14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</row>
    <row r="883" spans="1:47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14"/>
      <c r="AJ883" s="14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</row>
    <row r="884" spans="1:47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14"/>
      <c r="AJ884" s="14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</row>
    <row r="885" spans="1:47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14"/>
      <c r="AJ885" s="14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</row>
    <row r="886" spans="1:47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14"/>
      <c r="AJ886" s="14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</row>
    <row r="887" spans="1:47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14"/>
      <c r="AJ887" s="14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</row>
    <row r="888" spans="1:47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14"/>
      <c r="AJ888" s="14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</row>
    <row r="889" spans="1:47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14"/>
      <c r="AJ889" s="14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</row>
    <row r="890" spans="1:47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14"/>
      <c r="AJ890" s="14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</row>
    <row r="891" spans="1:47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14"/>
      <c r="AJ891" s="14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</row>
    <row r="892" spans="1:47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14"/>
      <c r="AJ892" s="14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</row>
    <row r="893" spans="1:47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14"/>
      <c r="AJ893" s="14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</row>
    <row r="894" spans="1:47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14"/>
      <c r="AJ894" s="14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</row>
    <row r="895" spans="1:47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14"/>
      <c r="AJ895" s="14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</row>
    <row r="896" spans="1:47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14"/>
      <c r="AJ896" s="14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</row>
    <row r="897" spans="1:47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14"/>
      <c r="AJ897" s="14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</row>
    <row r="898" spans="1:47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14"/>
      <c r="AJ898" s="14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</row>
    <row r="899" spans="1:47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14"/>
      <c r="AJ899" s="14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</row>
    <row r="900" spans="1:47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14"/>
      <c r="AJ900" s="14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</row>
    <row r="901" spans="1:47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14"/>
      <c r="AJ901" s="14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</row>
    <row r="902" spans="1:47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14"/>
      <c r="AJ902" s="14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</row>
    <row r="903" spans="1:47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14"/>
      <c r="AJ903" s="14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</row>
    <row r="904" spans="1:47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14"/>
      <c r="AJ904" s="14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</row>
    <row r="905" spans="1:47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14"/>
      <c r="AJ905" s="14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</row>
    <row r="906" spans="1:47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14"/>
      <c r="AJ906" s="14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</row>
    <row r="907" spans="1:47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14"/>
      <c r="AJ907" s="14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</row>
    <row r="908" spans="1:47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14"/>
      <c r="AJ908" s="14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</row>
    <row r="909" spans="1:47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14"/>
      <c r="AJ909" s="14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</row>
    <row r="910" spans="1:47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14"/>
      <c r="AJ910" s="14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</row>
    <row r="911" spans="1:47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14"/>
      <c r="AJ911" s="14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</row>
    <row r="912" spans="1:47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14"/>
      <c r="AJ912" s="14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</row>
    <row r="913" spans="1:47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14"/>
      <c r="AJ913" s="14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</row>
    <row r="914" spans="1:47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14"/>
      <c r="AJ914" s="14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</row>
    <row r="915" spans="1:47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14"/>
      <c r="AJ915" s="14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</row>
    <row r="916" spans="1:47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14"/>
      <c r="AJ916" s="14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</row>
    <row r="917" spans="1:47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14"/>
      <c r="AJ917" s="14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</row>
    <row r="918" spans="1:47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14"/>
      <c r="AJ918" s="14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</row>
    <row r="919" spans="1:47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14"/>
      <c r="AJ919" s="14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</row>
    <row r="920" spans="1:47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14"/>
      <c r="AJ920" s="14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</row>
    <row r="921" spans="1:47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14"/>
      <c r="AJ921" s="14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</row>
    <row r="922" spans="1:47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14"/>
      <c r="AJ922" s="14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</row>
    <row r="923" spans="1:47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14"/>
      <c r="AJ923" s="14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</row>
    <row r="924" spans="1:47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14"/>
      <c r="AJ924" s="14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</row>
    <row r="925" spans="1:47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14"/>
      <c r="AJ925" s="14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</row>
    <row r="926" spans="1:47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14"/>
      <c r="AJ926" s="14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</row>
    <row r="927" spans="1:47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14"/>
      <c r="AJ927" s="14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</row>
    <row r="928" spans="1:47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14"/>
      <c r="AJ928" s="14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</row>
    <row r="929" spans="1:47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14"/>
      <c r="AJ929" s="14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</row>
    <row r="930" spans="1:47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14"/>
      <c r="AJ930" s="14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</row>
    <row r="931" spans="1:47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14"/>
      <c r="AJ931" s="14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</row>
    <row r="932" spans="1:47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14"/>
      <c r="AJ932" s="14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</row>
    <row r="933" spans="1:47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14"/>
      <c r="AJ933" s="14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</row>
    <row r="934" spans="1:47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14"/>
      <c r="AJ934" s="14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</row>
    <row r="935" spans="1:47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14"/>
      <c r="AJ935" s="14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</row>
    <row r="936" spans="1:47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14"/>
      <c r="AJ936" s="14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</row>
    <row r="937" spans="1:47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14"/>
      <c r="AJ937" s="14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</row>
    <row r="938" spans="1:47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14"/>
      <c r="AJ938" s="14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</row>
    <row r="939" spans="1:47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14"/>
      <c r="AJ939" s="14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</row>
    <row r="940" spans="1:47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14"/>
      <c r="AJ940" s="14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</row>
    <row r="941" spans="1:47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14"/>
      <c r="AJ941" s="14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</row>
    <row r="942" spans="1:47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14"/>
      <c r="AJ942" s="14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</row>
    <row r="943" spans="1:47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14"/>
      <c r="AJ943" s="14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</row>
    <row r="944" spans="1:47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14"/>
      <c r="AJ944" s="14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</row>
    <row r="945" spans="1:47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14"/>
      <c r="AJ945" s="14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</row>
    <row r="946" spans="1:47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14"/>
      <c r="AJ946" s="14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</row>
    <row r="947" spans="1:47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14"/>
      <c r="AJ947" s="14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</row>
    <row r="948" spans="1:47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14"/>
      <c r="AJ948" s="14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</row>
    <row r="949" spans="1:47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14"/>
      <c r="AJ949" s="14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</row>
    <row r="950" spans="1:47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14"/>
      <c r="AJ950" s="14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</row>
    <row r="951" spans="1:47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14"/>
      <c r="AJ951" s="14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</row>
    <row r="952" spans="1:47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14"/>
      <c r="AJ952" s="14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</row>
    <row r="953" spans="1:47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14"/>
      <c r="AJ953" s="14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</row>
    <row r="954" spans="1:47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14"/>
      <c r="AJ954" s="14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</row>
    <row r="955" spans="1:47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14"/>
      <c r="AJ955" s="14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</row>
    <row r="956" spans="1:47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14"/>
      <c r="AJ956" s="14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</row>
    <row r="957" spans="1:47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14"/>
      <c r="AJ957" s="14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</row>
    <row r="958" spans="1:47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14"/>
      <c r="AJ958" s="14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</row>
    <row r="959" spans="1:47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14"/>
      <c r="AJ959" s="14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</row>
    <row r="960" spans="1:47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14"/>
      <c r="AJ960" s="14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</row>
    <row r="961" spans="1:47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14"/>
      <c r="AJ961" s="14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</row>
    <row r="962" spans="1:47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14"/>
      <c r="AJ962" s="14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</row>
    <row r="963" spans="1:47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14"/>
      <c r="AJ963" s="14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</row>
    <row r="964" spans="1:47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14"/>
      <c r="AJ964" s="14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</row>
    <row r="965" spans="1:47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14"/>
      <c r="AJ965" s="14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</row>
    <row r="966" spans="1:47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14"/>
      <c r="AJ966" s="14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</row>
    <row r="967" spans="1:47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14"/>
      <c r="AJ967" s="14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</row>
    <row r="968" spans="1:47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14"/>
      <c r="AJ968" s="14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</row>
    <row r="969" spans="1:47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14"/>
      <c r="AJ969" s="14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</row>
    <row r="970" spans="1:47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14"/>
      <c r="AJ970" s="14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</row>
    <row r="971" spans="1:47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14"/>
      <c r="AJ971" s="14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</row>
    <row r="972" spans="1:47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14"/>
      <c r="AJ972" s="14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</row>
    <row r="973" spans="1:47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14"/>
      <c r="AJ973" s="14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</row>
    <row r="974" spans="1:47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14"/>
      <c r="AJ974" s="14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</row>
    <row r="975" spans="1:47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14"/>
      <c r="AJ975" s="14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</row>
    <row r="976" spans="1:47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14"/>
      <c r="AJ976" s="14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</row>
    <row r="977" spans="1:47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14"/>
      <c r="AJ977" s="14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</row>
    <row r="978" spans="1:47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14"/>
      <c r="AJ978" s="14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</row>
    <row r="979" spans="1:47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14"/>
      <c r="AJ979" s="14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</row>
    <row r="980" spans="1:47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14"/>
      <c r="AJ980" s="14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</row>
    <row r="981" spans="1:47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14"/>
      <c r="AJ981" s="14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</row>
    <row r="982" spans="1:47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14"/>
      <c r="AJ982" s="14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</row>
    <row r="983" spans="1:47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14"/>
      <c r="AJ983" s="14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</row>
    <row r="984" spans="1:47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14"/>
      <c r="AJ984" s="14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</row>
    <row r="985" spans="1:47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14"/>
      <c r="AJ985" s="14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</row>
    <row r="986" spans="1:47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14"/>
      <c r="AJ986" s="14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</row>
    <row r="987" spans="1:47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14"/>
      <c r="AJ987" s="14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</row>
    <row r="988" spans="1:47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14"/>
      <c r="AJ988" s="14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</row>
    <row r="989" spans="1:47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14"/>
      <c r="AJ989" s="14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</row>
  </sheetData>
  <mergeCells count="26">
    <mergeCell ref="A264:A274"/>
    <mergeCell ref="A276:A286"/>
    <mergeCell ref="A192:A202"/>
    <mergeCell ref="A204:A214"/>
    <mergeCell ref="A216:A226"/>
    <mergeCell ref="A228:A238"/>
    <mergeCell ref="A240:A250"/>
    <mergeCell ref="A252:A262"/>
    <mergeCell ref="A180:A190"/>
    <mergeCell ref="A60:A71"/>
    <mergeCell ref="A72:A83"/>
    <mergeCell ref="A84:A94"/>
    <mergeCell ref="A95:A105"/>
    <mergeCell ref="A106:A107"/>
    <mergeCell ref="A108:A118"/>
    <mergeCell ref="A120:A130"/>
    <mergeCell ref="A132:A142"/>
    <mergeCell ref="A144:A154"/>
    <mergeCell ref="A156:A166"/>
    <mergeCell ref="A168:A178"/>
    <mergeCell ref="A48:A59"/>
    <mergeCell ref="B4:L5"/>
    <mergeCell ref="AC7:AG7"/>
    <mergeCell ref="A11:A23"/>
    <mergeCell ref="A24:A35"/>
    <mergeCell ref="A36:A47"/>
  </mergeCells>
  <pageMargins left="0.7" right="0.7" top="0.75" bottom="0.75" header="0" footer="0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31417-C3A7-4733-A65F-F22C38EA46A9}">
  <sheetPr codeName="Sheet31"/>
  <dimension ref="A1:BJ989"/>
  <sheetViews>
    <sheetView topLeftCell="X3" zoomScale="85" zoomScaleNormal="85" workbookViewId="0">
      <selection activeCell="AJ64" sqref="AJ64"/>
    </sheetView>
  </sheetViews>
  <sheetFormatPr defaultColWidth="12.625" defaultRowHeight="15" customHeight="1" x14ac:dyDescent="0.2"/>
  <cols>
    <col min="1" max="1" width="8.125" style="607" customWidth="1"/>
    <col min="2" max="2" width="1.625" style="607" customWidth="1"/>
    <col min="3" max="3" width="10.125" style="607" customWidth="1"/>
    <col min="4" max="4" width="1.125" style="607" customWidth="1"/>
    <col min="5" max="5" width="12.125" style="607" customWidth="1"/>
    <col min="6" max="6" width="2.125" style="607" customWidth="1"/>
    <col min="7" max="8" width="13.125" style="607" customWidth="1"/>
    <col min="9" max="9" width="9.875" style="607" customWidth="1"/>
    <col min="10" max="10" width="13.625" style="607" customWidth="1"/>
    <col min="11" max="11" width="18.625" style="607" customWidth="1"/>
    <col min="12" max="12" width="16.375" style="607" customWidth="1"/>
    <col min="13" max="13" width="1.5" style="607" customWidth="1"/>
    <col min="14" max="14" width="8" style="607" customWidth="1"/>
    <col min="15" max="15" width="1.375" style="607" customWidth="1"/>
    <col min="16" max="16" width="8" style="607" customWidth="1"/>
    <col min="17" max="17" width="1.5" style="607" customWidth="1"/>
    <col min="18" max="18" width="10.875" style="607" customWidth="1"/>
    <col min="19" max="19" width="1.5" style="607" customWidth="1"/>
    <col min="20" max="20" width="11.5" style="607" customWidth="1"/>
    <col min="21" max="21" width="11.125" style="607" customWidth="1"/>
    <col min="22" max="22" width="10.875" style="607" customWidth="1"/>
    <col min="23" max="23" width="14.875" style="607" customWidth="1"/>
    <col min="24" max="24" width="15.375" style="607" customWidth="1"/>
    <col min="25" max="25" width="15.5" style="607" customWidth="1"/>
    <col min="26" max="26" width="1.375" style="607" customWidth="1"/>
    <col min="27" max="28" width="1.625" style="607" customWidth="1"/>
    <col min="29" max="29" width="21.375" style="607" customWidth="1"/>
    <col min="30" max="30" width="1.125" style="607" customWidth="1"/>
    <col min="31" max="32" width="14.125" style="607" customWidth="1"/>
    <col min="33" max="33" width="14" style="607" customWidth="1"/>
    <col min="34" max="34" width="2.625" style="607" customWidth="1"/>
    <col min="35" max="35" width="14.5" style="607" customWidth="1"/>
    <col min="36" max="36" width="25" style="607" customWidth="1"/>
    <col min="37" max="47" width="8" style="607" customWidth="1"/>
    <col min="48" max="16384" width="12.625" style="607"/>
  </cols>
  <sheetData>
    <row r="1" spans="1:62" ht="14.25" customHeight="1" x14ac:dyDescent="0.2">
      <c r="A1" s="1"/>
      <c r="B1" s="1"/>
      <c r="C1" s="1"/>
      <c r="D1" s="1"/>
      <c r="E1" s="1"/>
      <c r="F1" s="1"/>
      <c r="G1" s="18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 t="s">
        <v>532</v>
      </c>
      <c r="Z1" s="1"/>
      <c r="AA1" s="1"/>
      <c r="AB1" s="1"/>
      <c r="AC1" s="1"/>
      <c r="AD1" s="1"/>
      <c r="AE1" s="1"/>
      <c r="AF1" s="1"/>
      <c r="AG1" s="1"/>
      <c r="AH1" s="1"/>
      <c r="AI1" s="189"/>
      <c r="AJ1" s="189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</row>
    <row r="2" spans="1:62" ht="48.75" customHeight="1" x14ac:dyDescent="0.2">
      <c r="A2" s="1"/>
      <c r="B2" s="1"/>
      <c r="C2" s="1"/>
      <c r="D2" s="1"/>
      <c r="E2" s="1"/>
      <c r="F2" s="1"/>
      <c r="G2" s="188"/>
      <c r="H2" s="190"/>
      <c r="I2" s="1"/>
      <c r="J2" s="158"/>
      <c r="K2" s="158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 t="s">
        <v>583</v>
      </c>
      <c r="Z2" s="1"/>
      <c r="AA2" s="1"/>
      <c r="AB2" s="1"/>
      <c r="AC2" s="1"/>
      <c r="AD2" s="1"/>
      <c r="AE2" s="1"/>
      <c r="AF2" s="1"/>
      <c r="AG2" s="1"/>
      <c r="AH2" s="1"/>
      <c r="AI2" s="189"/>
      <c r="AJ2" s="189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</row>
    <row r="3" spans="1:62" ht="35.25" customHeight="1" x14ac:dyDescent="0.2">
      <c r="A3" s="1"/>
      <c r="B3" s="1"/>
      <c r="C3" s="1"/>
      <c r="D3" s="1"/>
      <c r="E3" s="1"/>
      <c r="F3" s="1"/>
      <c r="G3" s="188"/>
      <c r="H3" s="190"/>
      <c r="I3" s="1"/>
      <c r="J3" s="1"/>
      <c r="K3" s="158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 t="s">
        <v>584</v>
      </c>
      <c r="Z3" s="1"/>
      <c r="AA3" s="1"/>
      <c r="AB3" s="1"/>
      <c r="AC3" s="1"/>
      <c r="AD3" s="1"/>
      <c r="AE3" s="1"/>
      <c r="AF3" s="1"/>
      <c r="AG3" s="1"/>
      <c r="AH3" s="1"/>
      <c r="AI3" s="189"/>
      <c r="AJ3" s="189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</row>
    <row r="4" spans="1:62" ht="15" customHeight="1" x14ac:dyDescent="0.25">
      <c r="A4" s="2"/>
      <c r="B4" s="632" t="s">
        <v>387</v>
      </c>
      <c r="C4" s="632"/>
      <c r="D4" s="632"/>
      <c r="E4" s="632"/>
      <c r="F4" s="632"/>
      <c r="G4" s="632"/>
      <c r="H4" s="632"/>
      <c r="I4" s="632"/>
      <c r="J4" s="632"/>
      <c r="K4" s="632"/>
      <c r="L4" s="63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191"/>
      <c r="AJ4" s="191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</row>
    <row r="5" spans="1:62" ht="15" customHeight="1" x14ac:dyDescent="0.25">
      <c r="A5" s="2"/>
      <c r="B5" s="632"/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71"/>
      <c r="AJ5" s="271"/>
      <c r="AK5" s="271"/>
      <c r="AL5" s="271"/>
      <c r="AM5" s="271"/>
      <c r="AN5" s="271"/>
      <c r="AO5" s="271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</row>
    <row r="6" spans="1:62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268"/>
      <c r="AJ6" s="268"/>
      <c r="AK6" s="268"/>
      <c r="AL6" s="268"/>
      <c r="AM6" s="268"/>
      <c r="AN6" s="268"/>
      <c r="AO6" s="268"/>
      <c r="AP6" s="3"/>
      <c r="AQ6" s="3"/>
      <c r="AR6" s="3"/>
      <c r="AS6" s="3"/>
      <c r="AT6" s="3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</row>
    <row r="7" spans="1:62" ht="37.5" customHeight="1" x14ac:dyDescent="0.25">
      <c r="A7" s="3"/>
      <c r="B7" s="80"/>
      <c r="C7" s="159" t="s">
        <v>231</v>
      </c>
      <c r="D7" s="160"/>
      <c r="E7" s="160"/>
      <c r="F7" s="160"/>
      <c r="G7" s="160"/>
      <c r="H7" s="160"/>
      <c r="I7" s="160"/>
      <c r="J7" s="160"/>
      <c r="K7" s="160"/>
      <c r="L7" s="160"/>
      <c r="M7" s="80"/>
      <c r="N7" s="3"/>
      <c r="O7" s="80"/>
      <c r="P7" s="159" t="s">
        <v>358</v>
      </c>
      <c r="Q7" s="160"/>
      <c r="R7" s="160"/>
      <c r="S7" s="160"/>
      <c r="T7" s="160"/>
      <c r="U7" s="160"/>
      <c r="V7" s="160"/>
      <c r="W7" s="160"/>
      <c r="X7" s="160"/>
      <c r="Y7" s="160"/>
      <c r="Z7" s="80"/>
      <c r="AA7" s="3"/>
      <c r="AB7" s="192"/>
      <c r="AC7" s="635" t="s">
        <v>567</v>
      </c>
      <c r="AD7" s="636"/>
      <c r="AE7" s="636"/>
      <c r="AF7" s="636"/>
      <c r="AG7" s="634"/>
      <c r="AH7" s="193"/>
      <c r="AI7" s="14" t="s">
        <v>232</v>
      </c>
      <c r="AJ7" s="14" t="s">
        <v>233</v>
      </c>
      <c r="AK7" s="14"/>
      <c r="AL7" s="14"/>
      <c r="AM7" s="14"/>
      <c r="AN7" s="14"/>
      <c r="AO7" s="14"/>
      <c r="AP7" s="14"/>
      <c r="AQ7" s="14"/>
      <c r="AR7" s="14"/>
      <c r="AS7" s="14"/>
      <c r="AT7" s="3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</row>
    <row r="8" spans="1:62" ht="16.5" customHeight="1" x14ac:dyDescent="0.2">
      <c r="A8" s="3"/>
      <c r="B8" s="161"/>
      <c r="C8" s="162" t="s">
        <v>234</v>
      </c>
      <c r="D8" s="162"/>
      <c r="E8" s="163" t="s">
        <v>235</v>
      </c>
      <c r="F8" s="79"/>
      <c r="G8" s="163" t="s">
        <v>236</v>
      </c>
      <c r="H8" s="163" t="s">
        <v>237</v>
      </c>
      <c r="I8" s="163" t="s">
        <v>238</v>
      </c>
      <c r="J8" s="163" t="s">
        <v>239</v>
      </c>
      <c r="K8" s="251" t="s">
        <v>357</v>
      </c>
      <c r="L8" s="163" t="s">
        <v>178</v>
      </c>
      <c r="M8" s="80"/>
      <c r="N8" s="3"/>
      <c r="O8" s="161"/>
      <c r="P8" s="162" t="s">
        <v>234</v>
      </c>
      <c r="Q8" s="162"/>
      <c r="R8" s="163" t="s">
        <v>235</v>
      </c>
      <c r="S8" s="79"/>
      <c r="T8" s="163" t="s">
        <v>236</v>
      </c>
      <c r="U8" s="163" t="s">
        <v>237</v>
      </c>
      <c r="V8" s="163" t="s">
        <v>238</v>
      </c>
      <c r="W8" s="163" t="s">
        <v>239</v>
      </c>
      <c r="X8" s="251" t="s">
        <v>357</v>
      </c>
      <c r="Y8" s="163" t="s">
        <v>178</v>
      </c>
      <c r="Z8" s="80"/>
      <c r="AA8" s="3"/>
      <c r="AB8" s="192"/>
      <c r="AC8" s="194" t="s">
        <v>250</v>
      </c>
      <c r="AD8" s="195"/>
      <c r="AE8" s="194" t="s">
        <v>239</v>
      </c>
      <c r="AF8" s="194" t="s">
        <v>178</v>
      </c>
      <c r="AG8" s="194" t="s">
        <v>240</v>
      </c>
      <c r="AH8" s="192"/>
      <c r="AI8" s="304">
        <f>'Decision Tree'!N35</f>
        <v>14063.654769903998</v>
      </c>
      <c r="AJ8" s="304">
        <f>'Decision Tree'!N36</f>
        <v>4907.2569351040001</v>
      </c>
      <c r="AK8" s="14" t="s">
        <v>365</v>
      </c>
      <c r="AL8" s="14"/>
      <c r="AM8" s="14"/>
      <c r="AN8" s="14"/>
      <c r="AO8" s="14"/>
      <c r="AP8" s="14"/>
      <c r="AQ8" s="14"/>
      <c r="AR8" s="14"/>
      <c r="AS8" s="14"/>
      <c r="AT8" s="3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</row>
    <row r="9" spans="1:62" ht="5.25" customHeight="1" x14ac:dyDescent="0.2">
      <c r="A9" s="3"/>
      <c r="B9" s="80"/>
      <c r="C9" s="80"/>
      <c r="D9" s="80"/>
      <c r="E9" s="80"/>
      <c r="F9" s="80"/>
      <c r="G9" s="111"/>
      <c r="H9" s="111"/>
      <c r="I9" s="111"/>
      <c r="J9" s="111"/>
      <c r="K9" s="111"/>
      <c r="L9" s="111"/>
      <c r="M9" s="80"/>
      <c r="N9" s="3"/>
      <c r="O9" s="80"/>
      <c r="P9" s="80"/>
      <c r="Q9" s="80"/>
      <c r="R9" s="80"/>
      <c r="S9" s="80"/>
      <c r="T9" s="111"/>
      <c r="U9" s="111"/>
      <c r="V9" s="111"/>
      <c r="W9" s="111"/>
      <c r="X9" s="111"/>
      <c r="Y9" s="111"/>
      <c r="Z9" s="80"/>
      <c r="AA9" s="3"/>
      <c r="AB9" s="192"/>
      <c r="AC9" s="192"/>
      <c r="AD9" s="192"/>
      <c r="AE9" s="192"/>
      <c r="AF9" s="192"/>
      <c r="AG9" s="192"/>
      <c r="AH9" s="192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3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</row>
    <row r="10" spans="1:62" ht="15.75" customHeight="1" x14ac:dyDescent="0.2">
      <c r="A10" s="3"/>
      <c r="B10" s="80"/>
      <c r="C10" s="119" t="s">
        <v>435</v>
      </c>
      <c r="D10" s="80"/>
      <c r="E10" s="80"/>
      <c r="F10" s="80"/>
      <c r="G10" s="119">
        <f>cohortsize</f>
        <v>100</v>
      </c>
      <c r="H10" s="119">
        <v>0</v>
      </c>
      <c r="I10" s="80"/>
      <c r="J10" s="80"/>
      <c r="K10" s="80"/>
      <c r="L10" s="80"/>
      <c r="M10" s="80"/>
      <c r="N10" s="3"/>
      <c r="O10" s="80"/>
      <c r="P10" s="119" t="s">
        <v>435</v>
      </c>
      <c r="Q10" s="80"/>
      <c r="R10" s="80"/>
      <c r="S10" s="80"/>
      <c r="T10" s="119">
        <f>cohortsize</f>
        <v>100</v>
      </c>
      <c r="U10" s="119"/>
      <c r="V10" s="80"/>
      <c r="W10" s="80"/>
      <c r="X10" s="80"/>
      <c r="Y10" s="80"/>
      <c r="Z10" s="80"/>
      <c r="AA10" s="3"/>
      <c r="AB10" s="192"/>
      <c r="AC10" s="196" t="s">
        <v>251</v>
      </c>
      <c r="AD10" s="192"/>
      <c r="AE10" s="197">
        <f>J420</f>
        <v>83857.116128155467</v>
      </c>
      <c r="AF10" s="214">
        <f>L420</f>
        <v>3.3880727383448552</v>
      </c>
      <c r="AG10" s="214">
        <f>K420</f>
        <v>5.1365165673665452</v>
      </c>
      <c r="AH10" s="192"/>
      <c r="AI10" s="441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3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</row>
    <row r="11" spans="1:62" ht="14.25" customHeight="1" x14ac:dyDescent="0.2">
      <c r="A11" s="637" t="s">
        <v>542</v>
      </c>
      <c r="B11" s="80"/>
      <c r="C11" s="166">
        <v>0</v>
      </c>
      <c r="D11" s="165"/>
      <c r="E11" s="198">
        <v>0</v>
      </c>
      <c r="F11" s="199"/>
      <c r="G11" s="214">
        <f>G10*AI13</f>
        <v>81.2</v>
      </c>
      <c r="H11" s="501">
        <f>G10-G11</f>
        <v>18.799999999999997</v>
      </c>
      <c r="I11" s="514">
        <f t="shared" ref="I11:I120" si="0">SUM(G11:H11)</f>
        <v>100</v>
      </c>
      <c r="J11" s="170">
        <f>(AI8*G10)</f>
        <v>1406365.4769903999</v>
      </c>
      <c r="K11" s="255">
        <f t="shared" ref="K11:K74" si="1">G11</f>
        <v>81.2</v>
      </c>
      <c r="L11" s="200">
        <f>(G11*AI11)</f>
        <v>47.731433723076925</v>
      </c>
      <c r="M11" s="80"/>
      <c r="N11" s="3"/>
      <c r="O11" s="80"/>
      <c r="P11" s="166">
        <v>0</v>
      </c>
      <c r="Q11" s="165"/>
      <c r="R11" s="198">
        <v>0</v>
      </c>
      <c r="S11" s="199"/>
      <c r="T11" s="214">
        <f>T10*AJ13</f>
        <v>76.5</v>
      </c>
      <c r="U11" s="501">
        <f>T10-T11</f>
        <v>23.5</v>
      </c>
      <c r="V11" s="514">
        <f t="shared" ref="V11:V119" si="2">SUM(T11:U11)</f>
        <v>100</v>
      </c>
      <c r="W11" s="170">
        <f>(AJ8*T10)</f>
        <v>490725.69351040001</v>
      </c>
      <c r="X11" s="255">
        <f>T11</f>
        <v>76.5</v>
      </c>
      <c r="Y11" s="200">
        <f>T11*AJ11</f>
        <v>42.575118750000001</v>
      </c>
      <c r="Z11" s="80"/>
      <c r="AA11" s="3"/>
      <c r="AB11" s="192"/>
      <c r="AC11" s="196" t="s">
        <v>252</v>
      </c>
      <c r="AD11" s="192"/>
      <c r="AE11" s="201">
        <f>J422</f>
        <v>8385711.6128155468</v>
      </c>
      <c r="AF11" s="219">
        <f>L422</f>
        <v>338.8072738344855</v>
      </c>
      <c r="AG11" s="219">
        <f>K422</f>
        <v>513.65165673665445</v>
      </c>
      <c r="AH11" s="192"/>
      <c r="AI11" s="306">
        <f>'Decision Tree'!O35</f>
        <v>0.58782553846153851</v>
      </c>
      <c r="AJ11" s="306">
        <f>'Decision Tree'!O36</f>
        <v>0.55653750000000002</v>
      </c>
      <c r="AK11" s="14" t="s">
        <v>366</v>
      </c>
      <c r="AL11" s="14"/>
      <c r="AM11" s="14"/>
      <c r="AN11" s="14"/>
      <c r="AO11" s="14"/>
      <c r="AP11" s="14"/>
      <c r="AQ11" s="14"/>
      <c r="AR11" s="14"/>
      <c r="AS11" s="14"/>
      <c r="AT11" s="3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</row>
    <row r="12" spans="1:62" ht="14.25" customHeight="1" x14ac:dyDescent="0.2">
      <c r="A12" s="637"/>
      <c r="B12" s="80"/>
      <c r="C12" s="173">
        <v>1</v>
      </c>
      <c r="D12" s="165"/>
      <c r="E12" s="174">
        <v>3.0373181993401666E-2</v>
      </c>
      <c r="F12" s="502"/>
      <c r="G12" s="219">
        <f t="shared" ref="G12:G75" si="3">$G$10-H12</f>
        <v>78.733697622135793</v>
      </c>
      <c r="H12" s="500">
        <f t="shared" ref="H12:H35" si="4">H11+(G11*E12)</f>
        <v>21.266302377864214</v>
      </c>
      <c r="I12" s="515">
        <f>SUM(G12:H12)</f>
        <v>100</v>
      </c>
      <c r="J12" s="153">
        <f>(G12*Parameters!B41)/(1+cDR)^'Markov Model_SA2'!cycle</f>
        <v>677373.7714973666</v>
      </c>
      <c r="K12" s="178">
        <f t="shared" si="1"/>
        <v>78.733697622135793</v>
      </c>
      <c r="L12" s="202">
        <f>(G12*(uPostT))/(1+oDR)^'Markov Model_SA2'!cycle</f>
        <v>59.688389219773775</v>
      </c>
      <c r="M12" s="80"/>
      <c r="N12" s="3"/>
      <c r="O12" s="80"/>
      <c r="P12" s="173">
        <v>1</v>
      </c>
      <c r="Q12" s="165"/>
      <c r="R12" s="174">
        <v>3.0373181993401666E-2</v>
      </c>
      <c r="S12" s="502"/>
      <c r="T12" s="219">
        <f>$T$10-U12</f>
        <v>74.176451577504764</v>
      </c>
      <c r="U12" s="500">
        <f t="shared" ref="U12:U35" si="5">U11+(T11*R12)</f>
        <v>25.823548422495229</v>
      </c>
      <c r="V12" s="515">
        <f t="shared" si="2"/>
        <v>100</v>
      </c>
      <c r="W12" s="153">
        <f>(T12*Parameters!$B$41)/(1+cDR)^'Markov Model_SA2'!cycle2</f>
        <v>638166.17634911998</v>
      </c>
      <c r="X12" s="178">
        <f>T12</f>
        <v>74.176451577504764</v>
      </c>
      <c r="Y12" s="202">
        <f>(T12*(uPostT))/(1+oDR)^'Markov Model_SA2'!cycle</f>
        <v>56.233519400402614</v>
      </c>
      <c r="Z12" s="80"/>
      <c r="AA12" s="3"/>
      <c r="AB12" s="192"/>
      <c r="AC12" s="273" t="s">
        <v>369</v>
      </c>
      <c r="AD12" s="192"/>
      <c r="AE12" s="201">
        <f>W420</f>
        <v>70660.948978284257</v>
      </c>
      <c r="AF12" s="219">
        <f>Y420</f>
        <v>3.1660351179695971</v>
      </c>
      <c r="AG12" s="219">
        <f>X420</f>
        <v>4.8392058793539503</v>
      </c>
      <c r="AH12" s="192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3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</row>
    <row r="13" spans="1:62" ht="14.25" customHeight="1" x14ac:dyDescent="0.2">
      <c r="A13" s="637"/>
      <c r="B13" s="80"/>
      <c r="C13" s="173">
        <v>2</v>
      </c>
      <c r="D13" s="165"/>
      <c r="E13" s="174">
        <v>2.9185165326540474E-2</v>
      </c>
      <c r="F13" s="502"/>
      <c r="G13" s="219">
        <f t="shared" si="3"/>
        <v>76.435841640263902</v>
      </c>
      <c r="H13" s="249">
        <f t="shared" si="4"/>
        <v>23.564158359736094</v>
      </c>
      <c r="I13" s="515">
        <f t="shared" si="0"/>
        <v>100</v>
      </c>
      <c r="J13" s="153">
        <f>(G13*Parameters!B41)/(1+cDR)^'Markov Model_SA2'!cycle</f>
        <v>655984.22495272045</v>
      </c>
      <c r="K13" s="178">
        <f t="shared" si="1"/>
        <v>76.435841640263902</v>
      </c>
      <c r="L13" s="202">
        <f>(G13*(uPostT))/(1+oDR)^'Markov Model_SA2'!cycle</f>
        <v>57.801869039720472</v>
      </c>
      <c r="M13" s="80"/>
      <c r="N13" s="3"/>
      <c r="O13" s="80"/>
      <c r="P13" s="173">
        <v>2</v>
      </c>
      <c r="Q13" s="165"/>
      <c r="R13" s="174">
        <v>2.9185165326540474E-2</v>
      </c>
      <c r="S13" s="502"/>
      <c r="T13" s="219">
        <f t="shared" ref="T13:T120" si="6">$T$10-U13</f>
        <v>72.01159957487917</v>
      </c>
      <c r="U13" s="249">
        <f t="shared" si="5"/>
        <v>27.98840042512083</v>
      </c>
      <c r="V13" s="515">
        <f t="shared" si="2"/>
        <v>100</v>
      </c>
      <c r="W13" s="153">
        <f>(T13*Parameters!$B$41)/(1+cDR)^'Markov Model_SA2'!cycle2</f>
        <v>618014.69469067873</v>
      </c>
      <c r="X13" s="178">
        <f t="shared" ref="X13:X119" si="7">T13</f>
        <v>72.01159957487917</v>
      </c>
      <c r="Y13" s="202">
        <f>(T13*(uPostT))/(1+oDR)^'Markov Model_SA2'!cycle</f>
        <v>54.456194353923841</v>
      </c>
      <c r="Z13" s="80"/>
      <c r="AA13" s="3"/>
      <c r="AB13" s="192"/>
      <c r="AC13" s="273" t="s">
        <v>370</v>
      </c>
      <c r="AD13" s="192"/>
      <c r="AE13" s="201">
        <f>W422</f>
        <v>7066094.8978284262</v>
      </c>
      <c r="AF13" s="219">
        <f>Y422</f>
        <v>316.60351179695971</v>
      </c>
      <c r="AG13" s="219">
        <f>X422</f>
        <v>483.92058793539508</v>
      </c>
      <c r="AH13" s="192"/>
      <c r="AI13" s="305">
        <f>'Decision Tree'!N41</f>
        <v>0.81200000000000006</v>
      </c>
      <c r="AJ13" s="305">
        <f>'Decision Tree'!N42</f>
        <v>0.76500000000000001</v>
      </c>
      <c r="AK13" s="14" t="s">
        <v>367</v>
      </c>
      <c r="AL13" s="14"/>
      <c r="AM13" s="14"/>
      <c r="AN13" s="14"/>
      <c r="AO13" s="14"/>
      <c r="AP13" s="14"/>
      <c r="AQ13" s="14"/>
      <c r="AR13" s="14"/>
      <c r="AS13" s="14"/>
      <c r="AT13" s="3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</row>
    <row r="14" spans="1:62" ht="14.25" customHeight="1" x14ac:dyDescent="0.2">
      <c r="A14" s="637"/>
      <c r="B14" s="80"/>
      <c r="C14" s="173">
        <v>3</v>
      </c>
      <c r="D14" s="165"/>
      <c r="E14" s="174">
        <v>2.8042941872942651E-2</v>
      </c>
      <c r="F14" s="502"/>
      <c r="G14" s="219">
        <f>$G$10-H14</f>
        <v>74.292355776136532</v>
      </c>
      <c r="H14" s="249">
        <f>H13+(G13*E14)</f>
        <v>25.707644223863465</v>
      </c>
      <c r="I14" s="515">
        <f t="shared" si="0"/>
        <v>100</v>
      </c>
      <c r="J14" s="153">
        <f>(G14*Parameters!$B$41)/(1+cDR)^'Markov Model_SA2'!cycle</f>
        <v>636017.53415344493</v>
      </c>
      <c r="K14" s="178">
        <f t="shared" si="1"/>
        <v>74.292355776136532</v>
      </c>
      <c r="L14" s="202">
        <f>(G14*(uPostT))/(1+oDR)^'Markov Model_SA2'!cycle</f>
        <v>56.040832504830078</v>
      </c>
      <c r="M14" s="80"/>
      <c r="N14" s="3"/>
      <c r="O14" s="80"/>
      <c r="P14" s="173">
        <v>3</v>
      </c>
      <c r="Q14" s="165"/>
      <c r="R14" s="174">
        <v>2.8042941872942651E-2</v>
      </c>
      <c r="S14" s="502"/>
      <c r="T14" s="219">
        <f t="shared" si="6"/>
        <v>69.99218247382322</v>
      </c>
      <c r="U14" s="249">
        <f t="shared" si="5"/>
        <v>30.007817526176787</v>
      </c>
      <c r="V14" s="515">
        <f t="shared" si="2"/>
        <v>100</v>
      </c>
      <c r="W14" s="153">
        <f>(T14*Parameters!$B$41)/(1+cDR)^'Markov Model_SA2'!cycle2</f>
        <v>599203.71136377531</v>
      </c>
      <c r="X14" s="178">
        <f t="shared" si="7"/>
        <v>69.99218247382322</v>
      </c>
      <c r="Y14" s="202">
        <f>(T14*(uPostT))/(1+oDR)^'Markov Model_SA2'!cycle</f>
        <v>52.797089736693373</v>
      </c>
      <c r="Z14" s="80"/>
      <c r="AA14" s="3"/>
      <c r="AB14" s="192"/>
      <c r="AC14" s="192"/>
      <c r="AD14" s="192"/>
      <c r="AE14" s="192"/>
      <c r="AF14" s="192"/>
      <c r="AG14" s="192"/>
      <c r="AH14" s="192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3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</row>
    <row r="15" spans="1:62" ht="14.25" customHeight="1" x14ac:dyDescent="0.2">
      <c r="A15" s="637"/>
      <c r="B15" s="80"/>
      <c r="C15" s="173">
        <v>4</v>
      </c>
      <c r="D15" s="165"/>
      <c r="E15" s="174">
        <v>2.694479881328149E-2</v>
      </c>
      <c r="F15" s="502"/>
      <c r="G15" s="219">
        <f t="shared" si="3"/>
        <v>72.2905631963838</v>
      </c>
      <c r="H15" s="249">
        <f t="shared" si="4"/>
        <v>27.709436803616196</v>
      </c>
      <c r="I15" s="515">
        <f t="shared" si="0"/>
        <v>100</v>
      </c>
      <c r="J15" s="153">
        <f>(G15*Parameters!$B$41)/(1+cDR)^'Markov Model_SA2'!cycle</f>
        <v>617355.302057878</v>
      </c>
      <c r="K15" s="178">
        <f t="shared" si="1"/>
        <v>72.2905631963838</v>
      </c>
      <c r="L15" s="202">
        <f>(G15*(uPostT))/(1+oDR)^'Markov Model_SA2'!cycle</f>
        <v>54.394836456517332</v>
      </c>
      <c r="M15" s="80"/>
      <c r="N15" s="3"/>
      <c r="O15" s="80"/>
      <c r="P15" s="173">
        <v>4</v>
      </c>
      <c r="Q15" s="165"/>
      <c r="R15" s="174">
        <v>2.694479881328149E-2</v>
      </c>
      <c r="S15" s="502"/>
      <c r="T15" s="219">
        <f t="shared" si="6"/>
        <v>68.106257198563554</v>
      </c>
      <c r="U15" s="249">
        <f t="shared" si="5"/>
        <v>31.893742801436439</v>
      </c>
      <c r="V15" s="515">
        <f t="shared" si="2"/>
        <v>100</v>
      </c>
      <c r="W15" s="153">
        <f>(T15*Parameters!$B$41)/(1+cDR)^'Markov Model_SA2'!cycle2</f>
        <v>581621.68235748354</v>
      </c>
      <c r="X15" s="178">
        <f t="shared" si="7"/>
        <v>68.106257198563554</v>
      </c>
      <c r="Y15" s="202">
        <f>(T15*(uPostT))/(1+oDR)^'Markov Model_SA2'!cycle</f>
        <v>51.246366858664722</v>
      </c>
      <c r="Z15" s="80"/>
      <c r="AA15" s="3"/>
      <c r="AB15" s="192"/>
      <c r="AC15" s="427" t="s">
        <v>253</v>
      </c>
      <c r="AD15" s="192"/>
      <c r="AE15" s="596">
        <f>K425</f>
        <v>59432.1229329013</v>
      </c>
      <c r="AF15" s="428" t="s">
        <v>568</v>
      </c>
      <c r="AG15" s="192"/>
      <c r="AH15" s="192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3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</row>
    <row r="16" spans="1:62" ht="14.25" customHeight="1" x14ac:dyDescent="0.2">
      <c r="A16" s="637"/>
      <c r="B16" s="80"/>
      <c r="C16" s="173">
        <v>5</v>
      </c>
      <c r="D16" s="165"/>
      <c r="E16" s="174">
        <v>2.5889083312734429E-2</v>
      </c>
      <c r="F16" s="502"/>
      <c r="G16" s="219">
        <f t="shared" si="3"/>
        <v>70.419026783068134</v>
      </c>
      <c r="H16" s="249">
        <f t="shared" si="4"/>
        <v>29.58097321693187</v>
      </c>
      <c r="I16" s="515">
        <f t="shared" si="0"/>
        <v>100</v>
      </c>
      <c r="J16" s="153">
        <f>(G16*Parameters!$B$41)/(1+cDR)^'Markov Model_SA2'!cycle</f>
        <v>599890.80891133239</v>
      </c>
      <c r="K16" s="178">
        <f t="shared" si="1"/>
        <v>70.419026783068134</v>
      </c>
      <c r="L16" s="202">
        <f>(G16*(uPostT))/(1+oDR)^'Markov Model_SA2'!cycle</f>
        <v>52.854467834126673</v>
      </c>
      <c r="M16" s="80"/>
      <c r="N16" s="3"/>
      <c r="O16" s="80"/>
      <c r="P16" s="173">
        <v>5</v>
      </c>
      <c r="Q16" s="165"/>
      <c r="R16" s="174">
        <v>2.5889083312734429E-2</v>
      </c>
      <c r="S16" s="502"/>
      <c r="T16" s="219">
        <f t="shared" si="6"/>
        <v>66.343048631831437</v>
      </c>
      <c r="U16" s="249">
        <f t="shared" si="5"/>
        <v>33.656951368168571</v>
      </c>
      <c r="V16" s="515">
        <f t="shared" si="2"/>
        <v>100</v>
      </c>
      <c r="W16" s="153">
        <f>(T16*Parameters!$B$41)/(1+cDR)^'Markov Model_SA2'!cycle2</f>
        <v>565168.06504577491</v>
      </c>
      <c r="X16" s="178">
        <f t="shared" si="7"/>
        <v>66.343048631831437</v>
      </c>
      <c r="Y16" s="202">
        <f>(T16*(uPostT))/(1+oDR)^'Markov Model_SA2'!cycle</f>
        <v>49.795157503826239</v>
      </c>
      <c r="Z16" s="80"/>
      <c r="AA16" s="3"/>
      <c r="AB16" s="192"/>
      <c r="AC16" s="196"/>
      <c r="AD16" s="192"/>
      <c r="AE16" s="192"/>
      <c r="AF16" s="203"/>
      <c r="AG16" s="192"/>
      <c r="AH16" s="192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3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</row>
    <row r="17" spans="1:60" ht="14.25" customHeight="1" x14ac:dyDescent="0.2">
      <c r="A17" s="637"/>
      <c r="B17" s="80"/>
      <c r="C17" s="173">
        <v>6</v>
      </c>
      <c r="D17" s="165"/>
      <c r="E17" s="174">
        <v>2.48742007441628E-2</v>
      </c>
      <c r="F17" s="502"/>
      <c r="G17" s="219">
        <f t="shared" si="3"/>
        <v>68.667409774657514</v>
      </c>
      <c r="H17" s="249">
        <f t="shared" si="4"/>
        <v>31.332590225342482</v>
      </c>
      <c r="I17" s="515">
        <f t="shared" si="0"/>
        <v>100</v>
      </c>
      <c r="J17" s="153">
        <f>(G17*Parameters!$B$41)/(1+cDR)^'Markov Model_SA2'!cycle</f>
        <v>583527.69110885484</v>
      </c>
      <c r="K17" s="178">
        <f t="shared" si="1"/>
        <v>68.667409774657514</v>
      </c>
      <c r="L17" s="202">
        <f>(G17*(uPostT))/(1+oDR)^'Markov Model_SA2'!cycle</f>
        <v>51.411227123186755</v>
      </c>
      <c r="M17" s="80"/>
      <c r="N17" s="3"/>
      <c r="O17" s="80"/>
      <c r="P17" s="173">
        <v>6</v>
      </c>
      <c r="Q17" s="165"/>
      <c r="R17" s="174">
        <v>2.48742007441628E-2</v>
      </c>
      <c r="S17" s="502"/>
      <c r="T17" s="219">
        <f t="shared" si="6"/>
        <v>64.692818322183498</v>
      </c>
      <c r="U17" s="249">
        <f t="shared" si="5"/>
        <v>35.307181677816502</v>
      </c>
      <c r="V17" s="515">
        <f t="shared" si="2"/>
        <v>100</v>
      </c>
      <c r="W17" s="153">
        <f>(T17*Parameters!$B$41)/(1+cDR)^'Markov Model_SA2'!cycle2</f>
        <v>549752.07352004177</v>
      </c>
      <c r="X17" s="178">
        <f>T17</f>
        <v>64.692818322183498</v>
      </c>
      <c r="Y17" s="202">
        <f>(T17*(uPostT))/(1+oDR)^'Markov Model_SA2'!cycle</f>
        <v>48.435454124677179</v>
      </c>
      <c r="Z17" s="80"/>
      <c r="AA17" s="3"/>
      <c r="AB17" s="3"/>
      <c r="AC17" s="3"/>
      <c r="AD17" s="29"/>
      <c r="AE17" s="442"/>
      <c r="AF17" s="3"/>
      <c r="AG17" s="3"/>
      <c r="AH17" s="3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3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</row>
    <row r="18" spans="1:60" ht="14.25" customHeight="1" x14ac:dyDescent="0.2">
      <c r="A18" s="637"/>
      <c r="B18" s="80"/>
      <c r="C18" s="173">
        <v>7</v>
      </c>
      <c r="D18" s="165"/>
      <c r="E18" s="174">
        <v>2.3898612936932295E-2</v>
      </c>
      <c r="F18" s="502"/>
      <c r="G18" s="219">
        <f t="shared" si="3"/>
        <v>67.026353927071256</v>
      </c>
      <c r="H18" s="249">
        <f t="shared" si="4"/>
        <v>32.973646072928744</v>
      </c>
      <c r="I18" s="515">
        <f t="shared" si="0"/>
        <v>100</v>
      </c>
      <c r="J18" s="153">
        <f>(G18*Parameters!$B$41)/(1+cDR)^'Markov Model_SA2'!cycle</f>
        <v>568178.78707698232</v>
      </c>
      <c r="K18" s="178">
        <f t="shared" si="1"/>
        <v>67.026353927071256</v>
      </c>
      <c r="L18" s="202">
        <f>(G18*(uPostT))/(1+oDR)^'Markov Model_SA2'!cycle</f>
        <v>50.057426539208983</v>
      </c>
      <c r="M18" s="80"/>
      <c r="N18" s="3"/>
      <c r="O18" s="80"/>
      <c r="P18" s="173">
        <v>7</v>
      </c>
      <c r="Q18" s="165"/>
      <c r="R18" s="174">
        <v>2.3898612936932295E-2</v>
      </c>
      <c r="S18" s="502"/>
      <c r="T18" s="219">
        <f t="shared" si="6"/>
        <v>63.146749697302354</v>
      </c>
      <c r="U18" s="249">
        <f t="shared" si="5"/>
        <v>36.853250302697646</v>
      </c>
      <c r="V18" s="515">
        <f t="shared" si="2"/>
        <v>100</v>
      </c>
      <c r="W18" s="153">
        <f>(T18*Parameters!$B$41)/(1+cDR)^'Markov Model_SA2'!cycle2</f>
        <v>535291.59127326543</v>
      </c>
      <c r="X18" s="178">
        <f t="shared" si="7"/>
        <v>63.146749697302354</v>
      </c>
      <c r="Y18" s="202">
        <f>(T18*(uPostT))/(1+oDR)^'Markov Model_SA2'!cycle</f>
        <v>47.160013919328662</v>
      </c>
      <c r="Z18" s="80"/>
      <c r="AA18" s="3"/>
      <c r="AB18" s="3"/>
      <c r="AC18" s="297"/>
      <c r="AD18" s="523"/>
      <c r="AE18" s="524"/>
      <c r="AF18" s="3"/>
      <c r="AG18" s="3"/>
      <c r="AH18" s="3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3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</row>
    <row r="19" spans="1:60" ht="14.25" customHeight="1" x14ac:dyDescent="0.25">
      <c r="A19" s="637"/>
      <c r="B19" s="80"/>
      <c r="C19" s="173">
        <v>8</v>
      </c>
      <c r="D19" s="165"/>
      <c r="E19" s="174">
        <v>2.2960836453611355E-2</v>
      </c>
      <c r="F19" s="502"/>
      <c r="G19" s="219">
        <f t="shared" si="3"/>
        <v>65.487372776469897</v>
      </c>
      <c r="H19" s="249">
        <f t="shared" si="4"/>
        <v>34.512627223530096</v>
      </c>
      <c r="I19" s="515">
        <f t="shared" si="0"/>
        <v>100</v>
      </c>
      <c r="J19" s="153">
        <f>(G19*Parameters!$B$41)/(1+cDR)^'Markov Model_SA2'!cycle</f>
        <v>553765.12700678967</v>
      </c>
      <c r="K19" s="178">
        <f t="shared" si="1"/>
        <v>65.487372776469897</v>
      </c>
      <c r="L19" s="202">
        <f>(G19*(uPostT))/(1+oDR)^'Markov Model_SA2'!cycle</f>
        <v>48.786100902896294</v>
      </c>
      <c r="M19" s="80"/>
      <c r="N19" s="3"/>
      <c r="O19" s="80"/>
      <c r="P19" s="173">
        <v>8</v>
      </c>
      <c r="Q19" s="165"/>
      <c r="R19" s="174">
        <v>2.2960836453611355E-2</v>
      </c>
      <c r="S19" s="502"/>
      <c r="T19" s="219">
        <f t="shared" si="6"/>
        <v>61.696847504925465</v>
      </c>
      <c r="U19" s="249">
        <f t="shared" si="5"/>
        <v>38.303152495074535</v>
      </c>
      <c r="V19" s="515">
        <f t="shared" si="2"/>
        <v>100</v>
      </c>
      <c r="W19" s="153">
        <f>(T19*Parameters!$B$41)/(1+cDR)^'Markov Model_SA2'!cycle2</f>
        <v>521712.21940910607</v>
      </c>
      <c r="X19" s="178">
        <f t="shared" si="7"/>
        <v>61.696847504925465</v>
      </c>
      <c r="Y19" s="202">
        <f>(T19*(uPostT))/(1+oDR)^'Markov Model_SA2'!cycle</f>
        <v>45.962274865413384</v>
      </c>
      <c r="Z19" s="80"/>
      <c r="AA19" s="3"/>
      <c r="AB19" s="3"/>
      <c r="AC19" s="297"/>
      <c r="AD19" s="523"/>
      <c r="AE19" s="297"/>
      <c r="AF19" s="3"/>
      <c r="AG19" s="3"/>
      <c r="AH19" s="3"/>
      <c r="AI19" s="14"/>
      <c r="AJ19" s="307"/>
      <c r="AK19" s="14"/>
      <c r="AL19" s="14"/>
      <c r="AM19" s="14"/>
      <c r="AN19" s="14"/>
      <c r="AO19" s="14"/>
      <c r="AP19" s="14"/>
      <c r="AQ19" s="14"/>
      <c r="AR19" s="14"/>
      <c r="AS19" s="14"/>
      <c r="AT19" s="3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</row>
    <row r="20" spans="1:60" ht="14.25" customHeight="1" x14ac:dyDescent="0.2">
      <c r="A20" s="637"/>
      <c r="B20" s="80"/>
      <c r="C20" s="173">
        <v>9</v>
      </c>
      <c r="D20" s="165"/>
      <c r="E20" s="174">
        <v>2.2059440896469829E-2</v>
      </c>
      <c r="F20" s="502"/>
      <c r="G20" s="219">
        <f t="shared" si="3"/>
        <v>64.042757947242279</v>
      </c>
      <c r="H20" s="249">
        <f t="shared" si="4"/>
        <v>35.957242052757721</v>
      </c>
      <c r="I20" s="515">
        <f t="shared" si="0"/>
        <v>100</v>
      </c>
      <c r="J20" s="153">
        <f>(G20*Parameters!$B$41)/(1+cDR)^'Markov Model_SA2'!cycle</f>
        <v>540215.0467515809</v>
      </c>
      <c r="K20" s="178">
        <f t="shared" si="1"/>
        <v>64.042757947242279</v>
      </c>
      <c r="L20" s="202">
        <f>(G20*(uPostT))/(1+oDR)^'Markov Model_SA2'!cycle</f>
        <v>47.590929469785181</v>
      </c>
      <c r="M20" s="80"/>
      <c r="N20" s="3"/>
      <c r="O20" s="80"/>
      <c r="P20" s="173">
        <v>9</v>
      </c>
      <c r="Q20" s="165"/>
      <c r="R20" s="174">
        <v>2.2059440896469829E-2</v>
      </c>
      <c r="S20" s="502"/>
      <c r="T20" s="219">
        <f t="shared" si="6"/>
        <v>60.335849543892053</v>
      </c>
      <c r="U20" s="249">
        <f t="shared" si="5"/>
        <v>39.664150456107947</v>
      </c>
      <c r="V20" s="515">
        <f t="shared" si="2"/>
        <v>100</v>
      </c>
      <c r="W20" s="153">
        <f>(T20*Parameters!$B$41)/(1+cDR)^'Markov Model_SA2'!cycle2</f>
        <v>508946.44182876783</v>
      </c>
      <c r="X20" s="178">
        <f t="shared" si="7"/>
        <v>60.335849543892053</v>
      </c>
      <c r="Y20" s="202">
        <f>(T20*(uPostT))/(1+oDR)^'Markov Model_SA2'!cycle</f>
        <v>44.836282074366579</v>
      </c>
      <c r="Z20" s="80"/>
      <c r="AA20" s="3"/>
      <c r="AB20" s="3"/>
      <c r="AC20" s="297"/>
      <c r="AD20" s="523"/>
      <c r="AE20" s="297"/>
      <c r="AF20" s="3"/>
      <c r="AG20" s="3"/>
      <c r="AH20" s="3"/>
      <c r="AI20" s="268"/>
      <c r="AJ20" s="268"/>
      <c r="AK20" s="268"/>
      <c r="AL20" s="268"/>
      <c r="AM20" s="268"/>
      <c r="AN20" s="268"/>
      <c r="AO20" s="268"/>
      <c r="AP20" s="3"/>
      <c r="AQ20" s="3"/>
      <c r="AR20" s="3"/>
      <c r="AS20" s="3"/>
      <c r="AT20" s="3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</row>
    <row r="21" spans="1:60" ht="14.25" customHeight="1" x14ac:dyDescent="0.2">
      <c r="A21" s="637"/>
      <c r="B21" s="80"/>
      <c r="C21" s="173">
        <v>10</v>
      </c>
      <c r="D21" s="165"/>
      <c r="E21" s="174">
        <v>2.119304724540283E-2</v>
      </c>
      <c r="F21" s="502"/>
      <c r="G21" s="219">
        <f t="shared" si="3"/>
        <v>62.685496752340477</v>
      </c>
      <c r="H21" s="249">
        <f t="shared" si="4"/>
        <v>37.314503247659523</v>
      </c>
      <c r="I21" s="515">
        <f t="shared" si="0"/>
        <v>100</v>
      </c>
      <c r="J21" s="153">
        <f>(G21*Parameters!$B$41)/(1+cDR)^'Markov Model_SA2'!cycle</f>
        <v>527463.40912256436</v>
      </c>
      <c r="K21" s="178">
        <f t="shared" si="1"/>
        <v>62.685496752340477</v>
      </c>
      <c r="L21" s="202">
        <f>(G21*(uPostT))/(1+oDR)^'Markov Model_SA2'!cycle</f>
        <v>46.466167234991921</v>
      </c>
      <c r="M21" s="80"/>
      <c r="N21" s="3"/>
      <c r="O21" s="80"/>
      <c r="P21" s="173">
        <v>10</v>
      </c>
      <c r="Q21" s="165"/>
      <c r="R21" s="174">
        <v>2.119304724540283E-2</v>
      </c>
      <c r="S21" s="502"/>
      <c r="T21" s="219">
        <f t="shared" si="6"/>
        <v>59.057149033916829</v>
      </c>
      <c r="U21" s="249">
        <f t="shared" si="5"/>
        <v>40.942850966083171</v>
      </c>
      <c r="V21" s="515">
        <f t="shared" si="2"/>
        <v>100</v>
      </c>
      <c r="W21" s="153">
        <f>(T21*Parameters!$B$41)/(1+cDR)^'Markov Model_SA2'!cycle2</f>
        <v>496932.89159946027</v>
      </c>
      <c r="X21" s="178">
        <f t="shared" si="7"/>
        <v>59.057149033916829</v>
      </c>
      <c r="Y21" s="202">
        <f>(T21*(uPostT))/(1+oDR)^'Markov Model_SA2'!cycle</f>
        <v>43.776623072375386</v>
      </c>
      <c r="Z21" s="80"/>
      <c r="AA21" s="3"/>
      <c r="AB21" s="3"/>
      <c r="AC21" s="297"/>
      <c r="AD21" s="523"/>
      <c r="AE21" s="297"/>
      <c r="AF21" s="3"/>
      <c r="AG21" s="3"/>
      <c r="AH21" s="3"/>
      <c r="AI21" s="268"/>
      <c r="AJ21" s="268"/>
      <c r="AK21" s="268"/>
      <c r="AL21" s="268"/>
      <c r="AM21" s="268"/>
      <c r="AN21" s="268"/>
      <c r="AO21" s="268"/>
      <c r="AP21" s="3"/>
      <c r="AQ21" s="3"/>
      <c r="AR21" s="3"/>
      <c r="AS21" s="3"/>
      <c r="AT21" s="3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</row>
    <row r="22" spans="1:60" ht="14.25" customHeight="1" x14ac:dyDescent="0.2">
      <c r="A22" s="637"/>
      <c r="B22" s="80"/>
      <c r="C22" s="173">
        <v>11</v>
      </c>
      <c r="D22" s="165"/>
      <c r="E22" s="174">
        <v>2.0360326228659686E-2</v>
      </c>
      <c r="F22" s="502"/>
      <c r="G22" s="219">
        <f t="shared" si="3"/>
        <v>61.409199588657238</v>
      </c>
      <c r="H22" s="249">
        <f t="shared" si="4"/>
        <v>38.590800411342762</v>
      </c>
      <c r="I22" s="515">
        <f t="shared" si="0"/>
        <v>100</v>
      </c>
      <c r="J22" s="153">
        <f>(G22*Parameters!$B$41)/(1+cDR)^'Markov Model_SA2'!cycle</f>
        <v>515450.91827101872</v>
      </c>
      <c r="K22" s="178">
        <f t="shared" si="1"/>
        <v>61.409199588657238</v>
      </c>
      <c r="L22" s="202">
        <f>(G22*(uPostT))/(1+oDR)^'Markov Model_SA2'!cycle</f>
        <v>45.406584450366111</v>
      </c>
      <c r="M22" s="80"/>
      <c r="N22" s="3"/>
      <c r="O22" s="80"/>
      <c r="P22" s="173">
        <v>11</v>
      </c>
      <c r="Q22" s="165"/>
      <c r="R22" s="174">
        <v>2.0360326228659686E-2</v>
      </c>
      <c r="S22" s="502"/>
      <c r="T22" s="219">
        <f t="shared" si="6"/>
        <v>57.854726213451706</v>
      </c>
      <c r="U22" s="249">
        <f t="shared" si="5"/>
        <v>42.145273786548294</v>
      </c>
      <c r="V22" s="515">
        <f t="shared" si="2"/>
        <v>100</v>
      </c>
      <c r="W22" s="153">
        <f>(T22*Parameters!$B$41)/(1+cDR)^'Markov Model_SA2'!cycle2</f>
        <v>485615.70502134145</v>
      </c>
      <c r="X22" s="178">
        <f t="shared" si="7"/>
        <v>57.854726213451706</v>
      </c>
      <c r="Y22" s="202">
        <f>(T22*(uPostT))/(1+oDR)^'Markov Model_SA2'!cycle</f>
        <v>42.77837081838679</v>
      </c>
      <c r="Z22" s="80"/>
      <c r="AA22" s="3"/>
      <c r="AB22" s="3"/>
      <c r="AC22" s="14"/>
      <c r="AD22" s="525"/>
      <c r="AE22" s="14"/>
      <c r="AF22" s="3"/>
      <c r="AG22" s="3"/>
      <c r="AH22" s="3"/>
      <c r="AI22" s="268"/>
      <c r="AJ22" s="268"/>
      <c r="AK22" s="268"/>
      <c r="AL22" s="268"/>
      <c r="AM22" s="268"/>
      <c r="AN22" s="268"/>
      <c r="AO22" s="268"/>
      <c r="AP22" s="3"/>
      <c r="AQ22" s="3"/>
      <c r="AR22" s="3"/>
      <c r="AS22" s="3"/>
      <c r="AT22" s="3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</row>
    <row r="23" spans="1:60" ht="14.25" customHeight="1" x14ac:dyDescent="0.2">
      <c r="A23" s="637"/>
      <c r="B23" s="80"/>
      <c r="C23" s="173">
        <v>12</v>
      </c>
      <c r="D23" s="504"/>
      <c r="E23" s="174">
        <v>1.9559996727496309E-2</v>
      </c>
      <c r="F23" s="505"/>
      <c r="G23" s="219">
        <f t="shared" si="3"/>
        <v>60.208035845664938</v>
      </c>
      <c r="H23" s="249">
        <f t="shared" si="4"/>
        <v>39.791964154335062</v>
      </c>
      <c r="I23" s="516">
        <f t="shared" si="0"/>
        <v>100</v>
      </c>
      <c r="J23" s="180">
        <f>(G23*Parameters!$B$41)/(1+cDR)^'Markov Model_SA2'!cycle</f>
        <v>504123.51491461351</v>
      </c>
      <c r="K23" s="176">
        <f t="shared" si="1"/>
        <v>60.208035845664938</v>
      </c>
      <c r="L23" s="202">
        <f>(G23*(uPostT))/(1+oDR)^'Markov Model_SA2'!cycle</f>
        <v>44.40741327392535</v>
      </c>
      <c r="M23" s="80"/>
      <c r="N23" s="3"/>
      <c r="O23" s="80"/>
      <c r="P23" s="173">
        <v>12</v>
      </c>
      <c r="Q23" s="504"/>
      <c r="R23" s="174">
        <v>1.9559996727496309E-2</v>
      </c>
      <c r="S23" s="505"/>
      <c r="T23" s="219">
        <f t="shared" si="6"/>
        <v>56.723087958046392</v>
      </c>
      <c r="U23" s="249">
        <f t="shared" si="5"/>
        <v>43.276912041953608</v>
      </c>
      <c r="V23" s="516">
        <f t="shared" si="2"/>
        <v>100</v>
      </c>
      <c r="W23" s="180">
        <f>(T23*Parameters!$B$41)/(1+cDR)^'Markov Model_SA2'!cycle2</f>
        <v>474943.95185921091</v>
      </c>
      <c r="X23" s="176">
        <f t="shared" si="7"/>
        <v>56.723087958046392</v>
      </c>
      <c r="Y23" s="202">
        <f>(T23*(uPostT))/(1+oDR)^'Markov Model_SA2'!cycle</f>
        <v>41.837033441567598</v>
      </c>
      <c r="Z23" s="80"/>
      <c r="AA23" s="3"/>
      <c r="AB23" s="3"/>
      <c r="AC23" s="14">
        <v>0</v>
      </c>
      <c r="AD23" s="525"/>
      <c r="AE23" s="526"/>
      <c r="AF23" s="3"/>
      <c r="AG23" s="3"/>
      <c r="AH23" s="3"/>
      <c r="AI23" s="268"/>
      <c r="AJ23" s="268"/>
      <c r="AK23" s="268"/>
      <c r="AL23" s="268"/>
      <c r="AM23" s="268"/>
      <c r="AN23" s="268"/>
      <c r="AO23" s="268"/>
      <c r="AP23" s="3"/>
      <c r="AQ23" s="3"/>
      <c r="AR23" s="3"/>
      <c r="AS23" s="3"/>
      <c r="AT23" s="3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</row>
    <row r="24" spans="1:60" ht="14.25" customHeight="1" x14ac:dyDescent="0.25">
      <c r="A24" s="637" t="s">
        <v>543</v>
      </c>
      <c r="B24" s="80"/>
      <c r="C24" s="506">
        <v>13</v>
      </c>
      <c r="D24" s="506"/>
      <c r="E24" s="507">
        <v>1.8790824215674573E-2</v>
      </c>
      <c r="F24" s="508"/>
      <c r="G24" s="509">
        <f t="shared" si="3"/>
        <v>59.076677227718015</v>
      </c>
      <c r="H24" s="510">
        <f t="shared" si="4"/>
        <v>40.923322772281985</v>
      </c>
      <c r="I24" s="517">
        <f t="shared" si="0"/>
        <v>100</v>
      </c>
      <c r="J24" s="511">
        <f>(G24*0)/(1+cDR)^'Markov Model_SA2'!cycle</f>
        <v>0</v>
      </c>
      <c r="K24" s="512">
        <f t="shared" si="1"/>
        <v>59.076677227718015</v>
      </c>
      <c r="L24" s="513">
        <f>(G24*(uPostT))/(1+oDR)^'Markov Model_SA2'!cycle</f>
        <v>43.464300625658062</v>
      </c>
      <c r="M24" s="80"/>
      <c r="N24" s="3"/>
      <c r="O24" s="80"/>
      <c r="P24" s="506">
        <v>13</v>
      </c>
      <c r="Q24" s="506"/>
      <c r="R24" s="507">
        <v>1.8790824215674573E-2</v>
      </c>
      <c r="S24" s="508"/>
      <c r="T24" s="509">
        <f t="shared" si="6"/>
        <v>55.657214383256495</v>
      </c>
      <c r="U24" s="510">
        <f t="shared" si="5"/>
        <v>44.342785616743505</v>
      </c>
      <c r="V24" s="517">
        <f t="shared" si="2"/>
        <v>100</v>
      </c>
      <c r="W24" s="511">
        <f>(T24*0)/(1+cDR)^'Markov Model_SA2'!cycle2</f>
        <v>0</v>
      </c>
      <c r="X24" s="512">
        <f t="shared" si="7"/>
        <v>55.657214383256495</v>
      </c>
      <c r="Y24" s="513">
        <f>(T24*(uPostT))/(1+oDR)^'Markov Model_SA2'!cycle</f>
        <v>40.948509825897055</v>
      </c>
      <c r="Z24" s="80"/>
      <c r="AA24" s="3"/>
      <c r="AB24" s="3"/>
      <c r="AC24" s="14">
        <v>12</v>
      </c>
      <c r="AD24" s="525"/>
      <c r="AE24" s="525"/>
      <c r="AF24" s="3"/>
      <c r="AG24" s="3"/>
      <c r="AH24" s="3"/>
      <c r="AI24" s="268"/>
      <c r="AJ24" s="268"/>
      <c r="AK24" s="268"/>
      <c r="AL24" s="268"/>
      <c r="AM24" s="268"/>
      <c r="AN24" s="268"/>
      <c r="AO24" s="268"/>
      <c r="AP24" s="3"/>
      <c r="AQ24" s="3"/>
      <c r="AR24" s="3"/>
      <c r="AS24" s="3"/>
      <c r="AT24" s="3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</row>
    <row r="25" spans="1:60" ht="14.25" customHeight="1" x14ac:dyDescent="0.2">
      <c r="A25" s="637"/>
      <c r="B25" s="80"/>
      <c r="C25" s="173">
        <v>14</v>
      </c>
      <c r="D25" s="165"/>
      <c r="E25" s="174">
        <v>1.8051619234516147E-2</v>
      </c>
      <c r="F25" s="502"/>
      <c r="G25" s="219">
        <f t="shared" si="3"/>
        <v>58.010247544762841</v>
      </c>
      <c r="H25" s="249">
        <f t="shared" si="4"/>
        <v>41.989752455237159</v>
      </c>
      <c r="I25" s="515">
        <f t="shared" si="0"/>
        <v>100</v>
      </c>
      <c r="J25" s="153">
        <f>(G25*0)/(1+cDR)^'Markov Model_SA2'!cycle</f>
        <v>0</v>
      </c>
      <c r="K25" s="178">
        <f t="shared" si="1"/>
        <v>58.010247544762841</v>
      </c>
      <c r="L25" s="202">
        <f>(G25*(uPostT))/(1+oDR)^'Markov Model_SA2'!cycle</f>
        <v>42.573266454333321</v>
      </c>
      <c r="M25" s="80"/>
      <c r="N25" s="3"/>
      <c r="O25" s="80"/>
      <c r="P25" s="173">
        <v>14</v>
      </c>
      <c r="Q25" s="165"/>
      <c r="R25" s="174">
        <v>1.8051619234516147E-2</v>
      </c>
      <c r="S25" s="502"/>
      <c r="T25" s="219">
        <f t="shared" si="6"/>
        <v>54.652511541556116</v>
      </c>
      <c r="U25" s="249">
        <f t="shared" si="5"/>
        <v>45.347488458443884</v>
      </c>
      <c r="V25" s="515">
        <f t="shared" si="2"/>
        <v>100</v>
      </c>
      <c r="W25" s="153">
        <f>(T25*0)/(1+cDR)^'Markov Model_SA2'!cycle2</f>
        <v>0</v>
      </c>
      <c r="X25" s="178">
        <f t="shared" si="7"/>
        <v>54.652511541556116</v>
      </c>
      <c r="Y25" s="202">
        <f>(T25*(uPostT))/(1+oDR)^'Markov Model_SA2'!cycle</f>
        <v>40.109050292567716</v>
      </c>
      <c r="Z25" s="80"/>
      <c r="AA25" s="3"/>
      <c r="AB25" s="3"/>
      <c r="AC25" s="14">
        <v>13</v>
      </c>
      <c r="AD25" s="525"/>
      <c r="AE25" s="14"/>
      <c r="AF25" s="3"/>
      <c r="AG25" s="3"/>
      <c r="AH25" s="3"/>
      <c r="AI25" s="268"/>
      <c r="AJ25" s="268"/>
      <c r="AK25" s="268"/>
      <c r="AL25" s="268"/>
      <c r="AM25" s="268"/>
      <c r="AN25" s="268"/>
      <c r="AO25" s="268"/>
      <c r="AP25" s="3"/>
      <c r="AQ25" s="3"/>
      <c r="AR25" s="3"/>
      <c r="AS25" s="3"/>
      <c r="AT25" s="3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</row>
    <row r="26" spans="1:60" ht="14.25" customHeight="1" x14ac:dyDescent="0.2">
      <c r="A26" s="637"/>
      <c r="B26" s="80"/>
      <c r="C26" s="173">
        <v>15</v>
      </c>
      <c r="D26" s="165"/>
      <c r="E26" s="174">
        <v>1.7341235904053898E-2</v>
      </c>
      <c r="F26" s="502"/>
      <c r="G26" s="219">
        <f t="shared" si="3"/>
        <v>57.004278157236541</v>
      </c>
      <c r="H26" s="249">
        <f t="shared" si="4"/>
        <v>42.995721842763459</v>
      </c>
      <c r="I26" s="515">
        <f t="shared" si="0"/>
        <v>100</v>
      </c>
      <c r="J26" s="153">
        <f>(G26*0)/(1+cDR)^'Markov Model_SA2'!cycle</f>
        <v>0</v>
      </c>
      <c r="K26" s="178">
        <f t="shared" si="1"/>
        <v>57.004278157236541</v>
      </c>
      <c r="L26" s="202">
        <f>(G26*(uPostT))/(1+oDR)^'Markov Model_SA2'!cycle</f>
        <v>41.730666730715797</v>
      </c>
      <c r="M26" s="80"/>
      <c r="N26" s="3"/>
      <c r="O26" s="80"/>
      <c r="P26" s="173">
        <v>15</v>
      </c>
      <c r="Q26" s="165"/>
      <c r="R26" s="174">
        <v>1.7341235904053898E-2</v>
      </c>
      <c r="S26" s="502"/>
      <c r="T26" s="219">
        <f t="shared" si="6"/>
        <v>53.70476944616496</v>
      </c>
      <c r="U26" s="249">
        <f t="shared" si="5"/>
        <v>46.29523055383504</v>
      </c>
      <c r="V26" s="515">
        <f t="shared" si="2"/>
        <v>100</v>
      </c>
      <c r="W26" s="153">
        <f>(T26*0)/(1+cDR)^'Markov Model_SA2'!cycle2</f>
        <v>0</v>
      </c>
      <c r="X26" s="178">
        <f t="shared" si="7"/>
        <v>53.70476944616496</v>
      </c>
      <c r="Y26" s="202">
        <f>(T26*(uPostT))/(1+oDR)^'Markov Model_SA2'!cycle</f>
        <v>39.315221735218685</v>
      </c>
      <c r="Z26" s="80"/>
      <c r="AA26" s="3"/>
      <c r="AB26" s="3"/>
      <c r="AC26" s="14">
        <v>14</v>
      </c>
      <c r="AD26" s="525"/>
      <c r="AE26" s="14"/>
      <c r="AF26" s="3"/>
      <c r="AG26" s="3"/>
      <c r="AH26" s="3"/>
      <c r="AI26" s="268"/>
      <c r="AJ26" s="268"/>
      <c r="AK26" s="268"/>
      <c r="AL26" s="268"/>
      <c r="AM26" s="268"/>
      <c r="AN26" s="268"/>
      <c r="AO26" s="268"/>
      <c r="AP26" s="3"/>
      <c r="AQ26" s="3"/>
      <c r="AR26" s="3"/>
      <c r="AS26" s="3"/>
      <c r="AT26" s="3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</row>
    <row r="27" spans="1:60" ht="14.25" customHeight="1" x14ac:dyDescent="0.2">
      <c r="A27" s="637"/>
      <c r="B27" s="80"/>
      <c r="C27" s="173">
        <v>16</v>
      </c>
      <c r="D27" s="165"/>
      <c r="E27" s="174">
        <v>1.665857047065189E-2</v>
      </c>
      <c r="F27" s="502"/>
      <c r="G27" s="219">
        <f t="shared" si="3"/>
        <v>56.054668372425574</v>
      </c>
      <c r="H27" s="249">
        <f t="shared" si="4"/>
        <v>43.945331627574426</v>
      </c>
      <c r="I27" s="515">
        <f t="shared" si="0"/>
        <v>100</v>
      </c>
      <c r="J27" s="153">
        <f>(G27*0)/(1+cDR)^'Markov Model_SA2'!cycle</f>
        <v>0</v>
      </c>
      <c r="K27" s="178">
        <f t="shared" si="1"/>
        <v>56.054668372425574</v>
      </c>
      <c r="L27" s="202">
        <f>(G27*(uPostT))/(1+oDR)^'Markov Model_SA2'!cycle</f>
        <v>40.933160576752989</v>
      </c>
      <c r="M27" s="80"/>
      <c r="N27" s="3"/>
      <c r="O27" s="80"/>
      <c r="P27" s="173">
        <v>16</v>
      </c>
      <c r="Q27" s="165"/>
      <c r="R27" s="174">
        <v>1.665857047065189E-2</v>
      </c>
      <c r="S27" s="502"/>
      <c r="T27" s="219">
        <f t="shared" si="6"/>
        <v>52.810124759735906</v>
      </c>
      <c r="U27" s="249">
        <f t="shared" si="5"/>
        <v>47.189875240264094</v>
      </c>
      <c r="V27" s="515">
        <f t="shared" si="2"/>
        <v>100</v>
      </c>
      <c r="W27" s="153">
        <f>(T27*0)/(1+cDR)^'Markov Model_SA2'!cycle2</f>
        <v>0</v>
      </c>
      <c r="X27" s="178">
        <f t="shared" si="7"/>
        <v>52.810124759735906</v>
      </c>
      <c r="Y27" s="202">
        <f>(T27*(uPostT))/(1+oDR)^'Markov Model_SA2'!cycle</f>
        <v>38.563876651743875</v>
      </c>
      <c r="Z27" s="80"/>
      <c r="AA27" s="3"/>
      <c r="AB27" s="3"/>
      <c r="AC27" s="14">
        <v>15</v>
      </c>
      <c r="AD27" s="525"/>
      <c r="AE27" s="14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</row>
    <row r="28" spans="1:60" ht="14.25" customHeight="1" x14ac:dyDescent="0.2">
      <c r="A28" s="637"/>
      <c r="B28" s="80"/>
      <c r="C28" s="173">
        <v>17</v>
      </c>
      <c r="D28" s="165"/>
      <c r="E28" s="174">
        <v>1.6002559891328927E-2</v>
      </c>
      <c r="F28" s="502"/>
      <c r="G28" s="219">
        <f t="shared" si="3"/>
        <v>55.157650184607256</v>
      </c>
      <c r="H28" s="249">
        <f t="shared" si="4"/>
        <v>44.842349815392744</v>
      </c>
      <c r="I28" s="515">
        <f t="shared" si="0"/>
        <v>100</v>
      </c>
      <c r="J28" s="153">
        <f>(G28*0)/(1+cDR)^'Markov Model_SA2'!cycle</f>
        <v>0</v>
      </c>
      <c r="K28" s="178">
        <f t="shared" si="1"/>
        <v>55.157650184607256</v>
      </c>
      <c r="L28" s="202">
        <f>(G28*(uPostT))/(1+oDR)^'Markov Model_SA2'!cycle</f>
        <v>40.177681020530798</v>
      </c>
      <c r="M28" s="80"/>
      <c r="N28" s="3"/>
      <c r="O28" s="80"/>
      <c r="P28" s="173">
        <v>17</v>
      </c>
      <c r="Q28" s="165"/>
      <c r="R28" s="174">
        <v>1.6002559891328927E-2</v>
      </c>
      <c r="S28" s="502"/>
      <c r="T28" s="219">
        <f t="shared" si="6"/>
        <v>51.965027575399681</v>
      </c>
      <c r="U28" s="249">
        <f t="shared" si="5"/>
        <v>48.034972424600319</v>
      </c>
      <c r="V28" s="515">
        <f t="shared" si="2"/>
        <v>100</v>
      </c>
      <c r="W28" s="153">
        <f>(T28*0)/(1+cDR)^'Markov Model_SA2'!cycle2</f>
        <v>0</v>
      </c>
      <c r="X28" s="178">
        <f t="shared" si="7"/>
        <v>51.965027575399681</v>
      </c>
      <c r="Y28" s="202">
        <f>(T28*(uPostT))/(1+oDR)^'Markov Model_SA2'!cycle</f>
        <v>37.852125592002523</v>
      </c>
      <c r="Z28" s="80"/>
      <c r="AA28" s="3"/>
      <c r="AB28" s="3"/>
      <c r="AC28" s="14">
        <v>16</v>
      </c>
      <c r="AD28" s="525"/>
      <c r="AE28" s="14"/>
      <c r="AF28" s="3"/>
      <c r="AG28" s="3"/>
      <c r="AH28" s="3"/>
      <c r="AI28" s="14"/>
      <c r="AJ28" s="14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</row>
    <row r="29" spans="1:60" ht="14.25" customHeight="1" x14ac:dyDescent="0.2">
      <c r="A29" s="637"/>
      <c r="B29" s="80"/>
      <c r="C29" s="173">
        <v>18</v>
      </c>
      <c r="D29" s="165"/>
      <c r="E29" s="174">
        <v>1.5372180454884199E-2</v>
      </c>
      <c r="F29" s="502"/>
      <c r="G29" s="219">
        <f t="shared" si="3"/>
        <v>54.309756832502096</v>
      </c>
      <c r="H29" s="249">
        <f t="shared" si="4"/>
        <v>45.690243167497904</v>
      </c>
      <c r="I29" s="515">
        <f t="shared" si="0"/>
        <v>100</v>
      </c>
      <c r="J29" s="153">
        <f>(G29*0)/(1+cDR)^'Markov Model_SA2'!cycle</f>
        <v>0</v>
      </c>
      <c r="K29" s="178">
        <f t="shared" si="1"/>
        <v>54.309756832502096</v>
      </c>
      <c r="L29" s="202">
        <f>(G29*(uPostT))/(1+oDR)^'Markov Model_SA2'!cycle</f>
        <v>39.461408935286201</v>
      </c>
      <c r="M29" s="80"/>
      <c r="N29" s="3"/>
      <c r="O29" s="80"/>
      <c r="P29" s="173">
        <v>18</v>
      </c>
      <c r="Q29" s="165"/>
      <c r="R29" s="174">
        <v>1.5372180454884199E-2</v>
      </c>
      <c r="S29" s="502"/>
      <c r="T29" s="219">
        <f t="shared" si="6"/>
        <v>51.166211794167602</v>
      </c>
      <c r="U29" s="249">
        <f t="shared" si="5"/>
        <v>48.833788205832398</v>
      </c>
      <c r="V29" s="515">
        <f t="shared" si="2"/>
        <v>100</v>
      </c>
      <c r="W29" s="153">
        <f>(T29*0)/(1+cDR)^'Markov Model_SA2'!cycle2</f>
        <v>0</v>
      </c>
      <c r="X29" s="178">
        <f t="shared" si="7"/>
        <v>51.166211794167602</v>
      </c>
      <c r="Y29" s="202">
        <f>(T29*(uPostT))/(1+oDR)^'Markov Model_SA2'!cycle</f>
        <v>37.177312605288094</v>
      </c>
      <c r="Z29" s="80"/>
      <c r="AA29" s="3"/>
      <c r="AB29" s="3"/>
      <c r="AC29" s="14">
        <v>17</v>
      </c>
      <c r="AD29" s="525"/>
      <c r="AE29" s="14"/>
      <c r="AF29" s="3"/>
      <c r="AG29" s="3"/>
      <c r="AH29" s="3"/>
      <c r="AI29" s="14"/>
      <c r="AJ29" s="14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</row>
    <row r="30" spans="1:60" ht="14.25" customHeight="1" x14ac:dyDescent="0.2">
      <c r="A30" s="637"/>
      <c r="B30" s="80"/>
      <c r="C30" s="173">
        <v>19</v>
      </c>
      <c r="D30" s="165"/>
      <c r="E30" s="174">
        <v>1.4766446439807179E-2</v>
      </c>
      <c r="F30" s="502"/>
      <c r="G30" s="219">
        <f t="shared" si="3"/>
        <v>53.507794717076003</v>
      </c>
      <c r="H30" s="249">
        <f t="shared" si="4"/>
        <v>46.492205282923997</v>
      </c>
      <c r="I30" s="515">
        <f t="shared" si="0"/>
        <v>100</v>
      </c>
      <c r="J30" s="153">
        <f>(G30*0)/(1+cDR)^'Markov Model_SA2'!cycle</f>
        <v>0</v>
      </c>
      <c r="K30" s="178">
        <f t="shared" si="1"/>
        <v>53.507794717076003</v>
      </c>
      <c r="L30" s="202">
        <f>(G30*(uPostT))/(1+oDR)^'Markov Model_SA2'!cycle</f>
        <v>38.781749779355586</v>
      </c>
      <c r="M30" s="80"/>
      <c r="N30" s="3"/>
      <c r="O30" s="80"/>
      <c r="P30" s="173">
        <v>19</v>
      </c>
      <c r="Q30" s="165"/>
      <c r="R30" s="174">
        <v>1.4766446439807179E-2</v>
      </c>
      <c r="S30" s="502"/>
      <c r="T30" s="219">
        <f t="shared" si="6"/>
        <v>50.410668668181195</v>
      </c>
      <c r="U30" s="249">
        <f t="shared" si="5"/>
        <v>49.589331331818805</v>
      </c>
      <c r="V30" s="515">
        <f t="shared" si="2"/>
        <v>100</v>
      </c>
      <c r="W30" s="153">
        <f>(T30*0)/(1+cDR)^'Markov Model_SA2'!cycle2</f>
        <v>0</v>
      </c>
      <c r="X30" s="178">
        <f t="shared" si="7"/>
        <v>50.410668668181195</v>
      </c>
      <c r="Y30" s="202">
        <f>(T30*(uPostT))/(1+oDR)^'Markov Model_SA2'!cycle</f>
        <v>36.536993326609618</v>
      </c>
      <c r="Z30" s="80"/>
      <c r="AA30" s="3"/>
      <c r="AB30" s="3"/>
      <c r="AC30" s="14">
        <v>18</v>
      </c>
      <c r="AD30" s="525"/>
      <c r="AE30" s="14"/>
      <c r="AF30" s="3"/>
      <c r="AG30" s="3"/>
      <c r="AH30" s="3"/>
      <c r="AI30" s="14"/>
      <c r="AJ30" s="14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</row>
    <row r="31" spans="1:60" ht="14.25" customHeight="1" x14ac:dyDescent="0.2">
      <c r="A31" s="637"/>
      <c r="B31" s="80"/>
      <c r="C31" s="173">
        <v>20</v>
      </c>
      <c r="D31" s="165"/>
      <c r="E31" s="174">
        <v>1.4184408808851745E-2</v>
      </c>
      <c r="F31" s="502"/>
      <c r="G31" s="219">
        <f t="shared" si="3"/>
        <v>52.748818282348878</v>
      </c>
      <c r="H31" s="249">
        <f t="shared" si="4"/>
        <v>47.251181717651122</v>
      </c>
      <c r="I31" s="515">
        <f t="shared" si="0"/>
        <v>100</v>
      </c>
      <c r="J31" s="153">
        <f>(G31*0)/(1+cDR)^'Markov Model_SA2'!cycle</f>
        <v>0</v>
      </c>
      <c r="K31" s="178">
        <f t="shared" si="1"/>
        <v>52.748818282348878</v>
      </c>
      <c r="L31" s="202">
        <f>(G31*(uPostT))/(1+oDR)^'Markov Model_SA2'!cycle</f>
        <v>38.136312804152226</v>
      </c>
      <c r="M31" s="80"/>
      <c r="N31" s="3"/>
      <c r="O31" s="80"/>
      <c r="P31" s="173">
        <v>20</v>
      </c>
      <c r="Q31" s="165"/>
      <c r="R31" s="174">
        <v>1.4184408808851745E-2</v>
      </c>
      <c r="S31" s="502"/>
      <c r="T31" s="219">
        <f t="shared" si="6"/>
        <v>49.695623135464139</v>
      </c>
      <c r="U31" s="249">
        <f t="shared" si="5"/>
        <v>50.304376864535861</v>
      </c>
      <c r="V31" s="515">
        <f t="shared" si="2"/>
        <v>100</v>
      </c>
      <c r="W31" s="153">
        <f>(T31*0)/(1+cDR)^'Markov Model_SA2'!cycle2</f>
        <v>0</v>
      </c>
      <c r="X31" s="178">
        <f t="shared" si="7"/>
        <v>49.695623135464139</v>
      </c>
      <c r="Y31" s="202">
        <f>(T31*(uPostT))/(1+oDR)^'Markov Model_SA2'!cycle</f>
        <v>35.928915388148326</v>
      </c>
      <c r="Z31" s="80"/>
      <c r="AA31" s="3"/>
      <c r="AB31" s="3"/>
      <c r="AC31" s="14">
        <v>19</v>
      </c>
      <c r="AD31" s="525"/>
      <c r="AE31" s="14"/>
      <c r="AF31" s="3"/>
      <c r="AG31" s="3"/>
      <c r="AH31" s="3"/>
      <c r="AI31" s="14"/>
      <c r="AJ31" s="14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</row>
    <row r="32" spans="1:60" ht="14.25" customHeight="1" x14ac:dyDescent="0.2">
      <c r="A32" s="637"/>
      <c r="B32" s="80"/>
      <c r="C32" s="173">
        <v>21</v>
      </c>
      <c r="D32" s="165"/>
      <c r="E32" s="174">
        <v>1.3625153940063695E-2</v>
      </c>
      <c r="F32" s="502"/>
      <c r="G32" s="219">
        <f t="shared" si="3"/>
        <v>52.03010751309543</v>
      </c>
      <c r="H32" s="249">
        <f t="shared" si="4"/>
        <v>47.96989248690457</v>
      </c>
      <c r="I32" s="515">
        <f t="shared" si="0"/>
        <v>100</v>
      </c>
      <c r="J32" s="153">
        <f>(G32*0)/(1+cDR)^'Markov Model_SA2'!cycle</f>
        <v>0</v>
      </c>
      <c r="K32" s="178">
        <f t="shared" si="1"/>
        <v>52.03010751309543</v>
      </c>
      <c r="L32" s="202">
        <f>(G32*(uPostT))/(1+oDR)^'Markov Model_SA2'!cycle</f>
        <v>37.522892440388262</v>
      </c>
      <c r="M32" s="80"/>
      <c r="N32" s="3"/>
      <c r="O32" s="80"/>
      <c r="P32" s="173">
        <v>21</v>
      </c>
      <c r="Q32" s="165"/>
      <c r="R32" s="174">
        <v>1.3625153940063695E-2</v>
      </c>
      <c r="S32" s="502"/>
      <c r="T32" s="219">
        <f t="shared" si="6"/>
        <v>49.018512620096047</v>
      </c>
      <c r="U32" s="249">
        <f t="shared" si="5"/>
        <v>50.981487379903953</v>
      </c>
      <c r="V32" s="515">
        <f t="shared" si="2"/>
        <v>100</v>
      </c>
      <c r="W32" s="153">
        <f>(T32*0)/(1+cDR)^'Markov Model_SA2'!cycle2</f>
        <v>0</v>
      </c>
      <c r="X32" s="178">
        <f t="shared" si="7"/>
        <v>49.018512620096047</v>
      </c>
      <c r="Y32" s="202">
        <f>(T32*(uPostT))/(1+oDR)^'Markov Model_SA2'!cycle</f>
        <v>35.35100088287809</v>
      </c>
      <c r="Z32" s="80"/>
      <c r="AA32" s="3"/>
      <c r="AB32" s="3"/>
      <c r="AC32" s="14">
        <v>20</v>
      </c>
      <c r="AD32" s="525"/>
      <c r="AE32" s="14"/>
      <c r="AF32" s="3"/>
      <c r="AG32" s="3"/>
      <c r="AH32" s="3"/>
      <c r="AI32" s="14"/>
      <c r="AJ32" s="14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</row>
    <row r="33" spans="1:60" ht="14.25" customHeight="1" x14ac:dyDescent="0.2">
      <c r="A33" s="637"/>
      <c r="B33" s="80"/>
      <c r="C33" s="173">
        <v>22</v>
      </c>
      <c r="D33" s="165"/>
      <c r="E33" s="174">
        <v>1.3087802393958126E-2</v>
      </c>
      <c r="F33" s="502"/>
      <c r="G33" s="219">
        <f t="shared" si="3"/>
        <v>51.349147747427644</v>
      </c>
      <c r="H33" s="249">
        <f t="shared" si="4"/>
        <v>48.650852252572356</v>
      </c>
      <c r="I33" s="515">
        <f t="shared" si="0"/>
        <v>100</v>
      </c>
      <c r="J33" s="153">
        <f>(G33*0)/(1+cDR)^'Markov Model_SA2'!cycle</f>
        <v>0</v>
      </c>
      <c r="K33" s="178">
        <f t="shared" si="1"/>
        <v>51.349147747427644</v>
      </c>
      <c r="L33" s="202">
        <f>(G33*(uPostT))/(1+oDR)^'Markov Model_SA2'!cycle</f>
        <v>36.939451609854089</v>
      </c>
      <c r="M33" s="80"/>
      <c r="N33" s="3"/>
      <c r="O33" s="80"/>
      <c r="P33" s="173">
        <v>22</v>
      </c>
      <c r="Q33" s="165"/>
      <c r="R33" s="174">
        <v>1.3087802393958126E-2</v>
      </c>
      <c r="S33" s="502"/>
      <c r="T33" s="219">
        <f t="shared" si="6"/>
        <v>48.376968013278486</v>
      </c>
      <c r="U33" s="249">
        <f t="shared" si="5"/>
        <v>51.623031986721514</v>
      </c>
      <c r="V33" s="515">
        <f t="shared" si="2"/>
        <v>100</v>
      </c>
      <c r="W33" s="153">
        <f>(T33*0)/(1+cDR)^'Markov Model_SA2'!cycle2</f>
        <v>0</v>
      </c>
      <c r="X33" s="178">
        <f t="shared" si="7"/>
        <v>48.376968013278486</v>
      </c>
      <c r="Y33" s="202">
        <f>(T33*(uPostT))/(1+oDR)^'Markov Model_SA2'!cycle</f>
        <v>34.801330642288633</v>
      </c>
      <c r="Z33" s="80"/>
      <c r="AA33" s="3"/>
      <c r="AB33" s="3"/>
      <c r="AC33" s="14">
        <v>21</v>
      </c>
      <c r="AD33" s="525"/>
      <c r="AE33" s="14"/>
      <c r="AF33" s="3"/>
      <c r="AG33" s="3"/>
      <c r="AH33" s="3"/>
      <c r="AI33" s="14"/>
      <c r="AJ33" s="14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</row>
    <row r="34" spans="1:60" ht="14.25" customHeight="1" x14ac:dyDescent="0.25">
      <c r="A34" s="637"/>
      <c r="B34" s="80"/>
      <c r="C34" s="173">
        <v>23</v>
      </c>
      <c r="D34" s="165"/>
      <c r="E34" s="174">
        <v>1.2571507716485297E-2</v>
      </c>
      <c r="F34" s="502"/>
      <c r="G34" s="219">
        <f t="shared" si="3"/>
        <v>50.703611540285912</v>
      </c>
      <c r="H34" s="249">
        <f t="shared" si="4"/>
        <v>49.296388459714088</v>
      </c>
      <c r="I34" s="515">
        <f t="shared" si="0"/>
        <v>100</v>
      </c>
      <c r="J34" s="153">
        <f>(G34*0)/(1+cDR)^'Markov Model_SA2'!cycle</f>
        <v>0</v>
      </c>
      <c r="K34" s="178">
        <f t="shared" si="1"/>
        <v>50.703611540285912</v>
      </c>
      <c r="L34" s="202">
        <f>(G34*(uPostT))/(1+oDR)^'Markov Model_SA2'!cycle</f>
        <v>36.384106742042967</v>
      </c>
      <c r="M34" s="80"/>
      <c r="N34" s="3"/>
      <c r="O34" s="80"/>
      <c r="P34" s="173">
        <v>23</v>
      </c>
      <c r="Q34" s="165"/>
      <c r="R34" s="174">
        <v>1.2571507716485297E-2</v>
      </c>
      <c r="S34" s="502"/>
      <c r="T34" s="219">
        <f t="shared" si="6"/>
        <v>47.768796586599393</v>
      </c>
      <c r="U34" s="249">
        <f t="shared" si="5"/>
        <v>52.231203413400607</v>
      </c>
      <c r="V34" s="515">
        <f t="shared" si="2"/>
        <v>100</v>
      </c>
      <c r="W34" s="153">
        <f>(T34*0)/(1+cDR)^'Markov Model_SA2'!cycle2</f>
        <v>0</v>
      </c>
      <c r="X34" s="178">
        <f t="shared" si="7"/>
        <v>47.768796586599393</v>
      </c>
      <c r="Y34" s="202">
        <f>(T34*(uPostT))/(1+oDR)^'Markov Model_SA2'!cycle</f>
        <v>34.278130120274454</v>
      </c>
      <c r="Z34" s="80"/>
      <c r="AA34" s="3"/>
      <c r="AB34" s="3"/>
      <c r="AC34" s="14">
        <v>22</v>
      </c>
      <c r="AD34" s="525"/>
      <c r="AE34" s="14"/>
      <c r="AF34" s="3"/>
      <c r="AG34" s="3"/>
      <c r="AH34" s="3"/>
      <c r="AI34" s="14"/>
      <c r="AJ34" s="204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</row>
    <row r="35" spans="1:60" ht="14.25" customHeight="1" x14ac:dyDescent="0.2">
      <c r="A35" s="637"/>
      <c r="B35" s="80"/>
      <c r="C35" s="173">
        <v>24</v>
      </c>
      <c r="D35" s="504"/>
      <c r="E35" s="174">
        <v>1.2075455277349323E-2</v>
      </c>
      <c r="F35" s="505"/>
      <c r="G35" s="219">
        <f t="shared" si="3"/>
        <v>50.091342346731096</v>
      </c>
      <c r="H35" s="249">
        <f t="shared" si="4"/>
        <v>49.908657653268904</v>
      </c>
      <c r="I35" s="516">
        <f t="shared" si="0"/>
        <v>100</v>
      </c>
      <c r="J35" s="180">
        <f>(G35*0)/(1+cDR)^'Markov Model_SA2'!cycle</f>
        <v>0</v>
      </c>
      <c r="K35" s="176">
        <f t="shared" si="1"/>
        <v>50.091342346731096</v>
      </c>
      <c r="L35" s="202">
        <f>(G35*(uPostT))/(1+oDR)^'Markov Model_SA2'!cycle</f>
        <v>35.855114302516832</v>
      </c>
      <c r="M35" s="80"/>
      <c r="N35" s="3"/>
      <c r="O35" s="80"/>
      <c r="P35" s="173">
        <v>24</v>
      </c>
      <c r="Q35" s="504"/>
      <c r="R35" s="174">
        <v>1.2075455277349323E-2</v>
      </c>
      <c r="S35" s="505"/>
      <c r="T35" s="219">
        <f t="shared" si="6"/>
        <v>47.191966619765118</v>
      </c>
      <c r="U35" s="249">
        <f t="shared" si="5"/>
        <v>52.808033380234882</v>
      </c>
      <c r="V35" s="516">
        <f t="shared" si="2"/>
        <v>100</v>
      </c>
      <c r="W35" s="180">
        <f>(T35*0)/(1+cDR)^'Markov Model_SA2'!cycle2</f>
        <v>0</v>
      </c>
      <c r="X35" s="176">
        <f t="shared" si="7"/>
        <v>47.191966619765118</v>
      </c>
      <c r="Y35" s="202">
        <f>(T35*(uPostT))/(1+oDR)^'Markov Model_SA2'!cycle</f>
        <v>33.77975670126277</v>
      </c>
      <c r="Z35" s="80"/>
      <c r="AA35" s="3"/>
      <c r="AB35" s="3"/>
      <c r="AC35" s="14">
        <v>23</v>
      </c>
      <c r="AD35" s="14"/>
      <c r="AE35" s="14"/>
      <c r="AF35" s="3"/>
      <c r="AG35" s="3"/>
      <c r="AH35" s="3"/>
      <c r="AI35" s="14"/>
      <c r="AJ35" s="14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</row>
    <row r="36" spans="1:60" ht="14.25" customHeight="1" x14ac:dyDescent="0.25">
      <c r="A36" s="637" t="s">
        <v>544</v>
      </c>
      <c r="B36" s="80"/>
      <c r="C36" s="506">
        <v>25</v>
      </c>
      <c r="D36" s="506"/>
      <c r="E36" s="612">
        <v>6.1197227600029436E-4</v>
      </c>
      <c r="F36" s="508"/>
      <c r="G36" s="509">
        <f t="shared" si="3"/>
        <v>49.938069782811901</v>
      </c>
      <c r="H36" s="482">
        <f>H35+(G35*E36*'life-tables-test'!$C$66)</f>
        <v>50.061930217188099</v>
      </c>
      <c r="I36" s="517">
        <f t="shared" si="0"/>
        <v>100</v>
      </c>
      <c r="J36" s="511">
        <f>(G36*0)/(1+cDR)^'Markov Model_SA2'!cycle</f>
        <v>0</v>
      </c>
      <c r="K36" s="512">
        <f t="shared" si="1"/>
        <v>49.938069782811901</v>
      </c>
      <c r="L36" s="513">
        <f>(G36*(uPostT))/(1+oDR)^'Markov Model_SA2'!cycle</f>
        <v>35.65626196806685</v>
      </c>
      <c r="M36" s="80"/>
      <c r="N36" s="3"/>
      <c r="O36" s="80"/>
      <c r="P36" s="506">
        <v>25</v>
      </c>
      <c r="Q36" s="506"/>
      <c r="R36" s="612">
        <v>6.1197227600029436E-4</v>
      </c>
      <c r="S36" s="508"/>
      <c r="T36" s="509">
        <f t="shared" si="6"/>
        <v>47.047565743658978</v>
      </c>
      <c r="U36" s="482">
        <f>U35+(T35*R36*'life-tables-test'!$C$66)</f>
        <v>52.952434256341022</v>
      </c>
      <c r="V36" s="517">
        <f t="shared" si="2"/>
        <v>100</v>
      </c>
      <c r="W36" s="511">
        <f>(T36*0)/(1+cDR)^'Markov Model_SA2'!cycle2</f>
        <v>0</v>
      </c>
      <c r="X36" s="512">
        <f t="shared" si="7"/>
        <v>47.047565743658978</v>
      </c>
      <c r="Y36" s="513">
        <f>(T36*(uPostT))/(1+oDR)^'Markov Model_SA2'!cycle</f>
        <v>33.592414292575285</v>
      </c>
      <c r="Z36" s="80"/>
      <c r="AA36" s="3"/>
      <c r="AB36" s="3"/>
      <c r="AC36" s="14">
        <v>24</v>
      </c>
      <c r="AD36" s="14"/>
      <c r="AE36" s="14"/>
      <c r="AF36" s="3"/>
      <c r="AG36" s="3"/>
      <c r="AH36" s="3"/>
      <c r="AI36" s="14"/>
      <c r="AJ36" s="14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</row>
    <row r="37" spans="1:60" ht="14.25" customHeight="1" x14ac:dyDescent="0.25">
      <c r="A37" s="637"/>
      <c r="B37" s="80"/>
      <c r="C37" s="173">
        <v>26</v>
      </c>
      <c r="D37" s="165"/>
      <c r="E37" s="612">
        <v>6.1197227600029436E-4</v>
      </c>
      <c r="F37" s="502"/>
      <c r="G37" s="219">
        <f t="shared" si="3"/>
        <v>49.785266211691656</v>
      </c>
      <c r="H37" s="481">
        <f>H36+(G36*E37*'life-tables-test'!$C$66)</f>
        <v>50.214733788308344</v>
      </c>
      <c r="I37" s="515">
        <f t="shared" si="0"/>
        <v>100</v>
      </c>
      <c r="J37" s="153">
        <f>(G37*0)/(1+cDR)^'Markov Model_SA2'!cycle</f>
        <v>0</v>
      </c>
      <c r="K37" s="178">
        <f t="shared" si="1"/>
        <v>49.785266211691656</v>
      </c>
      <c r="L37" s="202">
        <f>(G37*(uPostT))/(1+oDR)^'Markov Model_SA2'!cycle</f>
        <v>35.458512467945688</v>
      </c>
      <c r="M37" s="80"/>
      <c r="N37" s="3"/>
      <c r="O37" s="80"/>
      <c r="P37" s="173">
        <v>26</v>
      </c>
      <c r="Q37" s="165"/>
      <c r="R37" s="612">
        <v>6.1197227600029436E-4</v>
      </c>
      <c r="S37" s="502"/>
      <c r="T37" s="219">
        <f t="shared" si="6"/>
        <v>46.903606714216878</v>
      </c>
      <c r="U37" s="481">
        <f>U36+(T36*R37*'life-tables-test'!$C$66)</f>
        <v>53.096393285783122</v>
      </c>
      <c r="V37" s="515">
        <f t="shared" si="2"/>
        <v>100</v>
      </c>
      <c r="W37" s="153">
        <f>(T37*0)/(1+cDR)^'Markov Model_SA2'!cycle2</f>
        <v>0</v>
      </c>
      <c r="X37" s="178">
        <f t="shared" si="7"/>
        <v>46.903606714216878</v>
      </c>
      <c r="Y37" s="202">
        <f>(T37*(uPostT))/(1+oDR)^'Markov Model_SA2'!cycle</f>
        <v>33.406110884209902</v>
      </c>
      <c r="Z37" s="80"/>
      <c r="AA37" s="3"/>
      <c r="AB37" s="3"/>
      <c r="AC37" s="14">
        <v>25</v>
      </c>
      <c r="AD37" s="14"/>
      <c r="AE37" s="14"/>
      <c r="AF37" s="3"/>
      <c r="AG37" s="3"/>
      <c r="AH37" s="3"/>
      <c r="AI37" s="14"/>
      <c r="AJ37" s="14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</row>
    <row r="38" spans="1:60" ht="14.25" customHeight="1" x14ac:dyDescent="0.25">
      <c r="A38" s="637"/>
      <c r="B38" s="80"/>
      <c r="C38" s="173">
        <v>27</v>
      </c>
      <c r="D38" s="165"/>
      <c r="E38" s="612">
        <v>6.1197227600029436E-4</v>
      </c>
      <c r="F38" s="502"/>
      <c r="G38" s="219">
        <f t="shared" si="3"/>
        <v>49.63293019831741</v>
      </c>
      <c r="H38" s="481">
        <f>H37+(G37*E38*'life-tables-test'!$C$66)</f>
        <v>50.36706980168259</v>
      </c>
      <c r="I38" s="515">
        <f t="shared" si="0"/>
        <v>100</v>
      </c>
      <c r="J38" s="153">
        <f>(G38*0)/(1+cDR)^'Markov Model_SA2'!cycle</f>
        <v>0</v>
      </c>
      <c r="K38" s="178">
        <f t="shared" si="1"/>
        <v>49.63293019831741</v>
      </c>
      <c r="L38" s="202">
        <f>(G38*(uPostT))/(1+oDR)^'Markov Model_SA2'!cycle</f>
        <v>35.261859685838125</v>
      </c>
      <c r="M38" s="80"/>
      <c r="N38" s="3"/>
      <c r="O38" s="80"/>
      <c r="P38" s="173">
        <v>27</v>
      </c>
      <c r="Q38" s="165"/>
      <c r="R38" s="612">
        <v>6.1197227600029436E-4</v>
      </c>
      <c r="S38" s="502"/>
      <c r="T38" s="219">
        <f t="shared" si="6"/>
        <v>46.760088179449269</v>
      </c>
      <c r="U38" s="481">
        <f>U37+(T37*R38*'life-tables-test'!$C$66)</f>
        <v>53.239911820550731</v>
      </c>
      <c r="V38" s="515">
        <f t="shared" si="2"/>
        <v>100</v>
      </c>
      <c r="W38" s="153">
        <f>(T38*0)/(1+cDR)^'Markov Model_SA2'!cycle2</f>
        <v>0</v>
      </c>
      <c r="X38" s="178">
        <f t="shared" si="7"/>
        <v>46.760088179449269</v>
      </c>
      <c r="Y38" s="202">
        <f>(T38*(uPostT))/(1+oDR)^'Markov Model_SA2'!cycle</f>
        <v>33.220840713874587</v>
      </c>
      <c r="Z38" s="80"/>
      <c r="AA38" s="3"/>
      <c r="AB38" s="3"/>
      <c r="AC38" s="14">
        <v>26</v>
      </c>
      <c r="AD38" s="14"/>
      <c r="AE38" s="14"/>
      <c r="AF38" s="3"/>
      <c r="AG38" s="3"/>
      <c r="AH38" s="3"/>
      <c r="AI38" s="14"/>
      <c r="AJ38" s="14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</row>
    <row r="39" spans="1:60" ht="14.25" customHeight="1" x14ac:dyDescent="0.25">
      <c r="A39" s="637"/>
      <c r="B39" s="80"/>
      <c r="C39" s="173">
        <v>28</v>
      </c>
      <c r="D39" s="165"/>
      <c r="E39" s="612">
        <v>6.1197227600029436E-4</v>
      </c>
      <c r="F39" s="502"/>
      <c r="G39" s="219">
        <f t="shared" si="3"/>
        <v>49.481060312027267</v>
      </c>
      <c r="H39" s="481">
        <f>H38+(G38*E39*'life-tables-test'!$C$66)</f>
        <v>50.518939687972733</v>
      </c>
      <c r="I39" s="515">
        <f t="shared" si="0"/>
        <v>100</v>
      </c>
      <c r="J39" s="153">
        <f>(G39*0)/(1+cDR)^'Markov Model_SA2'!cycle</f>
        <v>0</v>
      </c>
      <c r="K39" s="178">
        <f t="shared" si="1"/>
        <v>49.481060312027267</v>
      </c>
      <c r="L39" s="202">
        <f>(G39*(uPostT))/(1+oDR)^'Markov Model_SA2'!cycle</f>
        <v>35.066297539350025</v>
      </c>
      <c r="M39" s="80"/>
      <c r="N39" s="3"/>
      <c r="O39" s="80"/>
      <c r="P39" s="173">
        <v>28</v>
      </c>
      <c r="Q39" s="165"/>
      <c r="R39" s="612">
        <v>6.1197227600029436E-4</v>
      </c>
      <c r="S39" s="502"/>
      <c r="T39" s="219">
        <f t="shared" si="6"/>
        <v>46.617008791503508</v>
      </c>
      <c r="U39" s="481">
        <f>U38+(T38*R39*'life-tables-test'!$C$66)</f>
        <v>53.382991208496492</v>
      </c>
      <c r="V39" s="515">
        <f t="shared" si="2"/>
        <v>100</v>
      </c>
      <c r="W39" s="153">
        <f>(T39*0)/(1+cDR)^'Markov Model_SA2'!cycle2</f>
        <v>0</v>
      </c>
      <c r="X39" s="178">
        <f t="shared" si="7"/>
        <v>46.617008791503508</v>
      </c>
      <c r="Y39" s="202">
        <f>(T39*(uPostT))/(1+oDR)^'Markov Model_SA2'!cycle</f>
        <v>33.036598051234932</v>
      </c>
      <c r="Z39" s="80"/>
      <c r="AA39" s="3"/>
      <c r="AB39" s="3"/>
      <c r="AC39" s="14">
        <v>27</v>
      </c>
      <c r="AD39" s="14"/>
      <c r="AE39" s="14"/>
      <c r="AF39" s="3"/>
      <c r="AG39" s="3"/>
      <c r="AH39" s="3"/>
      <c r="AI39" s="14"/>
      <c r="AJ39" s="14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</row>
    <row r="40" spans="1:60" ht="14.25" customHeight="1" x14ac:dyDescent="0.25">
      <c r="A40" s="637"/>
      <c r="B40" s="80"/>
      <c r="C40" s="173">
        <v>29</v>
      </c>
      <c r="D40" s="165"/>
      <c r="E40" s="612">
        <v>6.1197227600029436E-4</v>
      </c>
      <c r="F40" s="502"/>
      <c r="G40" s="219">
        <f t="shared" si="3"/>
        <v>49.32965512653697</v>
      </c>
      <c r="H40" s="481">
        <f>H39+(G39*E40*'life-tables-test'!$C$66)</f>
        <v>50.67034487346303</v>
      </c>
      <c r="I40" s="515">
        <f t="shared" si="0"/>
        <v>100</v>
      </c>
      <c r="J40" s="153">
        <f>(G40*0)/(1+cDR)^'Markov Model_SA2'!cycle</f>
        <v>0</v>
      </c>
      <c r="K40" s="178">
        <f t="shared" si="1"/>
        <v>49.32965512653697</v>
      </c>
      <c r="L40" s="202">
        <f>(G40*(uPostT))/(1+oDR)^'Markov Model_SA2'!cycle</f>
        <v>34.871819979820174</v>
      </c>
      <c r="M40" s="80"/>
      <c r="N40" s="3"/>
      <c r="O40" s="80"/>
      <c r="P40" s="173">
        <v>29</v>
      </c>
      <c r="Q40" s="165"/>
      <c r="R40" s="612">
        <v>6.1197227600029436E-4</v>
      </c>
      <c r="S40" s="502"/>
      <c r="T40" s="219">
        <f t="shared" si="6"/>
        <v>46.474367206651195</v>
      </c>
      <c r="U40" s="481">
        <f>U39+(T39*R40*'life-tables-test'!$C$66)</f>
        <v>53.525632793348805</v>
      </c>
      <c r="V40" s="515">
        <f t="shared" si="2"/>
        <v>100</v>
      </c>
      <c r="W40" s="153">
        <f>(T40*0)/(1+cDR)^'Markov Model_SA2'!cycle2</f>
        <v>0</v>
      </c>
      <c r="X40" s="178">
        <f t="shared" si="7"/>
        <v>46.474367206651195</v>
      </c>
      <c r="Y40" s="202">
        <f>(T40*(uPostT))/(1+oDR)^'Markov Model_SA2'!cycle</f>
        <v>32.853377197736975</v>
      </c>
      <c r="Z40" s="80"/>
      <c r="AA40" s="3"/>
      <c r="AB40" s="3"/>
      <c r="AC40" s="14">
        <v>28</v>
      </c>
      <c r="AD40" s="14"/>
      <c r="AE40" s="14"/>
      <c r="AF40" s="3"/>
      <c r="AG40" s="3"/>
      <c r="AH40" s="3"/>
      <c r="AI40" s="14"/>
      <c r="AJ40" s="14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</row>
    <row r="41" spans="1:60" ht="14.25" customHeight="1" x14ac:dyDescent="0.25">
      <c r="A41" s="637"/>
      <c r="B41" s="80"/>
      <c r="C41" s="173">
        <v>30</v>
      </c>
      <c r="D41" s="165"/>
      <c r="E41" s="612">
        <v>6.1197227600029436E-4</v>
      </c>
      <c r="F41" s="502"/>
      <c r="G41" s="219">
        <f t="shared" si="3"/>
        <v>49.178713219926486</v>
      </c>
      <c r="H41" s="481">
        <f>H40+(G40*E41*'life-tables-test'!$C$66)</f>
        <v>50.821286780073514</v>
      </c>
      <c r="I41" s="515">
        <f t="shared" si="0"/>
        <v>100</v>
      </c>
      <c r="J41" s="153">
        <f>(G41*0)/(1+cDR)^'Markov Model_SA2'!cycle</f>
        <v>0</v>
      </c>
      <c r="K41" s="178">
        <f t="shared" si="1"/>
        <v>49.178713219926486</v>
      </c>
      <c r="L41" s="202">
        <f>(G41*(uPostT))/(1+oDR)^'Markov Model_SA2'!cycle</f>
        <v>34.678420992133233</v>
      </c>
      <c r="M41" s="80"/>
      <c r="N41" s="3"/>
      <c r="O41" s="80"/>
      <c r="P41" s="173">
        <v>30</v>
      </c>
      <c r="Q41" s="165"/>
      <c r="R41" s="612">
        <v>6.1197227600029436E-4</v>
      </c>
      <c r="S41" s="502"/>
      <c r="T41" s="219">
        <f t="shared" si="6"/>
        <v>46.332162085275556</v>
      </c>
      <c r="U41" s="481">
        <f>U40+(T40*R41*'life-tables-test'!$C$66)</f>
        <v>53.667837914724444</v>
      </c>
      <c r="V41" s="515">
        <f t="shared" si="2"/>
        <v>100</v>
      </c>
      <c r="W41" s="153">
        <f>(T41*0)/(1+cDR)^'Markov Model_SA2'!cycle2</f>
        <v>0</v>
      </c>
      <c r="X41" s="178">
        <f t="shared" si="7"/>
        <v>46.332162085275556</v>
      </c>
      <c r="Y41" s="202">
        <f>(T41*(uPostT))/(1+oDR)^'Markov Model_SA2'!cycle</f>
        <v>32.671172486430933</v>
      </c>
      <c r="Z41" s="80"/>
      <c r="AA41" s="3"/>
      <c r="AB41" s="3"/>
      <c r="AC41" s="14">
        <v>29</v>
      </c>
      <c r="AD41" s="14"/>
      <c r="AE41" s="14"/>
      <c r="AF41" s="3"/>
      <c r="AG41" s="3"/>
      <c r="AH41" s="3"/>
      <c r="AI41" s="14"/>
      <c r="AJ41" s="14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</row>
    <row r="42" spans="1:60" ht="14.25" customHeight="1" x14ac:dyDescent="0.25">
      <c r="A42" s="637"/>
      <c r="B42" s="80"/>
      <c r="C42" s="173">
        <v>31</v>
      </c>
      <c r="D42" s="165"/>
      <c r="E42" s="612">
        <v>6.1197227600029436E-4</v>
      </c>
      <c r="F42" s="502"/>
      <c r="G42" s="219">
        <f t="shared" si="3"/>
        <v>49.028233174626664</v>
      </c>
      <c r="H42" s="481">
        <f>H41+(G41*E42*'life-tables-test'!$C$66)</f>
        <v>50.971766825373336</v>
      </c>
      <c r="I42" s="515">
        <f t="shared" si="0"/>
        <v>100</v>
      </c>
      <c r="J42" s="153">
        <f>(G42*0)/(1+cDR)^'Markov Model_SA2'!cycle</f>
        <v>0</v>
      </c>
      <c r="K42" s="178">
        <f t="shared" si="1"/>
        <v>49.028233174626664</v>
      </c>
      <c r="L42" s="202">
        <f>(G42*(uPostT))/(1+oDR)^'Markov Model_SA2'!cycle</f>
        <v>34.48609459453364</v>
      </c>
      <c r="M42" s="80"/>
      <c r="N42" s="3"/>
      <c r="O42" s="80"/>
      <c r="P42" s="173">
        <v>31</v>
      </c>
      <c r="Q42" s="165"/>
      <c r="R42" s="612">
        <v>6.1197227600029436E-4</v>
      </c>
      <c r="S42" s="502"/>
      <c r="T42" s="219">
        <f t="shared" si="6"/>
        <v>46.190392091858854</v>
      </c>
      <c r="U42" s="481">
        <f>U41+(T41*R42*'life-tables-test'!$C$66)</f>
        <v>53.809607908141146</v>
      </c>
      <c r="V42" s="515">
        <f t="shared" si="2"/>
        <v>100</v>
      </c>
      <c r="W42" s="153">
        <f>(T42*0)/(1+cDR)^'Markov Model_SA2'!cycle2</f>
        <v>0</v>
      </c>
      <c r="X42" s="178">
        <f t="shared" si="7"/>
        <v>46.190392091858854</v>
      </c>
      <c r="Y42" s="202">
        <f>(T42*(uPostT))/(1+oDR)^'Markov Model_SA2'!cycle</f>
        <v>32.48997828179585</v>
      </c>
      <c r="Z42" s="80"/>
      <c r="AA42" s="3"/>
      <c r="AB42" s="3"/>
      <c r="AC42" s="14">
        <v>30</v>
      </c>
      <c r="AD42" s="14"/>
      <c r="AE42" s="14"/>
      <c r="AF42" s="3"/>
      <c r="AG42" s="3"/>
      <c r="AH42" s="3"/>
      <c r="AI42" s="14"/>
      <c r="AJ42" s="14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</row>
    <row r="43" spans="1:60" ht="14.25" customHeight="1" x14ac:dyDescent="0.25">
      <c r="A43" s="637"/>
      <c r="B43" s="80"/>
      <c r="C43" s="173">
        <v>32</v>
      </c>
      <c r="D43" s="165"/>
      <c r="E43" s="612">
        <v>6.1197227600029436E-4</v>
      </c>
      <c r="F43" s="502"/>
      <c r="G43" s="219">
        <f t="shared" si="3"/>
        <v>48.878213577405916</v>
      </c>
      <c r="H43" s="481">
        <f>H42+(G42*E43*'life-tables-test'!$C$66)</f>
        <v>51.121786422594084</v>
      </c>
      <c r="I43" s="515">
        <f t="shared" si="0"/>
        <v>100</v>
      </c>
      <c r="J43" s="153">
        <f>(G43*0)/(1+cDR)^'Markov Model_SA2'!cycle</f>
        <v>0</v>
      </c>
      <c r="K43" s="178">
        <f t="shared" si="1"/>
        <v>48.878213577405916</v>
      </c>
      <c r="L43" s="202">
        <f>(G43*(uPostT))/(1+oDR)^'Markov Model_SA2'!cycle</f>
        <v>34.294834838440643</v>
      </c>
      <c r="M43" s="80"/>
      <c r="N43" s="3"/>
      <c r="O43" s="80"/>
      <c r="P43" s="173">
        <v>32</v>
      </c>
      <c r="Q43" s="165"/>
      <c r="R43" s="612">
        <v>6.1197227600029436E-4</v>
      </c>
      <c r="S43" s="502"/>
      <c r="T43" s="219">
        <f t="shared" si="6"/>
        <v>46.049055894969847</v>
      </c>
      <c r="U43" s="481">
        <f>U42+(T42*R43*'life-tables-test'!$C$66)</f>
        <v>53.950944105030153</v>
      </c>
      <c r="V43" s="515">
        <f t="shared" si="2"/>
        <v>100</v>
      </c>
      <c r="W43" s="153">
        <f>(T43*0)/(1+cDR)^'Markov Model_SA2'!cycle2</f>
        <v>0</v>
      </c>
      <c r="X43" s="178">
        <f t="shared" si="7"/>
        <v>46.049055894969847</v>
      </c>
      <c r="Y43" s="202">
        <f>(T43*(uPostT))/(1+oDR)^'Markov Model_SA2'!cycle</f>
        <v>32.309788979565376</v>
      </c>
      <c r="Z43" s="80"/>
      <c r="AA43" s="3"/>
      <c r="AB43" s="3"/>
      <c r="AC43" s="14">
        <v>31</v>
      </c>
      <c r="AD43" s="14"/>
      <c r="AE43" s="14"/>
      <c r="AF43" s="3"/>
      <c r="AG43" s="3"/>
      <c r="AH43" s="3"/>
      <c r="AI43" s="14"/>
      <c r="AJ43" s="14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</row>
    <row r="44" spans="1:60" ht="14.25" customHeight="1" x14ac:dyDescent="0.25">
      <c r="A44" s="637"/>
      <c r="B44" s="80"/>
      <c r="C44" s="173">
        <v>33</v>
      </c>
      <c r="D44" s="165"/>
      <c r="E44" s="612">
        <v>6.1197227600029436E-4</v>
      </c>
      <c r="F44" s="502"/>
      <c r="G44" s="219">
        <f t="shared" si="3"/>
        <v>48.728653019356948</v>
      </c>
      <c r="H44" s="481">
        <f>H43+(G43*E44*'life-tables-test'!$C$66)</f>
        <v>51.271346980643052</v>
      </c>
      <c r="I44" s="515">
        <f t="shared" si="0"/>
        <v>100</v>
      </c>
      <c r="J44" s="153">
        <f>(G44*0)/(1+cDR)^'Markov Model_SA2'!cycle</f>
        <v>0</v>
      </c>
      <c r="K44" s="178">
        <f t="shared" si="1"/>
        <v>48.728653019356948</v>
      </c>
      <c r="L44" s="202">
        <f>(G44*(uPostT))/(1+oDR)^'Markov Model_SA2'!cycle</f>
        <v>34.104635808264305</v>
      </c>
      <c r="M44" s="80"/>
      <c r="N44" s="3"/>
      <c r="O44" s="80"/>
      <c r="P44" s="173">
        <v>33</v>
      </c>
      <c r="Q44" s="165"/>
      <c r="R44" s="612">
        <v>6.1197227600029436E-4</v>
      </c>
      <c r="S44" s="502"/>
      <c r="T44" s="219">
        <f t="shared" si="6"/>
        <v>45.908152167251302</v>
      </c>
      <c r="U44" s="481">
        <f>U43+(T43*R44*'life-tables-test'!$C$66)</f>
        <v>54.091847832748698</v>
      </c>
      <c r="V44" s="515">
        <f t="shared" si="2"/>
        <v>100</v>
      </c>
      <c r="W44" s="153">
        <f>(T44*0)/(1+cDR)^'Markov Model_SA2'!cycle2</f>
        <v>0</v>
      </c>
      <c r="X44" s="178">
        <f t="shared" si="7"/>
        <v>45.908152167251302</v>
      </c>
      <c r="Y44" s="202">
        <f>(T44*(uPostT))/(1+oDR)^'Markov Model_SA2'!cycle</f>
        <v>32.130599006554419</v>
      </c>
      <c r="Z44" s="80"/>
      <c r="AA44" s="3"/>
      <c r="AB44" s="3"/>
      <c r="AC44" s="14">
        <v>32</v>
      </c>
      <c r="AD44" s="14"/>
      <c r="AE44" s="14"/>
      <c r="AF44" s="3"/>
      <c r="AG44" s="3"/>
      <c r="AH44" s="3"/>
      <c r="AI44" s="14"/>
      <c r="AJ44" s="14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</row>
    <row r="45" spans="1:60" ht="14.25" customHeight="1" x14ac:dyDescent="0.25">
      <c r="A45" s="637"/>
      <c r="B45" s="80"/>
      <c r="C45" s="173">
        <v>34</v>
      </c>
      <c r="D45" s="165"/>
      <c r="E45" s="612">
        <v>6.1197227600029436E-4</v>
      </c>
      <c r="F45" s="502"/>
      <c r="G45" s="219">
        <f t="shared" si="3"/>
        <v>48.579550095883526</v>
      </c>
      <c r="H45" s="481">
        <f>H44+(G44*E45*'life-tables-test'!$C$66)</f>
        <v>51.420449904116474</v>
      </c>
      <c r="I45" s="515">
        <f t="shared" si="0"/>
        <v>100</v>
      </c>
      <c r="J45" s="153">
        <f>(G45*0)/(1+cDR)^'Markov Model_SA2'!cycle</f>
        <v>0</v>
      </c>
      <c r="K45" s="178">
        <f t="shared" si="1"/>
        <v>48.579550095883526</v>
      </c>
      <c r="L45" s="202">
        <f>(G45*(uPostT))/(1+oDR)^'Markov Model_SA2'!cycle</f>
        <v>33.915491621222536</v>
      </c>
      <c r="M45" s="80"/>
      <c r="N45" s="3"/>
      <c r="O45" s="80"/>
      <c r="P45" s="173">
        <v>34</v>
      </c>
      <c r="Q45" s="165"/>
      <c r="R45" s="612">
        <v>6.1197227600029436E-4</v>
      </c>
      <c r="S45" s="502"/>
      <c r="T45" s="219">
        <f t="shared" si="6"/>
        <v>45.7676795854075</v>
      </c>
      <c r="U45" s="481">
        <f>U44+(T44*R45*'life-tables-test'!$C$66)</f>
        <v>54.2323204145925</v>
      </c>
      <c r="V45" s="515">
        <f t="shared" si="2"/>
        <v>100</v>
      </c>
      <c r="W45" s="153">
        <f>(T45*0)/(1+cDR)^'Markov Model_SA2'!cycle2</f>
        <v>0</v>
      </c>
      <c r="X45" s="178">
        <f t="shared" si="7"/>
        <v>45.7676795854075</v>
      </c>
      <c r="Y45" s="202">
        <f>(T45*(uPostT))/(1+oDR)^'Markov Model_SA2'!cycle</f>
        <v>31.952402820486739</v>
      </c>
      <c r="Z45" s="80"/>
      <c r="AA45" s="3"/>
      <c r="AB45" s="3"/>
      <c r="AC45" s="14">
        <v>33</v>
      </c>
      <c r="AD45" s="14"/>
      <c r="AE45" s="14"/>
      <c r="AF45" s="3"/>
      <c r="AG45" s="3"/>
      <c r="AH45" s="3"/>
      <c r="AI45" s="14"/>
      <c r="AJ45" s="14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</row>
    <row r="46" spans="1:60" ht="14.25" customHeight="1" x14ac:dyDescent="0.25">
      <c r="A46" s="637"/>
      <c r="B46" s="80"/>
      <c r="C46" s="173">
        <v>35</v>
      </c>
      <c r="D46" s="165"/>
      <c r="E46" s="612">
        <v>6.1197227600029436E-4</v>
      </c>
      <c r="F46" s="502"/>
      <c r="G46" s="219">
        <f t="shared" si="3"/>
        <v>48.430903406687285</v>
      </c>
      <c r="H46" s="481">
        <f>H45+(G45*E46*'life-tables-test'!$C$66)</f>
        <v>51.569096593312715</v>
      </c>
      <c r="I46" s="515">
        <f t="shared" si="0"/>
        <v>100</v>
      </c>
      <c r="J46" s="153">
        <f>(G46*0)/(1+cDR)^'Markov Model_SA2'!cycle</f>
        <v>0</v>
      </c>
      <c r="K46" s="178">
        <f t="shared" si="1"/>
        <v>48.430903406687285</v>
      </c>
      <c r="L46" s="202">
        <f>(G46*(uPostT))/(1+oDR)^'Markov Model_SA2'!cycle</f>
        <v>33.727396427159093</v>
      </c>
      <c r="M46" s="80"/>
      <c r="N46" s="3"/>
      <c r="O46" s="80"/>
      <c r="P46" s="173">
        <v>35</v>
      </c>
      <c r="Q46" s="165"/>
      <c r="R46" s="612">
        <v>6.1197227600029436E-4</v>
      </c>
      <c r="S46" s="502"/>
      <c r="T46" s="219">
        <f t="shared" si="6"/>
        <v>45.627636830191832</v>
      </c>
      <c r="U46" s="481">
        <f>U45+(T45*R46*'life-tables-test'!$C$66)</f>
        <v>54.372363169808168</v>
      </c>
      <c r="V46" s="515">
        <f t="shared" si="2"/>
        <v>100</v>
      </c>
      <c r="W46" s="153">
        <f>(T46*0)/(1+cDR)^'Markov Model_SA2'!cycle2</f>
        <v>0</v>
      </c>
      <c r="X46" s="178">
        <f t="shared" si="7"/>
        <v>45.627636830191832</v>
      </c>
      <c r="Y46" s="202">
        <f>(T46*(uPostT))/(1+oDR)^'Markov Model_SA2'!cycle</f>
        <v>31.775194909823526</v>
      </c>
      <c r="Z46" s="80"/>
      <c r="AA46" s="3"/>
      <c r="AB46" s="3"/>
      <c r="AC46" s="14">
        <v>34</v>
      </c>
      <c r="AD46" s="14"/>
      <c r="AE46" s="14"/>
      <c r="AF46" s="3"/>
      <c r="AG46" s="3"/>
      <c r="AH46" s="3"/>
      <c r="AI46" s="14"/>
      <c r="AJ46" s="14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</row>
    <row r="47" spans="1:60" ht="14.25" customHeight="1" x14ac:dyDescent="0.25">
      <c r="A47" s="637"/>
      <c r="B47" s="80"/>
      <c r="C47" s="173">
        <v>36</v>
      </c>
      <c r="D47" s="504"/>
      <c r="E47" s="612">
        <v>6.1197227600029436E-4</v>
      </c>
      <c r="F47" s="505"/>
      <c r="G47" s="219">
        <f t="shared" si="3"/>
        <v>48.282711555754581</v>
      </c>
      <c r="H47" s="481">
        <f>H46+(G46*E47*'life-tables-test'!$C$66)</f>
        <v>51.717288444245419</v>
      </c>
      <c r="I47" s="516">
        <f t="shared" si="0"/>
        <v>100</v>
      </c>
      <c r="J47" s="180">
        <f>(G47*0)/(1+cDR)^'Markov Model_SA2'!cycle</f>
        <v>0</v>
      </c>
      <c r="K47" s="176">
        <f t="shared" si="1"/>
        <v>48.282711555754581</v>
      </c>
      <c r="L47" s="202">
        <f>(G47*(uPostT))/(1+oDR)^'Markov Model_SA2'!cycle</f>
        <v>33.540344408362721</v>
      </c>
      <c r="M47" s="80"/>
      <c r="N47" s="3"/>
      <c r="O47" s="80"/>
      <c r="P47" s="173">
        <v>36</v>
      </c>
      <c r="Q47" s="504"/>
      <c r="R47" s="612">
        <v>6.1197227600029436E-4</v>
      </c>
      <c r="S47" s="505"/>
      <c r="T47" s="219">
        <f t="shared" si="6"/>
        <v>45.488022586394393</v>
      </c>
      <c r="U47" s="481">
        <f>U46+(T46*R47*'life-tables-test'!$C$66)</f>
        <v>54.511977413605607</v>
      </c>
      <c r="V47" s="516">
        <f t="shared" si="2"/>
        <v>100</v>
      </c>
      <c r="W47" s="180">
        <f>(T47*0)/(1+cDR)^'Markov Model_SA2'!cycle2</f>
        <v>0</v>
      </c>
      <c r="X47" s="176">
        <f t="shared" si="7"/>
        <v>45.488022586394393</v>
      </c>
      <c r="Y47" s="202">
        <f>(T47*(uPostT))/(1+oDR)^'Markov Model_SA2'!cycle</f>
        <v>31.59896979359295</v>
      </c>
      <c r="Z47" s="80"/>
      <c r="AA47" s="3"/>
      <c r="AB47" s="3"/>
      <c r="AC47" s="14">
        <v>35</v>
      </c>
      <c r="AD47" s="14"/>
      <c r="AE47" s="14"/>
      <c r="AF47" s="3"/>
      <c r="AG47" s="3"/>
      <c r="AH47" s="3"/>
      <c r="AI47" s="14"/>
      <c r="AJ47" s="14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</row>
    <row r="48" spans="1:60" ht="14.25" customHeight="1" x14ac:dyDescent="0.25">
      <c r="A48" s="637" t="s">
        <v>545</v>
      </c>
      <c r="B48" s="80"/>
      <c r="C48" s="506">
        <v>37</v>
      </c>
      <c r="D48" s="506"/>
      <c r="E48" s="612">
        <v>6.5812700305334371E-4</v>
      </c>
      <c r="F48" s="508"/>
      <c r="G48" s="509">
        <f t="shared" si="3"/>
        <v>48.123830774477192</v>
      </c>
      <c r="H48" s="482">
        <f>H47+(G47*E48*'life-tables-test'!$C$66)</f>
        <v>51.876169225522808</v>
      </c>
      <c r="I48" s="517">
        <f t="shared" si="0"/>
        <v>100</v>
      </c>
      <c r="J48" s="511">
        <f>(G48*0)/(1+cDR)^'Markov Model_SA2'!cycle</f>
        <v>0</v>
      </c>
      <c r="K48" s="512">
        <f t="shared" si="1"/>
        <v>48.123830774477192</v>
      </c>
      <c r="L48" s="513">
        <f>(G48*(uPostT))/(1+oDR)^'Markov Model_SA2'!cycle</f>
        <v>33.346608854492224</v>
      </c>
      <c r="M48" s="80"/>
      <c r="N48" s="3"/>
      <c r="O48" s="80"/>
      <c r="P48" s="506">
        <v>37</v>
      </c>
      <c r="Q48" s="506"/>
      <c r="R48" s="612">
        <v>6.5812700305334371E-4</v>
      </c>
      <c r="S48" s="508"/>
      <c r="T48" s="509">
        <f t="shared" si="6"/>
        <v>45.338338106496359</v>
      </c>
      <c r="U48" s="482">
        <f>U47+(T47*R48*'life-tables-test'!$C$66)</f>
        <v>54.661661893503641</v>
      </c>
      <c r="V48" s="517">
        <f t="shared" si="2"/>
        <v>100</v>
      </c>
      <c r="W48" s="511">
        <f>(T48*0)/(1+cDR)^'Markov Model_SA2'!cycle2</f>
        <v>0</v>
      </c>
      <c r="X48" s="512">
        <f t="shared" si="7"/>
        <v>45.338338106496359</v>
      </c>
      <c r="Y48" s="513">
        <f>(T48*(uPostT))/(1+oDR)^'Markov Model_SA2'!cycle</f>
        <v>31.416447997150922</v>
      </c>
      <c r="Z48" s="80"/>
      <c r="AA48" s="3"/>
      <c r="AB48" s="3"/>
      <c r="AC48" s="14">
        <v>36</v>
      </c>
      <c r="AD48" s="14"/>
      <c r="AE48" s="14"/>
      <c r="AF48" s="3"/>
      <c r="AG48" s="3"/>
      <c r="AH48" s="3"/>
      <c r="AI48" s="14"/>
      <c r="AJ48" s="14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</row>
    <row r="49" spans="1:60" ht="14.25" customHeight="1" x14ac:dyDescent="0.25">
      <c r="A49" s="637"/>
      <c r="B49" s="80"/>
      <c r="C49" s="173">
        <v>38</v>
      </c>
      <c r="D49" s="165"/>
      <c r="E49" s="612">
        <v>6.5812700305334371E-4</v>
      </c>
      <c r="F49" s="502"/>
      <c r="G49" s="219">
        <f t="shared" si="3"/>
        <v>47.965472811861929</v>
      </c>
      <c r="H49" s="481">
        <f>H48+(G48*E49*'life-tables-test'!$C$66)</f>
        <v>52.034527188138071</v>
      </c>
      <c r="I49" s="515">
        <f t="shared" si="0"/>
        <v>100</v>
      </c>
      <c r="J49" s="153">
        <f>(G49*0)/(1+cDR)^'Markov Model_SA2'!cycle</f>
        <v>0</v>
      </c>
      <c r="K49" s="178">
        <f t="shared" si="1"/>
        <v>47.965472811861929</v>
      </c>
      <c r="L49" s="202">
        <f>(G49*(uPostT))/(1+oDR)^'Markov Model_SA2'!cycle</f>
        <v>33.153992354868066</v>
      </c>
      <c r="M49" s="80"/>
      <c r="N49" s="3"/>
      <c r="O49" s="80"/>
      <c r="P49" s="173">
        <v>38</v>
      </c>
      <c r="Q49" s="165"/>
      <c r="R49" s="612">
        <v>6.5812700305334371E-4</v>
      </c>
      <c r="S49" s="502"/>
      <c r="T49" s="219">
        <f t="shared" si="6"/>
        <v>45.189146183589123</v>
      </c>
      <c r="U49" s="481">
        <f>U48+(T48*R49*'life-tables-test'!$C$66)</f>
        <v>54.810853816410877</v>
      </c>
      <c r="V49" s="515">
        <f t="shared" si="2"/>
        <v>100</v>
      </c>
      <c r="W49" s="153">
        <f>(T49*0)/(1+cDR)^'Markov Model_SA2'!cycle2</f>
        <v>0</v>
      </c>
      <c r="X49" s="178">
        <f t="shared" si="7"/>
        <v>45.189146183589123</v>
      </c>
      <c r="Y49" s="202">
        <f>(T49*(uPostT))/(1+oDR)^'Markov Model_SA2'!cycle</f>
        <v>31.234980482110924</v>
      </c>
      <c r="Z49" s="80"/>
      <c r="AA49" s="3"/>
      <c r="AB49" s="3"/>
      <c r="AC49" s="14">
        <v>37</v>
      </c>
      <c r="AD49" s="14"/>
      <c r="AE49" s="14"/>
      <c r="AF49" s="3"/>
      <c r="AG49" s="3"/>
      <c r="AH49" s="3"/>
      <c r="AI49" s="14"/>
      <c r="AJ49" s="14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</row>
    <row r="50" spans="1:60" ht="14.25" customHeight="1" x14ac:dyDescent="0.25">
      <c r="A50" s="637"/>
      <c r="B50" s="80"/>
      <c r="C50" s="173">
        <v>39</v>
      </c>
      <c r="D50" s="165"/>
      <c r="E50" s="612">
        <v>6.5812700305334371E-4</v>
      </c>
      <c r="F50" s="502"/>
      <c r="G50" s="219">
        <f t="shared" si="3"/>
        <v>47.807635947503393</v>
      </c>
      <c r="H50" s="481">
        <f>H49+(G49*E50*'life-tables-test'!$C$66)</f>
        <v>52.192364052496607</v>
      </c>
      <c r="I50" s="515">
        <f t="shared" si="0"/>
        <v>100</v>
      </c>
      <c r="J50" s="153">
        <f>(G50*0)/(1+cDR)^'Markov Model_SA2'!cycle</f>
        <v>0</v>
      </c>
      <c r="K50" s="178">
        <f t="shared" si="1"/>
        <v>47.807635947503393</v>
      </c>
      <c r="L50" s="202">
        <f>(G50*(uPostT))/(1+oDR)^'Markov Model_SA2'!cycle</f>
        <v>32.962488445615215</v>
      </c>
      <c r="M50" s="80"/>
      <c r="N50" s="3"/>
      <c r="O50" s="80"/>
      <c r="P50" s="173">
        <v>39</v>
      </c>
      <c r="Q50" s="165"/>
      <c r="R50" s="612">
        <v>6.5812700305334371E-4</v>
      </c>
      <c r="S50" s="502"/>
      <c r="T50" s="219">
        <f t="shared" si="6"/>
        <v>45.040445196847401</v>
      </c>
      <c r="U50" s="481">
        <f>U49+(T49*R50*'life-tables-test'!$C$66)</f>
        <v>54.959554803152599</v>
      </c>
      <c r="V50" s="515">
        <f t="shared" si="2"/>
        <v>100</v>
      </c>
      <c r="W50" s="153">
        <f>(T50*0)/(1+cDR)^'Markov Model_SA2'!cycle2</f>
        <v>0</v>
      </c>
      <c r="X50" s="178">
        <f t="shared" si="7"/>
        <v>45.040445196847401</v>
      </c>
      <c r="Y50" s="202">
        <f>(T50*(uPostT))/(1+oDR)^'Markov Model_SA2'!cycle</f>
        <v>31.054561158738469</v>
      </c>
      <c r="Z50" s="80"/>
      <c r="AA50" s="3"/>
      <c r="AB50" s="3"/>
      <c r="AC50" s="14">
        <v>38</v>
      </c>
      <c r="AD50" s="14"/>
      <c r="AE50" s="14"/>
      <c r="AF50" s="3"/>
      <c r="AG50" s="3"/>
      <c r="AH50" s="3"/>
      <c r="AI50" s="14"/>
      <c r="AJ50" s="14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</row>
    <row r="51" spans="1:60" ht="14.25" customHeight="1" x14ac:dyDescent="0.25">
      <c r="A51" s="637"/>
      <c r="B51" s="80"/>
      <c r="C51" s="173">
        <v>40</v>
      </c>
      <c r="D51" s="165"/>
      <c r="E51" s="612">
        <v>6.5812700305334371E-4</v>
      </c>
      <c r="F51" s="502"/>
      <c r="G51" s="219">
        <f t="shared" si="3"/>
        <v>47.650318466657417</v>
      </c>
      <c r="H51" s="481">
        <f>H50+(G50*E51*'life-tables-test'!$C$66)</f>
        <v>52.349681533342583</v>
      </c>
      <c r="I51" s="515">
        <f t="shared" si="0"/>
        <v>100</v>
      </c>
      <c r="J51" s="153">
        <f>(G51*0)/(1+cDR)^'Markov Model_SA2'!cycle</f>
        <v>0</v>
      </c>
      <c r="K51" s="178">
        <f t="shared" si="1"/>
        <v>47.650318466657417</v>
      </c>
      <c r="L51" s="202">
        <f>(G51*(uPostT))/(1+oDR)^'Markov Model_SA2'!cycle</f>
        <v>32.772090700195264</v>
      </c>
      <c r="M51" s="80"/>
      <c r="N51" s="3"/>
      <c r="O51" s="80"/>
      <c r="P51" s="173">
        <v>40</v>
      </c>
      <c r="Q51" s="165"/>
      <c r="R51" s="612">
        <v>6.5812700305334371E-4</v>
      </c>
      <c r="S51" s="502"/>
      <c r="T51" s="219">
        <f t="shared" si="6"/>
        <v>44.89223353077945</v>
      </c>
      <c r="U51" s="481">
        <f>U50+(T50*R51*'life-tables-test'!$C$66)</f>
        <v>55.10776646922055</v>
      </c>
      <c r="V51" s="515">
        <f t="shared" si="2"/>
        <v>100</v>
      </c>
      <c r="W51" s="153">
        <f>(T51*0)/(1+cDR)^'Markov Model_SA2'!cycle2</f>
        <v>0</v>
      </c>
      <c r="X51" s="178">
        <f t="shared" si="7"/>
        <v>44.89223353077945</v>
      </c>
      <c r="Y51" s="202">
        <f>(T51*(uPostT))/(1+oDR)^'Markov Model_SA2'!cycle</f>
        <v>30.875183972474595</v>
      </c>
      <c r="Z51" s="80"/>
      <c r="AA51" s="3"/>
      <c r="AB51" s="3"/>
      <c r="AC51" s="14">
        <v>39</v>
      </c>
      <c r="AD51" s="14"/>
      <c r="AE51" s="14"/>
      <c r="AF51" s="3"/>
      <c r="AG51" s="3"/>
      <c r="AH51" s="3"/>
      <c r="AI51" s="14"/>
      <c r="AJ51" s="14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</row>
    <row r="52" spans="1:60" ht="14.25" customHeight="1" x14ac:dyDescent="0.25">
      <c r="A52" s="637"/>
      <c r="B52" s="80"/>
      <c r="C52" s="173">
        <v>41</v>
      </c>
      <c r="D52" s="165"/>
      <c r="E52" s="612">
        <v>6.5812700305334371E-4</v>
      </c>
      <c r="F52" s="502"/>
      <c r="G52" s="219">
        <f t="shared" si="3"/>
        <v>47.493518660222421</v>
      </c>
      <c r="H52" s="481">
        <f>H51+(G51*E52*'life-tables-test'!$C$66)</f>
        <v>52.506481339777579</v>
      </c>
      <c r="I52" s="515">
        <f t="shared" si="0"/>
        <v>100</v>
      </c>
      <c r="J52" s="153">
        <f>(G52*0)/(1+cDR)^'Markov Model_SA2'!cycle</f>
        <v>0</v>
      </c>
      <c r="K52" s="178">
        <f t="shared" si="1"/>
        <v>47.493518660222421</v>
      </c>
      <c r="L52" s="202">
        <f>(G52*(uPostT))/(1+oDR)^'Markov Model_SA2'!cycle</f>
        <v>32.582792729190729</v>
      </c>
      <c r="M52" s="80"/>
      <c r="N52" s="3"/>
      <c r="O52" s="80"/>
      <c r="P52" s="173">
        <v>41</v>
      </c>
      <c r="Q52" s="165"/>
      <c r="R52" s="612">
        <v>6.5812700305334371E-4</v>
      </c>
      <c r="S52" s="502"/>
      <c r="T52" s="219">
        <f t="shared" si="6"/>
        <v>44.744509575209534</v>
      </c>
      <c r="U52" s="481">
        <f>U51+(T51*R52*'life-tables-test'!$C$66)</f>
        <v>55.255490424790466</v>
      </c>
      <c r="V52" s="515">
        <f t="shared" si="2"/>
        <v>100</v>
      </c>
      <c r="W52" s="153">
        <f>(T52*0)/(1+cDR)^'Markov Model_SA2'!cycle2</f>
        <v>0</v>
      </c>
      <c r="X52" s="178">
        <f t="shared" si="7"/>
        <v>44.744509575209534</v>
      </c>
      <c r="Y52" s="202">
        <f>(T52*(uPostT))/(1+oDR)^'Markov Model_SA2'!cycle</f>
        <v>30.696842903732637</v>
      </c>
      <c r="Z52" s="80"/>
      <c r="AA52" s="3"/>
      <c r="AB52" s="3"/>
      <c r="AC52" s="14">
        <v>40</v>
      </c>
      <c r="AD52" s="14"/>
      <c r="AE52" s="14"/>
      <c r="AF52" s="3"/>
      <c r="AG52" s="3"/>
      <c r="AH52" s="3"/>
      <c r="AI52" s="14"/>
      <c r="AJ52" s="14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</row>
    <row r="53" spans="1:60" ht="14.25" customHeight="1" x14ac:dyDescent="0.25">
      <c r="A53" s="637"/>
      <c r="B53" s="80"/>
      <c r="C53" s="173">
        <v>42</v>
      </c>
      <c r="D53" s="165"/>
      <c r="E53" s="612">
        <v>6.5812700305334371E-4</v>
      </c>
      <c r="F53" s="502"/>
      <c r="G53" s="219">
        <f t="shared" si="3"/>
        <v>47.337234824720866</v>
      </c>
      <c r="H53" s="481">
        <f>H52+(G52*E53*'life-tables-test'!$C$66)</f>
        <v>52.662765175279134</v>
      </c>
      <c r="I53" s="515">
        <f t="shared" si="0"/>
        <v>100</v>
      </c>
      <c r="J53" s="153">
        <f>(G53*0)/(1+cDR)^'Markov Model_SA2'!cycle</f>
        <v>0</v>
      </c>
      <c r="K53" s="178">
        <f t="shared" si="1"/>
        <v>47.337234824720866</v>
      </c>
      <c r="L53" s="202">
        <f>(G53*(uPostT))/(1+oDR)^'Markov Model_SA2'!cycle</f>
        <v>32.394588180090651</v>
      </c>
      <c r="M53" s="80"/>
      <c r="N53" s="3"/>
      <c r="O53" s="80"/>
      <c r="P53" s="173">
        <v>42</v>
      </c>
      <c r="Q53" s="165"/>
      <c r="R53" s="612">
        <v>6.5812700305334371E-4</v>
      </c>
      <c r="S53" s="502"/>
      <c r="T53" s="219">
        <f t="shared" si="6"/>
        <v>44.597271725260413</v>
      </c>
      <c r="U53" s="481">
        <f>U52+(T52*R53*'life-tables-test'!$C$66)</f>
        <v>55.402728274739587</v>
      </c>
      <c r="V53" s="515">
        <f t="shared" si="2"/>
        <v>100</v>
      </c>
      <c r="W53" s="153">
        <f>(T53*0)/(1+cDR)^'Markov Model_SA2'!cycle2</f>
        <v>0</v>
      </c>
      <c r="X53" s="178">
        <f t="shared" si="7"/>
        <v>44.597271725260413</v>
      </c>
      <c r="Y53" s="202">
        <f>(T53*(uPostT))/(1+oDR)^'Markov Model_SA2'!cycle</f>
        <v>30.519531967696231</v>
      </c>
      <c r="Z53" s="80"/>
      <c r="AA53" s="3"/>
      <c r="AB53" s="3"/>
      <c r="AC53" s="14">
        <v>41</v>
      </c>
      <c r="AD53" s="14"/>
      <c r="AE53" s="14"/>
      <c r="AF53" s="3"/>
      <c r="AG53" s="3"/>
      <c r="AH53" s="3"/>
      <c r="AI53" s="14"/>
      <c r="AJ53" s="14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</row>
    <row r="54" spans="1:60" ht="14.25" customHeight="1" x14ac:dyDescent="0.25">
      <c r="A54" s="637"/>
      <c r="B54" s="80"/>
      <c r="C54" s="173">
        <v>43</v>
      </c>
      <c r="D54" s="165"/>
      <c r="E54" s="612">
        <v>6.5812700305334371E-4</v>
      </c>
      <c r="F54" s="502"/>
      <c r="G54" s="219">
        <f t="shared" si="3"/>
        <v>47.181465262280739</v>
      </c>
      <c r="H54" s="481">
        <f>H53+(G53*E54*'life-tables-test'!$C$66)</f>
        <v>52.818534737719261</v>
      </c>
      <c r="I54" s="515">
        <f t="shared" si="0"/>
        <v>100</v>
      </c>
      <c r="J54" s="153">
        <f>(G54*0)/(1+cDR)^'Markov Model_SA2'!cycle</f>
        <v>0</v>
      </c>
      <c r="K54" s="178">
        <f t="shared" si="1"/>
        <v>47.181465262280739</v>
      </c>
      <c r="L54" s="202">
        <f>(G54*(uPostT))/(1+oDR)^'Markov Model_SA2'!cycle</f>
        <v>32.207470737077415</v>
      </c>
      <c r="M54" s="80"/>
      <c r="N54" s="3"/>
      <c r="O54" s="80"/>
      <c r="P54" s="173">
        <v>43</v>
      </c>
      <c r="Q54" s="165"/>
      <c r="R54" s="612">
        <v>6.5812700305334371E-4</v>
      </c>
      <c r="S54" s="502"/>
      <c r="T54" s="219">
        <f t="shared" si="6"/>
        <v>44.450518381335904</v>
      </c>
      <c r="U54" s="481">
        <f>U53+(T53*R54*'life-tables-test'!$C$66)</f>
        <v>55.549481618664096</v>
      </c>
      <c r="V54" s="515">
        <f t="shared" si="2"/>
        <v>100</v>
      </c>
      <c r="W54" s="153">
        <f>(T54*0)/(1+cDR)^'Markov Model_SA2'!cycle2</f>
        <v>0</v>
      </c>
      <c r="X54" s="178">
        <f t="shared" si="7"/>
        <v>44.450518381335904</v>
      </c>
      <c r="Y54" s="202">
        <f>(T54*(uPostT))/(1+oDR)^'Markov Model_SA2'!cycle</f>
        <v>30.34324521411849</v>
      </c>
      <c r="Z54" s="80"/>
      <c r="AA54" s="3"/>
      <c r="AB54" s="3"/>
      <c r="AC54" s="14">
        <v>42</v>
      </c>
      <c r="AD54" s="14"/>
      <c r="AE54" s="14"/>
      <c r="AF54" s="3"/>
      <c r="AG54" s="3"/>
      <c r="AH54" s="3"/>
      <c r="AI54" s="14"/>
      <c r="AJ54" s="14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</row>
    <row r="55" spans="1:60" ht="14.25" customHeight="1" x14ac:dyDescent="0.25">
      <c r="A55" s="637"/>
      <c r="B55" s="80"/>
      <c r="C55" s="173">
        <v>44</v>
      </c>
      <c r="D55" s="165"/>
      <c r="E55" s="612">
        <v>6.5812700305334371E-4</v>
      </c>
      <c r="F55" s="502"/>
      <c r="G55" s="219">
        <f t="shared" si="3"/>
        <v>47.026208280617084</v>
      </c>
      <c r="H55" s="481">
        <f>H54+(G54*E55*'life-tables-test'!$C$66)</f>
        <v>52.973791719382916</v>
      </c>
      <c r="I55" s="515">
        <f t="shared" si="0"/>
        <v>100</v>
      </c>
      <c r="J55" s="153">
        <f>(G55*0)/(1+cDR)^'Markov Model_SA2'!cycle</f>
        <v>0</v>
      </c>
      <c r="K55" s="178">
        <f t="shared" si="1"/>
        <v>47.026208280617084</v>
      </c>
      <c r="L55" s="202">
        <f>(G55*(uPostT))/(1+oDR)^'Markov Model_SA2'!cycle</f>
        <v>32.021434120814767</v>
      </c>
      <c r="M55" s="80"/>
      <c r="N55" s="3"/>
      <c r="O55" s="80"/>
      <c r="P55" s="173">
        <v>44</v>
      </c>
      <c r="Q55" s="165"/>
      <c r="R55" s="612">
        <v>6.5812700305334371E-4</v>
      </c>
      <c r="S55" s="502"/>
      <c r="T55" s="219">
        <f t="shared" si="6"/>
        <v>44.304247949103527</v>
      </c>
      <c r="U55" s="481">
        <f>U54+(T54*R55*'life-tables-test'!$C$66)</f>
        <v>55.695752050896473</v>
      </c>
      <c r="V55" s="515">
        <f t="shared" si="2"/>
        <v>100</v>
      </c>
      <c r="W55" s="153">
        <f>(T55*0)/(1+cDR)^'Markov Model_SA2'!cycle2</f>
        <v>0</v>
      </c>
      <c r="X55" s="178">
        <f t="shared" si="7"/>
        <v>44.304247949103527</v>
      </c>
      <c r="Y55" s="202">
        <f>(T55*(uPostT))/(1+oDR)^'Markov Model_SA2'!cycle</f>
        <v>30.167976727122284</v>
      </c>
      <c r="Z55" s="80"/>
      <c r="AA55" s="3"/>
      <c r="AB55" s="3"/>
      <c r="AC55" s="14">
        <v>43</v>
      </c>
      <c r="AD55" s="14"/>
      <c r="AE55" s="14"/>
      <c r="AF55" s="3"/>
      <c r="AG55" s="3"/>
      <c r="AH55" s="3"/>
      <c r="AI55" s="14"/>
      <c r="AJ55" s="14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</row>
    <row r="56" spans="1:60" ht="14.25" customHeight="1" x14ac:dyDescent="0.25">
      <c r="A56" s="637"/>
      <c r="B56" s="80"/>
      <c r="C56" s="173">
        <v>45</v>
      </c>
      <c r="D56" s="165"/>
      <c r="E56" s="612">
        <v>6.5812700305334371E-4</v>
      </c>
      <c r="F56" s="502"/>
      <c r="G56" s="219">
        <f t="shared" si="3"/>
        <v>46.871462193013663</v>
      </c>
      <c r="H56" s="481">
        <f>H55+(G55*E56*'life-tables-test'!$C$66)</f>
        <v>53.128537806986337</v>
      </c>
      <c r="I56" s="515">
        <f t="shared" si="0"/>
        <v>100</v>
      </c>
      <c r="J56" s="153">
        <f>(G56*0)/(1+cDR)^'Markov Model_SA2'!cycle</f>
        <v>0</v>
      </c>
      <c r="K56" s="178">
        <f t="shared" si="1"/>
        <v>46.871462193013663</v>
      </c>
      <c r="L56" s="202">
        <f>(G56*(uPostT))/(1+oDR)^'Markov Model_SA2'!cycle</f>
        <v>31.836472088237162</v>
      </c>
      <c r="M56" s="80"/>
      <c r="N56" s="3"/>
      <c r="O56" s="80"/>
      <c r="P56" s="173">
        <v>45</v>
      </c>
      <c r="Q56" s="165"/>
      <c r="R56" s="612">
        <v>6.5812700305334371E-4</v>
      </c>
      <c r="S56" s="502"/>
      <c r="T56" s="219">
        <f t="shared" si="6"/>
        <v>44.158458839477149</v>
      </c>
      <c r="U56" s="481">
        <f>U55+(T55*R56*'life-tables-test'!$C$66)</f>
        <v>55.841541160522851</v>
      </c>
      <c r="V56" s="515">
        <f t="shared" si="2"/>
        <v>100</v>
      </c>
      <c r="W56" s="153">
        <f>(T56*0)/(1+cDR)^'Markov Model_SA2'!cycle2</f>
        <v>0</v>
      </c>
      <c r="X56" s="178">
        <f t="shared" si="7"/>
        <v>44.158458839477149</v>
      </c>
      <c r="Y56" s="202">
        <f>(T56*(uPostT))/(1+oDR)^'Markov Model_SA2'!cycle</f>
        <v>29.993720625001753</v>
      </c>
      <c r="Z56" s="80"/>
      <c r="AA56" s="3"/>
      <c r="AB56" s="3"/>
      <c r="AC56" s="14">
        <v>44</v>
      </c>
      <c r="AD56" s="14"/>
      <c r="AE56" s="14"/>
      <c r="AF56" s="3"/>
      <c r="AG56" s="3"/>
      <c r="AH56" s="3"/>
      <c r="AI56" s="14"/>
      <c r="AJ56" s="14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</row>
    <row r="57" spans="1:60" ht="14.25" customHeight="1" x14ac:dyDescent="0.25">
      <c r="A57" s="637"/>
      <c r="B57" s="80"/>
      <c r="C57" s="173">
        <v>46</v>
      </c>
      <c r="D57" s="165"/>
      <c r="E57" s="612">
        <v>6.5812700305334371E-4</v>
      </c>
      <c r="F57" s="502"/>
      <c r="G57" s="219">
        <f t="shared" si="3"/>
        <v>46.717225318304585</v>
      </c>
      <c r="H57" s="481">
        <f>H56+(G56*E57*'life-tables-test'!$C$66)</f>
        <v>53.282774681695415</v>
      </c>
      <c r="I57" s="515">
        <f t="shared" si="0"/>
        <v>100</v>
      </c>
      <c r="J57" s="153">
        <f>(G57*0)/(1+cDR)^'Markov Model_SA2'!cycle</f>
        <v>0</v>
      </c>
      <c r="K57" s="178">
        <f t="shared" si="1"/>
        <v>46.717225318304585</v>
      </c>
      <c r="L57" s="202">
        <f>(G57*(uPostT))/(1+oDR)^'Markov Model_SA2'!cycle</f>
        <v>31.65257843234021</v>
      </c>
      <c r="M57" s="80"/>
      <c r="N57" s="3"/>
      <c r="O57" s="80"/>
      <c r="P57" s="173">
        <v>46</v>
      </c>
      <c r="Q57" s="165"/>
      <c r="R57" s="612">
        <v>6.5812700305334371E-4</v>
      </c>
      <c r="S57" s="502"/>
      <c r="T57" s="219">
        <f t="shared" si="6"/>
        <v>44.01314946859975</v>
      </c>
      <c r="U57" s="481">
        <f>U56+(T56*R57*'life-tables-test'!$C$66)</f>
        <v>55.98685053140025</v>
      </c>
      <c r="V57" s="515">
        <f t="shared" si="2"/>
        <v>100</v>
      </c>
      <c r="W57" s="153">
        <f>(T57*0)/(1+cDR)^'Markov Model_SA2'!cycle2</f>
        <v>0</v>
      </c>
      <c r="X57" s="178">
        <f t="shared" si="7"/>
        <v>44.01314946859975</v>
      </c>
      <c r="Y57" s="202">
        <f>(T57*(uPostT))/(1+oDR)^'Markov Model_SA2'!cycle</f>
        <v>29.820471060024943</v>
      </c>
      <c r="Z57" s="80"/>
      <c r="AA57" s="3"/>
      <c r="AB57" s="3"/>
      <c r="AC57" s="14">
        <v>45</v>
      </c>
      <c r="AD57" s="14"/>
      <c r="AE57" s="14"/>
      <c r="AF57" s="3"/>
      <c r="AG57" s="3"/>
      <c r="AH57" s="3"/>
      <c r="AI57" s="14"/>
      <c r="AJ57" s="14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</row>
    <row r="58" spans="1:60" ht="14.25" customHeight="1" x14ac:dyDescent="0.25">
      <c r="A58" s="637"/>
      <c r="B58" s="80"/>
      <c r="C58" s="173">
        <v>47</v>
      </c>
      <c r="D58" s="165"/>
      <c r="E58" s="612">
        <v>6.5812700305334371E-4</v>
      </c>
      <c r="F58" s="502"/>
      <c r="G58" s="219">
        <f t="shared" si="3"/>
        <v>46.563495980856068</v>
      </c>
      <c r="H58" s="481">
        <f>H57+(G57*E58*'life-tables-test'!$C$66)</f>
        <v>53.436504019143932</v>
      </c>
      <c r="I58" s="515">
        <f t="shared" si="0"/>
        <v>100</v>
      </c>
      <c r="J58" s="153">
        <f>(G58*0)/(1+cDR)^'Markov Model_SA2'!cycle</f>
        <v>0</v>
      </c>
      <c r="K58" s="178">
        <f t="shared" si="1"/>
        <v>46.563495980856068</v>
      </c>
      <c r="L58" s="202">
        <f>(G58*(uPostT))/(1+oDR)^'Markov Model_SA2'!cycle</f>
        <v>31.469746981972349</v>
      </c>
      <c r="M58" s="80"/>
      <c r="N58" s="3"/>
      <c r="O58" s="80"/>
      <c r="P58" s="173">
        <v>47</v>
      </c>
      <c r="Q58" s="165"/>
      <c r="R58" s="612">
        <v>6.5812700305334371E-4</v>
      </c>
      <c r="S58" s="502"/>
      <c r="T58" s="219">
        <f t="shared" si="6"/>
        <v>43.868318257826211</v>
      </c>
      <c r="U58" s="481">
        <f>U57+(T57*R58*'life-tables-test'!$C$66)</f>
        <v>56.131681742173789</v>
      </c>
      <c r="V58" s="515">
        <f t="shared" si="2"/>
        <v>100</v>
      </c>
      <c r="W58" s="153">
        <f>(T58*0)/(1+cDR)^'Markov Model_SA2'!cycle2</f>
        <v>0</v>
      </c>
      <c r="X58" s="178">
        <f t="shared" si="7"/>
        <v>43.868318257826211</v>
      </c>
      <c r="Y58" s="202">
        <f>(T58*(uPostT))/(1+oDR)^'Markov Model_SA2'!cycle</f>
        <v>29.648222218237489</v>
      </c>
      <c r="Z58" s="80"/>
      <c r="AA58" s="3"/>
      <c r="AB58" s="3"/>
      <c r="AC58" s="14">
        <v>46</v>
      </c>
      <c r="AD58" s="14"/>
      <c r="AE58" s="14"/>
      <c r="AF58" s="3"/>
      <c r="AG58" s="3"/>
      <c r="AH58" s="3"/>
      <c r="AI58" s="14"/>
      <c r="AJ58" s="14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</row>
    <row r="59" spans="1:60" ht="14.25" customHeight="1" x14ac:dyDescent="0.25">
      <c r="A59" s="637"/>
      <c r="B59" s="80"/>
      <c r="C59" s="173">
        <v>48</v>
      </c>
      <c r="D59" s="504"/>
      <c r="E59" s="612">
        <v>6.5812700305334371E-4</v>
      </c>
      <c r="F59" s="505"/>
      <c r="G59" s="219">
        <f t="shared" si="3"/>
        <v>46.410272510548232</v>
      </c>
      <c r="H59" s="481">
        <f>H58+(G58*E59*'life-tables-test'!$C$66)</f>
        <v>53.589727489451768</v>
      </c>
      <c r="I59" s="516">
        <f t="shared" si="0"/>
        <v>100</v>
      </c>
      <c r="J59" s="180">
        <f>(G59*0)/(1+cDR)^'Markov Model_SA2'!cycle</f>
        <v>0</v>
      </c>
      <c r="K59" s="176">
        <f t="shared" si="1"/>
        <v>46.410272510548232</v>
      </c>
      <c r="L59" s="202">
        <f>(G59*(uPostT))/(1+oDR)^'Markov Model_SA2'!cycle</f>
        <v>31.28797160162781</v>
      </c>
      <c r="M59" s="80"/>
      <c r="N59" s="3"/>
      <c r="O59" s="80"/>
      <c r="P59" s="173">
        <v>48</v>
      </c>
      <c r="Q59" s="504"/>
      <c r="R59" s="612">
        <v>6.5812700305334371E-4</v>
      </c>
      <c r="S59" s="505"/>
      <c r="T59" s="219">
        <f t="shared" si="6"/>
        <v>43.723963633706141</v>
      </c>
      <c r="U59" s="481">
        <f>U58+(T58*R59*'life-tables-test'!$C$66)</f>
        <v>56.276036366293859</v>
      </c>
      <c r="V59" s="516">
        <f t="shared" si="2"/>
        <v>100</v>
      </c>
      <c r="W59" s="180">
        <f>(T59*0)/(1+cDR)^'Markov Model_SA2'!cycle2</f>
        <v>0</v>
      </c>
      <c r="X59" s="176">
        <f t="shared" si="7"/>
        <v>43.723963633706141</v>
      </c>
      <c r="Y59" s="202">
        <f>(T59*(uPostT))/(1+oDR)^'Markov Model_SA2'!cycle</f>
        <v>29.476968319267566</v>
      </c>
      <c r="Z59" s="80"/>
      <c r="AA59" s="3"/>
      <c r="AB59" s="3"/>
      <c r="AC59" s="14">
        <v>47</v>
      </c>
      <c r="AD59" s="14"/>
      <c r="AE59" s="14"/>
      <c r="AF59" s="3"/>
      <c r="AG59" s="3"/>
      <c r="AH59" s="3"/>
      <c r="AI59" s="14"/>
      <c r="AJ59" s="14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</row>
    <row r="60" spans="1:60" ht="14.25" customHeight="1" x14ac:dyDescent="0.25">
      <c r="A60" s="637" t="s">
        <v>546</v>
      </c>
      <c r="B60" s="80"/>
      <c r="C60" s="506">
        <v>49</v>
      </c>
      <c r="D60" s="506"/>
      <c r="E60" s="612">
        <v>7.0741256572026678E-4</v>
      </c>
      <c r="F60" s="508"/>
      <c r="G60" s="509">
        <f t="shared" si="3"/>
        <v>46.246116460785913</v>
      </c>
      <c r="H60" s="482">
        <f>H59+(G59*E60*'life-tables-test'!$C$66)</f>
        <v>53.753883539214087</v>
      </c>
      <c r="I60" s="517">
        <f t="shared" si="0"/>
        <v>100</v>
      </c>
      <c r="J60" s="511">
        <f>(G60*0)/(1+cDR)^'Markov Model_SA2'!cycle</f>
        <v>0</v>
      </c>
      <c r="K60" s="512">
        <f t="shared" si="1"/>
        <v>46.246116460785913</v>
      </c>
      <c r="L60" s="513">
        <f>(G60*(uPostT))/(1+oDR)^'Markov Model_SA2'!cycle</f>
        <v>31.099555192312582</v>
      </c>
      <c r="M60" s="80"/>
      <c r="N60" s="3"/>
      <c r="O60" s="80"/>
      <c r="P60" s="506">
        <v>49</v>
      </c>
      <c r="Q60" s="506"/>
      <c r="R60" s="612">
        <v>7.0741256572026678E-4</v>
      </c>
      <c r="S60" s="508"/>
      <c r="T60" s="509">
        <f t="shared" si="6"/>
        <v>43.569309227218241</v>
      </c>
      <c r="U60" s="482">
        <f>U59+(T59*R60*'life-tables-test'!$C$66)</f>
        <v>56.430690772781759</v>
      </c>
      <c r="V60" s="517">
        <f t="shared" si="2"/>
        <v>100</v>
      </c>
      <c r="W60" s="511">
        <f>(T60*0)/(1+cDR)^'Markov Model_SA2'!cycle2</f>
        <v>0</v>
      </c>
      <c r="X60" s="512">
        <f t="shared" si="7"/>
        <v>43.569309227218241</v>
      </c>
      <c r="Y60" s="513">
        <f>(T60*(uPostT))/(1+oDR)^'Markov Model_SA2'!cycle</f>
        <v>29.29945778586098</v>
      </c>
      <c r="Z60" s="80"/>
      <c r="AA60" s="3"/>
      <c r="AB60" s="3"/>
      <c r="AC60" s="14">
        <v>48</v>
      </c>
      <c r="AD60" s="14"/>
      <c r="AE60" s="14"/>
      <c r="AF60" s="3"/>
      <c r="AG60" s="3"/>
      <c r="AH60" s="3"/>
      <c r="AI60" s="14"/>
      <c r="AJ60" s="14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</row>
    <row r="61" spans="1:60" ht="14.25" customHeight="1" x14ac:dyDescent="0.25">
      <c r="A61" s="637"/>
      <c r="B61" s="80"/>
      <c r="C61" s="173">
        <v>50</v>
      </c>
      <c r="D61" s="165"/>
      <c r="E61" s="612">
        <v>7.0741256572026678E-4</v>
      </c>
      <c r="F61" s="502"/>
      <c r="G61" s="219">
        <f t="shared" si="3"/>
        <v>46.082541041285296</v>
      </c>
      <c r="H61" s="481">
        <f>H60+(G60*E61*'life-tables-test'!$C$66)</f>
        <v>53.917458958714704</v>
      </c>
      <c r="I61" s="516">
        <f t="shared" si="0"/>
        <v>100</v>
      </c>
      <c r="J61" s="153">
        <f>(G61*0)/(1+cDR)^'Markov Model_SA2'!cycle</f>
        <v>0</v>
      </c>
      <c r="K61" s="178">
        <f t="shared" si="1"/>
        <v>46.082541041285296</v>
      </c>
      <c r="L61" s="202">
        <f>(G61*(uPostT))/(1+oDR)^'Markov Model_SA2'!cycle</f>
        <v>30.912273428085598</v>
      </c>
      <c r="M61" s="80"/>
      <c r="N61" s="3"/>
      <c r="O61" s="80"/>
      <c r="P61" s="173">
        <v>50</v>
      </c>
      <c r="Q61" s="165"/>
      <c r="R61" s="612">
        <v>7.0741256572026678E-4</v>
      </c>
      <c r="S61" s="502"/>
      <c r="T61" s="219">
        <f t="shared" si="6"/>
        <v>43.415201843082812</v>
      </c>
      <c r="U61" s="481">
        <f>U60+(T60*R61*'life-tables-test'!$C$66)</f>
        <v>56.584798156917188</v>
      </c>
      <c r="V61" s="516">
        <f t="shared" si="2"/>
        <v>100</v>
      </c>
      <c r="W61" s="153">
        <f>(T61*0)/(1+cDR)^'Markov Model_SA2'!cycle2</f>
        <v>0</v>
      </c>
      <c r="X61" s="178">
        <f t="shared" si="7"/>
        <v>43.415201843082812</v>
      </c>
      <c r="Y61" s="202">
        <f>(T61*(uPostT))/(1+oDR)^'Markov Model_SA2'!cycle</f>
        <v>29.123016222272749</v>
      </c>
      <c r="Z61" s="80"/>
      <c r="AA61" s="3"/>
      <c r="AB61" s="3"/>
      <c r="AC61" s="14">
        <v>49</v>
      </c>
      <c r="AD61" s="14"/>
      <c r="AE61" s="14"/>
      <c r="AF61" s="3"/>
      <c r="AG61" s="3"/>
      <c r="AH61" s="3"/>
      <c r="AI61" s="14"/>
      <c r="AJ61" s="14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</row>
    <row r="62" spans="1:60" ht="14.25" customHeight="1" x14ac:dyDescent="0.25">
      <c r="A62" s="637"/>
      <c r="B62" s="80"/>
      <c r="C62" s="173">
        <v>51</v>
      </c>
      <c r="D62" s="165"/>
      <c r="E62" s="612">
        <v>7.0741256572026678E-4</v>
      </c>
      <c r="F62" s="502"/>
      <c r="G62" s="219">
        <f t="shared" si="3"/>
        <v>45.919544198320672</v>
      </c>
      <c r="H62" s="481">
        <f>H61+(G61*E62*'life-tables-test'!$C$66)</f>
        <v>54.080455801679328</v>
      </c>
      <c r="I62" s="516">
        <f t="shared" si="0"/>
        <v>100</v>
      </c>
      <c r="J62" s="153">
        <f>(G62*0)/(1+cDR)^'Markov Model_SA2'!cycle</f>
        <v>0</v>
      </c>
      <c r="K62" s="178">
        <f t="shared" si="1"/>
        <v>45.919544198320672</v>
      </c>
      <c r="L62" s="202">
        <f>(G62*(uPostT))/(1+oDR)^'Markov Model_SA2'!cycle</f>
        <v>30.726119476105296</v>
      </c>
      <c r="M62" s="80"/>
      <c r="N62" s="3"/>
      <c r="O62" s="80"/>
      <c r="P62" s="173">
        <v>51</v>
      </c>
      <c r="Q62" s="165"/>
      <c r="R62" s="612">
        <v>7.0741256572026678E-4</v>
      </c>
      <c r="S62" s="502"/>
      <c r="T62" s="219">
        <f t="shared" si="6"/>
        <v>43.261639546447419</v>
      </c>
      <c r="U62" s="481">
        <f>U61+(T61*R62*'life-tables-test'!$C$66)</f>
        <v>56.738360453552581</v>
      </c>
      <c r="V62" s="516">
        <f t="shared" si="2"/>
        <v>100</v>
      </c>
      <c r="W62" s="153">
        <f>(T62*0)/(1+cDR)^'Markov Model_SA2'!cycle2</f>
        <v>0</v>
      </c>
      <c r="X62" s="178">
        <f t="shared" si="7"/>
        <v>43.261639546447419</v>
      </c>
      <c r="Y62" s="202">
        <f>(T62*(uPostT))/(1+oDR)^'Markov Model_SA2'!cycle</f>
        <v>28.947637191158307</v>
      </c>
      <c r="Z62" s="80"/>
      <c r="AA62" s="3"/>
      <c r="AB62" s="3"/>
      <c r="AC62" s="14">
        <v>50</v>
      </c>
      <c r="AD62" s="14"/>
      <c r="AE62" s="14"/>
      <c r="AF62" s="3"/>
      <c r="AG62" s="3"/>
      <c r="AH62" s="3"/>
      <c r="AI62" s="14"/>
      <c r="AJ62" s="14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</row>
    <row r="63" spans="1:60" ht="14.25" customHeight="1" x14ac:dyDescent="0.25">
      <c r="A63" s="637"/>
      <c r="B63" s="80"/>
      <c r="C63" s="173">
        <v>52</v>
      </c>
      <c r="D63" s="165"/>
      <c r="E63" s="612">
        <v>7.0741256572026678E-4</v>
      </c>
      <c r="F63" s="502"/>
      <c r="G63" s="219">
        <f t="shared" si="3"/>
        <v>45.757123885430474</v>
      </c>
      <c r="H63" s="481">
        <f>H62+(G62*E63*'life-tables-test'!$C$66)</f>
        <v>54.242876114569526</v>
      </c>
      <c r="I63" s="516">
        <f t="shared" si="0"/>
        <v>100</v>
      </c>
      <c r="J63" s="153">
        <f>(G63*0)/(1+cDR)^'Markov Model_SA2'!cycle</f>
        <v>0</v>
      </c>
      <c r="K63" s="178">
        <f t="shared" si="1"/>
        <v>45.757123885430474</v>
      </c>
      <c r="L63" s="202">
        <f>(G63*(uPostT))/(1+oDR)^'Markov Model_SA2'!cycle</f>
        <v>30.541086544677505</v>
      </c>
      <c r="M63" s="80"/>
      <c r="N63" s="3"/>
      <c r="O63" s="80"/>
      <c r="P63" s="173">
        <v>52</v>
      </c>
      <c r="Q63" s="165"/>
      <c r="R63" s="612">
        <v>7.0741256572026678E-4</v>
      </c>
      <c r="S63" s="502"/>
      <c r="T63" s="219">
        <f t="shared" si="6"/>
        <v>43.108620409303327</v>
      </c>
      <c r="U63" s="481">
        <f>U62+(T62*R63*'life-tables-test'!$C$66)</f>
        <v>56.891379590696673</v>
      </c>
      <c r="V63" s="516">
        <f t="shared" si="2"/>
        <v>100</v>
      </c>
      <c r="W63" s="153">
        <f>(T63*0)/(1+cDR)^'Markov Model_SA2'!cycle2</f>
        <v>0</v>
      </c>
      <c r="X63" s="178">
        <f t="shared" si="7"/>
        <v>43.108620409303327</v>
      </c>
      <c r="Y63" s="202">
        <f>(T63*(uPostT))/(1+oDR)^'Markov Model_SA2'!cycle</f>
        <v>28.773314293938771</v>
      </c>
      <c r="Z63" s="80"/>
      <c r="AA63" s="3"/>
      <c r="AB63" s="3"/>
      <c r="AC63" s="14">
        <v>51</v>
      </c>
      <c r="AD63" s="14"/>
      <c r="AE63" s="14"/>
      <c r="AF63" s="3"/>
      <c r="AG63" s="3"/>
      <c r="AH63" s="3"/>
      <c r="AI63" s="14"/>
      <c r="AJ63" s="14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</row>
    <row r="64" spans="1:60" ht="14.25" customHeight="1" x14ac:dyDescent="0.25">
      <c r="A64" s="637"/>
      <c r="B64" s="80"/>
      <c r="C64" s="173">
        <v>53</v>
      </c>
      <c r="D64" s="165"/>
      <c r="E64" s="612">
        <v>7.0741256572026678E-4</v>
      </c>
      <c r="F64" s="502"/>
      <c r="G64" s="219">
        <f t="shared" si="3"/>
        <v>45.595278063391611</v>
      </c>
      <c r="H64" s="481">
        <f>H63+(G63*E64*'life-tables-test'!$C$66)</f>
        <v>54.404721936608389</v>
      </c>
      <c r="I64" s="516">
        <f t="shared" si="0"/>
        <v>100</v>
      </c>
      <c r="J64" s="153">
        <f>(G64*0)/(1+cDR)^'Markov Model_SA2'!cycle</f>
        <v>0</v>
      </c>
      <c r="K64" s="178">
        <f t="shared" si="1"/>
        <v>45.595278063391611</v>
      </c>
      <c r="L64" s="202">
        <f>(G64*(uPostT))/(1+oDR)^'Markov Model_SA2'!cycle</f>
        <v>30.357167883007708</v>
      </c>
      <c r="M64" s="80"/>
      <c r="N64" s="3"/>
      <c r="O64" s="80"/>
      <c r="P64" s="173">
        <v>53</v>
      </c>
      <c r="Q64" s="165"/>
      <c r="R64" s="612">
        <v>7.0741256572026678E-4</v>
      </c>
      <c r="S64" s="502"/>
      <c r="T64" s="219">
        <f t="shared" si="6"/>
        <v>42.956142510461298</v>
      </c>
      <c r="U64" s="481">
        <f>U63+(T63*R64*'life-tables-test'!$C$66)</f>
        <v>57.043857489538702</v>
      </c>
      <c r="V64" s="516">
        <f t="shared" si="2"/>
        <v>100</v>
      </c>
      <c r="W64" s="153">
        <f>(T64*0)/(1+cDR)^'Markov Model_SA2'!cycle2</f>
        <v>0</v>
      </c>
      <c r="X64" s="178">
        <f t="shared" si="7"/>
        <v>42.956142510461298</v>
      </c>
      <c r="Y64" s="202">
        <f>(T64*(uPostT))/(1+oDR)^'Markov Model_SA2'!cycle</f>
        <v>28.6000411705676</v>
      </c>
      <c r="Z64" s="80"/>
      <c r="AA64" s="3"/>
      <c r="AB64" s="3"/>
      <c r="AC64" s="14">
        <v>52</v>
      </c>
      <c r="AD64" s="14"/>
      <c r="AE64" s="14"/>
      <c r="AF64" s="3"/>
      <c r="AG64" s="3"/>
      <c r="AH64" s="3"/>
      <c r="AI64" s="14"/>
      <c r="AJ64" s="14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</row>
    <row r="65" spans="1:60" ht="14.25" customHeight="1" x14ac:dyDescent="0.25">
      <c r="A65" s="637"/>
      <c r="B65" s="80"/>
      <c r="C65" s="173">
        <v>54</v>
      </c>
      <c r="D65" s="165"/>
      <c r="E65" s="612">
        <v>7.0741256572026678E-4</v>
      </c>
      <c r="F65" s="502"/>
      <c r="G65" s="219">
        <f t="shared" si="3"/>
        <v>45.434004700193846</v>
      </c>
      <c r="H65" s="481">
        <f>H64+(G64*E65*'life-tables-test'!$C$66)</f>
        <v>54.565995299806154</v>
      </c>
      <c r="I65" s="516">
        <f t="shared" si="0"/>
        <v>100</v>
      </c>
      <c r="J65" s="153">
        <f>(G65*0)/(1+cDR)^'Markov Model_SA2'!cycle</f>
        <v>0</v>
      </c>
      <c r="K65" s="178">
        <f t="shared" si="1"/>
        <v>45.434004700193846</v>
      </c>
      <c r="L65" s="202">
        <f>(G65*(uPostT))/(1+oDR)^'Markov Model_SA2'!cycle</f>
        <v>30.174356780954732</v>
      </c>
      <c r="M65" s="80"/>
      <c r="N65" s="3"/>
      <c r="O65" s="80"/>
      <c r="P65" s="173">
        <v>54</v>
      </c>
      <c r="Q65" s="165"/>
      <c r="R65" s="612">
        <v>7.0741256572026678E-4</v>
      </c>
      <c r="S65" s="502"/>
      <c r="T65" s="219">
        <f t="shared" si="6"/>
        <v>42.804203935527447</v>
      </c>
      <c r="U65" s="481">
        <f>U64+(T64*R65*'life-tables-test'!$C$66)</f>
        <v>57.195796064472553</v>
      </c>
      <c r="V65" s="516">
        <f t="shared" si="2"/>
        <v>100</v>
      </c>
      <c r="W65" s="153">
        <f>(T65*0)/(1+cDR)^'Markov Model_SA2'!cycle2</f>
        <v>0</v>
      </c>
      <c r="X65" s="178">
        <f t="shared" si="7"/>
        <v>42.804203935527447</v>
      </c>
      <c r="Y65" s="202">
        <f>(T65*(uPostT))/(1+oDR)^'Markov Model_SA2'!cycle</f>
        <v>28.427811499298482</v>
      </c>
      <c r="Z65" s="80"/>
      <c r="AA65" s="3"/>
      <c r="AB65" s="3"/>
      <c r="AC65" s="14">
        <v>53</v>
      </c>
      <c r="AD65" s="14"/>
      <c r="AE65" s="14"/>
      <c r="AF65" s="3"/>
      <c r="AG65" s="3"/>
      <c r="AH65" s="3"/>
      <c r="AI65" s="14"/>
      <c r="AJ65" s="14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</row>
    <row r="66" spans="1:60" ht="14.25" customHeight="1" x14ac:dyDescent="0.25">
      <c r="A66" s="637"/>
      <c r="B66" s="80"/>
      <c r="C66" s="173">
        <v>55</v>
      </c>
      <c r="D66" s="165"/>
      <c r="E66" s="612">
        <v>7.0741256572026678E-4</v>
      </c>
      <c r="F66" s="502"/>
      <c r="G66" s="219">
        <f t="shared" si="3"/>
        <v>45.273301771014289</v>
      </c>
      <c r="H66" s="481">
        <f>H65+(G65*E66*'life-tables-test'!$C$66)</f>
        <v>54.726698228985711</v>
      </c>
      <c r="I66" s="516">
        <f t="shared" si="0"/>
        <v>100</v>
      </c>
      <c r="J66" s="153">
        <f>(G66*0)/(1+cDR)^'Markov Model_SA2'!cycle</f>
        <v>0</v>
      </c>
      <c r="K66" s="178">
        <f t="shared" si="1"/>
        <v>45.273301771014289</v>
      </c>
      <c r="L66" s="202">
        <f>(G66*(uPostT))/(1+oDR)^'Markov Model_SA2'!cycle</f>
        <v>29.992646568785897</v>
      </c>
      <c r="M66" s="80"/>
      <c r="N66" s="3"/>
      <c r="O66" s="80"/>
      <c r="P66" s="173">
        <v>55</v>
      </c>
      <c r="Q66" s="165"/>
      <c r="R66" s="612">
        <v>7.0741256572026678E-4</v>
      </c>
      <c r="S66" s="502"/>
      <c r="T66" s="219">
        <f t="shared" si="6"/>
        <v>42.65280277687922</v>
      </c>
      <c r="U66" s="481">
        <f>U65+(T65*R66*'life-tables-test'!$C$66)</f>
        <v>57.34719722312078</v>
      </c>
      <c r="V66" s="516">
        <f t="shared" si="2"/>
        <v>100</v>
      </c>
      <c r="W66" s="153">
        <f>(T66*0)/(1+cDR)^'Markov Model_SA2'!cycle2</f>
        <v>0</v>
      </c>
      <c r="X66" s="178">
        <f t="shared" si="7"/>
        <v>42.65280277687922</v>
      </c>
      <c r="Y66" s="202">
        <f>(T66*(uPostT))/(1+oDR)^'Markov Model_SA2'!cycle</f>
        <v>28.256618996454687</v>
      </c>
      <c r="Z66" s="80"/>
      <c r="AA66" s="3"/>
      <c r="AB66" s="3"/>
      <c r="AC66" s="14">
        <v>54</v>
      </c>
      <c r="AD66" s="14"/>
      <c r="AE66" s="14"/>
      <c r="AF66" s="3"/>
      <c r="AG66" s="3"/>
      <c r="AH66" s="3"/>
      <c r="AI66" s="14"/>
      <c r="AJ66" s="14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</row>
    <row r="67" spans="1:60" ht="14.25" customHeight="1" x14ac:dyDescent="0.25">
      <c r="A67" s="637"/>
      <c r="B67" s="80"/>
      <c r="C67" s="173">
        <v>56</v>
      </c>
      <c r="D67" s="165"/>
      <c r="E67" s="612">
        <v>7.0741256572026678E-4</v>
      </c>
      <c r="F67" s="502"/>
      <c r="G67" s="219">
        <f t="shared" si="3"/>
        <v>45.113167258191986</v>
      </c>
      <c r="H67" s="481">
        <f>H66+(G66*E67*'life-tables-test'!$C$66)</f>
        <v>54.886832741808014</v>
      </c>
      <c r="I67" s="516">
        <f t="shared" si="0"/>
        <v>100</v>
      </c>
      <c r="J67" s="153">
        <f>(G67*0)/(1+cDR)^'Markov Model_SA2'!cycle</f>
        <v>0</v>
      </c>
      <c r="K67" s="178">
        <f t="shared" si="1"/>
        <v>45.113167258191986</v>
      </c>
      <c r="L67" s="202">
        <f>(G67*(uPostT))/(1+oDR)^'Markov Model_SA2'!cycle</f>
        <v>29.81203061693374</v>
      </c>
      <c r="M67" s="80"/>
      <c r="N67" s="3"/>
      <c r="O67" s="80"/>
      <c r="P67" s="173">
        <v>56</v>
      </c>
      <c r="Q67" s="165"/>
      <c r="R67" s="612">
        <v>7.0741256572026678E-4</v>
      </c>
      <c r="S67" s="502"/>
      <c r="T67" s="219">
        <f t="shared" si="6"/>
        <v>42.501937133641455</v>
      </c>
      <c r="U67" s="481">
        <f>U66+(T66*R67*'life-tables-test'!$C$66)</f>
        <v>57.498062866358545</v>
      </c>
      <c r="V67" s="516">
        <f t="shared" si="2"/>
        <v>100</v>
      </c>
      <c r="W67" s="153">
        <f>(T67*0)/(1+cDR)^'Markov Model_SA2'!cycle2</f>
        <v>0</v>
      </c>
      <c r="X67" s="178">
        <f t="shared" si="7"/>
        <v>42.501937133641455</v>
      </c>
      <c r="Y67" s="202">
        <f>(T67*(uPostT))/(1+oDR)^'Markov Model_SA2'!cycle</f>
        <v>28.086457416199885</v>
      </c>
      <c r="Z67" s="80"/>
      <c r="AA67" s="3"/>
      <c r="AB67" s="3"/>
      <c r="AC67" s="14">
        <v>55</v>
      </c>
      <c r="AD67" s="14"/>
      <c r="AE67" s="14"/>
      <c r="AF67" s="3"/>
      <c r="AG67" s="3"/>
      <c r="AH67" s="3"/>
      <c r="AI67" s="14"/>
      <c r="AJ67" s="14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</row>
    <row r="68" spans="1:60" ht="14.25" customHeight="1" x14ac:dyDescent="0.25">
      <c r="A68" s="637"/>
      <c r="B68" s="80"/>
      <c r="C68" s="173">
        <v>57</v>
      </c>
      <c r="D68" s="165"/>
      <c r="E68" s="612">
        <v>7.0741256572026678E-4</v>
      </c>
      <c r="F68" s="502"/>
      <c r="G68" s="219">
        <f t="shared" si="3"/>
        <v>44.95359915120256</v>
      </c>
      <c r="H68" s="481">
        <f>H67+(G67*E68*'life-tables-test'!$C$66)</f>
        <v>55.04640084879744</v>
      </c>
      <c r="I68" s="516">
        <f t="shared" si="0"/>
        <v>100</v>
      </c>
      <c r="J68" s="153">
        <f>(G68*0)/(1+cDR)^'Markov Model_SA2'!cycle</f>
        <v>0</v>
      </c>
      <c r="K68" s="178">
        <f t="shared" si="1"/>
        <v>44.95359915120256</v>
      </c>
      <c r="L68" s="202">
        <f>(G68*(uPostT))/(1+oDR)^'Markov Model_SA2'!cycle</f>
        <v>29.632502335754069</v>
      </c>
      <c r="M68" s="80"/>
      <c r="N68" s="3"/>
      <c r="O68" s="80"/>
      <c r="P68" s="173">
        <v>57</v>
      </c>
      <c r="Q68" s="165"/>
      <c r="R68" s="612">
        <v>7.0741256572026678E-4</v>
      </c>
      <c r="S68" s="502"/>
      <c r="T68" s="219">
        <f t="shared" si="6"/>
        <v>42.351605111662501</v>
      </c>
      <c r="U68" s="481">
        <f>U67+(T67*R68*'life-tables-test'!$C$66)</f>
        <v>57.648394888337499</v>
      </c>
      <c r="V68" s="516">
        <f t="shared" si="2"/>
        <v>100</v>
      </c>
      <c r="W68" s="153">
        <f>(T68*0)/(1+cDR)^'Markov Model_SA2'!cycle2</f>
        <v>0</v>
      </c>
      <c r="X68" s="178">
        <f t="shared" si="7"/>
        <v>42.351605111662501</v>
      </c>
      <c r="Y68" s="202">
        <f>(T68*(uPostT))/(1+oDR)^'Markov Model_SA2'!cycle</f>
        <v>27.917320550310173</v>
      </c>
      <c r="Z68" s="80"/>
      <c r="AA68" s="3"/>
      <c r="AB68" s="3"/>
      <c r="AC68" s="14">
        <v>56</v>
      </c>
      <c r="AD68" s="14"/>
      <c r="AE68" s="14"/>
      <c r="AF68" s="3"/>
      <c r="AG68" s="3"/>
      <c r="AH68" s="3"/>
      <c r="AI68" s="14"/>
      <c r="AJ68" s="14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</row>
    <row r="69" spans="1:60" ht="14.25" customHeight="1" x14ac:dyDescent="0.25">
      <c r="A69" s="637"/>
      <c r="B69" s="80"/>
      <c r="C69" s="173">
        <v>58</v>
      </c>
      <c r="D69" s="165"/>
      <c r="E69" s="612">
        <v>7.0741256572026678E-4</v>
      </c>
      <c r="F69" s="502"/>
      <c r="G69" s="219">
        <f t="shared" si="3"/>
        <v>44.794595446632997</v>
      </c>
      <c r="H69" s="481">
        <f>H68+(G68*E69*'life-tables-test'!$C$66)</f>
        <v>55.205404553367003</v>
      </c>
      <c r="I69" s="516">
        <f t="shared" si="0"/>
        <v>100</v>
      </c>
      <c r="J69" s="153">
        <f>(G69*0)/(1+cDR)^'Markov Model_SA2'!cycle</f>
        <v>0</v>
      </c>
      <c r="K69" s="178">
        <f t="shared" si="1"/>
        <v>44.794595446632997</v>
      </c>
      <c r="L69" s="202">
        <f>(G69*(uPostT))/(1+oDR)^'Markov Model_SA2'!cycle</f>
        <v>29.454055175285614</v>
      </c>
      <c r="M69" s="80"/>
      <c r="N69" s="3"/>
      <c r="O69" s="80"/>
      <c r="P69" s="173">
        <v>58</v>
      </c>
      <c r="Q69" s="165"/>
      <c r="R69" s="612">
        <v>7.0741256572026678E-4</v>
      </c>
      <c r="S69" s="502"/>
      <c r="T69" s="219">
        <f t="shared" si="6"/>
        <v>42.201804823490434</v>
      </c>
      <c r="U69" s="481">
        <f>U68+(T68*R69*'life-tables-test'!$C$66)</f>
        <v>57.798195176509566</v>
      </c>
      <c r="V69" s="516">
        <f t="shared" si="2"/>
        <v>100</v>
      </c>
      <c r="W69" s="153">
        <f>(T69*0)/(1+cDR)^'Markov Model_SA2'!cycle2</f>
        <v>0</v>
      </c>
      <c r="X69" s="178">
        <f t="shared" si="7"/>
        <v>42.201804823490434</v>
      </c>
      <c r="Y69" s="202">
        <f>(T69*(uPostT))/(1+oDR)^'Markov Model_SA2'!cycle</f>
        <v>27.749202227947652</v>
      </c>
      <c r="Z69" s="80"/>
      <c r="AA69" s="3"/>
      <c r="AB69" s="3"/>
      <c r="AC69" s="14">
        <v>57</v>
      </c>
      <c r="AD69" s="14"/>
      <c r="AE69" s="14"/>
      <c r="AF69" s="3"/>
      <c r="AG69" s="3"/>
      <c r="AH69" s="3"/>
      <c r="AI69" s="14"/>
      <c r="AJ69" s="14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</row>
    <row r="70" spans="1:60" ht="14.25" customHeight="1" x14ac:dyDescent="0.25">
      <c r="A70" s="637"/>
      <c r="B70" s="80"/>
      <c r="C70" s="173">
        <v>59</v>
      </c>
      <c r="D70" s="165"/>
      <c r="E70" s="612">
        <v>7.0741256572026678E-4</v>
      </c>
      <c r="F70" s="502"/>
      <c r="G70" s="219">
        <f t="shared" si="3"/>
        <v>44.636154148156479</v>
      </c>
      <c r="H70" s="481">
        <f>H69+(G69*E70*'life-tables-test'!$C$66)</f>
        <v>55.363845851843521</v>
      </c>
      <c r="I70" s="516">
        <f t="shared" si="0"/>
        <v>100</v>
      </c>
      <c r="J70" s="153">
        <f>(G70*0)/(1+cDR)^'Markov Model_SA2'!cycle</f>
        <v>0</v>
      </c>
      <c r="K70" s="178">
        <f t="shared" si="1"/>
        <v>44.636154148156479</v>
      </c>
      <c r="L70" s="202">
        <f>(G70*(uPostT))/(1+oDR)^'Markov Model_SA2'!cycle</f>
        <v>29.27668262501102</v>
      </c>
      <c r="M70" s="80"/>
      <c r="N70" s="3"/>
      <c r="O70" s="80"/>
      <c r="P70" s="173">
        <v>59</v>
      </c>
      <c r="Q70" s="165"/>
      <c r="R70" s="612">
        <v>7.0741256572026678E-4</v>
      </c>
      <c r="S70" s="502"/>
      <c r="T70" s="219">
        <f t="shared" si="6"/>
        <v>42.052534388349379</v>
      </c>
      <c r="U70" s="481">
        <f>U69+(T69*R70*'life-tables-test'!$C$66)</f>
        <v>57.947465611650621</v>
      </c>
      <c r="V70" s="516">
        <f t="shared" si="2"/>
        <v>100</v>
      </c>
      <c r="W70" s="153">
        <f>(T70*0)/(1+cDR)^'Markov Model_SA2'!cycle2</f>
        <v>0</v>
      </c>
      <c r="X70" s="178">
        <f t="shared" si="7"/>
        <v>42.052534388349379</v>
      </c>
      <c r="Y70" s="202">
        <f>(T70*(uPostT))/(1+oDR)^'Markov Model_SA2'!cycle</f>
        <v>27.582096315435248</v>
      </c>
      <c r="Z70" s="80"/>
      <c r="AA70" s="3"/>
      <c r="AB70" s="3"/>
      <c r="AC70" s="14">
        <v>58</v>
      </c>
      <c r="AD70" s="14"/>
      <c r="AE70" s="14"/>
      <c r="AF70" s="3"/>
      <c r="AG70" s="3"/>
      <c r="AH70" s="3"/>
      <c r="AI70" s="14"/>
      <c r="AJ70" s="14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</row>
    <row r="71" spans="1:60" ht="14.25" customHeight="1" x14ac:dyDescent="0.25">
      <c r="A71" s="637"/>
      <c r="B71" s="80"/>
      <c r="C71" s="173">
        <v>60</v>
      </c>
      <c r="D71" s="504"/>
      <c r="E71" s="612">
        <v>7.0741256572026678E-4</v>
      </c>
      <c r="F71" s="505"/>
      <c r="G71" s="219">
        <f t="shared" si="3"/>
        <v>44.478273266507315</v>
      </c>
      <c r="H71" s="481">
        <f>H70+(G70*E71*'life-tables-test'!$C$66)</f>
        <v>55.521726733492685</v>
      </c>
      <c r="I71" s="516">
        <f t="shared" si="0"/>
        <v>100</v>
      </c>
      <c r="J71" s="180">
        <f>(G71*0)/(1+cDR)^'Markov Model_SA2'!cycle</f>
        <v>0</v>
      </c>
      <c r="K71" s="176">
        <f t="shared" si="1"/>
        <v>44.478273266507315</v>
      </c>
      <c r="L71" s="202">
        <f>(G71*(uPostT))/(1+oDR)^'Markov Model_SA2'!cycle</f>
        <v>29.100378213619287</v>
      </c>
      <c r="M71" s="80"/>
      <c r="N71" s="3"/>
      <c r="O71" s="80"/>
      <c r="P71" s="173">
        <v>60</v>
      </c>
      <c r="Q71" s="504"/>
      <c r="R71" s="612">
        <v>7.0741256572026678E-4</v>
      </c>
      <c r="S71" s="505"/>
      <c r="T71" s="219">
        <f t="shared" si="6"/>
        <v>41.903791932115872</v>
      </c>
      <c r="U71" s="481">
        <f>U70+(T70*R71*'life-tables-test'!$C$66)</f>
        <v>58.096208067884128</v>
      </c>
      <c r="V71" s="516">
        <f t="shared" si="2"/>
        <v>100</v>
      </c>
      <c r="W71" s="180">
        <f>(T71*0)/(1+cDR)^'Markov Model_SA2'!cycle2</f>
        <v>0</v>
      </c>
      <c r="X71" s="176">
        <f t="shared" si="7"/>
        <v>41.903791932115872</v>
      </c>
      <c r="Y71" s="202">
        <f>(T71*(uPostT))/(1+oDR)^'Markov Model_SA2'!cycle</f>
        <v>27.415996716032943</v>
      </c>
      <c r="Z71" s="80"/>
      <c r="AA71" s="3"/>
      <c r="AB71" s="3"/>
      <c r="AC71" s="14">
        <v>59</v>
      </c>
      <c r="AD71" s="14"/>
      <c r="AE71" s="14"/>
      <c r="AF71" s="3"/>
      <c r="AG71" s="3"/>
      <c r="AH71" s="3"/>
      <c r="AI71" s="14"/>
      <c r="AJ71" s="14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</row>
    <row r="72" spans="1:60" ht="14.25" customHeight="1" x14ac:dyDescent="0.25">
      <c r="A72" s="637" t="s">
        <v>547</v>
      </c>
      <c r="B72" s="80"/>
      <c r="C72" s="506">
        <v>61</v>
      </c>
      <c r="D72" s="506"/>
      <c r="E72" s="612">
        <v>7.6092648659953355E-4</v>
      </c>
      <c r="F72" s="508"/>
      <c r="G72" s="509">
        <f t="shared" si="3"/>
        <v>44.309049785473832</v>
      </c>
      <c r="H72" s="482">
        <f>H71+(G71*E72*'life-tables-test'!$C$66)</f>
        <v>55.690950214526168</v>
      </c>
      <c r="I72" s="518">
        <f t="shared" si="0"/>
        <v>100</v>
      </c>
      <c r="J72" s="511">
        <f>(G72*0)/(1+cDR)^'Markov Model_SA2'!cycle</f>
        <v>0</v>
      </c>
      <c r="K72" s="512">
        <f t="shared" si="1"/>
        <v>44.309049785473832</v>
      </c>
      <c r="L72" s="513">
        <f>(G72*(uPostT))/(1+oDR)^'Markov Model_SA2'!cycle</f>
        <v>28.917368549481548</v>
      </c>
      <c r="M72" s="80"/>
      <c r="N72" s="3"/>
      <c r="O72" s="80"/>
      <c r="P72" s="506">
        <v>61</v>
      </c>
      <c r="Q72" s="506"/>
      <c r="R72" s="612">
        <v>7.6092648659953355E-4</v>
      </c>
      <c r="S72" s="508"/>
      <c r="T72" s="509">
        <f t="shared" si="6"/>
        <v>41.744363406265357</v>
      </c>
      <c r="U72" s="482">
        <f>U71+(T71*R72*'life-tables-test'!$C$66)</f>
        <v>58.255636593734643</v>
      </c>
      <c r="V72" s="518">
        <f t="shared" si="2"/>
        <v>100</v>
      </c>
      <c r="W72" s="511">
        <f>(T72*0)/(1+cDR)^'Markov Model_SA2'!cycle2</f>
        <v>0</v>
      </c>
      <c r="X72" s="512">
        <f t="shared" si="7"/>
        <v>41.744363406265357</v>
      </c>
      <c r="Y72" s="513">
        <f>(T72*(uPostT))/(1+oDR)^'Markov Model_SA2'!cycle</f>
        <v>27.24357997580465</v>
      </c>
      <c r="Z72" s="80"/>
      <c r="AA72" s="3"/>
      <c r="AB72" s="3"/>
      <c r="AC72" s="14">
        <v>60</v>
      </c>
      <c r="AD72" s="14"/>
      <c r="AE72" s="14"/>
      <c r="AF72" s="3"/>
      <c r="AG72" s="3"/>
      <c r="AH72" s="3"/>
      <c r="AI72" s="14"/>
      <c r="AJ72" s="14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</row>
    <row r="73" spans="1:60" ht="14.25" customHeight="1" x14ac:dyDescent="0.25">
      <c r="A73" s="637"/>
      <c r="B73" s="80"/>
      <c r="C73" s="173">
        <v>62</v>
      </c>
      <c r="D73" s="165"/>
      <c r="E73" s="612">
        <v>7.6092648659953355E-4</v>
      </c>
      <c r="F73" s="502"/>
      <c r="G73" s="219">
        <f t="shared" si="3"/>
        <v>44.140470137584707</v>
      </c>
      <c r="H73" s="481">
        <f>H72+(G72*E73*'life-tables-test'!$C$66)</f>
        <v>55.859529862415293</v>
      </c>
      <c r="I73" s="516">
        <f t="shared" si="0"/>
        <v>100</v>
      </c>
      <c r="J73" s="153">
        <f>(G73*0)/(1+cDR)^'Markov Model_SA2'!cycle</f>
        <v>0</v>
      </c>
      <c r="K73" s="178">
        <f t="shared" si="1"/>
        <v>44.140470137584707</v>
      </c>
      <c r="L73" s="202">
        <f>(G73*(uPostT))/(1+oDR)^'Markov Model_SA2'!cycle</f>
        <v>28.735509816679553</v>
      </c>
      <c r="M73" s="80"/>
      <c r="N73" s="3"/>
      <c r="O73" s="80"/>
      <c r="P73" s="173">
        <v>62</v>
      </c>
      <c r="Q73" s="165"/>
      <c r="R73" s="612">
        <v>7.6092648659953355E-4</v>
      </c>
      <c r="S73" s="502"/>
      <c r="T73" s="219">
        <f t="shared" si="6"/>
        <v>41.585541447355041</v>
      </c>
      <c r="U73" s="481">
        <f>U72+(T72*R73*'life-tables-test'!$C$66)</f>
        <v>58.414458552644959</v>
      </c>
      <c r="V73" s="516">
        <f t="shared" si="2"/>
        <v>100</v>
      </c>
      <c r="W73" s="153">
        <f>(T73*0)/(1+cDR)^'Markov Model_SA2'!cycle2</f>
        <v>0</v>
      </c>
      <c r="X73" s="178">
        <f t="shared" si="7"/>
        <v>41.585541447355041</v>
      </c>
      <c r="Y73" s="202">
        <f>(T73*(uPostT))/(1+oDR)^'Markov Model_SA2'!cycle</f>
        <v>27.072247548965333</v>
      </c>
      <c r="Z73" s="80"/>
      <c r="AA73" s="3"/>
      <c r="AB73" s="3"/>
      <c r="AC73" s="14">
        <v>61</v>
      </c>
      <c r="AD73" s="14"/>
      <c r="AE73" s="14"/>
      <c r="AF73" s="3"/>
      <c r="AG73" s="3"/>
      <c r="AH73" s="3"/>
      <c r="AI73" s="14"/>
      <c r="AJ73" s="14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</row>
    <row r="74" spans="1:60" ht="14.25" customHeight="1" x14ac:dyDescent="0.25">
      <c r="A74" s="637"/>
      <c r="B74" s="80"/>
      <c r="C74" s="173">
        <v>63</v>
      </c>
      <c r="D74" s="165"/>
      <c r="E74" s="612">
        <v>7.6092648659953355E-4</v>
      </c>
      <c r="F74" s="502"/>
      <c r="G74" s="219">
        <f t="shared" si="3"/>
        <v>43.972531873291487</v>
      </c>
      <c r="H74" s="481">
        <f>H73+(G73*E74*'life-tables-test'!$C$66)</f>
        <v>56.027468126708513</v>
      </c>
      <c r="I74" s="516">
        <f t="shared" si="0"/>
        <v>100</v>
      </c>
      <c r="J74" s="153">
        <f>(G74*0)/(1+cDR)^'Markov Model_SA2'!cycle</f>
        <v>0</v>
      </c>
      <c r="K74" s="178">
        <f t="shared" si="1"/>
        <v>43.972531873291487</v>
      </c>
      <c r="L74" s="202">
        <f>(G74*(uPostT))/(1+oDR)^'Markov Model_SA2'!cycle</f>
        <v>28.554794777109521</v>
      </c>
      <c r="M74" s="80"/>
      <c r="N74" s="3"/>
      <c r="O74" s="80"/>
      <c r="P74" s="173">
        <v>63</v>
      </c>
      <c r="Q74" s="165"/>
      <c r="R74" s="612">
        <v>7.6092648659953355E-4</v>
      </c>
      <c r="S74" s="502"/>
      <c r="T74" s="219">
        <f t="shared" si="6"/>
        <v>41.427323747620669</v>
      </c>
      <c r="U74" s="481">
        <f>U73+(T73*R74*'life-tables-test'!$C$66)</f>
        <v>58.572676252379331</v>
      </c>
      <c r="V74" s="516">
        <f t="shared" si="2"/>
        <v>100</v>
      </c>
      <c r="W74" s="153">
        <f>(T74*0)/(1+cDR)^'Markov Model_SA2'!cycle2</f>
        <v>0</v>
      </c>
      <c r="X74" s="178">
        <f t="shared" si="7"/>
        <v>41.427323747620669</v>
      </c>
      <c r="Y74" s="202">
        <f>(T74*(uPostT))/(1+oDR)^'Markov Model_SA2'!cycle</f>
        <v>26.901992616365494</v>
      </c>
      <c r="Z74" s="80"/>
      <c r="AA74" s="3"/>
      <c r="AB74" s="3"/>
      <c r="AC74" s="14">
        <v>62</v>
      </c>
      <c r="AD74" s="14"/>
      <c r="AE74" s="14"/>
      <c r="AF74" s="3"/>
      <c r="AG74" s="3"/>
      <c r="AH74" s="3"/>
      <c r="AI74" s="14"/>
      <c r="AJ74" s="14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</row>
    <row r="75" spans="1:60" ht="14.25" customHeight="1" x14ac:dyDescent="0.25">
      <c r="A75" s="637"/>
      <c r="B75" s="80"/>
      <c r="C75" s="173">
        <v>64</v>
      </c>
      <c r="D75" s="165"/>
      <c r="E75" s="612">
        <v>7.6092648659953355E-4</v>
      </c>
      <c r="F75" s="502"/>
      <c r="G75" s="219">
        <f t="shared" si="3"/>
        <v>43.805232552365339</v>
      </c>
      <c r="H75" s="481">
        <f>H74+(G74*E75*'life-tables-test'!$C$66)</f>
        <v>56.194767447634661</v>
      </c>
      <c r="I75" s="516">
        <f t="shared" si="0"/>
        <v>100</v>
      </c>
      <c r="J75" s="153">
        <f>(G75*0)/(1+cDR)^'Markov Model_SA2'!cycle</f>
        <v>0</v>
      </c>
      <c r="K75" s="178">
        <f t="shared" ref="K75:K177" si="8">G75</f>
        <v>43.805232552365339</v>
      </c>
      <c r="L75" s="202">
        <f>(G75*(uPostT))/(1+oDR)^'Markov Model_SA2'!cycle</f>
        <v>28.375216238187463</v>
      </c>
      <c r="M75" s="80"/>
      <c r="N75" s="3"/>
      <c r="O75" s="80"/>
      <c r="P75" s="173">
        <v>64</v>
      </c>
      <c r="Q75" s="165"/>
      <c r="R75" s="612">
        <v>7.6092648659953355E-4</v>
      </c>
      <c r="S75" s="502"/>
      <c r="T75" s="219">
        <f t="shared" si="6"/>
        <v>41.269708008078176</v>
      </c>
      <c r="U75" s="481">
        <f>U74+(T74*R75*'life-tables-test'!$C$66)</f>
        <v>58.730291991921824</v>
      </c>
      <c r="V75" s="516">
        <f t="shared" si="2"/>
        <v>100</v>
      </c>
      <c r="W75" s="153">
        <f>(T75*0)/(1+cDR)^'Markov Model_SA2'!cycle2</f>
        <v>0</v>
      </c>
      <c r="X75" s="178">
        <f t="shared" si="7"/>
        <v>41.269708008078176</v>
      </c>
      <c r="Y75" s="202">
        <f>(T75*(uPostT))/(1+oDR)^'Markov Model_SA2'!cycle</f>
        <v>26.732808401740645</v>
      </c>
      <c r="Z75" s="80"/>
      <c r="AA75" s="3"/>
      <c r="AB75" s="3"/>
      <c r="AC75" s="14">
        <v>63</v>
      </c>
      <c r="AD75" s="14"/>
      <c r="AE75" s="14"/>
      <c r="AF75" s="3"/>
      <c r="AG75" s="3"/>
      <c r="AH75" s="3"/>
      <c r="AI75" s="14"/>
      <c r="AJ75" s="14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</row>
    <row r="76" spans="1:60" ht="14.25" customHeight="1" x14ac:dyDescent="0.25">
      <c r="A76" s="637"/>
      <c r="B76" s="80"/>
      <c r="C76" s="173">
        <v>65</v>
      </c>
      <c r="D76" s="165"/>
      <c r="E76" s="612">
        <v>7.6092648659953355E-4</v>
      </c>
      <c r="F76" s="502"/>
      <c r="G76" s="219">
        <f t="shared" ref="G76:G139" si="9">$G$10-H76</f>
        <v>43.638569743861602</v>
      </c>
      <c r="H76" s="481">
        <f>H75+(G75*E76*'life-tables-test'!$C$66)</f>
        <v>56.361430256138398</v>
      </c>
      <c r="I76" s="516">
        <f t="shared" si="0"/>
        <v>100</v>
      </c>
      <c r="J76" s="153">
        <f>(G76*0)/(1+cDR)^'Markov Model_SA2'!cycle</f>
        <v>0</v>
      </c>
      <c r="K76" s="178">
        <f t="shared" si="8"/>
        <v>43.638569743861602</v>
      </c>
      <c r="L76" s="202">
        <f>(G76*(uPostT))/(1+oDR)^'Markov Model_SA2'!cycle</f>
        <v>28.196767052562919</v>
      </c>
      <c r="M76" s="80"/>
      <c r="N76" s="3"/>
      <c r="O76" s="80"/>
      <c r="P76" s="173">
        <v>65</v>
      </c>
      <c r="Q76" s="165"/>
      <c r="R76" s="612">
        <v>7.6092648659953355E-4</v>
      </c>
      <c r="S76" s="502"/>
      <c r="T76" s="219">
        <f t="shared" si="6"/>
        <v>41.1126919384903</v>
      </c>
      <c r="U76" s="481">
        <f>U75+(T75*R76*'life-tables-test'!$C$66)</f>
        <v>58.8873080615097</v>
      </c>
      <c r="V76" s="516">
        <f t="shared" si="2"/>
        <v>100</v>
      </c>
      <c r="W76" s="153">
        <f>(T76*0)/(1+cDR)^'Markov Model_SA2'!cycle2</f>
        <v>0</v>
      </c>
      <c r="X76" s="178">
        <f t="shared" si="7"/>
        <v>41.1126919384903</v>
      </c>
      <c r="Y76" s="202">
        <f>(T76*(uPostT))/(1+oDR)^'Markov Model_SA2'!cycle</f>
        <v>26.564688171441666</v>
      </c>
      <c r="Z76" s="80"/>
      <c r="AA76" s="3"/>
      <c r="AB76" s="3"/>
      <c r="AC76" s="14">
        <v>64</v>
      </c>
      <c r="AD76" s="14"/>
      <c r="AE76" s="14"/>
      <c r="AF76" s="3"/>
      <c r="AG76" s="3"/>
      <c r="AH76" s="3"/>
      <c r="AI76" s="14"/>
      <c r="AJ76" s="14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</row>
    <row r="77" spans="1:60" ht="14.25" customHeight="1" x14ac:dyDescent="0.25">
      <c r="A77" s="637"/>
      <c r="B77" s="80"/>
      <c r="C77" s="173">
        <v>66</v>
      </c>
      <c r="D77" s="165"/>
      <c r="E77" s="612">
        <v>7.6092648659953355E-4</v>
      </c>
      <c r="F77" s="502"/>
      <c r="G77" s="219">
        <f t="shared" si="9"/>
        <v>43.472541026084478</v>
      </c>
      <c r="H77" s="481">
        <f>H76+(G76*E77*'life-tables-test'!$C$66)</f>
        <v>56.527458973915522</v>
      </c>
      <c r="I77" s="516">
        <f t="shared" si="0"/>
        <v>100</v>
      </c>
      <c r="J77" s="153">
        <f>(G77*0)/(1+cDR)^'Markov Model_SA2'!cycle</f>
        <v>0</v>
      </c>
      <c r="K77" s="178">
        <f t="shared" si="8"/>
        <v>43.472541026084478</v>
      </c>
      <c r="L77" s="202">
        <f>(G77*(uPostT))/(1+oDR)^'Markov Model_SA2'!cycle</f>
        <v>28.019440117834478</v>
      </c>
      <c r="M77" s="80"/>
      <c r="N77" s="3"/>
      <c r="O77" s="80"/>
      <c r="P77" s="173">
        <v>66</v>
      </c>
      <c r="Q77" s="165"/>
      <c r="R77" s="612">
        <v>7.6092648659953355E-4</v>
      </c>
      <c r="S77" s="502"/>
      <c r="T77" s="219">
        <f t="shared" si="6"/>
        <v>40.95627325733328</v>
      </c>
      <c r="U77" s="481">
        <f>U76+(T76*R77*'life-tables-test'!$C$66)</f>
        <v>59.04372674266672</v>
      </c>
      <c r="V77" s="516">
        <f t="shared" si="2"/>
        <v>100</v>
      </c>
      <c r="W77" s="153">
        <f>(T77*0)/(1+cDR)^'Markov Model_SA2'!cycle2</f>
        <v>0</v>
      </c>
      <c r="X77" s="178">
        <f t="shared" si="7"/>
        <v>40.95627325733328</v>
      </c>
      <c r="Y77" s="202">
        <f>(T77*(uPostT))/(1+oDR)^'Markov Model_SA2'!cycle</f>
        <v>26.397625234166718</v>
      </c>
      <c r="Z77" s="80"/>
      <c r="AA77" s="3"/>
      <c r="AB77" s="3"/>
      <c r="AC77" s="14">
        <v>65</v>
      </c>
      <c r="AD77" s="14"/>
      <c r="AE77" s="14"/>
      <c r="AF77" s="3"/>
      <c r="AG77" s="3"/>
      <c r="AH77" s="3"/>
      <c r="AI77" s="14"/>
      <c r="AJ77" s="14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</row>
    <row r="78" spans="1:60" ht="14.25" customHeight="1" x14ac:dyDescent="0.25">
      <c r="A78" s="637"/>
      <c r="B78" s="80"/>
      <c r="C78" s="173">
        <v>67</v>
      </c>
      <c r="D78" s="165"/>
      <c r="E78" s="612">
        <v>7.6092648659953355E-4</v>
      </c>
      <c r="F78" s="502"/>
      <c r="G78" s="219">
        <f t="shared" si="9"/>
        <v>43.307143986551814</v>
      </c>
      <c r="H78" s="481">
        <f>H77+(G77*E78*'life-tables-test'!$C$66)</f>
        <v>56.692856013448186</v>
      </c>
      <c r="I78" s="516">
        <f t="shared" si="0"/>
        <v>100</v>
      </c>
      <c r="J78" s="153">
        <f>(G78*0)/(1+cDR)^'Markov Model_SA2'!cycle</f>
        <v>0</v>
      </c>
      <c r="K78" s="178">
        <f t="shared" si="8"/>
        <v>43.307143986551814</v>
      </c>
      <c r="L78" s="202">
        <f>(G78*(uPostT))/(1+oDR)^'Markov Model_SA2'!cycle</f>
        <v>27.843228376267064</v>
      </c>
      <c r="M78" s="80"/>
      <c r="N78" s="3"/>
      <c r="O78" s="80"/>
      <c r="P78" s="173">
        <v>67</v>
      </c>
      <c r="Q78" s="165"/>
      <c r="R78" s="612">
        <v>7.6092648659953355E-4</v>
      </c>
      <c r="S78" s="502"/>
      <c r="T78" s="219">
        <f t="shared" si="6"/>
        <v>40.800449691763717</v>
      </c>
      <c r="U78" s="481">
        <f>U77+(T77*R78*'life-tables-test'!$C$66)</f>
        <v>59.199550308236283</v>
      </c>
      <c r="V78" s="516">
        <f t="shared" si="2"/>
        <v>100</v>
      </c>
      <c r="W78" s="153">
        <f>(T78*0)/(1+cDR)^'Markov Model_SA2'!cycle2</f>
        <v>0</v>
      </c>
      <c r="X78" s="178">
        <f t="shared" si="7"/>
        <v>40.800449691763717</v>
      </c>
      <c r="Y78" s="202">
        <f>(T78*(uPostT))/(1+oDR)^'Markov Model_SA2'!cycle</f>
        <v>26.231612940694959</v>
      </c>
      <c r="Z78" s="80"/>
      <c r="AA78" s="3"/>
      <c r="AB78" s="3"/>
      <c r="AC78" s="14">
        <v>66</v>
      </c>
      <c r="AD78" s="14"/>
      <c r="AE78" s="14"/>
      <c r="AF78" s="3"/>
      <c r="AG78" s="3"/>
      <c r="AH78" s="3"/>
      <c r="AI78" s="204"/>
      <c r="AJ78" s="14"/>
      <c r="AK78" s="3"/>
      <c r="AL78" s="3"/>
      <c r="AM78" s="3"/>
      <c r="AN78" s="3"/>
      <c r="AO78" s="3"/>
      <c r="AP78" s="3"/>
      <c r="AQ78" s="3"/>
      <c r="AR78" s="3"/>
      <c r="AS78" s="3"/>
      <c r="AT78" s="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</row>
    <row r="79" spans="1:60" ht="14.25" customHeight="1" x14ac:dyDescent="0.25">
      <c r="A79" s="637"/>
      <c r="B79" s="80"/>
      <c r="C79" s="173">
        <v>68</v>
      </c>
      <c r="D79" s="165"/>
      <c r="E79" s="612">
        <v>7.6092648659953355E-4</v>
      </c>
      <c r="F79" s="502"/>
      <c r="G79" s="219">
        <f t="shared" si="9"/>
        <v>43.142376221960077</v>
      </c>
      <c r="H79" s="481">
        <f>H78+(G78*E79*'life-tables-test'!$C$66)</f>
        <v>56.857623778039923</v>
      </c>
      <c r="I79" s="516">
        <f t="shared" si="0"/>
        <v>100</v>
      </c>
      <c r="J79" s="153">
        <f>(G79*0)/(1+cDR)^'Markov Model_SA2'!cycle</f>
        <v>0</v>
      </c>
      <c r="K79" s="178">
        <f t="shared" si="8"/>
        <v>43.142376221960077</v>
      </c>
      <c r="L79" s="202">
        <f>(G79*(uPostT))/(1+oDR)^'Markov Model_SA2'!cycle</f>
        <v>27.668124814511074</v>
      </c>
      <c r="M79" s="80"/>
      <c r="N79" s="3"/>
      <c r="O79" s="80"/>
      <c r="P79" s="173">
        <v>68</v>
      </c>
      <c r="Q79" s="165"/>
      <c r="R79" s="612">
        <v>7.6092648659953355E-4</v>
      </c>
      <c r="S79" s="502"/>
      <c r="T79" s="219">
        <f t="shared" si="6"/>
        <v>40.645218977585543</v>
      </c>
      <c r="U79" s="481">
        <f>U78+(T78*R79*'life-tables-test'!$C$66)</f>
        <v>59.354781022414457</v>
      </c>
      <c r="V79" s="516">
        <f t="shared" si="2"/>
        <v>100</v>
      </c>
      <c r="W79" s="153">
        <f>(T79*0)/(1+cDR)^'Markov Model_SA2'!cycle2</f>
        <v>0</v>
      </c>
      <c r="X79" s="178">
        <f t="shared" si="7"/>
        <v>40.645218977585543</v>
      </c>
      <c r="Y79" s="202">
        <f>(T79*(uPostT))/(1+oDR)^'Markov Model_SA2'!cycle</f>
        <v>26.066644683621892</v>
      </c>
      <c r="Z79" s="80"/>
      <c r="AA79" s="3"/>
      <c r="AB79" s="3"/>
      <c r="AC79" s="14">
        <v>67</v>
      </c>
      <c r="AD79" s="14"/>
      <c r="AE79" s="14"/>
      <c r="AF79" s="3"/>
      <c r="AG79" s="3"/>
      <c r="AH79" s="3"/>
      <c r="AI79" s="14"/>
      <c r="AJ79" s="14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</row>
    <row r="80" spans="1:60" ht="14.25" customHeight="1" x14ac:dyDescent="0.25">
      <c r="A80" s="637"/>
      <c r="B80" s="80"/>
      <c r="C80" s="173">
        <v>69</v>
      </c>
      <c r="D80" s="165"/>
      <c r="E80" s="612">
        <v>7.6092648659953355E-4</v>
      </c>
      <c r="F80" s="502"/>
      <c r="G80" s="219">
        <f t="shared" si="9"/>
        <v>42.978235338149418</v>
      </c>
      <c r="H80" s="481">
        <f>H79+(G79*E80*'life-tables-test'!$C$66)</f>
        <v>57.021764661850582</v>
      </c>
      <c r="I80" s="516">
        <f t="shared" si="0"/>
        <v>100</v>
      </c>
      <c r="J80" s="153">
        <f>(G80*0)/(1+cDR)^'Markov Model_SA2'!cycle</f>
        <v>0</v>
      </c>
      <c r="K80" s="178">
        <f t="shared" si="8"/>
        <v>42.978235338149418</v>
      </c>
      <c r="L80" s="202">
        <f>(G80*(uPostT))/(1+oDR)^'Markov Model_SA2'!cycle</f>
        <v>27.494122463323251</v>
      </c>
      <c r="M80" s="80"/>
      <c r="N80" s="3"/>
      <c r="O80" s="80"/>
      <c r="P80" s="173">
        <v>69</v>
      </c>
      <c r="Q80" s="165"/>
      <c r="R80" s="612">
        <v>7.6092648659953355E-4</v>
      </c>
      <c r="S80" s="502"/>
      <c r="T80" s="219">
        <f t="shared" si="6"/>
        <v>40.490578859217131</v>
      </c>
      <c r="U80" s="481">
        <f>U79+(T79*R80*'life-tables-test'!$C$66)</f>
        <v>59.509421140782869</v>
      </c>
      <c r="V80" s="516">
        <f t="shared" si="2"/>
        <v>100</v>
      </c>
      <c r="W80" s="153">
        <f>(T80*0)/(1+cDR)^'Markov Model_SA2'!cycle2</f>
        <v>0</v>
      </c>
      <c r="X80" s="178">
        <f t="shared" si="7"/>
        <v>40.490578859217131</v>
      </c>
      <c r="Y80" s="202">
        <f>(T80*(uPostT))/(1+oDR)^'Markov Model_SA2'!cycle</f>
        <v>25.902713897096419</v>
      </c>
      <c r="Z80" s="80"/>
      <c r="AA80" s="3"/>
      <c r="AB80" s="3"/>
      <c r="AC80" s="14">
        <v>68</v>
      </c>
      <c r="AD80" s="14"/>
      <c r="AE80" s="14"/>
      <c r="AF80" s="3"/>
      <c r="AG80" s="3"/>
      <c r="AH80" s="3"/>
      <c r="AI80" s="14"/>
      <c r="AJ80" s="14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</row>
    <row r="81" spans="1:60" ht="14.25" customHeight="1" x14ac:dyDescent="0.25">
      <c r="A81" s="637"/>
      <c r="B81" s="80"/>
      <c r="C81" s="173">
        <v>70</v>
      </c>
      <c r="D81" s="165"/>
      <c r="E81" s="612">
        <v>7.6092648659953355E-4</v>
      </c>
      <c r="F81" s="502"/>
      <c r="G81" s="219">
        <f t="shared" si="9"/>
        <v>42.814718950068887</v>
      </c>
      <c r="H81" s="481">
        <f>H80+(G80*E81*'life-tables-test'!$C$66)</f>
        <v>57.185281049931113</v>
      </c>
      <c r="I81" s="516">
        <f t="shared" si="0"/>
        <v>100</v>
      </c>
      <c r="J81" s="153">
        <f>(G81*0)/(1+cDR)^'Markov Model_SA2'!cycle</f>
        <v>0</v>
      </c>
      <c r="K81" s="178">
        <f t="shared" si="8"/>
        <v>42.814718950068887</v>
      </c>
      <c r="L81" s="202">
        <f>(G81*(uPostT))/(1+oDR)^'Markov Model_SA2'!cycle</f>
        <v>27.32121439728926</v>
      </c>
      <c r="M81" s="80"/>
      <c r="N81" s="3"/>
      <c r="O81" s="80"/>
      <c r="P81" s="173">
        <v>70</v>
      </c>
      <c r="Q81" s="165"/>
      <c r="R81" s="612">
        <v>7.6092648659953355E-4</v>
      </c>
      <c r="S81" s="502"/>
      <c r="T81" s="219">
        <f t="shared" si="6"/>
        <v>40.336527089658503</v>
      </c>
      <c r="U81" s="481">
        <f>U80+(T80*R81*'life-tables-test'!$C$66)</f>
        <v>59.663472910341497</v>
      </c>
      <c r="V81" s="516">
        <f t="shared" si="2"/>
        <v>100</v>
      </c>
      <c r="W81" s="153">
        <f>(T81*0)/(1+cDR)^'Markov Model_SA2'!cycle2</f>
        <v>0</v>
      </c>
      <c r="X81" s="178">
        <f t="shared" si="7"/>
        <v>40.336527089658503</v>
      </c>
      <c r="Y81" s="202">
        <f>(T81*(uPostT))/(1+oDR)^'Markov Model_SA2'!cycle</f>
        <v>25.739814056559471</v>
      </c>
      <c r="Z81" s="80"/>
      <c r="AA81" s="3"/>
      <c r="AB81" s="3"/>
      <c r="AC81" s="14">
        <v>69</v>
      </c>
      <c r="AD81" s="14"/>
      <c r="AE81" s="14"/>
      <c r="AF81" s="3"/>
      <c r="AG81" s="3"/>
      <c r="AH81" s="3"/>
      <c r="AI81" s="14"/>
      <c r="AJ81" s="14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</row>
    <row r="82" spans="1:60" ht="14.25" customHeight="1" x14ac:dyDescent="0.25">
      <c r="A82" s="637"/>
      <c r="B82" s="80"/>
      <c r="C82" s="173">
        <v>71</v>
      </c>
      <c r="D82" s="165"/>
      <c r="E82" s="612">
        <v>7.6092648659953355E-4</v>
      </c>
      <c r="F82" s="502"/>
      <c r="G82" s="219">
        <f t="shared" si="9"/>
        <v>42.651824681741772</v>
      </c>
      <c r="H82" s="481">
        <f>H81+(G81*E82*'life-tables-test'!$C$66)</f>
        <v>57.348175318258228</v>
      </c>
      <c r="I82" s="516">
        <f t="shared" si="0"/>
        <v>100</v>
      </c>
      <c r="J82" s="153">
        <f>(G82*0)/(1+cDR)^'Markov Model_SA2'!cycle</f>
        <v>0</v>
      </c>
      <c r="K82" s="178">
        <f t="shared" si="8"/>
        <v>42.651824681741772</v>
      </c>
      <c r="L82" s="202">
        <f>(G82*(uPostT))/(1+oDR)^'Markov Model_SA2'!cycle</f>
        <v>27.149393734548084</v>
      </c>
      <c r="M82" s="80"/>
      <c r="N82" s="3"/>
      <c r="O82" s="80"/>
      <c r="P82" s="173">
        <v>71</v>
      </c>
      <c r="Q82" s="165"/>
      <c r="R82" s="612">
        <v>7.6092648659953355E-4</v>
      </c>
      <c r="S82" s="502"/>
      <c r="T82" s="219">
        <f t="shared" si="6"/>
        <v>40.1830614304587</v>
      </c>
      <c r="U82" s="481">
        <f>U81+(T81*R82*'life-tables-test'!$C$66)</f>
        <v>59.8169385695413</v>
      </c>
      <c r="V82" s="516">
        <f t="shared" si="2"/>
        <v>100</v>
      </c>
      <c r="W82" s="153">
        <f>(T82*0)/(1+cDR)^'Markov Model_SA2'!cycle2</f>
        <v>0</v>
      </c>
      <c r="X82" s="178">
        <f t="shared" si="7"/>
        <v>40.1830614304587</v>
      </c>
      <c r="Y82" s="202">
        <f>(T82*(uPostT))/(1+oDR)^'Markov Model_SA2'!cycle</f>
        <v>25.577938678484351</v>
      </c>
      <c r="Z82" s="80"/>
      <c r="AA82" s="3"/>
      <c r="AB82" s="3"/>
      <c r="AC82" s="14">
        <v>70</v>
      </c>
      <c r="AD82" s="14"/>
      <c r="AE82" s="14"/>
      <c r="AF82" s="3"/>
      <c r="AG82" s="3"/>
      <c r="AH82" s="3"/>
      <c r="AI82" s="14"/>
      <c r="AJ82" s="14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</row>
    <row r="83" spans="1:60" ht="14.25" customHeight="1" x14ac:dyDescent="0.25">
      <c r="A83" s="637"/>
      <c r="B83" s="80"/>
      <c r="C83" s="173">
        <v>72</v>
      </c>
      <c r="D83" s="504"/>
      <c r="E83" s="612">
        <v>7.6092648659953355E-4</v>
      </c>
      <c r="F83" s="505"/>
      <c r="G83" s="219">
        <f t="shared" si="9"/>
        <v>42.489550166231083</v>
      </c>
      <c r="H83" s="481">
        <f>H82+(G82*E83*'life-tables-test'!$C$66)</f>
        <v>57.510449833768917</v>
      </c>
      <c r="I83" s="516">
        <f t="shared" si="0"/>
        <v>100</v>
      </c>
      <c r="J83" s="180">
        <f>(G83*0)/(1+cDR)^'Markov Model_SA2'!cycle</f>
        <v>0</v>
      </c>
      <c r="K83" s="176">
        <f t="shared" si="8"/>
        <v>42.489550166231083</v>
      </c>
      <c r="L83" s="202">
        <f>(G83*(uPostT))/(1+oDR)^'Markov Model_SA2'!cycle</f>
        <v>26.978653636518104</v>
      </c>
      <c r="M83" s="80"/>
      <c r="N83" s="3"/>
      <c r="O83" s="80"/>
      <c r="P83" s="173">
        <v>72</v>
      </c>
      <c r="Q83" s="504"/>
      <c r="R83" s="612">
        <v>7.6092648659953355E-4</v>
      </c>
      <c r="S83" s="505"/>
      <c r="T83" s="219">
        <f t="shared" si="6"/>
        <v>40.030179651683241</v>
      </c>
      <c r="U83" s="481">
        <f>U82+(T82*R83*'life-tables-test'!$C$66)</f>
        <v>59.969820348316759</v>
      </c>
      <c r="V83" s="516">
        <f t="shared" si="2"/>
        <v>100</v>
      </c>
      <c r="W83" s="180">
        <f>(T83*0)/(1+cDR)^'Markov Model_SA2'!cycle2</f>
        <v>0</v>
      </c>
      <c r="X83" s="176">
        <f t="shared" si="7"/>
        <v>40.030179651683241</v>
      </c>
      <c r="Y83" s="202">
        <f>(T83*(uPostT))/(1+oDR)^'Markov Model_SA2'!cycle</f>
        <v>25.417081320118665</v>
      </c>
      <c r="Z83" s="80"/>
      <c r="AA83" s="3"/>
      <c r="AB83" s="3"/>
      <c r="AC83" s="14">
        <v>71</v>
      </c>
      <c r="AD83" s="14"/>
      <c r="AE83" s="14"/>
      <c r="AF83" s="3"/>
      <c r="AG83" s="3"/>
      <c r="AH83" s="3"/>
      <c r="AI83" s="14"/>
      <c r="AJ83" s="14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</row>
    <row r="84" spans="1:60" ht="14.25" customHeight="1" x14ac:dyDescent="0.25">
      <c r="A84" s="637" t="s">
        <v>548</v>
      </c>
      <c r="B84" s="80"/>
      <c r="C84" s="506">
        <v>73</v>
      </c>
      <c r="D84" s="506"/>
      <c r="E84" s="612">
        <v>8.1766718395870353E-4</v>
      </c>
      <c r="F84" s="508"/>
      <c r="G84" s="509">
        <f t="shared" si="9"/>
        <v>42.315838612070614</v>
      </c>
      <c r="H84" s="482">
        <f>H83+(G83*E84*'life-tables-test'!$C$66)</f>
        <v>57.684161387929386</v>
      </c>
      <c r="I84" s="518">
        <f t="shared" si="0"/>
        <v>100</v>
      </c>
      <c r="J84" s="511">
        <f>(G84*0)/(1+cDR)^'Markov Model_SA2'!cycle</f>
        <v>0</v>
      </c>
      <c r="K84" s="512">
        <f t="shared" si="8"/>
        <v>42.315838612070614</v>
      </c>
      <c r="L84" s="513">
        <f>(G84*(uPostT))/(1+oDR)^'Markov Model_SA2'!cycle</f>
        <v>26.801352456646644</v>
      </c>
      <c r="M84" s="80"/>
      <c r="N84" s="3"/>
      <c r="O84" s="80"/>
      <c r="P84" s="506">
        <v>73</v>
      </c>
      <c r="Q84" s="506"/>
      <c r="R84" s="612">
        <v>8.1766718395870353E-4</v>
      </c>
      <c r="S84" s="508"/>
      <c r="T84" s="509">
        <f t="shared" si="6"/>
        <v>39.86652283033748</v>
      </c>
      <c r="U84" s="482">
        <f>U83+(T83*R84*'life-tables-test'!$C$66)</f>
        <v>60.13347716966252</v>
      </c>
      <c r="V84" s="518">
        <f t="shared" si="2"/>
        <v>100</v>
      </c>
      <c r="W84" s="511">
        <f>(T84*0)/(1+cDR)^'Markov Model_SA2'!cycle2</f>
        <v>0</v>
      </c>
      <c r="X84" s="512">
        <f t="shared" si="7"/>
        <v>39.86652283033748</v>
      </c>
      <c r="Y84" s="513">
        <f>(T84*(uPostT))/(1+oDR)^'Markov Model_SA2'!cycle</f>
        <v>25.250042646963902</v>
      </c>
      <c r="Z84" s="80"/>
      <c r="AA84" s="3"/>
      <c r="AB84" s="3"/>
      <c r="AC84" s="14">
        <v>72</v>
      </c>
      <c r="AD84" s="14"/>
      <c r="AE84" s="14"/>
      <c r="AF84" s="3"/>
      <c r="AG84" s="3"/>
      <c r="AH84" s="3"/>
      <c r="AI84" s="14"/>
      <c r="AJ84" s="14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</row>
    <row r="85" spans="1:60" ht="14.25" customHeight="1" x14ac:dyDescent="0.25">
      <c r="A85" s="637"/>
      <c r="B85" s="80"/>
      <c r="C85" s="173">
        <v>74</v>
      </c>
      <c r="D85" s="165"/>
      <c r="E85" s="612">
        <v>8.1766718395870353E-4</v>
      </c>
      <c r="F85" s="502"/>
      <c r="G85" s="219">
        <f t="shared" si="9"/>
        <v>42.142837249096701</v>
      </c>
      <c r="H85" s="481">
        <f>H84+(G84*E85*'life-tables-test'!$C$66)</f>
        <v>57.857162750903299</v>
      </c>
      <c r="I85" s="516">
        <f t="shared" si="0"/>
        <v>100</v>
      </c>
      <c r="J85" s="153">
        <f>(G85*0)/(1+cDR)^'Markov Model_SA2'!cycle</f>
        <v>0</v>
      </c>
      <c r="K85" s="178">
        <f t="shared" si="8"/>
        <v>42.142837249096701</v>
      </c>
      <c r="L85" s="202">
        <f>(G85*(uPostT))/(1+oDR)^'Markov Model_SA2'!cycle</f>
        <v>26.625216483490362</v>
      </c>
      <c r="M85" s="80"/>
      <c r="N85" s="3"/>
      <c r="O85" s="80"/>
      <c r="P85" s="173">
        <v>74</v>
      </c>
      <c r="Q85" s="165"/>
      <c r="R85" s="612">
        <v>8.1766718395870353E-4</v>
      </c>
      <c r="S85" s="502"/>
      <c r="T85" s="219">
        <f t="shared" si="6"/>
        <v>39.703535093052942</v>
      </c>
      <c r="U85" s="481">
        <f>U84+(T84*R85*'life-tables-test'!$C$66)</f>
        <v>60.296464906947058</v>
      </c>
      <c r="V85" s="516">
        <f t="shared" si="2"/>
        <v>100</v>
      </c>
      <c r="W85" s="153">
        <f>(T85*0)/(1+cDR)^'Markov Model_SA2'!cycle2</f>
        <v>0</v>
      </c>
      <c r="X85" s="178">
        <f t="shared" si="7"/>
        <v>39.703535093052942</v>
      </c>
      <c r="Y85" s="202">
        <f>(T85*(uPostT))/(1+oDR)^'Markov Model_SA2'!cycle</f>
        <v>25.08410173629327</v>
      </c>
      <c r="Z85" s="80"/>
      <c r="AA85" s="3"/>
      <c r="AB85" s="3"/>
      <c r="AC85" s="14">
        <v>73</v>
      </c>
      <c r="AD85" s="14"/>
      <c r="AE85" s="14"/>
      <c r="AF85" s="3"/>
      <c r="AG85" s="3"/>
      <c r="AH85" s="3"/>
      <c r="AI85" s="14"/>
      <c r="AJ85" s="14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</row>
    <row r="86" spans="1:60" ht="14.25" customHeight="1" x14ac:dyDescent="0.25">
      <c r="A86" s="637"/>
      <c r="B86" s="80"/>
      <c r="C86" s="173">
        <v>75</v>
      </c>
      <c r="D86" s="165"/>
      <c r="E86" s="612">
        <v>8.1766718395870353E-4</v>
      </c>
      <c r="F86" s="502"/>
      <c r="G86" s="219">
        <f t="shared" si="9"/>
        <v>41.970543173809205</v>
      </c>
      <c r="H86" s="481">
        <f>H85+(G85*E86*'life-tables-test'!$C$66)</f>
        <v>58.029456826190795</v>
      </c>
      <c r="I86" s="516">
        <f t="shared" si="0"/>
        <v>100</v>
      </c>
      <c r="J86" s="153">
        <f>(G86*0)/(1+cDR)^'Markov Model_SA2'!cycle</f>
        <v>0</v>
      </c>
      <c r="K86" s="178">
        <f t="shared" si="8"/>
        <v>41.970543173809205</v>
      </c>
      <c r="L86" s="202">
        <f>(G86*(uPostT))/(1+oDR)^'Markov Model_SA2'!cycle</f>
        <v>26.450238059420084</v>
      </c>
      <c r="M86" s="80"/>
      <c r="N86" s="3"/>
      <c r="O86" s="80"/>
      <c r="P86" s="173">
        <v>75</v>
      </c>
      <c r="Q86" s="165"/>
      <c r="R86" s="612">
        <v>8.1766718395870353E-4</v>
      </c>
      <c r="S86" s="502"/>
      <c r="T86" s="219">
        <f t="shared" si="6"/>
        <v>39.541213704389229</v>
      </c>
      <c r="U86" s="481">
        <f>U85+(T85*R86*'life-tables-test'!$C$66)</f>
        <v>60.458786295610771</v>
      </c>
      <c r="V86" s="516">
        <f t="shared" si="2"/>
        <v>100</v>
      </c>
      <c r="W86" s="153">
        <f>(T86*0)/(1+cDR)^'Markov Model_SA2'!cycle2</f>
        <v>0</v>
      </c>
      <c r="X86" s="178">
        <f t="shared" si="7"/>
        <v>39.541213704389229</v>
      </c>
      <c r="Y86" s="202">
        <f>(T86*(uPostT))/(1+oDR)^'Markov Model_SA2'!cycle</f>
        <v>24.919251373714744</v>
      </c>
      <c r="Z86" s="80"/>
      <c r="AA86" s="3"/>
      <c r="AB86" s="3"/>
      <c r="AC86" s="14">
        <v>74</v>
      </c>
      <c r="AD86" s="14"/>
      <c r="AE86" s="14"/>
      <c r="AF86" s="3"/>
      <c r="AG86" s="3"/>
      <c r="AH86" s="3"/>
      <c r="AI86" s="14"/>
      <c r="AJ86" s="14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</row>
    <row r="87" spans="1:60" ht="14.25" customHeight="1" x14ac:dyDescent="0.25">
      <c r="A87" s="637"/>
      <c r="B87" s="80"/>
      <c r="C87" s="173">
        <v>76</v>
      </c>
      <c r="D87" s="165"/>
      <c r="E87" s="612">
        <v>8.1766718395870353E-4</v>
      </c>
      <c r="F87" s="502"/>
      <c r="G87" s="219">
        <f t="shared" si="9"/>
        <v>41.798953494578477</v>
      </c>
      <c r="H87" s="481">
        <f>H86+(G86*E87*'life-tables-test'!$C$66)</f>
        <v>58.201046505421523</v>
      </c>
      <c r="I87" s="516">
        <f t="shared" si="0"/>
        <v>100</v>
      </c>
      <c r="J87" s="153">
        <f>(G87*0)/(1+cDR)^'Markov Model_SA2'!cycle</f>
        <v>0</v>
      </c>
      <c r="K87" s="178">
        <f t="shared" si="8"/>
        <v>41.798953494578477</v>
      </c>
      <c r="L87" s="202">
        <f>(G87*(uPostT))/(1+oDR)^'Markov Model_SA2'!cycle</f>
        <v>26.276409577131837</v>
      </c>
      <c r="M87" s="80"/>
      <c r="N87" s="3"/>
      <c r="O87" s="80"/>
      <c r="P87" s="173">
        <v>76</v>
      </c>
      <c r="Q87" s="165"/>
      <c r="R87" s="612">
        <v>8.1766718395870353E-4</v>
      </c>
      <c r="S87" s="502"/>
      <c r="T87" s="219">
        <f t="shared" si="6"/>
        <v>39.37955594008934</v>
      </c>
      <c r="U87" s="481">
        <f>U86+(T86*R87*'life-tables-test'!$C$66)</f>
        <v>60.62044405991066</v>
      </c>
      <c r="V87" s="516">
        <f t="shared" si="2"/>
        <v>100</v>
      </c>
      <c r="W87" s="153">
        <f>(T87*0)/(1+cDR)^'Markov Model_SA2'!cycle2</f>
        <v>0</v>
      </c>
      <c r="X87" s="178">
        <f t="shared" si="7"/>
        <v>39.37955594008934</v>
      </c>
      <c r="Y87" s="202">
        <f>(T87*(uPostT))/(1+oDR)^'Markov Model_SA2'!cycle</f>
        <v>24.755484392248597</v>
      </c>
      <c r="Z87" s="80"/>
      <c r="AA87" s="3"/>
      <c r="AB87" s="3"/>
      <c r="AC87" s="14">
        <v>75</v>
      </c>
      <c r="AD87" s="14"/>
      <c r="AE87" s="14"/>
      <c r="AF87" s="3"/>
      <c r="AG87" s="3"/>
      <c r="AH87" s="3"/>
      <c r="AI87" s="14"/>
      <c r="AJ87" s="14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</row>
    <row r="88" spans="1:60" ht="14.25" customHeight="1" x14ac:dyDescent="0.25">
      <c r="A88" s="637"/>
      <c r="B88" s="80"/>
      <c r="C88" s="173">
        <v>77</v>
      </c>
      <c r="D88" s="165"/>
      <c r="E88" s="612">
        <v>8.1766718395870353E-4</v>
      </c>
      <c r="F88" s="502"/>
      <c r="G88" s="219">
        <f t="shared" si="9"/>
        <v>41.628065331596815</v>
      </c>
      <c r="H88" s="481">
        <f>H87+(G87*E88*'life-tables-test'!$C$66)</f>
        <v>58.371934668403185</v>
      </c>
      <c r="I88" s="516">
        <f t="shared" si="0"/>
        <v>100</v>
      </c>
      <c r="J88" s="153">
        <f>(G88*0)/(1+cDR)^'Markov Model_SA2'!cycle</f>
        <v>0</v>
      </c>
      <c r="K88" s="178">
        <f t="shared" si="8"/>
        <v>41.628065331596815</v>
      </c>
      <c r="L88" s="202">
        <f>(G88*(uPostT))/(1+oDR)^'Markov Model_SA2'!cycle</f>
        <v>26.103723479316152</v>
      </c>
      <c r="M88" s="80"/>
      <c r="N88" s="3"/>
      <c r="O88" s="80"/>
      <c r="P88" s="173">
        <v>77</v>
      </c>
      <c r="Q88" s="165"/>
      <c r="R88" s="612">
        <v>8.1766718395870353E-4</v>
      </c>
      <c r="S88" s="502"/>
      <c r="T88" s="219">
        <f t="shared" si="6"/>
        <v>39.218559087033952</v>
      </c>
      <c r="U88" s="481">
        <f>U87+(T87*R88*'life-tables-test'!$C$66)</f>
        <v>60.781440912966048</v>
      </c>
      <c r="V88" s="516">
        <f t="shared" si="2"/>
        <v>100</v>
      </c>
      <c r="W88" s="153">
        <f>(T88*0)/(1+cDR)^'Markov Model_SA2'!cycle2</f>
        <v>0</v>
      </c>
      <c r="X88" s="178">
        <f t="shared" si="7"/>
        <v>39.218559087033952</v>
      </c>
      <c r="Y88" s="202">
        <f>(T88*(uPostT))/(1+oDR)^'Markov Model_SA2'!cycle</f>
        <v>24.592793672015837</v>
      </c>
      <c r="Z88" s="80"/>
      <c r="AA88" s="3"/>
      <c r="AB88" s="3"/>
      <c r="AC88" s="14">
        <v>76</v>
      </c>
      <c r="AD88" s="14"/>
      <c r="AE88" s="14"/>
      <c r="AF88" s="3"/>
      <c r="AG88" s="3"/>
      <c r="AH88" s="3"/>
      <c r="AI88" s="14"/>
      <c r="AJ88" s="14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</row>
    <row r="89" spans="1:60" ht="14.25" customHeight="1" x14ac:dyDescent="0.25">
      <c r="A89" s="637"/>
      <c r="B89" s="80"/>
      <c r="C89" s="173">
        <v>78</v>
      </c>
      <c r="D89" s="165"/>
      <c r="E89" s="612">
        <v>8.1766718395870353E-4</v>
      </c>
      <c r="F89" s="502"/>
      <c r="G89" s="219">
        <f t="shared" si="9"/>
        <v>41.457875816830139</v>
      </c>
      <c r="H89" s="481">
        <f>H88+(G88*E89*'life-tables-test'!$C$66)</f>
        <v>58.542124183169861</v>
      </c>
      <c r="I89" s="516">
        <f t="shared" si="0"/>
        <v>100</v>
      </c>
      <c r="J89" s="153">
        <f>(G89*0)/(1+cDR)^'Markov Model_SA2'!cycle</f>
        <v>0</v>
      </c>
      <c r="K89" s="178">
        <f t="shared" si="8"/>
        <v>41.457875816830139</v>
      </c>
      <c r="L89" s="202">
        <f>(G89*(uPostT))/(1+oDR)^'Markov Model_SA2'!cycle</f>
        <v>25.932172258329491</v>
      </c>
      <c r="M89" s="80"/>
      <c r="N89" s="3"/>
      <c r="O89" s="80"/>
      <c r="P89" s="173">
        <v>78</v>
      </c>
      <c r="Q89" s="165"/>
      <c r="R89" s="612">
        <v>8.1766718395870353E-4</v>
      </c>
      <c r="S89" s="502"/>
      <c r="T89" s="219">
        <f t="shared" si="6"/>
        <v>39.058220443195886</v>
      </c>
      <c r="U89" s="481">
        <f>U88+(T88*R89*'life-tables-test'!$C$66)</f>
        <v>60.941779556804114</v>
      </c>
      <c r="V89" s="516">
        <f t="shared" si="2"/>
        <v>100</v>
      </c>
      <c r="W89" s="153">
        <f>(T89*0)/(1+cDR)^'Markov Model_SA2'!cycle2</f>
        <v>0</v>
      </c>
      <c r="X89" s="178">
        <f t="shared" si="7"/>
        <v>39.058220443195886</v>
      </c>
      <c r="Y89" s="202">
        <f>(T89*(uPostT))/(1+oDR)^'Markov Model_SA2'!cycle</f>
        <v>24.431172139928648</v>
      </c>
      <c r="Z89" s="80"/>
      <c r="AA89" s="3"/>
      <c r="AB89" s="3"/>
      <c r="AC89" s="14">
        <v>77</v>
      </c>
      <c r="AD89" s="14"/>
      <c r="AE89" s="14"/>
      <c r="AF89" s="3"/>
      <c r="AG89" s="3"/>
      <c r="AH89" s="3"/>
      <c r="AI89" s="14"/>
      <c r="AJ89" s="14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</row>
    <row r="90" spans="1:60" ht="14.25" customHeight="1" x14ac:dyDescent="0.25">
      <c r="A90" s="637"/>
      <c r="B90" s="80"/>
      <c r="C90" s="173">
        <v>79</v>
      </c>
      <c r="D90" s="165"/>
      <c r="E90" s="612">
        <v>8.1766718395870353E-4</v>
      </c>
      <c r="F90" s="502"/>
      <c r="G90" s="219">
        <f t="shared" si="9"/>
        <v>41.288382093969851</v>
      </c>
      <c r="H90" s="481">
        <f>H89+(G89*E90*'life-tables-test'!$C$66)</f>
        <v>58.711617906030149</v>
      </c>
      <c r="I90" s="516">
        <f t="shared" si="0"/>
        <v>100</v>
      </c>
      <c r="J90" s="153">
        <f>(G90*0)/(1+cDR)^'Markov Model_SA2'!cycle</f>
        <v>0</v>
      </c>
      <c r="K90" s="178">
        <f t="shared" si="8"/>
        <v>41.288382093969851</v>
      </c>
      <c r="L90" s="202">
        <f>(G90*(uPostT))/(1+oDR)^'Markov Model_SA2'!cycle</f>
        <v>25.761748455867821</v>
      </c>
      <c r="M90" s="80"/>
      <c r="N90" s="3"/>
      <c r="O90" s="80"/>
      <c r="P90" s="173">
        <v>79</v>
      </c>
      <c r="Q90" s="165"/>
      <c r="R90" s="612">
        <v>8.1766718395870353E-4</v>
      </c>
      <c r="S90" s="502"/>
      <c r="T90" s="219">
        <f t="shared" si="6"/>
        <v>38.898537317594752</v>
      </c>
      <c r="U90" s="481">
        <f>U89+(T89*R90*'life-tables-test'!$C$66)</f>
        <v>61.101462682405248</v>
      </c>
      <c r="V90" s="516">
        <f t="shared" si="2"/>
        <v>100</v>
      </c>
      <c r="W90" s="153">
        <f>(T90*0)/(1+cDR)^'Markov Model_SA2'!cycle2</f>
        <v>0</v>
      </c>
      <c r="X90" s="178">
        <f t="shared" si="7"/>
        <v>38.898537317594752</v>
      </c>
      <c r="Y90" s="202">
        <f>(T90*(uPostT))/(1+oDR)^'Markov Model_SA2'!cycle</f>
        <v>24.270612769382861</v>
      </c>
      <c r="Z90" s="80"/>
      <c r="AA90" s="3"/>
      <c r="AB90" s="3"/>
      <c r="AC90" s="14">
        <v>78</v>
      </c>
      <c r="AD90" s="14"/>
      <c r="AE90" s="14"/>
      <c r="AF90" s="3"/>
      <c r="AG90" s="3"/>
      <c r="AH90" s="3"/>
      <c r="AI90" s="14"/>
      <c r="AJ90" s="14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</row>
    <row r="91" spans="1:60" ht="14.25" customHeight="1" x14ac:dyDescent="0.25">
      <c r="A91" s="637"/>
      <c r="B91" s="80"/>
      <c r="C91" s="173">
        <v>80</v>
      </c>
      <c r="D91" s="165"/>
      <c r="E91" s="612">
        <v>8.1766718395870353E-4</v>
      </c>
      <c r="F91" s="502"/>
      <c r="G91" s="219">
        <f t="shared" si="9"/>
        <v>41.119581318384917</v>
      </c>
      <c r="H91" s="481">
        <f>H90+(G90*E91*'life-tables-test'!$C$66)</f>
        <v>58.880418681615083</v>
      </c>
      <c r="I91" s="516">
        <f t="shared" si="0"/>
        <v>100</v>
      </c>
      <c r="J91" s="153">
        <f>(G91*0)/(1+cDR)^'Markov Model_SA2'!cycle</f>
        <v>0</v>
      </c>
      <c r="K91" s="178">
        <f t="shared" si="8"/>
        <v>41.119581318384917</v>
      </c>
      <c r="L91" s="202">
        <f>(G91*(uPostT))/(1+oDR)^'Markov Model_SA2'!cycle</f>
        <v>25.5924446626424</v>
      </c>
      <c r="M91" s="80"/>
      <c r="N91" s="3"/>
      <c r="O91" s="80"/>
      <c r="P91" s="173">
        <v>80</v>
      </c>
      <c r="Q91" s="165"/>
      <c r="R91" s="612">
        <v>8.1766718395870353E-4</v>
      </c>
      <c r="S91" s="502"/>
      <c r="T91" s="219">
        <f t="shared" si="6"/>
        <v>38.739507030251801</v>
      </c>
      <c r="U91" s="481">
        <f>U90+(T90*R91*'life-tables-test'!$C$66)</f>
        <v>61.260492969748199</v>
      </c>
      <c r="V91" s="516">
        <f t="shared" si="2"/>
        <v>100</v>
      </c>
      <c r="W91" s="153">
        <f>(T91*0)/(1+cDR)^'Markov Model_SA2'!cycle2</f>
        <v>0</v>
      </c>
      <c r="X91" s="178">
        <f t="shared" si="7"/>
        <v>38.739507030251801</v>
      </c>
      <c r="Y91" s="202">
        <f>(T91*(uPostT))/(1+oDR)^'Markov Model_SA2'!cycle</f>
        <v>24.111108579952507</v>
      </c>
      <c r="Z91" s="80"/>
      <c r="AA91" s="3"/>
      <c r="AB91" s="3"/>
      <c r="AC91" s="14">
        <v>79</v>
      </c>
      <c r="AD91" s="14"/>
      <c r="AE91" s="14"/>
      <c r="AF91" s="3"/>
      <c r="AG91" s="3"/>
      <c r="AH91" s="3"/>
      <c r="AI91" s="14"/>
      <c r="AJ91" s="14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</row>
    <row r="92" spans="1:60" ht="14.25" customHeight="1" x14ac:dyDescent="0.25">
      <c r="A92" s="637"/>
      <c r="B92" s="80"/>
      <c r="C92" s="173">
        <v>81</v>
      </c>
      <c r="D92" s="165"/>
      <c r="E92" s="612">
        <v>8.1766718395870353E-4</v>
      </c>
      <c r="F92" s="502"/>
      <c r="G92" s="219">
        <f t="shared" si="9"/>
        <v>40.95147065707409</v>
      </c>
      <c r="H92" s="481">
        <f>H91+(G91*E92*'life-tables-test'!$C$66)</f>
        <v>59.04852934292591</v>
      </c>
      <c r="I92" s="516">
        <f t="shared" si="0"/>
        <v>100</v>
      </c>
      <c r="J92" s="153">
        <f>(G92*0)/(1+cDR)^'Markov Model_SA2'!cycle</f>
        <v>0</v>
      </c>
      <c r="K92" s="178">
        <f t="shared" si="8"/>
        <v>40.95147065707409</v>
      </c>
      <c r="L92" s="202">
        <f>(G92*(uPostT))/(1+oDR)^'Markov Model_SA2'!cycle</f>
        <v>25.42425351805765</v>
      </c>
      <c r="M92" s="80"/>
      <c r="N92" s="3"/>
      <c r="O92" s="80"/>
      <c r="P92" s="173">
        <v>81</v>
      </c>
      <c r="Q92" s="165"/>
      <c r="R92" s="612">
        <v>8.1766718395870353E-4</v>
      </c>
      <c r="S92" s="502"/>
      <c r="T92" s="219">
        <f t="shared" si="6"/>
        <v>38.581126912144931</v>
      </c>
      <c r="U92" s="481">
        <f>U91+(T91*R92*'life-tables-test'!$C$66)</f>
        <v>61.418873087855069</v>
      </c>
      <c r="V92" s="516">
        <f t="shared" si="2"/>
        <v>100</v>
      </c>
      <c r="W92" s="153">
        <f>(T92*0)/(1+cDR)^'Markov Model_SA2'!cycle2</f>
        <v>0</v>
      </c>
      <c r="X92" s="178">
        <f t="shared" si="7"/>
        <v>38.581126912144931</v>
      </c>
      <c r="Y92" s="202">
        <f>(T92*(uPostT))/(1+oDR)^'Markov Model_SA2'!cycle</f>
        <v>23.952652637086338</v>
      </c>
      <c r="Z92" s="80"/>
      <c r="AA92" s="3"/>
      <c r="AB92" s="3"/>
      <c r="AC92" s="14">
        <v>80</v>
      </c>
      <c r="AD92" s="14"/>
      <c r="AE92" s="14"/>
      <c r="AF92" s="3"/>
      <c r="AG92" s="3"/>
      <c r="AH92" s="3"/>
      <c r="AI92" s="14"/>
      <c r="AJ92" s="14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</row>
    <row r="93" spans="1:60" ht="14.25" customHeight="1" x14ac:dyDescent="0.25">
      <c r="A93" s="637"/>
      <c r="B93" s="80"/>
      <c r="C93" s="173">
        <v>82</v>
      </c>
      <c r="D93" s="165"/>
      <c r="E93" s="612">
        <v>8.1766718395870353E-4</v>
      </c>
      <c r="F93" s="502"/>
      <c r="G93" s="219">
        <f t="shared" si="9"/>
        <v>40.784047288618403</v>
      </c>
      <c r="H93" s="481">
        <f>H92+(G92*E93*'life-tables-test'!$C$66)</f>
        <v>59.215952711381597</v>
      </c>
      <c r="I93" s="516">
        <f t="shared" si="0"/>
        <v>100</v>
      </c>
      <c r="J93" s="153">
        <f>(G93*0)/(1+cDR)^'Markov Model_SA2'!cycle</f>
        <v>0</v>
      </c>
      <c r="K93" s="178">
        <f t="shared" si="8"/>
        <v>40.784047288618403</v>
      </c>
      <c r="L93" s="202">
        <f>(G93*(uPostT))/(1+oDR)^'Markov Model_SA2'!cycle</f>
        <v>25.257167709891107</v>
      </c>
      <c r="M93" s="80"/>
      <c r="N93" s="3"/>
      <c r="O93" s="80"/>
      <c r="P93" s="173">
        <v>82</v>
      </c>
      <c r="Q93" s="165"/>
      <c r="R93" s="612">
        <v>8.1766718395870353E-4</v>
      </c>
      <c r="S93" s="502"/>
      <c r="T93" s="219">
        <f t="shared" si="6"/>
        <v>38.423394305163896</v>
      </c>
      <c r="U93" s="481">
        <f>U92+(T92*R93*'life-tables-test'!$C$66)</f>
        <v>61.576605694836104</v>
      </c>
      <c r="V93" s="516">
        <f t="shared" si="2"/>
        <v>100</v>
      </c>
      <c r="W93" s="153">
        <f>(T93*0)/(1+cDR)^'Markov Model_SA2'!cycle2</f>
        <v>0</v>
      </c>
      <c r="X93" s="178">
        <f t="shared" si="7"/>
        <v>38.423394305163896</v>
      </c>
      <c r="Y93" s="202">
        <f>(T93*(uPostT))/(1+oDR)^'Markov Model_SA2'!cycle</f>
        <v>23.79523805180628</v>
      </c>
      <c r="Z93" s="80"/>
      <c r="AA93" s="3"/>
      <c r="AB93" s="3"/>
      <c r="AC93" s="14">
        <v>81</v>
      </c>
      <c r="AD93" s="14"/>
      <c r="AE93" s="14"/>
      <c r="AF93" s="3"/>
      <c r="AG93" s="3"/>
      <c r="AH93" s="3"/>
      <c r="AI93" s="14"/>
      <c r="AJ93" s="14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</row>
    <row r="94" spans="1:60" ht="14.25" customHeight="1" x14ac:dyDescent="0.25">
      <c r="A94" s="637"/>
      <c r="B94" s="80"/>
      <c r="C94" s="173">
        <v>83</v>
      </c>
      <c r="D94" s="504"/>
      <c r="E94" s="612">
        <v>8.1766718395870353E-4</v>
      </c>
      <c r="F94" s="505"/>
      <c r="G94" s="219">
        <f t="shared" si="9"/>
        <v>40.617308403133784</v>
      </c>
      <c r="H94" s="481">
        <f>H93+(G93*E94*'life-tables-test'!$C$66)</f>
        <v>59.382691596866216</v>
      </c>
      <c r="I94" s="516">
        <f t="shared" si="0"/>
        <v>100</v>
      </c>
      <c r="J94" s="180">
        <f>(G94*0)/(1+cDR)^'Markov Model_SA2'!cycle</f>
        <v>0</v>
      </c>
      <c r="K94" s="176">
        <f t="shared" si="8"/>
        <v>40.617308403133784</v>
      </c>
      <c r="L94" s="202">
        <f>(G94*(uPostT))/(1+oDR)^'Markov Model_SA2'!cycle</f>
        <v>25.091179973975574</v>
      </c>
      <c r="M94" s="80"/>
      <c r="N94" s="3"/>
      <c r="O94" s="80"/>
      <c r="P94" s="173">
        <v>83</v>
      </c>
      <c r="Q94" s="504"/>
      <c r="R94" s="612">
        <v>8.1766718395870353E-4</v>
      </c>
      <c r="S94" s="505"/>
      <c r="T94" s="219">
        <f t="shared" si="6"/>
        <v>38.266306562065708</v>
      </c>
      <c r="U94" s="481">
        <f>U93+(T93*R94*'life-tables-test'!$C$66)</f>
        <v>61.733693437934292</v>
      </c>
      <c r="V94" s="516">
        <f t="shared" si="2"/>
        <v>100</v>
      </c>
      <c r="W94" s="180">
        <f>(T94*0)/(1+cDR)^'Markov Model_SA2'!cycle2</f>
        <v>0</v>
      </c>
      <c r="X94" s="176">
        <f t="shared" si="7"/>
        <v>38.266306562065708</v>
      </c>
      <c r="Y94" s="202">
        <f>(T94*(uPostT))/(1+oDR)^'Markov Model_SA2'!cycle</f>
        <v>23.63885798040803</v>
      </c>
      <c r="Z94" s="80"/>
      <c r="AA94" s="3"/>
      <c r="AB94" s="3"/>
      <c r="AC94" s="14">
        <v>82</v>
      </c>
      <c r="AD94" s="14"/>
      <c r="AE94" s="14"/>
      <c r="AF94" s="3"/>
      <c r="AG94" s="3"/>
      <c r="AH94" s="3"/>
      <c r="AI94" s="14"/>
      <c r="AJ94" s="14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</row>
    <row r="95" spans="1:60" ht="14.25" customHeight="1" x14ac:dyDescent="0.25">
      <c r="A95" s="637" t="s">
        <v>549</v>
      </c>
      <c r="B95" s="80"/>
      <c r="C95" s="506">
        <v>84</v>
      </c>
      <c r="D95" s="506"/>
      <c r="E95" s="612">
        <v>8.1766718395870353E-4</v>
      </c>
      <c r="F95" s="508"/>
      <c r="G95" s="509">
        <f t="shared" si="9"/>
        <v>40.451251202223922</v>
      </c>
      <c r="H95" s="482">
        <f>H94+(G94*E95*'life-tables-test'!$C$66)</f>
        <v>59.548748797776078</v>
      </c>
      <c r="I95" s="518">
        <f t="shared" si="0"/>
        <v>100</v>
      </c>
      <c r="J95" s="511">
        <f>(G95*0)/(1+cDR)^'Markov Model_SA2'!cycle</f>
        <v>0</v>
      </c>
      <c r="K95" s="512">
        <f t="shared" si="8"/>
        <v>40.451251202223922</v>
      </c>
      <c r="L95" s="513">
        <f>(G95*(uPostT))/(1+oDR)^'Markov Model_SA2'!cycle</f>
        <v>24.926283093883256</v>
      </c>
      <c r="M95" s="80"/>
      <c r="N95" s="3"/>
      <c r="O95" s="80"/>
      <c r="P95" s="506">
        <v>84</v>
      </c>
      <c r="Q95" s="506"/>
      <c r="R95" s="612">
        <v>8.1766718395870353E-4</v>
      </c>
      <c r="S95" s="508"/>
      <c r="T95" s="509">
        <f t="shared" si="6"/>
        <v>38.109861046430183</v>
      </c>
      <c r="U95" s="482">
        <f>U94+(T94*R95*'life-tables-test'!$C$66)</f>
        <v>61.890138953569817</v>
      </c>
      <c r="V95" s="518">
        <f t="shared" si="2"/>
        <v>100</v>
      </c>
      <c r="W95" s="511">
        <f>(T95*0)/(1+cDR)^'Markov Model_SA2'!cycle2</f>
        <v>0</v>
      </c>
      <c r="X95" s="512">
        <f t="shared" si="7"/>
        <v>38.109861046430183</v>
      </c>
      <c r="Y95" s="513">
        <f>(T95*(uPostT))/(1+oDR)^'Markov Model_SA2'!cycle</f>
        <v>23.483505624163421</v>
      </c>
      <c r="Z95" s="80"/>
      <c r="AA95" s="3"/>
      <c r="AB95" s="3"/>
      <c r="AC95" s="14">
        <v>83</v>
      </c>
      <c r="AD95" s="14"/>
      <c r="AE95" s="14"/>
      <c r="AF95" s="3"/>
      <c r="AG95" s="3"/>
      <c r="AH95" s="3"/>
      <c r="AI95" s="14"/>
      <c r="AJ95" s="14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</row>
    <row r="96" spans="1:60" ht="14.25" customHeight="1" x14ac:dyDescent="0.25">
      <c r="A96" s="637"/>
      <c r="B96" s="80"/>
      <c r="C96" s="173">
        <v>85</v>
      </c>
      <c r="D96" s="165"/>
      <c r="E96" s="612">
        <v>8.7646270854724317E-4</v>
      </c>
      <c r="F96" s="502"/>
      <c r="G96" s="219">
        <f t="shared" si="9"/>
        <v>40.273981136259792</v>
      </c>
      <c r="H96" s="481">
        <f>H95+(G95*E96*'life-tables-test'!$C$66)</f>
        <v>59.726018863740208</v>
      </c>
      <c r="I96" s="516">
        <f t="shared" si="0"/>
        <v>100</v>
      </c>
      <c r="J96" s="153">
        <f>(G96*0)/(1+cDR)^'Markov Model_SA2'!cycle</f>
        <v>0</v>
      </c>
      <c r="K96" s="178">
        <f t="shared" si="8"/>
        <v>40.273981136259792</v>
      </c>
      <c r="L96" s="202">
        <f>(G96*(uPostT))/(1+oDR)^'Markov Model_SA2'!cycle</f>
        <v>24.755160404898611</v>
      </c>
      <c r="M96" s="80"/>
      <c r="N96" s="3"/>
      <c r="O96" s="80"/>
      <c r="P96" s="173">
        <v>85</v>
      </c>
      <c r="Q96" s="165"/>
      <c r="R96" s="612">
        <v>8.7646270854724317E-4</v>
      </c>
      <c r="S96" s="502"/>
      <c r="T96" s="219">
        <f t="shared" si="6"/>
        <v>37.942851686254613</v>
      </c>
      <c r="U96" s="481">
        <f>U95+(T95*R96*'life-tables-test'!$C$66)</f>
        <v>62.057148313745387</v>
      </c>
      <c r="V96" s="516">
        <f t="shared" si="2"/>
        <v>100</v>
      </c>
      <c r="W96" s="153">
        <f>(T96*0)/(1+cDR)^'Markov Model_SA2'!cycle2</f>
        <v>0</v>
      </c>
      <c r="X96" s="178">
        <f t="shared" si="7"/>
        <v>37.942851686254613</v>
      </c>
      <c r="Y96" s="202">
        <f>(T96*(uPostT))/(1+oDR)^'Markov Model_SA2'!cycle</f>
        <v>23.322287819886011</v>
      </c>
      <c r="Z96" s="80"/>
      <c r="AA96" s="3"/>
      <c r="AB96" s="3"/>
      <c r="AC96" s="14">
        <v>84</v>
      </c>
      <c r="AD96" s="14"/>
      <c r="AE96" s="14"/>
      <c r="AF96" s="3"/>
      <c r="AG96" s="3"/>
      <c r="AH96" s="3"/>
      <c r="AI96" s="14"/>
      <c r="AJ96" s="14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</row>
    <row r="97" spans="1:60" ht="14.25" customHeight="1" x14ac:dyDescent="0.25">
      <c r="A97" s="637"/>
      <c r="B97" s="80"/>
      <c r="C97" s="173">
        <v>86</v>
      </c>
      <c r="D97" s="165"/>
      <c r="E97" s="612">
        <v>8.7646270854724317E-4</v>
      </c>
      <c r="F97" s="502"/>
      <c r="G97" s="219">
        <f t="shared" si="9"/>
        <v>40.09748792330646</v>
      </c>
      <c r="H97" s="481">
        <f>H96+(G96*E97*'life-tables-test'!$C$66)</f>
        <v>59.90251207669354</v>
      </c>
      <c r="I97" s="516">
        <f t="shared" si="0"/>
        <v>100</v>
      </c>
      <c r="J97" s="153">
        <f>(G97*0)/(1+cDR)^'Markov Model_SA2'!cycle</f>
        <v>0</v>
      </c>
      <c r="K97" s="178">
        <f t="shared" si="8"/>
        <v>40.09748792330646</v>
      </c>
      <c r="L97" s="202">
        <f>(G97*(uPostT))/(1+oDR)^'Markov Model_SA2'!cycle</f>
        <v>24.585212498956235</v>
      </c>
      <c r="M97" s="80"/>
      <c r="N97" s="3"/>
      <c r="O97" s="80"/>
      <c r="P97" s="173">
        <v>86</v>
      </c>
      <c r="Q97" s="165"/>
      <c r="R97" s="612">
        <v>8.7646270854724317E-4</v>
      </c>
      <c r="S97" s="502"/>
      <c r="T97" s="219">
        <f t="shared" si="6"/>
        <v>37.776574213459909</v>
      </c>
      <c r="U97" s="481">
        <f>U96+(T96*R97*'life-tables-test'!$C$66)</f>
        <v>62.223425786540091</v>
      </c>
      <c r="V97" s="516">
        <f t="shared" si="2"/>
        <v>100</v>
      </c>
      <c r="W97" s="153">
        <f>(T97*0)/(1+cDR)^'Markov Model_SA2'!cycle2</f>
        <v>0</v>
      </c>
      <c r="X97" s="178">
        <f t="shared" si="7"/>
        <v>37.776574213459909</v>
      </c>
      <c r="Y97" s="202">
        <f>(T97*(uPostT))/(1+oDR)^'Markov Model_SA2'!cycle</f>
        <v>23.162176800125028</v>
      </c>
      <c r="Z97" s="80"/>
      <c r="AA97" s="3"/>
      <c r="AB97" s="3"/>
      <c r="AC97" s="14">
        <v>85</v>
      </c>
      <c r="AD97" s="14"/>
      <c r="AE97" s="14"/>
      <c r="AF97" s="3"/>
      <c r="AG97" s="3"/>
      <c r="AH97" s="3"/>
      <c r="AI97" s="14"/>
      <c r="AJ97" s="14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</row>
    <row r="98" spans="1:60" ht="14.25" customHeight="1" x14ac:dyDescent="0.25">
      <c r="A98" s="637"/>
      <c r="B98" s="80"/>
      <c r="C98" s="173">
        <v>87</v>
      </c>
      <c r="D98" s="165"/>
      <c r="E98" s="612">
        <v>8.7646270854724317E-4</v>
      </c>
      <c r="F98" s="502"/>
      <c r="G98" s="219">
        <f t="shared" si="9"/>
        <v>39.921768158950449</v>
      </c>
      <c r="H98" s="481">
        <f>H97+(G97*E98*'life-tables-test'!$C$66)</f>
        <v>60.078231841049551</v>
      </c>
      <c r="I98" s="516">
        <f t="shared" si="0"/>
        <v>100</v>
      </c>
      <c r="J98" s="153">
        <f>(G98*0)/(1+cDR)^'Markov Model_SA2'!cycle</f>
        <v>0</v>
      </c>
      <c r="K98" s="178">
        <f t="shared" si="8"/>
        <v>39.921768158950449</v>
      </c>
      <c r="L98" s="202">
        <f>(G98*(uPostT))/(1+oDR)^'Markov Model_SA2'!cycle</f>
        <v>24.416431310993524</v>
      </c>
      <c r="M98" s="80"/>
      <c r="N98" s="3"/>
      <c r="O98" s="80"/>
      <c r="P98" s="173">
        <v>87</v>
      </c>
      <c r="Q98" s="165"/>
      <c r="R98" s="612">
        <v>8.7646270854724317E-4</v>
      </c>
      <c r="S98" s="502"/>
      <c r="T98" s="219">
        <f t="shared" si="6"/>
        <v>37.611025420686083</v>
      </c>
      <c r="U98" s="481">
        <f>U97+(T97*R98*'life-tables-test'!$C$66)</f>
        <v>62.388974579313917</v>
      </c>
      <c r="V98" s="516">
        <f t="shared" si="2"/>
        <v>100</v>
      </c>
      <c r="W98" s="153">
        <f>(T98*0)/(1+cDR)^'Markov Model_SA2'!cycle2</f>
        <v>0</v>
      </c>
      <c r="X98" s="178">
        <f t="shared" si="7"/>
        <v>37.611025420686083</v>
      </c>
      <c r="Y98" s="202">
        <f>(T98*(uPostT))/(1+oDR)^'Markov Model_SA2'!cycle</f>
        <v>23.003164966637993</v>
      </c>
      <c r="Z98" s="80"/>
      <c r="AA98" s="3"/>
      <c r="AB98" s="3"/>
      <c r="AC98" s="14">
        <v>86</v>
      </c>
      <c r="AD98" s="14"/>
      <c r="AE98" s="14"/>
      <c r="AF98" s="3"/>
      <c r="AG98" s="3"/>
      <c r="AH98" s="3"/>
      <c r="AI98" s="14"/>
      <c r="AJ98" s="14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</row>
    <row r="99" spans="1:60" ht="14.25" customHeight="1" x14ac:dyDescent="0.25">
      <c r="A99" s="637"/>
      <c r="B99" s="80"/>
      <c r="C99" s="173">
        <v>88</v>
      </c>
      <c r="D99" s="165"/>
      <c r="E99" s="612">
        <v>8.7646270854724317E-4</v>
      </c>
      <c r="F99" s="502"/>
      <c r="G99" s="219">
        <f t="shared" si="9"/>
        <v>39.746818453697507</v>
      </c>
      <c r="H99" s="481">
        <f>H98+(G98*E99*'life-tables-test'!$C$66)</f>
        <v>60.253181546302493</v>
      </c>
      <c r="I99" s="516">
        <f t="shared" si="0"/>
        <v>100</v>
      </c>
      <c r="J99" s="153">
        <f>(G99*0)/(1+cDR)^'Markov Model_SA2'!cycle</f>
        <v>0</v>
      </c>
      <c r="K99" s="178">
        <f t="shared" si="8"/>
        <v>39.746818453697507</v>
      </c>
      <c r="L99" s="202">
        <f>(G99*(uPostT))/(1+oDR)^'Markov Model_SA2'!cycle</f>
        <v>24.248808831315781</v>
      </c>
      <c r="M99" s="80"/>
      <c r="N99" s="3"/>
      <c r="O99" s="80"/>
      <c r="P99" s="173">
        <v>88</v>
      </c>
      <c r="Q99" s="165"/>
      <c r="R99" s="612">
        <v>8.7646270854724317E-4</v>
      </c>
      <c r="S99" s="502"/>
      <c r="T99" s="219">
        <f t="shared" si="6"/>
        <v>37.446202114628811</v>
      </c>
      <c r="U99" s="481">
        <f>U98+(T98*R99*'life-tables-test'!$C$66)</f>
        <v>62.553797885371189</v>
      </c>
      <c r="V99" s="516">
        <f t="shared" si="2"/>
        <v>100</v>
      </c>
      <c r="W99" s="153">
        <f>(T99*0)/(1+cDR)^'Markov Model_SA2'!cycle2</f>
        <v>0</v>
      </c>
      <c r="X99" s="178">
        <f t="shared" si="7"/>
        <v>37.446202114628811</v>
      </c>
      <c r="Y99" s="202">
        <f>(T99*(uPostT))/(1+oDR)^'Markov Model_SA2'!cycle</f>
        <v>22.845244773345534</v>
      </c>
      <c r="Z99" s="80"/>
      <c r="AA99" s="3"/>
      <c r="AB99" s="3"/>
      <c r="AC99" s="14">
        <v>87</v>
      </c>
      <c r="AD99" s="14"/>
      <c r="AE99" s="14"/>
      <c r="AF99" s="3"/>
      <c r="AG99" s="3"/>
      <c r="AH99" s="3"/>
      <c r="AI99" s="14"/>
      <c r="AJ99" s="14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</row>
    <row r="100" spans="1:60" ht="14.25" customHeight="1" x14ac:dyDescent="0.25">
      <c r="A100" s="637"/>
      <c r="B100" s="80"/>
      <c r="C100" s="173">
        <v>89</v>
      </c>
      <c r="D100" s="165"/>
      <c r="E100" s="612">
        <v>8.7646270854724317E-4</v>
      </c>
      <c r="F100" s="502"/>
      <c r="G100" s="219">
        <f t="shared" si="9"/>
        <v>39.572635432907191</v>
      </c>
      <c r="H100" s="481">
        <f>H99+(G99*E100*'life-tables-test'!$C$66)</f>
        <v>60.427364567092809</v>
      </c>
      <c r="I100" s="516">
        <f t="shared" si="0"/>
        <v>100</v>
      </c>
      <c r="J100" s="153">
        <f>(G100*0)/(1+cDR)^'Markov Model_SA2'!cycle</f>
        <v>0</v>
      </c>
      <c r="K100" s="178">
        <f t="shared" si="8"/>
        <v>39.572635432907191</v>
      </c>
      <c r="L100" s="202">
        <f>(G100*(uPostT))/(1+oDR)^'Markov Model_SA2'!cycle</f>
        <v>24.082337105216041</v>
      </c>
      <c r="M100" s="80"/>
      <c r="N100" s="3"/>
      <c r="O100" s="80"/>
      <c r="P100" s="173">
        <v>89</v>
      </c>
      <c r="Q100" s="165"/>
      <c r="R100" s="612">
        <v>8.7646270854724317E-4</v>
      </c>
      <c r="S100" s="502"/>
      <c r="T100" s="219">
        <f t="shared" si="6"/>
        <v>37.282101115977838</v>
      </c>
      <c r="U100" s="481">
        <f>U99+(T99*R100*'life-tables-test'!$C$66)</f>
        <v>62.717898884022162</v>
      </c>
      <c r="V100" s="516">
        <f t="shared" si="2"/>
        <v>100</v>
      </c>
      <c r="W100" s="153">
        <f>(T100*0)/(1+cDR)^'Markov Model_SA2'!cycle2</f>
        <v>0</v>
      </c>
      <c r="X100" s="178">
        <f t="shared" si="7"/>
        <v>37.282101115977838</v>
      </c>
      <c r="Y100" s="202">
        <f>(T100*(uPostT))/(1+oDR)^'Markov Model_SA2'!cycle</f>
        <v>22.688408725973243</v>
      </c>
      <c r="Z100" s="80"/>
      <c r="AA100" s="3"/>
      <c r="AB100" s="3"/>
      <c r="AC100" s="14">
        <v>88</v>
      </c>
      <c r="AD100" s="14"/>
      <c r="AE100" s="14"/>
      <c r="AF100" s="3"/>
      <c r="AG100" s="3"/>
      <c r="AH100" s="3"/>
      <c r="AI100" s="14"/>
      <c r="AJ100" s="14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</row>
    <row r="101" spans="1:60" ht="14.25" customHeight="1" x14ac:dyDescent="0.25">
      <c r="A101" s="637"/>
      <c r="B101" s="80"/>
      <c r="C101" s="173">
        <v>90</v>
      </c>
      <c r="D101" s="165"/>
      <c r="E101" s="612">
        <v>8.7646270854724317E-4</v>
      </c>
      <c r="F101" s="502"/>
      <c r="G101" s="219">
        <f t="shared" si="9"/>
        <v>39.399215736727797</v>
      </c>
      <c r="H101" s="481">
        <f>H100+(G100*E101*'life-tables-test'!$C$66)</f>
        <v>60.600784263272203</v>
      </c>
      <c r="I101" s="516">
        <f t="shared" si="0"/>
        <v>100</v>
      </c>
      <c r="J101" s="153">
        <f>(G101*0)/(1+cDR)^'Markov Model_SA2'!cycle</f>
        <v>0</v>
      </c>
      <c r="K101" s="178">
        <f t="shared" si="8"/>
        <v>39.399215736727797</v>
      </c>
      <c r="L101" s="202">
        <f>(G101*(uPostT))/(1+oDR)^'Markov Model_SA2'!cycle</f>
        <v>23.91700823259762</v>
      </c>
      <c r="M101" s="80"/>
      <c r="N101" s="3"/>
      <c r="O101" s="80"/>
      <c r="P101" s="173">
        <v>90</v>
      </c>
      <c r="Q101" s="165"/>
      <c r="R101" s="612">
        <v>8.7646270854724317E-4</v>
      </c>
      <c r="S101" s="502"/>
      <c r="T101" s="219">
        <f t="shared" si="6"/>
        <v>37.118719259355629</v>
      </c>
      <c r="U101" s="481">
        <f>U100+(T100*R101*'life-tables-test'!$C$66)</f>
        <v>62.881280740644371</v>
      </c>
      <c r="V101" s="516">
        <f t="shared" si="2"/>
        <v>100</v>
      </c>
      <c r="W101" s="153">
        <f>(T101*0)/(1+cDR)^'Markov Model_SA2'!cycle2</f>
        <v>0</v>
      </c>
      <c r="X101" s="178">
        <f t="shared" si="7"/>
        <v>37.118719259355629</v>
      </c>
      <c r="Y101" s="202">
        <f>(T101*(uPostT))/(1+oDR)^'Markov Model_SA2'!cycle</f>
        <v>22.532649381696036</v>
      </c>
      <c r="Z101" s="80"/>
      <c r="AA101" s="3"/>
      <c r="AB101" s="3"/>
      <c r="AC101" s="14">
        <v>89</v>
      </c>
      <c r="AD101" s="14"/>
      <c r="AE101" s="14"/>
      <c r="AF101" s="3"/>
      <c r="AG101" s="3"/>
      <c r="AH101" s="3"/>
      <c r="AI101" s="14"/>
      <c r="AJ101" s="14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</row>
    <row r="102" spans="1:60" ht="14.25" customHeight="1" x14ac:dyDescent="0.25">
      <c r="A102" s="637"/>
      <c r="B102" s="80"/>
      <c r="C102" s="173">
        <v>91</v>
      </c>
      <c r="D102" s="165"/>
      <c r="E102" s="612">
        <v>8.7646270854724317E-4</v>
      </c>
      <c r="F102" s="502"/>
      <c r="G102" s="219">
        <f t="shared" si="9"/>
        <v>39.226556020031552</v>
      </c>
      <c r="H102" s="481">
        <f>H101+(G101*E102*'life-tables-test'!$C$66)</f>
        <v>60.773443979968448</v>
      </c>
      <c r="I102" s="516">
        <f t="shared" si="0"/>
        <v>100</v>
      </c>
      <c r="J102" s="153">
        <f>(G102*0)/(1+cDR)^'Markov Model_SA2'!cycle</f>
        <v>0</v>
      </c>
      <c r="K102" s="178">
        <f t="shared" si="8"/>
        <v>39.226556020031552</v>
      </c>
      <c r="L102" s="202">
        <f>(G102*(uPostT))/(1+oDR)^'Markov Model_SA2'!cycle</f>
        <v>23.752814367599179</v>
      </c>
      <c r="M102" s="80"/>
      <c r="N102" s="3"/>
      <c r="O102" s="80"/>
      <c r="P102" s="173">
        <v>91</v>
      </c>
      <c r="Q102" s="165"/>
      <c r="R102" s="612">
        <v>8.7646270854724317E-4</v>
      </c>
      <c r="S102" s="502"/>
      <c r="T102" s="219">
        <f t="shared" si="6"/>
        <v>36.956053393256333</v>
      </c>
      <c r="U102" s="481">
        <f>U101+(T101*R102*'life-tables-test'!$C$66)</f>
        <v>63.043946606743667</v>
      </c>
      <c r="V102" s="516">
        <f t="shared" si="2"/>
        <v>100</v>
      </c>
      <c r="W102" s="153">
        <f>(T102*0)/(1+cDR)^'Markov Model_SA2'!cycle2</f>
        <v>0</v>
      </c>
      <c r="X102" s="178">
        <f t="shared" si="7"/>
        <v>36.956053393256333</v>
      </c>
      <c r="Y102" s="202">
        <f>(T102*(uPostT))/(1+oDR)^'Markov Model_SA2'!cycle</f>
        <v>22.377959348784945</v>
      </c>
      <c r="Z102" s="80"/>
      <c r="AA102" s="3"/>
      <c r="AB102" s="3"/>
      <c r="AC102" s="14">
        <v>90</v>
      </c>
      <c r="AD102" s="14"/>
      <c r="AE102" s="14"/>
      <c r="AF102" s="3"/>
      <c r="AG102" s="3"/>
      <c r="AH102" s="3"/>
      <c r="AI102" s="14"/>
      <c r="AJ102" s="14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</row>
    <row r="103" spans="1:60" ht="14.25" customHeight="1" x14ac:dyDescent="0.25">
      <c r="A103" s="637"/>
      <c r="B103" s="80"/>
      <c r="C103" s="173">
        <v>92</v>
      </c>
      <c r="D103" s="165"/>
      <c r="E103" s="612">
        <v>8.7646270854724317E-4</v>
      </c>
      <c r="F103" s="502"/>
      <c r="G103" s="219">
        <f t="shared" si="9"/>
        <v>39.054652952350068</v>
      </c>
      <c r="H103" s="481">
        <f>H102+(G102*E103*'life-tables-test'!$C$66)</f>
        <v>60.945347047649932</v>
      </c>
      <c r="I103" s="516">
        <f t="shared" si="0"/>
        <v>100</v>
      </c>
      <c r="J103" s="153">
        <f>(G103*0)/(1+cDR)^'Markov Model_SA2'!cycle</f>
        <v>0</v>
      </c>
      <c r="K103" s="178">
        <f t="shared" si="8"/>
        <v>39.054652952350068</v>
      </c>
      <c r="L103" s="202">
        <f>(G103*(uPostT))/(1+oDR)^'Markov Model_SA2'!cycle</f>
        <v>23.589747718222398</v>
      </c>
      <c r="M103" s="80"/>
      <c r="N103" s="3"/>
      <c r="O103" s="80"/>
      <c r="P103" s="173">
        <v>92</v>
      </c>
      <c r="Q103" s="165"/>
      <c r="R103" s="612">
        <v>8.7646270854724317E-4</v>
      </c>
      <c r="S103" s="502"/>
      <c r="T103" s="219">
        <f t="shared" si="6"/>
        <v>36.794100379984982</v>
      </c>
      <c r="U103" s="481">
        <f>U102+(T102*R103*'life-tables-test'!$C$66)</f>
        <v>63.205899620015018</v>
      </c>
      <c r="V103" s="516">
        <f t="shared" si="2"/>
        <v>100</v>
      </c>
      <c r="W103" s="153">
        <f>(T103*0)/(1+cDR)^'Markov Model_SA2'!cycle2</f>
        <v>0</v>
      </c>
      <c r="X103" s="178">
        <f t="shared" si="7"/>
        <v>36.794100379984982</v>
      </c>
      <c r="Y103" s="202">
        <f>(T103*(uPostT))/(1+oDR)^'Markov Model_SA2'!cycle</f>
        <v>22.224331286256326</v>
      </c>
      <c r="Z103" s="80"/>
      <c r="AA103" s="3"/>
      <c r="AB103" s="3"/>
      <c r="AC103" s="14">
        <v>91</v>
      </c>
      <c r="AD103" s="14"/>
      <c r="AE103" s="14"/>
      <c r="AF103" s="3"/>
      <c r="AG103" s="3"/>
      <c r="AH103" s="3"/>
      <c r="AI103" s="14"/>
      <c r="AJ103" s="14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</row>
    <row r="104" spans="1:60" ht="14.25" customHeight="1" x14ac:dyDescent="0.25">
      <c r="A104" s="637"/>
      <c r="B104" s="80"/>
      <c r="C104" s="173">
        <v>93</v>
      </c>
      <c r="D104" s="165"/>
      <c r="E104" s="612">
        <v>8.7646270854724317E-4</v>
      </c>
      <c r="F104" s="502"/>
      <c r="G104" s="219">
        <f t="shared" si="9"/>
        <v>38.883503217810123</v>
      </c>
      <c r="H104" s="481">
        <f>H103+(G103*E104*'life-tables-test'!$C$66)</f>
        <v>61.116496782189877</v>
      </c>
      <c r="I104" s="516">
        <f t="shared" si="0"/>
        <v>100</v>
      </c>
      <c r="J104" s="153">
        <f>(G104*0)/(1+cDR)^'Markov Model_SA2'!cycle</f>
        <v>0</v>
      </c>
      <c r="K104" s="178">
        <f t="shared" si="8"/>
        <v>38.883503217810123</v>
      </c>
      <c r="L104" s="202">
        <f>(G104*(uPostT))/(1+oDR)^'Markov Model_SA2'!cycle</f>
        <v>23.427800545962192</v>
      </c>
      <c r="M104" s="80"/>
      <c r="N104" s="3"/>
      <c r="O104" s="80"/>
      <c r="P104" s="173">
        <v>93</v>
      </c>
      <c r="Q104" s="165"/>
      <c r="R104" s="612">
        <v>8.7646270854724317E-4</v>
      </c>
      <c r="S104" s="502"/>
      <c r="T104" s="219">
        <f t="shared" si="6"/>
        <v>36.632857095596975</v>
      </c>
      <c r="U104" s="481">
        <f>U103+(T103*R104*'life-tables-test'!$C$66)</f>
        <v>63.367142904403025</v>
      </c>
      <c r="V104" s="516">
        <f t="shared" si="2"/>
        <v>100</v>
      </c>
      <c r="W104" s="153">
        <f>(T104*0)/(1+cDR)^'Markov Model_SA2'!cycle2</f>
        <v>0</v>
      </c>
      <c r="X104" s="178">
        <f t="shared" si="7"/>
        <v>36.632857095596975</v>
      </c>
      <c r="Y104" s="202">
        <f>(T104*(uPostT))/(1+oDR)^'Markov Model_SA2'!cycle</f>
        <v>22.071757903523494</v>
      </c>
      <c r="Z104" s="80"/>
      <c r="AA104" s="3"/>
      <c r="AB104" s="3"/>
      <c r="AC104" s="14">
        <v>92</v>
      </c>
      <c r="AD104" s="14"/>
      <c r="AE104" s="14"/>
      <c r="AF104" s="3"/>
      <c r="AG104" s="3"/>
      <c r="AH104" s="3"/>
      <c r="AI104" s="14"/>
      <c r="AJ104" s="14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</row>
    <row r="105" spans="1:60" ht="14.25" customHeight="1" x14ac:dyDescent="0.25">
      <c r="A105" s="637"/>
      <c r="B105" s="80"/>
      <c r="C105" s="173">
        <v>94</v>
      </c>
      <c r="D105" s="165"/>
      <c r="E105" s="612">
        <v>8.7646270854724317E-4</v>
      </c>
      <c r="F105" s="502"/>
      <c r="G105" s="219">
        <f t="shared" si="9"/>
        <v>38.713103515069683</v>
      </c>
      <c r="H105" s="481">
        <f>H104+(G104*E105*'life-tables-test'!$C$66)</f>
        <v>61.286896484930317</v>
      </c>
      <c r="I105" s="516">
        <f t="shared" si="0"/>
        <v>100</v>
      </c>
      <c r="J105" s="153">
        <f>(G105*0)/(1+cDR)^'Markov Model_SA2'!cycle</f>
        <v>0</v>
      </c>
      <c r="K105" s="178">
        <f t="shared" si="8"/>
        <v>38.713103515069683</v>
      </c>
      <c r="L105" s="202">
        <f>(G105*(uPostT))/(1+oDR)^'Markov Model_SA2'!cycle</f>
        <v>23.266965165439505</v>
      </c>
      <c r="M105" s="80"/>
      <c r="N105" s="3"/>
      <c r="O105" s="80"/>
      <c r="P105" s="173">
        <v>94</v>
      </c>
      <c r="Q105" s="165"/>
      <c r="R105" s="612">
        <v>8.7646270854724317E-4</v>
      </c>
      <c r="S105" s="502"/>
      <c r="T105" s="219">
        <f t="shared" si="6"/>
        <v>36.472320429837822</v>
      </c>
      <c r="U105" s="481">
        <f>U104+(T104*R105*'life-tables-test'!$C$66)</f>
        <v>63.527679570162178</v>
      </c>
      <c r="V105" s="516">
        <f t="shared" si="2"/>
        <v>100</v>
      </c>
      <c r="W105" s="153">
        <f>(T105*0)/(1+cDR)^'Markov Model_SA2'!cycle2</f>
        <v>0</v>
      </c>
      <c r="X105" s="178">
        <f t="shared" si="7"/>
        <v>36.472320429837822</v>
      </c>
      <c r="Y105" s="202">
        <f>(T105*(uPostT))/(1+oDR)^'Markov Model_SA2'!cycle</f>
        <v>21.920231960050767</v>
      </c>
      <c r="Z105" s="80"/>
      <c r="AA105" s="3"/>
      <c r="AB105" s="3"/>
      <c r="AC105" s="14">
        <v>93</v>
      </c>
      <c r="AD105" s="14"/>
      <c r="AE105" s="14"/>
      <c r="AF105" s="3"/>
      <c r="AG105" s="3"/>
      <c r="AH105" s="3"/>
      <c r="AI105" s="14"/>
      <c r="AJ105" s="14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</row>
    <row r="106" spans="1:60" ht="14.25" customHeight="1" x14ac:dyDescent="0.25">
      <c r="A106" s="637"/>
      <c r="B106" s="80"/>
      <c r="C106" s="173">
        <v>95</v>
      </c>
      <c r="D106" s="165"/>
      <c r="E106" s="612">
        <v>8.7646270854724317E-4</v>
      </c>
      <c r="F106" s="502"/>
      <c r="G106" s="219">
        <f t="shared" si="9"/>
        <v>38.543450557254246</v>
      </c>
      <c r="H106" s="481">
        <f>H105+(G105*E106*'life-tables-test'!$C$66)</f>
        <v>61.456549442745754</v>
      </c>
      <c r="I106" s="516">
        <f t="shared" si="0"/>
        <v>100</v>
      </c>
      <c r="J106" s="153">
        <f>(G106*0)/(1+cDR)^'Markov Model_SA2'!cycle</f>
        <v>0</v>
      </c>
      <c r="K106" s="178">
        <f t="shared" si="8"/>
        <v>38.543450557254246</v>
      </c>
      <c r="L106" s="202">
        <f>(G106*(uPostT))/(1+oDR)^'Markov Model_SA2'!cycle</f>
        <v>23.10723394403654</v>
      </c>
      <c r="M106" s="80"/>
      <c r="N106" s="3"/>
      <c r="O106" s="80"/>
      <c r="P106" s="173">
        <v>95</v>
      </c>
      <c r="Q106" s="165"/>
      <c r="R106" s="612">
        <v>8.7646270854724317E-4</v>
      </c>
      <c r="S106" s="502"/>
      <c r="T106" s="219">
        <f t="shared" si="6"/>
        <v>36.312487286083126</v>
      </c>
      <c r="U106" s="481">
        <f>U105+(T105*R106*'life-tables-test'!$C$66)</f>
        <v>63.687512713916874</v>
      </c>
      <c r="V106" s="516">
        <f t="shared" si="2"/>
        <v>100</v>
      </c>
      <c r="W106" s="153">
        <f>(T106*0)/(1+cDR)^'Markov Model_SA2'!cycle2</f>
        <v>0</v>
      </c>
      <c r="X106" s="178">
        <f t="shared" si="7"/>
        <v>36.312487286083126</v>
      </c>
      <c r="Y106" s="202">
        <f>(T106*(uPostT))/(1+oDR)^'Markov Model_SA2'!cycle</f>
        <v>21.769746265009793</v>
      </c>
      <c r="Z106" s="80"/>
      <c r="AA106" s="3"/>
      <c r="AB106" s="3"/>
      <c r="AC106" s="14">
        <v>94</v>
      </c>
      <c r="AD106" s="14"/>
      <c r="AE106" s="14"/>
      <c r="AF106" s="3"/>
      <c r="AG106" s="3"/>
      <c r="AH106" s="3"/>
      <c r="AI106" s="14"/>
      <c r="AJ106" s="14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</row>
    <row r="107" spans="1:60" ht="14.25" customHeight="1" x14ac:dyDescent="0.25">
      <c r="A107" s="637"/>
      <c r="B107" s="80"/>
      <c r="C107" s="173">
        <v>96</v>
      </c>
      <c r="D107" s="504"/>
      <c r="E107" s="612">
        <v>8.7646270854724317E-4</v>
      </c>
      <c r="F107" s="505"/>
      <c r="G107" s="219">
        <f t="shared" si="9"/>
        <v>38.374541071893404</v>
      </c>
      <c r="H107" s="481">
        <f>H106+(G106*E107*'life-tables-test'!$C$66)</f>
        <v>61.625458928106596</v>
      </c>
      <c r="I107" s="516">
        <f t="shared" si="0"/>
        <v>100</v>
      </c>
      <c r="J107" s="180">
        <f>(G107*0)/(1+cDR)^'Markov Model_SA2'!cycle</f>
        <v>0</v>
      </c>
      <c r="K107" s="176">
        <f t="shared" si="8"/>
        <v>38.374541071893404</v>
      </c>
      <c r="L107" s="202">
        <f>(G107*(uPostT))/(1+oDR)^'Markov Model_SA2'!cycle</f>
        <v>22.948599301534571</v>
      </c>
      <c r="M107" s="80"/>
      <c r="N107" s="3"/>
      <c r="O107" s="80"/>
      <c r="P107" s="173">
        <v>96</v>
      </c>
      <c r="Q107" s="504"/>
      <c r="R107" s="612">
        <v>8.7646270854724317E-4</v>
      </c>
      <c r="S107" s="505"/>
      <c r="T107" s="219">
        <f t="shared" si="6"/>
        <v>36.15335458127889</v>
      </c>
      <c r="U107" s="481">
        <f>U106+(T106*R107*'life-tables-test'!$C$66)</f>
        <v>63.84664541872111</v>
      </c>
      <c r="V107" s="516">
        <f t="shared" si="2"/>
        <v>100</v>
      </c>
      <c r="W107" s="180">
        <f>(T107*0)/(1+cDR)^'Markov Model_SA2'!cycle2</f>
        <v>0</v>
      </c>
      <c r="X107" s="176">
        <f t="shared" si="7"/>
        <v>36.15335458127889</v>
      </c>
      <c r="Y107" s="202">
        <f>(T107*(uPostT))/(1+oDR)^'Markov Model_SA2'!cycle</f>
        <v>21.620293676938363</v>
      </c>
      <c r="Z107" s="80"/>
      <c r="AA107" s="3"/>
      <c r="AB107" s="3"/>
      <c r="AC107" s="14">
        <v>95</v>
      </c>
      <c r="AD107" s="14"/>
      <c r="AE107" s="14"/>
      <c r="AF107" s="3"/>
      <c r="AG107" s="3"/>
      <c r="AH107" s="3"/>
      <c r="AI107" s="14"/>
      <c r="AJ107" s="14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</row>
    <row r="108" spans="1:60" ht="14.25" customHeight="1" x14ac:dyDescent="0.25">
      <c r="A108" s="637" t="s">
        <v>550</v>
      </c>
      <c r="B108" s="80"/>
      <c r="C108" s="506">
        <v>97</v>
      </c>
      <c r="D108" s="506"/>
      <c r="E108" s="612">
        <v>9.3655925876645618E-4</v>
      </c>
      <c r="F108" s="508"/>
      <c r="G108" s="509">
        <f t="shared" si="9"/>
        <v>38.194840913184429</v>
      </c>
      <c r="H108" s="482">
        <f>H107+(G107*E108*'life-tables-test'!$C$66)</f>
        <v>61.805159086815571</v>
      </c>
      <c r="I108" s="518">
        <f t="shared" si="0"/>
        <v>100</v>
      </c>
      <c r="J108" s="511">
        <f>(G108*0)/(1+cDR)^'Markov Model_SA2'!cycle</f>
        <v>0</v>
      </c>
      <c r="K108" s="512">
        <f t="shared" si="8"/>
        <v>38.194840913184429</v>
      </c>
      <c r="L108" s="513">
        <f>(G108*(uPostT))/(1+oDR)^'Markov Model_SA2'!cycle</f>
        <v>22.784175247657561</v>
      </c>
      <c r="M108" s="80"/>
      <c r="N108" s="3"/>
      <c r="O108" s="80"/>
      <c r="P108" s="506">
        <v>97</v>
      </c>
      <c r="Q108" s="506"/>
      <c r="R108" s="612">
        <v>9.3655925876645618E-4</v>
      </c>
      <c r="S108" s="508"/>
      <c r="T108" s="509">
        <f t="shared" si="6"/>
        <v>35.984055786436073</v>
      </c>
      <c r="U108" s="482">
        <f>U107+(T107*R108*'life-tables-test'!$C$66)</f>
        <v>64.015944213563927</v>
      </c>
      <c r="V108" s="518">
        <f t="shared" si="2"/>
        <v>100</v>
      </c>
      <c r="W108" s="511">
        <f>(T108*0)/(1+cDR)^'Markov Model_SA2'!cycle2</f>
        <v>0</v>
      </c>
      <c r="X108" s="512">
        <f t="shared" si="7"/>
        <v>35.984055786436073</v>
      </c>
      <c r="Y108" s="513">
        <f>(T108*(uPostT))/(1+oDR)^'Markov Model_SA2'!cycle</f>
        <v>21.465386778889208</v>
      </c>
      <c r="Z108" s="80"/>
      <c r="AA108" s="3"/>
      <c r="AB108" s="3"/>
      <c r="AC108" s="14">
        <v>96</v>
      </c>
      <c r="AD108" s="14"/>
      <c r="AE108" s="14"/>
      <c r="AF108" s="3"/>
      <c r="AG108" s="3"/>
      <c r="AH108" s="3"/>
      <c r="AI108" s="14"/>
      <c r="AJ108" s="14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</row>
    <row r="109" spans="1:60" ht="14.25" customHeight="1" x14ac:dyDescent="0.25">
      <c r="A109" s="637"/>
      <c r="B109" s="80"/>
      <c r="C109" s="173">
        <v>98</v>
      </c>
      <c r="D109" s="165"/>
      <c r="E109" s="612">
        <v>9.3655925876645618E-4</v>
      </c>
      <c r="F109" s="502"/>
      <c r="G109" s="219">
        <f t="shared" si="9"/>
        <v>38.015982253712657</v>
      </c>
      <c r="H109" s="481">
        <f>H108+(G108*E109*'life-tables-test'!$C$66)</f>
        <v>61.984017746287343</v>
      </c>
      <c r="I109" s="516">
        <f t="shared" si="0"/>
        <v>100</v>
      </c>
      <c r="J109" s="153">
        <f>(G109*0)/(1+cDR)^'Markov Model_SA2'!cycle</f>
        <v>0</v>
      </c>
      <c r="K109" s="178">
        <f t="shared" si="8"/>
        <v>38.015982253712657</v>
      </c>
      <c r="L109" s="202">
        <f>(G109*(uPostT))/(1+oDR)^'Markov Model_SA2'!cycle</f>
        <v>22.620929273067144</v>
      </c>
      <c r="M109" s="80"/>
      <c r="N109" s="3"/>
      <c r="O109" s="80"/>
      <c r="P109" s="173">
        <v>98</v>
      </c>
      <c r="Q109" s="165"/>
      <c r="R109" s="612">
        <v>9.3655925876645618E-4</v>
      </c>
      <c r="S109" s="502"/>
      <c r="T109" s="219">
        <f t="shared" si="6"/>
        <v>35.8155497833623</v>
      </c>
      <c r="U109" s="481">
        <f>U108+(T108*R109*'life-tables-test'!$C$66)</f>
        <v>64.1844502166377</v>
      </c>
      <c r="V109" s="516">
        <f t="shared" si="2"/>
        <v>100</v>
      </c>
      <c r="W109" s="153">
        <f>(T109*0)/(1+cDR)^'Markov Model_SA2'!cycle2</f>
        <v>0</v>
      </c>
      <c r="X109" s="178">
        <f t="shared" si="7"/>
        <v>35.8155497833623</v>
      </c>
      <c r="Y109" s="202">
        <f>(T109*(uPostT))/(1+oDR)^'Markov Model_SA2'!cycle</f>
        <v>21.311589770808336</v>
      </c>
      <c r="Z109" s="80"/>
      <c r="AA109" s="3"/>
      <c r="AB109" s="3"/>
      <c r="AC109" s="14">
        <v>97</v>
      </c>
      <c r="AD109" s="14"/>
      <c r="AE109" s="14"/>
      <c r="AF109" s="3"/>
      <c r="AG109" s="3"/>
      <c r="AH109" s="3"/>
      <c r="AI109" s="14"/>
      <c r="AJ109" s="14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</row>
    <row r="110" spans="1:60" ht="14.25" customHeight="1" x14ac:dyDescent="0.25">
      <c r="A110" s="637"/>
      <c r="B110" s="80"/>
      <c r="C110" s="173">
        <v>99</v>
      </c>
      <c r="D110" s="165"/>
      <c r="E110" s="612">
        <v>9.3655925876645618E-4</v>
      </c>
      <c r="F110" s="502"/>
      <c r="G110" s="219">
        <f t="shared" si="9"/>
        <v>37.837961152908576</v>
      </c>
      <c r="H110" s="481">
        <f>H109+(G109*E110*'life-tables-test'!$C$66)</f>
        <v>62.162038847091424</v>
      </c>
      <c r="I110" s="516">
        <f t="shared" si="0"/>
        <v>100</v>
      </c>
      <c r="J110" s="153">
        <f>(G110*0)/(1+cDR)^'Markov Model_SA2'!cycle</f>
        <v>0</v>
      </c>
      <c r="K110" s="178">
        <f t="shared" si="8"/>
        <v>37.837961152908576</v>
      </c>
      <c r="L110" s="202">
        <f>(G110*(uPostT))/(1+oDR)^'Markov Model_SA2'!cycle</f>
        <v>22.458852936961783</v>
      </c>
      <c r="M110" s="80"/>
      <c r="N110" s="3"/>
      <c r="O110" s="80"/>
      <c r="P110" s="173">
        <v>99</v>
      </c>
      <c r="Q110" s="165"/>
      <c r="R110" s="612">
        <v>9.3655925876645618E-4</v>
      </c>
      <c r="S110" s="502"/>
      <c r="T110" s="219">
        <f t="shared" si="6"/>
        <v>35.647832859575203</v>
      </c>
      <c r="U110" s="481">
        <f>U109+(T109*R110*'life-tables-test'!$C$66)</f>
        <v>64.352167140424797</v>
      </c>
      <c r="V110" s="516">
        <f t="shared" si="2"/>
        <v>100</v>
      </c>
      <c r="W110" s="153">
        <f>(T110*0)/(1+cDR)^'Markov Model_SA2'!cycle2</f>
        <v>0</v>
      </c>
      <c r="X110" s="178">
        <f t="shared" si="7"/>
        <v>35.647832859575203</v>
      </c>
      <c r="Y110" s="202">
        <f>(T110*(uPostT))/(1+oDR)^'Markov Model_SA2'!cycle</f>
        <v>21.158894700462763</v>
      </c>
      <c r="Z110" s="80"/>
      <c r="AA110" s="3"/>
      <c r="AB110" s="3"/>
      <c r="AC110" s="14">
        <v>98</v>
      </c>
      <c r="AD110" s="14"/>
      <c r="AE110" s="14"/>
      <c r="AF110" s="3"/>
      <c r="AG110" s="3"/>
      <c r="AH110" s="3"/>
      <c r="AI110" s="14"/>
      <c r="AJ110" s="14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</row>
    <row r="111" spans="1:60" ht="14.25" customHeight="1" x14ac:dyDescent="0.25">
      <c r="A111" s="637"/>
      <c r="B111" s="80"/>
      <c r="C111" s="173">
        <v>100</v>
      </c>
      <c r="D111" s="165"/>
      <c r="E111" s="612">
        <v>9.3655925876645618E-4</v>
      </c>
      <c r="F111" s="502"/>
      <c r="G111" s="219">
        <f t="shared" si="9"/>
        <v>37.660773688655567</v>
      </c>
      <c r="H111" s="481">
        <f>H110+(G110*E111*'life-tables-test'!$C$66)</f>
        <v>62.339226311344433</v>
      </c>
      <c r="I111" s="516">
        <f t="shared" si="0"/>
        <v>100</v>
      </c>
      <c r="J111" s="153">
        <f>(G111*0)/(1+cDR)^'Markov Model_SA2'!cycle</f>
        <v>0</v>
      </c>
      <c r="K111" s="178">
        <f t="shared" si="8"/>
        <v>37.660773688655567</v>
      </c>
      <c r="L111" s="202">
        <f>(G111*(uPostT))/(1+oDR)^'Markov Model_SA2'!cycle</f>
        <v>22.297937859017303</v>
      </c>
      <c r="M111" s="80"/>
      <c r="N111" s="3"/>
      <c r="O111" s="80"/>
      <c r="P111" s="173">
        <v>100</v>
      </c>
      <c r="Q111" s="165"/>
      <c r="R111" s="612">
        <v>9.3655925876645618E-4</v>
      </c>
      <c r="S111" s="502"/>
      <c r="T111" s="219">
        <f t="shared" si="6"/>
        <v>35.480901319977235</v>
      </c>
      <c r="U111" s="481">
        <f>U110+(T110*R111*'life-tables-test'!$C$66)</f>
        <v>64.519098680022765</v>
      </c>
      <c r="V111" s="516">
        <f t="shared" si="2"/>
        <v>100</v>
      </c>
      <c r="W111" s="153">
        <f>(T111*0)/(1+cDR)^'Markov Model_SA2'!cycle2</f>
        <v>0</v>
      </c>
      <c r="X111" s="178">
        <f t="shared" si="7"/>
        <v>35.480901319977235</v>
      </c>
      <c r="Y111" s="202">
        <f>(T111*(uPostT))/(1+oDR)^'Markov Model_SA2'!cycle</f>
        <v>21.007293672596354</v>
      </c>
      <c r="Z111" s="80"/>
      <c r="AA111" s="3"/>
      <c r="AB111" s="3"/>
      <c r="AC111" s="14">
        <v>99</v>
      </c>
      <c r="AD111" s="14"/>
      <c r="AE111" s="14"/>
      <c r="AF111" s="3"/>
      <c r="AG111" s="3"/>
      <c r="AH111" s="3"/>
      <c r="AI111" s="14"/>
      <c r="AJ111" s="14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</row>
    <row r="112" spans="1:60" ht="14.25" customHeight="1" x14ac:dyDescent="0.25">
      <c r="A112" s="637"/>
      <c r="B112" s="80"/>
      <c r="C112" s="173">
        <v>101</v>
      </c>
      <c r="D112" s="165"/>
      <c r="E112" s="612">
        <v>9.3655925876645618E-4</v>
      </c>
      <c r="F112" s="502"/>
      <c r="G112" s="219">
        <f t="shared" si="9"/>
        <v>37.484415957203474</v>
      </c>
      <c r="H112" s="481">
        <f>H111+(G111*E112*'life-tables-test'!$C$66)</f>
        <v>62.515584042796526</v>
      </c>
      <c r="I112" s="516">
        <f t="shared" si="0"/>
        <v>100</v>
      </c>
      <c r="J112" s="153">
        <f>(G112*0)/(1+cDR)^'Markov Model_SA2'!cycle</f>
        <v>0</v>
      </c>
      <c r="K112" s="178">
        <f t="shared" si="8"/>
        <v>37.484415957203474</v>
      </c>
      <c r="L112" s="202">
        <f>(G112*(uPostT))/(1+oDR)^'Markov Model_SA2'!cycle</f>
        <v>22.138175718953608</v>
      </c>
      <c r="M112" s="80"/>
      <c r="N112" s="3"/>
      <c r="O112" s="80"/>
      <c r="P112" s="173">
        <v>101</v>
      </c>
      <c r="Q112" s="165"/>
      <c r="R112" s="612">
        <v>9.3655925876645618E-4</v>
      </c>
      <c r="S112" s="502"/>
      <c r="T112" s="219">
        <f t="shared" si="6"/>
        <v>35.314751486774213</v>
      </c>
      <c r="U112" s="481">
        <f>U111+(T111*R112*'life-tables-test'!$C$66)</f>
        <v>64.685248513225787</v>
      </c>
      <c r="V112" s="516">
        <f t="shared" si="2"/>
        <v>100</v>
      </c>
      <c r="W112" s="153">
        <f>(T112*0)/(1+cDR)^'Markov Model_SA2'!cycle2</f>
        <v>0</v>
      </c>
      <c r="X112" s="178">
        <f t="shared" si="7"/>
        <v>35.314751486774213</v>
      </c>
      <c r="Y112" s="202">
        <f>(T112*(uPostT))/(1+oDR)^'Markov Model_SA2'!cycle</f>
        <v>20.856778848521568</v>
      </c>
      <c r="Z112" s="80"/>
      <c r="AA112" s="3"/>
      <c r="AB112" s="3"/>
      <c r="AC112" s="14">
        <v>100</v>
      </c>
      <c r="AD112" s="14"/>
      <c r="AE112" s="14"/>
      <c r="AF112" s="3"/>
      <c r="AG112" s="3"/>
      <c r="AH112" s="3"/>
      <c r="AI112" s="14"/>
      <c r="AJ112" s="14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</row>
    <row r="113" spans="1:60" ht="14.25" customHeight="1" x14ac:dyDescent="0.25">
      <c r="A113" s="637"/>
      <c r="B113" s="80"/>
      <c r="C113" s="173">
        <v>102</v>
      </c>
      <c r="D113" s="165"/>
      <c r="E113" s="612">
        <v>9.3655925876645618E-4</v>
      </c>
      <c r="F113" s="502"/>
      <c r="G113" s="219">
        <f t="shared" si="9"/>
        <v>37.308884073082616</v>
      </c>
      <c r="H113" s="481">
        <f>H112+(G112*E113*'life-tables-test'!$C$66)</f>
        <v>62.691115926917384</v>
      </c>
      <c r="I113" s="516">
        <f t="shared" si="0"/>
        <v>100</v>
      </c>
      <c r="J113" s="153">
        <f>(G113*0)/(1+cDR)^'Markov Model_SA2'!cycle</f>
        <v>0</v>
      </c>
      <c r="K113" s="178">
        <f t="shared" si="8"/>
        <v>37.308884073082616</v>
      </c>
      <c r="L113" s="202">
        <f>(G113*(uPostT))/(1+oDR)^'Markov Model_SA2'!cycle</f>
        <v>21.979558256104436</v>
      </c>
      <c r="M113" s="80"/>
      <c r="N113" s="3"/>
      <c r="O113" s="80"/>
      <c r="P113" s="173">
        <v>102</v>
      </c>
      <c r="Q113" s="165"/>
      <c r="R113" s="612">
        <v>9.3655925876645618E-4</v>
      </c>
      <c r="S113" s="502"/>
      <c r="T113" s="219">
        <f t="shared" si="6"/>
        <v>35.149379699394345</v>
      </c>
      <c r="U113" s="481">
        <f>U112+(T112*R113*'life-tables-test'!$C$66)</f>
        <v>64.850620300605655</v>
      </c>
      <c r="V113" s="516">
        <f t="shared" si="2"/>
        <v>100</v>
      </c>
      <c r="W113" s="153">
        <f>(T113*0)/(1+cDR)^'Markov Model_SA2'!cycle2</f>
        <v>0</v>
      </c>
      <c r="X113" s="178">
        <f t="shared" si="7"/>
        <v>35.149379699394345</v>
      </c>
      <c r="Y113" s="202">
        <f>(T113*(uPostT))/(1+oDR)^'Markov Model_SA2'!cycle</f>
        <v>20.707342445714158</v>
      </c>
      <c r="Z113" s="80"/>
      <c r="AA113" s="3"/>
      <c r="AB113" s="3"/>
      <c r="AC113" s="14">
        <v>101</v>
      </c>
      <c r="AD113" s="14"/>
      <c r="AE113" s="14"/>
      <c r="AF113" s="3"/>
      <c r="AG113" s="3"/>
      <c r="AH113" s="3"/>
      <c r="AI113" s="14"/>
      <c r="AJ113" s="14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</row>
    <row r="114" spans="1:60" ht="14.25" customHeight="1" x14ac:dyDescent="0.25">
      <c r="A114" s="637"/>
      <c r="B114" s="80"/>
      <c r="C114" s="173">
        <v>103</v>
      </c>
      <c r="D114" s="165"/>
      <c r="E114" s="612">
        <v>9.3655925876645618E-4</v>
      </c>
      <c r="F114" s="502"/>
      <c r="G114" s="219">
        <f t="shared" si="9"/>
        <v>37.134174169018166</v>
      </c>
      <c r="H114" s="481">
        <f>H113+(G113*E114*'life-tables-test'!$C$66)</f>
        <v>62.865825830981834</v>
      </c>
      <c r="I114" s="516">
        <f t="shared" si="0"/>
        <v>100</v>
      </c>
      <c r="J114" s="153">
        <f>(G114*0)/(1+cDR)^'Markov Model_SA2'!cycle</f>
        <v>0</v>
      </c>
      <c r="K114" s="178">
        <f t="shared" si="8"/>
        <v>37.134174169018166</v>
      </c>
      <c r="L114" s="202">
        <f>(G114*(uPostT))/(1+oDR)^'Markov Model_SA2'!cycle</f>
        <v>21.822077268990199</v>
      </c>
      <c r="M114" s="80"/>
      <c r="N114" s="3"/>
      <c r="O114" s="80"/>
      <c r="P114" s="173">
        <v>103</v>
      </c>
      <c r="Q114" s="165"/>
      <c r="R114" s="612">
        <v>9.3655925876645618E-4</v>
      </c>
      <c r="S114" s="502"/>
      <c r="T114" s="219">
        <f t="shared" si="6"/>
        <v>34.984782314407511</v>
      </c>
      <c r="U114" s="481">
        <f>U113+(T113*R114*'life-tables-test'!$C$66)</f>
        <v>65.015217685592489</v>
      </c>
      <c r="V114" s="516">
        <f t="shared" si="2"/>
        <v>100</v>
      </c>
      <c r="W114" s="153">
        <f>(T114*0)/(1+cDR)^'Markov Model_SA2'!cycle2</f>
        <v>0</v>
      </c>
      <c r="X114" s="178">
        <f t="shared" si="7"/>
        <v>34.984782314407511</v>
      </c>
      <c r="Y114" s="202">
        <f>(T114*(uPostT))/(1+oDR)^'Markov Model_SA2'!cycle</f>
        <v>20.558976737410717</v>
      </c>
      <c r="Z114" s="80"/>
      <c r="AA114" s="3"/>
      <c r="AB114" s="3"/>
      <c r="AC114" s="14">
        <v>102</v>
      </c>
      <c r="AD114" s="14"/>
      <c r="AE114" s="14"/>
      <c r="AF114" s="3"/>
      <c r="AG114" s="3"/>
      <c r="AH114" s="3"/>
      <c r="AI114" s="14"/>
      <c r="AJ114" s="14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</row>
    <row r="115" spans="1:60" ht="14.25" customHeight="1" x14ac:dyDescent="0.25">
      <c r="A115" s="637"/>
      <c r="B115" s="80"/>
      <c r="C115" s="173">
        <v>104</v>
      </c>
      <c r="D115" s="165"/>
      <c r="E115" s="612">
        <v>9.3655925876645618E-4</v>
      </c>
      <c r="F115" s="502"/>
      <c r="G115" s="219">
        <f t="shared" si="9"/>
        <v>36.960282395844963</v>
      </c>
      <c r="H115" s="481">
        <f>H114+(G114*E115*'life-tables-test'!$C$66)</f>
        <v>63.039717604155037</v>
      </c>
      <c r="I115" s="516">
        <f t="shared" si="0"/>
        <v>100</v>
      </c>
      <c r="J115" s="153">
        <f>(G115*0)/(1+cDR)^'Markov Model_SA2'!cycle</f>
        <v>0</v>
      </c>
      <c r="K115" s="178">
        <f t="shared" si="8"/>
        <v>36.960282395844963</v>
      </c>
      <c r="L115" s="202">
        <f>(G115*(uPostT))/(1+oDR)^'Markov Model_SA2'!cycle</f>
        <v>21.665724614894014</v>
      </c>
      <c r="M115" s="80"/>
      <c r="N115" s="3"/>
      <c r="O115" s="80"/>
      <c r="P115" s="173">
        <v>104</v>
      </c>
      <c r="Q115" s="165"/>
      <c r="R115" s="612">
        <v>9.3655925876645618E-4</v>
      </c>
      <c r="S115" s="502"/>
      <c r="T115" s="219">
        <f t="shared" si="6"/>
        <v>34.820955705445073</v>
      </c>
      <c r="U115" s="481">
        <f>U114+(T114*R115*'life-tables-test'!$C$66)</f>
        <v>65.179044294554927</v>
      </c>
      <c r="V115" s="516">
        <f t="shared" si="2"/>
        <v>100</v>
      </c>
      <c r="W115" s="153">
        <f>(T115*0)/(1+cDR)^'Markov Model_SA2'!cycle2</f>
        <v>0</v>
      </c>
      <c r="X115" s="178">
        <f t="shared" si="7"/>
        <v>34.820955705445073</v>
      </c>
      <c r="Y115" s="202">
        <f>(T115*(uPostT))/(1+oDR)^'Markov Model_SA2'!cycle</f>
        <v>20.411674052209264</v>
      </c>
      <c r="Z115" s="80"/>
      <c r="AA115" s="3"/>
      <c r="AB115" s="3"/>
      <c r="AC115" s="14">
        <v>103</v>
      </c>
      <c r="AD115" s="14"/>
      <c r="AE115" s="14"/>
      <c r="AF115" s="3"/>
      <c r="AG115" s="3"/>
      <c r="AH115" s="3"/>
      <c r="AI115" s="14"/>
      <c r="AJ115" s="14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</row>
    <row r="116" spans="1:60" ht="14.25" customHeight="1" x14ac:dyDescent="0.25">
      <c r="A116" s="637"/>
      <c r="B116" s="80"/>
      <c r="C116" s="173">
        <v>105</v>
      </c>
      <c r="D116" s="165"/>
      <c r="E116" s="612">
        <v>9.3655925876645618E-4</v>
      </c>
      <c r="F116" s="502"/>
      <c r="G116" s="219">
        <f t="shared" si="9"/>
        <v>36.787204922422703</v>
      </c>
      <c r="H116" s="481">
        <f>H115+(G115*E116*'life-tables-test'!$C$66)</f>
        <v>63.212795077577297</v>
      </c>
      <c r="I116" s="516">
        <f t="shared" si="0"/>
        <v>100</v>
      </c>
      <c r="J116" s="153">
        <f>(G116*0)/(1+cDR)^'Markov Model_SA2'!cycle</f>
        <v>0</v>
      </c>
      <c r="K116" s="178">
        <f t="shared" si="8"/>
        <v>36.787204922422703</v>
      </c>
      <c r="L116" s="202">
        <f>(G116*(uPostT))/(1+oDR)^'Markov Model_SA2'!cycle</f>
        <v>21.510492209440599</v>
      </c>
      <c r="M116" s="80"/>
      <c r="N116" s="3"/>
      <c r="O116" s="80"/>
      <c r="P116" s="173">
        <v>105</v>
      </c>
      <c r="Q116" s="165"/>
      <c r="R116" s="612">
        <v>9.3655925876645618E-4</v>
      </c>
      <c r="S116" s="502"/>
      <c r="T116" s="219">
        <f t="shared" si="6"/>
        <v>34.657896263119923</v>
      </c>
      <c r="U116" s="481">
        <f>U115+(T115*R116*'life-tables-test'!$C$66)</f>
        <v>65.342103736880077</v>
      </c>
      <c r="V116" s="516">
        <f t="shared" si="2"/>
        <v>100</v>
      </c>
      <c r="W116" s="153">
        <f>(T116*0)/(1+cDR)^'Markov Model_SA2'!cycle2</f>
        <v>0</v>
      </c>
      <c r="X116" s="178">
        <f t="shared" si="7"/>
        <v>34.657896263119923</v>
      </c>
      <c r="Y116" s="202">
        <f>(T116*(uPostT))/(1+oDR)^'Markov Model_SA2'!cycle</f>
        <v>20.265426773672491</v>
      </c>
      <c r="Z116" s="80"/>
      <c r="AA116" s="3"/>
      <c r="AB116" s="3"/>
      <c r="AC116" s="14">
        <v>104</v>
      </c>
      <c r="AD116" s="14"/>
      <c r="AE116" s="14"/>
      <c r="AF116" s="3"/>
      <c r="AG116" s="3"/>
      <c r="AH116" s="3"/>
      <c r="AI116" s="14"/>
      <c r="AJ116" s="14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</row>
    <row r="117" spans="1:60" ht="14.25" customHeight="1" x14ac:dyDescent="0.25">
      <c r="A117" s="637"/>
      <c r="B117" s="80"/>
      <c r="C117" s="173">
        <v>106</v>
      </c>
      <c r="D117" s="165"/>
      <c r="E117" s="612">
        <v>9.3655925876645618E-4</v>
      </c>
      <c r="F117" s="502"/>
      <c r="G117" s="219">
        <f t="shared" si="9"/>
        <v>36.614937935551531</v>
      </c>
      <c r="H117" s="481">
        <f>H116+(G116*E117*'life-tables-test'!$C$66)</f>
        <v>63.385062064448469</v>
      </c>
      <c r="I117" s="516">
        <f t="shared" si="0"/>
        <v>100</v>
      </c>
      <c r="J117" s="153">
        <f>(G117*0)/(1+cDR)^'Markov Model_SA2'!cycle</f>
        <v>0</v>
      </c>
      <c r="K117" s="178">
        <f t="shared" si="8"/>
        <v>36.614937935551531</v>
      </c>
      <c r="L117" s="202">
        <f>(G117*(uPostT))/(1+oDR)^'Markov Model_SA2'!cycle</f>
        <v>21.356372026178274</v>
      </c>
      <c r="M117" s="80"/>
      <c r="N117" s="3"/>
      <c r="O117" s="80"/>
      <c r="P117" s="173">
        <v>106</v>
      </c>
      <c r="Q117" s="165"/>
      <c r="R117" s="612">
        <v>9.3655925876645618E-4</v>
      </c>
      <c r="S117" s="502"/>
      <c r="T117" s="219">
        <f t="shared" si="6"/>
        <v>34.495600394946962</v>
      </c>
      <c r="U117" s="481">
        <f>U116+(T116*R117*'life-tables-test'!$C$66)</f>
        <v>65.504399605053038</v>
      </c>
      <c r="V117" s="516">
        <f t="shared" si="2"/>
        <v>100</v>
      </c>
      <c r="W117" s="153">
        <f>(T117*0)/(1+cDR)^'Markov Model_SA2'!cycle2</f>
        <v>0</v>
      </c>
      <c r="X117" s="178">
        <f t="shared" si="7"/>
        <v>34.495600394946962</v>
      </c>
      <c r="Y117" s="202">
        <f>(T117*(uPostT))/(1+oDR)^'Markov Model_SA2'!cycle</f>
        <v>20.120227339933976</v>
      </c>
      <c r="Z117" s="80"/>
      <c r="AA117" s="3"/>
      <c r="AB117" s="3"/>
      <c r="AC117" s="14">
        <v>105</v>
      </c>
      <c r="AD117" s="14"/>
      <c r="AE117" s="14"/>
      <c r="AF117" s="3"/>
      <c r="AG117" s="3"/>
      <c r="AH117" s="3"/>
      <c r="AI117" s="14"/>
      <c r="AJ117" s="14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</row>
    <row r="118" spans="1:60" ht="14.25" customHeight="1" x14ac:dyDescent="0.25">
      <c r="A118" s="637"/>
      <c r="B118" s="80"/>
      <c r="C118" s="173">
        <v>107</v>
      </c>
      <c r="D118" s="165"/>
      <c r="E118" s="612">
        <v>9.3655925876645618E-4</v>
      </c>
      <c r="F118" s="502"/>
      <c r="G118" s="219">
        <f t="shared" si="9"/>
        <v>36.44347763988803</v>
      </c>
      <c r="H118" s="481">
        <f>H117+(G117*E118*'life-tables-test'!$C$66)</f>
        <v>63.55652236011197</v>
      </c>
      <c r="I118" s="516">
        <f t="shared" si="0"/>
        <v>100</v>
      </c>
      <c r="J118" s="153">
        <f>(G118*0)/(1+cDR)^'Markov Model_SA2'!cycle</f>
        <v>0</v>
      </c>
      <c r="K118" s="178">
        <f t="shared" si="8"/>
        <v>36.44347763988803</v>
      </c>
      <c r="L118" s="202">
        <f>(G118*(uPostT))/(1+oDR)^'Markov Model_SA2'!cycle</f>
        <v>21.203356096163976</v>
      </c>
      <c r="M118" s="80"/>
      <c r="N118" s="3"/>
      <c r="O118" s="80"/>
      <c r="P118" s="173">
        <v>107</v>
      </c>
      <c r="Q118" s="165"/>
      <c r="R118" s="612">
        <v>9.3655925876645618E-4</v>
      </c>
      <c r="S118" s="502"/>
      <c r="T118" s="219">
        <f t="shared" si="6"/>
        <v>34.334064525263983</v>
      </c>
      <c r="U118" s="481">
        <f>U117+(T117*R118*'life-tables-test'!$C$66)</f>
        <v>65.665935474736017</v>
      </c>
      <c r="V118" s="516">
        <f t="shared" si="2"/>
        <v>100</v>
      </c>
      <c r="W118" s="153">
        <f>(T118*0)/(1+cDR)^'Markov Model_SA2'!cycle2</f>
        <v>0</v>
      </c>
      <c r="X118" s="178">
        <f t="shared" si="7"/>
        <v>34.334064525263983</v>
      </c>
      <c r="Y118" s="202">
        <f>(T118*(uPostT))/(1+oDR)^'Markov Model_SA2'!cycle</f>
        <v>19.9760682433072</v>
      </c>
      <c r="Z118" s="80"/>
      <c r="AA118" s="3"/>
      <c r="AB118" s="3"/>
      <c r="AC118" s="14">
        <v>106</v>
      </c>
      <c r="AD118" s="14"/>
      <c r="AE118" s="14"/>
      <c r="AF118" s="3"/>
      <c r="AG118" s="3"/>
      <c r="AH118" s="3"/>
      <c r="AI118" s="14"/>
      <c r="AJ118" s="14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</row>
    <row r="119" spans="1:60" ht="14.25" customHeight="1" x14ac:dyDescent="0.25">
      <c r="A119" s="606"/>
      <c r="B119" s="417"/>
      <c r="C119" s="173">
        <v>108</v>
      </c>
      <c r="D119" s="504"/>
      <c r="E119" s="612">
        <v>9.3655925876645618E-4</v>
      </c>
      <c r="F119" s="505"/>
      <c r="G119" s="219">
        <f t="shared" si="9"/>
        <v>36.272820257861603</v>
      </c>
      <c r="H119" s="481">
        <f>H118+(G118*E119*'life-tables-test'!$C$66)</f>
        <v>63.727179742138397</v>
      </c>
      <c r="I119" s="516">
        <f t="shared" si="0"/>
        <v>100</v>
      </c>
      <c r="J119" s="180">
        <f>(G119*0)/(1+cDR)^'Markov Model_SA2'!cycle</f>
        <v>0</v>
      </c>
      <c r="K119" s="176">
        <f t="shared" si="8"/>
        <v>36.272820257861603</v>
      </c>
      <c r="L119" s="202">
        <f>(G119*(uPostT))/(1+oDR)^'Markov Model_SA2'!cycle</f>
        <v>21.051436507551177</v>
      </c>
      <c r="M119" s="80"/>
      <c r="N119" s="3"/>
      <c r="O119" s="417"/>
      <c r="P119" s="173">
        <v>108</v>
      </c>
      <c r="Q119" s="504"/>
      <c r="R119" s="612">
        <v>9.3655925876645618E-4</v>
      </c>
      <c r="S119" s="505"/>
      <c r="T119" s="219">
        <f t="shared" si="6"/>
        <v>34.173285095152877</v>
      </c>
      <c r="U119" s="481">
        <f>U118+(T118*R119*'life-tables-test'!$C$66)</f>
        <v>65.826714904847123</v>
      </c>
      <c r="V119" s="516">
        <f t="shared" si="2"/>
        <v>100</v>
      </c>
      <c r="W119" s="180">
        <f>(T119*0)/(1+cDR)^'Markov Model_SA2'!cycle2</f>
        <v>0</v>
      </c>
      <c r="X119" s="176">
        <f t="shared" si="7"/>
        <v>34.173285095152877</v>
      </c>
      <c r="Y119" s="202">
        <f>(T119*(uPostT))/(1+oDR)^'Markov Model_SA2'!cycle</f>
        <v>19.83294202989736</v>
      </c>
      <c r="Z119" s="80"/>
      <c r="AA119" s="3"/>
      <c r="AB119" s="3"/>
      <c r="AC119" s="14">
        <v>107</v>
      </c>
      <c r="AD119" s="14"/>
      <c r="AE119" s="14"/>
      <c r="AF119" s="3"/>
      <c r="AG119" s="3"/>
      <c r="AH119" s="3"/>
      <c r="AI119" s="14"/>
      <c r="AJ119" s="14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</row>
    <row r="120" spans="1:60" ht="14.25" customHeight="1" x14ac:dyDescent="0.25">
      <c r="A120" s="637" t="s">
        <v>551</v>
      </c>
      <c r="B120" s="417"/>
      <c r="C120" s="506">
        <v>109</v>
      </c>
      <c r="D120" s="506"/>
      <c r="E120" s="507">
        <v>9.9897044497332388E-4</v>
      </c>
      <c r="F120" s="508"/>
      <c r="G120" s="509">
        <f t="shared" si="9"/>
        <v>36.091642880894433</v>
      </c>
      <c r="H120" s="510">
        <f>H119+(G119*E120*'life-tables-test'!$C$66)</f>
        <v>63.908357119105567</v>
      </c>
      <c r="I120" s="518">
        <f t="shared" si="0"/>
        <v>100</v>
      </c>
      <c r="J120" s="511">
        <f>(G120*0)/(1+cDR)^'Markov Model_SA2'!cycle</f>
        <v>0</v>
      </c>
      <c r="K120" s="512">
        <f t="shared" si="8"/>
        <v>36.091642880894433</v>
      </c>
      <c r="L120" s="513">
        <f>(G120*(uPostT))/(1+oDR)^'Markov Model_SA2'!cycle</f>
        <v>20.894052561670613</v>
      </c>
      <c r="M120" s="80"/>
      <c r="N120" s="3"/>
      <c r="O120" s="80"/>
      <c r="P120" s="506">
        <v>109</v>
      </c>
      <c r="Q120" s="506"/>
      <c r="R120" s="507">
        <v>9.9897044497332388E-4</v>
      </c>
      <c r="S120" s="508"/>
      <c r="T120" s="509">
        <f t="shared" si="6"/>
        <v>34.002594586064347</v>
      </c>
      <c r="U120" s="510">
        <f>U119+(T119*R120*'life-tables-test'!$C$66)</f>
        <v>65.997405413935653</v>
      </c>
      <c r="V120" s="518">
        <f t="shared" ref="V120:V183" si="10">SUM(T120:U120)</f>
        <v>100</v>
      </c>
      <c r="W120" s="511">
        <f>(T120*0)/(1+cDR)^'Markov Model_SA2'!cycle2</f>
        <v>0</v>
      </c>
      <c r="X120" s="512">
        <f t="shared" ref="X120:X183" si="11">T120</f>
        <v>34.002594586064347</v>
      </c>
      <c r="Y120" s="513">
        <f>(T120*(uPostT))/(1+oDR)^'Markov Model_SA2'!cycle</f>
        <v>19.684667745908897</v>
      </c>
      <c r="Z120" s="80"/>
      <c r="AA120" s="3"/>
      <c r="AB120" s="3"/>
      <c r="AC120" s="14">
        <v>108</v>
      </c>
      <c r="AD120" s="14"/>
      <c r="AE120" s="14"/>
      <c r="AF120" s="3"/>
      <c r="AG120" s="3"/>
      <c r="AH120" s="3"/>
      <c r="AI120" s="14"/>
      <c r="AJ120" s="14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</row>
    <row r="121" spans="1:60" ht="14.25" customHeight="1" x14ac:dyDescent="0.2">
      <c r="A121" s="637"/>
      <c r="B121" s="417"/>
      <c r="C121" s="173">
        <v>110</v>
      </c>
      <c r="D121" s="165"/>
      <c r="E121" s="174">
        <v>1.0653873256510904E-3</v>
      </c>
      <c r="F121" s="502"/>
      <c r="G121" s="219">
        <f t="shared" si="9"/>
        <v>35.899384986458287</v>
      </c>
      <c r="H121" s="249">
        <f>H120+(G120*E121*'life-tables-test'!$C$66)</f>
        <v>64.100615013541713</v>
      </c>
      <c r="I121" s="516">
        <f t="shared" ref="I121:I184" si="12">SUM(G121:H121)</f>
        <v>100</v>
      </c>
      <c r="J121" s="153">
        <f>(G121*0)/(1+cDR)^'Markov Model_SA2'!cycle</f>
        <v>0</v>
      </c>
      <c r="K121" s="178">
        <f t="shared" si="8"/>
        <v>35.899384986458287</v>
      </c>
      <c r="L121" s="202">
        <f>(G121*(uPostT))/(1+oDR)^'Markov Model_SA2'!cycle</f>
        <v>20.730923957872488</v>
      </c>
      <c r="M121" s="80"/>
      <c r="N121" s="3"/>
      <c r="O121" s="80"/>
      <c r="P121" s="173">
        <v>110</v>
      </c>
      <c r="Q121" s="165"/>
      <c r="R121" s="174">
        <v>1.0653873256510904E-3</v>
      </c>
      <c r="S121" s="502"/>
      <c r="T121" s="219">
        <f t="shared" ref="T121:T184" si="13">$T$10-U121</f>
        <v>33.821464919508117</v>
      </c>
      <c r="U121" s="249">
        <f>U120+(T120*R121*'life-tables-test'!$C$66)</f>
        <v>66.178535080491883</v>
      </c>
      <c r="V121" s="516">
        <f t="shared" si="10"/>
        <v>100</v>
      </c>
      <c r="W121" s="153">
        <f>(T121*0)/(1+cDR)^'Markov Model_SA2'!cycle2</f>
        <v>0</v>
      </c>
      <c r="X121" s="178">
        <f t="shared" si="11"/>
        <v>33.821464919508117</v>
      </c>
      <c r="Y121" s="202">
        <f>(T121*(uPostT))/(1+oDR)^'Markov Model_SA2'!cycle</f>
        <v>19.530981314990704</v>
      </c>
      <c r="Z121" s="80"/>
      <c r="AA121" s="3"/>
      <c r="AB121" s="3"/>
      <c r="AC121" s="14">
        <v>109</v>
      </c>
      <c r="AD121" s="14"/>
      <c r="AE121" s="14"/>
      <c r="AF121" s="3"/>
      <c r="AG121" s="3"/>
      <c r="AH121" s="3"/>
      <c r="AI121" s="14"/>
      <c r="AJ121" s="14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</row>
    <row r="122" spans="1:60" ht="14.25" customHeight="1" x14ac:dyDescent="0.2">
      <c r="A122" s="637"/>
      <c r="B122" s="417"/>
      <c r="C122" s="173">
        <v>112</v>
      </c>
      <c r="D122" s="165"/>
      <c r="E122" s="174">
        <v>1.0653873256510904E-3</v>
      </c>
      <c r="F122" s="502"/>
      <c r="G122" s="219">
        <f t="shared" si="9"/>
        <v>35.708151237642085</v>
      </c>
      <c r="H122" s="249">
        <f>H121+(G121*E122*'life-tables-test'!$C$66)</f>
        <v>64.291848762357915</v>
      </c>
      <c r="I122" s="516">
        <f t="shared" si="12"/>
        <v>100</v>
      </c>
      <c r="J122" s="153">
        <f>(G122*0)/(1+cDR)^'Markov Model_SA2'!cycle</f>
        <v>0</v>
      </c>
      <c r="K122" s="178">
        <f t="shared" si="8"/>
        <v>35.708151237642085</v>
      </c>
      <c r="L122" s="202">
        <f>(G122*(uPostT))/(1+oDR)^'Markov Model_SA2'!cycle</f>
        <v>20.517774530958107</v>
      </c>
      <c r="M122" s="80"/>
      <c r="N122" s="3"/>
      <c r="O122" s="80"/>
      <c r="P122" s="173">
        <v>112</v>
      </c>
      <c r="Q122" s="165"/>
      <c r="R122" s="174">
        <v>1.0653873256510904E-3</v>
      </c>
      <c r="S122" s="502"/>
      <c r="T122" s="219">
        <f t="shared" si="13"/>
        <v>33.641300119207131</v>
      </c>
      <c r="U122" s="249">
        <f>U121+(T121*R122*'life-tables-test'!$C$66)</f>
        <v>66.358699880792869</v>
      </c>
      <c r="V122" s="516">
        <f t="shared" si="10"/>
        <v>100</v>
      </c>
      <c r="W122" s="153">
        <f>(T122*0)/(1+cDR)^'Markov Model_SA2'!cycle2</f>
        <v>0</v>
      </c>
      <c r="X122" s="178">
        <f t="shared" si="11"/>
        <v>33.641300119207131</v>
      </c>
      <c r="Y122" s="202">
        <f>(T122*(uPostT))/(1+oDR)^'Markov Model_SA2'!cycle</f>
        <v>19.330169354905109</v>
      </c>
      <c r="Z122" s="80"/>
      <c r="AA122" s="252"/>
      <c r="AB122" s="252"/>
      <c r="AC122" s="14">
        <v>110</v>
      </c>
      <c r="AD122" s="254"/>
      <c r="AE122" s="254"/>
      <c r="AF122" s="252"/>
      <c r="AG122" s="252"/>
      <c r="AH122" s="252"/>
      <c r="AI122" s="254"/>
      <c r="AJ122" s="254"/>
      <c r="AK122" s="252"/>
      <c r="AL122" s="252"/>
      <c r="AM122" s="252"/>
      <c r="AN122" s="252"/>
      <c r="AO122" s="252"/>
      <c r="AP122" s="252"/>
      <c r="AQ122" s="252"/>
      <c r="AR122" s="252"/>
      <c r="AS122" s="252"/>
      <c r="AT122" s="3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</row>
    <row r="123" spans="1:60" ht="14.25" customHeight="1" x14ac:dyDescent="0.2">
      <c r="A123" s="637"/>
      <c r="B123" s="417"/>
      <c r="C123" s="173">
        <v>113</v>
      </c>
      <c r="D123" s="165"/>
      <c r="E123" s="174">
        <v>1.0653873256510904E-3</v>
      </c>
      <c r="F123" s="502"/>
      <c r="G123" s="219">
        <f t="shared" si="9"/>
        <v>35.517936178886998</v>
      </c>
      <c r="H123" s="249">
        <f>H122+(G122*E123*'life-tables-test'!$C$66)</f>
        <v>64.482063821113002</v>
      </c>
      <c r="I123" s="516">
        <f t="shared" si="12"/>
        <v>100</v>
      </c>
      <c r="J123" s="153">
        <f>(G123*0)/(1+cDR)^'Markov Model_SA2'!cycle</f>
        <v>0</v>
      </c>
      <c r="K123" s="178">
        <f t="shared" si="8"/>
        <v>35.517936178886998</v>
      </c>
      <c r="L123" s="202">
        <f>(G123*(uPostT))/(1+oDR)^'Markov Model_SA2'!cycle</f>
        <v>20.357583687061208</v>
      </c>
      <c r="M123" s="80"/>
      <c r="N123" s="3"/>
      <c r="O123" s="80"/>
      <c r="P123" s="173">
        <v>113</v>
      </c>
      <c r="Q123" s="165"/>
      <c r="R123" s="174">
        <v>1.0653873256510904E-3</v>
      </c>
      <c r="S123" s="502"/>
      <c r="T123" s="219">
        <f t="shared" si="13"/>
        <v>33.462095045379996</v>
      </c>
      <c r="U123" s="249">
        <f>U122+(T122*R123*'life-tables-test'!$C$66)</f>
        <v>66.537904954620004</v>
      </c>
      <c r="V123" s="516">
        <f t="shared" si="10"/>
        <v>100</v>
      </c>
      <c r="W123" s="153">
        <f>(T123*0)/(1+cDR)^'Markov Model_SA2'!cycle2</f>
        <v>0</v>
      </c>
      <c r="X123" s="178">
        <f t="shared" si="11"/>
        <v>33.462095045379996</v>
      </c>
      <c r="Y123" s="202">
        <f>(T123*(uPostT))/(1+oDR)^'Markov Model_SA2'!cycle</f>
        <v>19.179250641135255</v>
      </c>
      <c r="Z123" s="80"/>
      <c r="AA123" s="3"/>
      <c r="AB123" s="3"/>
      <c r="AC123" s="14">
        <v>111</v>
      </c>
      <c r="AD123" s="14"/>
      <c r="AE123" s="14"/>
      <c r="AF123" s="3"/>
      <c r="AG123" s="3"/>
      <c r="AH123" s="3"/>
      <c r="AI123" s="14"/>
      <c r="AJ123" s="14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</row>
    <row r="124" spans="1:60" ht="14.25" customHeight="1" x14ac:dyDescent="0.2">
      <c r="A124" s="637"/>
      <c r="B124" s="417"/>
      <c r="C124" s="173">
        <v>114</v>
      </c>
      <c r="D124" s="165"/>
      <c r="E124" s="174">
        <v>1.0653873256510904E-3</v>
      </c>
      <c r="F124" s="502"/>
      <c r="G124" s="219">
        <f t="shared" si="9"/>
        <v>35.328734383695647</v>
      </c>
      <c r="H124" s="249">
        <f>H123+(G123*E124*'life-tables-test'!$C$66)</f>
        <v>64.671265616304353</v>
      </c>
      <c r="I124" s="516">
        <f t="shared" si="12"/>
        <v>100</v>
      </c>
      <c r="J124" s="153">
        <f>(G124*0)/(1+cDR)^'Markov Model_SA2'!cycle</f>
        <v>0</v>
      </c>
      <c r="K124" s="178">
        <f t="shared" si="8"/>
        <v>35.328734383695647</v>
      </c>
      <c r="L124" s="202">
        <f>(G124*(uPostT))/(1+oDR)^'Markov Model_SA2'!cycle</f>
        <v>20.198643520055683</v>
      </c>
      <c r="M124" s="80"/>
      <c r="N124" s="3"/>
      <c r="O124" s="80"/>
      <c r="P124" s="173">
        <v>114</v>
      </c>
      <c r="Q124" s="165"/>
      <c r="R124" s="174">
        <v>1.0653873256510904E-3</v>
      </c>
      <c r="S124" s="502"/>
      <c r="T124" s="219">
        <f t="shared" si="13"/>
        <v>33.283844585624593</v>
      </c>
      <c r="U124" s="249">
        <f>U123+(T123*R124*'life-tables-test'!$C$66)</f>
        <v>66.716155414375407</v>
      </c>
      <c r="V124" s="516">
        <f t="shared" si="10"/>
        <v>100</v>
      </c>
      <c r="W124" s="153">
        <f>(T124*0)/(1+cDR)^'Markov Model_SA2'!cycle2</f>
        <v>0</v>
      </c>
      <c r="X124" s="178">
        <f t="shared" si="11"/>
        <v>33.283844585624593</v>
      </c>
      <c r="Y124" s="202">
        <f>(T124*(uPostT))/(1+oDR)^'Markov Model_SA2'!cycle</f>
        <v>19.029510212860341</v>
      </c>
      <c r="Z124" s="80"/>
      <c r="AA124" s="252"/>
      <c r="AB124" s="252"/>
      <c r="AC124" s="14">
        <v>112</v>
      </c>
      <c r="AD124" s="254"/>
      <c r="AE124" s="254"/>
      <c r="AF124" s="252"/>
      <c r="AG124" s="252"/>
      <c r="AH124" s="252"/>
      <c r="AI124" s="254"/>
      <c r="AJ124" s="254"/>
      <c r="AK124" s="252"/>
      <c r="AL124" s="252"/>
      <c r="AM124" s="252"/>
      <c r="AN124" s="252"/>
      <c r="AO124" s="252"/>
      <c r="AP124" s="252"/>
      <c r="AQ124" s="252"/>
      <c r="AR124" s="252"/>
      <c r="AS124" s="252"/>
      <c r="AT124" s="3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</row>
    <row r="125" spans="1:60" ht="16.5" customHeight="1" x14ac:dyDescent="0.2">
      <c r="A125" s="637"/>
      <c r="B125" s="417"/>
      <c r="C125" s="173">
        <v>115</v>
      </c>
      <c r="D125" s="165"/>
      <c r="E125" s="174">
        <v>1.0653873256510904E-3</v>
      </c>
      <c r="F125" s="502"/>
      <c r="G125" s="219">
        <f t="shared" si="9"/>
        <v>35.140540454477232</v>
      </c>
      <c r="H125" s="249">
        <f>H124+(G124*E125*'life-tables-test'!$C$66)</f>
        <v>64.859459545522768</v>
      </c>
      <c r="I125" s="516">
        <f t="shared" si="12"/>
        <v>100</v>
      </c>
      <c r="J125" s="153">
        <f>(G125*0)/(1+cDR)^'Markov Model_SA2'!cycle</f>
        <v>0</v>
      </c>
      <c r="K125" s="178">
        <f t="shared" si="8"/>
        <v>35.140540454477232</v>
      </c>
      <c r="L125" s="202">
        <f>(G125*(uPostT))/(1+oDR)^'Markov Model_SA2'!cycle</f>
        <v>20.040944265384173</v>
      </c>
      <c r="M125" s="80"/>
      <c r="N125" s="3"/>
      <c r="O125" s="80"/>
      <c r="P125" s="173">
        <v>115</v>
      </c>
      <c r="Q125" s="165"/>
      <c r="R125" s="174">
        <v>1.0653873256510904E-3</v>
      </c>
      <c r="S125" s="502"/>
      <c r="T125" s="219">
        <f t="shared" si="13"/>
        <v>33.106543654772267</v>
      </c>
      <c r="U125" s="249">
        <f>U124+(T124*R125*'life-tables-test'!$C$66)</f>
        <v>66.893456345227733</v>
      </c>
      <c r="V125" s="516">
        <f t="shared" si="10"/>
        <v>100</v>
      </c>
      <c r="W125" s="153">
        <f>(T125*0)/(1+cDR)^'Markov Model_SA2'!cycle2</f>
        <v>0</v>
      </c>
      <c r="X125" s="178">
        <f t="shared" si="11"/>
        <v>33.106543654772267</v>
      </c>
      <c r="Y125" s="202">
        <f>(T125*(uPostT))/(1+oDR)^'Markov Model_SA2'!cycle</f>
        <v>18.880938870712917</v>
      </c>
      <c r="Z125" s="80"/>
      <c r="AA125" s="3"/>
      <c r="AB125" s="3"/>
      <c r="AC125" s="14">
        <v>113</v>
      </c>
      <c r="AD125" s="14"/>
      <c r="AE125" s="14"/>
      <c r="AF125" s="3"/>
      <c r="AG125" s="3"/>
      <c r="AH125" s="3"/>
      <c r="AI125" s="14"/>
      <c r="AJ125" s="14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</row>
    <row r="126" spans="1:60" ht="14.25" customHeight="1" x14ac:dyDescent="0.2">
      <c r="A126" s="637"/>
      <c r="B126" s="417"/>
      <c r="C126" s="173">
        <v>116</v>
      </c>
      <c r="D126" s="165"/>
      <c r="E126" s="174">
        <v>1.0653873256510904E-3</v>
      </c>
      <c r="F126" s="502"/>
      <c r="G126" s="219">
        <f t="shared" si="9"/>
        <v>34.953349022393581</v>
      </c>
      <c r="H126" s="249">
        <f>H125+(G125*E126*'life-tables-test'!$C$66)</f>
        <v>65.046650977606419</v>
      </c>
      <c r="I126" s="516">
        <f t="shared" si="12"/>
        <v>100</v>
      </c>
      <c r="J126" s="153">
        <f>(G126*0)/(1+cDR)^'Markov Model_SA2'!cycle</f>
        <v>0</v>
      </c>
      <c r="K126" s="178">
        <f t="shared" si="8"/>
        <v>34.953349022393581</v>
      </c>
      <c r="L126" s="202">
        <f>(G126*(uPostT))/(1+oDR)^'Markov Model_SA2'!cycle</f>
        <v>19.884476234725255</v>
      </c>
      <c r="M126" s="80"/>
      <c r="N126" s="3"/>
      <c r="O126" s="80"/>
      <c r="P126" s="173">
        <v>116</v>
      </c>
      <c r="Q126" s="165"/>
      <c r="R126" s="174">
        <v>1.0653873256510904E-3</v>
      </c>
      <c r="S126" s="502"/>
      <c r="T126" s="219">
        <f t="shared" si="13"/>
        <v>32.930187194742729</v>
      </c>
      <c r="U126" s="249">
        <f>U125+(T125*R126*'life-tables-test'!$C$66)</f>
        <v>67.069812805257271</v>
      </c>
      <c r="V126" s="516">
        <f t="shared" si="10"/>
        <v>100</v>
      </c>
      <c r="W126" s="153">
        <f>(T126*0)/(1+cDR)^'Markov Model_SA2'!cycle2</f>
        <v>0</v>
      </c>
      <c r="X126" s="178">
        <f t="shared" si="11"/>
        <v>32.930187194742729</v>
      </c>
      <c r="Y126" s="202">
        <f>(T126*(uPostT))/(1+oDR)^'Markov Model_SA2'!cycle</f>
        <v>18.733527487148798</v>
      </c>
      <c r="Z126" s="80"/>
      <c r="AA126" s="3"/>
      <c r="AB126" s="3"/>
      <c r="AC126" s="14">
        <v>114</v>
      </c>
      <c r="AD126" s="14"/>
      <c r="AE126" s="14"/>
      <c r="AF126" s="3"/>
      <c r="AG126" s="3"/>
      <c r="AH126" s="3"/>
      <c r="AI126" s="14"/>
      <c r="AJ126" s="14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</row>
    <row r="127" spans="1:60" ht="14.25" customHeight="1" x14ac:dyDescent="0.2">
      <c r="A127" s="637"/>
      <c r="B127" s="417"/>
      <c r="C127" s="173">
        <v>117</v>
      </c>
      <c r="D127" s="165"/>
      <c r="E127" s="174">
        <v>1.0653873256510904E-3</v>
      </c>
      <c r="F127" s="502"/>
      <c r="G127" s="219">
        <f t="shared" si="9"/>
        <v>34.767154747205993</v>
      </c>
      <c r="H127" s="249">
        <f>H126+(G126*E127*'life-tables-test'!$C$66)</f>
        <v>65.232845252794007</v>
      </c>
      <c r="I127" s="516">
        <f t="shared" si="12"/>
        <v>100</v>
      </c>
      <c r="J127" s="153">
        <f>(G127*0)/(1+cDR)^'Markov Model_SA2'!cycle</f>
        <v>0</v>
      </c>
      <c r="K127" s="178">
        <f t="shared" si="8"/>
        <v>34.767154747205993</v>
      </c>
      <c r="L127" s="202">
        <f>(G127*(uPostT))/(1+oDR)^'Markov Model_SA2'!cycle</f>
        <v>19.729229815398323</v>
      </c>
      <c r="M127" s="80"/>
      <c r="N127" s="3"/>
      <c r="O127" s="80"/>
      <c r="P127" s="173">
        <v>117</v>
      </c>
      <c r="Q127" s="165"/>
      <c r="R127" s="174">
        <v>1.0653873256510904E-3</v>
      </c>
      <c r="S127" s="502"/>
      <c r="T127" s="219">
        <f t="shared" si="13"/>
        <v>32.754770174399738</v>
      </c>
      <c r="U127" s="249">
        <f>U126+(T126*R127*'life-tables-test'!$C$66)</f>
        <v>67.245229825600262</v>
      </c>
      <c r="V127" s="516">
        <f t="shared" si="10"/>
        <v>100</v>
      </c>
      <c r="W127" s="153">
        <f>(T127*0)/(1+cDR)^'Markov Model_SA2'!cycle2</f>
        <v>0</v>
      </c>
      <c r="X127" s="178">
        <f t="shared" si="11"/>
        <v>32.754770174399738</v>
      </c>
      <c r="Y127" s="202">
        <f>(T127*(uPostT))/(1+oDR)^'Markov Model_SA2'!cycle</f>
        <v>18.587267005886353</v>
      </c>
      <c r="Z127" s="80"/>
      <c r="AA127" s="3"/>
      <c r="AB127" s="3"/>
      <c r="AC127" s="14">
        <v>115</v>
      </c>
      <c r="AD127" s="14"/>
      <c r="AE127" s="14"/>
      <c r="AF127" s="3"/>
      <c r="AG127" s="3"/>
      <c r="AH127" s="3"/>
      <c r="AI127" s="14"/>
      <c r="AJ127" s="14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</row>
    <row r="128" spans="1:60" ht="14.25" customHeight="1" x14ac:dyDescent="0.2">
      <c r="A128" s="637"/>
      <c r="B128" s="417"/>
      <c r="C128" s="173">
        <v>118</v>
      </c>
      <c r="D128" s="165"/>
      <c r="E128" s="174">
        <v>1.0653873256510904E-3</v>
      </c>
      <c r="F128" s="502"/>
      <c r="G128" s="219">
        <f t="shared" si="9"/>
        <v>34.58195231712287</v>
      </c>
      <c r="H128" s="249">
        <f>H127+(G127*E128*'life-tables-test'!$C$66)</f>
        <v>65.41804768287713</v>
      </c>
      <c r="I128" s="516">
        <f t="shared" si="12"/>
        <v>100</v>
      </c>
      <c r="J128" s="153">
        <f>(G128*0)/(1+cDR)^'Markov Model_SA2'!cycle</f>
        <v>0</v>
      </c>
      <c r="K128" s="178">
        <f t="shared" si="8"/>
        <v>34.58195231712287</v>
      </c>
      <c r="L128" s="202">
        <f>(G128*(uPostT))/(1+oDR)^'Markov Model_SA2'!cycle</f>
        <v>19.575195469772979</v>
      </c>
      <c r="M128" s="80"/>
      <c r="N128" s="3"/>
      <c r="O128" s="80"/>
      <c r="P128" s="173">
        <v>118</v>
      </c>
      <c r="Q128" s="165"/>
      <c r="R128" s="174">
        <v>1.0653873256510904E-3</v>
      </c>
      <c r="S128" s="502"/>
      <c r="T128" s="219">
        <f t="shared" si="13"/>
        <v>32.580287589407632</v>
      </c>
      <c r="U128" s="249">
        <f>U127+(T127*R128*'life-tables-test'!$C$66)</f>
        <v>67.419712410592368</v>
      </c>
      <c r="V128" s="516">
        <f t="shared" si="10"/>
        <v>100</v>
      </c>
      <c r="W128" s="153">
        <f>(T128*0)/(1+cDR)^'Markov Model_SA2'!cycle2</f>
        <v>0</v>
      </c>
      <c r="X128" s="178">
        <f t="shared" si="11"/>
        <v>32.580287589407632</v>
      </c>
      <c r="Y128" s="202">
        <f>(T128*(uPostT))/(1+oDR)^'Markov Model_SA2'!cycle</f>
        <v>18.44214844135016</v>
      </c>
      <c r="Z128" s="80"/>
      <c r="AA128" s="3"/>
      <c r="AB128" s="3"/>
      <c r="AC128" s="14">
        <v>116</v>
      </c>
      <c r="AD128" s="14"/>
      <c r="AE128" s="14"/>
      <c r="AF128" s="3"/>
      <c r="AG128" s="3"/>
      <c r="AH128" s="3"/>
      <c r="AI128" s="14"/>
      <c r="AJ128" s="14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</row>
    <row r="129" spans="1:60" ht="14.25" customHeight="1" x14ac:dyDescent="0.2">
      <c r="A129" s="637"/>
      <c r="B129" s="417"/>
      <c r="C129" s="173">
        <v>119</v>
      </c>
      <c r="D129" s="165"/>
      <c r="E129" s="174">
        <v>1.0653873256510904E-3</v>
      </c>
      <c r="F129" s="502"/>
      <c r="G129" s="219">
        <f t="shared" si="9"/>
        <v>34.397736448648203</v>
      </c>
      <c r="H129" s="249">
        <f>H128+(G128*E129*'life-tables-test'!$C$66)</f>
        <v>65.602263551351797</v>
      </c>
      <c r="I129" s="516">
        <f t="shared" si="12"/>
        <v>100</v>
      </c>
      <c r="J129" s="153">
        <f>(G129*0)/(1+cDR)^'Markov Model_SA2'!cycle</f>
        <v>0</v>
      </c>
      <c r="K129" s="178">
        <f t="shared" si="8"/>
        <v>34.397736448648203</v>
      </c>
      <c r="L129" s="202">
        <f>(G129*(uPostT))/(1+oDR)^'Markov Model_SA2'!cycle</f>
        <v>19.422363734683074</v>
      </c>
      <c r="M129" s="80"/>
      <c r="N129" s="3"/>
      <c r="O129" s="80"/>
      <c r="P129" s="173">
        <v>119</v>
      </c>
      <c r="Q129" s="165"/>
      <c r="R129" s="174">
        <v>1.0653873256510904E-3</v>
      </c>
      <c r="S129" s="502"/>
      <c r="T129" s="219">
        <f t="shared" si="13"/>
        <v>32.406734462088522</v>
      </c>
      <c r="U129" s="249">
        <f>U128+(T128*R129*'life-tables-test'!$C$66)</f>
        <v>67.593265537911478</v>
      </c>
      <c r="V129" s="516">
        <f t="shared" si="10"/>
        <v>100</v>
      </c>
      <c r="W129" s="153">
        <f>(T129*0)/(1+cDR)^'Markov Model_SA2'!cycle2</f>
        <v>0</v>
      </c>
      <c r="X129" s="178">
        <f t="shared" si="11"/>
        <v>32.406734462088522</v>
      </c>
      <c r="Y129" s="202">
        <f>(T129*(uPostT))/(1+oDR)^'Markov Model_SA2'!cycle</f>
        <v>18.298162878118912</v>
      </c>
      <c r="Z129" s="80"/>
      <c r="AA129" s="3"/>
      <c r="AB129" s="3"/>
      <c r="AC129" s="14">
        <v>117</v>
      </c>
      <c r="AD129" s="14"/>
      <c r="AE129" s="14"/>
      <c r="AF129" s="3"/>
      <c r="AG129" s="3"/>
      <c r="AH129" s="3"/>
      <c r="AI129" s="14"/>
      <c r="AJ129" s="14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</row>
    <row r="130" spans="1:60" ht="14.25" customHeight="1" x14ac:dyDescent="0.2">
      <c r="A130" s="637"/>
      <c r="B130" s="417"/>
      <c r="C130" s="173">
        <v>120</v>
      </c>
      <c r="D130" s="165"/>
      <c r="E130" s="174">
        <v>1.0653873256510904E-3</v>
      </c>
      <c r="F130" s="502"/>
      <c r="G130" s="219">
        <f t="shared" si="9"/>
        <v>34.214501886430824</v>
      </c>
      <c r="H130" s="249">
        <f>H129+(G129*E130*'life-tables-test'!$C$66)</f>
        <v>65.785498113569176</v>
      </c>
      <c r="I130" s="516">
        <f t="shared" si="12"/>
        <v>100</v>
      </c>
      <c r="J130" s="153">
        <f>(G130*0)/(1+cDR)^'Markov Model_SA2'!cycle</f>
        <v>0</v>
      </c>
      <c r="K130" s="178">
        <f t="shared" si="8"/>
        <v>34.214501886430824</v>
      </c>
      <c r="L130" s="202">
        <f>(G130*(uPostT))/(1+oDR)^'Markov Model_SA2'!cycle</f>
        <v>19.270725220845382</v>
      </c>
      <c r="M130" s="80"/>
      <c r="N130" s="3"/>
      <c r="O130" s="80"/>
      <c r="P130" s="173">
        <v>120</v>
      </c>
      <c r="Q130" s="165"/>
      <c r="R130" s="174">
        <v>1.0653873256510904E-3</v>
      </c>
      <c r="S130" s="502"/>
      <c r="T130" s="219">
        <f t="shared" si="13"/>
        <v>32.234105841280268</v>
      </c>
      <c r="U130" s="249">
        <f>U129+(T129*R130*'life-tables-test'!$C$66)</f>
        <v>67.765894158719732</v>
      </c>
      <c r="V130" s="516">
        <f t="shared" si="10"/>
        <v>100</v>
      </c>
      <c r="W130" s="153">
        <f>(T130*0)/(1+cDR)^'Markov Model_SA2'!cycle2</f>
        <v>0</v>
      </c>
      <c r="X130" s="178">
        <f t="shared" si="11"/>
        <v>32.234105841280268</v>
      </c>
      <c r="Y130" s="202">
        <f>(T130*(uPostT))/(1+oDR)^'Markov Model_SA2'!cycle</f>
        <v>18.155301470377729</v>
      </c>
      <c r="Z130" s="80"/>
      <c r="AA130" s="3"/>
      <c r="AB130" s="3"/>
      <c r="AC130" s="14">
        <v>118</v>
      </c>
      <c r="AD130" s="14"/>
      <c r="AE130" s="14"/>
      <c r="AF130" s="3"/>
      <c r="AG130" s="3"/>
      <c r="AH130" s="3"/>
      <c r="AI130" s="14"/>
      <c r="AJ130" s="14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</row>
    <row r="131" spans="1:60" ht="14.25" customHeight="1" x14ac:dyDescent="0.2">
      <c r="A131" s="606"/>
      <c r="B131" s="417"/>
      <c r="C131" s="173">
        <v>121</v>
      </c>
      <c r="D131" s="504"/>
      <c r="E131" s="174">
        <v>1.0653873256510904E-3</v>
      </c>
      <c r="F131" s="505"/>
      <c r="G131" s="219">
        <f t="shared" si="9"/>
        <v>34.032243403114478</v>
      </c>
      <c r="H131" s="249">
        <f>H130+(G130*E131*'life-tables-test'!$C$66)</f>
        <v>65.967756596885522</v>
      </c>
      <c r="I131" s="516">
        <f t="shared" si="12"/>
        <v>100</v>
      </c>
      <c r="J131" s="180">
        <f>(G131*0)/(1+cDR)^'Markov Model_SA2'!cycle</f>
        <v>0</v>
      </c>
      <c r="K131" s="176">
        <f t="shared" si="8"/>
        <v>34.032243403114478</v>
      </c>
      <c r="L131" s="202">
        <f>(G131*(uPostT))/(1+oDR)^'Markov Model_SA2'!cycle</f>
        <v>19.120270612282702</v>
      </c>
      <c r="M131" s="80"/>
      <c r="N131" s="3"/>
      <c r="O131" s="80"/>
      <c r="P131" s="173">
        <v>121</v>
      </c>
      <c r="Q131" s="504"/>
      <c r="R131" s="174">
        <v>1.0653873256510904E-3</v>
      </c>
      <c r="S131" s="505"/>
      <c r="T131" s="219">
        <f t="shared" si="13"/>
        <v>32.062396802195295</v>
      </c>
      <c r="U131" s="249">
        <f>U130+(T130*R131*'life-tables-test'!$C$66)</f>
        <v>67.937603197804705</v>
      </c>
      <c r="V131" s="516">
        <f t="shared" si="10"/>
        <v>100</v>
      </c>
      <c r="W131" s="180">
        <f>(T131*0)/(1+cDR)^'Markov Model_SA2'!cycle2</f>
        <v>0</v>
      </c>
      <c r="X131" s="176">
        <f t="shared" si="11"/>
        <v>32.062396802195295</v>
      </c>
      <c r="Y131" s="202">
        <f>(T131*(uPostT))/(1+oDR)^'Markov Model_SA2'!cycle</f>
        <v>18.013555441374717</v>
      </c>
      <c r="Z131" s="80"/>
      <c r="AA131" s="3"/>
      <c r="AB131" s="3"/>
      <c r="AC131" s="14">
        <v>119</v>
      </c>
      <c r="AD131" s="14"/>
      <c r="AE131" s="14"/>
      <c r="AF131" s="3"/>
      <c r="AG131" s="3"/>
      <c r="AH131" s="3"/>
      <c r="AI131" s="14"/>
      <c r="AJ131" s="14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</row>
    <row r="132" spans="1:60" ht="14.25" customHeight="1" x14ac:dyDescent="0.25">
      <c r="A132" s="637" t="s">
        <v>552</v>
      </c>
      <c r="B132" s="417"/>
      <c r="C132" s="506">
        <v>122</v>
      </c>
      <c r="D132" s="506"/>
      <c r="E132" s="507">
        <v>1.0653873256510904E-3</v>
      </c>
      <c r="F132" s="508"/>
      <c r="G132" s="509">
        <f t="shared" si="9"/>
        <v>33.850955799188725</v>
      </c>
      <c r="H132" s="510">
        <f>H131+(G131*E132*'life-tables-test'!$C$66)</f>
        <v>66.149044200811275</v>
      </c>
      <c r="I132" s="518">
        <f t="shared" si="12"/>
        <v>100</v>
      </c>
      <c r="J132" s="511">
        <f>(G132*0)/(1+cDR)^'Markov Model_SA2'!cycle</f>
        <v>0</v>
      </c>
      <c r="K132" s="512">
        <f t="shared" si="8"/>
        <v>33.850955799188725</v>
      </c>
      <c r="L132" s="513">
        <f>(G132*(uPostT))/(1+oDR)^'Markov Model_SA2'!cycle</f>
        <v>18.970990665751604</v>
      </c>
      <c r="M132" s="80"/>
      <c r="N132" s="3"/>
      <c r="O132" s="80"/>
      <c r="P132" s="506">
        <v>122</v>
      </c>
      <c r="Q132" s="506"/>
      <c r="R132" s="507">
        <v>1.0653873256510904E-3</v>
      </c>
      <c r="S132" s="508"/>
      <c r="T132" s="509">
        <f t="shared" si="13"/>
        <v>31.891602446280018</v>
      </c>
      <c r="U132" s="510">
        <f>U131+(T131*R132*'life-tables-test'!$C$66)</f>
        <v>68.108397553719982</v>
      </c>
      <c r="V132" s="518">
        <f t="shared" si="10"/>
        <v>100</v>
      </c>
      <c r="W132" s="511">
        <f>(T132*0)/(1+cDR)^'Markov Model_SA2'!cycle2</f>
        <v>0</v>
      </c>
      <c r="X132" s="512">
        <f t="shared" si="11"/>
        <v>31.891602446280018</v>
      </c>
      <c r="Y132" s="513">
        <f>(T132*(uPostT))/(1+oDR)^'Markov Model_SA2'!cycle</f>
        <v>17.872916082881744</v>
      </c>
      <c r="Z132" s="80"/>
      <c r="AA132" s="3"/>
      <c r="AB132" s="3"/>
      <c r="AC132" s="14">
        <v>120</v>
      </c>
      <c r="AD132" s="14"/>
      <c r="AE132" s="14"/>
      <c r="AF132" s="3"/>
      <c r="AG132" s="3"/>
      <c r="AH132" s="3"/>
      <c r="AI132" s="14"/>
      <c r="AJ132" s="14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</row>
    <row r="133" spans="1:60" ht="14.25" customHeight="1" x14ac:dyDescent="0.2">
      <c r="A133" s="637"/>
      <c r="B133" s="417"/>
      <c r="C133" s="173">
        <v>123</v>
      </c>
      <c r="D133" s="165"/>
      <c r="E133" s="174">
        <v>1.1422318973278722E-3</v>
      </c>
      <c r="F133" s="502"/>
      <c r="G133" s="219">
        <f t="shared" si="9"/>
        <v>33.657627591844374</v>
      </c>
      <c r="H133" s="249">
        <f>H132+(G132*E133*'life-tables-test'!$C$66)</f>
        <v>66.342372408155626</v>
      </c>
      <c r="I133" s="516">
        <f t="shared" si="12"/>
        <v>100</v>
      </c>
      <c r="J133" s="153">
        <f>(G133*0)/(1+cDR)^'Markov Model_SA2'!cycle</f>
        <v>0</v>
      </c>
      <c r="K133" s="178">
        <f t="shared" si="8"/>
        <v>33.657627591844374</v>
      </c>
      <c r="L133" s="202">
        <f>(G133*(uPostT))/(1+oDR)^'Markov Model_SA2'!cycle</f>
        <v>18.815605299191965</v>
      </c>
      <c r="M133" s="80"/>
      <c r="N133" s="3"/>
      <c r="O133" s="80"/>
      <c r="P133" s="173">
        <v>123</v>
      </c>
      <c r="Q133" s="165"/>
      <c r="R133" s="174">
        <v>1.1422318973278722E-3</v>
      </c>
      <c r="S133" s="502"/>
      <c r="T133" s="219">
        <f t="shared" si="13"/>
        <v>31.709464418424815</v>
      </c>
      <c r="U133" s="249">
        <f>U132+(T132*R133*'life-tables-test'!$C$66)</f>
        <v>68.290535581575185</v>
      </c>
      <c r="V133" s="516">
        <f t="shared" si="10"/>
        <v>100</v>
      </c>
      <c r="W133" s="153">
        <f>(T133*0)/(1+cDR)^'Markov Model_SA2'!cycle2</f>
        <v>0</v>
      </c>
      <c r="X133" s="178">
        <f t="shared" si="11"/>
        <v>31.709464418424815</v>
      </c>
      <c r="Y133" s="202">
        <f>(T133*(uPostT))/(1+oDR)^'Markov Model_SA2'!cycle</f>
        <v>17.726524696898835</v>
      </c>
      <c r="Z133" s="80"/>
      <c r="AA133" s="3"/>
      <c r="AB133" s="3"/>
      <c r="AC133" s="14">
        <v>121</v>
      </c>
      <c r="AD133" s="14"/>
      <c r="AE133" s="14"/>
      <c r="AF133" s="3"/>
      <c r="AG133" s="3"/>
      <c r="AH133" s="3"/>
      <c r="AI133" s="14"/>
      <c r="AJ133" s="14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</row>
    <row r="134" spans="1:60" ht="14.25" customHeight="1" x14ac:dyDescent="0.2">
      <c r="A134" s="637"/>
      <c r="B134" s="417"/>
      <c r="C134" s="173">
        <v>124</v>
      </c>
      <c r="D134" s="165"/>
      <c r="E134" s="174">
        <v>1.1422318973278722E-3</v>
      </c>
      <c r="F134" s="502"/>
      <c r="G134" s="219">
        <f t="shared" si="9"/>
        <v>33.46540351272543</v>
      </c>
      <c r="H134" s="249">
        <f>H133+(G133*E134*'life-tables-test'!$C$66)</f>
        <v>66.53459648727457</v>
      </c>
      <c r="I134" s="516">
        <f t="shared" si="12"/>
        <v>100</v>
      </c>
      <c r="J134" s="153">
        <f>(G134*0)/(1+cDR)^'Markov Model_SA2'!cycle</f>
        <v>0</v>
      </c>
      <c r="K134" s="178">
        <f t="shared" si="8"/>
        <v>33.46540351272543</v>
      </c>
      <c r="L134" s="202">
        <f>(G134*(uPostT))/(1+oDR)^'Markov Model_SA2'!cycle</f>
        <v>18.661492644878425</v>
      </c>
      <c r="M134" s="80"/>
      <c r="N134" s="3"/>
      <c r="O134" s="80"/>
      <c r="P134" s="173">
        <v>124</v>
      </c>
      <c r="Q134" s="165"/>
      <c r="R134" s="174">
        <v>1.1422318973278722E-3</v>
      </c>
      <c r="S134" s="502"/>
      <c r="T134" s="219">
        <f t="shared" si="13"/>
        <v>31.528366609895272</v>
      </c>
      <c r="U134" s="249">
        <f>U133+(T133*R134*'life-tables-test'!$C$66)</f>
        <v>68.471633390104728</v>
      </c>
      <c r="V134" s="516">
        <f t="shared" si="10"/>
        <v>100</v>
      </c>
      <c r="W134" s="153">
        <f>(T134*0)/(1+cDR)^'Markov Model_SA2'!cycle2</f>
        <v>0</v>
      </c>
      <c r="X134" s="178">
        <f t="shared" si="11"/>
        <v>31.528366609895272</v>
      </c>
      <c r="Y134" s="202">
        <f>(T134*(uPostT))/(1+oDR)^'Markov Model_SA2'!cycle</f>
        <v>17.581332356320196</v>
      </c>
      <c r="Z134" s="80"/>
      <c r="AA134" s="3"/>
      <c r="AB134" s="3"/>
      <c r="AC134" s="14">
        <v>122</v>
      </c>
      <c r="AD134" s="14"/>
      <c r="AE134" s="14"/>
      <c r="AF134" s="3"/>
      <c r="AG134" s="3"/>
      <c r="AH134" s="3"/>
      <c r="AI134" s="14"/>
      <c r="AJ134" s="14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</row>
    <row r="135" spans="1:60" ht="14.25" customHeight="1" x14ac:dyDescent="0.2">
      <c r="A135" s="637"/>
      <c r="B135" s="417"/>
      <c r="C135" s="173">
        <v>125</v>
      </c>
      <c r="D135" s="165"/>
      <c r="E135" s="174">
        <v>1.1422318973278722E-3</v>
      </c>
      <c r="F135" s="502"/>
      <c r="G135" s="219">
        <f t="shared" si="9"/>
        <v>33.274277255979513</v>
      </c>
      <c r="H135" s="249">
        <f>H134+(G134*E135*'life-tables-test'!$C$66)</f>
        <v>66.725722744020487</v>
      </c>
      <c r="I135" s="516">
        <f t="shared" si="12"/>
        <v>100</v>
      </c>
      <c r="J135" s="153">
        <f>(G135*0)/(1+cDR)^'Markov Model_SA2'!cycle</f>
        <v>0</v>
      </c>
      <c r="K135" s="178">
        <f t="shared" si="8"/>
        <v>33.274277255979513</v>
      </c>
      <c r="L135" s="202">
        <f>(G135*(uPostT))/(1+oDR)^'Markov Model_SA2'!cycle</f>
        <v>18.508642278428702</v>
      </c>
      <c r="M135" s="80"/>
      <c r="N135" s="3"/>
      <c r="O135" s="80"/>
      <c r="P135" s="173">
        <v>125</v>
      </c>
      <c r="Q135" s="165"/>
      <c r="R135" s="174">
        <v>1.1422318973278722E-3</v>
      </c>
      <c r="S135" s="502"/>
      <c r="T135" s="219">
        <f t="shared" si="13"/>
        <v>31.348303079832931</v>
      </c>
      <c r="U135" s="249">
        <f>U134+(T134*R135*'life-tables-test'!$C$66)</f>
        <v>68.651696920167069</v>
      </c>
      <c r="V135" s="516">
        <f t="shared" si="10"/>
        <v>100</v>
      </c>
      <c r="W135" s="153">
        <f>(T135*0)/(1+cDR)^'Markov Model_SA2'!cycle2</f>
        <v>0</v>
      </c>
      <c r="X135" s="178">
        <f t="shared" si="11"/>
        <v>31.348303079832931</v>
      </c>
      <c r="Y135" s="202">
        <f>(T135*(uPostT))/(1+oDR)^'Markov Model_SA2'!cycle</f>
        <v>17.437329240145278</v>
      </c>
      <c r="Z135" s="80"/>
      <c r="AA135" s="3"/>
      <c r="AB135" s="3"/>
      <c r="AC135" s="14">
        <v>123</v>
      </c>
      <c r="AD135" s="14"/>
      <c r="AE135" s="14"/>
      <c r="AF135" s="3"/>
      <c r="AG135" s="3"/>
      <c r="AH135" s="3"/>
      <c r="AI135" s="14"/>
      <c r="AJ135" s="14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</row>
    <row r="136" spans="1:60" ht="14.25" customHeight="1" x14ac:dyDescent="0.2">
      <c r="A136" s="637"/>
      <c r="B136" s="417"/>
      <c r="C136" s="173">
        <v>126</v>
      </c>
      <c r="D136" s="165"/>
      <c r="E136" s="174">
        <v>1.1422318973278722E-3</v>
      </c>
      <c r="F136" s="502"/>
      <c r="G136" s="219">
        <f t="shared" si="9"/>
        <v>33.084242551767957</v>
      </c>
      <c r="H136" s="249">
        <f>H135+(G135*E136*'life-tables-test'!$C$66)</f>
        <v>66.915757448232043</v>
      </c>
      <c r="I136" s="516">
        <f t="shared" si="12"/>
        <v>100</v>
      </c>
      <c r="J136" s="153">
        <f>(G136*0)/(1+cDR)^'Markov Model_SA2'!cycle</f>
        <v>0</v>
      </c>
      <c r="K136" s="178">
        <f t="shared" si="8"/>
        <v>33.084242551767957</v>
      </c>
      <c r="L136" s="202">
        <f>(G136*(uPostT))/(1+oDR)^'Markov Model_SA2'!cycle</f>
        <v>18.357043860843337</v>
      </c>
      <c r="M136" s="80"/>
      <c r="N136" s="3"/>
      <c r="O136" s="80"/>
      <c r="P136" s="173">
        <v>126</v>
      </c>
      <c r="Q136" s="165"/>
      <c r="R136" s="174">
        <v>1.1422318973278722E-3</v>
      </c>
      <c r="S136" s="502"/>
      <c r="T136" s="219">
        <f t="shared" si="13"/>
        <v>31.169267921308503</v>
      </c>
      <c r="U136" s="249">
        <f>U135+(T135*R136*'life-tables-test'!$C$66)</f>
        <v>68.830732078691497</v>
      </c>
      <c r="V136" s="516">
        <f t="shared" si="10"/>
        <v>100</v>
      </c>
      <c r="W136" s="153">
        <f>(T136*0)/(1+cDR)^'Markov Model_SA2'!cycle2</f>
        <v>0</v>
      </c>
      <c r="X136" s="178">
        <f t="shared" si="11"/>
        <v>31.169267921308503</v>
      </c>
      <c r="Y136" s="202">
        <f>(T136*(uPostT))/(1+oDR)^'Markov Model_SA2'!cycle</f>
        <v>17.294505607814237</v>
      </c>
      <c r="Z136" s="80"/>
      <c r="AA136" s="3"/>
      <c r="AB136" s="3"/>
      <c r="AC136" s="14">
        <v>124</v>
      </c>
      <c r="AD136" s="14"/>
      <c r="AE136" s="14"/>
      <c r="AF136" s="3"/>
      <c r="AG136" s="3"/>
      <c r="AH136" s="3"/>
      <c r="AI136" s="14"/>
      <c r="AJ136" s="14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</row>
    <row r="137" spans="1:60" ht="14.25" customHeight="1" x14ac:dyDescent="0.2">
      <c r="A137" s="637"/>
      <c r="B137" s="417"/>
      <c r="C137" s="173">
        <v>127</v>
      </c>
      <c r="D137" s="165"/>
      <c r="E137" s="174">
        <v>1.1422318973278722E-3</v>
      </c>
      <c r="F137" s="502"/>
      <c r="G137" s="219">
        <f t="shared" si="9"/>
        <v>32.895293166060156</v>
      </c>
      <c r="H137" s="249">
        <f>H136+(G136*E137*'life-tables-test'!$C$66)</f>
        <v>67.104706833939844</v>
      </c>
      <c r="I137" s="516">
        <f t="shared" si="12"/>
        <v>100</v>
      </c>
      <c r="J137" s="153">
        <f>(G137*0)/(1+cDR)^'Markov Model_SA2'!cycle</f>
        <v>0</v>
      </c>
      <c r="K137" s="178">
        <f t="shared" si="8"/>
        <v>32.895293166060156</v>
      </c>
      <c r="L137" s="202">
        <f>(G137*(uPostT))/(1+oDR)^'Markov Model_SA2'!cycle</f>
        <v>18.20668713780632</v>
      </c>
      <c r="M137" s="80"/>
      <c r="N137" s="3"/>
      <c r="O137" s="80"/>
      <c r="P137" s="173">
        <v>127</v>
      </c>
      <c r="Q137" s="165"/>
      <c r="R137" s="174">
        <v>1.1422318973278722E-3</v>
      </c>
      <c r="S137" s="502"/>
      <c r="T137" s="219">
        <f t="shared" si="13"/>
        <v>30.991255261128117</v>
      </c>
      <c r="U137" s="249">
        <f>U136+(T136*R137*'life-tables-test'!$C$66)</f>
        <v>69.008744738871883</v>
      </c>
      <c r="V137" s="516">
        <f t="shared" si="10"/>
        <v>100</v>
      </c>
      <c r="W137" s="153">
        <f>(T137*0)/(1+cDR)^'Markov Model_SA2'!cycle2</f>
        <v>0</v>
      </c>
      <c r="X137" s="178">
        <f t="shared" si="11"/>
        <v>30.991255261128117</v>
      </c>
      <c r="Y137" s="202">
        <f>(T137*(uPostT))/(1+oDR)^'Markov Model_SA2'!cycle</f>
        <v>17.152851798549062</v>
      </c>
      <c r="Z137" s="80"/>
      <c r="AA137" s="3"/>
      <c r="AB137" s="3"/>
      <c r="AC137" s="14">
        <v>125</v>
      </c>
      <c r="AD137" s="14"/>
      <c r="AE137" s="14"/>
      <c r="AF137" s="3"/>
      <c r="AG137" s="3"/>
      <c r="AH137" s="3"/>
      <c r="AI137" s="14"/>
      <c r="AJ137" s="14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</row>
    <row r="138" spans="1:60" ht="14.25" customHeight="1" x14ac:dyDescent="0.2">
      <c r="A138" s="637"/>
      <c r="B138" s="417"/>
      <c r="C138" s="173">
        <v>128</v>
      </c>
      <c r="D138" s="165"/>
      <c r="E138" s="174">
        <v>1.1422318973278722E-3</v>
      </c>
      <c r="F138" s="502"/>
      <c r="G138" s="219">
        <f t="shared" si="9"/>
        <v>32.707422900429023</v>
      </c>
      <c r="H138" s="249">
        <f>H137+(G137*E138*'life-tables-test'!$C$66)</f>
        <v>67.292577099570977</v>
      </c>
      <c r="I138" s="516">
        <f t="shared" si="12"/>
        <v>100</v>
      </c>
      <c r="J138" s="153">
        <f>(G138*0)/(1+cDR)^'Markov Model_SA2'!cycle</f>
        <v>0</v>
      </c>
      <c r="K138" s="178">
        <f t="shared" si="8"/>
        <v>32.707422900429023</v>
      </c>
      <c r="L138" s="202">
        <f>(G138*(uPostT))/(1+oDR)^'Markov Model_SA2'!cycle</f>
        <v>18.057561938991473</v>
      </c>
      <c r="M138" s="80"/>
      <c r="N138" s="3"/>
      <c r="O138" s="80"/>
      <c r="P138" s="173">
        <v>128</v>
      </c>
      <c r="Q138" s="165"/>
      <c r="R138" s="174">
        <v>1.1422318973278722E-3</v>
      </c>
      <c r="S138" s="502"/>
      <c r="T138" s="219">
        <f t="shared" si="13"/>
        <v>30.814259259640664</v>
      </c>
      <c r="U138" s="249">
        <f>U137+(T137*R138*'life-tables-test'!$C$66)</f>
        <v>69.185740740359336</v>
      </c>
      <c r="V138" s="516">
        <f t="shared" si="10"/>
        <v>100</v>
      </c>
      <c r="W138" s="153">
        <f>(T138*0)/(1+cDR)^'Markov Model_SA2'!cycle2</f>
        <v>0</v>
      </c>
      <c r="X138" s="178">
        <f t="shared" si="11"/>
        <v>30.814259259640664</v>
      </c>
      <c r="Y138" s="202">
        <f>(T138*(uPostT))/(1+oDR)^'Markov Model_SA2'!cycle</f>
        <v>17.012358230700109</v>
      </c>
      <c r="Z138" s="80"/>
      <c r="AA138" s="3"/>
      <c r="AB138" s="3"/>
      <c r="AC138" s="14">
        <v>126</v>
      </c>
      <c r="AD138" s="14"/>
      <c r="AE138" s="14"/>
      <c r="AF138" s="3"/>
      <c r="AG138" s="3"/>
      <c r="AH138" s="3"/>
      <c r="AI138" s="14"/>
      <c r="AJ138" s="14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</row>
    <row r="139" spans="1:60" ht="14.25" customHeight="1" x14ac:dyDescent="0.2">
      <c r="A139" s="637"/>
      <c r="B139" s="417"/>
      <c r="C139" s="173">
        <v>129</v>
      </c>
      <c r="D139" s="165"/>
      <c r="E139" s="174">
        <v>1.1422318973278722E-3</v>
      </c>
      <c r="F139" s="502"/>
      <c r="G139" s="219">
        <f t="shared" si="9"/>
        <v>32.520625591847718</v>
      </c>
      <c r="H139" s="249">
        <f>H138+(G138*E139*'life-tables-test'!$C$66)</f>
        <v>67.479374408152282</v>
      </c>
      <c r="I139" s="516">
        <f t="shared" si="12"/>
        <v>100</v>
      </c>
      <c r="J139" s="153">
        <f>(G139*0)/(1+cDR)^'Markov Model_SA2'!cycle</f>
        <v>0</v>
      </c>
      <c r="K139" s="178">
        <f t="shared" si="8"/>
        <v>32.520625591847718</v>
      </c>
      <c r="L139" s="202">
        <f>(G139*(uPostT))/(1+oDR)^'Markov Model_SA2'!cycle</f>
        <v>17.909658177374592</v>
      </c>
      <c r="M139" s="80"/>
      <c r="N139" s="3"/>
      <c r="O139" s="80"/>
      <c r="P139" s="173">
        <v>129</v>
      </c>
      <c r="Q139" s="165"/>
      <c r="R139" s="174">
        <v>1.1422318973278722E-3</v>
      </c>
      <c r="S139" s="502"/>
      <c r="T139" s="219">
        <f t="shared" si="13"/>
        <v>30.638274110546206</v>
      </c>
      <c r="U139" s="249">
        <f>U138+(T138*R139*'life-tables-test'!$C$66)</f>
        <v>69.361725889453794</v>
      </c>
      <c r="V139" s="516">
        <f t="shared" si="10"/>
        <v>100</v>
      </c>
      <c r="W139" s="153">
        <f>(T139*0)/(1+cDR)^'Markov Model_SA2'!cycle2</f>
        <v>0</v>
      </c>
      <c r="X139" s="178">
        <f t="shared" si="11"/>
        <v>30.638274110546206</v>
      </c>
      <c r="Y139" s="202">
        <f>(T139*(uPostT))/(1+oDR)^'Markov Model_SA2'!cycle</f>
        <v>16.873015401097994</v>
      </c>
      <c r="Z139" s="80"/>
      <c r="AA139" s="3"/>
      <c r="AB139" s="3"/>
      <c r="AC139" s="14">
        <v>127</v>
      </c>
      <c r="AD139" s="14"/>
      <c r="AE139" s="14"/>
      <c r="AF139" s="3"/>
      <c r="AG139" s="3"/>
      <c r="AH139" s="3"/>
      <c r="AI139" s="14"/>
      <c r="AJ139" s="14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</row>
    <row r="140" spans="1:60" ht="14.25" customHeight="1" x14ac:dyDescent="0.2">
      <c r="A140" s="637"/>
      <c r="B140" s="417"/>
      <c r="C140" s="173">
        <v>130</v>
      </c>
      <c r="D140" s="165"/>
      <c r="E140" s="174">
        <v>1.1422318973278722E-3</v>
      </c>
      <c r="F140" s="502"/>
      <c r="G140" s="219">
        <f t="shared" ref="G140:G203" si="14">$G$10-H140</f>
        <v>32.334895112487388</v>
      </c>
      <c r="H140" s="249">
        <f>H139+(G139*E140*'life-tables-test'!$C$66)</f>
        <v>67.665104887512612</v>
      </c>
      <c r="I140" s="516">
        <f t="shared" si="12"/>
        <v>100</v>
      </c>
      <c r="J140" s="153">
        <f>(G140*0)/(1+cDR)^'Markov Model_SA2'!cycle</f>
        <v>0</v>
      </c>
      <c r="K140" s="178">
        <f t="shared" si="8"/>
        <v>32.334895112487388</v>
      </c>
      <c r="L140" s="202">
        <f>(G140*(uPostT))/(1+oDR)^'Markov Model_SA2'!cycle</f>
        <v>17.762965848551033</v>
      </c>
      <c r="M140" s="80"/>
      <c r="N140" s="3"/>
      <c r="O140" s="80"/>
      <c r="P140" s="173">
        <v>130</v>
      </c>
      <c r="Q140" s="165"/>
      <c r="R140" s="174">
        <v>1.1422318973278722E-3</v>
      </c>
      <c r="S140" s="502"/>
      <c r="T140" s="219">
        <f t="shared" si="13"/>
        <v>30.463294040705506</v>
      </c>
      <c r="U140" s="249">
        <f>U139+(T139*R140*'life-tables-test'!$C$66)</f>
        <v>69.536705959294494</v>
      </c>
      <c r="V140" s="516">
        <f t="shared" si="10"/>
        <v>100</v>
      </c>
      <c r="W140" s="153">
        <f>(T140*0)/(1+cDR)^'Markov Model_SA2'!cycle2</f>
        <v>0</v>
      </c>
      <c r="X140" s="178">
        <f t="shared" si="11"/>
        <v>30.463294040705506</v>
      </c>
      <c r="Y140" s="202">
        <f>(T140*(uPostT))/(1+oDR)^'Markov Model_SA2'!cycle</f>
        <v>16.73481388441078</v>
      </c>
      <c r="Z140" s="80"/>
      <c r="AA140" s="3"/>
      <c r="AB140" s="3"/>
      <c r="AC140" s="14">
        <v>128</v>
      </c>
      <c r="AD140" s="14"/>
      <c r="AE140" s="14"/>
      <c r="AF140" s="3"/>
      <c r="AG140" s="3"/>
      <c r="AH140" s="3"/>
      <c r="AI140" s="14"/>
      <c r="AJ140" s="14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</row>
    <row r="141" spans="1:60" ht="14.25" customHeight="1" x14ac:dyDescent="0.2">
      <c r="A141" s="637"/>
      <c r="B141" s="417"/>
      <c r="C141" s="173">
        <v>131</v>
      </c>
      <c r="D141" s="165"/>
      <c r="E141" s="174">
        <v>1.1422318973278722E-3</v>
      </c>
      <c r="F141" s="502"/>
      <c r="G141" s="219">
        <f t="shared" si="14"/>
        <v>32.150225369516221</v>
      </c>
      <c r="H141" s="249">
        <f>H140+(G140*E141*'life-tables-test'!$C$66)</f>
        <v>67.849774630483779</v>
      </c>
      <c r="I141" s="516">
        <f t="shared" si="12"/>
        <v>100</v>
      </c>
      <c r="J141" s="153">
        <f>(G141*0)/(1+cDR)^'Markov Model_SA2'!cycle</f>
        <v>0</v>
      </c>
      <c r="K141" s="178">
        <f t="shared" si="8"/>
        <v>32.150225369516221</v>
      </c>
      <c r="L141" s="202">
        <f>(G141*(uPostT))/(1+oDR)^'Markov Model_SA2'!cycle</f>
        <v>17.617475030059087</v>
      </c>
      <c r="M141" s="80"/>
      <c r="N141" s="3"/>
      <c r="O141" s="80"/>
      <c r="P141" s="173">
        <v>131</v>
      </c>
      <c r="Q141" s="165"/>
      <c r="R141" s="174">
        <v>1.1422318973278722E-3</v>
      </c>
      <c r="S141" s="502"/>
      <c r="T141" s="219">
        <f t="shared" si="13"/>
        <v>30.289313309950643</v>
      </c>
      <c r="U141" s="249">
        <f>U140+(T140*R141*'life-tables-test'!$C$66)</f>
        <v>69.710686690049357</v>
      </c>
      <c r="V141" s="516">
        <f t="shared" si="10"/>
        <v>100</v>
      </c>
      <c r="W141" s="153">
        <f>(T141*0)/(1+cDR)^'Markov Model_SA2'!cycle2</f>
        <v>0</v>
      </c>
      <c r="X141" s="178">
        <f t="shared" si="11"/>
        <v>30.289313309950643</v>
      </c>
      <c r="Y141" s="202">
        <f>(T141*(uPostT))/(1+oDR)^'Markov Model_SA2'!cycle</f>
        <v>16.597744332506416</v>
      </c>
      <c r="Z141" s="80"/>
      <c r="AA141" s="3"/>
      <c r="AB141" s="3"/>
      <c r="AC141" s="14">
        <v>129</v>
      </c>
      <c r="AD141" s="14"/>
      <c r="AE141" s="14"/>
      <c r="AF141" s="3"/>
      <c r="AG141" s="3"/>
      <c r="AH141" s="3"/>
      <c r="AI141" s="14"/>
      <c r="AJ141" s="14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</row>
    <row r="142" spans="1:60" ht="14.25" customHeight="1" x14ac:dyDescent="0.2">
      <c r="A142" s="637"/>
      <c r="B142" s="417"/>
      <c r="C142" s="173">
        <v>132</v>
      </c>
      <c r="D142" s="165"/>
      <c r="E142" s="174">
        <v>1.1422318973278722E-3</v>
      </c>
      <c r="F142" s="502"/>
      <c r="G142" s="219">
        <f t="shared" si="14"/>
        <v>31.966610304899518</v>
      </c>
      <c r="H142" s="249">
        <f>H141+(G141*E142*'life-tables-test'!$C$66)</f>
        <v>68.033389695100482</v>
      </c>
      <c r="I142" s="516">
        <f t="shared" si="12"/>
        <v>100</v>
      </c>
      <c r="J142" s="153">
        <f>(G142*0)/(1+cDR)^'Markov Model_SA2'!cycle</f>
        <v>0</v>
      </c>
      <c r="K142" s="178">
        <f t="shared" si="8"/>
        <v>31.966610304899518</v>
      </c>
      <c r="L142" s="202">
        <f>(G142*(uPostT))/(1+oDR)^'Markov Model_SA2'!cycle</f>
        <v>17.473175880708766</v>
      </c>
      <c r="M142" s="80"/>
      <c r="N142" s="3"/>
      <c r="O142" s="80"/>
      <c r="P142" s="173">
        <v>132</v>
      </c>
      <c r="Q142" s="165"/>
      <c r="R142" s="174">
        <v>1.1422318973278722E-3</v>
      </c>
      <c r="S142" s="502"/>
      <c r="T142" s="219">
        <f t="shared" si="13"/>
        <v>30.11632621089673</v>
      </c>
      <c r="U142" s="249">
        <f>U141+(T141*R142*'life-tables-test'!$C$66)</f>
        <v>69.88367378910327</v>
      </c>
      <c r="V142" s="516">
        <f t="shared" si="10"/>
        <v>100</v>
      </c>
      <c r="W142" s="153">
        <f>(T142*0)/(1+cDR)^'Markov Model_SA2'!cycle2</f>
        <v>0</v>
      </c>
      <c r="X142" s="178">
        <f t="shared" si="11"/>
        <v>30.11632621089673</v>
      </c>
      <c r="Y142" s="202">
        <f>(T142*(uPostT))/(1+oDR)^'Markov Model_SA2'!cycle</f>
        <v>16.461797473820457</v>
      </c>
      <c r="Z142" s="80"/>
      <c r="AA142" s="3"/>
      <c r="AB142" s="3"/>
      <c r="AC142" s="14">
        <v>130</v>
      </c>
      <c r="AD142" s="14"/>
      <c r="AE142" s="14"/>
      <c r="AF142" s="3"/>
      <c r="AG142" s="3"/>
      <c r="AH142" s="3"/>
      <c r="AI142" s="14"/>
      <c r="AJ142" s="14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</row>
    <row r="143" spans="1:60" ht="14.25" customHeight="1" x14ac:dyDescent="0.2">
      <c r="A143" s="606"/>
      <c r="B143" s="417"/>
      <c r="C143" s="173">
        <v>133</v>
      </c>
      <c r="D143" s="504"/>
      <c r="E143" s="174">
        <v>1.1422318973278722E-3</v>
      </c>
      <c r="F143" s="505"/>
      <c r="G143" s="219">
        <f t="shared" si="14"/>
        <v>31.784043895200995</v>
      </c>
      <c r="H143" s="249">
        <f>H142+(G142*E143*'life-tables-test'!$C$66)</f>
        <v>68.215956104799005</v>
      </c>
      <c r="I143" s="516">
        <f t="shared" si="12"/>
        <v>100</v>
      </c>
      <c r="J143" s="180">
        <f>(G143*0)/(1+cDR)^'Markov Model_SA2'!cycle</f>
        <v>0</v>
      </c>
      <c r="K143" s="176">
        <f t="shared" si="8"/>
        <v>31.784043895200995</v>
      </c>
      <c r="L143" s="202">
        <f>(G143*(uPostT))/(1+oDR)^'Markov Model_SA2'!cycle</f>
        <v>17.33005863991615</v>
      </c>
      <c r="M143" s="80"/>
      <c r="N143" s="3"/>
      <c r="O143" s="80"/>
      <c r="P143" s="173">
        <v>133</v>
      </c>
      <c r="Q143" s="504"/>
      <c r="R143" s="174">
        <v>1.1422318973278722E-3</v>
      </c>
      <c r="S143" s="505"/>
      <c r="T143" s="219">
        <f t="shared" si="13"/>
        <v>29.944327068754646</v>
      </c>
      <c r="U143" s="249">
        <f>U142+(T142*R143*'life-tables-test'!$C$66)</f>
        <v>70.055672931245354</v>
      </c>
      <c r="V143" s="516">
        <f t="shared" si="10"/>
        <v>100</v>
      </c>
      <c r="W143" s="180">
        <f>(T143*0)/(1+cDR)^'Markov Model_SA2'!cycle2</f>
        <v>0</v>
      </c>
      <c r="X143" s="176">
        <f t="shared" si="11"/>
        <v>29.944327068754646</v>
      </c>
      <c r="Y143" s="202">
        <f>(T143*(uPostT))/(1+oDR)^'Markov Model_SA2'!cycle</f>
        <v>16.326964112728891</v>
      </c>
      <c r="Z143" s="80"/>
      <c r="AA143" s="3"/>
      <c r="AB143" s="3"/>
      <c r="AC143" s="14">
        <v>131</v>
      </c>
      <c r="AD143" s="14"/>
      <c r="AE143" s="14"/>
      <c r="AF143" s="3"/>
      <c r="AG143" s="3"/>
      <c r="AH143" s="3"/>
      <c r="AI143" s="14"/>
      <c r="AJ143" s="14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</row>
    <row r="144" spans="1:60" ht="14.25" customHeight="1" x14ac:dyDescent="0.25">
      <c r="A144" s="637" t="s">
        <v>553</v>
      </c>
      <c r="B144" s="417"/>
      <c r="C144" s="506">
        <v>134</v>
      </c>
      <c r="D144" s="506"/>
      <c r="E144" s="507">
        <v>1.1422318973278722E-3</v>
      </c>
      <c r="F144" s="508"/>
      <c r="G144" s="509">
        <f t="shared" si="14"/>
        <v>31.60252015138515</v>
      </c>
      <c r="H144" s="510">
        <f>H143+(G143*E144*'life-tables-test'!$C$66)</f>
        <v>68.39747984861485</v>
      </c>
      <c r="I144" s="518">
        <f t="shared" si="12"/>
        <v>100</v>
      </c>
      <c r="J144" s="511">
        <f>(G144*0)/(1+cDR)^'Markov Model_SA2'!cycle</f>
        <v>0</v>
      </c>
      <c r="K144" s="512">
        <f t="shared" si="8"/>
        <v>31.60252015138515</v>
      </c>
      <c r="L144" s="513">
        <f>(G144*(uPostT))/(1+oDR)^'Markov Model_SA2'!cycle</f>
        <v>17.188113627043169</v>
      </c>
      <c r="M144" s="80"/>
      <c r="N144" s="3"/>
      <c r="O144" s="80"/>
      <c r="P144" s="506">
        <v>134</v>
      </c>
      <c r="Q144" s="506"/>
      <c r="R144" s="507">
        <v>1.1422318973278722E-3</v>
      </c>
      <c r="S144" s="508"/>
      <c r="T144" s="509">
        <f t="shared" si="13"/>
        <v>29.773310241144898</v>
      </c>
      <c r="U144" s="510">
        <f>U143+(T143*R144*'life-tables-test'!$C$66)</f>
        <v>70.226689758855102</v>
      </c>
      <c r="V144" s="518">
        <f t="shared" si="10"/>
        <v>100</v>
      </c>
      <c r="W144" s="511">
        <f>(T144*0)/(1+cDR)^'Markov Model_SA2'!cycle2</f>
        <v>0</v>
      </c>
      <c r="X144" s="512">
        <f t="shared" si="11"/>
        <v>29.773310241144898</v>
      </c>
      <c r="Y144" s="513">
        <f>(T144*(uPostT))/(1+oDR)^'Markov Model_SA2'!cycle</f>
        <v>16.193235128926151</v>
      </c>
      <c r="Z144" s="80"/>
      <c r="AA144" s="3"/>
      <c r="AB144" s="3"/>
      <c r="AC144" s="14">
        <v>132</v>
      </c>
      <c r="AD144" s="14"/>
      <c r="AE144" s="14"/>
      <c r="AF144" s="3"/>
      <c r="AG144" s="3"/>
      <c r="AH144" s="3"/>
      <c r="AI144" s="14"/>
      <c r="AJ144" s="14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</row>
    <row r="145" spans="1:60" ht="14.25" customHeight="1" x14ac:dyDescent="0.2">
      <c r="A145" s="637"/>
      <c r="B145" s="417"/>
      <c r="C145" s="173">
        <v>135</v>
      </c>
      <c r="D145" s="165"/>
      <c r="E145" s="174">
        <v>1.226574259157398E-3</v>
      </c>
      <c r="F145" s="502"/>
      <c r="G145" s="219">
        <f t="shared" si="14"/>
        <v>31.40870596267419</v>
      </c>
      <c r="H145" s="249">
        <f>H144+(G144*E145*'life-tables-test'!$C$66)</f>
        <v>68.59129403732581</v>
      </c>
      <c r="I145" s="516">
        <f t="shared" si="12"/>
        <v>100</v>
      </c>
      <c r="J145" s="153">
        <f>(G145*0)/(1+cDR)^'Markov Model_SA2'!cycle</f>
        <v>0</v>
      </c>
      <c r="K145" s="178">
        <f t="shared" si="8"/>
        <v>31.40870596267419</v>
      </c>
      <c r="L145" s="202">
        <f>(G145*(uPostT))/(1+oDR)^'Markov Model_SA2'!cycle</f>
        <v>17.040100886135811</v>
      </c>
      <c r="M145" s="80"/>
      <c r="N145" s="3"/>
      <c r="O145" s="80"/>
      <c r="P145" s="173">
        <v>135</v>
      </c>
      <c r="Q145" s="165"/>
      <c r="R145" s="174">
        <v>1.226574259157398E-3</v>
      </c>
      <c r="S145" s="502"/>
      <c r="T145" s="219">
        <f t="shared" si="13"/>
        <v>29.590714361386418</v>
      </c>
      <c r="U145" s="249">
        <f>U144+(T144*R145*'life-tables-test'!$C$66)</f>
        <v>70.409285638613582</v>
      </c>
      <c r="V145" s="516">
        <f t="shared" si="10"/>
        <v>100</v>
      </c>
      <c r="W145" s="153">
        <f>(T145*0)/(1+cDR)^'Markov Model_SA2'!cycle2</f>
        <v>0</v>
      </c>
      <c r="X145" s="178">
        <f t="shared" si="11"/>
        <v>29.590714361386418</v>
      </c>
      <c r="Y145" s="202">
        <f>(T145*(uPostT))/(1+oDR)^'Markov Model_SA2'!cycle</f>
        <v>16.053789627948156</v>
      </c>
      <c r="Z145" s="80"/>
      <c r="AA145" s="3"/>
      <c r="AB145" s="3"/>
      <c r="AC145" s="14">
        <v>133</v>
      </c>
      <c r="AD145" s="14"/>
      <c r="AE145" s="14"/>
      <c r="AF145" s="3"/>
      <c r="AG145" s="3"/>
      <c r="AH145" s="3"/>
      <c r="AI145" s="14"/>
      <c r="AJ145" s="14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</row>
    <row r="146" spans="1:60" ht="14.25" customHeight="1" x14ac:dyDescent="0.2">
      <c r="A146" s="637"/>
      <c r="B146" s="417"/>
      <c r="C146" s="173">
        <v>136</v>
      </c>
      <c r="D146" s="165"/>
      <c r="E146" s="174">
        <v>1.226574259157398E-3</v>
      </c>
      <c r="F146" s="502"/>
      <c r="G146" s="219">
        <f t="shared" si="14"/>
        <v>31.216080411437886</v>
      </c>
      <c r="H146" s="249">
        <f>H145+(G145*E146*'life-tables-test'!$C$66)</f>
        <v>68.783919588562114</v>
      </c>
      <c r="I146" s="516">
        <f t="shared" si="12"/>
        <v>100</v>
      </c>
      <c r="J146" s="153">
        <f>(G146*0)/(1+cDR)^'Markov Model_SA2'!cycle</f>
        <v>0</v>
      </c>
      <c r="K146" s="178">
        <f t="shared" si="8"/>
        <v>31.216080411437886</v>
      </c>
      <c r="L146" s="202">
        <f>(G146*(uPostT))/(1+oDR)^'Markov Model_SA2'!cycle</f>
        <v>16.893362733699661</v>
      </c>
      <c r="M146" s="80"/>
      <c r="N146" s="3"/>
      <c r="O146" s="80"/>
      <c r="P146" s="173">
        <v>136</v>
      </c>
      <c r="Q146" s="165"/>
      <c r="R146" s="174">
        <v>1.226574259157398E-3</v>
      </c>
      <c r="S146" s="502"/>
      <c r="T146" s="219">
        <f t="shared" si="13"/>
        <v>29.409238318657643</v>
      </c>
      <c r="U146" s="249">
        <f>U145+(T145*R146*'life-tables-test'!$C$66)</f>
        <v>70.590761681342357</v>
      </c>
      <c r="V146" s="516">
        <f t="shared" si="10"/>
        <v>100</v>
      </c>
      <c r="W146" s="153">
        <f>(T146*0)/(1+cDR)^'Markov Model_SA2'!cycle2</f>
        <v>0</v>
      </c>
      <c r="X146" s="178">
        <f t="shared" si="11"/>
        <v>29.409238318657643</v>
      </c>
      <c r="Y146" s="202">
        <f>(T146*(uPostT))/(1+oDR)^'Markov Model_SA2'!cycle</f>
        <v>15.915544940000311</v>
      </c>
      <c r="Z146" s="80"/>
      <c r="AA146" s="3"/>
      <c r="AB146" s="3"/>
      <c r="AC146" s="14">
        <v>134</v>
      </c>
      <c r="AD146" s="14"/>
      <c r="AE146" s="14"/>
      <c r="AF146" s="3"/>
      <c r="AG146" s="3"/>
      <c r="AH146" s="3"/>
      <c r="AI146" s="14"/>
      <c r="AJ146" s="14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</row>
    <row r="147" spans="1:60" ht="14.25" customHeight="1" x14ac:dyDescent="0.2">
      <c r="A147" s="637"/>
      <c r="B147" s="417"/>
      <c r="C147" s="173">
        <v>137</v>
      </c>
      <c r="D147" s="165"/>
      <c r="E147" s="174">
        <v>1.226574259157398E-3</v>
      </c>
      <c r="F147" s="502"/>
      <c r="G147" s="219">
        <f t="shared" si="14"/>
        <v>31.024636207915606</v>
      </c>
      <c r="H147" s="249">
        <f>H146+(G146*E147*'life-tables-test'!$C$66)</f>
        <v>68.975363792084394</v>
      </c>
      <c r="I147" s="516">
        <f t="shared" si="12"/>
        <v>100</v>
      </c>
      <c r="J147" s="153">
        <f>(G147*0)/(1+cDR)^'Markov Model_SA2'!cycle</f>
        <v>0</v>
      </c>
      <c r="K147" s="178">
        <f t="shared" si="8"/>
        <v>31.024636207915606</v>
      </c>
      <c r="L147" s="202">
        <f>(G147*(uPostT))/(1+oDR)^'Markov Model_SA2'!cycle</f>
        <v>16.747888193816298</v>
      </c>
      <c r="M147" s="80"/>
      <c r="N147" s="3"/>
      <c r="O147" s="80"/>
      <c r="P147" s="173">
        <v>137</v>
      </c>
      <c r="Q147" s="165"/>
      <c r="R147" s="174">
        <v>1.226574259157398E-3</v>
      </c>
      <c r="S147" s="502"/>
      <c r="T147" s="219">
        <f t="shared" si="13"/>
        <v>29.228875245142191</v>
      </c>
      <c r="U147" s="249">
        <f>U146+(T146*R147*'life-tables-test'!$C$66)</f>
        <v>70.771124754857809</v>
      </c>
      <c r="V147" s="516">
        <f t="shared" si="10"/>
        <v>100</v>
      </c>
      <c r="W147" s="153">
        <f>(T147*0)/(1+cDR)^'Markov Model_SA2'!cycle2</f>
        <v>0</v>
      </c>
      <c r="X147" s="178">
        <f t="shared" si="11"/>
        <v>29.228875245142191</v>
      </c>
      <c r="Y147" s="202">
        <f>(T147*(uPostT))/(1+oDR)^'Markov Model_SA2'!cycle</f>
        <v>15.778490724469803</v>
      </c>
      <c r="Z147" s="80"/>
      <c r="AA147" s="3"/>
      <c r="AB147" s="3"/>
      <c r="AC147" s="14">
        <v>135</v>
      </c>
      <c r="AD147" s="14"/>
      <c r="AE147" s="14"/>
      <c r="AF147" s="3"/>
      <c r="AG147" s="3"/>
      <c r="AH147" s="3"/>
      <c r="AI147" s="14"/>
      <c r="AJ147" s="14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</row>
    <row r="148" spans="1:60" ht="14.25" customHeight="1" x14ac:dyDescent="0.2">
      <c r="A148" s="637"/>
      <c r="B148" s="417"/>
      <c r="C148" s="173">
        <v>138</v>
      </c>
      <c r="D148" s="165"/>
      <c r="E148" s="174">
        <v>1.226574259157398E-3</v>
      </c>
      <c r="F148" s="502"/>
      <c r="G148" s="219">
        <f t="shared" si="14"/>
        <v>30.834366107053853</v>
      </c>
      <c r="H148" s="249">
        <f>H147+(G147*E148*'life-tables-test'!$C$66)</f>
        <v>69.165633892946147</v>
      </c>
      <c r="I148" s="516">
        <f t="shared" si="12"/>
        <v>100</v>
      </c>
      <c r="J148" s="153">
        <f>(G148*0)/(1+cDR)^'Markov Model_SA2'!cycle</f>
        <v>0</v>
      </c>
      <c r="K148" s="178">
        <f t="shared" si="8"/>
        <v>30.834366107053853</v>
      </c>
      <c r="L148" s="202">
        <f>(G148*(uPostT))/(1+oDR)^'Markov Model_SA2'!cycle</f>
        <v>16.603666385084686</v>
      </c>
      <c r="M148" s="80"/>
      <c r="N148" s="3"/>
      <c r="O148" s="80"/>
      <c r="P148" s="173">
        <v>138</v>
      </c>
      <c r="Q148" s="165"/>
      <c r="R148" s="174">
        <v>1.226574259157398E-3</v>
      </c>
      <c r="S148" s="502"/>
      <c r="T148" s="219">
        <f t="shared" si="13"/>
        <v>29.049618315143121</v>
      </c>
      <c r="U148" s="249">
        <f>U147+(T147*R148*'life-tables-test'!$C$66)</f>
        <v>70.950381684856879</v>
      </c>
      <c r="V148" s="516">
        <f t="shared" si="10"/>
        <v>100</v>
      </c>
      <c r="W148" s="153">
        <f>(T148*0)/(1+cDR)^'Markov Model_SA2'!cycle2</f>
        <v>0</v>
      </c>
      <c r="X148" s="178">
        <f t="shared" si="11"/>
        <v>29.049618315143121</v>
      </c>
      <c r="Y148" s="202">
        <f>(T148*(uPostT))/(1+oDR)^'Markov Model_SA2'!cycle</f>
        <v>15.642616729790388</v>
      </c>
      <c r="Z148" s="80"/>
      <c r="AA148" s="3"/>
      <c r="AB148" s="3"/>
      <c r="AC148" s="14">
        <v>136</v>
      </c>
      <c r="AD148" s="14"/>
      <c r="AE148" s="14"/>
      <c r="AF148" s="3"/>
      <c r="AG148" s="3"/>
      <c r="AH148" s="3"/>
      <c r="AI148" s="14"/>
      <c r="AJ148" s="14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</row>
    <row r="149" spans="1:60" ht="14.25" customHeight="1" x14ac:dyDescent="0.2">
      <c r="A149" s="637"/>
      <c r="B149" s="417"/>
      <c r="C149" s="173">
        <v>139</v>
      </c>
      <c r="D149" s="165"/>
      <c r="E149" s="174">
        <v>1.226574259157398E-3</v>
      </c>
      <c r="F149" s="502"/>
      <c r="G149" s="219">
        <f t="shared" si="14"/>
        <v>30.645262908232112</v>
      </c>
      <c r="H149" s="249">
        <f>H148+(G148*E149*'life-tables-test'!$C$66)</f>
        <v>69.354737091767888</v>
      </c>
      <c r="I149" s="516">
        <f t="shared" si="12"/>
        <v>100</v>
      </c>
      <c r="J149" s="153">
        <f>(G149*0)/(1+cDR)^'Markov Model_SA2'!cycle</f>
        <v>0</v>
      </c>
      <c r="K149" s="178">
        <f t="shared" si="8"/>
        <v>30.645262908232112</v>
      </c>
      <c r="L149" s="202">
        <f>(G149*(uPostT))/(1+oDR)^'Markov Model_SA2'!cycle</f>
        <v>16.460686519807261</v>
      </c>
      <c r="M149" s="80"/>
      <c r="N149" s="3"/>
      <c r="O149" s="80"/>
      <c r="P149" s="173">
        <v>139</v>
      </c>
      <c r="Q149" s="165"/>
      <c r="R149" s="174">
        <v>1.226574259157398E-3</v>
      </c>
      <c r="S149" s="502"/>
      <c r="T149" s="219">
        <f t="shared" si="13"/>
        <v>28.871460744824617</v>
      </c>
      <c r="U149" s="249">
        <f>U148+(T148*R149*'life-tables-test'!$C$66)</f>
        <v>71.128539255175383</v>
      </c>
      <c r="V149" s="516">
        <f t="shared" si="10"/>
        <v>100</v>
      </c>
      <c r="W149" s="153">
        <f>(T149*0)/(1+cDR)^'Markov Model_SA2'!cycle2</f>
        <v>0</v>
      </c>
      <c r="X149" s="178">
        <f t="shared" si="11"/>
        <v>28.871460744824617</v>
      </c>
      <c r="Y149" s="202">
        <f>(T149*(uPostT))/(1+oDR)^'Markov Model_SA2'!cycle</f>
        <v>15.507912792675574</v>
      </c>
      <c r="Z149" s="80"/>
      <c r="AA149" s="3"/>
      <c r="AB149" s="3"/>
      <c r="AC149" s="14">
        <v>137</v>
      </c>
      <c r="AD149" s="14"/>
      <c r="AE149" s="14"/>
      <c r="AF149" s="3"/>
      <c r="AG149" s="3"/>
      <c r="AH149" s="3"/>
      <c r="AI149" s="14"/>
      <c r="AJ149" s="14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</row>
    <row r="150" spans="1:60" ht="14.25" customHeight="1" x14ac:dyDescent="0.2">
      <c r="A150" s="637"/>
      <c r="B150" s="417"/>
      <c r="C150" s="173">
        <v>140</v>
      </c>
      <c r="D150" s="165"/>
      <c r="E150" s="174">
        <v>1.226574259157398E-3</v>
      </c>
      <c r="F150" s="502"/>
      <c r="G150" s="219">
        <f t="shared" si="14"/>
        <v>30.457319454990369</v>
      </c>
      <c r="H150" s="249">
        <f>H149+(G149*E150*'life-tables-test'!$C$66)</f>
        <v>69.542680545009631</v>
      </c>
      <c r="I150" s="516">
        <f t="shared" si="12"/>
        <v>100</v>
      </c>
      <c r="J150" s="153">
        <f>(G150*0)/(1+cDR)^'Markov Model_SA2'!cycle</f>
        <v>0</v>
      </c>
      <c r="K150" s="178">
        <f t="shared" si="8"/>
        <v>30.457319454990369</v>
      </c>
      <c r="L150" s="202">
        <f>(G150*(uPostT))/(1+oDR)^'Markov Model_SA2'!cycle</f>
        <v>16.318937903183027</v>
      </c>
      <c r="M150" s="80"/>
      <c r="N150" s="3"/>
      <c r="O150" s="80"/>
      <c r="P150" s="173">
        <v>140</v>
      </c>
      <c r="Q150" s="165"/>
      <c r="R150" s="174">
        <v>1.226574259157398E-3</v>
      </c>
      <c r="S150" s="502"/>
      <c r="T150" s="219">
        <f t="shared" si="13"/>
        <v>28.694395791955245</v>
      </c>
      <c r="U150" s="249">
        <f>U149+(T149*R150*'life-tables-test'!$C$66)</f>
        <v>71.305604208044755</v>
      </c>
      <c r="V150" s="516">
        <f t="shared" si="10"/>
        <v>100</v>
      </c>
      <c r="W150" s="153">
        <f>(T150*0)/(1+cDR)^'Markov Model_SA2'!cycle2</f>
        <v>0</v>
      </c>
      <c r="X150" s="178">
        <f t="shared" si="11"/>
        <v>28.694395791955245</v>
      </c>
      <c r="Y150" s="202">
        <f>(T150*(uPostT))/(1+oDR)^'Markov Model_SA2'!cycle</f>
        <v>15.374368837358412</v>
      </c>
      <c r="Z150" s="80"/>
      <c r="AA150" s="3"/>
      <c r="AB150" s="3"/>
      <c r="AC150" s="14">
        <v>138</v>
      </c>
      <c r="AD150" s="14"/>
      <c r="AE150" s="14"/>
      <c r="AF150" s="3"/>
      <c r="AG150" s="3"/>
      <c r="AH150" s="3"/>
      <c r="AI150" s="14"/>
      <c r="AJ150" s="14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</row>
    <row r="151" spans="1:60" ht="14.25" customHeight="1" x14ac:dyDescent="0.2">
      <c r="A151" s="637"/>
      <c r="B151" s="417"/>
      <c r="C151" s="173">
        <v>141</v>
      </c>
      <c r="D151" s="165"/>
      <c r="E151" s="174">
        <v>1.226574259157398E-3</v>
      </c>
      <c r="F151" s="502"/>
      <c r="G151" s="219">
        <f t="shared" si="14"/>
        <v>30.27052863475825</v>
      </c>
      <c r="H151" s="249">
        <f>H150+(G150*E151*'life-tables-test'!$C$66)</f>
        <v>69.72947136524175</v>
      </c>
      <c r="I151" s="516">
        <f t="shared" si="12"/>
        <v>100</v>
      </c>
      <c r="J151" s="153">
        <f>(G151*0)/(1+cDR)^'Markov Model_SA2'!cycle</f>
        <v>0</v>
      </c>
      <c r="K151" s="178">
        <f t="shared" si="8"/>
        <v>30.27052863475825</v>
      </c>
      <c r="L151" s="202">
        <f>(G151*(uPostT))/(1+oDR)^'Markov Model_SA2'!cycle</f>
        <v>16.178409932507599</v>
      </c>
      <c r="M151" s="80"/>
      <c r="N151" s="3"/>
      <c r="O151" s="80"/>
      <c r="P151" s="173">
        <v>141</v>
      </c>
      <c r="Q151" s="165"/>
      <c r="R151" s="174">
        <v>1.226574259157398E-3</v>
      </c>
      <c r="S151" s="502"/>
      <c r="T151" s="219">
        <f t="shared" si="13"/>
        <v>28.518416755652808</v>
      </c>
      <c r="U151" s="249">
        <f>U150+(T150*R151*'life-tables-test'!$C$66)</f>
        <v>71.481583244347192</v>
      </c>
      <c r="V151" s="516">
        <f t="shared" si="10"/>
        <v>100</v>
      </c>
      <c r="W151" s="153">
        <f>(T151*0)/(1+cDR)^'Markov Model_SA2'!cycle2</f>
        <v>0</v>
      </c>
      <c r="X151" s="178">
        <f t="shared" si="11"/>
        <v>28.518416755652808</v>
      </c>
      <c r="Y151" s="202">
        <f>(T151*(uPostT))/(1+oDR)^'Markov Model_SA2'!cycle</f>
        <v>15.241974874837837</v>
      </c>
      <c r="Z151" s="80"/>
      <c r="AA151" s="3"/>
      <c r="AB151" s="3"/>
      <c r="AC151" s="14">
        <v>139</v>
      </c>
      <c r="AD151" s="14"/>
      <c r="AE151" s="14"/>
      <c r="AF151" s="3"/>
      <c r="AG151" s="3"/>
      <c r="AH151" s="3"/>
      <c r="AI151" s="14"/>
      <c r="AJ151" s="14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</row>
    <row r="152" spans="1:60" ht="14.25" customHeight="1" x14ac:dyDescent="0.2">
      <c r="A152" s="637"/>
      <c r="B152" s="417"/>
      <c r="C152" s="173">
        <v>142</v>
      </c>
      <c r="D152" s="165"/>
      <c r="E152" s="174">
        <v>1.226574259157398E-3</v>
      </c>
      <c r="F152" s="502"/>
      <c r="G152" s="219">
        <f t="shared" si="14"/>
        <v>30.084883378585843</v>
      </c>
      <c r="H152" s="249">
        <f>H151+(G151*E152*'life-tables-test'!$C$66)</f>
        <v>69.915116621414157</v>
      </c>
      <c r="I152" s="516">
        <f t="shared" si="12"/>
        <v>100</v>
      </c>
      <c r="J152" s="153">
        <f>(G152*0)/(1+cDR)^'Markov Model_SA2'!cycle</f>
        <v>0</v>
      </c>
      <c r="K152" s="178">
        <f t="shared" si="8"/>
        <v>30.084883378585843</v>
      </c>
      <c r="L152" s="202">
        <f>(G152*(uPostT))/(1+oDR)^'Markov Model_SA2'!cycle</f>
        <v>16.039092096380102</v>
      </c>
      <c r="M152" s="80"/>
      <c r="N152" s="3"/>
      <c r="O152" s="80"/>
      <c r="P152" s="173">
        <v>142</v>
      </c>
      <c r="Q152" s="165"/>
      <c r="R152" s="174">
        <v>1.226574259157398E-3</v>
      </c>
      <c r="S152" s="502"/>
      <c r="T152" s="219">
        <f t="shared" si="13"/>
        <v>28.343516976130772</v>
      </c>
      <c r="U152" s="249">
        <f>U151+(T151*R152*'life-tables-test'!$C$66)</f>
        <v>71.656483023869228</v>
      </c>
      <c r="V152" s="516">
        <f t="shared" si="10"/>
        <v>100</v>
      </c>
      <c r="W152" s="153">
        <f>(T152*0)/(1+cDR)^'Markov Model_SA2'!cycle2</f>
        <v>0</v>
      </c>
      <c r="X152" s="178">
        <f t="shared" si="11"/>
        <v>28.343516976130772</v>
      </c>
      <c r="Y152" s="202">
        <f>(T152*(uPostT))/(1+oDR)^'Markov Model_SA2'!cycle</f>
        <v>15.110721002131513</v>
      </c>
      <c r="Z152" s="80"/>
      <c r="AA152" s="3"/>
      <c r="AB152" s="3"/>
      <c r="AC152" s="14">
        <v>140</v>
      </c>
      <c r="AD152" s="14"/>
      <c r="AE152" s="14"/>
      <c r="AF152" s="3"/>
      <c r="AG152" s="3"/>
      <c r="AH152" s="3"/>
      <c r="AI152" s="14"/>
      <c r="AJ152" s="14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</row>
    <row r="153" spans="1:60" ht="14.25" customHeight="1" x14ac:dyDescent="0.2">
      <c r="A153" s="637"/>
      <c r="B153" s="417"/>
      <c r="C153" s="173">
        <v>143</v>
      </c>
      <c r="D153" s="165"/>
      <c r="E153" s="174">
        <v>1.226574259157398E-3</v>
      </c>
      <c r="F153" s="502"/>
      <c r="G153" s="219">
        <f t="shared" si="14"/>
        <v>29.900376660876219</v>
      </c>
      <c r="H153" s="249">
        <f>H152+(G152*E153*'life-tables-test'!$C$66)</f>
        <v>70.099623339123781</v>
      </c>
      <c r="I153" s="516">
        <f t="shared" si="12"/>
        <v>100</v>
      </c>
      <c r="J153" s="153">
        <f>(G153*0)/(1+cDR)^'Markov Model_SA2'!cycle</f>
        <v>0</v>
      </c>
      <c r="K153" s="178">
        <f t="shared" si="8"/>
        <v>29.900376660876219</v>
      </c>
      <c r="L153" s="202">
        <f>(G153*(uPostT))/(1+oDR)^'Markov Model_SA2'!cycle</f>
        <v>15.90097397391694</v>
      </c>
      <c r="M153" s="80"/>
      <c r="N153" s="3"/>
      <c r="O153" s="80"/>
      <c r="P153" s="173">
        <v>143</v>
      </c>
      <c r="Q153" s="165"/>
      <c r="R153" s="174">
        <v>1.226574259157398E-3</v>
      </c>
      <c r="S153" s="502"/>
      <c r="T153" s="219">
        <f t="shared" si="13"/>
        <v>28.169689834446203</v>
      </c>
      <c r="U153" s="249">
        <f>U152+(T152*R153*'life-tables-test'!$C$66)</f>
        <v>71.830310165553797</v>
      </c>
      <c r="V153" s="516">
        <f t="shared" si="10"/>
        <v>100</v>
      </c>
      <c r="W153" s="153">
        <f>(T153*0)/(1+cDR)^'Markov Model_SA2'!cycle2</f>
        <v>0</v>
      </c>
      <c r="X153" s="178">
        <f t="shared" si="11"/>
        <v>28.169689834446203</v>
      </c>
      <c r="Y153" s="202">
        <f>(T153*(uPostT))/(1+oDR)^'Markov Model_SA2'!cycle</f>
        <v>14.980597401535055</v>
      </c>
      <c r="Z153" s="80"/>
      <c r="AA153" s="3"/>
      <c r="AB153" s="3"/>
      <c r="AC153" s="14">
        <v>141</v>
      </c>
      <c r="AD153" s="14"/>
      <c r="AE153" s="14"/>
      <c r="AF153" s="3"/>
      <c r="AG153" s="3"/>
      <c r="AH153" s="3"/>
      <c r="AI153" s="14"/>
      <c r="AJ153" s="14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</row>
    <row r="154" spans="1:60" ht="14.25" customHeight="1" x14ac:dyDescent="0.2">
      <c r="A154" s="637"/>
      <c r="B154" s="417"/>
      <c r="C154" s="173">
        <v>144</v>
      </c>
      <c r="D154" s="165"/>
      <c r="E154" s="174">
        <v>1.226574259157398E-3</v>
      </c>
      <c r="F154" s="502"/>
      <c r="G154" s="219">
        <f t="shared" si="14"/>
        <v>29.717001499119519</v>
      </c>
      <c r="H154" s="249">
        <f>H153+(G153*E154*'life-tables-test'!$C$66)</f>
        <v>70.282998500880481</v>
      </c>
      <c r="I154" s="516">
        <f t="shared" si="12"/>
        <v>100</v>
      </c>
      <c r="J154" s="153">
        <f>(G154*0)/(1+cDR)^'Markov Model_SA2'!cycle</f>
        <v>0</v>
      </c>
      <c r="K154" s="178">
        <f t="shared" si="8"/>
        <v>29.717001499119519</v>
      </c>
      <c r="L154" s="202">
        <f>(G154*(uPostT))/(1+oDR)^'Markov Model_SA2'!cycle</f>
        <v>15.76404523397232</v>
      </c>
      <c r="M154" s="80"/>
      <c r="N154" s="3"/>
      <c r="O154" s="80"/>
      <c r="P154" s="173">
        <v>144</v>
      </c>
      <c r="Q154" s="165"/>
      <c r="R154" s="174">
        <v>1.226574259157398E-3</v>
      </c>
      <c r="S154" s="502"/>
      <c r="T154" s="219">
        <f t="shared" si="13"/>
        <v>27.996928752249303</v>
      </c>
      <c r="U154" s="249">
        <f>U153+(T153*R154*'life-tables-test'!$C$66)</f>
        <v>72.003071247750697</v>
      </c>
      <c r="V154" s="516">
        <f t="shared" si="10"/>
        <v>100</v>
      </c>
      <c r="W154" s="153">
        <f>(T154*0)/(1+cDR)^'Markov Model_SA2'!cycle2</f>
        <v>0</v>
      </c>
      <c r="X154" s="178">
        <f t="shared" si="11"/>
        <v>27.996928752249303</v>
      </c>
      <c r="Y154" s="202">
        <f>(T154*(uPostT))/(1+oDR)^'Markov Model_SA2'!cycle</f>
        <v>14.851594339887717</v>
      </c>
      <c r="Z154" s="80"/>
      <c r="AA154" s="3"/>
      <c r="AB154" s="3"/>
      <c r="AC154" s="14">
        <v>142</v>
      </c>
      <c r="AD154" s="14"/>
      <c r="AE154" s="14"/>
      <c r="AF154" s="3"/>
      <c r="AG154" s="3"/>
      <c r="AH154" s="3"/>
      <c r="AI154" s="14"/>
      <c r="AJ154" s="14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</row>
    <row r="155" spans="1:60" ht="14.25" customHeight="1" x14ac:dyDescent="0.2">
      <c r="A155" s="606"/>
      <c r="B155" s="417"/>
      <c r="C155" s="173">
        <v>145</v>
      </c>
      <c r="D155" s="504"/>
      <c r="E155" s="174">
        <v>1.226574259157398E-3</v>
      </c>
      <c r="F155" s="505"/>
      <c r="G155" s="219">
        <f t="shared" si="14"/>
        <v>29.534750953628716</v>
      </c>
      <c r="H155" s="249">
        <f>H154+(G154*E155*'life-tables-test'!$C$66)</f>
        <v>70.465249046371284</v>
      </c>
      <c r="I155" s="516">
        <f t="shared" si="12"/>
        <v>100</v>
      </c>
      <c r="J155" s="180">
        <f>(G155*0)/(1+cDR)^'Markov Model_SA2'!cycle</f>
        <v>0</v>
      </c>
      <c r="K155" s="176">
        <f t="shared" si="8"/>
        <v>29.534750953628716</v>
      </c>
      <c r="L155" s="202">
        <f>(G155*(uPostT))/(1+oDR)^'Markov Model_SA2'!cycle</f>
        <v>15.628295634365495</v>
      </c>
      <c r="M155" s="80"/>
      <c r="N155" s="3"/>
      <c r="O155" s="80"/>
      <c r="P155" s="173">
        <v>145</v>
      </c>
      <c r="Q155" s="504"/>
      <c r="R155" s="174">
        <v>1.226574259157398E-3</v>
      </c>
      <c r="S155" s="505"/>
      <c r="T155" s="219">
        <f t="shared" si="13"/>
        <v>27.825227191534438</v>
      </c>
      <c r="U155" s="249">
        <f>U154+(T154*R155*'life-tables-test'!$C$66)</f>
        <v>72.174772808465562</v>
      </c>
      <c r="V155" s="516">
        <f t="shared" si="10"/>
        <v>100</v>
      </c>
      <c r="W155" s="180">
        <f>(T155*0)/(1+cDR)^'Markov Model_SA2'!cycle2</f>
        <v>0</v>
      </c>
      <c r="X155" s="176">
        <f t="shared" si="11"/>
        <v>27.825227191534438</v>
      </c>
      <c r="Y155" s="202">
        <f>(T155*(uPostT))/(1+oDR)^'Markov Model_SA2'!cycle</f>
        <v>14.723702167844337</v>
      </c>
      <c r="Z155" s="80"/>
      <c r="AA155" s="3"/>
      <c r="AB155" s="3"/>
      <c r="AC155" s="14">
        <v>143</v>
      </c>
      <c r="AD155" s="14"/>
      <c r="AE155" s="14"/>
      <c r="AF155" s="3"/>
      <c r="AG155" s="3"/>
      <c r="AH155" s="3"/>
      <c r="AI155" s="14"/>
      <c r="AJ155" s="14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</row>
    <row r="156" spans="1:60" ht="14.25" customHeight="1" x14ac:dyDescent="0.25">
      <c r="A156" s="637" t="s">
        <v>554</v>
      </c>
      <c r="B156" s="417"/>
      <c r="C156" s="506">
        <v>146</v>
      </c>
      <c r="D156" s="506"/>
      <c r="E156" s="507">
        <v>1.226574259157398E-3</v>
      </c>
      <c r="F156" s="508"/>
      <c r="G156" s="509">
        <f t="shared" si="14"/>
        <v>29.353618127276988</v>
      </c>
      <c r="H156" s="510">
        <f>H155+(G155*E156*'life-tables-test'!$C$66)</f>
        <v>70.646381872723012</v>
      </c>
      <c r="I156" s="518">
        <f t="shared" si="12"/>
        <v>100</v>
      </c>
      <c r="J156" s="511">
        <f>(G156*0)/(1+cDR)^'Markov Model_SA2'!cycle</f>
        <v>0</v>
      </c>
      <c r="K156" s="512">
        <f t="shared" si="8"/>
        <v>29.353618127276988</v>
      </c>
      <c r="L156" s="513">
        <f>(G156*(uPostT))/(1+oDR)^'Markov Model_SA2'!cycle</f>
        <v>15.493715021114632</v>
      </c>
      <c r="M156" s="80"/>
      <c r="N156" s="3"/>
      <c r="O156" s="80"/>
      <c r="P156" s="506">
        <v>146</v>
      </c>
      <c r="Q156" s="506"/>
      <c r="R156" s="507">
        <v>1.226574259157398E-3</v>
      </c>
      <c r="S156" s="508"/>
      <c r="T156" s="509">
        <f t="shared" si="13"/>
        <v>27.654578654392722</v>
      </c>
      <c r="U156" s="510">
        <f>U155+(T155*R156*'life-tables-test'!$C$66)</f>
        <v>72.345421345607278</v>
      </c>
      <c r="V156" s="518">
        <f t="shared" si="10"/>
        <v>100</v>
      </c>
      <c r="W156" s="511">
        <f>(T156*0)/(1+cDR)^'Markov Model_SA2'!cycle2</f>
        <v>0</v>
      </c>
      <c r="X156" s="512">
        <f t="shared" si="11"/>
        <v>27.654578654392722</v>
      </c>
      <c r="Y156" s="513">
        <f>(T156*(uPostT))/(1+oDR)^'Markov Model_SA2'!cycle</f>
        <v>14.596911319153559</v>
      </c>
      <c r="Z156" s="80"/>
      <c r="AA156" s="3"/>
      <c r="AB156" s="3"/>
      <c r="AC156" s="14">
        <v>144</v>
      </c>
      <c r="AD156" s="14"/>
      <c r="AE156" s="14"/>
      <c r="AF156" s="3"/>
      <c r="AG156" s="3"/>
      <c r="AH156" s="3"/>
      <c r="AI156" s="14"/>
      <c r="AJ156" s="14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</row>
    <row r="157" spans="1:60" ht="14.25" customHeight="1" x14ac:dyDescent="0.2">
      <c r="A157" s="637"/>
      <c r="B157" s="417"/>
      <c r="C157" s="173">
        <v>147</v>
      </c>
      <c r="D157" s="165"/>
      <c r="E157" s="174">
        <v>1.3237621699756508E-3</v>
      </c>
      <c r="F157" s="502"/>
      <c r="G157" s="219">
        <f t="shared" si="14"/>
        <v>29.159332081132987</v>
      </c>
      <c r="H157" s="249">
        <f>H156+(G156*E157*'life-tables-test'!$C$66)</f>
        <v>70.840667918867013</v>
      </c>
      <c r="I157" s="516">
        <f t="shared" si="12"/>
        <v>100</v>
      </c>
      <c r="J157" s="153">
        <f>(G157*0)/(1+cDR)^'Markov Model_SA2'!cycle</f>
        <v>0</v>
      </c>
      <c r="K157" s="178">
        <f t="shared" si="8"/>
        <v>29.159332081132987</v>
      </c>
      <c r="L157" s="202">
        <f>(G157*(uPostT))/(1+oDR)^'Markov Model_SA2'!cycle</f>
        <v>15.352783094292231</v>
      </c>
      <c r="M157" s="80"/>
      <c r="N157" s="3"/>
      <c r="O157" s="80"/>
      <c r="P157" s="173">
        <v>147</v>
      </c>
      <c r="Q157" s="165"/>
      <c r="R157" s="174">
        <v>1.3237621699756508E-3</v>
      </c>
      <c r="S157" s="502"/>
      <c r="T157" s="219">
        <f t="shared" si="13"/>
        <v>27.471538229146219</v>
      </c>
      <c r="U157" s="249">
        <f>U156+(T156*R157*'life-tables-test'!$C$66)</f>
        <v>72.528461770853781</v>
      </c>
      <c r="V157" s="516">
        <f t="shared" si="10"/>
        <v>100</v>
      </c>
      <c r="W157" s="153">
        <f>(T157*0)/(1+cDR)^'Markov Model_SA2'!cycle2</f>
        <v>0</v>
      </c>
      <c r="X157" s="178">
        <f t="shared" si="11"/>
        <v>27.471538229146219</v>
      </c>
      <c r="Y157" s="202">
        <f>(T157*(uPostT))/(1+oDR)^'Markov Model_SA2'!cycle</f>
        <v>14.464136782184179</v>
      </c>
      <c r="Z157" s="80"/>
      <c r="AA157" s="3"/>
      <c r="AB157" s="3"/>
      <c r="AC157" s="14">
        <v>145</v>
      </c>
      <c r="AD157" s="14"/>
      <c r="AE157" s="14"/>
      <c r="AF157" s="3"/>
      <c r="AG157" s="3"/>
      <c r="AH157" s="3"/>
      <c r="AI157" s="14"/>
      <c r="AJ157" s="14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</row>
    <row r="158" spans="1:60" ht="14.25" customHeight="1" x14ac:dyDescent="0.2">
      <c r="A158" s="637"/>
      <c r="B158" s="417"/>
      <c r="C158" s="173">
        <v>148</v>
      </c>
      <c r="D158" s="165"/>
      <c r="E158" s="174">
        <v>1.3237621699756508E-3</v>
      </c>
      <c r="F158" s="502"/>
      <c r="G158" s="219">
        <f t="shared" si="14"/>
        <v>28.966331977579188</v>
      </c>
      <c r="H158" s="249">
        <f>H157+(G157*E158*'life-tables-test'!$C$66)</f>
        <v>71.033668022420812</v>
      </c>
      <c r="I158" s="516">
        <f t="shared" si="12"/>
        <v>100</v>
      </c>
      <c r="J158" s="153">
        <f>(G158*0)/(1+cDR)^'Markov Model_SA2'!cycle</f>
        <v>0</v>
      </c>
      <c r="K158" s="178">
        <f t="shared" si="8"/>
        <v>28.966331977579188</v>
      </c>
      <c r="L158" s="202">
        <f>(G158*(uPostT))/(1+oDR)^'Markov Model_SA2'!cycle</f>
        <v>15.213133094236312</v>
      </c>
      <c r="M158" s="80"/>
      <c r="N158" s="3"/>
      <c r="O158" s="80"/>
      <c r="P158" s="173">
        <v>148</v>
      </c>
      <c r="Q158" s="165"/>
      <c r="R158" s="174">
        <v>1.3237621699756508E-3</v>
      </c>
      <c r="S158" s="502"/>
      <c r="T158" s="219">
        <f t="shared" si="13"/>
        <v>27.289709313852299</v>
      </c>
      <c r="U158" s="249">
        <f>U157+(T157*R158*'life-tables-test'!$C$66)</f>
        <v>72.710290686147701</v>
      </c>
      <c r="V158" s="516">
        <f t="shared" si="10"/>
        <v>100</v>
      </c>
      <c r="W158" s="153">
        <f>(T158*0)/(1+cDR)^'Markov Model_SA2'!cycle2</f>
        <v>0</v>
      </c>
      <c r="X158" s="178">
        <f t="shared" si="11"/>
        <v>27.289709313852299</v>
      </c>
      <c r="Y158" s="202">
        <f>(T158*(uPostT))/(1+oDR)^'Markov Model_SA2'!cycle</f>
        <v>14.332569971786667</v>
      </c>
      <c r="Z158" s="80"/>
      <c r="AA158" s="3"/>
      <c r="AB158" s="3"/>
      <c r="AC158" s="14">
        <v>146</v>
      </c>
      <c r="AD158" s="14"/>
      <c r="AE158" s="14"/>
      <c r="AF158" s="3"/>
      <c r="AG158" s="3"/>
      <c r="AH158" s="3"/>
      <c r="AI158" s="14"/>
      <c r="AJ158" s="14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</row>
    <row r="159" spans="1:60" ht="14.25" customHeight="1" x14ac:dyDescent="0.2">
      <c r="A159" s="637"/>
      <c r="B159" s="417"/>
      <c r="C159" s="173">
        <v>149</v>
      </c>
      <c r="D159" s="165"/>
      <c r="E159" s="174">
        <v>1.3237621699756508E-3</v>
      </c>
      <c r="F159" s="502"/>
      <c r="G159" s="219">
        <f t="shared" si="14"/>
        <v>28.774609305204805</v>
      </c>
      <c r="H159" s="249">
        <f>H158+(G158*E159*'life-tables-test'!$C$66)</f>
        <v>71.225390694795195</v>
      </c>
      <c r="I159" s="516">
        <f t="shared" si="12"/>
        <v>100</v>
      </c>
      <c r="J159" s="153">
        <f>(G159*0)/(1+cDR)^'Markov Model_SA2'!cycle</f>
        <v>0</v>
      </c>
      <c r="K159" s="178">
        <f t="shared" si="8"/>
        <v>28.774609305204805</v>
      </c>
      <c r="L159" s="202">
        <f>(G159*(uPostT))/(1+oDR)^'Markov Model_SA2'!cycle</f>
        <v>15.074753360450416</v>
      </c>
      <c r="M159" s="80"/>
      <c r="N159" s="3"/>
      <c r="O159" s="80"/>
      <c r="P159" s="173">
        <v>149</v>
      </c>
      <c r="Q159" s="165"/>
      <c r="R159" s="174">
        <v>1.3237621699756508E-3</v>
      </c>
      <c r="S159" s="502"/>
      <c r="T159" s="219">
        <f t="shared" si="13"/>
        <v>27.109083889755752</v>
      </c>
      <c r="U159" s="249">
        <f>U158+(T158*R159*'life-tables-test'!$C$66)</f>
        <v>72.890916110244248</v>
      </c>
      <c r="V159" s="516">
        <f t="shared" si="10"/>
        <v>100</v>
      </c>
      <c r="W159" s="153">
        <f>(T159*0)/(1+cDR)^'Markov Model_SA2'!cycle2</f>
        <v>0</v>
      </c>
      <c r="X159" s="178">
        <f t="shared" si="11"/>
        <v>27.109083889755752</v>
      </c>
      <c r="Y159" s="202">
        <f>(T159*(uPostT))/(1+oDR)^'Markov Model_SA2'!cycle</f>
        <v>14.202199902394781</v>
      </c>
      <c r="Z159" s="80"/>
      <c r="AA159" s="3"/>
      <c r="AB159" s="3"/>
      <c r="AC159" s="14">
        <v>147</v>
      </c>
      <c r="AD159" s="14"/>
      <c r="AE159" s="14"/>
      <c r="AF159" s="3"/>
      <c r="AG159" s="3"/>
      <c r="AH159" s="3"/>
      <c r="AI159" s="14"/>
      <c r="AJ159" s="14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</row>
    <row r="160" spans="1:60" ht="14.25" customHeight="1" x14ac:dyDescent="0.2">
      <c r="A160" s="637"/>
      <c r="B160" s="417"/>
      <c r="C160" s="173">
        <v>150</v>
      </c>
      <c r="D160" s="165"/>
      <c r="E160" s="174">
        <v>1.3237621699756508E-3</v>
      </c>
      <c r="F160" s="502"/>
      <c r="G160" s="219">
        <f t="shared" si="14"/>
        <v>28.584155608934509</v>
      </c>
      <c r="H160" s="249">
        <f>H159+(G159*E160*'life-tables-test'!$C$66)</f>
        <v>71.415844391065491</v>
      </c>
      <c r="I160" s="516">
        <f t="shared" si="12"/>
        <v>100</v>
      </c>
      <c r="J160" s="153">
        <f>(G160*0)/(1+cDR)^'Markov Model_SA2'!cycle</f>
        <v>0</v>
      </c>
      <c r="K160" s="178">
        <f t="shared" si="8"/>
        <v>28.584155608934509</v>
      </c>
      <c r="L160" s="202">
        <f>(G160*(uPostT))/(1+oDR)^'Markov Model_SA2'!cycle</f>
        <v>14.937632338502773</v>
      </c>
      <c r="M160" s="80"/>
      <c r="N160" s="3"/>
      <c r="O160" s="80"/>
      <c r="P160" s="173">
        <v>150</v>
      </c>
      <c r="Q160" s="165"/>
      <c r="R160" s="174">
        <v>1.3237621699756508E-3</v>
      </c>
      <c r="S160" s="502"/>
      <c r="T160" s="219">
        <f t="shared" si="13"/>
        <v>26.929653991175982</v>
      </c>
      <c r="U160" s="249">
        <f>U159+(T159*R160*'life-tables-test'!$C$66)</f>
        <v>73.070346008824018</v>
      </c>
      <c r="V160" s="516">
        <f t="shared" si="10"/>
        <v>100</v>
      </c>
      <c r="W160" s="153">
        <f>(T160*0)/(1+cDR)^'Markov Model_SA2'!cycle2</f>
        <v>0</v>
      </c>
      <c r="X160" s="178">
        <f t="shared" si="11"/>
        <v>26.929653991175982</v>
      </c>
      <c r="Y160" s="202">
        <f>(T160*(uPostT))/(1+oDR)^'Markov Model_SA2'!cycle</f>
        <v>14.073015688367759</v>
      </c>
      <c r="Z160" s="80"/>
      <c r="AA160" s="3"/>
      <c r="AB160" s="3"/>
      <c r="AC160" s="14">
        <v>148</v>
      </c>
      <c r="AD160" s="14"/>
      <c r="AE160" s="14"/>
      <c r="AF160" s="3"/>
      <c r="AG160" s="3"/>
      <c r="AH160" s="3"/>
      <c r="AI160" s="14"/>
      <c r="AJ160" s="14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</row>
    <row r="161" spans="1:58" ht="14.25" customHeight="1" x14ac:dyDescent="0.2">
      <c r="A161" s="637"/>
      <c r="B161" s="417"/>
      <c r="C161" s="173">
        <v>151</v>
      </c>
      <c r="D161" s="165"/>
      <c r="E161" s="174">
        <v>1.3237621699756508E-3</v>
      </c>
      <c r="F161" s="502"/>
      <c r="G161" s="219">
        <f t="shared" si="14"/>
        <v>28.394962489655484</v>
      </c>
      <c r="H161" s="249">
        <f>H160+(G160*E161*'life-tables-test'!$C$66)</f>
        <v>71.605037510344516</v>
      </c>
      <c r="I161" s="516">
        <f t="shared" si="12"/>
        <v>100</v>
      </c>
      <c r="J161" s="153">
        <f>(G161*0)/(1+cDR)^'Markov Model_SA2'!cycle</f>
        <v>0</v>
      </c>
      <c r="K161" s="178">
        <f t="shared" si="8"/>
        <v>28.394962489655484</v>
      </c>
      <c r="L161" s="202">
        <f>(G161*(uPostT))/(1+oDR)^'Markov Model_SA2'!cycle</f>
        <v>14.801758579061541</v>
      </c>
      <c r="M161" s="80"/>
      <c r="N161" s="3"/>
      <c r="O161" s="80"/>
      <c r="P161" s="173">
        <v>151</v>
      </c>
      <c r="Q161" s="165"/>
      <c r="R161" s="174">
        <v>1.3237621699756508E-3</v>
      </c>
      <c r="S161" s="502"/>
      <c r="T161" s="219">
        <f t="shared" si="13"/>
        <v>26.751411705155718</v>
      </c>
      <c r="U161" s="249">
        <f>U160+(T160*R161*'life-tables-test'!$C$66)</f>
        <v>73.248588294844282</v>
      </c>
      <c r="V161" s="516">
        <f t="shared" si="10"/>
        <v>100</v>
      </c>
      <c r="W161" s="153">
        <f>(T161*0)/(1+cDR)^'Markov Model_SA2'!cycle2</f>
        <v>0</v>
      </c>
      <c r="X161" s="178">
        <f t="shared" si="11"/>
        <v>26.751411705155718</v>
      </c>
      <c r="Y161" s="202">
        <f>(T161*(uPostT))/(1+oDR)^'Markov Model_SA2'!cycle</f>
        <v>13.945006543081378</v>
      </c>
      <c r="Z161" s="80"/>
      <c r="AA161" s="3"/>
      <c r="AB161" s="3"/>
      <c r="AC161" s="14">
        <v>149</v>
      </c>
      <c r="AD161" s="14"/>
      <c r="AE161" s="14"/>
      <c r="AF161" s="3"/>
      <c r="AG161" s="3"/>
      <c r="AH161" s="3"/>
      <c r="AI161" s="14"/>
      <c r="AJ161" s="14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</row>
    <row r="162" spans="1:58" ht="14.25" customHeight="1" x14ac:dyDescent="0.2">
      <c r="A162" s="637"/>
      <c r="B162" s="417"/>
      <c r="C162" s="173">
        <v>152</v>
      </c>
      <c r="D162" s="165"/>
      <c r="E162" s="174">
        <v>1.3237621699756508E-3</v>
      </c>
      <c r="F162" s="502"/>
      <c r="G162" s="219">
        <f t="shared" si="14"/>
        <v>28.207021603847068</v>
      </c>
      <c r="H162" s="249">
        <f>H161+(G161*E162*'life-tables-test'!$C$66)</f>
        <v>71.792978396152932</v>
      </c>
      <c r="I162" s="516">
        <f t="shared" si="12"/>
        <v>100</v>
      </c>
      <c r="J162" s="153">
        <f>(G162*0)/(1+cDR)^'Markov Model_SA2'!cycle</f>
        <v>0</v>
      </c>
      <c r="K162" s="178">
        <f t="shared" si="8"/>
        <v>28.207021603847068</v>
      </c>
      <c r="L162" s="202">
        <f>(G162*(uPostT))/(1+oDR)^'Markov Model_SA2'!cycle</f>
        <v>14.667120736938827</v>
      </c>
      <c r="M162" s="80"/>
      <c r="N162" s="3"/>
      <c r="O162" s="80"/>
      <c r="P162" s="173">
        <v>152</v>
      </c>
      <c r="Q162" s="165"/>
      <c r="R162" s="174">
        <v>1.3237621699756508E-3</v>
      </c>
      <c r="S162" s="502"/>
      <c r="T162" s="219">
        <f t="shared" si="13"/>
        <v>26.574349171112075</v>
      </c>
      <c r="U162" s="249">
        <f>U161+(T161*R162*'life-tables-test'!$C$66)</f>
        <v>73.425650828887925</v>
      </c>
      <c r="V162" s="516">
        <f t="shared" si="10"/>
        <v>100</v>
      </c>
      <c r="W162" s="153">
        <f>(T162*0)/(1+cDR)^'Markov Model_SA2'!cycle2</f>
        <v>0</v>
      </c>
      <c r="X162" s="178">
        <f t="shared" si="11"/>
        <v>26.574349171112075</v>
      </c>
      <c r="Y162" s="202">
        <f>(T162*(uPostT))/(1+oDR)^'Markov Model_SA2'!cycle</f>
        <v>13.818161778027342</v>
      </c>
      <c r="Z162" s="80"/>
      <c r="AA162" s="3"/>
      <c r="AB162" s="3"/>
      <c r="AC162" s="14">
        <v>150</v>
      </c>
      <c r="AD162" s="14"/>
      <c r="AE162" s="14"/>
      <c r="AF162" s="3"/>
      <c r="AG162" s="3"/>
      <c r="AH162" s="3"/>
      <c r="AI162" s="14"/>
      <c r="AJ162" s="14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</row>
    <row r="163" spans="1:58" ht="14.25" customHeight="1" x14ac:dyDescent="0.2">
      <c r="A163" s="637"/>
      <c r="B163" s="417"/>
      <c r="C163" s="173">
        <v>153</v>
      </c>
      <c r="D163" s="165"/>
      <c r="E163" s="174">
        <v>1.3237621699756508E-3</v>
      </c>
      <c r="F163" s="502"/>
      <c r="G163" s="219">
        <f t="shared" si="14"/>
        <v>28.020324663212776</v>
      </c>
      <c r="H163" s="249">
        <f>H162+(G162*E163*'life-tables-test'!$C$66)</f>
        <v>71.979675336787224</v>
      </c>
      <c r="I163" s="516">
        <f t="shared" si="12"/>
        <v>100</v>
      </c>
      <c r="J163" s="153">
        <f>(G163*0)/(1+cDR)^'Markov Model_SA2'!cycle</f>
        <v>0</v>
      </c>
      <c r="K163" s="178">
        <f t="shared" si="8"/>
        <v>28.020324663212776</v>
      </c>
      <c r="L163" s="202">
        <f>(G163*(uPostT))/(1+oDR)^'Markov Model_SA2'!cycle</f>
        <v>14.53370757014334</v>
      </c>
      <c r="M163" s="80"/>
      <c r="N163" s="3"/>
      <c r="O163" s="80"/>
      <c r="P163" s="173">
        <v>153</v>
      </c>
      <c r="Q163" s="165"/>
      <c r="R163" s="174">
        <v>1.3237621699756508E-3</v>
      </c>
      <c r="S163" s="502"/>
      <c r="T163" s="219">
        <f t="shared" si="13"/>
        <v>26.398458580489859</v>
      </c>
      <c r="U163" s="249">
        <f>U162+(T162*R163*'life-tables-test'!$C$66)</f>
        <v>73.601541419510141</v>
      </c>
      <c r="V163" s="516">
        <f t="shared" si="10"/>
        <v>100</v>
      </c>
      <c r="W163" s="153">
        <f>(T163*0)/(1+cDR)^'Markov Model_SA2'!cycle2</f>
        <v>0</v>
      </c>
      <c r="X163" s="178">
        <f t="shared" si="11"/>
        <v>26.398458580489859</v>
      </c>
      <c r="Y163" s="202">
        <f>(T163*(uPostT))/(1+oDR)^'Markov Model_SA2'!cycle</f>
        <v>13.692470801920754</v>
      </c>
      <c r="Z163" s="80"/>
      <c r="AA163" s="3"/>
      <c r="AB163" s="3"/>
      <c r="AC163" s="14">
        <v>151</v>
      </c>
      <c r="AD163" s="14"/>
      <c r="AE163" s="14"/>
      <c r="AF163" s="3"/>
      <c r="AG163" s="3"/>
      <c r="AH163" s="3"/>
      <c r="AI163" s="14"/>
      <c r="AJ163" s="14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</row>
    <row r="164" spans="1:58" ht="14.25" customHeight="1" x14ac:dyDescent="0.2">
      <c r="A164" s="637"/>
      <c r="B164" s="417"/>
      <c r="C164" s="173">
        <v>154</v>
      </c>
      <c r="D164" s="165"/>
      <c r="E164" s="174">
        <v>1.3237621699756508E-3</v>
      </c>
      <c r="F164" s="502"/>
      <c r="G164" s="219">
        <f t="shared" si="14"/>
        <v>27.834863434314798</v>
      </c>
      <c r="H164" s="249">
        <f>H163+(G163*E164*'life-tables-test'!$C$66)</f>
        <v>72.165136565685202</v>
      </c>
      <c r="I164" s="516">
        <f t="shared" si="12"/>
        <v>100</v>
      </c>
      <c r="J164" s="153">
        <f>(G164*0)/(1+cDR)^'Markov Model_SA2'!cycle</f>
        <v>0</v>
      </c>
      <c r="K164" s="178">
        <f t="shared" si="8"/>
        <v>27.834863434314798</v>
      </c>
      <c r="L164" s="202">
        <f>(G164*(uPostT))/(1+oDR)^'Markov Model_SA2'!cycle</f>
        <v>14.401507938941771</v>
      </c>
      <c r="M164" s="80"/>
      <c r="N164" s="3"/>
      <c r="O164" s="80"/>
      <c r="P164" s="173">
        <v>154</v>
      </c>
      <c r="Q164" s="165"/>
      <c r="R164" s="174">
        <v>1.3237621699756508E-3</v>
      </c>
      <c r="S164" s="502"/>
      <c r="T164" s="219">
        <f t="shared" si="13"/>
        <v>26.223732176417258</v>
      </c>
      <c r="U164" s="249">
        <f>U163+(T163*R164*'life-tables-test'!$C$66)</f>
        <v>73.776267823582742</v>
      </c>
      <c r="V164" s="516">
        <f t="shared" si="10"/>
        <v>100</v>
      </c>
      <c r="W164" s="153">
        <f>(T164*0)/(1+cDR)^'Markov Model_SA2'!cycle2</f>
        <v>0</v>
      </c>
      <c r="X164" s="178">
        <f t="shared" si="11"/>
        <v>26.223732176417258</v>
      </c>
      <c r="Y164" s="202">
        <f>(T164*(uPostT))/(1+oDR)^'Markov Model_SA2'!cycle</f>
        <v>13.567923119815823</v>
      </c>
      <c r="Z164" s="80"/>
      <c r="AA164" s="3"/>
      <c r="AB164" s="3"/>
      <c r="AC164" s="14">
        <v>152</v>
      </c>
      <c r="AD164" s="14"/>
      <c r="AE164" s="14"/>
      <c r="AF164" s="3"/>
      <c r="AG164" s="3"/>
      <c r="AH164" s="3"/>
      <c r="AI164" s="14"/>
      <c r="AJ164" s="14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</row>
    <row r="165" spans="1:58" ht="14.25" customHeight="1" x14ac:dyDescent="0.2">
      <c r="A165" s="637"/>
      <c r="B165" s="417"/>
      <c r="C165" s="173">
        <v>155</v>
      </c>
      <c r="D165" s="165"/>
      <c r="E165" s="174">
        <v>1.3237621699756508E-3</v>
      </c>
      <c r="F165" s="502"/>
      <c r="G165" s="219">
        <f t="shared" si="14"/>
        <v>27.650629738210881</v>
      </c>
      <c r="H165" s="249">
        <f>H164+(G164*E165*'life-tables-test'!$C$66)</f>
        <v>72.349370261789119</v>
      </c>
      <c r="I165" s="516">
        <f t="shared" si="12"/>
        <v>100</v>
      </c>
      <c r="J165" s="153">
        <f>(G165*0)/(1+cDR)^'Markov Model_SA2'!cycle</f>
        <v>0</v>
      </c>
      <c r="K165" s="178">
        <f t="shared" si="8"/>
        <v>27.650629738210881</v>
      </c>
      <c r="L165" s="202">
        <f>(G165*(uPostT))/(1+oDR)^'Markov Model_SA2'!cycle</f>
        <v>14.270510804928577</v>
      </c>
      <c r="M165" s="80"/>
      <c r="N165" s="3"/>
      <c r="O165" s="80"/>
      <c r="P165" s="173">
        <v>155</v>
      </c>
      <c r="Q165" s="165"/>
      <c r="R165" s="174">
        <v>1.3237621699756508E-3</v>
      </c>
      <c r="S165" s="502"/>
      <c r="T165" s="219">
        <f t="shared" si="13"/>
        <v>26.050162253363681</v>
      </c>
      <c r="U165" s="249">
        <f>U164+(T164*R165*'life-tables-test'!$C$66)</f>
        <v>73.949837746636319</v>
      </c>
      <c r="V165" s="516">
        <f t="shared" si="10"/>
        <v>100</v>
      </c>
      <c r="W165" s="153">
        <f>(T165*0)/(1+cDR)^'Markov Model_SA2'!cycle2</f>
        <v>0</v>
      </c>
      <c r="X165" s="178">
        <f t="shared" si="11"/>
        <v>26.050162253363681</v>
      </c>
      <c r="Y165" s="202">
        <f>(T165*(uPostT))/(1+oDR)^'Markov Model_SA2'!cycle</f>
        <v>13.4445083322295</v>
      </c>
      <c r="Z165" s="80"/>
      <c r="AA165" s="3"/>
      <c r="AB165" s="3"/>
      <c r="AC165" s="14">
        <v>153</v>
      </c>
      <c r="AD165" s="14"/>
      <c r="AE165" s="14"/>
      <c r="AF165" s="3"/>
      <c r="AG165" s="3"/>
      <c r="AH165" s="3"/>
      <c r="AI165" s="14"/>
      <c r="AJ165" s="14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</row>
    <row r="166" spans="1:58" ht="14.25" customHeight="1" x14ac:dyDescent="0.2">
      <c r="A166" s="637"/>
      <c r="B166" s="417"/>
      <c r="C166" s="173">
        <v>156</v>
      </c>
      <c r="D166" s="165"/>
      <c r="E166" s="174">
        <v>1.3237621699756508E-3</v>
      </c>
      <c r="F166" s="502"/>
      <c r="G166" s="219">
        <f t="shared" si="14"/>
        <v>27.467615450093646</v>
      </c>
      <c r="H166" s="249">
        <f>H165+(G165*E166*'life-tables-test'!$C$66)</f>
        <v>72.532384549906354</v>
      </c>
      <c r="I166" s="516">
        <f t="shared" si="12"/>
        <v>100</v>
      </c>
      <c r="J166" s="153">
        <f>(G166*0)/(1+cDR)^'Markov Model_SA2'!cycle</f>
        <v>0</v>
      </c>
      <c r="K166" s="178">
        <f t="shared" si="8"/>
        <v>27.467615450093646</v>
      </c>
      <c r="L166" s="202">
        <f>(G166*(uPostT))/(1+oDR)^'Markov Model_SA2'!cycle</f>
        <v>14.140705230104352</v>
      </c>
      <c r="M166" s="80"/>
      <c r="N166" s="3"/>
      <c r="O166" s="80"/>
      <c r="P166" s="173">
        <v>156</v>
      </c>
      <c r="Q166" s="165"/>
      <c r="R166" s="174">
        <v>1.3237621699756508E-3</v>
      </c>
      <c r="S166" s="502"/>
      <c r="T166" s="219">
        <f t="shared" si="13"/>
        <v>25.877741156800028</v>
      </c>
      <c r="U166" s="249">
        <f>U165+(T165*R166*'life-tables-test'!$C$66)</f>
        <v>74.122258843199972</v>
      </c>
      <c r="V166" s="516">
        <f t="shared" si="10"/>
        <v>100</v>
      </c>
      <c r="W166" s="153">
        <f>(T166*0)/(1+cDR)^'Markov Model_SA2'!cycle2</f>
        <v>0</v>
      </c>
      <c r="X166" s="178">
        <f t="shared" si="11"/>
        <v>25.877741156800028</v>
      </c>
      <c r="Y166" s="202">
        <f>(T166*(uPostT))/(1+oDR)^'Markov Model_SA2'!cycle</f>
        <v>13.322216134273178</v>
      </c>
      <c r="Z166" s="80"/>
      <c r="AA166" s="3"/>
      <c r="AB166" s="3"/>
      <c r="AC166" s="14">
        <v>154</v>
      </c>
      <c r="AD166" s="14"/>
      <c r="AE166" s="14"/>
      <c r="AF166" s="3"/>
      <c r="AG166" s="3"/>
      <c r="AH166" s="3"/>
      <c r="AI166" s="14"/>
      <c r="AJ166" s="14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</row>
    <row r="167" spans="1:58" ht="14.25" customHeight="1" x14ac:dyDescent="0.2">
      <c r="A167" s="606"/>
      <c r="B167" s="417"/>
      <c r="C167" s="173">
        <v>157</v>
      </c>
      <c r="D167" s="504"/>
      <c r="E167" s="174">
        <v>1.3237621699756508E-3</v>
      </c>
      <c r="F167" s="505"/>
      <c r="G167" s="219">
        <f t="shared" si="14"/>
        <v>27.285812498932287</v>
      </c>
      <c r="H167" s="249">
        <f>H166+(G166*E167*'life-tables-test'!$C$66)</f>
        <v>72.714187501067713</v>
      </c>
      <c r="I167" s="516">
        <f t="shared" si="12"/>
        <v>100</v>
      </c>
      <c r="J167" s="180">
        <f>(G167*0)/(1+cDR)^'Markov Model_SA2'!cycle</f>
        <v>0</v>
      </c>
      <c r="K167" s="176">
        <f t="shared" si="8"/>
        <v>27.285812498932287</v>
      </c>
      <c r="L167" s="202">
        <f>(G167*(uPostT))/(1+oDR)^'Markov Model_SA2'!cycle</f>
        <v>14.012080375962501</v>
      </c>
      <c r="M167" s="80"/>
      <c r="N167" s="3"/>
      <c r="O167" s="80"/>
      <c r="P167" s="173">
        <v>157</v>
      </c>
      <c r="Q167" s="504"/>
      <c r="R167" s="174">
        <v>1.3237621699756508E-3</v>
      </c>
      <c r="S167" s="505"/>
      <c r="T167" s="219">
        <f t="shared" si="13"/>
        <v>25.706461282861056</v>
      </c>
      <c r="U167" s="249">
        <f>U166+(T166*R167*'life-tables-test'!$C$66)</f>
        <v>74.293538717138944</v>
      </c>
      <c r="V167" s="516">
        <f t="shared" si="10"/>
        <v>100</v>
      </c>
      <c r="W167" s="180">
        <f>(T167*0)/(1+cDR)^'Markov Model_SA2'!cycle2</f>
        <v>0</v>
      </c>
      <c r="X167" s="176">
        <f t="shared" si="11"/>
        <v>25.706461282861056</v>
      </c>
      <c r="Y167" s="202">
        <f>(T167*(uPostT))/(1+oDR)^'Markov Model_SA2'!cycle</f>
        <v>13.201036314792244</v>
      </c>
      <c r="Z167" s="80"/>
      <c r="AA167" s="3"/>
      <c r="AB167" s="3"/>
      <c r="AC167" s="14">
        <v>155</v>
      </c>
      <c r="AD167" s="14"/>
      <c r="AE167" s="14"/>
      <c r="AF167" s="3"/>
      <c r="AG167" s="3"/>
      <c r="AH167" s="3"/>
      <c r="AI167" s="14"/>
      <c r="AJ167" s="14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</row>
    <row r="168" spans="1:58" ht="14.25" customHeight="1" x14ac:dyDescent="0.25">
      <c r="A168" s="637" t="s">
        <v>555</v>
      </c>
      <c r="B168" s="417"/>
      <c r="C168" s="506">
        <v>158</v>
      </c>
      <c r="D168" s="506"/>
      <c r="E168" s="507">
        <v>1.3237621699756508E-3</v>
      </c>
      <c r="F168" s="508"/>
      <c r="G168" s="509">
        <f t="shared" si="14"/>
        <v>27.105212867116606</v>
      </c>
      <c r="H168" s="510">
        <f>H167+(G167*E168*'life-tables-test'!$C$66)</f>
        <v>72.894787132883394</v>
      </c>
      <c r="I168" s="518">
        <f t="shared" si="12"/>
        <v>100</v>
      </c>
      <c r="J168" s="511">
        <f>(G168*0)/(1+cDR)^'Markov Model_SA2'!cycle</f>
        <v>0</v>
      </c>
      <c r="K168" s="512">
        <f t="shared" si="8"/>
        <v>27.105212867116606</v>
      </c>
      <c r="L168" s="513">
        <f>(G168*(uPostT))/(1+oDR)^'Markov Model_SA2'!cycle</f>
        <v>13.884625502584253</v>
      </c>
      <c r="M168" s="80"/>
      <c r="N168" s="3"/>
      <c r="O168" s="80"/>
      <c r="P168" s="506">
        <v>158</v>
      </c>
      <c r="Q168" s="506"/>
      <c r="R168" s="507">
        <v>1.3237621699756508E-3</v>
      </c>
      <c r="S168" s="508"/>
      <c r="T168" s="509">
        <f t="shared" si="13"/>
        <v>25.536315078010077</v>
      </c>
      <c r="U168" s="510">
        <f>U167+(T167*R168*'life-tables-test'!$C$66)</f>
        <v>74.463684921989923</v>
      </c>
      <c r="V168" s="518">
        <f t="shared" si="10"/>
        <v>100</v>
      </c>
      <c r="W168" s="511">
        <f>(T168*0)/(1+cDR)^'Markov Model_SA2'!cycle2</f>
        <v>0</v>
      </c>
      <c r="X168" s="512">
        <f t="shared" si="11"/>
        <v>25.536315078010077</v>
      </c>
      <c r="Y168" s="513">
        <f>(T168*(uPostT))/(1+oDR)^'Markov Model_SA2'!cycle</f>
        <v>13.080958755513478</v>
      </c>
      <c r="Z168" s="80"/>
      <c r="AA168" s="3"/>
      <c r="AB168" s="3"/>
      <c r="AC168" s="14">
        <v>156</v>
      </c>
      <c r="AD168" s="14"/>
      <c r="AE168" s="14"/>
      <c r="AF168" s="3"/>
      <c r="AG168" s="3"/>
      <c r="AH168" s="3"/>
      <c r="AI168" s="14"/>
      <c r="AJ168" s="14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</row>
    <row r="169" spans="1:58" ht="14.25" customHeight="1" x14ac:dyDescent="0.2">
      <c r="A169" s="637"/>
      <c r="B169" s="417"/>
      <c r="C169" s="173">
        <v>159</v>
      </c>
      <c r="D169" s="165"/>
      <c r="E169" s="174">
        <v>1.4362919947250585E-3</v>
      </c>
      <c r="F169" s="502"/>
      <c r="G169" s="219">
        <f t="shared" si="14"/>
        <v>26.910557865834818</v>
      </c>
      <c r="H169" s="249">
        <f>H168+(G168*E169*'life-tables-test'!$C$66)</f>
        <v>73.089442134165182</v>
      </c>
      <c r="I169" s="516">
        <f t="shared" si="12"/>
        <v>100</v>
      </c>
      <c r="J169" s="153">
        <f>(G169*0)/(1+cDR)^'Markov Model_SA2'!cycle</f>
        <v>0</v>
      </c>
      <c r="K169" s="178">
        <f t="shared" si="8"/>
        <v>26.910557865834818</v>
      </c>
      <c r="L169" s="202">
        <f>(G169*(uPostT))/(1+oDR)^'Markov Model_SA2'!cycle</f>
        <v>13.750537277095932</v>
      </c>
      <c r="M169" s="80"/>
      <c r="N169" s="3"/>
      <c r="O169" s="80"/>
      <c r="P169" s="173">
        <v>159</v>
      </c>
      <c r="Q169" s="165"/>
      <c r="R169" s="174">
        <v>1.4362919947250585E-3</v>
      </c>
      <c r="S169" s="502"/>
      <c r="T169" s="219">
        <f t="shared" si="13"/>
        <v>25.352927053403462</v>
      </c>
      <c r="U169" s="249">
        <f>U168+(T168*R169*'life-tables-test'!$C$66)</f>
        <v>74.647072946596538</v>
      </c>
      <c r="V169" s="516">
        <f t="shared" si="10"/>
        <v>100</v>
      </c>
      <c r="W169" s="153">
        <f>(T169*0)/(1+cDR)^'Markov Model_SA2'!cycle2</f>
        <v>0</v>
      </c>
      <c r="X169" s="178">
        <f t="shared" si="11"/>
        <v>25.352927053403462</v>
      </c>
      <c r="Y169" s="202">
        <f>(T169*(uPostT))/(1+oDR)^'Markov Model_SA2'!cycle</f>
        <v>12.954631794308344</v>
      </c>
      <c r="Z169" s="80"/>
      <c r="AA169" s="3"/>
      <c r="AB169" s="3"/>
      <c r="AC169" s="14">
        <v>157</v>
      </c>
      <c r="AD169" s="14"/>
      <c r="AE169" s="14"/>
      <c r="AF169" s="3"/>
      <c r="AG169" s="3"/>
      <c r="AH169" s="3"/>
      <c r="AI169" s="14"/>
      <c r="AJ169" s="14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</row>
    <row r="170" spans="1:58" ht="14.25" customHeight="1" x14ac:dyDescent="0.2">
      <c r="A170" s="637"/>
      <c r="B170" s="417"/>
      <c r="C170" s="173">
        <v>160</v>
      </c>
      <c r="D170" s="165"/>
      <c r="E170" s="174">
        <v>1.4362919947250585E-3</v>
      </c>
      <c r="F170" s="502"/>
      <c r="G170" s="219">
        <f t="shared" si="14"/>
        <v>26.717300771653399</v>
      </c>
      <c r="H170" s="249">
        <f>H169+(G169*E170*'life-tables-test'!$C$66)</f>
        <v>73.282699228346601</v>
      </c>
      <c r="I170" s="516">
        <f t="shared" si="12"/>
        <v>100</v>
      </c>
      <c r="J170" s="153">
        <f>(G170*0)/(1+cDR)^'Markov Model_SA2'!cycle</f>
        <v>0</v>
      </c>
      <c r="K170" s="178">
        <f t="shared" si="8"/>
        <v>26.717300771653399</v>
      </c>
      <c r="L170" s="202">
        <f>(G170*(uPostT))/(1+oDR)^'Markov Model_SA2'!cycle</f>
        <v>13.617743984064461</v>
      </c>
      <c r="M170" s="80"/>
      <c r="N170" s="3"/>
      <c r="O170" s="80"/>
      <c r="P170" s="173">
        <v>160</v>
      </c>
      <c r="Q170" s="165"/>
      <c r="R170" s="174">
        <v>1.4362919947250585E-3</v>
      </c>
      <c r="S170" s="502"/>
      <c r="T170" s="219">
        <f t="shared" si="13"/>
        <v>25.170856022555199</v>
      </c>
      <c r="U170" s="249">
        <f>U169+(T169*R170*'life-tables-test'!$C$66)</f>
        <v>74.829143977444801</v>
      </c>
      <c r="V170" s="516">
        <f t="shared" si="10"/>
        <v>100</v>
      </c>
      <c r="W170" s="153">
        <f>(T170*0)/(1+cDR)^'Markov Model_SA2'!cycle2</f>
        <v>0</v>
      </c>
      <c r="X170" s="178">
        <f t="shared" si="11"/>
        <v>25.170856022555199</v>
      </c>
      <c r="Y170" s="202">
        <f>(T170*(uPostT))/(1+oDR)^'Markov Model_SA2'!cycle</f>
        <v>12.829524812573029</v>
      </c>
      <c r="Z170" s="80"/>
      <c r="AA170" s="3"/>
      <c r="AB170" s="3"/>
      <c r="AC170" s="14">
        <v>158</v>
      </c>
      <c r="AD170" s="14"/>
      <c r="AE170" s="14"/>
      <c r="AF170" s="3"/>
      <c r="AG170" s="3"/>
      <c r="AH170" s="3"/>
      <c r="AI170" s="14"/>
      <c r="AJ170" s="14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</row>
    <row r="171" spans="1:58" ht="14.25" customHeight="1" x14ac:dyDescent="0.2">
      <c r="A171" s="637"/>
      <c r="B171" s="417"/>
      <c r="C171" s="173">
        <v>161</v>
      </c>
      <c r="D171" s="165"/>
      <c r="E171" s="174">
        <v>1.4362919947250585E-3</v>
      </c>
      <c r="F171" s="502"/>
      <c r="G171" s="219">
        <f t="shared" si="14"/>
        <v>26.525431545558462</v>
      </c>
      <c r="H171" s="249">
        <f>H170+(G170*E171*'life-tables-test'!$C$66)</f>
        <v>73.474568454441538</v>
      </c>
      <c r="I171" s="516">
        <f t="shared" si="12"/>
        <v>100</v>
      </c>
      <c r="J171" s="153">
        <f>(G171*0)/(1+cDR)^'Markov Model_SA2'!cycle</f>
        <v>0</v>
      </c>
      <c r="K171" s="178">
        <f t="shared" si="8"/>
        <v>26.525431545558462</v>
      </c>
      <c r="L171" s="202">
        <f>(G171*(uPostT))/(1+oDR)^'Markov Model_SA2'!cycle</f>
        <v>13.486233117917033</v>
      </c>
      <c r="M171" s="80"/>
      <c r="N171" s="3"/>
      <c r="O171" s="80"/>
      <c r="P171" s="173">
        <v>161</v>
      </c>
      <c r="Q171" s="165"/>
      <c r="R171" s="174">
        <v>1.4362919947250585E-3</v>
      </c>
      <c r="S171" s="502"/>
      <c r="T171" s="219">
        <f t="shared" si="13"/>
        <v>24.990092527527338</v>
      </c>
      <c r="U171" s="249">
        <f>U170+(T170*R171*'life-tables-test'!$C$66)</f>
        <v>75.009907472472662</v>
      </c>
      <c r="V171" s="516">
        <f t="shared" si="10"/>
        <v>100</v>
      </c>
      <c r="W171" s="153">
        <f>(T171*0)/(1+cDR)^'Markov Model_SA2'!cycle2</f>
        <v>0</v>
      </c>
      <c r="X171" s="178">
        <f t="shared" si="11"/>
        <v>24.990092527527338</v>
      </c>
      <c r="Y171" s="202">
        <f>(T171*(uPostT))/(1+oDR)^'Markov Model_SA2'!cycle</f>
        <v>12.705626028579456</v>
      </c>
      <c r="Z171" s="80"/>
      <c r="AA171" s="3"/>
      <c r="AB171" s="3"/>
      <c r="AC171" s="14">
        <v>159</v>
      </c>
      <c r="AD171" s="14"/>
      <c r="AE171" s="14"/>
      <c r="AF171" s="3"/>
      <c r="AG171" s="3"/>
      <c r="AH171" s="3"/>
      <c r="AI171" s="14"/>
      <c r="AJ171" s="14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</row>
    <row r="172" spans="1:58" ht="14.25" customHeight="1" x14ac:dyDescent="0.2">
      <c r="A172" s="637"/>
      <c r="B172" s="417"/>
      <c r="C172" s="173">
        <v>162</v>
      </c>
      <c r="D172" s="165"/>
      <c r="E172" s="174">
        <v>1.4362919947250585E-3</v>
      </c>
      <c r="F172" s="502"/>
      <c r="G172" s="219">
        <f t="shared" si="14"/>
        <v>26.334940220630898</v>
      </c>
      <c r="H172" s="249">
        <f>H171+(G171*E172*'life-tables-test'!$C$66)</f>
        <v>73.665059779369102</v>
      </c>
      <c r="I172" s="516">
        <f t="shared" si="12"/>
        <v>100</v>
      </c>
      <c r="J172" s="153">
        <f>(G172*0)/(1+cDR)^'Markov Model_SA2'!cycle</f>
        <v>0</v>
      </c>
      <c r="K172" s="178">
        <f t="shared" si="8"/>
        <v>26.334940220630898</v>
      </c>
      <c r="L172" s="202">
        <f>(G172*(uPostT))/(1+oDR)^'Markov Model_SA2'!cycle</f>
        <v>13.355992293851109</v>
      </c>
      <c r="M172" s="80"/>
      <c r="N172" s="3"/>
      <c r="O172" s="80"/>
      <c r="P172" s="173">
        <v>162</v>
      </c>
      <c r="Q172" s="165"/>
      <c r="R172" s="174">
        <v>1.4362919947250585E-3</v>
      </c>
      <c r="S172" s="502"/>
      <c r="T172" s="219">
        <f t="shared" si="13"/>
        <v>24.810627178303704</v>
      </c>
      <c r="U172" s="249">
        <f>U171+(T171*R172*'life-tables-test'!$C$66)</f>
        <v>75.189372821696296</v>
      </c>
      <c r="V172" s="516">
        <f t="shared" si="10"/>
        <v>100</v>
      </c>
      <c r="W172" s="153">
        <f>(T172*0)/(1+cDR)^'Markov Model_SA2'!cycle2</f>
        <v>0</v>
      </c>
      <c r="X172" s="178">
        <f t="shared" si="11"/>
        <v>24.810627178303704</v>
      </c>
      <c r="Y172" s="202">
        <f>(T172*(uPostT))/(1+oDR)^'Markov Model_SA2'!cycle</f>
        <v>12.582923774379413</v>
      </c>
      <c r="Z172" s="80"/>
      <c r="AA172" s="3"/>
      <c r="AB172" s="3"/>
      <c r="AC172" s="14">
        <v>160</v>
      </c>
      <c r="AD172" s="14"/>
      <c r="AE172" s="14"/>
      <c r="AF172" s="3"/>
      <c r="AG172" s="3"/>
      <c r="AH172" s="3"/>
      <c r="AI172" s="14"/>
      <c r="AJ172" s="14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</row>
    <row r="173" spans="1:58" ht="14.25" customHeight="1" x14ac:dyDescent="0.2">
      <c r="A173" s="637"/>
      <c r="B173" s="417"/>
      <c r="C173" s="173">
        <v>163</v>
      </c>
      <c r="D173" s="165"/>
      <c r="E173" s="174">
        <v>1.4362919947250585E-3</v>
      </c>
      <c r="F173" s="502"/>
      <c r="G173" s="219">
        <f t="shared" si="14"/>
        <v>26.145816901528619</v>
      </c>
      <c r="H173" s="249">
        <f>H172+(G172*E173*'life-tables-test'!$C$66)</f>
        <v>73.854183098471381</v>
      </c>
      <c r="I173" s="516">
        <f t="shared" si="12"/>
        <v>100</v>
      </c>
      <c r="J173" s="153">
        <f>(G173*0)/(1+cDR)^'Markov Model_SA2'!cycle</f>
        <v>0</v>
      </c>
      <c r="K173" s="178">
        <f t="shared" si="8"/>
        <v>26.145816901528619</v>
      </c>
      <c r="L173" s="202">
        <f>(G173*(uPostT))/(1+oDR)^'Markov Model_SA2'!cycle</f>
        <v>13.2270092466681</v>
      </c>
      <c r="M173" s="80"/>
      <c r="N173" s="3"/>
      <c r="O173" s="80"/>
      <c r="P173" s="173">
        <v>163</v>
      </c>
      <c r="Q173" s="165"/>
      <c r="R173" s="174">
        <v>1.4362919947250585E-3</v>
      </c>
      <c r="S173" s="502"/>
      <c r="T173" s="219">
        <f t="shared" si="13"/>
        <v>24.632450652302182</v>
      </c>
      <c r="U173" s="249">
        <f>U172+(T172*R173*'life-tables-test'!$C$66)</f>
        <v>75.367549347697818</v>
      </c>
      <c r="V173" s="516">
        <f t="shared" si="10"/>
        <v>100</v>
      </c>
      <c r="W173" s="153">
        <f>(T173*0)/(1+cDR)^'Markov Model_SA2'!cycle2</f>
        <v>0</v>
      </c>
      <c r="X173" s="178">
        <f t="shared" si="11"/>
        <v>24.632450652302182</v>
      </c>
      <c r="Y173" s="202">
        <f>(T173*(uPostT))/(1+oDR)^'Markov Model_SA2'!cycle</f>
        <v>12.461406494705768</v>
      </c>
      <c r="Z173" s="80"/>
      <c r="AA173" s="3"/>
      <c r="AB173" s="3"/>
      <c r="AC173" s="14">
        <v>161</v>
      </c>
      <c r="AD173" s="14"/>
      <c r="AE173" s="14"/>
      <c r="AF173" s="3"/>
      <c r="AG173" s="3"/>
      <c r="AH173" s="3"/>
      <c r="AI173" s="14"/>
      <c r="AJ173" s="14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</row>
    <row r="174" spans="1:58" ht="14.25" customHeight="1" x14ac:dyDescent="0.2">
      <c r="A174" s="637"/>
      <c r="B174" s="417"/>
      <c r="C174" s="173">
        <v>164</v>
      </c>
      <c r="D174" s="165"/>
      <c r="E174" s="174">
        <v>1.4362919947250585E-3</v>
      </c>
      <c r="F174" s="502"/>
      <c r="G174" s="219">
        <f t="shared" si="14"/>
        <v>25.958051763972549</v>
      </c>
      <c r="H174" s="249">
        <f>H173+(G173*E174*'life-tables-test'!$C$66)</f>
        <v>74.041948236027451</v>
      </c>
      <c r="I174" s="516">
        <f t="shared" si="12"/>
        <v>100</v>
      </c>
      <c r="J174" s="153">
        <f>(G174*0)/(1+cDR)^'Markov Model_SA2'!cycle</f>
        <v>0</v>
      </c>
      <c r="K174" s="178">
        <f t="shared" si="8"/>
        <v>25.958051763972549</v>
      </c>
      <c r="L174" s="202">
        <f>(G174*(uPostT))/(1+oDR)^'Markov Model_SA2'!cycle</f>
        <v>13.099271829618328</v>
      </c>
      <c r="M174" s="80"/>
      <c r="N174" s="3"/>
      <c r="O174" s="80"/>
      <c r="P174" s="173">
        <v>164</v>
      </c>
      <c r="Q174" s="165"/>
      <c r="R174" s="174">
        <v>1.4362919947250585E-3</v>
      </c>
      <c r="S174" s="502"/>
      <c r="T174" s="219">
        <f t="shared" si="13"/>
        <v>24.45555369389038</v>
      </c>
      <c r="U174" s="249">
        <f>U173+(T173*R174*'life-tables-test'!$C$66)</f>
        <v>75.54444630610962</v>
      </c>
      <c r="V174" s="516">
        <f t="shared" si="10"/>
        <v>100</v>
      </c>
      <c r="W174" s="153">
        <f>(T174*0)/(1+cDR)^'Markov Model_SA2'!cycle2</f>
        <v>0</v>
      </c>
      <c r="X174" s="178">
        <f t="shared" si="11"/>
        <v>24.45555369389038</v>
      </c>
      <c r="Y174" s="202">
        <f>(T174*(uPostT))/(1+oDR)^'Markov Model_SA2'!cycle</f>
        <v>12.341062745884255</v>
      </c>
      <c r="Z174" s="80"/>
      <c r="AA174" s="3"/>
      <c r="AB174" s="3"/>
      <c r="AC174" s="14">
        <v>162</v>
      </c>
      <c r="AD174" s="14"/>
      <c r="AE174" s="14"/>
      <c r="AF174" s="3"/>
      <c r="AG174" s="3"/>
      <c r="AH174" s="3"/>
      <c r="AI174" s="14"/>
      <c r="AJ174" s="14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</row>
    <row r="175" spans="1:58" ht="14.25" customHeight="1" x14ac:dyDescent="0.2">
      <c r="A175" s="637"/>
      <c r="B175" s="417"/>
      <c r="C175" s="173">
        <v>165</v>
      </c>
      <c r="D175" s="165"/>
      <c r="E175" s="174">
        <v>1.4362919947250585E-3</v>
      </c>
      <c r="F175" s="502"/>
      <c r="G175" s="219">
        <f t="shared" si="14"/>
        <v>25.771635054236285</v>
      </c>
      <c r="H175" s="249">
        <f>H174+(G174*E175*'life-tables-test'!$C$66)</f>
        <v>74.228364945763715</v>
      </c>
      <c r="I175" s="516">
        <f t="shared" si="12"/>
        <v>100</v>
      </c>
      <c r="J175" s="153">
        <f>(G175*0)/(1+cDR)^'Markov Model_SA2'!cycle</f>
        <v>0</v>
      </c>
      <c r="K175" s="178">
        <f t="shared" si="8"/>
        <v>25.771635054236285</v>
      </c>
      <c r="L175" s="202">
        <f>(G175*(uPostT))/(1+oDR)^'Markov Model_SA2'!cycle</f>
        <v>12.972768013257143</v>
      </c>
      <c r="M175" s="80"/>
      <c r="N175" s="3"/>
      <c r="O175" s="80"/>
      <c r="P175" s="173">
        <v>165</v>
      </c>
      <c r="Q175" s="165"/>
      <c r="R175" s="174">
        <v>1.4362919947250585E-3</v>
      </c>
      <c r="S175" s="502"/>
      <c r="T175" s="219">
        <f t="shared" si="13"/>
        <v>24.279927113904861</v>
      </c>
      <c r="U175" s="249">
        <f>U174+(T174*R175*'life-tables-test'!$C$66)</f>
        <v>75.720072886095139</v>
      </c>
      <c r="V175" s="516">
        <f t="shared" si="10"/>
        <v>100</v>
      </c>
      <c r="W175" s="153">
        <f>(T175*0)/(1+cDR)^'Markov Model_SA2'!cycle2</f>
        <v>0</v>
      </c>
      <c r="X175" s="178">
        <f t="shared" si="11"/>
        <v>24.279927113904861</v>
      </c>
      <c r="Y175" s="202">
        <f>(T175*(uPostT))/(1+oDR)^'Markov Model_SA2'!cycle</f>
        <v>12.221881194755799</v>
      </c>
      <c r="Z175" s="80"/>
      <c r="AA175" s="3"/>
      <c r="AB175" s="3"/>
      <c r="AC175" s="14">
        <v>163</v>
      </c>
      <c r="AD175" s="14"/>
      <c r="AE175" s="14"/>
      <c r="AF175" s="3"/>
      <c r="AG175" s="3"/>
      <c r="AH175" s="3"/>
      <c r="AI175" s="14"/>
      <c r="AJ175" s="14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</row>
    <row r="176" spans="1:58" ht="14.25" customHeight="1" x14ac:dyDescent="0.2">
      <c r="A176" s="637"/>
      <c r="B176" s="417"/>
      <c r="C176" s="173">
        <v>166</v>
      </c>
      <c r="D176" s="165"/>
      <c r="E176" s="174">
        <v>1.4362919947250585E-3</v>
      </c>
      <c r="F176" s="502"/>
      <c r="G176" s="219">
        <f t="shared" si="14"/>
        <v>25.58655708863941</v>
      </c>
      <c r="H176" s="249">
        <f>H175+(G175*E176*'life-tables-test'!$C$66)</f>
        <v>74.41344291136059</v>
      </c>
      <c r="I176" s="516">
        <f t="shared" si="12"/>
        <v>100</v>
      </c>
      <c r="J176" s="153">
        <f>(G176*0)/(1+cDR)^'Markov Model_SA2'!cycle</f>
        <v>0</v>
      </c>
      <c r="K176" s="178">
        <f t="shared" si="8"/>
        <v>25.58655708863941</v>
      </c>
      <c r="L176" s="202">
        <f>(G176*(uPostT))/(1+oDR)^'Markov Model_SA2'!cycle</f>
        <v>12.847485884312036</v>
      </c>
      <c r="M176" s="80"/>
      <c r="N176" s="3"/>
      <c r="O176" s="80"/>
      <c r="P176" s="173">
        <v>166</v>
      </c>
      <c r="Q176" s="165"/>
      <c r="R176" s="174">
        <v>1.4362919947250585E-3</v>
      </c>
      <c r="S176" s="502"/>
      <c r="T176" s="219">
        <f t="shared" si="13"/>
        <v>24.105561789173819</v>
      </c>
      <c r="U176" s="249">
        <f>U175+(T175*R176*'life-tables-test'!$C$66)</f>
        <v>75.894438210826181</v>
      </c>
      <c r="V176" s="516">
        <f t="shared" si="10"/>
        <v>100</v>
      </c>
      <c r="W176" s="153">
        <f>(T176*0)/(1+cDR)^'Markov Model_SA2'!cycle2</f>
        <v>0</v>
      </c>
      <c r="X176" s="178">
        <f t="shared" si="11"/>
        <v>24.105561789173819</v>
      </c>
      <c r="Y176" s="202">
        <f>(T176*(uPostT))/(1+oDR)^'Markov Model_SA2'!cycle</f>
        <v>12.103850617609242</v>
      </c>
      <c r="Z176" s="80"/>
      <c r="AA176" s="3"/>
      <c r="AB176" s="3"/>
      <c r="AC176" s="14">
        <v>164</v>
      </c>
      <c r="AD176" s="14"/>
      <c r="AE176" s="14"/>
      <c r="AF176" s="3"/>
      <c r="AG176" s="3"/>
      <c r="AH176" s="3"/>
      <c r="AI176" s="14"/>
      <c r="AJ176" s="14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</row>
    <row r="177" spans="1:58" ht="14.25" customHeight="1" x14ac:dyDescent="0.2">
      <c r="A177" s="637"/>
      <c r="B177" s="417"/>
      <c r="C177" s="173">
        <v>167</v>
      </c>
      <c r="D177" s="165"/>
      <c r="E177" s="174">
        <v>1.4362919947250585E-3</v>
      </c>
      <c r="F177" s="502"/>
      <c r="G177" s="219">
        <f t="shared" si="14"/>
        <v>25.402808253044469</v>
      </c>
      <c r="H177" s="249">
        <f>H176+(G176*E177*'life-tables-test'!$C$66)</f>
        <v>74.597191746955531</v>
      </c>
      <c r="I177" s="516">
        <f t="shared" si="12"/>
        <v>100</v>
      </c>
      <c r="J177" s="153">
        <f>(G177*0)/(1+cDR)^'Markov Model_SA2'!cycle</f>
        <v>0</v>
      </c>
      <c r="K177" s="178">
        <f t="shared" si="8"/>
        <v>25.402808253044469</v>
      </c>
      <c r="L177" s="202">
        <f>(G177*(uPostT))/(1+oDR)^'Markov Model_SA2'!cycle</f>
        <v>12.723413644560731</v>
      </c>
      <c r="M177" s="80"/>
      <c r="N177" s="3"/>
      <c r="O177" s="80"/>
      <c r="P177" s="173">
        <v>167</v>
      </c>
      <c r="Q177" s="165"/>
      <c r="R177" s="174">
        <v>1.4362919947250585E-3</v>
      </c>
      <c r="S177" s="502"/>
      <c r="T177" s="219">
        <f t="shared" si="13"/>
        <v>23.932448662043114</v>
      </c>
      <c r="U177" s="249">
        <f>U176+(T176*R177*'life-tables-test'!$C$66)</f>
        <v>76.067551337956886</v>
      </c>
      <c r="V177" s="516">
        <f t="shared" si="10"/>
        <v>100</v>
      </c>
      <c r="W177" s="153">
        <f>(T177*0)/(1+cDR)^'Markov Model_SA2'!cycle2</f>
        <v>0</v>
      </c>
      <c r="X177" s="178">
        <f t="shared" si="11"/>
        <v>23.932448662043114</v>
      </c>
      <c r="Y177" s="202">
        <f>(T177*(uPostT))/(1+oDR)^'Markov Model_SA2'!cycle</f>
        <v>11.986959899124329</v>
      </c>
      <c r="Z177" s="80"/>
      <c r="AA177" s="3"/>
      <c r="AB177" s="3"/>
      <c r="AC177" s="14">
        <v>165</v>
      </c>
      <c r="AD177" s="14"/>
      <c r="AE177" s="14"/>
      <c r="AF177" s="3"/>
      <c r="AG177" s="3"/>
      <c r="AH177" s="3"/>
      <c r="AI177" s="14"/>
      <c r="AJ177" s="14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</row>
    <row r="178" spans="1:58" ht="14.25" customHeight="1" x14ac:dyDescent="0.2">
      <c r="A178" s="637"/>
      <c r="B178" s="417"/>
      <c r="C178" s="173">
        <v>168</v>
      </c>
      <c r="D178" s="165"/>
      <c r="E178" s="174">
        <v>1.4362919947250585E-3</v>
      </c>
      <c r="F178" s="502"/>
      <c r="G178" s="219">
        <f t="shared" si="14"/>
        <v>25.220379002357546</v>
      </c>
      <c r="H178" s="249">
        <f>H177+(G177*E178*'life-tables-test'!$C$66)</f>
        <v>74.779620997642454</v>
      </c>
      <c r="I178" s="516">
        <f t="shared" si="12"/>
        <v>100</v>
      </c>
      <c r="J178" s="153">
        <f>(G178*0)/(1+cDR)^'Markov Model_SA2'!cycle</f>
        <v>0</v>
      </c>
      <c r="K178" s="178">
        <f t="shared" ref="K178:K241" si="15">G178</f>
        <v>25.220379002357546</v>
      </c>
      <c r="L178" s="202">
        <f>(G178*(uPostT))/(1+oDR)^'Markov Model_SA2'!cycle</f>
        <v>12.600539609720137</v>
      </c>
      <c r="M178" s="80"/>
      <c r="N178" s="3"/>
      <c r="O178" s="80"/>
      <c r="P178" s="173">
        <v>168</v>
      </c>
      <c r="Q178" s="165"/>
      <c r="R178" s="174">
        <v>1.4362919947250585E-3</v>
      </c>
      <c r="S178" s="502"/>
      <c r="T178" s="219">
        <f t="shared" si="13"/>
        <v>23.76057873990581</v>
      </c>
      <c r="U178" s="249">
        <f>U177+(T177*R178*'life-tables-test'!$C$66)</f>
        <v>76.23942126009419</v>
      </c>
      <c r="V178" s="516">
        <f t="shared" si="10"/>
        <v>100</v>
      </c>
      <c r="W178" s="153">
        <f>(T178*0)/(1+cDR)^'Markov Model_SA2'!cycle2</f>
        <v>0</v>
      </c>
      <c r="X178" s="178">
        <f t="shared" si="11"/>
        <v>23.76057873990581</v>
      </c>
      <c r="Y178" s="202">
        <f>(T178*(uPostT))/(1+oDR)^'Markov Model_SA2'!cycle</f>
        <v>11.871198031325003</v>
      </c>
      <c r="Z178" s="80"/>
      <c r="AA178" s="3"/>
      <c r="AB178" s="3"/>
      <c r="AC178" s="14">
        <v>166</v>
      </c>
      <c r="AD178" s="14"/>
      <c r="AE178" s="14"/>
      <c r="AF178" s="3"/>
      <c r="AG178" s="3"/>
      <c r="AH178" s="3"/>
      <c r="AI178" s="14"/>
      <c r="AJ178" s="14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</row>
    <row r="179" spans="1:58" ht="14.25" customHeight="1" x14ac:dyDescent="0.2">
      <c r="A179" s="606"/>
      <c r="B179" s="417"/>
      <c r="C179" s="173">
        <v>169</v>
      </c>
      <c r="D179" s="504"/>
      <c r="E179" s="174">
        <v>1.4362919947250585E-3</v>
      </c>
      <c r="F179" s="505"/>
      <c r="G179" s="219">
        <f t="shared" si="14"/>
        <v>25.039259860032459</v>
      </c>
      <c r="H179" s="249">
        <f>H178+(G178*E179*'life-tables-test'!$C$66)</f>
        <v>74.960740139967541</v>
      </c>
      <c r="I179" s="516">
        <f t="shared" si="12"/>
        <v>100</v>
      </c>
      <c r="J179" s="180">
        <f>(G179*0)/(1+cDR)^'Markov Model_SA2'!cycle</f>
        <v>0</v>
      </c>
      <c r="K179" s="176">
        <f t="shared" si="15"/>
        <v>25.039259860032459</v>
      </c>
      <c r="L179" s="202">
        <f>(G179*(uPostT))/(1+oDR)^'Markov Model_SA2'!cycle</f>
        <v>12.478852208345989</v>
      </c>
      <c r="M179" s="80"/>
      <c r="N179" s="3"/>
      <c r="O179" s="80"/>
      <c r="P179" s="173">
        <v>169</v>
      </c>
      <c r="Q179" s="504"/>
      <c r="R179" s="174">
        <v>1.4362919947250585E-3</v>
      </c>
      <c r="S179" s="505"/>
      <c r="T179" s="219">
        <f t="shared" si="13"/>
        <v>23.589943094735006</v>
      </c>
      <c r="U179" s="249">
        <f>U178+(T178*R179*'life-tables-test'!$C$66)</f>
        <v>76.410056905264994</v>
      </c>
      <c r="V179" s="516">
        <f t="shared" si="10"/>
        <v>100</v>
      </c>
      <c r="W179" s="180">
        <f>(T179*0)/(1+cDR)^'Markov Model_SA2'!cycle2</f>
        <v>0</v>
      </c>
      <c r="X179" s="176">
        <f t="shared" si="11"/>
        <v>23.589943094735006</v>
      </c>
      <c r="Y179" s="202">
        <f>(T179*(uPostT))/(1+oDR)^'Markov Model_SA2'!cycle</f>
        <v>11.756554112542707</v>
      </c>
      <c r="Z179" s="80"/>
      <c r="AA179" s="3"/>
      <c r="AB179" s="3"/>
      <c r="AC179" s="14">
        <v>167</v>
      </c>
      <c r="AD179" s="14"/>
      <c r="AE179" s="14"/>
      <c r="AF179" s="3"/>
      <c r="AG179" s="3"/>
      <c r="AH179" s="3"/>
      <c r="AI179" s="14"/>
      <c r="AJ179" s="14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</row>
    <row r="180" spans="1:58" ht="14.25" customHeight="1" x14ac:dyDescent="0.25">
      <c r="A180" s="637" t="s">
        <v>556</v>
      </c>
      <c r="B180" s="417"/>
      <c r="C180" s="506">
        <v>170</v>
      </c>
      <c r="D180" s="506"/>
      <c r="E180" s="507">
        <v>1.4362919947250585E-3</v>
      </c>
      <c r="F180" s="508"/>
      <c r="G180" s="509">
        <f t="shared" si="14"/>
        <v>24.859441417578438</v>
      </c>
      <c r="H180" s="510">
        <f>H179+(G179*E180*'life-tables-test'!$C$66)</f>
        <v>75.140558582421562</v>
      </c>
      <c r="I180" s="518">
        <f t="shared" si="12"/>
        <v>100</v>
      </c>
      <c r="J180" s="511">
        <f>(G180*0)/(1+cDR)^'Markov Model_SA2'!cycle</f>
        <v>0</v>
      </c>
      <c r="K180" s="512">
        <f t="shared" si="15"/>
        <v>24.859441417578438</v>
      </c>
      <c r="L180" s="513">
        <f>(G180*(uPostT))/(1+oDR)^'Markov Model_SA2'!cycle</f>
        <v>12.358339980743112</v>
      </c>
      <c r="M180" s="80"/>
      <c r="N180" s="3"/>
      <c r="O180" s="80"/>
      <c r="P180" s="506">
        <v>170</v>
      </c>
      <c r="Q180" s="506"/>
      <c r="R180" s="507">
        <v>1.4362919947250585E-3</v>
      </c>
      <c r="S180" s="508"/>
      <c r="T180" s="509">
        <f t="shared" si="13"/>
        <v>23.420532862620064</v>
      </c>
      <c r="U180" s="510">
        <f>U179+(T179*R180*'life-tables-test'!$C$66)</f>
        <v>76.579467137379936</v>
      </c>
      <c r="V180" s="518">
        <f t="shared" si="10"/>
        <v>100</v>
      </c>
      <c r="W180" s="511">
        <f>(T180*0)/(1+cDR)^'Markov Model_SA2'!cycle2</f>
        <v>0</v>
      </c>
      <c r="X180" s="512">
        <f t="shared" si="11"/>
        <v>23.420532862620064</v>
      </c>
      <c r="Y180" s="513">
        <f>(T180*(uPostT))/(1+oDR)^'Markov Model_SA2'!cycle</f>
        <v>11.643017346389746</v>
      </c>
      <c r="Z180" s="80"/>
      <c r="AA180" s="3"/>
      <c r="AB180" s="3"/>
      <c r="AC180" s="14">
        <v>168</v>
      </c>
      <c r="AD180" s="14"/>
      <c r="AE180" s="14"/>
      <c r="AF180" s="3"/>
      <c r="AG180" s="3"/>
      <c r="AH180" s="3"/>
      <c r="AI180" s="14"/>
      <c r="AJ180" s="14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</row>
    <row r="181" spans="1:58" ht="14.25" customHeight="1" x14ac:dyDescent="0.2">
      <c r="A181" s="637"/>
      <c r="B181" s="417"/>
      <c r="C181" s="173">
        <v>171</v>
      </c>
      <c r="D181" s="165"/>
      <c r="E181" s="174">
        <v>1.5487919527160665E-3</v>
      </c>
      <c r="F181" s="502"/>
      <c r="G181" s="219">
        <f t="shared" si="14"/>
        <v>24.666930903495626</v>
      </c>
      <c r="H181" s="249">
        <f>H180+(G180*E181*'life-tables-test'!$C$66)</f>
        <v>75.333069096504374</v>
      </c>
      <c r="I181" s="516">
        <f t="shared" si="12"/>
        <v>100</v>
      </c>
      <c r="J181" s="153">
        <f>(G181*0)/(1+cDR)^'Markov Model_SA2'!cycle</f>
        <v>0</v>
      </c>
      <c r="K181" s="178">
        <f t="shared" si="15"/>
        <v>24.666930903495626</v>
      </c>
      <c r="L181" s="202">
        <f>(G181*(uPostT))/(1+oDR)^'Markov Model_SA2'!cycle</f>
        <v>12.23205734981306</v>
      </c>
      <c r="M181" s="80"/>
      <c r="N181" s="3"/>
      <c r="O181" s="80"/>
      <c r="P181" s="173">
        <v>171</v>
      </c>
      <c r="Q181" s="165"/>
      <c r="R181" s="174">
        <v>1.5487919527160665E-3</v>
      </c>
      <c r="S181" s="502"/>
      <c r="T181" s="219">
        <f t="shared" si="13"/>
        <v>23.239165198490326</v>
      </c>
      <c r="U181" s="249">
        <f>U180+(T180*R181*'life-tables-test'!$C$66)</f>
        <v>76.760834801509674</v>
      </c>
      <c r="V181" s="516">
        <f t="shared" si="10"/>
        <v>100</v>
      </c>
      <c r="W181" s="153">
        <f>(T181*0)/(1+cDR)^'Markov Model_SA2'!cycle2</f>
        <v>0</v>
      </c>
      <c r="X181" s="178">
        <f t="shared" si="11"/>
        <v>23.239165198490326</v>
      </c>
      <c r="Y181" s="202">
        <f>(T181*(uPostT))/(1+oDR)^'Markov Model_SA2'!cycle</f>
        <v>11.524044178087422</v>
      </c>
      <c r="Z181" s="80"/>
      <c r="AA181" s="3"/>
      <c r="AB181" s="3"/>
      <c r="AC181" s="14">
        <v>169</v>
      </c>
      <c r="AD181" s="14"/>
      <c r="AE181" s="14"/>
      <c r="AF181" s="3"/>
      <c r="AG181" s="3"/>
      <c r="AH181" s="3"/>
      <c r="AI181" s="14"/>
      <c r="AJ181" s="14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</row>
    <row r="182" spans="1:58" ht="14.25" customHeight="1" x14ac:dyDescent="0.2">
      <c r="A182" s="637"/>
      <c r="B182" s="417"/>
      <c r="C182" s="173">
        <v>172</v>
      </c>
      <c r="D182" s="165"/>
      <c r="E182" s="174">
        <v>1.5487919527160665E-3</v>
      </c>
      <c r="F182" s="502"/>
      <c r="G182" s="219">
        <f t="shared" si="14"/>
        <v>24.475911183087945</v>
      </c>
      <c r="H182" s="249">
        <f>H181+(G181*E182*'life-tables-test'!$C$66)</f>
        <v>75.524088816912055</v>
      </c>
      <c r="I182" s="516">
        <f t="shared" si="12"/>
        <v>100</v>
      </c>
      <c r="J182" s="153">
        <f>(G182*0)/(1+cDR)^'Markov Model_SA2'!cycle</f>
        <v>0</v>
      </c>
      <c r="K182" s="178">
        <f t="shared" si="15"/>
        <v>24.475911183087945</v>
      </c>
      <c r="L182" s="202">
        <f>(G182*(uPostT))/(1+oDR)^'Markov Model_SA2'!cycle</f>
        <v>12.107065127052671</v>
      </c>
      <c r="M182" s="80"/>
      <c r="N182" s="3"/>
      <c r="O182" s="80"/>
      <c r="P182" s="173">
        <v>172</v>
      </c>
      <c r="Q182" s="165"/>
      <c r="R182" s="174">
        <v>1.5487919527160665E-3</v>
      </c>
      <c r="S182" s="502"/>
      <c r="T182" s="219">
        <f t="shared" si="13"/>
        <v>23.059202038254014</v>
      </c>
      <c r="U182" s="249">
        <f>U181+(T181*R182*'life-tables-test'!$C$66)</f>
        <v>76.940797961745986</v>
      </c>
      <c r="V182" s="516">
        <f t="shared" si="10"/>
        <v>100</v>
      </c>
      <c r="W182" s="153">
        <f>(T182*0)/(1+cDR)^'Markov Model_SA2'!cycle2</f>
        <v>0</v>
      </c>
      <c r="X182" s="178">
        <f t="shared" si="11"/>
        <v>23.059202038254014</v>
      </c>
      <c r="Y182" s="202">
        <f>(T182*(uPostT))/(1+oDR)^'Markov Model_SA2'!cycle</f>
        <v>11.406286726841483</v>
      </c>
      <c r="Z182" s="80"/>
      <c r="AA182" s="3"/>
      <c r="AB182" s="3"/>
      <c r="AC182" s="14">
        <v>170</v>
      </c>
      <c r="AD182" s="14"/>
      <c r="AE182" s="14"/>
      <c r="AF182" s="3"/>
      <c r="AG182" s="3"/>
      <c r="AH182" s="3"/>
      <c r="AI182" s="14"/>
      <c r="AJ182" s="14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</row>
    <row r="183" spans="1:58" ht="14.25" customHeight="1" x14ac:dyDescent="0.2">
      <c r="A183" s="637"/>
      <c r="B183" s="417"/>
      <c r="C183" s="173">
        <v>173</v>
      </c>
      <c r="D183" s="165"/>
      <c r="E183" s="174">
        <v>1.5487919527160665E-3</v>
      </c>
      <c r="F183" s="502"/>
      <c r="G183" s="219">
        <f t="shared" si="14"/>
        <v>24.286370711709139</v>
      </c>
      <c r="H183" s="249">
        <f>H182+(G182*E183*'life-tables-test'!$C$66)</f>
        <v>75.713629288290861</v>
      </c>
      <c r="I183" s="516">
        <f t="shared" si="12"/>
        <v>100</v>
      </c>
      <c r="J183" s="153">
        <f>(G183*0)/(1+cDR)^'Markov Model_SA2'!cycle</f>
        <v>0</v>
      </c>
      <c r="K183" s="178">
        <f t="shared" si="15"/>
        <v>24.286370711709139</v>
      </c>
      <c r="L183" s="202">
        <f>(G183*(uPostT))/(1+oDR)^'Markov Model_SA2'!cycle</f>
        <v>11.983350126537379</v>
      </c>
      <c r="M183" s="80"/>
      <c r="N183" s="3"/>
      <c r="O183" s="80"/>
      <c r="P183" s="173">
        <v>173</v>
      </c>
      <c r="Q183" s="165"/>
      <c r="R183" s="174">
        <v>1.5487919527160665E-3</v>
      </c>
      <c r="S183" s="502"/>
      <c r="T183" s="219">
        <f t="shared" si="13"/>
        <v>22.880632505489501</v>
      </c>
      <c r="U183" s="249">
        <f>U182+(T182*R183*'life-tables-test'!$C$66)</f>
        <v>77.119367494510499</v>
      </c>
      <c r="V183" s="516">
        <f t="shared" si="10"/>
        <v>100</v>
      </c>
      <c r="W183" s="153">
        <f>(T183*0)/(1+cDR)^'Markov Model_SA2'!cycle2</f>
        <v>0</v>
      </c>
      <c r="X183" s="178">
        <f t="shared" si="11"/>
        <v>22.880632505489501</v>
      </c>
      <c r="Y183" s="202">
        <f>(T183*(uPostT))/(1+oDR)^'Markov Model_SA2'!cycle</f>
        <v>11.289732569952077</v>
      </c>
      <c r="Z183" s="80"/>
      <c r="AA183" s="3"/>
      <c r="AB183" s="3"/>
      <c r="AC183" s="14">
        <v>171</v>
      </c>
      <c r="AD183" s="14"/>
      <c r="AE183" s="14"/>
      <c r="AF183" s="3"/>
      <c r="AG183" s="3"/>
      <c r="AH183" s="3"/>
      <c r="AI183" s="14"/>
      <c r="AJ183" s="14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</row>
    <row r="184" spans="1:58" ht="14.25" customHeight="1" x14ac:dyDescent="0.2">
      <c r="A184" s="637"/>
      <c r="B184" s="417"/>
      <c r="C184" s="173">
        <v>174</v>
      </c>
      <c r="D184" s="165"/>
      <c r="E184" s="174">
        <v>1.5487919527160665E-3</v>
      </c>
      <c r="F184" s="502"/>
      <c r="G184" s="219">
        <f t="shared" si="14"/>
        <v>24.098298034114265</v>
      </c>
      <c r="H184" s="249">
        <f>H183+(G183*E184*'life-tables-test'!$C$66)</f>
        <v>75.901701965885735</v>
      </c>
      <c r="I184" s="516">
        <f t="shared" si="12"/>
        <v>100</v>
      </c>
      <c r="J184" s="153">
        <f>(G184*0)/(1+cDR)^'Markov Model_SA2'!cycle</f>
        <v>0</v>
      </c>
      <c r="K184" s="178">
        <f t="shared" si="15"/>
        <v>24.098298034114265</v>
      </c>
      <c r="L184" s="202">
        <f>(G184*(uPostT))/(1+oDR)^'Markov Model_SA2'!cycle</f>
        <v>11.860899297081877</v>
      </c>
      <c r="M184" s="80"/>
      <c r="N184" s="3"/>
      <c r="O184" s="80"/>
      <c r="P184" s="173">
        <v>174</v>
      </c>
      <c r="Q184" s="165"/>
      <c r="R184" s="174">
        <v>1.5487919527160665E-3</v>
      </c>
      <c r="S184" s="502"/>
      <c r="T184" s="219">
        <f t="shared" si="13"/>
        <v>22.703445808001717</v>
      </c>
      <c r="U184" s="249">
        <f>U183+(T183*R184*'life-tables-test'!$C$66)</f>
        <v>77.296554191998283</v>
      </c>
      <c r="V184" s="516">
        <f t="shared" ref="V184:V247" si="16">SUM(T184:U184)</f>
        <v>100</v>
      </c>
      <c r="W184" s="153">
        <f>(T184*0)/(1+cDR)^'Markov Model_SA2'!cycle2</f>
        <v>0</v>
      </c>
      <c r="X184" s="178">
        <f t="shared" ref="X184:X247" si="17">T184</f>
        <v>22.703445808001717</v>
      </c>
      <c r="Y184" s="202">
        <f>(T184*(uPostT))/(1+oDR)^'Markov Model_SA2'!cycle</f>
        <v>11.174369411659638</v>
      </c>
      <c r="Z184" s="80"/>
      <c r="AA184" s="3"/>
      <c r="AB184" s="3"/>
      <c r="AC184" s="14">
        <v>172</v>
      </c>
      <c r="AD184" s="14"/>
      <c r="AE184" s="14"/>
      <c r="AF184" s="3"/>
      <c r="AG184" s="3"/>
      <c r="AH184" s="3"/>
      <c r="AI184" s="14"/>
      <c r="AJ184" s="14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</row>
    <row r="185" spans="1:58" ht="14.25" customHeight="1" x14ac:dyDescent="0.2">
      <c r="A185" s="637"/>
      <c r="B185" s="417"/>
      <c r="C185" s="173">
        <v>175</v>
      </c>
      <c r="D185" s="165"/>
      <c r="E185" s="174">
        <v>1.5487919527160665E-3</v>
      </c>
      <c r="F185" s="502"/>
      <c r="G185" s="219">
        <f t="shared" si="14"/>
        <v>23.911681783767321</v>
      </c>
      <c r="H185" s="249">
        <f>H184+(G184*E185*'life-tables-test'!$C$66)</f>
        <v>76.088318216232679</v>
      </c>
      <c r="I185" s="516">
        <f t="shared" ref="I185:I248" si="18">SUM(G185:H185)</f>
        <v>100</v>
      </c>
      <c r="J185" s="153">
        <f>(G185*0)/(1+cDR)^'Markov Model_SA2'!cycle</f>
        <v>0</v>
      </c>
      <c r="K185" s="178">
        <f t="shared" si="15"/>
        <v>23.911681783767321</v>
      </c>
      <c r="L185" s="202">
        <f>(G185*(uPostT))/(1+oDR)^'Markov Model_SA2'!cycle</f>
        <v>11.739699720863239</v>
      </c>
      <c r="M185" s="80"/>
      <c r="N185" s="3"/>
      <c r="O185" s="80"/>
      <c r="P185" s="173">
        <v>175</v>
      </c>
      <c r="Q185" s="165"/>
      <c r="R185" s="174">
        <v>1.5487919527160665E-3</v>
      </c>
      <c r="S185" s="502"/>
      <c r="T185" s="219">
        <f t="shared" ref="T185:T248" si="19">$T$10-U185</f>
        <v>22.527631237169928</v>
      </c>
      <c r="U185" s="249">
        <f>U184+(T184*R185*'life-tables-test'!$C$66)</f>
        <v>77.472368762830072</v>
      </c>
      <c r="V185" s="516">
        <f t="shared" si="16"/>
        <v>100</v>
      </c>
      <c r="W185" s="153">
        <f>(T185*0)/(1+cDR)^'Markov Model_SA2'!cycle2</f>
        <v>0</v>
      </c>
      <c r="X185" s="178">
        <f t="shared" si="17"/>
        <v>22.527631237169928</v>
      </c>
      <c r="Y185" s="202">
        <f>(T185*(uPostT))/(1+oDR)^'Markov Model_SA2'!cycle</f>
        <v>11.060185081847747</v>
      </c>
      <c r="Z185" s="80"/>
      <c r="AA185" s="3"/>
      <c r="AB185" s="3"/>
      <c r="AC185" s="14">
        <v>173</v>
      </c>
      <c r="AD185" s="14"/>
      <c r="AE185" s="14"/>
      <c r="AF185" s="3"/>
      <c r="AG185" s="3"/>
      <c r="AH185" s="3"/>
      <c r="AI185" s="14"/>
      <c r="AJ185" s="14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</row>
    <row r="186" spans="1:58" ht="14.25" customHeight="1" x14ac:dyDescent="0.2">
      <c r="A186" s="637"/>
      <c r="B186" s="417"/>
      <c r="C186" s="173">
        <v>176</v>
      </c>
      <c r="D186" s="165"/>
      <c r="E186" s="174">
        <v>1.5487919527160665E-3</v>
      </c>
      <c r="F186" s="502"/>
      <c r="G186" s="219">
        <f t="shared" si="14"/>
        <v>23.726510682154284</v>
      </c>
      <c r="H186" s="249">
        <f>H185+(G185*E186*'life-tables-test'!$C$66)</f>
        <v>76.273489317845716</v>
      </c>
      <c r="I186" s="516">
        <f t="shared" si="18"/>
        <v>100</v>
      </c>
      <c r="J186" s="153">
        <f>(G186*0)/(1+cDR)^'Markov Model_SA2'!cycle</f>
        <v>0</v>
      </c>
      <c r="K186" s="178">
        <f t="shared" si="15"/>
        <v>23.726510682154284</v>
      </c>
      <c r="L186" s="202">
        <f>(G186*(uPostT))/(1+oDR)^'Markov Model_SA2'!cycle</f>
        <v>11.619738612058208</v>
      </c>
      <c r="M186" s="80"/>
      <c r="N186" s="3"/>
      <c r="O186" s="80"/>
      <c r="P186" s="173">
        <v>176</v>
      </c>
      <c r="Q186" s="165"/>
      <c r="R186" s="174">
        <v>1.5487919527160665E-3</v>
      </c>
      <c r="S186" s="502"/>
      <c r="T186" s="219">
        <f t="shared" si="19"/>
        <v>22.353178167300513</v>
      </c>
      <c r="U186" s="249">
        <f>U185+(T185*R186*'life-tables-test'!$C$66)</f>
        <v>77.646821832699487</v>
      </c>
      <c r="V186" s="516">
        <f t="shared" si="16"/>
        <v>100</v>
      </c>
      <c r="W186" s="153">
        <f>(T186*0)/(1+cDR)^'Markov Model_SA2'!cycle2</f>
        <v>0</v>
      </c>
      <c r="X186" s="178">
        <f t="shared" si="17"/>
        <v>22.353178167300513</v>
      </c>
      <c r="Y186" s="202">
        <f>(T186*(uPostT))/(1+oDR)^'Markov Model_SA2'!cycle</f>
        <v>10.947167534759268</v>
      </c>
      <c r="Z186" s="80"/>
      <c r="AA186" s="3"/>
      <c r="AB186" s="3"/>
      <c r="AC186" s="14">
        <v>174</v>
      </c>
      <c r="AD186" s="14"/>
      <c r="AE186" s="14"/>
      <c r="AF186" s="3"/>
      <c r="AG186" s="3"/>
      <c r="AH186" s="3"/>
      <c r="AI186" s="14"/>
      <c r="AJ186" s="14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</row>
    <row r="187" spans="1:58" ht="14.25" customHeight="1" x14ac:dyDescent="0.2">
      <c r="A187" s="637"/>
      <c r="B187" s="417"/>
      <c r="C187" s="173">
        <v>177</v>
      </c>
      <c r="D187" s="165"/>
      <c r="E187" s="174">
        <v>1.5487919527160665E-3</v>
      </c>
      <c r="F187" s="502"/>
      <c r="G187" s="219">
        <f t="shared" si="14"/>
        <v>23.542773538101528</v>
      </c>
      <c r="H187" s="249">
        <f>H186+(G186*E187*'life-tables-test'!$C$66)</f>
        <v>76.457226461898472</v>
      </c>
      <c r="I187" s="516">
        <f t="shared" si="18"/>
        <v>100</v>
      </c>
      <c r="J187" s="153">
        <f>(G187*0)/(1+cDR)^'Markov Model_SA2'!cycle</f>
        <v>0</v>
      </c>
      <c r="K187" s="178">
        <f t="shared" si="15"/>
        <v>23.542773538101528</v>
      </c>
      <c r="L187" s="202">
        <f>(G187*(uPostT))/(1+oDR)^'Markov Model_SA2'!cycle</f>
        <v>11.50100331549438</v>
      </c>
      <c r="M187" s="80"/>
      <c r="N187" s="3"/>
      <c r="O187" s="80"/>
      <c r="P187" s="173">
        <v>177</v>
      </c>
      <c r="Q187" s="165"/>
      <c r="R187" s="174">
        <v>1.5487919527160665E-3</v>
      </c>
      <c r="S187" s="502"/>
      <c r="T187" s="219">
        <f t="shared" si="19"/>
        <v>22.180076054984795</v>
      </c>
      <c r="U187" s="249">
        <f>U186+(T186*R187*'life-tables-test'!$C$66)</f>
        <v>77.819923945015205</v>
      </c>
      <c r="V187" s="516">
        <f t="shared" si="16"/>
        <v>100</v>
      </c>
      <c r="W187" s="153">
        <f>(T187*0)/(1+cDR)^'Markov Model_SA2'!cycle2</f>
        <v>0</v>
      </c>
      <c r="X187" s="178">
        <f t="shared" si="17"/>
        <v>22.180076054984795</v>
      </c>
      <c r="Y187" s="202">
        <f>(T187*(uPostT))/(1+oDR)^'Markov Model_SA2'!cycle</f>
        <v>10.835304847725608</v>
      </c>
      <c r="Z187" s="80"/>
      <c r="AA187" s="3"/>
      <c r="AB187" s="3"/>
      <c r="AC187" s="14">
        <v>175</v>
      </c>
      <c r="AD187" s="14"/>
      <c r="AE187" s="14"/>
      <c r="AF187" s="3"/>
      <c r="AG187" s="3"/>
      <c r="AH187" s="3"/>
      <c r="AI187" s="14"/>
      <c r="AJ187" s="14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</row>
    <row r="188" spans="1:58" ht="14.25" customHeight="1" x14ac:dyDescent="0.2">
      <c r="A188" s="637"/>
      <c r="B188" s="417"/>
      <c r="C188" s="173">
        <v>178</v>
      </c>
      <c r="D188" s="165"/>
      <c r="E188" s="174">
        <v>1.5487919527160665E-3</v>
      </c>
      <c r="F188" s="502"/>
      <c r="G188" s="219">
        <f t="shared" si="14"/>
        <v>23.360459247099385</v>
      </c>
      <c r="H188" s="249">
        <f>H187+(G187*E188*'life-tables-test'!$C$66)</f>
        <v>76.639540752900615</v>
      </c>
      <c r="I188" s="516">
        <f t="shared" si="18"/>
        <v>100</v>
      </c>
      <c r="J188" s="153">
        <f>(G188*0)/(1+cDR)^'Markov Model_SA2'!cycle</f>
        <v>0</v>
      </c>
      <c r="K188" s="178">
        <f t="shared" si="15"/>
        <v>23.360459247099385</v>
      </c>
      <c r="L188" s="202">
        <f>(G188*(uPostT))/(1+oDR)^'Markov Model_SA2'!cycle</f>
        <v>11.383481305315096</v>
      </c>
      <c r="M188" s="80"/>
      <c r="N188" s="3"/>
      <c r="O188" s="80"/>
      <c r="P188" s="173">
        <v>178</v>
      </c>
      <c r="Q188" s="165"/>
      <c r="R188" s="174">
        <v>1.5487919527160665E-3</v>
      </c>
      <c r="S188" s="502"/>
      <c r="T188" s="219">
        <f t="shared" si="19"/>
        <v>22.008314438461838</v>
      </c>
      <c r="U188" s="249">
        <f>U187+(T187*R188*'life-tables-test'!$C$66)</f>
        <v>77.991685561538162</v>
      </c>
      <c r="V188" s="516">
        <f t="shared" si="16"/>
        <v>100</v>
      </c>
      <c r="W188" s="153">
        <f>(T188*0)/(1+cDR)^'Markov Model_SA2'!cycle2</f>
        <v>0</v>
      </c>
      <c r="X188" s="178">
        <f t="shared" si="17"/>
        <v>22.008314438461838</v>
      </c>
      <c r="Y188" s="202">
        <f>(T188*(uPostT))/(1+oDR)^'Markov Model_SA2'!cycle</f>
        <v>10.724585219908915</v>
      </c>
      <c r="Z188" s="80"/>
      <c r="AA188" s="3"/>
      <c r="AB188" s="3"/>
      <c r="AC188" s="14">
        <v>176</v>
      </c>
      <c r="AD188" s="14"/>
      <c r="AE188" s="14"/>
      <c r="AF188" s="3"/>
      <c r="AG188" s="3"/>
      <c r="AH188" s="3"/>
      <c r="AI188" s="14"/>
      <c r="AJ188" s="14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</row>
    <row r="189" spans="1:58" ht="14.25" customHeight="1" x14ac:dyDescent="0.2">
      <c r="A189" s="637"/>
      <c r="B189" s="417"/>
      <c r="C189" s="173">
        <v>179</v>
      </c>
      <c r="D189" s="165"/>
      <c r="E189" s="174">
        <v>1.5487919527160665E-3</v>
      </c>
      <c r="F189" s="502"/>
      <c r="G189" s="219">
        <f t="shared" si="14"/>
        <v>23.179556790631096</v>
      </c>
      <c r="H189" s="249">
        <f>H188+(G188*E189*'life-tables-test'!$C$66)</f>
        <v>76.820443209368904</v>
      </c>
      <c r="I189" s="516">
        <f t="shared" si="18"/>
        <v>100</v>
      </c>
      <c r="J189" s="153">
        <f>(G189*0)/(1+cDR)^'Markov Model_SA2'!cycle</f>
        <v>0</v>
      </c>
      <c r="K189" s="178">
        <f t="shared" si="15"/>
        <v>23.179556790631096</v>
      </c>
      <c r="L189" s="202">
        <f>(G189*(uPostT))/(1+oDR)^'Markov Model_SA2'!cycle</f>
        <v>11.267160183658127</v>
      </c>
      <c r="M189" s="80"/>
      <c r="N189" s="3"/>
      <c r="O189" s="80"/>
      <c r="P189" s="173">
        <v>179</v>
      </c>
      <c r="Q189" s="165"/>
      <c r="R189" s="174">
        <v>1.5487919527160665E-3</v>
      </c>
      <c r="S189" s="502"/>
      <c r="T189" s="219">
        <f t="shared" si="19"/>
        <v>21.837882936986162</v>
      </c>
      <c r="U189" s="249">
        <f>U188+(T188*R189*'life-tables-test'!$C$66)</f>
        <v>78.162117063013838</v>
      </c>
      <c r="V189" s="516">
        <f t="shared" si="16"/>
        <v>100</v>
      </c>
      <c r="W189" s="153">
        <f>(T189*0)/(1+cDR)^'Markov Model_SA2'!cycle2</f>
        <v>0</v>
      </c>
      <c r="X189" s="178">
        <f t="shared" si="17"/>
        <v>21.837882936986162</v>
      </c>
      <c r="Y189" s="202">
        <f>(T189*(uPostT))/(1+oDR)^'Markov Model_SA2'!cycle</f>
        <v>10.614996971057211</v>
      </c>
      <c r="Z189" s="80"/>
      <c r="AA189" s="3"/>
      <c r="AB189" s="3"/>
      <c r="AC189" s="14">
        <v>177</v>
      </c>
      <c r="AD189" s="14"/>
      <c r="AE189" s="14"/>
      <c r="AF189" s="3"/>
      <c r="AG189" s="3"/>
      <c r="AH189" s="3"/>
      <c r="AI189" s="14"/>
      <c r="AJ189" s="14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</row>
    <row r="190" spans="1:58" ht="14.25" customHeight="1" x14ac:dyDescent="0.2">
      <c r="A190" s="637"/>
      <c r="B190" s="417"/>
      <c r="C190" s="173">
        <v>180</v>
      </c>
      <c r="D190" s="165"/>
      <c r="E190" s="174">
        <v>1.5487919527160665E-3</v>
      </c>
      <c r="F190" s="502"/>
      <c r="G190" s="219">
        <f t="shared" si="14"/>
        <v>23.000055235506821</v>
      </c>
      <c r="H190" s="249">
        <f>H189+(G189*E190*'life-tables-test'!$C$66)</f>
        <v>76.999944764493179</v>
      </c>
      <c r="I190" s="516">
        <f t="shared" si="18"/>
        <v>100</v>
      </c>
      <c r="J190" s="153">
        <f>(G190*0)/(1+cDR)^'Markov Model_SA2'!cycle</f>
        <v>0</v>
      </c>
      <c r="K190" s="178">
        <f t="shared" si="15"/>
        <v>23.000055235506821</v>
      </c>
      <c r="L190" s="202">
        <f>(G190*(uPostT))/(1+oDR)^'Markov Model_SA2'!cycle</f>
        <v>11.152027679347695</v>
      </c>
      <c r="M190" s="80"/>
      <c r="N190" s="3"/>
      <c r="O190" s="80"/>
      <c r="P190" s="173">
        <v>180</v>
      </c>
      <c r="Q190" s="165"/>
      <c r="R190" s="174">
        <v>1.5487919527160665E-3</v>
      </c>
      <c r="S190" s="502"/>
      <c r="T190" s="219">
        <f t="shared" si="19"/>
        <v>21.668771250200365</v>
      </c>
      <c r="U190" s="249">
        <f>U189+(T189*R190*'life-tables-test'!$C$66)</f>
        <v>78.331228749799635</v>
      </c>
      <c r="V190" s="516">
        <f t="shared" si="16"/>
        <v>100</v>
      </c>
      <c r="W190" s="153">
        <f>(T190*0)/(1+cDR)^'Markov Model_SA2'!cycle2</f>
        <v>0</v>
      </c>
      <c r="X190" s="178">
        <f t="shared" si="17"/>
        <v>21.668771250200365</v>
      </c>
      <c r="Y190" s="202">
        <f>(T190*(uPostT))/(1+oDR)^'Markov Model_SA2'!cycle</f>
        <v>10.506528540272138</v>
      </c>
      <c r="Z190" s="80"/>
      <c r="AA190" s="3"/>
      <c r="AB190" s="3"/>
      <c r="AC190" s="14">
        <v>178</v>
      </c>
      <c r="AD190" s="14"/>
      <c r="AE190" s="14"/>
      <c r="AF190" s="3"/>
      <c r="AG190" s="3"/>
      <c r="AH190" s="3"/>
      <c r="AI190" s="14"/>
      <c r="AJ190" s="14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</row>
    <row r="191" spans="1:58" ht="14.25" customHeight="1" x14ac:dyDescent="0.2">
      <c r="A191" s="606"/>
      <c r="B191" s="417"/>
      <c r="C191" s="173">
        <v>181</v>
      </c>
      <c r="D191" s="504"/>
      <c r="E191" s="174">
        <v>1.5487919527160665E-3</v>
      </c>
      <c r="F191" s="505"/>
      <c r="G191" s="219">
        <f t="shared" si="14"/>
        <v>22.821943733202929</v>
      </c>
      <c r="H191" s="249">
        <f>H190+(G190*E191*'life-tables-test'!$C$66)</f>
        <v>77.178056266797071</v>
      </c>
      <c r="I191" s="516">
        <f t="shared" si="18"/>
        <v>100</v>
      </c>
      <c r="J191" s="180">
        <f>(G191*0)/(1+cDR)^'Markov Model_SA2'!cycle</f>
        <v>0</v>
      </c>
      <c r="K191" s="176">
        <f t="shared" si="15"/>
        <v>22.821943733202929</v>
      </c>
      <c r="L191" s="202">
        <f>(G191*(uPostT))/(1+oDR)^'Markov Model_SA2'!cycle</f>
        <v>11.038071646599992</v>
      </c>
      <c r="M191" s="80"/>
      <c r="N191" s="3"/>
      <c r="O191" s="80"/>
      <c r="P191" s="173">
        <v>181</v>
      </c>
      <c r="Q191" s="504"/>
      <c r="R191" s="174">
        <v>1.5487919527160665E-3</v>
      </c>
      <c r="S191" s="505"/>
      <c r="T191" s="219">
        <f t="shared" si="19"/>
        <v>21.500969157512586</v>
      </c>
      <c r="U191" s="249">
        <f>U190+(T190*R191*'life-tables-test'!$C$66)</f>
        <v>78.499030842487414</v>
      </c>
      <c r="V191" s="516">
        <f t="shared" si="16"/>
        <v>100</v>
      </c>
      <c r="W191" s="180">
        <f>(T191*0)/(1+cDR)^'Markov Model_SA2'!cycle2</f>
        <v>0</v>
      </c>
      <c r="X191" s="176">
        <f t="shared" si="17"/>
        <v>21.500969157512586</v>
      </c>
      <c r="Y191" s="202">
        <f>(T191*(uPostT))/(1+oDR)^'Markov Model_SA2'!cycle</f>
        <v>10.399168484789389</v>
      </c>
      <c r="Z191" s="80"/>
      <c r="AA191" s="3"/>
      <c r="AB191" s="3"/>
      <c r="AC191" s="14">
        <v>179</v>
      </c>
      <c r="AD191" s="14"/>
      <c r="AE191" s="14"/>
      <c r="AF191" s="3"/>
      <c r="AG191" s="3"/>
      <c r="AH191" s="3"/>
      <c r="AI191" s="14"/>
      <c r="AJ191" s="14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</row>
    <row r="192" spans="1:58" ht="14.25" customHeight="1" x14ac:dyDescent="0.25">
      <c r="A192" s="637" t="s">
        <v>557</v>
      </c>
      <c r="B192" s="417"/>
      <c r="C192" s="506">
        <v>182</v>
      </c>
      <c r="D192" s="506"/>
      <c r="E192" s="507">
        <v>1.5487919527160665E-3</v>
      </c>
      <c r="F192" s="508"/>
      <c r="G192" s="509">
        <f t="shared" si="14"/>
        <v>22.645211519206313</v>
      </c>
      <c r="H192" s="510">
        <f>H191+(G191*E192*'life-tables-test'!$C$66)</f>
        <v>77.354788480793687</v>
      </c>
      <c r="I192" s="518">
        <f t="shared" si="18"/>
        <v>100</v>
      </c>
      <c r="J192" s="511">
        <f>(G192*0)/(1+cDR)^'Markov Model_SA2'!cycle</f>
        <v>0</v>
      </c>
      <c r="K192" s="512">
        <f t="shared" si="15"/>
        <v>22.645211519206313</v>
      </c>
      <c r="L192" s="513">
        <f>(G192*(uPostT))/(1+oDR)^'Markov Model_SA2'!cycle</f>
        <v>10.925280063741853</v>
      </c>
      <c r="M192" s="80"/>
      <c r="N192" s="3"/>
      <c r="O192" s="80"/>
      <c r="P192" s="506">
        <v>182</v>
      </c>
      <c r="Q192" s="506"/>
      <c r="R192" s="507">
        <v>1.5487919527160665E-3</v>
      </c>
      <c r="S192" s="508"/>
      <c r="T192" s="509">
        <f t="shared" si="19"/>
        <v>21.33446651747883</v>
      </c>
      <c r="U192" s="510">
        <f>U191+(T191*R192*'life-tables-test'!$C$66)</f>
        <v>78.66553348252117</v>
      </c>
      <c r="V192" s="518">
        <f t="shared" si="16"/>
        <v>100</v>
      </c>
      <c r="W192" s="511">
        <f>(T192*0)/(1+cDR)^'Markov Model_SA2'!cycle2</f>
        <v>0</v>
      </c>
      <c r="X192" s="512">
        <f t="shared" si="17"/>
        <v>21.33446651747883</v>
      </c>
      <c r="Y192" s="513">
        <f>(T192*(uPostT))/(1+oDR)^'Markov Model_SA2'!cycle</f>
        <v>10.292905478771562</v>
      </c>
      <c r="Z192" s="80"/>
      <c r="AA192" s="3"/>
      <c r="AB192" s="3"/>
      <c r="AC192" s="14">
        <v>180</v>
      </c>
      <c r="AD192" s="14"/>
      <c r="AE192" s="14"/>
      <c r="AF192" s="3"/>
      <c r="AG192" s="3"/>
      <c r="AH192" s="3"/>
      <c r="AI192" s="14"/>
      <c r="AJ192" s="14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</row>
    <row r="193" spans="1:58" ht="14.25" customHeight="1" x14ac:dyDescent="0.2">
      <c r="A193" s="637"/>
      <c r="B193" s="417"/>
      <c r="C193" s="173">
        <v>183</v>
      </c>
      <c r="D193" s="165"/>
      <c r="E193" s="174">
        <v>1.7090569820643609E-3</v>
      </c>
      <c r="F193" s="502"/>
      <c r="G193" s="219">
        <f t="shared" si="14"/>
        <v>22.451701734920192</v>
      </c>
      <c r="H193" s="249">
        <f>H192+(G192*E193*'life-tables-test'!$C$66)</f>
        <v>77.548298265079808</v>
      </c>
      <c r="I193" s="516">
        <f t="shared" si="18"/>
        <v>100</v>
      </c>
      <c r="J193" s="153">
        <f>(G193*0)/(1+cDR)^'Markov Model_SA2'!cycle</f>
        <v>0</v>
      </c>
      <c r="K193" s="178">
        <f t="shared" si="15"/>
        <v>22.451701734920192</v>
      </c>
      <c r="L193" s="202">
        <f>(G193*(uPostT))/(1+oDR)^'Markov Model_SA2'!cycle</f>
        <v>10.804908162465955</v>
      </c>
      <c r="M193" s="80"/>
      <c r="N193" s="3"/>
      <c r="O193" s="80"/>
      <c r="P193" s="173">
        <v>183</v>
      </c>
      <c r="Q193" s="165"/>
      <c r="R193" s="174">
        <v>1.7090569820643609E-3</v>
      </c>
      <c r="S193" s="502"/>
      <c r="T193" s="219">
        <f t="shared" si="19"/>
        <v>21.152157422677249</v>
      </c>
      <c r="U193" s="249">
        <f>U192+(T192*R193*'life-tables-test'!$C$66)</f>
        <v>78.847842577322751</v>
      </c>
      <c r="V193" s="516">
        <f t="shared" si="16"/>
        <v>100</v>
      </c>
      <c r="W193" s="153">
        <f>(T193*0)/(1+cDR)^'Markov Model_SA2'!cycle2</f>
        <v>0</v>
      </c>
      <c r="X193" s="178">
        <f t="shared" si="17"/>
        <v>21.152157422677249</v>
      </c>
      <c r="Y193" s="202">
        <f>(T193*(uPostT))/(1+oDR)^'Markov Model_SA2'!cycle</f>
        <v>10.179500916608921</v>
      </c>
      <c r="Z193" s="80"/>
      <c r="AA193" s="3"/>
      <c r="AB193" s="3"/>
      <c r="AC193" s="14">
        <v>181</v>
      </c>
      <c r="AD193" s="14"/>
      <c r="AE193" s="14"/>
      <c r="AF193" s="3"/>
      <c r="AG193" s="3"/>
      <c r="AH193" s="3"/>
      <c r="AI193" s="14"/>
      <c r="AJ193" s="14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</row>
    <row r="194" spans="1:58" ht="14.25" customHeight="1" x14ac:dyDescent="0.2">
      <c r="A194" s="637"/>
      <c r="B194" s="417"/>
      <c r="C194" s="173">
        <v>184</v>
      </c>
      <c r="D194" s="165"/>
      <c r="E194" s="174">
        <v>1.7090569820643609E-3</v>
      </c>
      <c r="F194" s="502"/>
      <c r="G194" s="219">
        <f t="shared" si="14"/>
        <v>22.259845546873734</v>
      </c>
      <c r="H194" s="249">
        <f>H193+(G193*E194*'life-tables-test'!$C$66)</f>
        <v>77.740154453126266</v>
      </c>
      <c r="I194" s="516">
        <f t="shared" si="18"/>
        <v>100</v>
      </c>
      <c r="J194" s="153">
        <f>(G194*0)/(1+cDR)^'Markov Model_SA2'!cycle</f>
        <v>0</v>
      </c>
      <c r="K194" s="178">
        <f t="shared" si="15"/>
        <v>22.259845546873734</v>
      </c>
      <c r="L194" s="202">
        <f>(G194*(uPostT))/(1+oDR)^'Markov Model_SA2'!cycle</f>
        <v>10.685862487568901</v>
      </c>
      <c r="M194" s="80"/>
      <c r="N194" s="3"/>
      <c r="O194" s="80"/>
      <c r="P194" s="173">
        <v>184</v>
      </c>
      <c r="Q194" s="165"/>
      <c r="R194" s="174">
        <v>1.7090569820643609E-3</v>
      </c>
      <c r="S194" s="502"/>
      <c r="T194" s="219">
        <f t="shared" si="19"/>
        <v>20.971406211032487</v>
      </c>
      <c r="U194" s="249">
        <f>U193+(T193*R194*'life-tables-test'!$C$66)</f>
        <v>79.028593788967513</v>
      </c>
      <c r="V194" s="516">
        <f t="shared" si="16"/>
        <v>100</v>
      </c>
      <c r="W194" s="153">
        <f>(T194*0)/(1+cDR)^'Markov Model_SA2'!cycle2</f>
        <v>0</v>
      </c>
      <c r="X194" s="178">
        <f t="shared" si="17"/>
        <v>20.971406211032487</v>
      </c>
      <c r="Y194" s="202">
        <f>(T194*(uPostT))/(1+oDR)^'Markov Model_SA2'!cycle</f>
        <v>10.06734581649039</v>
      </c>
      <c r="Z194" s="80"/>
      <c r="AA194" s="3"/>
      <c r="AB194" s="3"/>
      <c r="AC194" s="14">
        <v>182</v>
      </c>
      <c r="AD194" s="14"/>
      <c r="AE194" s="14"/>
      <c r="AF194" s="3"/>
      <c r="AG194" s="3"/>
      <c r="AH194" s="3"/>
      <c r="AI194" s="14"/>
      <c r="AJ194" s="14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</row>
    <row r="195" spans="1:58" ht="14.25" customHeight="1" x14ac:dyDescent="0.2">
      <c r="A195" s="637"/>
      <c r="B195" s="417"/>
      <c r="C195" s="173">
        <v>185</v>
      </c>
      <c r="D195" s="165"/>
      <c r="E195" s="174">
        <v>1.7090569820643609E-3</v>
      </c>
      <c r="F195" s="502"/>
      <c r="G195" s="219">
        <f t="shared" si="14"/>
        <v>22.069628824615947</v>
      </c>
      <c r="H195" s="249">
        <f>H194+(G194*E195*'life-tables-test'!$C$66)</f>
        <v>77.930371175384053</v>
      </c>
      <c r="I195" s="516">
        <f t="shared" si="18"/>
        <v>100</v>
      </c>
      <c r="J195" s="153">
        <f>(G195*0)/(1+cDR)^'Markov Model_SA2'!cycle</f>
        <v>0</v>
      </c>
      <c r="K195" s="178">
        <f t="shared" si="15"/>
        <v>22.069628824615947</v>
      </c>
      <c r="L195" s="202">
        <f>(G195*(uPostT))/(1+oDR)^'Markov Model_SA2'!cycle</f>
        <v>10.568128427032525</v>
      </c>
      <c r="M195" s="80"/>
      <c r="N195" s="3"/>
      <c r="O195" s="80"/>
      <c r="P195" s="173">
        <v>185</v>
      </c>
      <c r="Q195" s="165"/>
      <c r="R195" s="174">
        <v>1.7090569820643609E-3</v>
      </c>
      <c r="S195" s="502"/>
      <c r="T195" s="219">
        <f t="shared" si="19"/>
        <v>20.792199569989123</v>
      </c>
      <c r="U195" s="249">
        <f>U194+(T194*R195*'life-tables-test'!$C$66)</f>
        <v>79.207800430010877</v>
      </c>
      <c r="V195" s="516">
        <f t="shared" si="16"/>
        <v>100</v>
      </c>
      <c r="W195" s="153">
        <f>(T195*0)/(1+cDR)^'Markov Model_SA2'!cycle2</f>
        <v>0</v>
      </c>
      <c r="X195" s="178">
        <f t="shared" si="17"/>
        <v>20.792199569989123</v>
      </c>
      <c r="Y195" s="202">
        <f>(T195*(uPostT))/(1+oDR)^'Markov Model_SA2'!cycle</f>
        <v>9.9564264121673229</v>
      </c>
      <c r="Z195" s="80"/>
      <c r="AA195" s="3"/>
      <c r="AB195" s="3"/>
      <c r="AC195" s="14">
        <v>183</v>
      </c>
      <c r="AD195" s="14"/>
      <c r="AE195" s="14"/>
      <c r="AF195" s="3"/>
      <c r="AG195" s="3"/>
      <c r="AH195" s="3"/>
      <c r="AI195" s="14"/>
      <c r="AJ195" s="14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</row>
    <row r="196" spans="1:58" ht="14.25" customHeight="1" x14ac:dyDescent="0.2">
      <c r="A196" s="637"/>
      <c r="B196" s="417"/>
      <c r="C196" s="173">
        <v>186</v>
      </c>
      <c r="D196" s="165"/>
      <c r="E196" s="174">
        <v>1.7090569820643609E-3</v>
      </c>
      <c r="F196" s="502"/>
      <c r="G196" s="219">
        <f t="shared" si="14"/>
        <v>21.881037558444547</v>
      </c>
      <c r="H196" s="249">
        <f>H195+(G195*E196*'life-tables-test'!$C$66)</f>
        <v>78.118962441555453</v>
      </c>
      <c r="I196" s="516">
        <f t="shared" si="18"/>
        <v>100</v>
      </c>
      <c r="J196" s="153">
        <f>(G196*0)/(1+cDR)^'Markov Model_SA2'!cycle</f>
        <v>0</v>
      </c>
      <c r="K196" s="178">
        <f t="shared" si="15"/>
        <v>21.881037558444547</v>
      </c>
      <c r="L196" s="202">
        <f>(G196*(uPostT))/(1+oDR)^'Markov Model_SA2'!cycle</f>
        <v>10.451691529830084</v>
      </c>
      <c r="M196" s="80"/>
      <c r="N196" s="3"/>
      <c r="O196" s="80"/>
      <c r="P196" s="173">
        <v>186</v>
      </c>
      <c r="Q196" s="165"/>
      <c r="R196" s="174">
        <v>1.7090569820643609E-3</v>
      </c>
      <c r="S196" s="502"/>
      <c r="T196" s="219">
        <f t="shared" si="19"/>
        <v>20.614524300751299</v>
      </c>
      <c r="U196" s="249">
        <f>U195+(T195*R196*'life-tables-test'!$C$66)</f>
        <v>79.385475699248701</v>
      </c>
      <c r="V196" s="516">
        <f t="shared" si="16"/>
        <v>100</v>
      </c>
      <c r="W196" s="153">
        <f>(T196*0)/(1+cDR)^'Markov Model_SA2'!cycle2</f>
        <v>0</v>
      </c>
      <c r="X196" s="178">
        <f t="shared" si="17"/>
        <v>20.614524300751299</v>
      </c>
      <c r="Y196" s="202">
        <f>(T196*(uPostT))/(1+oDR)^'Markov Model_SA2'!cycle</f>
        <v>9.8467290890640431</v>
      </c>
      <c r="Z196" s="80"/>
      <c r="AA196" s="3"/>
      <c r="AB196" s="3"/>
      <c r="AC196" s="14">
        <v>184</v>
      </c>
      <c r="AD196" s="14"/>
      <c r="AE196" s="14"/>
      <c r="AF196" s="3"/>
      <c r="AG196" s="3"/>
      <c r="AH196" s="3"/>
      <c r="AI196" s="14"/>
      <c r="AJ196" s="14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</row>
    <row r="197" spans="1:58" ht="14.25" customHeight="1" x14ac:dyDescent="0.2">
      <c r="A197" s="637"/>
      <c r="B197" s="417"/>
      <c r="C197" s="173">
        <v>187</v>
      </c>
      <c r="D197" s="165"/>
      <c r="E197" s="174">
        <v>1.7090569820643609E-3</v>
      </c>
      <c r="F197" s="502"/>
      <c r="G197" s="219">
        <f t="shared" si="14"/>
        <v>21.69405785837418</v>
      </c>
      <c r="H197" s="249">
        <f>H196+(G196*E197*'life-tables-test'!$C$66)</f>
        <v>78.30594214162582</v>
      </c>
      <c r="I197" s="516">
        <f t="shared" si="18"/>
        <v>100</v>
      </c>
      <c r="J197" s="153">
        <f>(G197*0)/(1+cDR)^'Markov Model_SA2'!cycle</f>
        <v>0</v>
      </c>
      <c r="K197" s="178">
        <f t="shared" si="15"/>
        <v>21.69405785837418</v>
      </c>
      <c r="L197" s="202">
        <f>(G197*(uPostT))/(1+oDR)^'Markov Model_SA2'!cycle</f>
        <v>10.336537504152504</v>
      </c>
      <c r="M197" s="80"/>
      <c r="N197" s="3"/>
      <c r="O197" s="80"/>
      <c r="P197" s="173">
        <v>187</v>
      </c>
      <c r="Q197" s="165"/>
      <c r="R197" s="174">
        <v>1.7090569820643609E-3</v>
      </c>
      <c r="S197" s="502"/>
      <c r="T197" s="219">
        <f t="shared" si="19"/>
        <v>20.438367317310622</v>
      </c>
      <c r="U197" s="249">
        <f>U196+(T196*R197*'life-tables-test'!$C$66)</f>
        <v>79.561632682689378</v>
      </c>
      <c r="V197" s="516">
        <f t="shared" si="16"/>
        <v>100</v>
      </c>
      <c r="W197" s="153">
        <f>(T197*0)/(1+cDR)^'Markov Model_SA2'!cycle2</f>
        <v>0</v>
      </c>
      <c r="X197" s="178">
        <f t="shared" si="17"/>
        <v>20.438367317310622</v>
      </c>
      <c r="Y197" s="202">
        <f>(T197*(uPostT))/(1+oDR)^'Markov Model_SA2'!cycle</f>
        <v>9.738240382606719</v>
      </c>
      <c r="Z197" s="80"/>
      <c r="AA197" s="3"/>
      <c r="AB197" s="3"/>
      <c r="AC197" s="14">
        <v>185</v>
      </c>
      <c r="AD197" s="14"/>
      <c r="AE197" s="14"/>
      <c r="AF197" s="3"/>
      <c r="AG197" s="3"/>
      <c r="AH197" s="3"/>
      <c r="AI197" s="14"/>
      <c r="AJ197" s="14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</row>
    <row r="198" spans="1:58" ht="14.25" customHeight="1" x14ac:dyDescent="0.2">
      <c r="A198" s="637"/>
      <c r="B198" s="417"/>
      <c r="C198" s="173">
        <v>188</v>
      </c>
      <c r="D198" s="165"/>
      <c r="E198" s="174">
        <v>1.7090569820643609E-3</v>
      </c>
      <c r="F198" s="502"/>
      <c r="G198" s="219">
        <f t="shared" si="14"/>
        <v>21.508675953113368</v>
      </c>
      <c r="H198" s="249">
        <f>H197+(G197*E198*'life-tables-test'!$C$66)</f>
        <v>78.491324046886632</v>
      </c>
      <c r="I198" s="516">
        <f t="shared" si="18"/>
        <v>100</v>
      </c>
      <c r="J198" s="153">
        <f>(G198*0)/(1+cDR)^'Markov Model_SA2'!cycle</f>
        <v>0</v>
      </c>
      <c r="K198" s="178">
        <f t="shared" si="15"/>
        <v>21.508675953113368</v>
      </c>
      <c r="L198" s="202">
        <f>(G198*(uPostT))/(1+oDR)^'Markov Model_SA2'!cycle</f>
        <v>10.222652215654159</v>
      </c>
      <c r="M198" s="80"/>
      <c r="N198" s="3"/>
      <c r="O198" s="80"/>
      <c r="P198" s="173">
        <v>188</v>
      </c>
      <c r="Q198" s="165"/>
      <c r="R198" s="174">
        <v>1.7090569820643609E-3</v>
      </c>
      <c r="S198" s="502"/>
      <c r="T198" s="219">
        <f t="shared" si="19"/>
        <v>20.263715645482392</v>
      </c>
      <c r="U198" s="249">
        <f>U197+(T197*R198*'life-tables-test'!$C$66)</f>
        <v>79.736284354517608</v>
      </c>
      <c r="V198" s="516">
        <f t="shared" si="16"/>
        <v>100</v>
      </c>
      <c r="W198" s="153">
        <f>(T198*0)/(1+cDR)^'Markov Model_SA2'!cycle2</f>
        <v>0</v>
      </c>
      <c r="X198" s="178">
        <f t="shared" si="17"/>
        <v>20.263715645482392</v>
      </c>
      <c r="Y198" s="202">
        <f>(T198*(uPostT))/(1+oDR)^'Markov Model_SA2'!cycle</f>
        <v>9.6309469765707156</v>
      </c>
      <c r="Z198" s="80"/>
      <c r="AA198" s="3"/>
      <c r="AB198" s="3"/>
      <c r="AC198" s="14">
        <v>186</v>
      </c>
      <c r="AD198" s="14"/>
      <c r="AE198" s="14"/>
      <c r="AF198" s="3"/>
      <c r="AG198" s="3"/>
      <c r="AH198" s="3"/>
      <c r="AI198" s="14"/>
      <c r="AJ198" s="14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</row>
    <row r="199" spans="1:58" ht="14.25" customHeight="1" x14ac:dyDescent="0.2">
      <c r="A199" s="637"/>
      <c r="B199" s="417"/>
      <c r="C199" s="173">
        <v>189</v>
      </c>
      <c r="D199" s="165"/>
      <c r="E199" s="174">
        <v>1.7090569820643609E-3</v>
      </c>
      <c r="F199" s="502"/>
      <c r="G199" s="219">
        <f t="shared" si="14"/>
        <v>21.324878189050224</v>
      </c>
      <c r="H199" s="249">
        <f>H198+(G198*E199*'life-tables-test'!$C$66)</f>
        <v>78.675121810949776</v>
      </c>
      <c r="I199" s="516">
        <f t="shared" si="18"/>
        <v>100</v>
      </c>
      <c r="J199" s="153">
        <f>(G199*0)/(1+cDR)^'Markov Model_SA2'!cycle</f>
        <v>0</v>
      </c>
      <c r="K199" s="178">
        <f t="shared" si="15"/>
        <v>21.324878189050224</v>
      </c>
      <c r="L199" s="202">
        <f>(G199*(uPostT))/(1+oDR)^'Markov Model_SA2'!cycle</f>
        <v>10.110021685717966</v>
      </c>
      <c r="M199" s="80"/>
      <c r="N199" s="3"/>
      <c r="O199" s="80"/>
      <c r="P199" s="173">
        <v>189</v>
      </c>
      <c r="Q199" s="165"/>
      <c r="R199" s="174">
        <v>1.7090569820643609E-3</v>
      </c>
      <c r="S199" s="502"/>
      <c r="T199" s="219">
        <f t="shared" si="19"/>
        <v>20.090556421949998</v>
      </c>
      <c r="U199" s="249">
        <f>U198+(T198*R199*'life-tables-test'!$C$66)</f>
        <v>79.909443578050002</v>
      </c>
      <c r="V199" s="516">
        <f t="shared" si="16"/>
        <v>100</v>
      </c>
      <c r="W199" s="153">
        <f>(T199*0)/(1+cDR)^'Markov Model_SA2'!cycle2</f>
        <v>0</v>
      </c>
      <c r="X199" s="178">
        <f t="shared" si="17"/>
        <v>20.090556421949998</v>
      </c>
      <c r="Y199" s="202">
        <f>(T199*(uPostT))/(1+oDR)^'Markov Model_SA2'!cycle</f>
        <v>9.5248357014460989</v>
      </c>
      <c r="Z199" s="80"/>
      <c r="AA199" s="3"/>
      <c r="AB199" s="3"/>
      <c r="AC199" s="14">
        <v>187</v>
      </c>
      <c r="AD199" s="14"/>
      <c r="AE199" s="14"/>
      <c r="AF199" s="3"/>
      <c r="AG199" s="3"/>
      <c r="AH199" s="3"/>
      <c r="AI199" s="14"/>
      <c r="AJ199" s="14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</row>
    <row r="200" spans="1:58" ht="14.25" customHeight="1" x14ac:dyDescent="0.2">
      <c r="A200" s="637"/>
      <c r="B200" s="417"/>
      <c r="C200" s="173">
        <v>190</v>
      </c>
      <c r="D200" s="165"/>
      <c r="E200" s="174">
        <v>1.7090569820643609E-3</v>
      </c>
      <c r="F200" s="502"/>
      <c r="G200" s="219">
        <f t="shared" si="14"/>
        <v>21.142651029246878</v>
      </c>
      <c r="H200" s="249">
        <f>H199+(G199*E200*'life-tables-test'!$C$66)</f>
        <v>78.857348970753122</v>
      </c>
      <c r="I200" s="516">
        <f t="shared" si="18"/>
        <v>100</v>
      </c>
      <c r="J200" s="153">
        <f>(G200*0)/(1+cDR)^'Markov Model_SA2'!cycle</f>
        <v>0</v>
      </c>
      <c r="K200" s="178">
        <f t="shared" si="15"/>
        <v>21.142651029246878</v>
      </c>
      <c r="L200" s="202">
        <f>(G200*(uPostT))/(1+oDR)^'Markov Model_SA2'!cycle</f>
        <v>9.9986320897396244</v>
      </c>
      <c r="M200" s="80"/>
      <c r="N200" s="3"/>
      <c r="O200" s="80"/>
      <c r="P200" s="173">
        <v>190</v>
      </c>
      <c r="Q200" s="165"/>
      <c r="R200" s="174">
        <v>1.7090569820643609E-3</v>
      </c>
      <c r="S200" s="502"/>
      <c r="T200" s="219">
        <f t="shared" si="19"/>
        <v>19.918876893317545</v>
      </c>
      <c r="U200" s="249">
        <f>U199+(T199*R200*'life-tables-test'!$C$66)</f>
        <v>80.081123106682455</v>
      </c>
      <c r="V200" s="516">
        <f t="shared" si="16"/>
        <v>100</v>
      </c>
      <c r="W200" s="153">
        <f>(T200*0)/(1+cDR)^'Markov Model_SA2'!cycle2</f>
        <v>0</v>
      </c>
      <c r="X200" s="178">
        <f t="shared" si="17"/>
        <v>19.918876893317545</v>
      </c>
      <c r="Y200" s="202">
        <f>(T200*(uPostT))/(1+oDR)^'Markov Model_SA2'!cycle</f>
        <v>9.4198935328211899</v>
      </c>
      <c r="Z200" s="80"/>
      <c r="AA200" s="3"/>
      <c r="AB200" s="3"/>
      <c r="AC200" s="14">
        <v>188</v>
      </c>
      <c r="AD200" s="14"/>
      <c r="AE200" s="14"/>
      <c r="AF200" s="3"/>
      <c r="AG200" s="3"/>
      <c r="AH200" s="3"/>
      <c r="AI200" s="14"/>
      <c r="AJ200" s="14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</row>
    <row r="201" spans="1:58" ht="14.25" customHeight="1" x14ac:dyDescent="0.2">
      <c r="A201" s="637"/>
      <c r="B201" s="417"/>
      <c r="C201" s="173">
        <v>191</v>
      </c>
      <c r="D201" s="165"/>
      <c r="E201" s="174">
        <v>1.7090569820643609E-3</v>
      </c>
      <c r="F201" s="502"/>
      <c r="G201" s="219">
        <f t="shared" si="14"/>
        <v>20.961981052442454</v>
      </c>
      <c r="H201" s="249">
        <f>H200+(G200*E201*'life-tables-test'!$C$66)</f>
        <v>79.038018947557546</v>
      </c>
      <c r="I201" s="516">
        <f t="shared" si="18"/>
        <v>100</v>
      </c>
      <c r="J201" s="153">
        <f>(G201*0)/(1+cDR)^'Markov Model_SA2'!cycle</f>
        <v>0</v>
      </c>
      <c r="K201" s="178">
        <f t="shared" si="15"/>
        <v>20.961981052442454</v>
      </c>
      <c r="L201" s="202">
        <f>(G201*(uPostT))/(1+oDR)^'Markov Model_SA2'!cycle</f>
        <v>9.888469755430739</v>
      </c>
      <c r="M201" s="80"/>
      <c r="N201" s="3"/>
      <c r="O201" s="80"/>
      <c r="P201" s="173">
        <v>191</v>
      </c>
      <c r="Q201" s="165"/>
      <c r="R201" s="174">
        <v>1.7090569820643609E-3</v>
      </c>
      <c r="S201" s="502"/>
      <c r="T201" s="219">
        <f t="shared" si="19"/>
        <v>19.748664415170524</v>
      </c>
      <c r="U201" s="249">
        <f>U200+(T200*R201*'life-tables-test'!$C$66)</f>
        <v>80.251335584829476</v>
      </c>
      <c r="V201" s="516">
        <f t="shared" si="16"/>
        <v>100</v>
      </c>
      <c r="W201" s="153">
        <f>(T201*0)/(1+cDR)^'Markov Model_SA2'!cycle2</f>
        <v>0</v>
      </c>
      <c r="X201" s="178">
        <f t="shared" si="17"/>
        <v>19.748664415170524</v>
      </c>
      <c r="Y201" s="202">
        <f>(T201*(uPostT))/(1+oDR)^'Markov Model_SA2'!cycle</f>
        <v>9.3161075897838792</v>
      </c>
      <c r="Z201" s="80"/>
      <c r="AA201" s="3"/>
      <c r="AB201" s="3"/>
      <c r="AC201" s="14">
        <v>189</v>
      </c>
      <c r="AD201" s="14"/>
      <c r="AE201" s="14"/>
      <c r="AF201" s="3"/>
      <c r="AG201" s="3"/>
      <c r="AH201" s="3"/>
      <c r="AI201" s="14"/>
      <c r="AJ201" s="14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ht="14.25" customHeight="1" x14ac:dyDescent="0.2">
      <c r="A202" s="637"/>
      <c r="B202" s="417"/>
      <c r="C202" s="173">
        <v>192</v>
      </c>
      <c r="D202" s="165"/>
      <c r="E202" s="174">
        <v>1.7090569820643609E-3</v>
      </c>
      <c r="F202" s="502"/>
      <c r="G202" s="219">
        <f t="shared" si="14"/>
        <v>20.782854952064568</v>
      </c>
      <c r="H202" s="249">
        <f>H201+(G201*E202*'life-tables-test'!$C$66)</f>
        <v>79.217145047935432</v>
      </c>
      <c r="I202" s="516">
        <f t="shared" si="18"/>
        <v>100</v>
      </c>
      <c r="J202" s="153">
        <f>(G202*0)/(1+cDR)^'Markov Model_SA2'!cycle</f>
        <v>0</v>
      </c>
      <c r="K202" s="178">
        <f t="shared" si="15"/>
        <v>20.782854952064568</v>
      </c>
      <c r="L202" s="202">
        <f>(G202*(uPostT))/(1+oDR)^'Markov Model_SA2'!cycle</f>
        <v>9.7795211611406287</v>
      </c>
      <c r="M202" s="80"/>
      <c r="N202" s="3"/>
      <c r="O202" s="80"/>
      <c r="P202" s="173">
        <v>192</v>
      </c>
      <c r="Q202" s="165"/>
      <c r="R202" s="174">
        <v>1.7090569820643609E-3</v>
      </c>
      <c r="S202" s="502"/>
      <c r="T202" s="219">
        <f t="shared" si="19"/>
        <v>19.579906451144552</v>
      </c>
      <c r="U202" s="249">
        <f>U201+(T201*R202*'life-tables-test'!$C$66)</f>
        <v>80.420093548855448</v>
      </c>
      <c r="V202" s="516">
        <f t="shared" si="16"/>
        <v>100</v>
      </c>
      <c r="W202" s="153">
        <f>(T202*0)/(1+cDR)^'Markov Model_SA2'!cycle2</f>
        <v>0</v>
      </c>
      <c r="X202" s="178">
        <f t="shared" si="17"/>
        <v>19.579906451144552</v>
      </c>
      <c r="Y202" s="202">
        <f>(T202*(uPostT))/(1+oDR)^'Markov Model_SA2'!cycle</f>
        <v>9.2134651333406072</v>
      </c>
      <c r="Z202" s="80"/>
      <c r="AA202" s="3"/>
      <c r="AB202" s="3"/>
      <c r="AC202" s="14">
        <v>190</v>
      </c>
      <c r="AD202" s="14"/>
      <c r="AE202" s="14"/>
      <c r="AF202" s="3"/>
      <c r="AG202" s="3"/>
      <c r="AH202" s="3"/>
      <c r="AI202" s="14"/>
      <c r="AJ202" s="14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ht="14.25" customHeight="1" x14ac:dyDescent="0.2">
      <c r="A203" s="606"/>
      <c r="B203" s="417"/>
      <c r="C203" s="173">
        <v>193</v>
      </c>
      <c r="D203" s="504"/>
      <c r="E203" s="174">
        <v>1.7090569820643609E-3</v>
      </c>
      <c r="F203" s="505"/>
      <c r="G203" s="219">
        <f t="shared" si="14"/>
        <v>20.605259535249289</v>
      </c>
      <c r="H203" s="249">
        <f>H202+(G202*E203*'life-tables-test'!$C$66)</f>
        <v>79.394740464750711</v>
      </c>
      <c r="I203" s="516">
        <f t="shared" si="18"/>
        <v>100</v>
      </c>
      <c r="J203" s="180">
        <f>(G203*0)/(1+cDR)^'Markov Model_SA2'!cycle</f>
        <v>0</v>
      </c>
      <c r="K203" s="176">
        <f t="shared" si="15"/>
        <v>20.605259535249289</v>
      </c>
      <c r="L203" s="202">
        <f>(G203*(uPostT))/(1+oDR)^'Markov Model_SA2'!cycle</f>
        <v>9.6717729341966727</v>
      </c>
      <c r="M203" s="80"/>
      <c r="N203" s="3"/>
      <c r="O203" s="80"/>
      <c r="P203" s="173">
        <v>193</v>
      </c>
      <c r="Q203" s="504"/>
      <c r="R203" s="174">
        <v>1.7090569820643609E-3</v>
      </c>
      <c r="S203" s="505"/>
      <c r="T203" s="219">
        <f t="shared" si="19"/>
        <v>19.412590572002074</v>
      </c>
      <c r="U203" s="249">
        <f>U202+(T202*R203*'life-tables-test'!$C$66)</f>
        <v>80.587409427997926</v>
      </c>
      <c r="V203" s="516">
        <f t="shared" si="16"/>
        <v>100</v>
      </c>
      <c r="W203" s="180">
        <f>(T203*0)/(1+cDR)^'Markov Model_SA2'!cycle2</f>
        <v>0</v>
      </c>
      <c r="X203" s="176">
        <f t="shared" si="17"/>
        <v>19.412590572002074</v>
      </c>
      <c r="Y203" s="202">
        <f>(T203*(uPostT))/(1+oDR)^'Markov Model_SA2'!cycle</f>
        <v>9.1119535648527634</v>
      </c>
      <c r="Z203" s="80"/>
      <c r="AA203" s="3"/>
      <c r="AB203" s="3"/>
      <c r="AC203" s="14">
        <v>191</v>
      </c>
      <c r="AD203" s="14"/>
      <c r="AE203" s="14"/>
      <c r="AF203" s="3"/>
      <c r="AG203" s="3"/>
      <c r="AH203" s="3"/>
      <c r="AI203" s="14"/>
      <c r="AJ203" s="14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  <row r="204" spans="1:58" ht="14.25" customHeight="1" x14ac:dyDescent="0.25">
      <c r="A204" s="637" t="s">
        <v>558</v>
      </c>
      <c r="B204" s="417"/>
      <c r="C204" s="506">
        <v>194</v>
      </c>
      <c r="D204" s="506"/>
      <c r="E204" s="507">
        <v>1.7090569820643609E-3</v>
      </c>
      <c r="F204" s="508"/>
      <c r="G204" s="509">
        <f t="shared" ref="G204:G267" si="20">$G$10-H204</f>
        <v>20.429181721869455</v>
      </c>
      <c r="H204" s="510">
        <f>H203+(G203*E204*'life-tables-test'!$C$66)</f>
        <v>79.570818278130545</v>
      </c>
      <c r="I204" s="518">
        <f t="shared" si="18"/>
        <v>100</v>
      </c>
      <c r="J204" s="511">
        <f>(G204*0)/(1+cDR)^'Markov Model_SA2'!cycle</f>
        <v>0</v>
      </c>
      <c r="K204" s="512">
        <f t="shared" si="15"/>
        <v>20.429181721869455</v>
      </c>
      <c r="L204" s="513">
        <f>(G204*(uPostT))/(1+oDR)^'Markov Model_SA2'!cycle</f>
        <v>9.5652118492628642</v>
      </c>
      <c r="M204" s="80"/>
      <c r="N204" s="3"/>
      <c r="O204" s="80"/>
      <c r="P204" s="506">
        <v>194</v>
      </c>
      <c r="Q204" s="506"/>
      <c r="R204" s="507">
        <v>1.7090569820643609E-3</v>
      </c>
      <c r="S204" s="508"/>
      <c r="T204" s="509">
        <f t="shared" si="19"/>
        <v>19.246704454716891</v>
      </c>
      <c r="U204" s="510">
        <f>U203+(T203*R204*'life-tables-test'!$C$66)</f>
        <v>80.753295545283109</v>
      </c>
      <c r="V204" s="518">
        <f t="shared" si="16"/>
        <v>100</v>
      </c>
      <c r="W204" s="511">
        <f>(T204*0)/(1+cDR)^'Markov Model_SA2'!cycle2</f>
        <v>0</v>
      </c>
      <c r="X204" s="512">
        <f t="shared" si="17"/>
        <v>19.246704454716891</v>
      </c>
      <c r="Y204" s="513">
        <f>(T204*(uPostT))/(1+oDR)^'Markov Model_SA2'!cycle</f>
        <v>9.0115604244902503</v>
      </c>
      <c r="Z204" s="80"/>
      <c r="AA204" s="3"/>
      <c r="AB204" s="3"/>
      <c r="AC204" s="14">
        <v>192</v>
      </c>
      <c r="AD204" s="14"/>
      <c r="AE204" s="14"/>
      <c r="AF204" s="3"/>
      <c r="AG204" s="3"/>
      <c r="AH204" s="3"/>
      <c r="AI204" s="14"/>
      <c r="AJ204" s="14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</row>
    <row r="205" spans="1:58" ht="14.25" customHeight="1" x14ac:dyDescent="0.2">
      <c r="A205" s="637"/>
      <c r="B205" s="417"/>
      <c r="C205" s="173">
        <v>195</v>
      </c>
      <c r="D205" s="165"/>
      <c r="E205" s="174">
        <v>1.8607590427197618E-3</v>
      </c>
      <c r="F205" s="502"/>
      <c r="G205" s="219">
        <f t="shared" si="20"/>
        <v>20.239112798747783</v>
      </c>
      <c r="H205" s="249">
        <f>H204+(G204*E205*'life-tables-test'!$C$66)</f>
        <v>79.760887201252217</v>
      </c>
      <c r="I205" s="516">
        <f t="shared" si="18"/>
        <v>100</v>
      </c>
      <c r="J205" s="153">
        <f>(G205*0)/(1+cDR)^'Markov Model_SA2'!cycle</f>
        <v>0</v>
      </c>
      <c r="K205" s="178">
        <f t="shared" si="15"/>
        <v>20.239112798747783</v>
      </c>
      <c r="L205" s="202">
        <f>(G205*(uPostT))/(1+oDR)^'Markov Model_SA2'!cycle</f>
        <v>9.4525876080225775</v>
      </c>
      <c r="M205" s="80"/>
      <c r="N205" s="3"/>
      <c r="O205" s="80"/>
      <c r="P205" s="173">
        <v>195</v>
      </c>
      <c r="Q205" s="165"/>
      <c r="R205" s="174">
        <v>1.8607590427197618E-3</v>
      </c>
      <c r="S205" s="502"/>
      <c r="T205" s="219">
        <f t="shared" si="19"/>
        <v>19.067637057933538</v>
      </c>
      <c r="U205" s="249">
        <f>U204+(T204*R205*'life-tables-test'!$C$66)</f>
        <v>80.932362942066462</v>
      </c>
      <c r="V205" s="516">
        <f t="shared" si="16"/>
        <v>100</v>
      </c>
      <c r="W205" s="153">
        <f>(T205*0)/(1+cDR)^'Markov Model_SA2'!cycle2</f>
        <v>0</v>
      </c>
      <c r="X205" s="178">
        <f t="shared" si="17"/>
        <v>19.067637057933538</v>
      </c>
      <c r="Y205" s="202">
        <f>(T205*(uPostT))/(1+oDR)^'Markov Model_SA2'!cycle</f>
        <v>8.9054550740606686</v>
      </c>
      <c r="Z205" s="80"/>
      <c r="AA205" s="3"/>
      <c r="AB205" s="3"/>
      <c r="AC205" s="14">
        <v>193</v>
      </c>
      <c r="AD205" s="14"/>
      <c r="AE205" s="14"/>
      <c r="AF205" s="3"/>
      <c r="AG205" s="3"/>
      <c r="AH205" s="3"/>
      <c r="AI205" s="14"/>
      <c r="AJ205" s="14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</row>
    <row r="206" spans="1:58" ht="14.25" customHeight="1" x14ac:dyDescent="0.2">
      <c r="A206" s="637"/>
      <c r="B206" s="417"/>
      <c r="C206" s="173">
        <v>196</v>
      </c>
      <c r="D206" s="165"/>
      <c r="E206" s="174">
        <v>1.8607590427197618E-3</v>
      </c>
      <c r="F206" s="502"/>
      <c r="G206" s="219">
        <f t="shared" si="20"/>
        <v>20.050812237963314</v>
      </c>
      <c r="H206" s="249">
        <f>H205+(G205*E206*'life-tables-test'!$C$66)</f>
        <v>79.949187762036686</v>
      </c>
      <c r="I206" s="516">
        <f t="shared" si="18"/>
        <v>100</v>
      </c>
      <c r="J206" s="153">
        <f>(G206*0)/(1+cDR)^'Markov Model_SA2'!cycle</f>
        <v>0</v>
      </c>
      <c r="K206" s="178">
        <f t="shared" si="15"/>
        <v>20.050812237963314</v>
      </c>
      <c r="L206" s="202">
        <f>(G206*(uPostT))/(1+oDR)^'Markov Model_SA2'!cycle</f>
        <v>9.3412894450662698</v>
      </c>
      <c r="M206" s="80"/>
      <c r="N206" s="3"/>
      <c r="O206" s="80"/>
      <c r="P206" s="173">
        <v>196</v>
      </c>
      <c r="Q206" s="165"/>
      <c r="R206" s="174">
        <v>1.8607590427197618E-3</v>
      </c>
      <c r="S206" s="502"/>
      <c r="T206" s="219">
        <f t="shared" si="19"/>
        <v>18.890235667539301</v>
      </c>
      <c r="U206" s="249">
        <f>U205+(T205*R206*'life-tables-test'!$C$66)</f>
        <v>81.109764332460699</v>
      </c>
      <c r="V206" s="516">
        <f t="shared" si="16"/>
        <v>100</v>
      </c>
      <c r="W206" s="153">
        <f>(T206*0)/(1+cDR)^'Markov Model_SA2'!cycle2</f>
        <v>0</v>
      </c>
      <c r="X206" s="178">
        <f t="shared" si="17"/>
        <v>18.890235667539301</v>
      </c>
      <c r="Y206" s="202">
        <f>(T206*(uPostT))/(1+oDR)^'Markov Model_SA2'!cycle</f>
        <v>8.8005990461523247</v>
      </c>
      <c r="Z206" s="80"/>
      <c r="AA206" s="3"/>
      <c r="AB206" s="3"/>
      <c r="AC206" s="14">
        <v>194</v>
      </c>
      <c r="AD206" s="14"/>
      <c r="AE206" s="14"/>
      <c r="AF206" s="3"/>
      <c r="AG206" s="3"/>
      <c r="AH206" s="3"/>
      <c r="AI206" s="14"/>
      <c r="AJ206" s="14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</row>
    <row r="207" spans="1:58" ht="14.25" customHeight="1" x14ac:dyDescent="0.2">
      <c r="A207" s="637"/>
      <c r="B207" s="417"/>
      <c r="C207" s="173">
        <v>197</v>
      </c>
      <c r="D207" s="165"/>
      <c r="E207" s="174">
        <v>1.8607590427197618E-3</v>
      </c>
      <c r="F207" s="502"/>
      <c r="G207" s="219">
        <f t="shared" si="20"/>
        <v>19.864263587034984</v>
      </c>
      <c r="H207" s="249">
        <f>H206+(G206*E207*'life-tables-test'!$C$66)</f>
        <v>80.135736412965016</v>
      </c>
      <c r="I207" s="516">
        <f t="shared" si="18"/>
        <v>100</v>
      </c>
      <c r="J207" s="153">
        <f>(G207*0)/(1+cDR)^'Markov Model_SA2'!cycle</f>
        <v>0</v>
      </c>
      <c r="K207" s="178">
        <f t="shared" si="15"/>
        <v>19.864263587034984</v>
      </c>
      <c r="L207" s="202">
        <f>(G207*(uPostT))/(1+oDR)^'Markov Model_SA2'!cycle</f>
        <v>9.2313017466717433</v>
      </c>
      <c r="M207" s="80"/>
      <c r="N207" s="3"/>
      <c r="O207" s="80"/>
      <c r="P207" s="173">
        <v>197</v>
      </c>
      <c r="Q207" s="165"/>
      <c r="R207" s="174">
        <v>1.8607590427197618E-3</v>
      </c>
      <c r="S207" s="502"/>
      <c r="T207" s="219">
        <f t="shared" si="19"/>
        <v>18.714484783351892</v>
      </c>
      <c r="U207" s="249">
        <f>U206+(T206*R207*'life-tables-test'!$C$66)</f>
        <v>81.285515216648108</v>
      </c>
      <c r="V207" s="516">
        <f t="shared" si="16"/>
        <v>100</v>
      </c>
      <c r="W207" s="153">
        <f>(T207*0)/(1+cDR)^'Markov Model_SA2'!cycle2</f>
        <v>0</v>
      </c>
      <c r="X207" s="178">
        <f t="shared" si="17"/>
        <v>18.714484783351892</v>
      </c>
      <c r="Y207" s="202">
        <f>(T207*(uPostT))/(1+oDR)^'Markov Model_SA2'!cycle</f>
        <v>8.6969776307929454</v>
      </c>
      <c r="Z207" s="80"/>
      <c r="AA207" s="3"/>
      <c r="AB207" s="3"/>
      <c r="AC207" s="14">
        <v>195</v>
      </c>
      <c r="AD207" s="14"/>
      <c r="AE207" s="14"/>
      <c r="AF207" s="3"/>
      <c r="AG207" s="3"/>
      <c r="AH207" s="3"/>
      <c r="AI207" s="14"/>
      <c r="AJ207" s="14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</row>
    <row r="208" spans="1:58" ht="14.25" customHeight="1" x14ac:dyDescent="0.2">
      <c r="A208" s="637"/>
      <c r="B208" s="417"/>
      <c r="C208" s="173">
        <v>198</v>
      </c>
      <c r="D208" s="165"/>
      <c r="E208" s="174">
        <v>1.8607590427197618E-3</v>
      </c>
      <c r="F208" s="502"/>
      <c r="G208" s="219">
        <f t="shared" si="20"/>
        <v>19.67945054655226</v>
      </c>
      <c r="H208" s="249">
        <f>H207+(G207*E208*'life-tables-test'!$C$66)</f>
        <v>80.32054945344774</v>
      </c>
      <c r="I208" s="516">
        <f t="shared" si="18"/>
        <v>100</v>
      </c>
      <c r="J208" s="153">
        <f>(G208*0)/(1+cDR)^'Markov Model_SA2'!cycle</f>
        <v>0</v>
      </c>
      <c r="K208" s="178">
        <f t="shared" si="15"/>
        <v>19.67945054655226</v>
      </c>
      <c r="L208" s="202">
        <f>(G208*(uPostT))/(1+oDR)^'Markov Model_SA2'!cycle</f>
        <v>9.1226090829583786</v>
      </c>
      <c r="M208" s="80"/>
      <c r="N208" s="3"/>
      <c r="O208" s="80"/>
      <c r="P208" s="173">
        <v>198</v>
      </c>
      <c r="Q208" s="165"/>
      <c r="R208" s="174">
        <v>1.8607590427197618E-3</v>
      </c>
      <c r="S208" s="502"/>
      <c r="T208" s="219">
        <f t="shared" si="19"/>
        <v>18.540369049399573</v>
      </c>
      <c r="U208" s="249">
        <f>U207+(T207*R208*'life-tables-test'!$C$66)</f>
        <v>81.459630950600427</v>
      </c>
      <c r="V208" s="516">
        <f t="shared" si="16"/>
        <v>100</v>
      </c>
      <c r="W208" s="153">
        <f>(T208*0)/(1+cDR)^'Markov Model_SA2'!cycle2</f>
        <v>0</v>
      </c>
      <c r="X208" s="178">
        <f t="shared" si="17"/>
        <v>18.540369049399573</v>
      </c>
      <c r="Y208" s="202">
        <f>(T208*(uPostT))/(1+oDR)^'Markov Model_SA2'!cycle</f>
        <v>8.5945762912107728</v>
      </c>
      <c r="Z208" s="80"/>
      <c r="AA208" s="3"/>
      <c r="AB208" s="3"/>
      <c r="AC208" s="14">
        <v>196</v>
      </c>
      <c r="AD208" s="14"/>
      <c r="AE208" s="14"/>
      <c r="AF208" s="3"/>
      <c r="AG208" s="3"/>
      <c r="AH208" s="3"/>
      <c r="AI208" s="14"/>
      <c r="AJ208" s="14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</row>
    <row r="209" spans="1:58" ht="14.25" customHeight="1" x14ac:dyDescent="0.2">
      <c r="A209" s="637"/>
      <c r="B209" s="417"/>
      <c r="C209" s="173">
        <v>199</v>
      </c>
      <c r="D209" s="165"/>
      <c r="E209" s="174">
        <v>1.8607590427197618E-3</v>
      </c>
      <c r="F209" s="502"/>
      <c r="G209" s="219">
        <f t="shared" si="20"/>
        <v>19.496356968750987</v>
      </c>
      <c r="H209" s="249">
        <f>H208+(G208*E209*'life-tables-test'!$C$66)</f>
        <v>80.503643031249013</v>
      </c>
      <c r="I209" s="516">
        <f t="shared" si="18"/>
        <v>100</v>
      </c>
      <c r="J209" s="153">
        <f>(G209*0)/(1+cDR)^'Markov Model_SA2'!cycle</f>
        <v>0</v>
      </c>
      <c r="K209" s="178">
        <f t="shared" si="15"/>
        <v>19.496356968750987</v>
      </c>
      <c r="L209" s="202">
        <f>(G209*(uPostT))/(1+oDR)^'Markov Model_SA2'!cycle</f>
        <v>9.0151962057225088</v>
      </c>
      <c r="M209" s="80"/>
      <c r="N209" s="3"/>
      <c r="O209" s="80"/>
      <c r="P209" s="173">
        <v>199</v>
      </c>
      <c r="Q209" s="165"/>
      <c r="R209" s="174">
        <v>1.8607590427197618E-3</v>
      </c>
      <c r="S209" s="502"/>
      <c r="T209" s="219">
        <f t="shared" si="19"/>
        <v>18.367873252579415</v>
      </c>
      <c r="U209" s="249">
        <f>U208+(T208*R209*'life-tables-test'!$C$66)</f>
        <v>81.632126747420585</v>
      </c>
      <c r="V209" s="516">
        <f t="shared" si="16"/>
        <v>100</v>
      </c>
      <c r="W209" s="153">
        <f>(T209*0)/(1+cDR)^'Markov Model_SA2'!cycle2</f>
        <v>0</v>
      </c>
      <c r="X209" s="178">
        <f t="shared" si="17"/>
        <v>18.367873252579415</v>
      </c>
      <c r="Y209" s="202">
        <f>(T209*(uPostT))/(1+oDR)^'Markov Model_SA2'!cycle</f>
        <v>8.493380661795209</v>
      </c>
      <c r="Z209" s="80"/>
      <c r="AA209" s="3"/>
      <c r="AB209" s="3"/>
      <c r="AC209" s="14">
        <v>197</v>
      </c>
      <c r="AD209" s="14"/>
      <c r="AE209" s="14"/>
      <c r="AF209" s="3"/>
      <c r="AG209" s="3"/>
      <c r="AH209" s="3"/>
      <c r="AI209" s="14"/>
      <c r="AJ209" s="14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</row>
    <row r="210" spans="1:58" ht="14.25" customHeight="1" x14ac:dyDescent="0.2">
      <c r="A210" s="637"/>
      <c r="B210" s="417"/>
      <c r="C210" s="173">
        <v>200</v>
      </c>
      <c r="D210" s="165"/>
      <c r="E210" s="174">
        <v>1.8607590427197618E-3</v>
      </c>
      <c r="F210" s="502"/>
      <c r="G210" s="219">
        <f t="shared" si="20"/>
        <v>19.314966856102515</v>
      </c>
      <c r="H210" s="249">
        <f>H209+(G209*E210*'life-tables-test'!$C$66)</f>
        <v>80.685033143897485</v>
      </c>
      <c r="I210" s="516">
        <f t="shared" si="18"/>
        <v>100</v>
      </c>
      <c r="J210" s="153">
        <f>(G210*0)/(1+cDR)^'Markov Model_SA2'!cycle</f>
        <v>0</v>
      </c>
      <c r="K210" s="178">
        <f t="shared" si="15"/>
        <v>19.314966856102515</v>
      </c>
      <c r="L210" s="202">
        <f>(G210*(uPostT))/(1+oDR)^'Markov Model_SA2'!cycle</f>
        <v>8.9090480462983113</v>
      </c>
      <c r="M210" s="80"/>
      <c r="N210" s="3"/>
      <c r="O210" s="80"/>
      <c r="P210" s="173">
        <v>200</v>
      </c>
      <c r="Q210" s="165"/>
      <c r="R210" s="174">
        <v>1.8607590427197618E-3</v>
      </c>
      <c r="S210" s="502"/>
      <c r="T210" s="219">
        <f t="shared" si="19"/>
        <v>18.196982321328079</v>
      </c>
      <c r="U210" s="249">
        <f>U209+(T209*R210*'life-tables-test'!$C$66)</f>
        <v>81.803017678671921</v>
      </c>
      <c r="V210" s="516">
        <f t="shared" si="16"/>
        <v>100</v>
      </c>
      <c r="W210" s="153">
        <f>(T210*0)/(1+cDR)^'Markov Model_SA2'!cycle2</f>
        <v>0</v>
      </c>
      <c r="X210" s="178">
        <f t="shared" si="17"/>
        <v>18.196982321328079</v>
      </c>
      <c r="Y210" s="202">
        <f>(T210*(uPostT))/(1+oDR)^'Markov Model_SA2'!cycle</f>
        <v>8.3933765460815231</v>
      </c>
      <c r="Z210" s="80"/>
      <c r="AA210" s="3"/>
      <c r="AB210" s="3"/>
      <c r="AC210" s="14">
        <v>198</v>
      </c>
      <c r="AD210" s="14"/>
      <c r="AE210" s="14"/>
      <c r="AF210" s="3"/>
      <c r="AG210" s="3"/>
      <c r="AH210" s="3"/>
      <c r="AI210" s="14"/>
      <c r="AJ210" s="14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</row>
    <row r="211" spans="1:58" ht="14.25" customHeight="1" x14ac:dyDescent="0.2">
      <c r="A211" s="637"/>
      <c r="B211" s="417"/>
      <c r="C211" s="173">
        <v>201</v>
      </c>
      <c r="D211" s="165"/>
      <c r="E211" s="174">
        <v>1.8607590427197618E-3</v>
      </c>
      <c r="F211" s="502"/>
      <c r="G211" s="219">
        <f t="shared" si="20"/>
        <v>19.135264359915894</v>
      </c>
      <c r="H211" s="249">
        <f>H210+(G210*E211*'life-tables-test'!$C$66)</f>
        <v>80.864735640084106</v>
      </c>
      <c r="I211" s="516">
        <f t="shared" si="18"/>
        <v>100</v>
      </c>
      <c r="J211" s="153">
        <f>(G211*0)/(1+cDR)^'Markov Model_SA2'!cycle</f>
        <v>0</v>
      </c>
      <c r="K211" s="178">
        <f t="shared" si="15"/>
        <v>19.135264359915894</v>
      </c>
      <c r="L211" s="202">
        <f>(G211*(uPostT))/(1+oDR)^'Markov Model_SA2'!cycle</f>
        <v>8.8041497134438327</v>
      </c>
      <c r="M211" s="80"/>
      <c r="N211" s="3"/>
      <c r="O211" s="80"/>
      <c r="P211" s="173">
        <v>201</v>
      </c>
      <c r="Q211" s="165"/>
      <c r="R211" s="174">
        <v>1.8607590427197618E-3</v>
      </c>
      <c r="S211" s="502"/>
      <c r="T211" s="219">
        <f t="shared" si="19"/>
        <v>18.027681324304965</v>
      </c>
      <c r="U211" s="249">
        <f>U210+(T210*R211*'life-tables-test'!$C$66)</f>
        <v>81.972318675695035</v>
      </c>
      <c r="V211" s="516">
        <f t="shared" si="16"/>
        <v>100</v>
      </c>
      <c r="W211" s="153">
        <f>(T211*0)/(1+cDR)^'Markov Model_SA2'!cycle2</f>
        <v>0</v>
      </c>
      <c r="X211" s="178">
        <f t="shared" si="17"/>
        <v>18.027681324304965</v>
      </c>
      <c r="Y211" s="202">
        <f>(T211*(uPostT))/(1+oDR)^'Markov Model_SA2'!cycle</f>
        <v>8.2945499147592585</v>
      </c>
      <c r="Z211" s="80"/>
      <c r="AA211" s="3"/>
      <c r="AB211" s="3"/>
      <c r="AC211" s="14">
        <v>199</v>
      </c>
      <c r="AD211" s="14"/>
      <c r="AE211" s="14"/>
      <c r="AF211" s="3"/>
      <c r="AG211" s="3"/>
      <c r="AH211" s="3"/>
      <c r="AI211" s="14"/>
      <c r="AJ211" s="14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</row>
    <row r="212" spans="1:58" ht="14.25" customHeight="1" x14ac:dyDescent="0.2">
      <c r="A212" s="637"/>
      <c r="B212" s="417"/>
      <c r="C212" s="173">
        <v>202</v>
      </c>
      <c r="D212" s="165"/>
      <c r="E212" s="174">
        <v>1.8607590427197618E-3</v>
      </c>
      <c r="F212" s="502"/>
      <c r="G212" s="219">
        <f t="shared" si="20"/>
        <v>18.957233778953167</v>
      </c>
      <c r="H212" s="249">
        <f>H211+(G211*E212*'life-tables-test'!$C$66)</f>
        <v>81.042766221046833</v>
      </c>
      <c r="I212" s="516">
        <f t="shared" si="18"/>
        <v>100</v>
      </c>
      <c r="J212" s="153">
        <f>(G212*0)/(1+cDR)^'Markov Model_SA2'!cycle</f>
        <v>0</v>
      </c>
      <c r="K212" s="178">
        <f t="shared" si="15"/>
        <v>18.957233778953167</v>
      </c>
      <c r="L212" s="202">
        <f>(G212*(uPostT))/(1+oDR)^'Markov Model_SA2'!cycle</f>
        <v>8.7004864912519597</v>
      </c>
      <c r="M212" s="80"/>
      <c r="N212" s="3"/>
      <c r="O212" s="80"/>
      <c r="P212" s="173">
        <v>202</v>
      </c>
      <c r="Q212" s="165"/>
      <c r="R212" s="174">
        <v>1.8607590427197618E-3</v>
      </c>
      <c r="S212" s="502"/>
      <c r="T212" s="219">
        <f t="shared" si="19"/>
        <v>17.859955469087609</v>
      </c>
      <c r="U212" s="249">
        <f>U211+(T211*R212*'life-tables-test'!$C$66)</f>
        <v>82.140044530912391</v>
      </c>
      <c r="V212" s="516">
        <f t="shared" si="16"/>
        <v>100</v>
      </c>
      <c r="W212" s="153">
        <f>(T212*0)/(1+cDR)^'Markov Model_SA2'!cycle2</f>
        <v>0</v>
      </c>
      <c r="X212" s="178">
        <f t="shared" si="17"/>
        <v>17.859955469087609</v>
      </c>
      <c r="Y212" s="202">
        <f>(T212*(uPostT))/(1+oDR)^'Markov Model_SA2'!cycle</f>
        <v>8.1968869037041046</v>
      </c>
      <c r="Z212" s="80"/>
      <c r="AA212" s="3"/>
      <c r="AB212" s="3"/>
      <c r="AC212" s="14">
        <v>200</v>
      </c>
      <c r="AD212" s="14"/>
      <c r="AE212" s="14"/>
      <c r="AF212" s="3"/>
      <c r="AG212" s="3"/>
      <c r="AH212" s="3"/>
      <c r="AI212" s="14"/>
      <c r="AJ212" s="14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</row>
    <row r="213" spans="1:58" ht="14.25" customHeight="1" x14ac:dyDescent="0.2">
      <c r="A213" s="637"/>
      <c r="B213" s="417"/>
      <c r="C213" s="173">
        <v>203</v>
      </c>
      <c r="D213" s="165"/>
      <c r="E213" s="174">
        <v>1.8607590427197618E-3</v>
      </c>
      <c r="F213" s="502"/>
      <c r="G213" s="219">
        <f t="shared" si="20"/>
        <v>18.780859558057472</v>
      </c>
      <c r="H213" s="249">
        <f>H212+(G212*E213*'life-tables-test'!$C$66)</f>
        <v>81.219140441942528</v>
      </c>
      <c r="I213" s="516">
        <f t="shared" si="18"/>
        <v>100</v>
      </c>
      <c r="J213" s="153">
        <f>(G213*0)/(1+cDR)^'Markov Model_SA2'!cycle</f>
        <v>0</v>
      </c>
      <c r="K213" s="178">
        <f t="shared" si="15"/>
        <v>18.780859558057472</v>
      </c>
      <c r="L213" s="202">
        <f>(G213*(uPostT))/(1+oDR)^'Markov Model_SA2'!cycle</f>
        <v>8.5980438370859567</v>
      </c>
      <c r="M213" s="80"/>
      <c r="N213" s="3"/>
      <c r="O213" s="80"/>
      <c r="P213" s="173">
        <v>203</v>
      </c>
      <c r="Q213" s="165"/>
      <c r="R213" s="174">
        <v>1.8607590427197618E-3</v>
      </c>
      <c r="S213" s="502"/>
      <c r="T213" s="219">
        <f t="shared" si="19"/>
        <v>17.693790100879227</v>
      </c>
      <c r="U213" s="249">
        <f>U212+(T212*R213*'life-tables-test'!$C$66)</f>
        <v>82.306209899120773</v>
      </c>
      <c r="V213" s="516">
        <f t="shared" si="16"/>
        <v>100</v>
      </c>
      <c r="W213" s="153">
        <f>(T213*0)/(1+cDR)^'Markov Model_SA2'!cycle2</f>
        <v>0</v>
      </c>
      <c r="X213" s="178">
        <f t="shared" si="17"/>
        <v>17.693790100879227</v>
      </c>
      <c r="Y213" s="202">
        <f>(T213*(uPostT))/(1+oDR)^'Markov Model_SA2'!cycle</f>
        <v>8.1003738120329327</v>
      </c>
      <c r="Z213" s="80"/>
      <c r="AA213" s="3"/>
      <c r="AB213" s="3"/>
      <c r="AC213" s="14">
        <v>201</v>
      </c>
      <c r="AD213" s="14"/>
      <c r="AE213" s="14"/>
      <c r="AF213" s="3"/>
      <c r="AG213" s="3"/>
      <c r="AH213" s="3"/>
      <c r="AI213" s="14"/>
      <c r="AJ213" s="14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</row>
    <row r="214" spans="1:58" ht="14.25" customHeight="1" x14ac:dyDescent="0.2">
      <c r="A214" s="637"/>
      <c r="B214" s="417"/>
      <c r="C214" s="173">
        <v>204</v>
      </c>
      <c r="D214" s="165"/>
      <c r="E214" s="174">
        <v>1.8607590427197618E-3</v>
      </c>
      <c r="F214" s="502"/>
      <c r="G214" s="219">
        <f t="shared" si="20"/>
        <v>18.606126286793952</v>
      </c>
      <c r="H214" s="249">
        <f>H213+(G213*E214*'life-tables-test'!$C$66)</f>
        <v>81.393873713206048</v>
      </c>
      <c r="I214" s="516">
        <f t="shared" si="18"/>
        <v>100</v>
      </c>
      <c r="J214" s="153">
        <f>(G214*0)/(1+cDR)^'Markov Model_SA2'!cycle</f>
        <v>0</v>
      </c>
      <c r="K214" s="178">
        <f t="shared" si="15"/>
        <v>18.606126286793952</v>
      </c>
      <c r="L214" s="202">
        <f>(G214*(uPostT))/(1+oDR)^'Markov Model_SA2'!cycle</f>
        <v>8.4968073795393178</v>
      </c>
      <c r="M214" s="80"/>
      <c r="N214" s="3"/>
      <c r="O214" s="80"/>
      <c r="P214" s="173">
        <v>204</v>
      </c>
      <c r="Q214" s="165"/>
      <c r="R214" s="174">
        <v>1.8607590427197618E-3</v>
      </c>
      <c r="S214" s="502"/>
      <c r="T214" s="219">
        <f t="shared" si="19"/>
        <v>17.529170701228239</v>
      </c>
      <c r="U214" s="249">
        <f>U213+(T213*R214*'life-tables-test'!$C$66)</f>
        <v>82.470829298771761</v>
      </c>
      <c r="V214" s="516">
        <f t="shared" si="16"/>
        <v>100</v>
      </c>
      <c r="W214" s="153">
        <f>(T214*0)/(1+cDR)^'Markov Model_SA2'!cycle2</f>
        <v>0</v>
      </c>
      <c r="X214" s="178">
        <f t="shared" si="17"/>
        <v>17.529170701228239</v>
      </c>
      <c r="Y214" s="202">
        <f>(T214*(uPostT))/(1+oDR)^'Markov Model_SA2'!cycle</f>
        <v>8.0049971001817219</v>
      </c>
      <c r="Z214" s="80"/>
      <c r="AA214" s="3"/>
      <c r="AB214" s="3"/>
      <c r="AC214" s="14">
        <v>202</v>
      </c>
      <c r="AD214" s="14"/>
      <c r="AE214" s="14"/>
      <c r="AF214" s="3"/>
      <c r="AG214" s="3"/>
      <c r="AH214" s="3"/>
      <c r="AI214" s="14"/>
      <c r="AJ214" s="14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</row>
    <row r="215" spans="1:58" ht="14.25" customHeight="1" x14ac:dyDescent="0.2">
      <c r="A215" s="606"/>
      <c r="B215" s="417"/>
      <c r="C215" s="173">
        <v>205</v>
      </c>
      <c r="D215" s="504"/>
      <c r="E215" s="174">
        <v>1.8607590427197618E-3</v>
      </c>
      <c r="F215" s="505"/>
      <c r="G215" s="219">
        <f t="shared" si="20"/>
        <v>18.433018698103268</v>
      </c>
      <c r="H215" s="249">
        <f>H214+(G214*E215*'life-tables-test'!$C$66)</f>
        <v>81.566981301896732</v>
      </c>
      <c r="I215" s="516">
        <f t="shared" si="18"/>
        <v>100</v>
      </c>
      <c r="J215" s="180">
        <f>(G215*0)/(1+cDR)^'Markov Model_SA2'!cycle</f>
        <v>0</v>
      </c>
      <c r="K215" s="176">
        <f t="shared" si="15"/>
        <v>18.433018698103268</v>
      </c>
      <c r="L215" s="202">
        <f>(G215*(uPostT))/(1+oDR)^'Markov Model_SA2'!cycle</f>
        <v>8.3967629164196396</v>
      </c>
      <c r="M215" s="80"/>
      <c r="N215" s="3"/>
      <c r="O215" s="80"/>
      <c r="P215" s="173">
        <v>205</v>
      </c>
      <c r="Q215" s="504"/>
      <c r="R215" s="174">
        <v>1.8607590427197618E-3</v>
      </c>
      <c r="S215" s="505"/>
      <c r="T215" s="219">
        <f t="shared" si="19"/>
        <v>17.366082886759798</v>
      </c>
      <c r="U215" s="249">
        <f>U214+(T214*R215*'life-tables-test'!$C$66)</f>
        <v>82.633917113240202</v>
      </c>
      <c r="V215" s="516">
        <f t="shared" si="16"/>
        <v>100</v>
      </c>
      <c r="W215" s="180">
        <f>(T215*0)/(1+cDR)^'Markov Model_SA2'!cycle2</f>
        <v>0</v>
      </c>
      <c r="X215" s="176">
        <f t="shared" si="17"/>
        <v>17.366082886759798</v>
      </c>
      <c r="Y215" s="202">
        <f>(T215*(uPostT))/(1+oDR)^'Markov Model_SA2'!cycle</f>
        <v>7.9107433880061633</v>
      </c>
      <c r="Z215" s="80"/>
      <c r="AA215" s="3"/>
      <c r="AB215" s="3"/>
      <c r="AC215" s="14">
        <v>203</v>
      </c>
      <c r="AD215" s="14"/>
      <c r="AE215" s="14"/>
      <c r="AF215" s="3"/>
      <c r="AG215" s="3"/>
      <c r="AH215" s="3"/>
      <c r="AI215" s="14"/>
      <c r="AJ215" s="14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</row>
    <row r="216" spans="1:58" ht="14.25" customHeight="1" x14ac:dyDescent="0.25">
      <c r="A216" s="637" t="s">
        <v>559</v>
      </c>
      <c r="B216" s="417"/>
      <c r="C216" s="506">
        <v>206</v>
      </c>
      <c r="D216" s="506"/>
      <c r="E216" s="507">
        <v>1.8607590427197618E-3</v>
      </c>
      <c r="F216" s="508"/>
      <c r="G216" s="509">
        <f t="shared" si="20"/>
        <v>18.261521666967681</v>
      </c>
      <c r="H216" s="510">
        <f>H215+(G215*E216*'life-tables-test'!$C$66)</f>
        <v>81.738478333032319</v>
      </c>
      <c r="I216" s="518">
        <f t="shared" si="18"/>
        <v>100</v>
      </c>
      <c r="J216" s="511">
        <f>(G216*0)/(1+cDR)^'Markov Model_SA2'!cycle</f>
        <v>0</v>
      </c>
      <c r="K216" s="512">
        <f t="shared" si="15"/>
        <v>18.261521666967681</v>
      </c>
      <c r="L216" s="513">
        <f>(G216*(uPostT))/(1+oDR)^'Markov Model_SA2'!cycle</f>
        <v>8.2978964127562431</v>
      </c>
      <c r="M216" s="80"/>
      <c r="N216" s="3"/>
      <c r="O216" s="80"/>
      <c r="P216" s="506">
        <v>206</v>
      </c>
      <c r="Q216" s="506"/>
      <c r="R216" s="507">
        <v>1.8607590427197618E-3</v>
      </c>
      <c r="S216" s="508"/>
      <c r="T216" s="509">
        <f t="shared" si="19"/>
        <v>17.204512407918997</v>
      </c>
      <c r="U216" s="510">
        <f>U215+(T215*R216*'life-tables-test'!$C$66)</f>
        <v>82.795487592081003</v>
      </c>
      <c r="V216" s="518">
        <f t="shared" si="16"/>
        <v>100</v>
      </c>
      <c r="W216" s="511">
        <f>(T216*0)/(1+cDR)^'Markov Model_SA2'!cycle2</f>
        <v>0</v>
      </c>
      <c r="X216" s="512">
        <f t="shared" si="17"/>
        <v>17.204512407918997</v>
      </c>
      <c r="Y216" s="513">
        <f>(T216*(uPostT))/(1+oDR)^'Markov Model_SA2'!cycle</f>
        <v>7.8175994529045614</v>
      </c>
      <c r="Z216" s="80"/>
      <c r="AA216" s="3"/>
      <c r="AB216" s="3"/>
      <c r="AC216" s="14">
        <v>204</v>
      </c>
      <c r="AD216" s="14"/>
      <c r="AE216" s="14"/>
      <c r="AF216" s="3"/>
      <c r="AG216" s="3"/>
      <c r="AH216" s="3"/>
      <c r="AI216" s="14"/>
      <c r="AJ216" s="14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</row>
    <row r="217" spans="1:58" ht="14.25" customHeight="1" x14ac:dyDescent="0.2">
      <c r="A217" s="637"/>
      <c r="B217" s="417"/>
      <c r="C217" s="173">
        <v>207</v>
      </c>
      <c r="D217" s="165"/>
      <c r="E217" s="174">
        <v>2.0388755652031021E-3</v>
      </c>
      <c r="F217" s="502"/>
      <c r="G217" s="219">
        <f t="shared" si="20"/>
        <v>18.07535681541664</v>
      </c>
      <c r="H217" s="249">
        <f>H216+(G216*E217*'life-tables-test'!$C$66)</f>
        <v>81.92464318458336</v>
      </c>
      <c r="I217" s="516">
        <f t="shared" si="18"/>
        <v>100</v>
      </c>
      <c r="J217" s="153">
        <f>(G217*0)/(1+cDR)^'Markov Model_SA2'!cycle</f>
        <v>0</v>
      </c>
      <c r="K217" s="178">
        <f t="shared" si="15"/>
        <v>18.07535681541664</v>
      </c>
      <c r="L217" s="202">
        <f>(G217*(uPostT))/(1+oDR)^'Markov Model_SA2'!cycle</f>
        <v>8.1928224653999671</v>
      </c>
      <c r="M217" s="80"/>
      <c r="N217" s="3"/>
      <c r="O217" s="80"/>
      <c r="P217" s="173">
        <v>207</v>
      </c>
      <c r="Q217" s="165"/>
      <c r="R217" s="174">
        <v>2.0388755652031021E-3</v>
      </c>
      <c r="S217" s="502"/>
      <c r="T217" s="219">
        <f t="shared" si="19"/>
        <v>17.029123108120302</v>
      </c>
      <c r="U217" s="249">
        <f>U216+(T216*R217*'life-tables-test'!$C$66)</f>
        <v>82.970876891879698</v>
      </c>
      <c r="V217" s="516">
        <f t="shared" si="16"/>
        <v>100</v>
      </c>
      <c r="W217" s="153">
        <f>(T217*0)/(1+cDR)^'Markov Model_SA2'!cycle2</f>
        <v>0</v>
      </c>
      <c r="X217" s="178">
        <f t="shared" si="17"/>
        <v>17.029123108120302</v>
      </c>
      <c r="Y217" s="202">
        <f>(T217*(uPostT))/(1+oDR)^'Markov Model_SA2'!cycle</f>
        <v>7.7186073719593038</v>
      </c>
      <c r="Z217" s="80"/>
      <c r="AA217" s="3"/>
      <c r="AB217" s="3"/>
      <c r="AC217" s="14">
        <v>205</v>
      </c>
      <c r="AD217" s="14"/>
      <c r="AE217" s="14"/>
      <c r="AF217" s="3"/>
      <c r="AG217" s="3"/>
      <c r="AH217" s="3"/>
      <c r="AI217" s="14"/>
      <c r="AJ217" s="14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</row>
    <row r="218" spans="1:58" ht="14.25" customHeight="1" x14ac:dyDescent="0.2">
      <c r="A218" s="637"/>
      <c r="B218" s="417"/>
      <c r="C218" s="173">
        <v>208</v>
      </c>
      <c r="D218" s="165"/>
      <c r="E218" s="174">
        <v>2.0388755652031021E-3</v>
      </c>
      <c r="F218" s="502"/>
      <c r="G218" s="219">
        <f t="shared" si="20"/>
        <v>17.891089798700236</v>
      </c>
      <c r="H218" s="249">
        <f>H217+(G217*E218*'life-tables-test'!$C$66)</f>
        <v>82.108910201299764</v>
      </c>
      <c r="I218" s="516">
        <f t="shared" si="18"/>
        <v>100</v>
      </c>
      <c r="J218" s="153">
        <f>(G218*0)/(1+cDR)^'Markov Model_SA2'!cycle</f>
        <v>0</v>
      </c>
      <c r="K218" s="178">
        <f t="shared" si="15"/>
        <v>17.891089798700236</v>
      </c>
      <c r="L218" s="202">
        <f>(G218*(uPostT))/(1+oDR)^'Markov Model_SA2'!cycle</f>
        <v>8.0890790401258954</v>
      </c>
      <c r="M218" s="80"/>
      <c r="N218" s="3"/>
      <c r="O218" s="80"/>
      <c r="P218" s="173">
        <v>208</v>
      </c>
      <c r="Q218" s="165"/>
      <c r="R218" s="174">
        <v>2.0388755652031021E-3</v>
      </c>
      <c r="S218" s="502"/>
      <c r="T218" s="219">
        <f t="shared" si="19"/>
        <v>16.855521793110398</v>
      </c>
      <c r="U218" s="249">
        <f>U217+(T217*R218*'life-tables-test'!$C$66)</f>
        <v>83.144478206889602</v>
      </c>
      <c r="V218" s="516">
        <f t="shared" si="16"/>
        <v>100</v>
      </c>
      <c r="W218" s="153">
        <f>(T218*0)/(1+cDR)^'Markov Model_SA2'!cycle2</f>
        <v>0</v>
      </c>
      <c r="X218" s="178">
        <f t="shared" si="17"/>
        <v>16.855521793110398</v>
      </c>
      <c r="Y218" s="202">
        <f>(T218*(uPostT))/(1+oDR)^'Markov Model_SA2'!cycle</f>
        <v>7.6208688001185871</v>
      </c>
      <c r="Z218" s="80"/>
      <c r="AA218" s="3"/>
      <c r="AB218" s="3"/>
      <c r="AC218" s="14">
        <v>206</v>
      </c>
      <c r="AD218" s="14"/>
      <c r="AE218" s="14"/>
      <c r="AF218" s="3"/>
      <c r="AG218" s="3"/>
      <c r="AH218" s="3"/>
      <c r="AI218" s="14"/>
      <c r="AJ218" s="14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</row>
    <row r="219" spans="1:58" ht="14.25" customHeight="1" x14ac:dyDescent="0.2">
      <c r="A219" s="637"/>
      <c r="B219" s="417"/>
      <c r="C219" s="173">
        <v>209</v>
      </c>
      <c r="D219" s="165"/>
      <c r="E219" s="174">
        <v>2.0388755652031021E-3</v>
      </c>
      <c r="F219" s="502"/>
      <c r="G219" s="219">
        <f t="shared" si="20"/>
        <v>17.708701269573112</v>
      </c>
      <c r="H219" s="249">
        <f>H218+(G218*E219*'life-tables-test'!$C$66)</f>
        <v>82.291298730426888</v>
      </c>
      <c r="I219" s="516">
        <f t="shared" si="18"/>
        <v>100</v>
      </c>
      <c r="J219" s="153">
        <f>(G219*0)/(1+cDR)^'Markov Model_SA2'!cycle</f>
        <v>0</v>
      </c>
      <c r="K219" s="178">
        <f t="shared" si="15"/>
        <v>17.708701269573112</v>
      </c>
      <c r="L219" s="202">
        <f>(G219*(uPostT))/(1+oDR)^'Markov Model_SA2'!cycle</f>
        <v>7.9866492889040899</v>
      </c>
      <c r="M219" s="80"/>
      <c r="N219" s="3"/>
      <c r="O219" s="80"/>
      <c r="P219" s="173">
        <v>209</v>
      </c>
      <c r="Q219" s="165"/>
      <c r="R219" s="174">
        <v>2.0388755652031021E-3</v>
      </c>
      <c r="S219" s="502"/>
      <c r="T219" s="219">
        <f t="shared" si="19"/>
        <v>16.683690235496798</v>
      </c>
      <c r="U219" s="249">
        <f>U218+(T218*R219*'life-tables-test'!$C$66)</f>
        <v>83.316309764503202</v>
      </c>
      <c r="V219" s="516">
        <f t="shared" si="16"/>
        <v>100</v>
      </c>
      <c r="W219" s="153">
        <f>(T219*0)/(1+cDR)^'Markov Model_SA2'!cycle2</f>
        <v>0</v>
      </c>
      <c r="X219" s="178">
        <f t="shared" si="17"/>
        <v>16.683690235496798</v>
      </c>
      <c r="Y219" s="202">
        <f>(T219*(uPostT))/(1+oDR)^'Markov Model_SA2'!cycle</f>
        <v>7.5243678645463232</v>
      </c>
      <c r="Z219" s="80"/>
      <c r="AA219" s="3"/>
      <c r="AB219" s="3"/>
      <c r="AC219" s="14">
        <v>207</v>
      </c>
      <c r="AD219" s="14"/>
      <c r="AE219" s="14"/>
      <c r="AF219" s="3"/>
      <c r="AG219" s="3"/>
      <c r="AH219" s="3"/>
      <c r="AI219" s="14"/>
      <c r="AJ219" s="14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</row>
    <row r="220" spans="1:58" ht="14.25" customHeight="1" x14ac:dyDescent="0.2">
      <c r="A220" s="637"/>
      <c r="B220" s="417"/>
      <c r="C220" s="173">
        <v>210</v>
      </c>
      <c r="D220" s="165"/>
      <c r="E220" s="174">
        <v>2.0388755652031021E-3</v>
      </c>
      <c r="F220" s="502"/>
      <c r="G220" s="219">
        <f t="shared" si="20"/>
        <v>17.528172078023047</v>
      </c>
      <c r="H220" s="249">
        <f>H219+(G219*E220*'life-tables-test'!$C$66)</f>
        <v>82.471827921976953</v>
      </c>
      <c r="I220" s="516">
        <f t="shared" si="18"/>
        <v>100</v>
      </c>
      <c r="J220" s="153">
        <f>(G220*0)/(1+cDR)^'Markov Model_SA2'!cycle</f>
        <v>0</v>
      </c>
      <c r="K220" s="178">
        <f t="shared" si="15"/>
        <v>17.528172078023047</v>
      </c>
      <c r="L220" s="202">
        <f>(G220*(uPostT))/(1+oDR)^'Markov Model_SA2'!cycle</f>
        <v>7.8855165770465065</v>
      </c>
      <c r="M220" s="80"/>
      <c r="N220" s="3"/>
      <c r="O220" s="80"/>
      <c r="P220" s="173">
        <v>210</v>
      </c>
      <c r="Q220" s="165"/>
      <c r="R220" s="174">
        <v>2.0388755652031021E-3</v>
      </c>
      <c r="S220" s="502"/>
      <c r="T220" s="219">
        <f t="shared" si="19"/>
        <v>16.513610393703942</v>
      </c>
      <c r="U220" s="249">
        <f>U219+(T219*R220*'life-tables-test'!$C$66)</f>
        <v>83.486389606296058</v>
      </c>
      <c r="V220" s="516">
        <f t="shared" si="16"/>
        <v>100</v>
      </c>
      <c r="W220" s="153">
        <f>(T220*0)/(1+cDR)^'Markov Model_SA2'!cycle2</f>
        <v>0</v>
      </c>
      <c r="X220" s="178">
        <f t="shared" si="17"/>
        <v>16.513610393703942</v>
      </c>
      <c r="Y220" s="202">
        <f>(T220*(uPostT))/(1+oDR)^'Markov Model_SA2'!cycle</f>
        <v>7.429088893399709</v>
      </c>
      <c r="Z220" s="80"/>
      <c r="AA220" s="3"/>
      <c r="AB220" s="3"/>
      <c r="AC220" s="14">
        <v>208</v>
      </c>
      <c r="AD220" s="14"/>
      <c r="AE220" s="14"/>
      <c r="AF220" s="3"/>
      <c r="AG220" s="3"/>
      <c r="AH220" s="3"/>
      <c r="AI220" s="14"/>
      <c r="AJ220" s="14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</row>
    <row r="221" spans="1:58" ht="14.25" customHeight="1" x14ac:dyDescent="0.2">
      <c r="A221" s="637"/>
      <c r="B221" s="417"/>
      <c r="C221" s="173">
        <v>211</v>
      </c>
      <c r="D221" s="165"/>
      <c r="E221" s="174">
        <v>2.0388755652031021E-3</v>
      </c>
      <c r="F221" s="502"/>
      <c r="G221" s="219">
        <f t="shared" si="20"/>
        <v>17.349483269260261</v>
      </c>
      <c r="H221" s="249">
        <f>H220+(G220*E221*'life-tables-test'!$C$66)</f>
        <v>82.650516730739739</v>
      </c>
      <c r="I221" s="516">
        <f t="shared" si="18"/>
        <v>100</v>
      </c>
      <c r="J221" s="153">
        <f>(G221*0)/(1+cDR)^'Markov Model_SA2'!cycle</f>
        <v>0</v>
      </c>
      <c r="K221" s="178">
        <f t="shared" si="15"/>
        <v>17.349483269260261</v>
      </c>
      <c r="L221" s="202">
        <f>(G221*(uPostT))/(1+oDR)^'Markov Model_SA2'!cycle</f>
        <v>7.7856644805055222</v>
      </c>
      <c r="M221" s="80"/>
      <c r="N221" s="3"/>
      <c r="O221" s="80"/>
      <c r="P221" s="173">
        <v>211</v>
      </c>
      <c r="Q221" s="165"/>
      <c r="R221" s="174">
        <v>2.0388755652031021E-3</v>
      </c>
      <c r="S221" s="502"/>
      <c r="T221" s="219">
        <f t="shared" si="19"/>
        <v>16.345264410078912</v>
      </c>
      <c r="U221" s="249">
        <f>U220+(T220*R221*'life-tables-test'!$C$66)</f>
        <v>83.654735589921088</v>
      </c>
      <c r="V221" s="516">
        <f t="shared" si="16"/>
        <v>100</v>
      </c>
      <c r="W221" s="153">
        <f>(T221*0)/(1+cDR)^'Markov Model_SA2'!cycle2</f>
        <v>0</v>
      </c>
      <c r="X221" s="178">
        <f t="shared" si="17"/>
        <v>16.345264410078912</v>
      </c>
      <c r="Y221" s="202">
        <f>(T221*(uPostT))/(1+oDR)^'Markov Model_SA2'!cycle</f>
        <v>7.3350164132841309</v>
      </c>
      <c r="Z221" s="80"/>
      <c r="AA221" s="3"/>
      <c r="AB221" s="3"/>
      <c r="AC221" s="14">
        <v>209</v>
      </c>
      <c r="AD221" s="14"/>
      <c r="AE221" s="14"/>
      <c r="AF221" s="3"/>
      <c r="AG221" s="3"/>
      <c r="AH221" s="3"/>
      <c r="AI221" s="14"/>
      <c r="AJ221" s="14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</row>
    <row r="222" spans="1:58" ht="14.25" customHeight="1" x14ac:dyDescent="0.2">
      <c r="A222" s="637"/>
      <c r="B222" s="417"/>
      <c r="C222" s="173">
        <v>212</v>
      </c>
      <c r="D222" s="165"/>
      <c r="E222" s="174">
        <v>2.0388755652031021E-3</v>
      </c>
      <c r="F222" s="502"/>
      <c r="G222" s="219">
        <f t="shared" si="20"/>
        <v>17.172616081727284</v>
      </c>
      <c r="H222" s="249">
        <f>H221+(G221*E222*'life-tables-test'!$C$66)</f>
        <v>82.827383918272716</v>
      </c>
      <c r="I222" s="516">
        <f t="shared" si="18"/>
        <v>100</v>
      </c>
      <c r="J222" s="153">
        <f>(G222*0)/(1+cDR)^'Markov Model_SA2'!cycle</f>
        <v>0</v>
      </c>
      <c r="K222" s="178">
        <f t="shared" si="15"/>
        <v>17.172616081727284</v>
      </c>
      <c r="L222" s="202">
        <f>(G222*(uPostT))/(1+oDR)^'Markov Model_SA2'!cycle</f>
        <v>7.6870767832066429</v>
      </c>
      <c r="M222" s="80"/>
      <c r="N222" s="3"/>
      <c r="O222" s="80"/>
      <c r="P222" s="173">
        <v>212</v>
      </c>
      <c r="Q222" s="165"/>
      <c r="R222" s="174">
        <v>2.0388755652031021E-3</v>
      </c>
      <c r="S222" s="502"/>
      <c r="T222" s="219">
        <f t="shared" si="19"/>
        <v>16.178634609016441</v>
      </c>
      <c r="U222" s="249">
        <f>U221+(T221*R222*'life-tables-test'!$C$66)</f>
        <v>83.821365390983559</v>
      </c>
      <c r="V222" s="516">
        <f t="shared" si="16"/>
        <v>100</v>
      </c>
      <c r="W222" s="153">
        <f>(T222*0)/(1+cDR)^'Markov Model_SA2'!cycle2</f>
        <v>0</v>
      </c>
      <c r="X222" s="178">
        <f t="shared" si="17"/>
        <v>16.178634609016441</v>
      </c>
      <c r="Y222" s="202">
        <f>(T222*(uPostT))/(1+oDR)^'Markov Model_SA2'!cycle</f>
        <v>7.2421351467402353</v>
      </c>
      <c r="Z222" s="80"/>
      <c r="AA222" s="3"/>
      <c r="AB222" s="3"/>
      <c r="AC222" s="14">
        <v>210</v>
      </c>
      <c r="AD222" s="14"/>
      <c r="AE222" s="14"/>
      <c r="AF222" s="3"/>
      <c r="AG222" s="3"/>
      <c r="AH222" s="3"/>
      <c r="AI222" s="14"/>
      <c r="AJ222" s="14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</row>
    <row r="223" spans="1:58" ht="14.25" customHeight="1" x14ac:dyDescent="0.2">
      <c r="A223" s="637"/>
      <c r="B223" s="417"/>
      <c r="C223" s="173">
        <v>213</v>
      </c>
      <c r="D223" s="165"/>
      <c r="E223" s="174">
        <v>2.0388755652031021E-3</v>
      </c>
      <c r="F223" s="502"/>
      <c r="G223" s="219">
        <f t="shared" si="20"/>
        <v>16.997551945129047</v>
      </c>
      <c r="H223" s="249">
        <f>H222+(G222*E223*'life-tables-test'!$C$66)</f>
        <v>83.002448054870953</v>
      </c>
      <c r="I223" s="516">
        <f t="shared" si="18"/>
        <v>100</v>
      </c>
      <c r="J223" s="153">
        <f>(G223*0)/(1+cDR)^'Markov Model_SA2'!cycle</f>
        <v>0</v>
      </c>
      <c r="K223" s="178">
        <f t="shared" si="15"/>
        <v>16.997551945129047</v>
      </c>
      <c r="L223" s="202">
        <f>(G223*(uPostT))/(1+oDR)^'Markov Model_SA2'!cycle</f>
        <v>7.5897374744150046</v>
      </c>
      <c r="M223" s="80"/>
      <c r="N223" s="3"/>
      <c r="O223" s="80"/>
      <c r="P223" s="173">
        <v>213</v>
      </c>
      <c r="Q223" s="165"/>
      <c r="R223" s="174">
        <v>2.0388755652031021E-3</v>
      </c>
      <c r="S223" s="502"/>
      <c r="T223" s="219">
        <f t="shared" si="19"/>
        <v>16.013703495103073</v>
      </c>
      <c r="U223" s="249">
        <f>U222+(T222*R223*'life-tables-test'!$C$66)</f>
        <v>83.986296504896927</v>
      </c>
      <c r="V223" s="516">
        <f t="shared" si="16"/>
        <v>100</v>
      </c>
      <c r="W223" s="153">
        <f>(T223*0)/(1+cDR)^'Markov Model_SA2'!cycle2</f>
        <v>0</v>
      </c>
      <c r="X223" s="178">
        <f t="shared" si="17"/>
        <v>16.013703495103073</v>
      </c>
      <c r="Y223" s="202">
        <f>(T223*(uPostT))/(1+oDR)^'Markov Model_SA2'!cycle</f>
        <v>7.150430009762891</v>
      </c>
      <c r="Z223" s="80"/>
      <c r="AA223" s="3"/>
      <c r="AB223" s="3"/>
      <c r="AC223" s="14">
        <v>211</v>
      </c>
      <c r="AD223" s="14"/>
      <c r="AE223" s="14"/>
      <c r="AF223" s="3"/>
      <c r="AG223" s="3"/>
      <c r="AH223" s="3"/>
      <c r="AI223" s="14"/>
      <c r="AJ223" s="14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</row>
    <row r="224" spans="1:58" ht="14.25" customHeight="1" x14ac:dyDescent="0.2">
      <c r="A224" s="637"/>
      <c r="B224" s="417"/>
      <c r="C224" s="173">
        <v>214</v>
      </c>
      <c r="D224" s="165"/>
      <c r="E224" s="174">
        <v>2.0388755652031021E-3</v>
      </c>
      <c r="F224" s="502"/>
      <c r="G224" s="219">
        <f t="shared" si="20"/>
        <v>16.824272478483081</v>
      </c>
      <c r="H224" s="249">
        <f>H223+(G223*E224*'life-tables-test'!$C$66)</f>
        <v>83.175727521516919</v>
      </c>
      <c r="I224" s="516">
        <f t="shared" si="18"/>
        <v>100</v>
      </c>
      <c r="J224" s="153">
        <f>(G224*0)/(1+cDR)^'Markov Model_SA2'!cycle</f>
        <v>0</v>
      </c>
      <c r="K224" s="178">
        <f t="shared" si="15"/>
        <v>16.824272478483081</v>
      </c>
      <c r="L224" s="202">
        <f>(G224*(uPostT))/(1+oDR)^'Markov Model_SA2'!cycle</f>
        <v>7.4936307461352163</v>
      </c>
      <c r="M224" s="80"/>
      <c r="N224" s="3"/>
      <c r="O224" s="80"/>
      <c r="P224" s="173">
        <v>214</v>
      </c>
      <c r="Q224" s="165"/>
      <c r="R224" s="174">
        <v>2.0388755652031021E-3</v>
      </c>
      <c r="S224" s="502"/>
      <c r="T224" s="219">
        <f t="shared" si="19"/>
        <v>15.850453751280213</v>
      </c>
      <c r="U224" s="249">
        <f>U223+(T223*R224*'life-tables-test'!$C$66)</f>
        <v>84.149546248719787</v>
      </c>
      <c r="V224" s="516">
        <f t="shared" si="16"/>
        <v>100</v>
      </c>
      <c r="W224" s="153">
        <f>(T224*0)/(1+cDR)^'Markov Model_SA2'!cycle2</f>
        <v>0</v>
      </c>
      <c r="X224" s="178">
        <f t="shared" si="17"/>
        <v>15.850453751280213</v>
      </c>
      <c r="Y224" s="202">
        <f>(T224*(uPostT))/(1+oDR)^'Markov Model_SA2'!cycle</f>
        <v>7.0598861093515151</v>
      </c>
      <c r="Z224" s="80"/>
      <c r="AA224" s="3"/>
      <c r="AB224" s="3"/>
      <c r="AC224" s="14">
        <v>212</v>
      </c>
      <c r="AD224" s="14"/>
      <c r="AE224" s="14"/>
      <c r="AF224" s="3"/>
      <c r="AG224" s="3"/>
      <c r="AH224" s="3"/>
      <c r="AI224" s="14"/>
      <c r="AJ224" s="14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</row>
    <row r="225" spans="1:58" ht="14.25" customHeight="1" x14ac:dyDescent="0.2">
      <c r="A225" s="637"/>
      <c r="B225" s="417"/>
      <c r="C225" s="173">
        <v>215</v>
      </c>
      <c r="D225" s="165"/>
      <c r="E225" s="174">
        <v>2.0388755652031021E-3</v>
      </c>
      <c r="F225" s="502"/>
      <c r="G225" s="219">
        <f t="shared" si="20"/>
        <v>16.652759488189588</v>
      </c>
      <c r="H225" s="249">
        <f>H224+(G224*E225*'life-tables-test'!$C$66)</f>
        <v>83.347240511810412</v>
      </c>
      <c r="I225" s="516">
        <f t="shared" si="18"/>
        <v>100</v>
      </c>
      <c r="J225" s="153">
        <f>(G225*0)/(1+cDR)^'Markov Model_SA2'!cycle</f>
        <v>0</v>
      </c>
      <c r="K225" s="178">
        <f t="shared" si="15"/>
        <v>16.652759488189588</v>
      </c>
      <c r="L225" s="202">
        <f>(G225*(uPostT))/(1+oDR)^'Markov Model_SA2'!cycle</f>
        <v>7.3987409905441046</v>
      </c>
      <c r="M225" s="80"/>
      <c r="N225" s="3"/>
      <c r="O225" s="80"/>
      <c r="P225" s="173">
        <v>215</v>
      </c>
      <c r="Q225" s="165"/>
      <c r="R225" s="174">
        <v>2.0388755652031021E-3</v>
      </c>
      <c r="S225" s="502"/>
      <c r="T225" s="219">
        <f t="shared" si="19"/>
        <v>15.688868237025872</v>
      </c>
      <c r="U225" s="249">
        <f>U224+(T224*R225*'life-tables-test'!$C$66)</f>
        <v>84.311131762974128</v>
      </c>
      <c r="V225" s="516">
        <f t="shared" si="16"/>
        <v>100</v>
      </c>
      <c r="W225" s="153">
        <f>(T225*0)/(1+cDR)^'Markov Model_SA2'!cycle2</f>
        <v>0</v>
      </c>
      <c r="X225" s="178">
        <f t="shared" si="17"/>
        <v>15.688868237025872</v>
      </c>
      <c r="Y225" s="202">
        <f>(T225*(uPostT))/(1+oDR)^'Markov Model_SA2'!cycle</f>
        <v>6.9704887410914136</v>
      </c>
      <c r="Z225" s="80"/>
      <c r="AA225" s="3"/>
      <c r="AB225" s="3"/>
      <c r="AC225" s="14">
        <v>213</v>
      </c>
      <c r="AD225" s="14"/>
      <c r="AE225" s="14"/>
      <c r="AF225" s="3"/>
      <c r="AG225" s="3"/>
      <c r="AH225" s="3"/>
      <c r="AI225" s="14"/>
      <c r="AJ225" s="14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</row>
    <row r="226" spans="1:58" ht="14.25" customHeight="1" x14ac:dyDescent="0.2">
      <c r="A226" s="637"/>
      <c r="B226" s="417"/>
      <c r="C226" s="173">
        <v>216</v>
      </c>
      <c r="D226" s="165"/>
      <c r="E226" s="174">
        <v>2.0388755652031021E-3</v>
      </c>
      <c r="F226" s="502"/>
      <c r="G226" s="219">
        <f t="shared" si="20"/>
        <v>16.482994966121225</v>
      </c>
      <c r="H226" s="249">
        <f>H225+(G225*E226*'life-tables-test'!$C$66)</f>
        <v>83.517005033878775</v>
      </c>
      <c r="I226" s="516">
        <f t="shared" si="18"/>
        <v>100</v>
      </c>
      <c r="J226" s="153">
        <f>(G226*0)/(1+cDR)^'Markov Model_SA2'!cycle</f>
        <v>0</v>
      </c>
      <c r="K226" s="178">
        <f t="shared" si="15"/>
        <v>16.482994966121225</v>
      </c>
      <c r="L226" s="202">
        <f>(G226*(uPostT))/(1+oDR)^'Markov Model_SA2'!cycle</f>
        <v>7.3050527974560335</v>
      </c>
      <c r="M226" s="80"/>
      <c r="N226" s="3"/>
      <c r="O226" s="80"/>
      <c r="P226" s="173">
        <v>216</v>
      </c>
      <c r="Q226" s="165"/>
      <c r="R226" s="174">
        <v>2.0388755652031021E-3</v>
      </c>
      <c r="S226" s="502"/>
      <c r="T226" s="219">
        <f t="shared" si="19"/>
        <v>15.528929986555056</v>
      </c>
      <c r="U226" s="249">
        <f>U225+(T225*R226*'life-tables-test'!$C$66)</f>
        <v>84.471070013444944</v>
      </c>
      <c r="V226" s="516">
        <f t="shared" si="16"/>
        <v>100</v>
      </c>
      <c r="W226" s="153">
        <f>(T226*0)/(1+cDR)^'Markov Model_SA2'!cycle2</f>
        <v>0</v>
      </c>
      <c r="X226" s="178">
        <f t="shared" si="17"/>
        <v>15.528929986555056</v>
      </c>
      <c r="Y226" s="202">
        <f>(T226*(uPostT))/(1+oDR)^'Markov Model_SA2'!cycle</f>
        <v>6.8822233867658271</v>
      </c>
      <c r="Z226" s="80"/>
      <c r="AA226" s="3"/>
      <c r="AB226" s="3"/>
      <c r="AC226" s="14">
        <v>214</v>
      </c>
      <c r="AD226" s="14"/>
      <c r="AE226" s="14"/>
      <c r="AF226" s="3"/>
      <c r="AG226" s="3"/>
      <c r="AH226" s="3"/>
      <c r="AI226" s="14"/>
      <c r="AJ226" s="14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</row>
    <row r="227" spans="1:58" ht="14.25" customHeight="1" x14ac:dyDescent="0.2">
      <c r="A227" s="606"/>
      <c r="B227" s="417"/>
      <c r="C227" s="173">
        <v>217</v>
      </c>
      <c r="D227" s="504"/>
      <c r="E227" s="174">
        <v>2.0388755652031021E-3</v>
      </c>
      <c r="F227" s="505"/>
      <c r="G227" s="219">
        <f t="shared" si="20"/>
        <v>16.314961087732271</v>
      </c>
      <c r="H227" s="249">
        <f>H226+(G226*E227*'life-tables-test'!$C$66)</f>
        <v>83.685038912267729</v>
      </c>
      <c r="I227" s="516">
        <f t="shared" si="18"/>
        <v>100</v>
      </c>
      <c r="J227" s="180">
        <f>(G227*0)/(1+cDR)^'Markov Model_SA2'!cycle</f>
        <v>0</v>
      </c>
      <c r="K227" s="176">
        <f t="shared" si="15"/>
        <v>16.314961087732271</v>
      </c>
      <c r="L227" s="202">
        <f>(G227*(uPostT))/(1+oDR)^'Markov Model_SA2'!cycle</f>
        <v>7.2125509518202229</v>
      </c>
      <c r="M227" s="80"/>
      <c r="N227" s="3"/>
      <c r="O227" s="80"/>
      <c r="P227" s="173">
        <v>217</v>
      </c>
      <c r="Q227" s="504"/>
      <c r="R227" s="174">
        <v>2.0388755652031021E-3</v>
      </c>
      <c r="S227" s="505"/>
      <c r="T227" s="219">
        <f t="shared" si="19"/>
        <v>15.370622207038366</v>
      </c>
      <c r="U227" s="249">
        <f>U226+(T226*R227*'life-tables-test'!$C$66)</f>
        <v>84.629377792961634</v>
      </c>
      <c r="V227" s="516">
        <f t="shared" si="16"/>
        <v>100</v>
      </c>
      <c r="W227" s="180">
        <f>(T227*0)/(1+cDR)^'Markov Model_SA2'!cycle2</f>
        <v>0</v>
      </c>
      <c r="X227" s="176">
        <f t="shared" si="17"/>
        <v>15.370622207038366</v>
      </c>
      <c r="Y227" s="202">
        <f>(T227*(uPostT))/(1+oDR)^'Markov Model_SA2'!cycle</f>
        <v>6.7950757119980967</v>
      </c>
      <c r="Z227" s="80"/>
      <c r="AA227" s="3"/>
      <c r="AB227" s="3"/>
      <c r="AC227" s="14">
        <v>215</v>
      </c>
      <c r="AD227" s="14"/>
      <c r="AE227" s="14"/>
      <c r="AF227" s="3"/>
      <c r="AG227" s="3"/>
      <c r="AH227" s="3"/>
      <c r="AI227" s="14"/>
      <c r="AJ227" s="14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</row>
    <row r="228" spans="1:58" ht="14.25" customHeight="1" x14ac:dyDescent="0.25">
      <c r="A228" s="637" t="s">
        <v>560</v>
      </c>
      <c r="B228" s="417"/>
      <c r="C228" s="506">
        <v>218</v>
      </c>
      <c r="D228" s="506"/>
      <c r="E228" s="507">
        <v>2.0388755652031021E-3</v>
      </c>
      <c r="F228" s="508"/>
      <c r="G228" s="509">
        <f t="shared" si="20"/>
        <v>16.148640210187182</v>
      </c>
      <c r="H228" s="510">
        <f>H227+(G227*E228*'life-tables-test'!$C$66)</f>
        <v>83.851359789812818</v>
      </c>
      <c r="I228" s="518">
        <f t="shared" si="18"/>
        <v>100</v>
      </c>
      <c r="J228" s="511">
        <f>(G228*0)/(1+cDR)^'Markov Model_SA2'!cycle</f>
        <v>0</v>
      </c>
      <c r="K228" s="512">
        <f t="shared" si="15"/>
        <v>16.148640210187182</v>
      </c>
      <c r="L228" s="513">
        <f>(G228*(uPostT))/(1+oDR)^'Markov Model_SA2'!cycle</f>
        <v>7.1212204312498519</v>
      </c>
      <c r="M228" s="80"/>
      <c r="N228" s="3"/>
      <c r="O228" s="80"/>
      <c r="P228" s="506">
        <v>218</v>
      </c>
      <c r="Q228" s="506"/>
      <c r="R228" s="507">
        <v>2.0388755652031021E-3</v>
      </c>
      <c r="S228" s="508"/>
      <c r="T228" s="509">
        <f t="shared" si="19"/>
        <v>15.213928276838871</v>
      </c>
      <c r="U228" s="510">
        <f>U227+(T227*R228*'life-tables-test'!$C$66)</f>
        <v>84.786071723161129</v>
      </c>
      <c r="V228" s="518">
        <f t="shared" si="16"/>
        <v>100</v>
      </c>
      <c r="W228" s="511">
        <f>(T228*0)/(1+cDR)^'Markov Model_SA2'!cycle2</f>
        <v>0</v>
      </c>
      <c r="X228" s="512">
        <f t="shared" si="17"/>
        <v>15.213928276838871</v>
      </c>
      <c r="Y228" s="513">
        <f>(T228*(uPostT))/(1+oDR)^'Markov Model_SA2'!cycle</f>
        <v>6.709031563923797</v>
      </c>
      <c r="Z228" s="80"/>
      <c r="AA228" s="3"/>
      <c r="AB228" s="3"/>
      <c r="AC228" s="14">
        <v>216</v>
      </c>
      <c r="AD228" s="14"/>
      <c r="AE228" s="14"/>
      <c r="AF228" s="3"/>
      <c r="AG228" s="3"/>
      <c r="AH228" s="3"/>
      <c r="AI228" s="14"/>
      <c r="AJ228" s="14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</row>
    <row r="229" spans="1:58" ht="14.25" customHeight="1" x14ac:dyDescent="0.2">
      <c r="A229" s="637"/>
      <c r="B229" s="417"/>
      <c r="C229" s="173">
        <v>219</v>
      </c>
      <c r="D229" s="165"/>
      <c r="E229" s="174">
        <v>2.2221246144455975E-3</v>
      </c>
      <c r="F229" s="502"/>
      <c r="G229" s="219">
        <f t="shared" si="20"/>
        <v>15.969218755682761</v>
      </c>
      <c r="H229" s="249">
        <f>H228+(G228*E229*'life-tables-test'!$C$66)</f>
        <v>84.030781244317239</v>
      </c>
      <c r="I229" s="516">
        <f t="shared" si="18"/>
        <v>100</v>
      </c>
      <c r="J229" s="153">
        <f>(G229*0)/(1+cDR)^'Markov Model_SA2'!cycle</f>
        <v>0</v>
      </c>
      <c r="K229" s="178">
        <f t="shared" si="15"/>
        <v>15.969218755682761</v>
      </c>
      <c r="L229" s="202">
        <f>(G229*(uPostT))/(1+oDR)^'Markov Model_SA2'!cycle</f>
        <v>7.0245378904977409</v>
      </c>
      <c r="M229" s="80"/>
      <c r="N229" s="3"/>
      <c r="O229" s="80"/>
      <c r="P229" s="173">
        <v>219</v>
      </c>
      <c r="Q229" s="165"/>
      <c r="R229" s="174">
        <v>2.2221246144455975E-3</v>
      </c>
      <c r="S229" s="502"/>
      <c r="T229" s="219">
        <f t="shared" si="19"/>
        <v>15.044892054306999</v>
      </c>
      <c r="U229" s="249">
        <f>U228+(T228*R229*'life-tables-test'!$C$66)</f>
        <v>84.955107945693001</v>
      </c>
      <c r="V229" s="516">
        <f t="shared" si="16"/>
        <v>100</v>
      </c>
      <c r="W229" s="153">
        <f>(T229*0)/(1+cDR)^'Markov Model_SA2'!cycle2</f>
        <v>0</v>
      </c>
      <c r="X229" s="178">
        <f t="shared" si="17"/>
        <v>15.044892054306999</v>
      </c>
      <c r="Y229" s="202">
        <f>(T229*(uPostT))/(1+oDR)^'Markov Model_SA2'!cycle</f>
        <v>6.6179451800871414</v>
      </c>
      <c r="Z229" s="80"/>
      <c r="AA229" s="3"/>
      <c r="AB229" s="3"/>
      <c r="AC229" s="14">
        <v>217</v>
      </c>
      <c r="AD229" s="14"/>
      <c r="AE229" s="14"/>
      <c r="AF229" s="3"/>
      <c r="AG229" s="3"/>
      <c r="AH229" s="3"/>
      <c r="AI229" s="14"/>
      <c r="AJ229" s="14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</row>
    <row r="230" spans="1:58" ht="14.25" customHeight="1" x14ac:dyDescent="0.2">
      <c r="A230" s="637"/>
      <c r="B230" s="417"/>
      <c r="C230" s="173">
        <v>220</v>
      </c>
      <c r="D230" s="165"/>
      <c r="E230" s="174">
        <v>2.2221246144455975E-3</v>
      </c>
      <c r="F230" s="502"/>
      <c r="G230" s="219">
        <f t="shared" si="20"/>
        <v>15.79179078533042</v>
      </c>
      <c r="H230" s="249">
        <f>H229+(G229*E230*'life-tables-test'!$C$66)</f>
        <v>84.20820921466958</v>
      </c>
      <c r="I230" s="516">
        <f t="shared" si="18"/>
        <v>100</v>
      </c>
      <c r="J230" s="153">
        <f>(G230*0)/(1+cDR)^'Markov Model_SA2'!cycle</f>
        <v>0</v>
      </c>
      <c r="K230" s="178">
        <f t="shared" si="15"/>
        <v>15.79179078533042</v>
      </c>
      <c r="L230" s="202">
        <f>(G230*(uPostT))/(1+oDR)^'Markov Model_SA2'!cycle</f>
        <v>6.929167977795351</v>
      </c>
      <c r="M230" s="80"/>
      <c r="N230" s="3"/>
      <c r="O230" s="80"/>
      <c r="P230" s="173">
        <v>220</v>
      </c>
      <c r="Q230" s="165"/>
      <c r="R230" s="174">
        <v>2.2221246144455975E-3</v>
      </c>
      <c r="S230" s="502"/>
      <c r="T230" s="219">
        <f t="shared" si="19"/>
        <v>14.877733929529242</v>
      </c>
      <c r="U230" s="249">
        <f>U229+(T229*R230*'life-tables-test'!$C$66)</f>
        <v>85.122266070470758</v>
      </c>
      <c r="V230" s="516">
        <f t="shared" si="16"/>
        <v>100</v>
      </c>
      <c r="W230" s="153">
        <f>(T230*0)/(1+cDR)^'Markov Model_SA2'!cycle2</f>
        <v>0</v>
      </c>
      <c r="X230" s="178">
        <f t="shared" si="17"/>
        <v>14.877733929529242</v>
      </c>
      <c r="Y230" s="202">
        <f>(T230*(uPostT))/(1+oDR)^'Markov Model_SA2'!cycle</f>
        <v>6.5280954470608767</v>
      </c>
      <c r="Z230" s="80"/>
      <c r="AA230" s="3"/>
      <c r="AB230" s="3"/>
      <c r="AC230" s="14">
        <v>218</v>
      </c>
      <c r="AD230" s="14"/>
      <c r="AE230" s="14"/>
      <c r="AF230" s="3"/>
      <c r="AG230" s="3"/>
      <c r="AH230" s="3"/>
      <c r="AI230" s="14"/>
      <c r="AJ230" s="14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</row>
    <row r="231" spans="1:58" ht="14.25" customHeight="1" x14ac:dyDescent="0.2">
      <c r="A231" s="637"/>
      <c r="B231" s="417"/>
      <c r="C231" s="173">
        <v>221</v>
      </c>
      <c r="D231" s="165"/>
      <c r="E231" s="174">
        <v>2.2221246144455975E-3</v>
      </c>
      <c r="F231" s="502"/>
      <c r="G231" s="219">
        <f t="shared" si="20"/>
        <v>15.61633415027913</v>
      </c>
      <c r="H231" s="249">
        <f>H230+(G230*E231*'life-tables-test'!$C$66)</f>
        <v>84.38366584972087</v>
      </c>
      <c r="I231" s="516">
        <f t="shared" si="18"/>
        <v>100</v>
      </c>
      <c r="J231" s="153">
        <f>(G231*0)/(1+cDR)^'Markov Model_SA2'!cycle</f>
        <v>0</v>
      </c>
      <c r="K231" s="178">
        <f t="shared" si="15"/>
        <v>15.61633415027913</v>
      </c>
      <c r="L231" s="202">
        <f>(G231*(uPostT))/(1+oDR)^'Markov Model_SA2'!cycle</f>
        <v>6.8350928720098878</v>
      </c>
      <c r="M231" s="80"/>
      <c r="N231" s="3"/>
      <c r="O231" s="80"/>
      <c r="P231" s="173">
        <v>221</v>
      </c>
      <c r="Q231" s="165"/>
      <c r="R231" s="174">
        <v>2.2221246144455975E-3</v>
      </c>
      <c r="S231" s="502"/>
      <c r="T231" s="219">
        <f t="shared" si="19"/>
        <v>14.712433035669349</v>
      </c>
      <c r="U231" s="249">
        <f>U230+(T230*R231*'life-tables-test'!$C$66)</f>
        <v>85.287566964330651</v>
      </c>
      <c r="V231" s="516">
        <f t="shared" si="16"/>
        <v>100</v>
      </c>
      <c r="W231" s="153">
        <f>(T231*0)/(1+cDR)^'Markov Model_SA2'!cycle2</f>
        <v>0</v>
      </c>
      <c r="X231" s="178">
        <f t="shared" si="17"/>
        <v>14.712433035669349</v>
      </c>
      <c r="Y231" s="202">
        <f>(T231*(uPostT))/(1+oDR)^'Markov Model_SA2'!cycle</f>
        <v>6.4394655752309768</v>
      </c>
      <c r="Z231" s="80"/>
      <c r="AA231" s="3"/>
      <c r="AB231" s="3"/>
      <c r="AC231" s="14">
        <v>219</v>
      </c>
      <c r="AD231" s="14"/>
      <c r="AE231" s="14"/>
      <c r="AF231" s="3"/>
      <c r="AG231" s="3"/>
      <c r="AH231" s="3"/>
      <c r="AI231" s="14"/>
      <c r="AJ231" s="14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</row>
    <row r="232" spans="1:58" ht="14.25" customHeight="1" x14ac:dyDescent="0.2">
      <c r="A232" s="637"/>
      <c r="B232" s="417"/>
      <c r="C232" s="173">
        <v>222</v>
      </c>
      <c r="D232" s="165"/>
      <c r="E232" s="174">
        <v>2.2221246144455975E-3</v>
      </c>
      <c r="F232" s="502"/>
      <c r="G232" s="219">
        <f t="shared" si="20"/>
        <v>15.442826947765411</v>
      </c>
      <c r="H232" s="249">
        <f>H231+(G231*E232*'life-tables-test'!$C$66)</f>
        <v>84.557173052234589</v>
      </c>
      <c r="I232" s="516">
        <f t="shared" si="18"/>
        <v>100</v>
      </c>
      <c r="J232" s="153">
        <f>(G232*0)/(1+cDR)^'Markov Model_SA2'!cycle</f>
        <v>0</v>
      </c>
      <c r="K232" s="178">
        <f t="shared" si="15"/>
        <v>15.442826947765411</v>
      </c>
      <c r="L232" s="202">
        <f>(G232*(uPostT))/(1+oDR)^'Markov Model_SA2'!cycle</f>
        <v>6.742294993960412</v>
      </c>
      <c r="M232" s="80"/>
      <c r="N232" s="3"/>
      <c r="O232" s="80"/>
      <c r="P232" s="173">
        <v>222</v>
      </c>
      <c r="Q232" s="165"/>
      <c r="R232" s="174">
        <v>2.2221246144455975E-3</v>
      </c>
      <c r="S232" s="502"/>
      <c r="T232" s="219">
        <f t="shared" si="19"/>
        <v>14.548968737734626</v>
      </c>
      <c r="U232" s="249">
        <f>U231+(T231*R232*'life-tables-test'!$C$66)</f>
        <v>85.451031262265374</v>
      </c>
      <c r="V232" s="516">
        <f t="shared" si="16"/>
        <v>100</v>
      </c>
      <c r="W232" s="153">
        <f>(T232*0)/(1+cDR)^'Markov Model_SA2'!cycle2</f>
        <v>0</v>
      </c>
      <c r="X232" s="178">
        <f t="shared" si="17"/>
        <v>14.548968737734626</v>
      </c>
      <c r="Y232" s="202">
        <f>(T232*(uPostT))/(1+oDR)^'Markov Model_SA2'!cycle</f>
        <v>6.3520390029306704</v>
      </c>
      <c r="Z232" s="80"/>
      <c r="AA232" s="3"/>
      <c r="AB232" s="3"/>
      <c r="AC232" s="14">
        <v>220</v>
      </c>
      <c r="AD232" s="14"/>
      <c r="AE232" s="14"/>
      <c r="AF232" s="3"/>
      <c r="AG232" s="3"/>
      <c r="AH232" s="3"/>
      <c r="AI232" s="14"/>
      <c r="AJ232" s="14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</row>
    <row r="233" spans="1:58" ht="14.25" customHeight="1" x14ac:dyDescent="0.2">
      <c r="A233" s="637"/>
      <c r="B233" s="417"/>
      <c r="C233" s="173">
        <v>223</v>
      </c>
      <c r="D233" s="165"/>
      <c r="E233" s="174">
        <v>2.2221246144455975E-3</v>
      </c>
      <c r="F233" s="502"/>
      <c r="G233" s="219">
        <f t="shared" si="20"/>
        <v>15.271247518379141</v>
      </c>
      <c r="H233" s="249">
        <f>H232+(G232*E233*'life-tables-test'!$C$66)</f>
        <v>84.728752481620859</v>
      </c>
      <c r="I233" s="516">
        <f t="shared" si="18"/>
        <v>100</v>
      </c>
      <c r="J233" s="153">
        <f>(G233*0)/(1+cDR)^'Markov Model_SA2'!cycle</f>
        <v>0</v>
      </c>
      <c r="K233" s="178">
        <f t="shared" si="15"/>
        <v>15.271247518379141</v>
      </c>
      <c r="L233" s="202">
        <f>(G233*(uPostT))/(1+oDR)^'Markov Model_SA2'!cycle</f>
        <v>6.6507570031329157</v>
      </c>
      <c r="M233" s="80"/>
      <c r="N233" s="3"/>
      <c r="O233" s="80"/>
      <c r="P233" s="173">
        <v>223</v>
      </c>
      <c r="Q233" s="165"/>
      <c r="R233" s="174">
        <v>2.2221246144455975E-3</v>
      </c>
      <c r="S233" s="502"/>
      <c r="T233" s="219">
        <f t="shared" si="19"/>
        <v>14.387320630000033</v>
      </c>
      <c r="U233" s="249">
        <f>U232+(T232*R233*'life-tables-test'!$C$66)</f>
        <v>85.612679369999967</v>
      </c>
      <c r="V233" s="516">
        <f t="shared" si="16"/>
        <v>100</v>
      </c>
      <c r="W233" s="153">
        <f>(T233*0)/(1+cDR)^'Markov Model_SA2'!cycle2</f>
        <v>0</v>
      </c>
      <c r="X233" s="178">
        <f t="shared" si="17"/>
        <v>14.387320630000033</v>
      </c>
      <c r="Y233" s="202">
        <f>(T233*(uPostT))/(1+oDR)^'Markov Model_SA2'!cycle</f>
        <v>6.2657993933456568</v>
      </c>
      <c r="Z233" s="80"/>
      <c r="AA233" s="3"/>
      <c r="AB233" s="3"/>
      <c r="AC233" s="14">
        <v>221</v>
      </c>
      <c r="AD233" s="14"/>
      <c r="AE233" s="14"/>
      <c r="AF233" s="3"/>
      <c r="AG233" s="3"/>
      <c r="AH233" s="3"/>
      <c r="AI233" s="14"/>
      <c r="AJ233" s="14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</row>
    <row r="234" spans="1:58" ht="14.25" customHeight="1" x14ac:dyDescent="0.2">
      <c r="A234" s="637"/>
      <c r="B234" s="417"/>
      <c r="C234" s="173">
        <v>224</v>
      </c>
      <c r="D234" s="165"/>
      <c r="E234" s="174">
        <v>2.2221246144455975E-3</v>
      </c>
      <c r="F234" s="502"/>
      <c r="G234" s="219">
        <f t="shared" si="20"/>
        <v>15.101574443359738</v>
      </c>
      <c r="H234" s="249">
        <f>H233+(G233*E234*'life-tables-test'!$C$66)</f>
        <v>84.898425556640262</v>
      </c>
      <c r="I234" s="516">
        <f t="shared" si="18"/>
        <v>100</v>
      </c>
      <c r="J234" s="153">
        <f>(G234*0)/(1+cDR)^'Markov Model_SA2'!cycle</f>
        <v>0</v>
      </c>
      <c r="K234" s="178">
        <f t="shared" si="15"/>
        <v>15.101574443359738</v>
      </c>
      <c r="L234" s="202">
        <f>(G234*(uPostT))/(1+oDR)^'Markov Model_SA2'!cycle</f>
        <v>6.560461794440025</v>
      </c>
      <c r="M234" s="80"/>
      <c r="N234" s="3"/>
      <c r="O234" s="80"/>
      <c r="P234" s="173">
        <v>224</v>
      </c>
      <c r="Q234" s="165"/>
      <c r="R234" s="174">
        <v>2.2221246144455975E-3</v>
      </c>
      <c r="S234" s="502"/>
      <c r="T234" s="219">
        <f t="shared" si="19"/>
        <v>14.227468533460808</v>
      </c>
      <c r="U234" s="249">
        <f>U233+(T233*R234*'life-tables-test'!$C$66)</f>
        <v>85.772531466539192</v>
      </c>
      <c r="V234" s="516">
        <f t="shared" si="16"/>
        <v>100</v>
      </c>
      <c r="W234" s="153">
        <f>(T234*0)/(1+cDR)^'Markov Model_SA2'!cycle2</f>
        <v>0</v>
      </c>
      <c r="X234" s="178">
        <f t="shared" si="17"/>
        <v>14.227468533460808</v>
      </c>
      <c r="Y234" s="202">
        <f>(T234*(uPostT))/(1+oDR)^'Markov Model_SA2'!cycle</f>
        <v>6.1807306314613424</v>
      </c>
      <c r="Z234" s="80"/>
      <c r="AA234" s="3"/>
      <c r="AB234" s="3"/>
      <c r="AC234" s="14">
        <v>222</v>
      </c>
      <c r="AD234" s="14"/>
      <c r="AE234" s="14"/>
      <c r="AF234" s="3"/>
      <c r="AG234" s="3"/>
      <c r="AH234" s="3"/>
      <c r="AI234" s="14"/>
      <c r="AJ234" s="14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</row>
    <row r="235" spans="1:58" ht="14.25" customHeight="1" x14ac:dyDescent="0.2">
      <c r="A235" s="637"/>
      <c r="B235" s="417"/>
      <c r="C235" s="173">
        <v>225</v>
      </c>
      <c r="D235" s="165"/>
      <c r="E235" s="174">
        <v>2.2221246144455975E-3</v>
      </c>
      <c r="F235" s="502"/>
      <c r="G235" s="219">
        <f t="shared" si="20"/>
        <v>14.933786541922373</v>
      </c>
      <c r="H235" s="249">
        <f>H234+(G234*E235*'life-tables-test'!$C$66)</f>
        <v>85.066213458077627</v>
      </c>
      <c r="I235" s="516">
        <f t="shared" si="18"/>
        <v>100</v>
      </c>
      <c r="J235" s="153">
        <f>(G235*0)/(1+cDR)^'Markov Model_SA2'!cycle</f>
        <v>0</v>
      </c>
      <c r="K235" s="178">
        <f t="shared" si="15"/>
        <v>14.933786541922373</v>
      </c>
      <c r="L235" s="202">
        <f>(G235*(uPostT))/(1+oDR)^'Markov Model_SA2'!cycle</f>
        <v>6.4713924950246868</v>
      </c>
      <c r="M235" s="80"/>
      <c r="N235" s="3"/>
      <c r="O235" s="80"/>
      <c r="P235" s="173">
        <v>225</v>
      </c>
      <c r="Q235" s="165"/>
      <c r="R235" s="174">
        <v>2.2221246144455975E-3</v>
      </c>
      <c r="S235" s="502"/>
      <c r="T235" s="219">
        <f t="shared" si="19"/>
        <v>14.069392493313543</v>
      </c>
      <c r="U235" s="249">
        <f>U234+(T234*R235*'life-tables-test'!$C$66)</f>
        <v>85.930607506686457</v>
      </c>
      <c r="V235" s="516">
        <f t="shared" si="16"/>
        <v>100</v>
      </c>
      <c r="W235" s="153">
        <f>(T235*0)/(1+cDR)^'Markov Model_SA2'!cycle2</f>
        <v>0</v>
      </c>
      <c r="X235" s="178">
        <f t="shared" si="17"/>
        <v>14.069392493313543</v>
      </c>
      <c r="Y235" s="202">
        <f>(T235*(uPostT))/(1+oDR)^'Markov Model_SA2'!cycle</f>
        <v>6.096816821051573</v>
      </c>
      <c r="Z235" s="80"/>
      <c r="AA235" s="3"/>
      <c r="AB235" s="3"/>
      <c r="AC235" s="14">
        <v>223</v>
      </c>
      <c r="AD235" s="14"/>
      <c r="AE235" s="14"/>
      <c r="AF235" s="3"/>
      <c r="AG235" s="3"/>
      <c r="AH235" s="3"/>
      <c r="AI235" s="14"/>
      <c r="AJ235" s="14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</row>
    <row r="236" spans="1:58" ht="14.25" customHeight="1" x14ac:dyDescent="0.2">
      <c r="A236" s="637"/>
      <c r="B236" s="417"/>
      <c r="C236" s="173">
        <v>226</v>
      </c>
      <c r="D236" s="165"/>
      <c r="E236" s="174">
        <v>2.2221246144455975E-3</v>
      </c>
      <c r="F236" s="502"/>
      <c r="G236" s="219">
        <f t="shared" si="20"/>
        <v>14.76786286861396</v>
      </c>
      <c r="H236" s="249">
        <f>H235+(G235*E236*'life-tables-test'!$C$66)</f>
        <v>85.23213713138604</v>
      </c>
      <c r="I236" s="516">
        <f t="shared" si="18"/>
        <v>100</v>
      </c>
      <c r="J236" s="153">
        <f>(G236*0)/(1+cDR)^'Markov Model_SA2'!cycle</f>
        <v>0</v>
      </c>
      <c r="K236" s="178">
        <f t="shared" si="15"/>
        <v>14.76786286861396</v>
      </c>
      <c r="L236" s="202">
        <f>(G236*(uPostT))/(1+oDR)^'Markov Model_SA2'!cycle</f>
        <v>6.3835324611072553</v>
      </c>
      <c r="M236" s="80"/>
      <c r="N236" s="3"/>
      <c r="O236" s="80"/>
      <c r="P236" s="173">
        <v>226</v>
      </c>
      <c r="Q236" s="165"/>
      <c r="R236" s="174">
        <v>2.2221246144455975E-3</v>
      </c>
      <c r="S236" s="502"/>
      <c r="T236" s="219">
        <f t="shared" si="19"/>
        <v>13.9130727764651</v>
      </c>
      <c r="U236" s="249">
        <f>U235+(T235*R236*'life-tables-test'!$C$66)</f>
        <v>86.0869272235349</v>
      </c>
      <c r="V236" s="516">
        <f t="shared" si="16"/>
        <v>100</v>
      </c>
      <c r="W236" s="153">
        <f>(T236*0)/(1+cDR)^'Markov Model_SA2'!cycle2</f>
        <v>0</v>
      </c>
      <c r="X236" s="178">
        <f t="shared" si="17"/>
        <v>13.9130727764651</v>
      </c>
      <c r="Y236" s="202">
        <f>(T236*(uPostT))/(1+oDR)^'Markov Model_SA2'!cycle</f>
        <v>6.0140422817081802</v>
      </c>
      <c r="Z236" s="80"/>
      <c r="AA236" s="3"/>
      <c r="AB236" s="3"/>
      <c r="AC236" s="14">
        <v>224</v>
      </c>
      <c r="AD236" s="14"/>
      <c r="AE236" s="14"/>
      <c r="AF236" s="3"/>
      <c r="AG236" s="3"/>
      <c r="AH236" s="3"/>
      <c r="AI236" s="14"/>
      <c r="AJ236" s="14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</row>
    <row r="237" spans="1:58" ht="14.25" customHeight="1" x14ac:dyDescent="0.2">
      <c r="A237" s="637"/>
      <c r="B237" s="417"/>
      <c r="C237" s="173">
        <v>227</v>
      </c>
      <c r="D237" s="165"/>
      <c r="E237" s="174">
        <v>2.2221246144455975E-3</v>
      </c>
      <c r="F237" s="502"/>
      <c r="G237" s="219">
        <f t="shared" si="20"/>
        <v>14.603782710698439</v>
      </c>
      <c r="H237" s="249">
        <f>H236+(G236*E237*'life-tables-test'!$C$66)</f>
        <v>85.396217289301561</v>
      </c>
      <c r="I237" s="516">
        <f t="shared" si="18"/>
        <v>100</v>
      </c>
      <c r="J237" s="153">
        <f>(G237*0)/(1+cDR)^'Markov Model_SA2'!cycle</f>
        <v>0</v>
      </c>
      <c r="K237" s="178">
        <f t="shared" si="15"/>
        <v>14.603782710698439</v>
      </c>
      <c r="L237" s="202">
        <f>(G237*(uPostT))/(1+oDR)^'Markov Model_SA2'!cycle</f>
        <v>6.2968652748753726</v>
      </c>
      <c r="M237" s="80"/>
      <c r="N237" s="3"/>
      <c r="O237" s="80"/>
      <c r="P237" s="173">
        <v>227</v>
      </c>
      <c r="Q237" s="165"/>
      <c r="R237" s="174">
        <v>2.2221246144455975E-3</v>
      </c>
      <c r="S237" s="502"/>
      <c r="T237" s="219">
        <f t="shared" si="19"/>
        <v>13.758489869069322</v>
      </c>
      <c r="U237" s="249">
        <f>U236+(T236*R237*'life-tables-test'!$C$66)</f>
        <v>86.241510130930678</v>
      </c>
      <c r="V237" s="516">
        <f t="shared" si="16"/>
        <v>100</v>
      </c>
      <c r="W237" s="153">
        <f>(T237*0)/(1+cDR)^'Markov Model_SA2'!cycle2</f>
        <v>0</v>
      </c>
      <c r="X237" s="178">
        <f t="shared" si="17"/>
        <v>13.758489869069322</v>
      </c>
      <c r="Y237" s="202">
        <f>(T237*(uPostT))/(1+oDR)^'Markov Model_SA2'!cycle</f>
        <v>5.9323915459109031</v>
      </c>
      <c r="Z237" s="80"/>
      <c r="AA237" s="3"/>
      <c r="AB237" s="3"/>
      <c r="AC237" s="14">
        <v>225</v>
      </c>
      <c r="AD237" s="14"/>
      <c r="AE237" s="14"/>
      <c r="AF237" s="3"/>
      <c r="AG237" s="3"/>
      <c r="AH237" s="3"/>
      <c r="AI237" s="14"/>
      <c r="AJ237" s="14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</row>
    <row r="238" spans="1:58" ht="14.25" customHeight="1" x14ac:dyDescent="0.2">
      <c r="A238" s="637"/>
      <c r="B238" s="417"/>
      <c r="C238" s="173">
        <v>228</v>
      </c>
      <c r="D238" s="165"/>
      <c r="E238" s="174">
        <v>2.2221246144455975E-3</v>
      </c>
      <c r="F238" s="502"/>
      <c r="G238" s="219">
        <f t="shared" si="20"/>
        <v>14.441525585571142</v>
      </c>
      <c r="H238" s="249">
        <f>H237+(G237*E238*'life-tables-test'!$C$66)</f>
        <v>85.558474414428858</v>
      </c>
      <c r="I238" s="516">
        <f t="shared" si="18"/>
        <v>100</v>
      </c>
      <c r="J238" s="153">
        <f>(G238*0)/(1+cDR)^'Markov Model_SA2'!cycle</f>
        <v>0</v>
      </c>
      <c r="K238" s="178">
        <f t="shared" si="15"/>
        <v>14.441525585571142</v>
      </c>
      <c r="L238" s="202">
        <f>(G238*(uPostT))/(1+oDR)^'Markov Model_SA2'!cycle</f>
        <v>6.2113747414160869</v>
      </c>
      <c r="M238" s="80"/>
      <c r="N238" s="3"/>
      <c r="O238" s="80"/>
      <c r="P238" s="173">
        <v>228</v>
      </c>
      <c r="Q238" s="165"/>
      <c r="R238" s="174">
        <v>2.2221246144455975E-3</v>
      </c>
      <c r="S238" s="502"/>
      <c r="T238" s="219">
        <f t="shared" si="19"/>
        <v>13.60562447409103</v>
      </c>
      <c r="U238" s="249">
        <f>U237+(T237*R238*'life-tables-test'!$C$66)</f>
        <v>86.39437552590897</v>
      </c>
      <c r="V238" s="516">
        <f t="shared" si="16"/>
        <v>100</v>
      </c>
      <c r="W238" s="153">
        <f>(T238*0)/(1+cDR)^'Markov Model_SA2'!cycle2</f>
        <v>0</v>
      </c>
      <c r="X238" s="178">
        <f t="shared" si="17"/>
        <v>13.60562447409103</v>
      </c>
      <c r="Y238" s="202">
        <f>(T238*(uPostT))/(1+oDR)^'Markov Model_SA2'!cycle</f>
        <v>5.8518493561370724</v>
      </c>
      <c r="Z238" s="80"/>
      <c r="AA238" s="3"/>
      <c r="AB238" s="3"/>
      <c r="AC238" s="14">
        <v>226</v>
      </c>
      <c r="AD238" s="14"/>
      <c r="AE238" s="14"/>
      <c r="AF238" s="3"/>
      <c r="AG238" s="3"/>
      <c r="AH238" s="3"/>
      <c r="AI238" s="14"/>
      <c r="AJ238" s="14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</row>
    <row r="239" spans="1:58" ht="14.25" customHeight="1" x14ac:dyDescent="0.2">
      <c r="A239" s="606"/>
      <c r="B239" s="417"/>
      <c r="C239" s="173">
        <v>229</v>
      </c>
      <c r="D239" s="504"/>
      <c r="E239" s="174">
        <v>2.2221246144455975E-3</v>
      </c>
      <c r="F239" s="505"/>
      <c r="G239" s="219">
        <f t="shared" si="20"/>
        <v>14.281071238201918</v>
      </c>
      <c r="H239" s="249">
        <f>H238+(G238*E239*'life-tables-test'!$C$66)</f>
        <v>85.718928761798082</v>
      </c>
      <c r="I239" s="516">
        <f t="shared" si="18"/>
        <v>100</v>
      </c>
      <c r="J239" s="180">
        <f>(G239*0)/(1+cDR)^'Markov Model_SA2'!cycle</f>
        <v>0</v>
      </c>
      <c r="K239" s="176">
        <f t="shared" si="15"/>
        <v>14.281071238201918</v>
      </c>
      <c r="L239" s="202">
        <f>(G239*(uPostT))/(1+oDR)^'Markov Model_SA2'!cycle</f>
        <v>6.1270448856896271</v>
      </c>
      <c r="M239" s="80"/>
      <c r="N239" s="3"/>
      <c r="O239" s="80"/>
      <c r="P239" s="173">
        <v>229</v>
      </c>
      <c r="Q239" s="504"/>
      <c r="R239" s="174">
        <v>2.2221246144455975E-3</v>
      </c>
      <c r="S239" s="505"/>
      <c r="T239" s="219">
        <f t="shared" si="19"/>
        <v>13.454457508897121</v>
      </c>
      <c r="U239" s="249">
        <f>U238+(T238*R239*'life-tables-test'!$C$66)</f>
        <v>86.545542491102879</v>
      </c>
      <c r="V239" s="516">
        <f t="shared" si="16"/>
        <v>100</v>
      </c>
      <c r="W239" s="180">
        <f>(T239*0)/(1+cDR)^'Markov Model_SA2'!cycle2</f>
        <v>0</v>
      </c>
      <c r="X239" s="176">
        <f t="shared" si="17"/>
        <v>13.454457508897121</v>
      </c>
      <c r="Y239" s="202">
        <f>(T239*(uPostT))/(1+oDR)^'Markov Model_SA2'!cycle</f>
        <v>5.7724006620105461</v>
      </c>
      <c r="Z239" s="80"/>
      <c r="AA239" s="3"/>
      <c r="AB239" s="3"/>
      <c r="AC239" s="14">
        <v>227</v>
      </c>
      <c r="AD239" s="14"/>
      <c r="AE239" s="14"/>
      <c r="AF239" s="3"/>
      <c r="AG239" s="3"/>
      <c r="AH239" s="3"/>
      <c r="AI239" s="14"/>
      <c r="AJ239" s="14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</row>
    <row r="240" spans="1:58" ht="14.25" customHeight="1" x14ac:dyDescent="0.25">
      <c r="A240" s="637" t="s">
        <v>561</v>
      </c>
      <c r="B240" s="417"/>
      <c r="C240" s="506">
        <v>230</v>
      </c>
      <c r="D240" s="506"/>
      <c r="E240" s="507">
        <v>2.2221246144455975E-3</v>
      </c>
      <c r="F240" s="508"/>
      <c r="G240" s="509">
        <f t="shared" si="20"/>
        <v>14.122399638606623</v>
      </c>
      <c r="H240" s="510">
        <f>H239+(G239*E240*'life-tables-test'!$C$66)</f>
        <v>85.877600361393377</v>
      </c>
      <c r="I240" s="518">
        <f t="shared" si="18"/>
        <v>100</v>
      </c>
      <c r="J240" s="511">
        <f>(G240*0)/(1+cDR)^'Markov Model_SA2'!cycle</f>
        <v>0</v>
      </c>
      <c r="K240" s="512">
        <f t="shared" si="15"/>
        <v>14.122399638606623</v>
      </c>
      <c r="L240" s="513">
        <f>(G240*(uPostT))/(1+oDR)^'Markov Model_SA2'!cycle</f>
        <v>6.0438599495442515</v>
      </c>
      <c r="M240" s="80"/>
      <c r="N240" s="3"/>
      <c r="O240" s="80"/>
      <c r="P240" s="506">
        <v>230</v>
      </c>
      <c r="Q240" s="506"/>
      <c r="R240" s="507">
        <v>2.2221246144455975E-3</v>
      </c>
      <c r="S240" s="508"/>
      <c r="T240" s="509">
        <f t="shared" si="19"/>
        <v>13.304970102874464</v>
      </c>
      <c r="U240" s="510">
        <f>U239+(T239*R240*'life-tables-test'!$C$66)</f>
        <v>86.695029897125536</v>
      </c>
      <c r="V240" s="518">
        <f t="shared" si="16"/>
        <v>100</v>
      </c>
      <c r="W240" s="511">
        <f>(T240*0)/(1+cDR)^'Markov Model_SA2'!cycle2</f>
        <v>0</v>
      </c>
      <c r="X240" s="512">
        <f t="shared" si="17"/>
        <v>13.304970102874464</v>
      </c>
      <c r="Y240" s="513">
        <f>(T240*(uPostT))/(1+oDR)^'Markov Model_SA2'!cycle</f>
        <v>5.6940306174893482</v>
      </c>
      <c r="Z240" s="80"/>
      <c r="AA240" s="3"/>
      <c r="AB240" s="3"/>
      <c r="AC240" s="14">
        <v>228</v>
      </c>
      <c r="AD240" s="14"/>
      <c r="AE240" s="14"/>
      <c r="AF240" s="3"/>
      <c r="AG240" s="3"/>
      <c r="AH240" s="3"/>
      <c r="AI240" s="14"/>
      <c r="AJ240" s="14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</row>
    <row r="241" spans="1:58" ht="14.25" customHeight="1" x14ac:dyDescent="0.2">
      <c r="A241" s="637"/>
      <c r="B241" s="417"/>
      <c r="C241" s="173">
        <v>231</v>
      </c>
      <c r="D241" s="165"/>
      <c r="E241" s="174">
        <v>2.4529919863351957E-3</v>
      </c>
      <c r="F241" s="502"/>
      <c r="G241" s="219">
        <f t="shared" si="20"/>
        <v>13.949188972900004</v>
      </c>
      <c r="H241" s="249">
        <f>H240+(G240*E241*'life-tables-test'!$C$66)</f>
        <v>86.050811027099996</v>
      </c>
      <c r="I241" s="516">
        <f t="shared" si="18"/>
        <v>100</v>
      </c>
      <c r="J241" s="153">
        <f>(G241*0)/(1+cDR)^'Markov Model_SA2'!cycle</f>
        <v>0</v>
      </c>
      <c r="K241" s="178">
        <f t="shared" si="15"/>
        <v>13.949188972900004</v>
      </c>
      <c r="L241" s="202">
        <f>(G241*(uPostT))/(1+oDR)^'Markov Model_SA2'!cycle</f>
        <v>5.9548451365889585</v>
      </c>
      <c r="M241" s="80"/>
      <c r="N241" s="3"/>
      <c r="O241" s="80"/>
      <c r="P241" s="173">
        <v>231</v>
      </c>
      <c r="Q241" s="165"/>
      <c r="R241" s="174">
        <v>2.4529919863351957E-3</v>
      </c>
      <c r="S241" s="502"/>
      <c r="T241" s="219">
        <f t="shared" si="19"/>
        <v>13.141785177670556</v>
      </c>
      <c r="U241" s="249">
        <f>U240+(T240*R241*'life-tables-test'!$C$66)</f>
        <v>86.858214822329444</v>
      </c>
      <c r="V241" s="516">
        <f t="shared" si="16"/>
        <v>100</v>
      </c>
      <c r="W241" s="153">
        <f>(T241*0)/(1+cDR)^'Markov Model_SA2'!cycle2</f>
        <v>0</v>
      </c>
      <c r="X241" s="178">
        <f t="shared" si="17"/>
        <v>13.141785177670556</v>
      </c>
      <c r="Y241" s="202">
        <f>(T241*(uPostT))/(1+oDR)^'Markov Model_SA2'!cycle</f>
        <v>5.6101681397666852</v>
      </c>
      <c r="Z241" s="80"/>
      <c r="AA241" s="3"/>
      <c r="AB241" s="3"/>
      <c r="AC241" s="14">
        <v>229</v>
      </c>
      <c r="AD241" s="14"/>
      <c r="AE241" s="14"/>
      <c r="AF241" s="3"/>
      <c r="AG241" s="3"/>
      <c r="AH241" s="3"/>
      <c r="AI241" s="14"/>
      <c r="AJ241" s="14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</row>
    <row r="242" spans="1:58" ht="14.25" customHeight="1" x14ac:dyDescent="0.2">
      <c r="A242" s="637"/>
      <c r="B242" s="417"/>
      <c r="C242" s="173">
        <v>232</v>
      </c>
      <c r="D242" s="165"/>
      <c r="E242" s="174">
        <v>2.4529919863351957E-3</v>
      </c>
      <c r="F242" s="502"/>
      <c r="G242" s="219">
        <f t="shared" si="20"/>
        <v>13.77810272906801</v>
      </c>
      <c r="H242" s="249">
        <f>H241+(G241*E242*'life-tables-test'!$C$66)</f>
        <v>86.22189727093199</v>
      </c>
      <c r="I242" s="516">
        <f t="shared" si="18"/>
        <v>100</v>
      </c>
      <c r="J242" s="153">
        <f>(G242*0)/(1+cDR)^'Markov Model_SA2'!cycle</f>
        <v>0</v>
      </c>
      <c r="K242" s="178">
        <f t="shared" ref="K242:K305" si="21">G242</f>
        <v>13.77810272906801</v>
      </c>
      <c r="L242" s="202">
        <f>(G242*(uPostT))/(1+oDR)^'Markov Model_SA2'!cycle</f>
        <v>5.8671413462238009</v>
      </c>
      <c r="M242" s="80"/>
      <c r="N242" s="3"/>
      <c r="O242" s="80"/>
      <c r="P242" s="173">
        <v>232</v>
      </c>
      <c r="Q242" s="165"/>
      <c r="R242" s="174">
        <v>2.4529919863351957E-3</v>
      </c>
      <c r="S242" s="502"/>
      <c r="T242" s="219">
        <f t="shared" si="19"/>
        <v>12.980601709035739</v>
      </c>
      <c r="U242" s="249">
        <f>U241+(T241*R242*'life-tables-test'!$C$66)</f>
        <v>87.019398290964261</v>
      </c>
      <c r="V242" s="516">
        <f t="shared" si="16"/>
        <v>100</v>
      </c>
      <c r="W242" s="153">
        <f>(T242*0)/(1+cDR)^'Markov Model_SA2'!cycle2</f>
        <v>0</v>
      </c>
      <c r="X242" s="178">
        <f t="shared" si="17"/>
        <v>12.980601709035739</v>
      </c>
      <c r="Y242" s="202">
        <f>(T242*(uPostT))/(1+oDR)^'Markov Model_SA2'!cycle</f>
        <v>5.5275408003216802</v>
      </c>
      <c r="Z242" s="80"/>
      <c r="AA242" s="3"/>
      <c r="AB242" s="3"/>
      <c r="AC242" s="14">
        <v>230</v>
      </c>
      <c r="AD242" s="14"/>
      <c r="AE242" s="14"/>
      <c r="AF242" s="3"/>
      <c r="AG242" s="3"/>
      <c r="AH242" s="3"/>
      <c r="AI242" s="14"/>
      <c r="AJ242" s="14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</row>
    <row r="243" spans="1:58" ht="14.25" customHeight="1" x14ac:dyDescent="0.2">
      <c r="A243" s="637"/>
      <c r="B243" s="417"/>
      <c r="C243" s="173">
        <v>233</v>
      </c>
      <c r="D243" s="165"/>
      <c r="E243" s="174">
        <v>2.4529919863351957E-3</v>
      </c>
      <c r="F243" s="502"/>
      <c r="G243" s="219">
        <f t="shared" si="20"/>
        <v>13.609114851161479</v>
      </c>
      <c r="H243" s="249">
        <f>H242+(G242*E243*'life-tables-test'!$C$66)</f>
        <v>86.390885148838521</v>
      </c>
      <c r="I243" s="516">
        <f t="shared" si="18"/>
        <v>100</v>
      </c>
      <c r="J243" s="153">
        <f>(G243*0)/(1+cDR)^'Markov Model_SA2'!cycle</f>
        <v>0</v>
      </c>
      <c r="K243" s="178">
        <f t="shared" si="21"/>
        <v>13.609114851161479</v>
      </c>
      <c r="L243" s="202">
        <f>(G243*(uPostT))/(1+oDR)^'Markov Model_SA2'!cycle</f>
        <v>5.7807292695250752</v>
      </c>
      <c r="M243" s="80"/>
      <c r="N243" s="3"/>
      <c r="O243" s="80"/>
      <c r="P243" s="173">
        <v>233</v>
      </c>
      <c r="Q243" s="165"/>
      <c r="R243" s="174">
        <v>2.4529919863351957E-3</v>
      </c>
      <c r="S243" s="502"/>
      <c r="T243" s="219">
        <f t="shared" si="19"/>
        <v>12.821395149185363</v>
      </c>
      <c r="U243" s="249">
        <f>U242+(T242*R243*'life-tables-test'!$C$66)</f>
        <v>87.178604850814637</v>
      </c>
      <c r="V243" s="516">
        <f t="shared" si="16"/>
        <v>100</v>
      </c>
      <c r="W243" s="153">
        <f>(T243*0)/(1+cDR)^'Markov Model_SA2'!cycle2</f>
        <v>0</v>
      </c>
      <c r="X243" s="178">
        <f t="shared" si="17"/>
        <v>12.821395149185363</v>
      </c>
      <c r="Y243" s="202">
        <f>(T243*(uPostT))/(1+oDR)^'Markov Model_SA2'!cycle</f>
        <v>5.4461304078653638</v>
      </c>
      <c r="Z243" s="80"/>
      <c r="AA243" s="3"/>
      <c r="AB243" s="3"/>
      <c r="AC243" s="14">
        <v>231</v>
      </c>
      <c r="AD243" s="14"/>
      <c r="AE243" s="14"/>
      <c r="AF243" s="3"/>
      <c r="AG243" s="3"/>
      <c r="AH243" s="3"/>
      <c r="AI243" s="14"/>
      <c r="AJ243" s="14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</row>
    <row r="244" spans="1:58" ht="14.25" customHeight="1" x14ac:dyDescent="0.2">
      <c r="A244" s="637"/>
      <c r="B244" s="417"/>
      <c r="C244" s="173">
        <v>234</v>
      </c>
      <c r="D244" s="165"/>
      <c r="E244" s="174">
        <v>2.4529919863351957E-3</v>
      </c>
      <c r="F244" s="502"/>
      <c r="G244" s="219">
        <f t="shared" si="20"/>
        <v>13.442199602806411</v>
      </c>
      <c r="H244" s="249">
        <f>H243+(G243*E244*'life-tables-test'!$C$66)</f>
        <v>86.557800397193589</v>
      </c>
      <c r="I244" s="516">
        <f t="shared" si="18"/>
        <v>100</v>
      </c>
      <c r="J244" s="153">
        <f>(G244*0)/(1+cDR)^'Markov Model_SA2'!cycle</f>
        <v>0</v>
      </c>
      <c r="K244" s="178">
        <f t="shared" si="21"/>
        <v>13.442199602806411</v>
      </c>
      <c r="L244" s="202">
        <f>(G244*(uPostT))/(1+oDR)^'Markov Model_SA2'!cycle</f>
        <v>5.6955898819536035</v>
      </c>
      <c r="M244" s="80"/>
      <c r="N244" s="3"/>
      <c r="O244" s="80"/>
      <c r="P244" s="173">
        <v>234</v>
      </c>
      <c r="Q244" s="165"/>
      <c r="R244" s="174">
        <v>2.4529919863351957E-3</v>
      </c>
      <c r="S244" s="502"/>
      <c r="T244" s="219">
        <f t="shared" si="19"/>
        <v>12.664141251412417</v>
      </c>
      <c r="U244" s="249">
        <f>U243+(T243*R244*'life-tables-test'!$C$66)</f>
        <v>87.335858748587583</v>
      </c>
      <c r="V244" s="516">
        <f t="shared" si="16"/>
        <v>100</v>
      </c>
      <c r="W244" s="153">
        <f>(T244*0)/(1+cDR)^'Markov Model_SA2'!cycle2</f>
        <v>0</v>
      </c>
      <c r="X244" s="178">
        <f t="shared" si="17"/>
        <v>12.664141251412417</v>
      </c>
      <c r="Y244" s="202">
        <f>(T244*(uPostT))/(1+oDR)^'Markov Model_SA2'!cycle</f>
        <v>5.3659190390326312</v>
      </c>
      <c r="Z244" s="80"/>
      <c r="AA244" s="3"/>
      <c r="AB244" s="3"/>
      <c r="AC244" s="14">
        <v>232</v>
      </c>
      <c r="AD244" s="14"/>
      <c r="AE244" s="14"/>
      <c r="AF244" s="3"/>
      <c r="AG244" s="3"/>
      <c r="AH244" s="3"/>
      <c r="AI244" s="14"/>
      <c r="AJ244" s="14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</row>
    <row r="245" spans="1:58" ht="14.25" customHeight="1" x14ac:dyDescent="0.2">
      <c r="A245" s="637"/>
      <c r="B245" s="417"/>
      <c r="C245" s="173">
        <v>235</v>
      </c>
      <c r="D245" s="165"/>
      <c r="E245" s="174">
        <v>2.4529919863351957E-3</v>
      </c>
      <c r="F245" s="502"/>
      <c r="G245" s="219">
        <f t="shared" si="20"/>
        <v>13.277331563284406</v>
      </c>
      <c r="H245" s="249">
        <f>H244+(G244*E245*'life-tables-test'!$C$66)</f>
        <v>86.722668436715594</v>
      </c>
      <c r="I245" s="516">
        <f t="shared" si="18"/>
        <v>100</v>
      </c>
      <c r="J245" s="153">
        <f>(G245*0)/(1+cDR)^'Markov Model_SA2'!cycle</f>
        <v>0</v>
      </c>
      <c r="K245" s="178">
        <f t="shared" si="21"/>
        <v>13.277331563284406</v>
      </c>
      <c r="L245" s="202">
        <f>(G245*(uPostT))/(1+oDR)^'Markov Model_SA2'!cycle</f>
        <v>5.61170443916627</v>
      </c>
      <c r="M245" s="80"/>
      <c r="N245" s="3"/>
      <c r="O245" s="80"/>
      <c r="P245" s="173">
        <v>235</v>
      </c>
      <c r="Q245" s="165"/>
      <c r="R245" s="174">
        <v>2.4529919863351957E-3</v>
      </c>
      <c r="S245" s="502"/>
      <c r="T245" s="219">
        <f t="shared" si="19"/>
        <v>12.508816066394758</v>
      </c>
      <c r="U245" s="249">
        <f>U244+(T244*R245*'life-tables-test'!$C$66)</f>
        <v>87.491183933605242</v>
      </c>
      <c r="V245" s="516">
        <f t="shared" si="16"/>
        <v>100</v>
      </c>
      <c r="W245" s="153">
        <f>(T245*0)/(1+cDR)^'Markov Model_SA2'!cycle2</f>
        <v>0</v>
      </c>
      <c r="X245" s="178">
        <f t="shared" si="17"/>
        <v>12.508816066394758</v>
      </c>
      <c r="Y245" s="202">
        <f>(T245*(uPostT))/(1+oDR)^'Markov Model_SA2'!cycle</f>
        <v>5.2868890344361885</v>
      </c>
      <c r="Z245" s="80"/>
      <c r="AA245" s="3"/>
      <c r="AB245" s="3"/>
      <c r="AC245" s="14">
        <v>233</v>
      </c>
      <c r="AD245" s="14"/>
      <c r="AE245" s="14"/>
      <c r="AF245" s="3"/>
      <c r="AG245" s="3"/>
      <c r="AH245" s="3"/>
      <c r="AI245" s="14"/>
      <c r="AJ245" s="14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</row>
    <row r="246" spans="1:58" ht="14.25" customHeight="1" x14ac:dyDescent="0.2">
      <c r="A246" s="637"/>
      <c r="B246" s="417"/>
      <c r="C246" s="173">
        <v>236</v>
      </c>
      <c r="D246" s="165"/>
      <c r="E246" s="174">
        <v>2.4529919863351957E-3</v>
      </c>
      <c r="F246" s="502"/>
      <c r="G246" s="219">
        <f t="shared" si="20"/>
        <v>13.114485623661153</v>
      </c>
      <c r="H246" s="249">
        <f>H245+(G245*E246*'life-tables-test'!$C$66)</f>
        <v>86.885514376338847</v>
      </c>
      <c r="I246" s="516">
        <f t="shared" si="18"/>
        <v>100</v>
      </c>
      <c r="J246" s="153">
        <f>(G246*0)/(1+cDR)^'Markov Model_SA2'!cycle</f>
        <v>0</v>
      </c>
      <c r="K246" s="178">
        <f t="shared" si="21"/>
        <v>13.114485623661153</v>
      </c>
      <c r="L246" s="202">
        <f>(G246*(uPostT))/(1+oDR)^'Markov Model_SA2'!cycle</f>
        <v>5.5290544728892677</v>
      </c>
      <c r="M246" s="80"/>
      <c r="N246" s="3"/>
      <c r="O246" s="80"/>
      <c r="P246" s="173">
        <v>236</v>
      </c>
      <c r="Q246" s="165"/>
      <c r="R246" s="174">
        <v>2.4529919863351957E-3</v>
      </c>
      <c r="S246" s="502"/>
      <c r="T246" s="219">
        <f t="shared" si="19"/>
        <v>12.355395938547716</v>
      </c>
      <c r="U246" s="249">
        <f>U245+(T245*R246*'life-tables-test'!$C$66)</f>
        <v>87.644604061452284</v>
      </c>
      <c r="V246" s="516">
        <f t="shared" si="16"/>
        <v>100</v>
      </c>
      <c r="W246" s="153">
        <f>(T246*0)/(1+cDR)^'Markov Model_SA2'!cycle2</f>
        <v>0</v>
      </c>
      <c r="X246" s="178">
        <f t="shared" si="17"/>
        <v>12.355395938547716</v>
      </c>
      <c r="Y246" s="202">
        <f>(T246*(uPostT))/(1+oDR)^'Markov Model_SA2'!cycle</f>
        <v>5.2090229947786622</v>
      </c>
      <c r="Z246" s="80"/>
      <c r="AA246" s="3"/>
      <c r="AB246" s="3"/>
      <c r="AC246" s="14">
        <v>234</v>
      </c>
      <c r="AD246" s="14"/>
      <c r="AE246" s="14"/>
      <c r="AF246" s="3"/>
      <c r="AG246" s="3"/>
      <c r="AH246" s="3"/>
      <c r="AI246" s="14"/>
      <c r="AJ246" s="14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</row>
    <row r="247" spans="1:58" ht="14.25" customHeight="1" x14ac:dyDescent="0.2">
      <c r="A247" s="637"/>
      <c r="B247" s="417"/>
      <c r="C247" s="173">
        <v>237</v>
      </c>
      <c r="D247" s="165"/>
      <c r="E247" s="174">
        <v>2.4529919863351957E-3</v>
      </c>
      <c r="F247" s="502"/>
      <c r="G247" s="219">
        <f t="shared" si="20"/>
        <v>12.953636982962408</v>
      </c>
      <c r="H247" s="249">
        <f>H246+(G246*E247*'life-tables-test'!$C$66)</f>
        <v>87.046363017037592</v>
      </c>
      <c r="I247" s="516">
        <f t="shared" si="18"/>
        <v>100</v>
      </c>
      <c r="J247" s="153">
        <f>(G247*0)/(1+cDR)^'Markov Model_SA2'!cycle</f>
        <v>0</v>
      </c>
      <c r="K247" s="178">
        <f t="shared" si="21"/>
        <v>12.953636982962408</v>
      </c>
      <c r="L247" s="202">
        <f>(G247*(uPostT))/(1+oDR)^'Markov Model_SA2'!cycle</f>
        <v>5.4476217868520953</v>
      </c>
      <c r="M247" s="80"/>
      <c r="N247" s="3"/>
      <c r="O247" s="80"/>
      <c r="P247" s="173">
        <v>237</v>
      </c>
      <c r="Q247" s="165"/>
      <c r="R247" s="174">
        <v>2.4529919863351957E-3</v>
      </c>
      <c r="S247" s="502"/>
      <c r="T247" s="219">
        <f t="shared" si="19"/>
        <v>12.203857502421442</v>
      </c>
      <c r="U247" s="249">
        <f>U246+(T246*R247*'life-tables-test'!$C$66)</f>
        <v>87.796142497578558</v>
      </c>
      <c r="V247" s="516">
        <f t="shared" si="16"/>
        <v>100</v>
      </c>
      <c r="W247" s="153">
        <f>(T247*0)/(1+cDR)^'Markov Model_SA2'!cycle2</f>
        <v>0</v>
      </c>
      <c r="X247" s="178">
        <f t="shared" si="17"/>
        <v>12.203857502421442</v>
      </c>
      <c r="Y247" s="202">
        <f>(T247*(uPostT))/(1+oDR)^'Markov Model_SA2'!cycle</f>
        <v>5.1323037770219706</v>
      </c>
      <c r="Z247" s="80"/>
      <c r="AA247" s="3"/>
      <c r="AB247" s="3"/>
      <c r="AC247" s="14">
        <v>235</v>
      </c>
      <c r="AD247" s="14"/>
      <c r="AE247" s="14"/>
      <c r="AF247" s="3"/>
      <c r="AG247" s="3"/>
      <c r="AH247" s="3"/>
      <c r="AI247" s="14"/>
      <c r="AJ247" s="14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</row>
    <row r="248" spans="1:58" ht="14.25" customHeight="1" x14ac:dyDescent="0.2">
      <c r="A248" s="637"/>
      <c r="B248" s="417"/>
      <c r="C248" s="173">
        <v>238</v>
      </c>
      <c r="D248" s="165"/>
      <c r="E248" s="174">
        <v>2.4529919863351957E-3</v>
      </c>
      <c r="F248" s="502"/>
      <c r="G248" s="219">
        <f t="shared" si="20"/>
        <v>12.794761144396901</v>
      </c>
      <c r="H248" s="249">
        <f>H247+(G247*E248*'life-tables-test'!$C$66)</f>
        <v>87.205238855603099</v>
      </c>
      <c r="I248" s="516">
        <f t="shared" si="18"/>
        <v>100</v>
      </c>
      <c r="J248" s="153">
        <f>(G248*0)/(1+cDR)^'Markov Model_SA2'!cycle</f>
        <v>0</v>
      </c>
      <c r="K248" s="178">
        <f t="shared" si="21"/>
        <v>12.794761144396901</v>
      </c>
      <c r="L248" s="202">
        <f>(G248*(uPostT))/(1+oDR)^'Markov Model_SA2'!cycle</f>
        <v>5.3673884527814799</v>
      </c>
      <c r="M248" s="80"/>
      <c r="N248" s="3"/>
      <c r="O248" s="80"/>
      <c r="P248" s="173">
        <v>238</v>
      </c>
      <c r="Q248" s="165"/>
      <c r="R248" s="174">
        <v>2.4529919863351957E-3</v>
      </c>
      <c r="S248" s="502"/>
      <c r="T248" s="219">
        <f t="shared" si="19"/>
        <v>12.054177679142356</v>
      </c>
      <c r="U248" s="249">
        <f>U247+(T247*R248*'life-tables-test'!$C$66)</f>
        <v>87.945822320857644</v>
      </c>
      <c r="V248" s="516">
        <f t="shared" ref="V248:V311" si="22">SUM(T248:U248)</f>
        <v>100</v>
      </c>
      <c r="W248" s="153">
        <f>(T248*0)/(1+cDR)^'Markov Model_SA2'!cycle2</f>
        <v>0</v>
      </c>
      <c r="X248" s="178">
        <f t="shared" ref="X248:X311" si="23">T248</f>
        <v>12.054177679142356</v>
      </c>
      <c r="Y248" s="202">
        <f>(T248*(uPostT))/(1+oDR)^'Markov Model_SA2'!cycle</f>
        <v>5.0567144906130741</v>
      </c>
      <c r="Z248" s="80"/>
      <c r="AA248" s="3"/>
      <c r="AB248" s="3"/>
      <c r="AC248" s="14">
        <v>236</v>
      </c>
      <c r="AD248" s="14"/>
      <c r="AE248" s="14"/>
      <c r="AF248" s="3"/>
      <c r="AG248" s="3"/>
      <c r="AH248" s="3"/>
      <c r="AI248" s="14"/>
      <c r="AJ248" s="14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</row>
    <row r="249" spans="1:58" ht="14.25" customHeight="1" x14ac:dyDescent="0.2">
      <c r="A249" s="637"/>
      <c r="B249" s="417"/>
      <c r="C249" s="173">
        <v>239</v>
      </c>
      <c r="D249" s="165"/>
      <c r="E249" s="174">
        <v>2.4529919863351957E-3</v>
      </c>
      <c r="F249" s="502"/>
      <c r="G249" s="219">
        <f t="shared" si="20"/>
        <v>12.637833911625506</v>
      </c>
      <c r="H249" s="249">
        <f>H248+(G248*E249*'life-tables-test'!$C$66)</f>
        <v>87.362166088374494</v>
      </c>
      <c r="I249" s="516">
        <f t="shared" ref="I249:I312" si="24">SUM(G249:H249)</f>
        <v>100</v>
      </c>
      <c r="J249" s="153">
        <f>(G249*0)/(1+cDR)^'Markov Model_SA2'!cycle</f>
        <v>0</v>
      </c>
      <c r="K249" s="178">
        <f t="shared" si="21"/>
        <v>12.637833911625506</v>
      </c>
      <c r="L249" s="202">
        <f>(G249*(uPostT))/(1+oDR)^'Markov Model_SA2'!cycle</f>
        <v>5.2883368064542378</v>
      </c>
      <c r="M249" s="80"/>
      <c r="N249" s="3"/>
      <c r="O249" s="80"/>
      <c r="P249" s="173">
        <v>239</v>
      </c>
      <c r="Q249" s="165"/>
      <c r="R249" s="174">
        <v>2.4529919863351957E-3</v>
      </c>
      <c r="S249" s="502"/>
      <c r="T249" s="219">
        <f t="shared" ref="T249:T312" si="25">$T$10-U249</f>
        <v>11.90633367289837</v>
      </c>
      <c r="U249" s="249">
        <f>U248+(T248*R249*'life-tables-test'!$C$66)</f>
        <v>88.09366632710163</v>
      </c>
      <c r="V249" s="516">
        <f t="shared" si="22"/>
        <v>100</v>
      </c>
      <c r="W249" s="153">
        <f>(T249*0)/(1+cDR)^'Markov Model_SA2'!cycle2</f>
        <v>0</v>
      </c>
      <c r="X249" s="178">
        <f t="shared" si="23"/>
        <v>11.90633367289837</v>
      </c>
      <c r="Y249" s="202">
        <f>(T249*(uPostT))/(1+oDR)^'Markov Model_SA2'!cycle</f>
        <v>4.9822384937653652</v>
      </c>
      <c r="Z249" s="80"/>
      <c r="AA249" s="3"/>
      <c r="AB249" s="3"/>
      <c r="AC249" s="14">
        <v>237</v>
      </c>
      <c r="AD249" s="14"/>
      <c r="AE249" s="14"/>
      <c r="AF249" s="3"/>
      <c r="AG249" s="3"/>
      <c r="AH249" s="3"/>
      <c r="AI249" s="14"/>
      <c r="AJ249" s="14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</row>
    <row r="250" spans="1:58" ht="14.25" customHeight="1" x14ac:dyDescent="0.2">
      <c r="A250" s="637"/>
      <c r="B250" s="417"/>
      <c r="C250" s="173">
        <v>240</v>
      </c>
      <c r="D250" s="165"/>
      <c r="E250" s="174">
        <v>2.4529919863351957E-3</v>
      </c>
      <c r="F250" s="502"/>
      <c r="G250" s="219">
        <f t="shared" si="20"/>
        <v>12.482831385076238</v>
      </c>
      <c r="H250" s="249">
        <f>H249+(G249*E250*'life-tables-test'!$C$66)</f>
        <v>87.517168614923762</v>
      </c>
      <c r="I250" s="516">
        <f t="shared" si="24"/>
        <v>100</v>
      </c>
      <c r="J250" s="153">
        <f>(G250*0)/(1+cDR)^'Markov Model_SA2'!cycle</f>
        <v>0</v>
      </c>
      <c r="K250" s="178">
        <f t="shared" si="21"/>
        <v>12.482831385076238</v>
      </c>
      <c r="L250" s="202">
        <f>(G250*(uPostT))/(1+oDR)^'Markov Model_SA2'!cycle</f>
        <v>5.2104494438083453</v>
      </c>
      <c r="M250" s="80"/>
      <c r="N250" s="3"/>
      <c r="O250" s="80"/>
      <c r="P250" s="173">
        <v>240</v>
      </c>
      <c r="Q250" s="165"/>
      <c r="R250" s="174">
        <v>2.4529919863351957E-3</v>
      </c>
      <c r="S250" s="502"/>
      <c r="T250" s="219">
        <f t="shared" si="25"/>
        <v>11.760302967467112</v>
      </c>
      <c r="U250" s="249">
        <f>U249+(T249*R250*'life-tables-test'!$C$66)</f>
        <v>88.239697032532888</v>
      </c>
      <c r="V250" s="516">
        <f t="shared" si="22"/>
        <v>100</v>
      </c>
      <c r="W250" s="153">
        <f>(T250*0)/(1+cDR)^'Markov Model_SA2'!cycle2</f>
        <v>0</v>
      </c>
      <c r="X250" s="178">
        <f t="shared" si="23"/>
        <v>11.760302967467112</v>
      </c>
      <c r="Y250" s="202">
        <f>(T250*(uPostT))/(1+oDR)^'Markov Model_SA2'!cycle</f>
        <v>4.9088593897947925</v>
      </c>
      <c r="Z250" s="80"/>
      <c r="AA250" s="3"/>
      <c r="AB250" s="3"/>
      <c r="AC250" s="14">
        <v>238</v>
      </c>
      <c r="AD250" s="14"/>
      <c r="AE250" s="14"/>
      <c r="AF250" s="3"/>
      <c r="AG250" s="3"/>
      <c r="AH250" s="3"/>
      <c r="AI250" s="14"/>
      <c r="AJ250" s="14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</row>
    <row r="251" spans="1:58" ht="14.25" customHeight="1" x14ac:dyDescent="0.2">
      <c r="A251" s="606"/>
      <c r="B251" s="417"/>
      <c r="C251" s="173">
        <v>241</v>
      </c>
      <c r="D251" s="504"/>
      <c r="E251" s="174">
        <v>2.4529919863351957E-3</v>
      </c>
      <c r="F251" s="505"/>
      <c r="G251" s="219">
        <f t="shared" si="20"/>
        <v>12.329729958304412</v>
      </c>
      <c r="H251" s="249">
        <f>H250+(G250*E251*'life-tables-test'!$C$66)</f>
        <v>87.670270041695588</v>
      </c>
      <c r="I251" s="516">
        <f t="shared" si="24"/>
        <v>100</v>
      </c>
      <c r="J251" s="180">
        <f>(G251*0)/(1+cDR)^'Markov Model_SA2'!cycle</f>
        <v>0</v>
      </c>
      <c r="K251" s="176">
        <f t="shared" si="21"/>
        <v>12.329729958304412</v>
      </c>
      <c r="L251" s="202">
        <f>(G251*(uPostT))/(1+oDR)^'Markov Model_SA2'!cycle</f>
        <v>5.1337092171112353</v>
      </c>
      <c r="M251" s="80"/>
      <c r="N251" s="3"/>
      <c r="O251" s="80"/>
      <c r="P251" s="173">
        <v>241</v>
      </c>
      <c r="Q251" s="504"/>
      <c r="R251" s="174">
        <v>2.4529919863351957E-3</v>
      </c>
      <c r="S251" s="505"/>
      <c r="T251" s="219">
        <f t="shared" si="25"/>
        <v>11.616063322786758</v>
      </c>
      <c r="U251" s="249">
        <f>U250+(T250*R251*'life-tables-test'!$C$66)</f>
        <v>88.383936677213242</v>
      </c>
      <c r="V251" s="516">
        <f t="shared" si="22"/>
        <v>100</v>
      </c>
      <c r="W251" s="180">
        <f>(T251*0)/(1+cDR)^'Markov Model_SA2'!cycle2</f>
        <v>0</v>
      </c>
      <c r="X251" s="176">
        <f t="shared" si="23"/>
        <v>11.616063322786758</v>
      </c>
      <c r="Y251" s="202">
        <f>(T251*(uPostT))/(1+oDR)^'Markov Model_SA2'!cycle</f>
        <v>4.8365610235099554</v>
      </c>
      <c r="Z251" s="80"/>
      <c r="AA251" s="3"/>
      <c r="AB251" s="3"/>
      <c r="AC251" s="14">
        <v>239</v>
      </c>
      <c r="AD251" s="14"/>
      <c r="AE251" s="14"/>
      <c r="AF251" s="3"/>
      <c r="AG251" s="3"/>
      <c r="AH251" s="3"/>
      <c r="AI251" s="14"/>
      <c r="AJ251" s="14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</row>
    <row r="252" spans="1:58" ht="14.25" customHeight="1" x14ac:dyDescent="0.25">
      <c r="A252" s="637" t="s">
        <v>562</v>
      </c>
      <c r="B252" s="417"/>
      <c r="C252" s="506">
        <v>242</v>
      </c>
      <c r="D252" s="506"/>
      <c r="E252" s="507">
        <v>2.4529919863351957E-3</v>
      </c>
      <c r="F252" s="508"/>
      <c r="G252" s="509">
        <f t="shared" si="20"/>
        <v>12.178506314397424</v>
      </c>
      <c r="H252" s="510">
        <f>H251+(G251*E252*'life-tables-test'!$C$66)</f>
        <v>87.821493685602576</v>
      </c>
      <c r="I252" s="518">
        <f t="shared" si="24"/>
        <v>100</v>
      </c>
      <c r="J252" s="511">
        <f>(G252*0)/(1+cDR)^'Markov Model_SA2'!cycle</f>
        <v>0</v>
      </c>
      <c r="K252" s="512">
        <f t="shared" si="21"/>
        <v>12.178506314397424</v>
      </c>
      <c r="L252" s="513">
        <f>(G252*(uPostT))/(1+oDR)^'Markov Model_SA2'!cycle</f>
        <v>5.0580992311845288</v>
      </c>
      <c r="M252" s="80"/>
      <c r="N252" s="3"/>
      <c r="O252" s="80"/>
      <c r="P252" s="506">
        <v>242</v>
      </c>
      <c r="Q252" s="506"/>
      <c r="R252" s="507">
        <v>2.4529919863351957E-3</v>
      </c>
      <c r="S252" s="508"/>
      <c r="T252" s="509">
        <f t="shared" si="25"/>
        <v>11.473592771568974</v>
      </c>
      <c r="U252" s="510">
        <f>U251+(T251*R252*'life-tables-test'!$C$66)</f>
        <v>88.526407228431026</v>
      </c>
      <c r="V252" s="518">
        <f t="shared" si="22"/>
        <v>100</v>
      </c>
      <c r="W252" s="511">
        <f>(T252*0)/(1+cDR)^'Markov Model_SA2'!cycle2</f>
        <v>0</v>
      </c>
      <c r="X252" s="512">
        <f t="shared" si="23"/>
        <v>11.473592771568974</v>
      </c>
      <c r="Y252" s="513">
        <f>(T252*(uPostT))/(1+oDR)^'Markov Model_SA2'!cycle</f>
        <v>4.7653274776553634</v>
      </c>
      <c r="Z252" s="80"/>
      <c r="AA252" s="3"/>
      <c r="AB252" s="3"/>
      <c r="AC252" s="14">
        <v>240</v>
      </c>
      <c r="AD252" s="14"/>
      <c r="AE252" s="14"/>
      <c r="AF252" s="3"/>
      <c r="AG252" s="3"/>
      <c r="AH252" s="3"/>
      <c r="AI252" s="14"/>
      <c r="AJ252" s="14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</row>
    <row r="253" spans="1:58" ht="14.25" customHeight="1" x14ac:dyDescent="0.2">
      <c r="A253" s="637"/>
      <c r="B253" s="417"/>
      <c r="C253" s="173">
        <v>243</v>
      </c>
      <c r="D253" s="165"/>
      <c r="E253" s="174">
        <v>2.7066823756384251E-3</v>
      </c>
      <c r="F253" s="502"/>
      <c r="G253" s="219">
        <f t="shared" si="20"/>
        <v>12.013689572383527</v>
      </c>
      <c r="H253" s="249">
        <f>H252+(G252*E253*'life-tables-test'!$C$66)</f>
        <v>87.986310427616473</v>
      </c>
      <c r="I253" s="516">
        <f t="shared" si="24"/>
        <v>100</v>
      </c>
      <c r="J253" s="153">
        <f>(G253*0)/(1+cDR)^'Markov Model_SA2'!cycle</f>
        <v>0</v>
      </c>
      <c r="K253" s="178">
        <f t="shared" si="21"/>
        <v>12.013689572383527</v>
      </c>
      <c r="L253" s="202">
        <f>(G253*(uPostT))/(1+oDR)^'Markov Model_SA2'!cycle</f>
        <v>4.9772028837587481</v>
      </c>
      <c r="M253" s="80"/>
      <c r="N253" s="3"/>
      <c r="O253" s="80"/>
      <c r="P253" s="173">
        <v>243</v>
      </c>
      <c r="Q253" s="165"/>
      <c r="R253" s="174">
        <v>2.7066823756384251E-3</v>
      </c>
      <c r="S253" s="502"/>
      <c r="T253" s="219">
        <f t="shared" si="25"/>
        <v>11.318315914868677</v>
      </c>
      <c r="U253" s="249">
        <f>U252+(T252*R253*'life-tables-test'!$C$66)</f>
        <v>88.681684085131323</v>
      </c>
      <c r="V253" s="516">
        <f t="shared" si="22"/>
        <v>100</v>
      </c>
      <c r="W253" s="153">
        <f>(T253*0)/(1+cDR)^'Markov Model_SA2'!cycle2</f>
        <v>0</v>
      </c>
      <c r="X253" s="178">
        <f t="shared" si="23"/>
        <v>11.318315914868677</v>
      </c>
      <c r="Y253" s="202">
        <f>(T253*(uPostT))/(1+oDR)^'Markov Model_SA2'!cycle</f>
        <v>4.6891135542800848</v>
      </c>
      <c r="Z253" s="80"/>
      <c r="AA253" s="3"/>
      <c r="AB253" s="3"/>
      <c r="AC253" s="14">
        <v>241</v>
      </c>
      <c r="AD253" s="14"/>
      <c r="AE253" s="14"/>
      <c r="AF253" s="3"/>
      <c r="AG253" s="3"/>
      <c r="AH253" s="3"/>
      <c r="AI253" s="14"/>
      <c r="AJ253" s="14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</row>
    <row r="254" spans="1:58" ht="14.25" customHeight="1" x14ac:dyDescent="0.2">
      <c r="A254" s="637"/>
      <c r="B254" s="417"/>
      <c r="C254" s="173">
        <v>244</v>
      </c>
      <c r="D254" s="165"/>
      <c r="E254" s="174">
        <v>2.7066823756384251E-3</v>
      </c>
      <c r="F254" s="502"/>
      <c r="G254" s="219">
        <f t="shared" si="20"/>
        <v>11.851103363223714</v>
      </c>
      <c r="H254" s="249">
        <f>H253+(G253*E254*'life-tables-test'!$C$66)</f>
        <v>88.148896636776286</v>
      </c>
      <c r="I254" s="516">
        <f t="shared" si="24"/>
        <v>100</v>
      </c>
      <c r="J254" s="153">
        <f>(G254*0)/(1+cDR)^'Markov Model_SA2'!cycle</f>
        <v>0</v>
      </c>
      <c r="K254" s="178">
        <f t="shared" si="21"/>
        <v>11.851103363223714</v>
      </c>
      <c r="L254" s="202">
        <f>(G254*(uPostT))/(1+oDR)^'Markov Model_SA2'!cycle</f>
        <v>4.8976003462658495</v>
      </c>
      <c r="M254" s="80"/>
      <c r="N254" s="3"/>
      <c r="O254" s="80"/>
      <c r="P254" s="173">
        <v>244</v>
      </c>
      <c r="Q254" s="165"/>
      <c r="R254" s="174">
        <v>2.7066823756384251E-3</v>
      </c>
      <c r="S254" s="502"/>
      <c r="T254" s="219">
        <f t="shared" si="25"/>
        <v>11.165140483825269</v>
      </c>
      <c r="U254" s="249">
        <f>U253+(T253*R254*'life-tables-test'!$C$66)</f>
        <v>88.834859516174731</v>
      </c>
      <c r="V254" s="516">
        <f t="shared" si="22"/>
        <v>100</v>
      </c>
      <c r="W254" s="153">
        <f>(T254*0)/(1+cDR)^'Markov Model_SA2'!cycle2</f>
        <v>0</v>
      </c>
      <c r="X254" s="178">
        <f t="shared" si="23"/>
        <v>11.165140483825269</v>
      </c>
      <c r="Y254" s="202">
        <f>(T254*(uPostT))/(1+oDR)^'Markov Model_SA2'!cycle</f>
        <v>4.6141185528243414</v>
      </c>
      <c r="Z254" s="80"/>
      <c r="AA254" s="3"/>
      <c r="AB254" s="3"/>
      <c r="AC254" s="14">
        <v>242</v>
      </c>
      <c r="AD254" s="14"/>
      <c r="AE254" s="14"/>
      <c r="AF254" s="3"/>
      <c r="AG254" s="3"/>
      <c r="AH254" s="3"/>
      <c r="AI254" s="14"/>
      <c r="AJ254" s="14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</row>
    <row r="255" spans="1:58" ht="14.25" customHeight="1" x14ac:dyDescent="0.2">
      <c r="A255" s="637"/>
      <c r="B255" s="417"/>
      <c r="C255" s="173">
        <v>245</v>
      </c>
      <c r="D255" s="165"/>
      <c r="E255" s="174">
        <v>2.7066823756384251E-3</v>
      </c>
      <c r="F255" s="502"/>
      <c r="G255" s="219">
        <f t="shared" si="20"/>
        <v>11.690717500198176</v>
      </c>
      <c r="H255" s="249">
        <f>H254+(G254*E255*'life-tables-test'!$C$66)</f>
        <v>88.309282499801824</v>
      </c>
      <c r="I255" s="516">
        <f t="shared" si="24"/>
        <v>100</v>
      </c>
      <c r="J255" s="153">
        <f>(G255*0)/(1+cDR)^'Markov Model_SA2'!cycle</f>
        <v>0</v>
      </c>
      <c r="K255" s="178">
        <f t="shared" si="21"/>
        <v>11.690717500198176</v>
      </c>
      <c r="L255" s="202">
        <f>(G255*(uPostT))/(1+oDR)^'Markov Model_SA2'!cycle</f>
        <v>4.8192709262494322</v>
      </c>
      <c r="M255" s="80"/>
      <c r="N255" s="3"/>
      <c r="O255" s="80"/>
      <c r="P255" s="173">
        <v>245</v>
      </c>
      <c r="Q255" s="165"/>
      <c r="R255" s="174">
        <v>2.7066823756384251E-3</v>
      </c>
      <c r="S255" s="502"/>
      <c r="T255" s="219">
        <f t="shared" si="25"/>
        <v>11.014038038979791</v>
      </c>
      <c r="U255" s="249">
        <f>U254+(T254*R255*'life-tables-test'!$C$66)</f>
        <v>88.985961961020209</v>
      </c>
      <c r="V255" s="516">
        <f t="shared" si="22"/>
        <v>100</v>
      </c>
      <c r="W255" s="153">
        <f>(T255*0)/(1+cDR)^'Markov Model_SA2'!cycle2</f>
        <v>0</v>
      </c>
      <c r="X255" s="178">
        <f t="shared" si="23"/>
        <v>11.014038038979791</v>
      </c>
      <c r="Y255" s="202">
        <f>(T255*(uPostT))/(1+oDR)^'Markov Model_SA2'!cycle</f>
        <v>4.5403229785477945</v>
      </c>
      <c r="Z255" s="80"/>
      <c r="AA255" s="3"/>
      <c r="AB255" s="3"/>
      <c r="AC255" s="14">
        <v>243</v>
      </c>
      <c r="AD255" s="14"/>
      <c r="AE255" s="14"/>
      <c r="AF255" s="3"/>
      <c r="AG255" s="3"/>
      <c r="AH255" s="3"/>
      <c r="AI255" s="14"/>
      <c r="AJ255" s="14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</row>
    <row r="256" spans="1:58" ht="14.25" customHeight="1" x14ac:dyDescent="0.2">
      <c r="A256" s="637"/>
      <c r="B256" s="417"/>
      <c r="C256" s="173">
        <v>246</v>
      </c>
      <c r="D256" s="165"/>
      <c r="E256" s="174">
        <v>2.7066823756384251E-3</v>
      </c>
      <c r="F256" s="502"/>
      <c r="G256" s="219">
        <f t="shared" si="20"/>
        <v>11.532502205116401</v>
      </c>
      <c r="H256" s="249">
        <f>H255+(G255*E256*'life-tables-test'!$C$66)</f>
        <v>88.467497794883599</v>
      </c>
      <c r="I256" s="516">
        <f t="shared" si="24"/>
        <v>100</v>
      </c>
      <c r="J256" s="153">
        <f>(G256*0)/(1+cDR)^'Markov Model_SA2'!cycle</f>
        <v>0</v>
      </c>
      <c r="K256" s="178">
        <f t="shared" si="21"/>
        <v>11.532502205116401</v>
      </c>
      <c r="L256" s="202">
        <f>(G256*(uPostT))/(1+oDR)^'Markov Model_SA2'!cycle</f>
        <v>4.7421942621964108</v>
      </c>
      <c r="M256" s="80"/>
      <c r="N256" s="3"/>
      <c r="O256" s="80"/>
      <c r="P256" s="173">
        <v>246</v>
      </c>
      <c r="Q256" s="165"/>
      <c r="R256" s="174">
        <v>2.7066823756384251E-3</v>
      </c>
      <c r="S256" s="502"/>
      <c r="T256" s="219">
        <f t="shared" si="25"/>
        <v>10.864980525756195</v>
      </c>
      <c r="U256" s="249">
        <f>U255+(T255*R256*'life-tables-test'!$C$66)</f>
        <v>89.135019474243805</v>
      </c>
      <c r="V256" s="516">
        <f t="shared" si="22"/>
        <v>100</v>
      </c>
      <c r="W256" s="153">
        <f>(T256*0)/(1+cDR)^'Markov Model_SA2'!cycle2</f>
        <v>0</v>
      </c>
      <c r="X256" s="178">
        <f t="shared" si="23"/>
        <v>10.864980525756195</v>
      </c>
      <c r="Y256" s="202">
        <f>(T256*(uPostT))/(1+oDR)^'Markov Model_SA2'!cycle</f>
        <v>4.4677076484978411</v>
      </c>
      <c r="Z256" s="80"/>
      <c r="AA256" s="3"/>
      <c r="AB256" s="3"/>
      <c r="AC256" s="14">
        <v>244</v>
      </c>
      <c r="AD256" s="14"/>
      <c r="AE256" s="14"/>
      <c r="AF256" s="3"/>
      <c r="AG256" s="3"/>
      <c r="AH256" s="3"/>
      <c r="AI256" s="14"/>
      <c r="AJ256" s="14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</row>
    <row r="257" spans="1:58" ht="14.25" customHeight="1" x14ac:dyDescent="0.2">
      <c r="A257" s="637"/>
      <c r="B257" s="417"/>
      <c r="C257" s="173">
        <v>247</v>
      </c>
      <c r="D257" s="165"/>
      <c r="E257" s="174">
        <v>2.7066823756384251E-3</v>
      </c>
      <c r="F257" s="502"/>
      <c r="G257" s="219">
        <f t="shared" si="20"/>
        <v>11.376428102788395</v>
      </c>
      <c r="H257" s="249">
        <f>H256+(G256*E257*'life-tables-test'!$C$66)</f>
        <v>88.623571897211605</v>
      </c>
      <c r="I257" s="516">
        <f t="shared" si="24"/>
        <v>100</v>
      </c>
      <c r="J257" s="153">
        <f>(G257*0)/(1+cDR)^'Markov Model_SA2'!cycle</f>
        <v>0</v>
      </c>
      <c r="K257" s="178">
        <f t="shared" si="21"/>
        <v>11.376428102788395</v>
      </c>
      <c r="L257" s="202">
        <f>(G257*(uPostT))/(1+oDR)^'Markov Model_SA2'!cycle</f>
        <v>4.6663503182440937</v>
      </c>
      <c r="M257" s="80"/>
      <c r="N257" s="3"/>
      <c r="O257" s="80"/>
      <c r="P257" s="173">
        <v>247</v>
      </c>
      <c r="Q257" s="165"/>
      <c r="R257" s="174">
        <v>2.7066823756384251E-3</v>
      </c>
      <c r="S257" s="502"/>
      <c r="T257" s="219">
        <f t="shared" si="25"/>
        <v>10.717940269252594</v>
      </c>
      <c r="U257" s="249">
        <f>U256+(T256*R257*'life-tables-test'!$C$66)</f>
        <v>89.282059730747406</v>
      </c>
      <c r="V257" s="516">
        <f t="shared" si="22"/>
        <v>100</v>
      </c>
      <c r="W257" s="153">
        <f>(T257*0)/(1+cDR)^'Markov Model_SA2'!cycle2</f>
        <v>0</v>
      </c>
      <c r="X257" s="178">
        <f t="shared" si="23"/>
        <v>10.717940269252594</v>
      </c>
      <c r="Y257" s="202">
        <f>(T257*(uPostT))/(1+oDR)^'Markov Model_SA2'!cycle</f>
        <v>4.3962536865230613</v>
      </c>
      <c r="Z257" s="80"/>
      <c r="AA257" s="3"/>
      <c r="AB257" s="3"/>
      <c r="AC257" s="14">
        <v>245</v>
      </c>
      <c r="AD257" s="14"/>
      <c r="AE257" s="14"/>
      <c r="AF257" s="3"/>
      <c r="AG257" s="3"/>
      <c r="AH257" s="3"/>
      <c r="AI257" s="14"/>
      <c r="AJ257" s="14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</row>
    <row r="258" spans="1:58" ht="14.25" customHeight="1" x14ac:dyDescent="0.2">
      <c r="A258" s="637"/>
      <c r="B258" s="417"/>
      <c r="C258" s="173">
        <v>248</v>
      </c>
      <c r="D258" s="165"/>
      <c r="E258" s="174">
        <v>2.7066823756384251E-3</v>
      </c>
      <c r="F258" s="502"/>
      <c r="G258" s="219">
        <f t="shared" si="20"/>
        <v>11.222466215570719</v>
      </c>
      <c r="H258" s="249">
        <f>H257+(G257*E258*'life-tables-test'!$C$66)</f>
        <v>88.777533784429281</v>
      </c>
      <c r="I258" s="516">
        <f t="shared" si="24"/>
        <v>100</v>
      </c>
      <c r="J258" s="153">
        <f>(G258*0)/(1+cDR)^'Markov Model_SA2'!cycle</f>
        <v>0</v>
      </c>
      <c r="K258" s="178">
        <f t="shared" si="21"/>
        <v>11.222466215570719</v>
      </c>
      <c r="L258" s="202">
        <f>(G258*(uPostT))/(1+oDR)^'Markov Model_SA2'!cycle</f>
        <v>4.5917193789719351</v>
      </c>
      <c r="M258" s="80"/>
      <c r="N258" s="3"/>
      <c r="O258" s="80"/>
      <c r="P258" s="173">
        <v>248</v>
      </c>
      <c r="Q258" s="165"/>
      <c r="R258" s="174">
        <v>2.7066823756384251E-3</v>
      </c>
      <c r="S258" s="502"/>
      <c r="T258" s="219">
        <f t="shared" si="25"/>
        <v>10.572889969102931</v>
      </c>
      <c r="U258" s="249">
        <f>U257+(T257*R258*'life-tables-test'!$C$66)</f>
        <v>89.427110030897069</v>
      </c>
      <c r="V258" s="516">
        <f t="shared" si="22"/>
        <v>100</v>
      </c>
      <c r="W258" s="153">
        <f>(T258*0)/(1+cDR)^'Markov Model_SA2'!cycle2</f>
        <v>0</v>
      </c>
      <c r="X258" s="178">
        <f t="shared" si="23"/>
        <v>10.572889969102931</v>
      </c>
      <c r="Y258" s="202">
        <f>(T258*(uPostT))/(1+oDR)^'Markov Model_SA2'!cycle</f>
        <v>4.3259425183664062</v>
      </c>
      <c r="Z258" s="80"/>
      <c r="AA258" s="3"/>
      <c r="AB258" s="3"/>
      <c r="AC258" s="14">
        <v>246</v>
      </c>
      <c r="AD258" s="14"/>
      <c r="AE258" s="14"/>
      <c r="AF258" s="3"/>
      <c r="AG258" s="3"/>
      <c r="AH258" s="3"/>
      <c r="AI258" s="14"/>
      <c r="AJ258" s="14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</row>
    <row r="259" spans="1:58" ht="14.25" customHeight="1" x14ac:dyDescent="0.2">
      <c r="A259" s="637"/>
      <c r="B259" s="417"/>
      <c r="C259" s="173">
        <v>249</v>
      </c>
      <c r="D259" s="165"/>
      <c r="E259" s="174">
        <v>2.7066823756384251E-3</v>
      </c>
      <c r="F259" s="502"/>
      <c r="G259" s="219">
        <f t="shared" si="20"/>
        <v>11.070587957986305</v>
      </c>
      <c r="H259" s="249">
        <f>H258+(G258*E259*'life-tables-test'!$C$66)</f>
        <v>88.929412042013695</v>
      </c>
      <c r="I259" s="516">
        <f t="shared" si="24"/>
        <v>100</v>
      </c>
      <c r="J259" s="153">
        <f>(G259*0)/(1+cDR)^'Markov Model_SA2'!cycle</f>
        <v>0</v>
      </c>
      <c r="K259" s="178">
        <f t="shared" si="21"/>
        <v>11.070587957986305</v>
      </c>
      <c r="L259" s="202">
        <f>(G259*(uPostT))/(1+oDR)^'Markov Model_SA2'!cycle</f>
        <v>4.5182820442765381</v>
      </c>
      <c r="M259" s="80"/>
      <c r="N259" s="3"/>
      <c r="O259" s="80"/>
      <c r="P259" s="173">
        <v>249</v>
      </c>
      <c r="Q259" s="165"/>
      <c r="R259" s="174">
        <v>2.7066823756384251E-3</v>
      </c>
      <c r="S259" s="502"/>
      <c r="T259" s="219">
        <f t="shared" si="25"/>
        <v>10.429802694408252</v>
      </c>
      <c r="U259" s="249">
        <f>U258+(T258*R259*'life-tables-test'!$C$66)</f>
        <v>89.570197305591748</v>
      </c>
      <c r="V259" s="516">
        <f t="shared" si="22"/>
        <v>100</v>
      </c>
      <c r="W259" s="153">
        <f>(T259*0)/(1+cDR)^'Markov Model_SA2'!cycle2</f>
        <v>0</v>
      </c>
      <c r="X259" s="178">
        <f t="shared" si="23"/>
        <v>10.429802694408252</v>
      </c>
      <c r="Y259" s="202">
        <f>(T259*(uPostT))/(1+oDR)^'Markov Model_SA2'!cycle</f>
        <v>4.2567558668368752</v>
      </c>
      <c r="Z259" s="80"/>
      <c r="AA259" s="3"/>
      <c r="AB259" s="3"/>
      <c r="AC259" s="14">
        <v>247</v>
      </c>
      <c r="AD259" s="14"/>
      <c r="AE259" s="14"/>
      <c r="AF259" s="3"/>
      <c r="AG259" s="3"/>
      <c r="AH259" s="3"/>
      <c r="AI259" s="14"/>
      <c r="AJ259" s="14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</row>
    <row r="260" spans="1:58" ht="14.25" customHeight="1" x14ac:dyDescent="0.25">
      <c r="A260" s="637"/>
      <c r="B260" s="417"/>
      <c r="C260" s="173">
        <v>250</v>
      </c>
      <c r="D260" s="165"/>
      <c r="E260" s="174">
        <v>2.7066823756384251E-3</v>
      </c>
      <c r="F260" s="502"/>
      <c r="G260" s="219">
        <f t="shared" si="20"/>
        <v>10.920765131417127</v>
      </c>
      <c r="H260" s="249">
        <f>H259+(G259*E260*'life-tables-test'!$C$66)</f>
        <v>89.079234868582873</v>
      </c>
      <c r="I260" s="516">
        <f t="shared" si="24"/>
        <v>100</v>
      </c>
      <c r="J260" s="153">
        <f>(G260*0)/(1+cDR)^'Markov Model_SA2'!cycle</f>
        <v>0</v>
      </c>
      <c r="K260" s="178">
        <f t="shared" si="21"/>
        <v>10.920765131417127</v>
      </c>
      <c r="L260" s="202">
        <f>(G260*(uPostT))/(1+oDR)^'Markov Model_SA2'!cycle</f>
        <v>4.4460192243286851</v>
      </c>
      <c r="M260" s="80"/>
      <c r="N260" s="3"/>
      <c r="O260" s="80"/>
      <c r="P260" s="173">
        <v>250</v>
      </c>
      <c r="Q260" s="165"/>
      <c r="R260" s="174">
        <v>2.7066823756384251E-3</v>
      </c>
      <c r="S260" s="502"/>
      <c r="T260" s="219">
        <f t="shared" si="25"/>
        <v>10.288651878736545</v>
      </c>
      <c r="U260" s="249">
        <f>U259+(T259*R260*'life-tables-test'!$C$66)</f>
        <v>89.711348121263455</v>
      </c>
      <c r="V260" s="516">
        <f t="shared" si="22"/>
        <v>100</v>
      </c>
      <c r="W260" s="153">
        <f>(T260*0)/(1+cDR)^'Markov Model_SA2'!cycle2</f>
        <v>0</v>
      </c>
      <c r="X260" s="178">
        <f t="shared" si="23"/>
        <v>10.288651878736545</v>
      </c>
      <c r="Y260" s="202">
        <f>(T260*(uPostT))/(1+oDR)^'Markov Model_SA2'!cycle</f>
        <v>4.1886757470584142</v>
      </c>
      <c r="Z260" s="80"/>
      <c r="AA260" s="3"/>
      <c r="AB260" s="3"/>
      <c r="AC260" s="14">
        <v>248</v>
      </c>
      <c r="AD260" s="14"/>
      <c r="AE260" s="14"/>
      <c r="AF260" s="3"/>
      <c r="AG260" s="3"/>
      <c r="AH260" s="3"/>
      <c r="AI260" s="14"/>
      <c r="AJ260" s="14"/>
      <c r="AK260" s="3"/>
      <c r="AL260" s="3"/>
      <c r="AM260" s="3"/>
      <c r="AN260" s="3"/>
      <c r="AO260" s="3"/>
      <c r="AP260" s="3"/>
      <c r="AQ260" s="3"/>
      <c r="AR260" s="3"/>
      <c r="AS260" s="3"/>
      <c r="AT260" s="4"/>
      <c r="AU260" s="4"/>
      <c r="AV260" s="402"/>
      <c r="AW260" s="402"/>
      <c r="AX260" s="402"/>
      <c r="AY260" s="402"/>
      <c r="AZ260" s="402"/>
      <c r="BA260" s="402"/>
      <c r="BB260" s="402"/>
      <c r="BC260" s="402"/>
      <c r="BD260" s="402"/>
      <c r="BE260" s="402"/>
      <c r="BF260" s="402"/>
    </row>
    <row r="261" spans="1:58" ht="14.25" customHeight="1" x14ac:dyDescent="0.25">
      <c r="A261" s="637"/>
      <c r="B261" s="417"/>
      <c r="C261" s="173">
        <v>251</v>
      </c>
      <c r="D261" s="165"/>
      <c r="E261" s="174">
        <v>2.7066823756384251E-3</v>
      </c>
      <c r="F261" s="502"/>
      <c r="G261" s="219">
        <f t="shared" si="20"/>
        <v>10.772969918868654</v>
      </c>
      <c r="H261" s="249">
        <f>H260+(G260*E261*'life-tables-test'!$C$66)</f>
        <v>89.227030081131346</v>
      </c>
      <c r="I261" s="516">
        <f t="shared" si="24"/>
        <v>100</v>
      </c>
      <c r="J261" s="153">
        <f>(G261*0)/(1+cDR)^'Markov Model_SA2'!cycle</f>
        <v>0</v>
      </c>
      <c r="K261" s="178">
        <f t="shared" si="21"/>
        <v>10.772969918868654</v>
      </c>
      <c r="L261" s="202">
        <f>(G261*(uPostT))/(1+oDR)^'Markov Model_SA2'!cycle</f>
        <v>4.3749121346109545</v>
      </c>
      <c r="M261" s="80"/>
      <c r="N261" s="3"/>
      <c r="O261" s="80"/>
      <c r="P261" s="173">
        <v>251</v>
      </c>
      <c r="Q261" s="165"/>
      <c r="R261" s="174">
        <v>2.7066823756384251E-3</v>
      </c>
      <c r="S261" s="502"/>
      <c r="T261" s="219">
        <f t="shared" si="25"/>
        <v>10.149411315190264</v>
      </c>
      <c r="U261" s="249">
        <f>U260+(T260*R261*'life-tables-test'!$C$66)</f>
        <v>89.850588684809736</v>
      </c>
      <c r="V261" s="516">
        <f t="shared" si="22"/>
        <v>100</v>
      </c>
      <c r="W261" s="153">
        <f>(T261*0)/(1+cDR)^'Markov Model_SA2'!cycle2</f>
        <v>0</v>
      </c>
      <c r="X261" s="178">
        <f t="shared" si="23"/>
        <v>10.149411315190264</v>
      </c>
      <c r="Y261" s="202">
        <f>(T261*(uPostT))/(1+oDR)^'Markov Model_SA2'!cycle</f>
        <v>4.1216844617947901</v>
      </c>
      <c r="Z261" s="80"/>
      <c r="AA261" s="3"/>
      <c r="AB261" s="3"/>
      <c r="AC261" s="14">
        <v>249</v>
      </c>
      <c r="AD261" s="14"/>
      <c r="AE261" s="14"/>
      <c r="AF261" s="3"/>
      <c r="AG261" s="3"/>
      <c r="AH261" s="3"/>
      <c r="AI261" s="14"/>
      <c r="AJ261" s="14"/>
      <c r="AK261" s="3"/>
      <c r="AL261" s="3"/>
      <c r="AM261" s="3"/>
      <c r="AN261" s="3"/>
      <c r="AO261" s="3"/>
      <c r="AP261" s="3"/>
      <c r="AQ261" s="3"/>
      <c r="AR261" s="3"/>
      <c r="AS261" s="3"/>
      <c r="AT261" s="4"/>
      <c r="AU261" s="4"/>
      <c r="AV261" s="402"/>
      <c r="AW261" s="402"/>
      <c r="AX261" s="402"/>
      <c r="AY261" s="402"/>
      <c r="AZ261" s="402"/>
      <c r="BA261" s="402"/>
      <c r="BB261" s="402"/>
      <c r="BC261" s="402"/>
      <c r="BD261" s="402"/>
      <c r="BE261" s="402"/>
      <c r="BF261" s="402"/>
    </row>
    <row r="262" spans="1:58" ht="14.25" customHeight="1" x14ac:dyDescent="0.25">
      <c r="A262" s="637"/>
      <c r="B262" s="417"/>
      <c r="C262" s="173">
        <v>252</v>
      </c>
      <c r="D262" s="165"/>
      <c r="E262" s="174">
        <v>2.7066823756384251E-3</v>
      </c>
      <c r="F262" s="502"/>
      <c r="G262" s="219">
        <f t="shared" si="20"/>
        <v>10.627174879805224</v>
      </c>
      <c r="H262" s="249">
        <f>H261+(G261*E262*'life-tables-test'!$C$66)</f>
        <v>89.372825120194776</v>
      </c>
      <c r="I262" s="516">
        <f t="shared" si="24"/>
        <v>100</v>
      </c>
      <c r="J262" s="153">
        <f>(G262*0)/(1+cDR)^'Markov Model_SA2'!cycle</f>
        <v>0</v>
      </c>
      <c r="K262" s="178">
        <f t="shared" si="21"/>
        <v>10.627174879805224</v>
      </c>
      <c r="L262" s="202">
        <f>(G262*(uPostT))/(1+oDR)^'Markov Model_SA2'!cycle</f>
        <v>4.3049422910347745</v>
      </c>
      <c r="M262" s="80"/>
      <c r="N262" s="3"/>
      <c r="O262" s="80"/>
      <c r="P262" s="173">
        <v>252</v>
      </c>
      <c r="Q262" s="165"/>
      <c r="R262" s="174">
        <v>2.7066823756384251E-3</v>
      </c>
      <c r="S262" s="502"/>
      <c r="T262" s="219">
        <f t="shared" si="25"/>
        <v>10.012055151540608</v>
      </c>
      <c r="U262" s="249">
        <f>U261+(T261*R262*'life-tables-test'!$C$66)</f>
        <v>89.987944848459392</v>
      </c>
      <c r="V262" s="516">
        <f t="shared" si="22"/>
        <v>100</v>
      </c>
      <c r="W262" s="153">
        <f>(T262*0)/(1+cDR)^'Markov Model_SA2'!cycle2</f>
        <v>0</v>
      </c>
      <c r="X262" s="178">
        <f t="shared" si="23"/>
        <v>10.012055151540608</v>
      </c>
      <c r="Y262" s="202">
        <f>(T262*(uPostT))/(1+oDR)^'Markov Model_SA2'!cycle</f>
        <v>4.0557645968492526</v>
      </c>
      <c r="Z262" s="80"/>
      <c r="AA262" s="3"/>
      <c r="AB262" s="3"/>
      <c r="AC262" s="14">
        <v>250</v>
      </c>
      <c r="AD262" s="14"/>
      <c r="AE262" s="14"/>
      <c r="AF262" s="3"/>
      <c r="AG262" s="3"/>
      <c r="AH262" s="3"/>
      <c r="AI262" s="14"/>
      <c r="AJ262" s="14"/>
      <c r="AK262" s="3"/>
      <c r="AL262" s="3"/>
      <c r="AM262" s="3"/>
      <c r="AN262" s="3"/>
      <c r="AO262" s="3"/>
      <c r="AP262" s="3"/>
      <c r="AQ262" s="3"/>
      <c r="AR262" s="3"/>
      <c r="AS262" s="3"/>
      <c r="AT262" s="4"/>
      <c r="AU262" s="4"/>
      <c r="AV262" s="402"/>
      <c r="AW262" s="402"/>
      <c r="AX262" s="402"/>
      <c r="AY262" s="402"/>
      <c r="AZ262" s="402"/>
      <c r="BA262" s="402"/>
      <c r="BB262" s="402"/>
      <c r="BC262" s="402"/>
      <c r="BD262" s="402"/>
      <c r="BE262" s="402"/>
      <c r="BF262" s="402"/>
    </row>
    <row r="263" spans="1:58" ht="14.25" customHeight="1" x14ac:dyDescent="0.25">
      <c r="A263" s="606"/>
      <c r="B263" s="417"/>
      <c r="C263" s="173">
        <v>253</v>
      </c>
      <c r="D263" s="504"/>
      <c r="E263" s="174">
        <v>2.7066823756384251E-3</v>
      </c>
      <c r="F263" s="505"/>
      <c r="G263" s="219">
        <f t="shared" si="20"/>
        <v>10.483352945055245</v>
      </c>
      <c r="H263" s="249">
        <f>H262+(G262*E263*'life-tables-test'!$C$66)</f>
        <v>89.516647054944755</v>
      </c>
      <c r="I263" s="516">
        <f t="shared" si="24"/>
        <v>100</v>
      </c>
      <c r="J263" s="180">
        <f>(G263*0)/(1+cDR)^'Markov Model_SA2'!cycle</f>
        <v>0</v>
      </c>
      <c r="K263" s="176">
        <f t="shared" si="21"/>
        <v>10.483352945055245</v>
      </c>
      <c r="L263" s="202">
        <f>(G263*(uPostT))/(1+oDR)^'Markov Model_SA2'!cycle</f>
        <v>4.2360915051355148</v>
      </c>
      <c r="M263" s="80"/>
      <c r="N263" s="3"/>
      <c r="O263" s="80"/>
      <c r="P263" s="173">
        <v>253</v>
      </c>
      <c r="Q263" s="504"/>
      <c r="R263" s="174">
        <v>2.7066823756384251E-3</v>
      </c>
      <c r="S263" s="505"/>
      <c r="T263" s="219">
        <f t="shared" si="25"/>
        <v>9.8765578854276299</v>
      </c>
      <c r="U263" s="249">
        <f>U262+(T262*R263*'life-tables-test'!$C$66)</f>
        <v>90.12344211457237</v>
      </c>
      <c r="V263" s="516">
        <f t="shared" si="22"/>
        <v>100</v>
      </c>
      <c r="W263" s="180">
        <f>(T263*0)/(1+cDR)^'Markov Model_SA2'!cycle2</f>
        <v>0</v>
      </c>
      <c r="X263" s="176">
        <f t="shared" si="23"/>
        <v>9.8765578854276299</v>
      </c>
      <c r="Y263" s="202">
        <f>(T263*(uPostT))/(1+oDR)^'Markov Model_SA2'!cycle</f>
        <v>3.9908990165377558</v>
      </c>
      <c r="Z263" s="80"/>
      <c r="AA263" s="3"/>
      <c r="AB263" s="3"/>
      <c r="AC263" s="14">
        <v>251</v>
      </c>
      <c r="AD263" s="14"/>
      <c r="AE263" s="14"/>
      <c r="AF263" s="3"/>
      <c r="AG263" s="3"/>
      <c r="AH263" s="3"/>
      <c r="AI263" s="14"/>
      <c r="AJ263" s="14"/>
      <c r="AK263" s="3"/>
      <c r="AL263" s="3"/>
      <c r="AM263" s="3"/>
      <c r="AN263" s="3"/>
      <c r="AO263" s="3"/>
      <c r="AP263" s="3"/>
      <c r="AQ263" s="3"/>
      <c r="AR263" s="3"/>
      <c r="AS263" s="3"/>
      <c r="AT263" s="4"/>
      <c r="AU263" s="4"/>
      <c r="AV263" s="402"/>
      <c r="AW263" s="402"/>
      <c r="AX263" s="402"/>
      <c r="AY263" s="402"/>
      <c r="AZ263" s="402"/>
      <c r="BA263" s="402"/>
      <c r="BB263" s="402"/>
      <c r="BC263" s="402"/>
      <c r="BD263" s="402"/>
      <c r="BE263" s="402"/>
      <c r="BF263" s="402"/>
    </row>
    <row r="264" spans="1:58" ht="14.25" customHeight="1" x14ac:dyDescent="0.25">
      <c r="A264" s="637" t="s">
        <v>563</v>
      </c>
      <c r="B264" s="417"/>
      <c r="C264" s="506">
        <v>254</v>
      </c>
      <c r="D264" s="506"/>
      <c r="E264" s="507">
        <v>2.7066823756384251E-3</v>
      </c>
      <c r="F264" s="508"/>
      <c r="G264" s="509">
        <f t="shared" si="20"/>
        <v>10.341477411785348</v>
      </c>
      <c r="H264" s="510">
        <f>H263+(G263*E264*'life-tables-test'!$C$66)</f>
        <v>89.658522588214652</v>
      </c>
      <c r="I264" s="518">
        <f t="shared" si="24"/>
        <v>100</v>
      </c>
      <c r="J264" s="511">
        <f>(G264*0)/(1+cDR)^'Markov Model_SA2'!cycle</f>
        <v>0</v>
      </c>
      <c r="K264" s="512">
        <f t="shared" si="21"/>
        <v>10.341477411785348</v>
      </c>
      <c r="L264" s="513">
        <f>(G264*(uPostT))/(1+oDR)^'Markov Model_SA2'!cycle</f>
        <v>4.1683418793444416</v>
      </c>
      <c r="M264" s="80"/>
      <c r="N264" s="3"/>
      <c r="O264" s="80"/>
      <c r="P264" s="506">
        <v>254</v>
      </c>
      <c r="Q264" s="506"/>
      <c r="R264" s="507">
        <v>2.7066823756384251E-3</v>
      </c>
      <c r="S264" s="508"/>
      <c r="T264" s="509">
        <f t="shared" si="25"/>
        <v>9.7428943596253248</v>
      </c>
      <c r="U264" s="510">
        <f>U263+(T263*R264*'life-tables-test'!$C$66)</f>
        <v>90.257105640374675</v>
      </c>
      <c r="V264" s="518">
        <f t="shared" si="22"/>
        <v>100</v>
      </c>
      <c r="W264" s="511">
        <f>(T264*0)/(1+cDR)^'Markov Model_SA2'!cycle2</f>
        <v>0</v>
      </c>
      <c r="X264" s="512">
        <f t="shared" si="23"/>
        <v>9.7428943596253248</v>
      </c>
      <c r="Y264" s="513">
        <f>(T264*(uPostT))/(1+oDR)^'Markov Model_SA2'!cycle</f>
        <v>3.9270708592345898</v>
      </c>
      <c r="Z264" s="80"/>
      <c r="AA264" s="3"/>
      <c r="AB264" s="3"/>
      <c r="AC264" s="14">
        <v>252</v>
      </c>
      <c r="AD264" s="14"/>
      <c r="AE264" s="14"/>
      <c r="AF264" s="3"/>
      <c r="AG264" s="3"/>
      <c r="AH264" s="3"/>
      <c r="AI264" s="14"/>
      <c r="AJ264" s="14"/>
      <c r="AK264" s="3"/>
      <c r="AL264" s="3"/>
      <c r="AM264" s="3"/>
      <c r="AN264" s="3"/>
      <c r="AO264" s="3"/>
      <c r="AP264" s="3"/>
      <c r="AQ264" s="3"/>
      <c r="AR264" s="3"/>
      <c r="AS264" s="3"/>
      <c r="AT264" s="4"/>
      <c r="AU264" s="4"/>
      <c r="AV264" s="402"/>
      <c r="AW264" s="402"/>
      <c r="AX264" s="402"/>
      <c r="AY264" s="402"/>
      <c r="AZ264" s="402"/>
      <c r="BA264" s="402"/>
      <c r="BB264" s="402"/>
      <c r="BC264" s="402"/>
      <c r="BD264" s="402"/>
      <c r="BE264" s="402"/>
      <c r="BF264" s="402"/>
    </row>
    <row r="265" spans="1:58" ht="14.25" customHeight="1" x14ac:dyDescent="0.25">
      <c r="A265" s="637"/>
      <c r="B265" s="417"/>
      <c r="C265" s="173">
        <v>255</v>
      </c>
      <c r="D265" s="165"/>
      <c r="E265" s="174">
        <v>3.0026787825909729E-3</v>
      </c>
      <c r="F265" s="502"/>
      <c r="G265" s="219">
        <f t="shared" si="20"/>
        <v>10.18621673776029</v>
      </c>
      <c r="H265" s="249">
        <f>H264+(G264*E265*'life-tables-test'!$C$66)</f>
        <v>89.81378326223971</v>
      </c>
      <c r="I265" s="516">
        <f t="shared" si="24"/>
        <v>100</v>
      </c>
      <c r="J265" s="153">
        <f>(G265*0)/(1+cDR)^'Markov Model_SA2'!cycle</f>
        <v>0</v>
      </c>
      <c r="K265" s="178">
        <f t="shared" si="21"/>
        <v>10.18621673776029</v>
      </c>
      <c r="L265" s="202">
        <f>(G265*(uPostT))/(1+oDR)^'Markov Model_SA2'!cycle</f>
        <v>4.095522115457336</v>
      </c>
      <c r="M265" s="80"/>
      <c r="N265" s="3"/>
      <c r="O265" s="80"/>
      <c r="P265" s="173">
        <v>255</v>
      </c>
      <c r="Q265" s="165"/>
      <c r="R265" s="174">
        <v>3.0026787825909729E-3</v>
      </c>
      <c r="S265" s="502"/>
      <c r="T265" s="219">
        <f t="shared" si="25"/>
        <v>9.5966204487519633</v>
      </c>
      <c r="U265" s="249">
        <f>U264+(T264*R265*'life-tables-test'!$C$66)</f>
        <v>90.403379551248037</v>
      </c>
      <c r="V265" s="516">
        <f t="shared" si="22"/>
        <v>100</v>
      </c>
      <c r="W265" s="153">
        <f>(T265*0)/(1+cDR)^'Markov Model_SA2'!cycle2</f>
        <v>0</v>
      </c>
      <c r="X265" s="178">
        <f t="shared" si="23"/>
        <v>9.5966204487519633</v>
      </c>
      <c r="Y265" s="202">
        <f>(T265*(uPostT))/(1+oDR)^'Markov Model_SA2'!cycle</f>
        <v>3.8584660324197668</v>
      </c>
      <c r="Z265" s="80"/>
      <c r="AA265" s="3"/>
      <c r="AB265" s="3"/>
      <c r="AC265" s="14">
        <v>253</v>
      </c>
      <c r="AD265" s="14"/>
      <c r="AE265" s="14"/>
      <c r="AF265" s="3"/>
      <c r="AG265" s="3"/>
      <c r="AH265" s="3"/>
      <c r="AI265" s="14"/>
      <c r="AJ265" s="14"/>
      <c r="AK265" s="3"/>
      <c r="AL265" s="3"/>
      <c r="AM265" s="3"/>
      <c r="AN265" s="3"/>
      <c r="AO265" s="3"/>
      <c r="AP265" s="3"/>
      <c r="AQ265" s="3"/>
      <c r="AR265" s="3"/>
      <c r="AS265" s="3"/>
      <c r="AT265" s="4"/>
      <c r="AU265" s="4"/>
      <c r="AV265" s="402"/>
      <c r="AW265" s="402"/>
      <c r="AX265" s="402"/>
      <c r="AY265" s="402"/>
      <c r="AZ265" s="402"/>
      <c r="BA265" s="402"/>
      <c r="BB265" s="402"/>
      <c r="BC265" s="402"/>
      <c r="BD265" s="402"/>
      <c r="BE265" s="402"/>
      <c r="BF265" s="402"/>
    </row>
    <row r="266" spans="1:58" ht="14.25" customHeight="1" x14ac:dyDescent="0.25">
      <c r="A266" s="637"/>
      <c r="B266" s="417"/>
      <c r="C266" s="173">
        <v>256</v>
      </c>
      <c r="D266" s="165"/>
      <c r="E266" s="174">
        <v>3.0026787825909729E-3</v>
      </c>
      <c r="F266" s="502"/>
      <c r="G266" s="219">
        <f t="shared" si="20"/>
        <v>10.033287053393565</v>
      </c>
      <c r="H266" s="249">
        <f>H265+(G265*E266*'life-tables-test'!$C$66)</f>
        <v>89.966712946606435</v>
      </c>
      <c r="I266" s="516">
        <f t="shared" si="24"/>
        <v>100</v>
      </c>
      <c r="J266" s="153">
        <f>(G266*0)/(1+cDR)^'Markov Model_SA2'!cycle</f>
        <v>0</v>
      </c>
      <c r="K266" s="178">
        <f t="shared" si="21"/>
        <v>10.033287053393565</v>
      </c>
      <c r="L266" s="202">
        <f>(G266*(uPostT))/(1+oDR)^'Markov Model_SA2'!cycle</f>
        <v>4.0239744924276879</v>
      </c>
      <c r="M266" s="80"/>
      <c r="N266" s="3"/>
      <c r="O266" s="80"/>
      <c r="P266" s="173">
        <v>256</v>
      </c>
      <c r="Q266" s="165"/>
      <c r="R266" s="174">
        <v>3.0026787825909729E-3</v>
      </c>
      <c r="S266" s="502"/>
      <c r="T266" s="219">
        <f t="shared" si="25"/>
        <v>9.4525426057217317</v>
      </c>
      <c r="U266" s="249">
        <f>U265+(T265*R266*'life-tables-test'!$C$66)</f>
        <v>90.547457394278268</v>
      </c>
      <c r="V266" s="516">
        <f t="shared" si="22"/>
        <v>100</v>
      </c>
      <c r="W266" s="153">
        <f>(T266*0)/(1+cDR)^'Markov Model_SA2'!cycle2</f>
        <v>0</v>
      </c>
      <c r="X266" s="178">
        <f t="shared" si="23"/>
        <v>9.4525426057217317</v>
      </c>
      <c r="Y266" s="202">
        <f>(T266*(uPostT))/(1+oDR)^'Markov Model_SA2'!cycle</f>
        <v>3.7910597126935572</v>
      </c>
      <c r="Z266" s="80"/>
      <c r="AA266" s="3"/>
      <c r="AB266" s="3"/>
      <c r="AC266" s="14">
        <v>254</v>
      </c>
      <c r="AD266" s="14"/>
      <c r="AE266" s="14"/>
      <c r="AF266" s="3"/>
      <c r="AG266" s="3"/>
      <c r="AH266" s="3"/>
      <c r="AI266" s="14"/>
      <c r="AJ266" s="14"/>
      <c r="AK266" s="3"/>
      <c r="AL266" s="3"/>
      <c r="AM266" s="3"/>
      <c r="AN266" s="3"/>
      <c r="AO266" s="3"/>
      <c r="AP266" s="3"/>
      <c r="AQ266" s="3"/>
      <c r="AR266" s="3"/>
      <c r="AS266" s="3"/>
      <c r="AT266" s="4"/>
      <c r="AU266" s="4"/>
      <c r="AV266" s="402"/>
      <c r="AW266" s="402"/>
      <c r="AX266" s="402"/>
      <c r="AY266" s="402"/>
      <c r="AZ266" s="402"/>
      <c r="BA266" s="402"/>
      <c r="BB266" s="402"/>
      <c r="BC266" s="402"/>
      <c r="BD266" s="402"/>
      <c r="BE266" s="402"/>
      <c r="BF266" s="402"/>
    </row>
    <row r="267" spans="1:58" ht="14.25" customHeight="1" x14ac:dyDescent="0.25">
      <c r="A267" s="637"/>
      <c r="B267" s="417"/>
      <c r="C267" s="173">
        <v>257</v>
      </c>
      <c r="D267" s="165"/>
      <c r="E267" s="174">
        <v>3.0026787825909729E-3</v>
      </c>
      <c r="F267" s="502"/>
      <c r="G267" s="219">
        <f t="shared" si="20"/>
        <v>9.882653362619223</v>
      </c>
      <c r="H267" s="249">
        <f>H266+(G266*E267*'life-tables-test'!$C$66)</f>
        <v>90.117346637380777</v>
      </c>
      <c r="I267" s="516">
        <f t="shared" si="24"/>
        <v>100</v>
      </c>
      <c r="J267" s="153">
        <f>(G267*0)/(1+cDR)^'Markov Model_SA2'!cycle</f>
        <v>0</v>
      </c>
      <c r="K267" s="178">
        <f t="shared" si="21"/>
        <v>9.882653362619223</v>
      </c>
      <c r="L267" s="202">
        <f>(G267*(uPostT))/(1+oDR)^'Markov Model_SA2'!cycle</f>
        <v>3.9536767863114122</v>
      </c>
      <c r="M267" s="80"/>
      <c r="N267" s="3"/>
      <c r="O267" s="80"/>
      <c r="P267" s="173">
        <v>257</v>
      </c>
      <c r="Q267" s="165"/>
      <c r="R267" s="174">
        <v>3.0026787825909729E-3</v>
      </c>
      <c r="S267" s="502"/>
      <c r="T267" s="219">
        <f t="shared" si="25"/>
        <v>9.3106278601030397</v>
      </c>
      <c r="U267" s="249">
        <f>U266+(T266*R267*'life-tables-test'!$C$66)</f>
        <v>90.68937213989696</v>
      </c>
      <c r="V267" s="516">
        <f t="shared" si="22"/>
        <v>100</v>
      </c>
      <c r="W267" s="153">
        <f>(T267*0)/(1+cDR)^'Markov Model_SA2'!cycle2</f>
        <v>0</v>
      </c>
      <c r="X267" s="178">
        <f t="shared" si="23"/>
        <v>9.3106278601030397</v>
      </c>
      <c r="Y267" s="202">
        <f>(T267*(uPostT))/(1+oDR)^'Markov Model_SA2'!cycle</f>
        <v>3.7248309624731717</v>
      </c>
      <c r="Z267" s="80"/>
      <c r="AA267" s="3"/>
      <c r="AB267" s="3"/>
      <c r="AC267" s="14">
        <v>255</v>
      </c>
      <c r="AD267" s="14"/>
      <c r="AE267" s="14"/>
      <c r="AF267" s="3"/>
      <c r="AG267" s="3"/>
      <c r="AH267" s="3"/>
      <c r="AI267" s="14"/>
      <c r="AJ267" s="14"/>
      <c r="AK267" s="3"/>
      <c r="AL267" s="3"/>
      <c r="AM267" s="3"/>
      <c r="AN267" s="3"/>
      <c r="AO267" s="3"/>
      <c r="AP267" s="3"/>
      <c r="AQ267" s="3"/>
      <c r="AR267" s="3"/>
      <c r="AS267" s="3"/>
      <c r="AT267" s="4"/>
      <c r="AU267" s="4"/>
      <c r="AV267" s="402"/>
      <c r="AW267" s="402"/>
      <c r="AX267" s="402"/>
      <c r="AY267" s="402"/>
      <c r="AZ267" s="402"/>
      <c r="BA267" s="402"/>
      <c r="BB267" s="402"/>
      <c r="BC267" s="402"/>
      <c r="BD267" s="402"/>
      <c r="BE267" s="402"/>
      <c r="BF267" s="402"/>
    </row>
    <row r="268" spans="1:58" ht="14.25" customHeight="1" x14ac:dyDescent="0.25">
      <c r="A268" s="637"/>
      <c r="B268" s="417"/>
      <c r="C268" s="173">
        <v>258</v>
      </c>
      <c r="D268" s="165"/>
      <c r="E268" s="174">
        <v>3.0026787825909729E-3</v>
      </c>
      <c r="F268" s="502"/>
      <c r="G268" s="219">
        <f t="shared" ref="G268:G331" si="26">$G$10-H268</f>
        <v>9.7342811947810333</v>
      </c>
      <c r="H268" s="249">
        <f>H267+(G267*E268*'life-tables-test'!$C$66)</f>
        <v>90.265718805218967</v>
      </c>
      <c r="I268" s="516">
        <f t="shared" si="24"/>
        <v>100</v>
      </c>
      <c r="J268" s="153">
        <f>(G268*0)/(1+cDR)^'Markov Model_SA2'!cycle</f>
        <v>0</v>
      </c>
      <c r="K268" s="178">
        <f t="shared" si="21"/>
        <v>9.7342811947810333</v>
      </c>
      <c r="L268" s="202">
        <f>(G268*(uPostT))/(1+oDR)^'Markov Model_SA2'!cycle</f>
        <v>3.884607161410488</v>
      </c>
      <c r="M268" s="80"/>
      <c r="N268" s="3"/>
      <c r="O268" s="80"/>
      <c r="P268" s="173">
        <v>258</v>
      </c>
      <c r="Q268" s="165"/>
      <c r="R268" s="174">
        <v>3.0026787825909729E-3</v>
      </c>
      <c r="S268" s="502"/>
      <c r="T268" s="219">
        <f t="shared" si="25"/>
        <v>9.1708437364623876</v>
      </c>
      <c r="U268" s="249">
        <f>U267+(T267*R268*'life-tables-test'!$C$66)</f>
        <v>90.829156263537612</v>
      </c>
      <c r="V268" s="516">
        <f t="shared" si="22"/>
        <v>100</v>
      </c>
      <c r="W268" s="153">
        <f>(T268*0)/(1+cDR)^'Markov Model_SA2'!cycle2</f>
        <v>0</v>
      </c>
      <c r="X268" s="178">
        <f t="shared" si="23"/>
        <v>9.1708437364623876</v>
      </c>
      <c r="Y268" s="202">
        <f>(T268*(uPostT))/(1+oDR)^'Markov Model_SA2'!cycle</f>
        <v>3.6597592099495206</v>
      </c>
      <c r="Z268" s="80"/>
      <c r="AA268" s="3"/>
      <c r="AB268" s="3"/>
      <c r="AC268" s="14">
        <v>256</v>
      </c>
      <c r="AD268" s="14"/>
      <c r="AE268" s="14"/>
      <c r="AF268" s="3"/>
      <c r="AG268" s="3"/>
      <c r="AH268" s="3"/>
      <c r="AI268" s="14"/>
      <c r="AJ268" s="14"/>
      <c r="AK268" s="3"/>
      <c r="AL268" s="3"/>
      <c r="AM268" s="3"/>
      <c r="AN268" s="3"/>
      <c r="AO268" s="3"/>
      <c r="AP268" s="3"/>
      <c r="AQ268" s="3"/>
      <c r="AR268" s="3"/>
      <c r="AS268" s="3"/>
      <c r="AT268" s="4"/>
      <c r="AU268" s="4"/>
      <c r="AV268" s="402"/>
      <c r="AW268" s="402"/>
      <c r="AX268" s="402"/>
      <c r="AY268" s="402"/>
      <c r="AZ268" s="402"/>
      <c r="BA268" s="402"/>
      <c r="BB268" s="402"/>
      <c r="BC268" s="402"/>
      <c r="BD268" s="402"/>
      <c r="BE268" s="402"/>
      <c r="BF268" s="402"/>
    </row>
    <row r="269" spans="1:58" ht="14.25" customHeight="1" x14ac:dyDescent="0.25">
      <c r="A269" s="637"/>
      <c r="B269" s="417"/>
      <c r="C269" s="173">
        <v>259</v>
      </c>
      <c r="D269" s="165"/>
      <c r="E269" s="174">
        <v>3.0026787825909729E-3</v>
      </c>
      <c r="F269" s="502"/>
      <c r="G269" s="219">
        <f t="shared" si="26"/>
        <v>9.5881365967443202</v>
      </c>
      <c r="H269" s="249">
        <f>H268+(G268*E269*'life-tables-test'!$C$66)</f>
        <v>90.41186340325568</v>
      </c>
      <c r="I269" s="516">
        <f t="shared" si="24"/>
        <v>100</v>
      </c>
      <c r="J269" s="153">
        <f>(G269*0)/(1+cDR)^'Markov Model_SA2'!cycle</f>
        <v>0</v>
      </c>
      <c r="K269" s="178">
        <f t="shared" si="21"/>
        <v>9.5881365967443202</v>
      </c>
      <c r="L269" s="202">
        <f>(G269*(uPostT))/(1+oDR)^'Markov Model_SA2'!cycle</f>
        <v>3.8167441634904229</v>
      </c>
      <c r="M269" s="80"/>
      <c r="N269" s="3"/>
      <c r="O269" s="80"/>
      <c r="P269" s="173">
        <v>259</v>
      </c>
      <c r="Q269" s="165"/>
      <c r="R269" s="174">
        <v>3.0026787825909729E-3</v>
      </c>
      <c r="S269" s="502"/>
      <c r="T269" s="219">
        <f t="shared" si="25"/>
        <v>9.0331582469327287</v>
      </c>
      <c r="U269" s="249">
        <f>U268+(T268*R269*'life-tables-test'!$C$66)</f>
        <v>90.966841753067271</v>
      </c>
      <c r="V269" s="516">
        <f t="shared" si="22"/>
        <v>100</v>
      </c>
      <c r="W269" s="153">
        <f>(T269*0)/(1+cDR)^'Markov Model_SA2'!cycle2</f>
        <v>0</v>
      </c>
      <c r="X269" s="178">
        <f t="shared" si="23"/>
        <v>9.0331582469327287</v>
      </c>
      <c r="Y269" s="202">
        <f>(T269*(uPostT))/(1+oDR)^'Markov Model_SA2'!cycle</f>
        <v>3.5958242426972435</v>
      </c>
      <c r="Z269" s="80"/>
      <c r="AA269" s="3"/>
      <c r="AB269" s="3"/>
      <c r="AC269" s="14">
        <v>257</v>
      </c>
      <c r="AD269" s="14"/>
      <c r="AE269" s="14"/>
      <c r="AF269" s="3"/>
      <c r="AG269" s="3"/>
      <c r="AH269" s="3"/>
      <c r="AI269" s="14"/>
      <c r="AJ269" s="14"/>
      <c r="AK269" s="3"/>
      <c r="AL269" s="3"/>
      <c r="AM269" s="3"/>
      <c r="AN269" s="3"/>
      <c r="AO269" s="3"/>
      <c r="AP269" s="3"/>
      <c r="AQ269" s="3"/>
      <c r="AR269" s="3"/>
      <c r="AS269" s="3"/>
      <c r="AT269" s="4"/>
      <c r="AU269" s="4"/>
      <c r="AV269" s="402"/>
      <c r="AW269" s="402"/>
      <c r="AX269" s="402"/>
      <c r="AY269" s="402"/>
      <c r="AZ269" s="402"/>
      <c r="BA269" s="402"/>
      <c r="BB269" s="402"/>
      <c r="BC269" s="402"/>
      <c r="BD269" s="402"/>
      <c r="BE269" s="402"/>
      <c r="BF269" s="402"/>
    </row>
    <row r="270" spans="1:58" ht="14.25" customHeight="1" x14ac:dyDescent="0.25">
      <c r="A270" s="637"/>
      <c r="B270" s="417"/>
      <c r="C270" s="173">
        <v>260</v>
      </c>
      <c r="D270" s="165"/>
      <c r="E270" s="174">
        <v>3.0026787825909729E-3</v>
      </c>
      <c r="F270" s="502"/>
      <c r="G270" s="219">
        <f t="shared" si="26"/>
        <v>9.4441861251261798</v>
      </c>
      <c r="H270" s="249">
        <f>H269+(G269*E270*'life-tables-test'!$C$66)</f>
        <v>90.55581387487382</v>
      </c>
      <c r="I270" s="516">
        <f t="shared" si="24"/>
        <v>100</v>
      </c>
      <c r="J270" s="153">
        <f>(G270*0)/(1+cDR)^'Markov Model_SA2'!cycle</f>
        <v>0</v>
      </c>
      <c r="K270" s="178">
        <f t="shared" si="21"/>
        <v>9.4441861251261798</v>
      </c>
      <c r="L270" s="202">
        <f>(G270*(uPostT))/(1+oDR)^'Markov Model_SA2'!cycle</f>
        <v>3.7500667131161793</v>
      </c>
      <c r="M270" s="80"/>
      <c r="N270" s="3"/>
      <c r="O270" s="80"/>
      <c r="P270" s="173">
        <v>260</v>
      </c>
      <c r="Q270" s="165"/>
      <c r="R270" s="174">
        <v>3.0026787825909729E-3</v>
      </c>
      <c r="S270" s="502"/>
      <c r="T270" s="219">
        <f t="shared" si="25"/>
        <v>8.8975398838934723</v>
      </c>
      <c r="U270" s="249">
        <f>U269+(T269*R270*'life-tables-test'!$C$66)</f>
        <v>91.102460116106528</v>
      </c>
      <c r="V270" s="516">
        <f t="shared" si="22"/>
        <v>100</v>
      </c>
      <c r="W270" s="153">
        <f>(T270*0)/(1+cDR)^'Markov Model_SA2'!cycle2</f>
        <v>0</v>
      </c>
      <c r="X270" s="178">
        <f t="shared" si="23"/>
        <v>8.8975398838934723</v>
      </c>
      <c r="Y270" s="202">
        <f>(T270*(uPostT))/(1+oDR)^'Markov Model_SA2'!cycle</f>
        <v>3.533006201396387</v>
      </c>
      <c r="Z270" s="80"/>
      <c r="AA270" s="3"/>
      <c r="AB270" s="3"/>
      <c r="AC270" s="14">
        <v>258</v>
      </c>
      <c r="AD270" s="14"/>
      <c r="AE270" s="14"/>
      <c r="AF270" s="3"/>
      <c r="AG270" s="3"/>
      <c r="AH270" s="3"/>
      <c r="AI270" s="14"/>
      <c r="AJ270" s="14"/>
      <c r="AK270" s="3"/>
      <c r="AL270" s="3"/>
      <c r="AM270" s="3"/>
      <c r="AN270" s="3"/>
      <c r="AO270" s="3"/>
      <c r="AP270" s="3"/>
      <c r="AQ270" s="3"/>
      <c r="AR270" s="3"/>
      <c r="AS270" s="3"/>
      <c r="AT270" s="4"/>
      <c r="AU270" s="4"/>
      <c r="AV270" s="402"/>
      <c r="AW270" s="402"/>
      <c r="AX270" s="402"/>
      <c r="AY270" s="402"/>
      <c r="AZ270" s="402"/>
      <c r="BA270" s="402"/>
      <c r="BB270" s="402"/>
      <c r="BC270" s="402"/>
      <c r="BD270" s="402"/>
      <c r="BE270" s="402"/>
      <c r="BF270" s="402"/>
    </row>
    <row r="271" spans="1:58" ht="14.25" customHeight="1" x14ac:dyDescent="0.25">
      <c r="A271" s="637"/>
      <c r="B271" s="417"/>
      <c r="C271" s="173">
        <v>261</v>
      </c>
      <c r="D271" s="165"/>
      <c r="E271" s="174">
        <v>3.0026787825909729E-3</v>
      </c>
      <c r="F271" s="502"/>
      <c r="G271" s="219">
        <f t="shared" si="26"/>
        <v>9.3023968386423945</v>
      </c>
      <c r="H271" s="249">
        <f>H270+(G270*E271*'life-tables-test'!$C$66)</f>
        <v>90.697603161357605</v>
      </c>
      <c r="I271" s="516">
        <f t="shared" si="24"/>
        <v>100</v>
      </c>
      <c r="J271" s="153">
        <f>(G271*0)/(1+cDR)^'Markov Model_SA2'!cycle</f>
        <v>0</v>
      </c>
      <c r="K271" s="178">
        <f t="shared" si="21"/>
        <v>9.3023968386423945</v>
      </c>
      <c r="L271" s="202">
        <f>(G271*(uPostT))/(1+oDR)^'Markov Model_SA2'!cycle</f>
        <v>3.6845540991045436</v>
      </c>
      <c r="M271" s="80"/>
      <c r="N271" s="3"/>
      <c r="O271" s="80"/>
      <c r="P271" s="173">
        <v>261</v>
      </c>
      <c r="Q271" s="165"/>
      <c r="R271" s="174">
        <v>3.0026787825909729E-3</v>
      </c>
      <c r="S271" s="502"/>
      <c r="T271" s="219">
        <f t="shared" si="25"/>
        <v>8.7639576127603505</v>
      </c>
      <c r="U271" s="249">
        <f>U270+(T270*R271*'life-tables-test'!$C$66)</f>
        <v>91.23604238723965</v>
      </c>
      <c r="V271" s="516">
        <f t="shared" si="22"/>
        <v>100</v>
      </c>
      <c r="W271" s="153">
        <f>(T271*0)/(1+cDR)^'Markov Model_SA2'!cycle2</f>
        <v>0</v>
      </c>
      <c r="X271" s="178">
        <f t="shared" si="23"/>
        <v>8.7639576127603505</v>
      </c>
      <c r="Y271" s="202">
        <f>(T271*(uPostT))/(1+oDR)^'Markov Model_SA2'!cycle</f>
        <v>3.4712855736637498</v>
      </c>
      <c r="Z271" s="80"/>
      <c r="AA271" s="3"/>
      <c r="AB271" s="3"/>
      <c r="AC271" s="14">
        <v>259</v>
      </c>
      <c r="AD271" s="14"/>
      <c r="AE271" s="14"/>
      <c r="AF271" s="3"/>
      <c r="AG271" s="3"/>
      <c r="AH271" s="3"/>
      <c r="AI271" s="14"/>
      <c r="AJ271" s="14"/>
      <c r="AK271" s="3"/>
      <c r="AL271" s="3"/>
      <c r="AM271" s="3"/>
      <c r="AN271" s="3"/>
      <c r="AO271" s="3"/>
      <c r="AP271" s="3"/>
      <c r="AQ271" s="3"/>
      <c r="AR271" s="3"/>
      <c r="AS271" s="3"/>
      <c r="AT271" s="4"/>
      <c r="AU271" s="4"/>
      <c r="AV271" s="402"/>
      <c r="AW271" s="402"/>
      <c r="AX271" s="402"/>
      <c r="AY271" s="402"/>
      <c r="AZ271" s="402"/>
      <c r="BA271" s="402"/>
      <c r="BB271" s="402"/>
      <c r="BC271" s="402"/>
      <c r="BD271" s="402"/>
      <c r="BE271" s="402"/>
      <c r="BF271" s="402"/>
    </row>
    <row r="272" spans="1:58" ht="14.25" customHeight="1" x14ac:dyDescent="0.25">
      <c r="A272" s="637"/>
      <c r="B272" s="417"/>
      <c r="C272" s="173">
        <v>262</v>
      </c>
      <c r="D272" s="165"/>
      <c r="E272" s="174">
        <v>3.0026787825909729E-3</v>
      </c>
      <c r="F272" s="502"/>
      <c r="G272" s="219">
        <f t="shared" si="26"/>
        <v>9.162736290569228</v>
      </c>
      <c r="H272" s="249">
        <f>H271+(G271*E272*'life-tables-test'!$C$66)</f>
        <v>90.837263709430772</v>
      </c>
      <c r="I272" s="516">
        <f t="shared" si="24"/>
        <v>100</v>
      </c>
      <c r="J272" s="153">
        <f>(G272*0)/(1+cDR)^'Markov Model_SA2'!cycle</f>
        <v>0</v>
      </c>
      <c r="K272" s="178">
        <f t="shared" si="21"/>
        <v>9.162736290569228</v>
      </c>
      <c r="L272" s="202">
        <f>(G272*(uPostT))/(1+oDR)^'Markov Model_SA2'!cycle</f>
        <v>3.6201859720908671</v>
      </c>
      <c r="M272" s="80"/>
      <c r="N272" s="3"/>
      <c r="O272" s="80"/>
      <c r="P272" s="173">
        <v>262</v>
      </c>
      <c r="Q272" s="165"/>
      <c r="R272" s="174">
        <v>3.0026787825909729E-3</v>
      </c>
      <c r="S272" s="502"/>
      <c r="T272" s="219">
        <f t="shared" si="25"/>
        <v>8.6323808648835438</v>
      </c>
      <c r="U272" s="249">
        <f>U271+(T271*R272*'life-tables-test'!$C$66)</f>
        <v>91.367619135116456</v>
      </c>
      <c r="V272" s="516">
        <f t="shared" si="22"/>
        <v>100</v>
      </c>
      <c r="W272" s="153">
        <f>(T272*0)/(1+cDR)^'Markov Model_SA2'!cycle2</f>
        <v>0</v>
      </c>
      <c r="X272" s="178">
        <f t="shared" si="23"/>
        <v>8.6323808648835438</v>
      </c>
      <c r="Y272" s="202">
        <f>(T272*(uPostT))/(1+oDR)^'Markov Model_SA2'!cycle</f>
        <v>3.4106431879920005</v>
      </c>
      <c r="Z272" s="80"/>
      <c r="AA272" s="3"/>
      <c r="AB272" s="3"/>
      <c r="AC272" s="14">
        <v>260</v>
      </c>
      <c r="AD272" s="14"/>
      <c r="AE272" s="14"/>
      <c r="AF272" s="3"/>
      <c r="AG272" s="3"/>
      <c r="AH272" s="3"/>
      <c r="AI272" s="14"/>
      <c r="AJ272" s="14"/>
      <c r="AK272" s="3"/>
      <c r="AL272" s="3"/>
      <c r="AM272" s="3"/>
      <c r="AN272" s="3"/>
      <c r="AO272" s="3"/>
      <c r="AP272" s="3"/>
      <c r="AQ272" s="3"/>
      <c r="AR272" s="3"/>
      <c r="AS272" s="3"/>
      <c r="AT272" s="4"/>
      <c r="AU272" s="4"/>
      <c r="AV272" s="402"/>
      <c r="AW272" s="402"/>
      <c r="AX272" s="402"/>
      <c r="AY272" s="402"/>
      <c r="AZ272" s="402"/>
      <c r="BA272" s="402"/>
      <c r="BB272" s="402"/>
      <c r="BC272" s="402"/>
      <c r="BD272" s="402"/>
      <c r="BE272" s="402"/>
      <c r="BF272" s="402"/>
    </row>
    <row r="273" spans="1:58" ht="14.25" customHeight="1" x14ac:dyDescent="0.25">
      <c r="A273" s="637"/>
      <c r="B273" s="417"/>
      <c r="C273" s="173">
        <v>263</v>
      </c>
      <c r="D273" s="165"/>
      <c r="E273" s="174">
        <v>3.0026787825909729E-3</v>
      </c>
      <c r="F273" s="502"/>
      <c r="G273" s="219">
        <f t="shared" si="26"/>
        <v>9.0251725213183818</v>
      </c>
      <c r="H273" s="249">
        <f>H272+(G272*E273*'life-tables-test'!$C$66)</f>
        <v>90.974827478681618</v>
      </c>
      <c r="I273" s="516">
        <f t="shared" si="24"/>
        <v>100</v>
      </c>
      <c r="J273" s="153">
        <f>(G273*0)/(1+cDR)^'Markov Model_SA2'!cycle</f>
        <v>0</v>
      </c>
      <c r="K273" s="178">
        <f t="shared" si="21"/>
        <v>9.0251725213183818</v>
      </c>
      <c r="L273" s="202">
        <f>(G273*(uPostT))/(1+oDR)^'Markov Model_SA2'!cycle</f>
        <v>3.5569423382081919</v>
      </c>
      <c r="M273" s="80"/>
      <c r="N273" s="3"/>
      <c r="O273" s="80"/>
      <c r="P273" s="173">
        <v>263</v>
      </c>
      <c r="Q273" s="165"/>
      <c r="R273" s="174">
        <v>3.0026787825909729E-3</v>
      </c>
      <c r="S273" s="502"/>
      <c r="T273" s="219">
        <f t="shared" si="25"/>
        <v>8.5027795305523881</v>
      </c>
      <c r="U273" s="249">
        <f>U272+(T272*R273*'life-tables-test'!$C$66)</f>
        <v>91.497220469447612</v>
      </c>
      <c r="V273" s="516">
        <f t="shared" si="22"/>
        <v>100</v>
      </c>
      <c r="W273" s="153">
        <f>(T273*0)/(1+cDR)^'Markov Model_SA2'!cycle2</f>
        <v>0</v>
      </c>
      <c r="X273" s="178">
        <f t="shared" si="23"/>
        <v>8.5027795305523881</v>
      </c>
      <c r="Y273" s="202">
        <f>(T273*(uPostT))/(1+oDR)^'Markov Model_SA2'!cycle</f>
        <v>3.3510602077946521</v>
      </c>
      <c r="Z273" s="80"/>
      <c r="AA273" s="3"/>
      <c r="AB273" s="3"/>
      <c r="AC273" s="14">
        <v>261</v>
      </c>
      <c r="AD273" s="14"/>
      <c r="AE273" s="14"/>
      <c r="AF273" s="3"/>
      <c r="AG273" s="3"/>
      <c r="AH273" s="3"/>
      <c r="AI273" s="14"/>
      <c r="AJ273" s="14"/>
      <c r="AK273" s="3"/>
      <c r="AL273" s="3"/>
      <c r="AM273" s="3"/>
      <c r="AN273" s="3"/>
      <c r="AO273" s="3"/>
      <c r="AP273" s="3"/>
      <c r="AQ273" s="3"/>
      <c r="AR273" s="3"/>
      <c r="AS273" s="3"/>
      <c r="AT273" s="4"/>
      <c r="AU273" s="4"/>
      <c r="AV273" s="402"/>
      <c r="AW273" s="402"/>
      <c r="AX273" s="402"/>
      <c r="AY273" s="402"/>
      <c r="AZ273" s="402"/>
      <c r="BA273" s="402"/>
      <c r="BB273" s="402"/>
      <c r="BC273" s="402"/>
      <c r="BD273" s="402"/>
      <c r="BE273" s="402"/>
      <c r="BF273" s="402"/>
    </row>
    <row r="274" spans="1:58" ht="14.25" customHeight="1" x14ac:dyDescent="0.25">
      <c r="A274" s="637"/>
      <c r="B274" s="417"/>
      <c r="C274" s="173">
        <v>264</v>
      </c>
      <c r="D274" s="165"/>
      <c r="E274" s="174">
        <v>3.0026787825909729E-3</v>
      </c>
      <c r="F274" s="502"/>
      <c r="G274" s="219">
        <f t="shared" si="26"/>
        <v>8.8896740511234498</v>
      </c>
      <c r="H274" s="249">
        <f>H273+(G273*E274*'life-tables-test'!$C$66)</f>
        <v>91.11032594887655</v>
      </c>
      <c r="I274" s="516">
        <f t="shared" si="24"/>
        <v>100</v>
      </c>
      <c r="J274" s="153">
        <f>(G274*0)/(1+cDR)^'Markov Model_SA2'!cycle</f>
        <v>0</v>
      </c>
      <c r="K274" s="178">
        <f t="shared" si="21"/>
        <v>8.8896740511234498</v>
      </c>
      <c r="L274" s="202">
        <f>(G274*(uPostT))/(1+oDR)^'Markov Model_SA2'!cycle</f>
        <v>3.494803552876812</v>
      </c>
      <c r="M274" s="80"/>
      <c r="N274" s="3"/>
      <c r="O274" s="80"/>
      <c r="P274" s="173">
        <v>264</v>
      </c>
      <c r="Q274" s="165"/>
      <c r="R274" s="174">
        <v>3.0026787825909729E-3</v>
      </c>
      <c r="S274" s="502"/>
      <c r="T274" s="219">
        <f t="shared" si="25"/>
        <v>8.3751239521051986</v>
      </c>
      <c r="U274" s="249">
        <f>U273+(T273*R274*'life-tables-test'!$C$66)</f>
        <v>91.624876047894801</v>
      </c>
      <c r="V274" s="516">
        <f t="shared" si="22"/>
        <v>100</v>
      </c>
      <c r="W274" s="153">
        <f>(T274*0)/(1+cDR)^'Markov Model_SA2'!cycle2</f>
        <v>0</v>
      </c>
      <c r="X274" s="178">
        <f t="shared" si="23"/>
        <v>8.3751239521051986</v>
      </c>
      <c r="Y274" s="202">
        <f>(T274*(uPostT))/(1+oDR)^'Markov Model_SA2'!cycle</f>
        <v>3.2925181255551159</v>
      </c>
      <c r="Z274" s="80"/>
      <c r="AA274" s="3"/>
      <c r="AB274" s="3"/>
      <c r="AC274" s="14">
        <v>262</v>
      </c>
      <c r="AD274" s="14"/>
      <c r="AE274" s="14"/>
      <c r="AF274" s="3"/>
      <c r="AG274" s="3"/>
      <c r="AH274" s="3"/>
      <c r="AI274" s="14"/>
      <c r="AJ274" s="14"/>
      <c r="AK274" s="3"/>
      <c r="AL274" s="3"/>
      <c r="AM274" s="3"/>
      <c r="AN274" s="3"/>
      <c r="AO274" s="3"/>
      <c r="AP274" s="3"/>
      <c r="AQ274" s="3"/>
      <c r="AR274" s="3"/>
      <c r="AS274" s="3"/>
      <c r="AT274" s="4"/>
      <c r="AU274" s="4"/>
      <c r="AV274" s="402"/>
      <c r="AW274" s="402"/>
      <c r="AX274" s="402"/>
      <c r="AY274" s="402"/>
      <c r="AZ274" s="402"/>
      <c r="BA274" s="402"/>
      <c r="BB274" s="402"/>
      <c r="BC274" s="402"/>
      <c r="BD274" s="402"/>
      <c r="BE274" s="402"/>
      <c r="BF274" s="402"/>
    </row>
    <row r="275" spans="1:58" ht="14.25" customHeight="1" x14ac:dyDescent="0.25">
      <c r="A275" s="606"/>
      <c r="B275" s="417"/>
      <c r="C275" s="173">
        <v>265</v>
      </c>
      <c r="D275" s="504"/>
      <c r="E275" s="174">
        <v>3.0026787825909729E-3</v>
      </c>
      <c r="F275" s="505"/>
      <c r="G275" s="219">
        <f t="shared" si="26"/>
        <v>8.7562098728361661</v>
      </c>
      <c r="H275" s="249">
        <f>H274+(G274*E275*'life-tables-test'!$C$66)</f>
        <v>91.243790127163834</v>
      </c>
      <c r="I275" s="516">
        <f t="shared" si="24"/>
        <v>100</v>
      </c>
      <c r="J275" s="180">
        <f>(G275*0)/(1+cDR)^'Markov Model_SA2'!cycle</f>
        <v>0</v>
      </c>
      <c r="K275" s="176">
        <f t="shared" si="21"/>
        <v>8.7562098728361661</v>
      </c>
      <c r="L275" s="202">
        <f>(G275*(uPostT))/(1+oDR)^'Markov Model_SA2'!cycle</f>
        <v>3.4337503147023245</v>
      </c>
      <c r="M275" s="80"/>
      <c r="N275" s="3"/>
      <c r="O275" s="80"/>
      <c r="P275" s="173">
        <v>265</v>
      </c>
      <c r="Q275" s="504"/>
      <c r="R275" s="174">
        <v>3.0026787825909729E-3</v>
      </c>
      <c r="S275" s="505"/>
      <c r="T275" s="219">
        <f t="shared" si="25"/>
        <v>8.2493849171424216</v>
      </c>
      <c r="U275" s="249">
        <f>U274+(T274*R275*'life-tables-test'!$C$66)</f>
        <v>91.750615082857578</v>
      </c>
      <c r="V275" s="516">
        <f t="shared" si="22"/>
        <v>100</v>
      </c>
      <c r="W275" s="180">
        <f>(T275*0)/(1+cDR)^'Markov Model_SA2'!cycle2</f>
        <v>0</v>
      </c>
      <c r="X275" s="176">
        <f t="shared" si="23"/>
        <v>8.2493849171424216</v>
      </c>
      <c r="Y275" s="202">
        <f>(T275*(uPostT))/(1+oDR)^'Markov Model_SA2'!cycle</f>
        <v>3.2349987570779191</v>
      </c>
      <c r="Z275" s="80"/>
      <c r="AA275" s="3"/>
      <c r="AB275" s="3"/>
      <c r="AC275" s="14">
        <v>263</v>
      </c>
      <c r="AD275" s="14"/>
      <c r="AE275" s="14"/>
      <c r="AF275" s="3"/>
      <c r="AG275" s="3"/>
      <c r="AH275" s="3"/>
      <c r="AI275" s="14"/>
      <c r="AJ275" s="14"/>
      <c r="AK275" s="3"/>
      <c r="AL275" s="3"/>
      <c r="AM275" s="3"/>
      <c r="AN275" s="3"/>
      <c r="AO275" s="3"/>
      <c r="AP275" s="3"/>
      <c r="AQ275" s="3"/>
      <c r="AR275" s="3"/>
      <c r="AS275" s="3"/>
      <c r="AT275" s="4"/>
      <c r="AU275" s="4"/>
      <c r="AV275" s="402"/>
      <c r="AW275" s="402"/>
      <c r="AX275" s="402"/>
      <c r="AY275" s="402"/>
      <c r="AZ275" s="402"/>
      <c r="BA275" s="402"/>
      <c r="BB275" s="402"/>
      <c r="BC275" s="402"/>
      <c r="BD275" s="402"/>
      <c r="BE275" s="402"/>
      <c r="BF275" s="402"/>
    </row>
    <row r="276" spans="1:58" ht="14.25" customHeight="1" x14ac:dyDescent="0.25">
      <c r="A276" s="637" t="s">
        <v>564</v>
      </c>
      <c r="B276" s="417"/>
      <c r="C276" s="506">
        <v>266</v>
      </c>
      <c r="D276" s="506"/>
      <c r="E276" s="507">
        <v>3.0026787825909729E-3</v>
      </c>
      <c r="F276" s="508"/>
      <c r="G276" s="509">
        <f t="shared" si="26"/>
        <v>8.6247494448307691</v>
      </c>
      <c r="H276" s="510">
        <f>H275+(G275*E276*'life-tables-test'!$C$66)</f>
        <v>91.375250555169231</v>
      </c>
      <c r="I276" s="518">
        <f t="shared" si="24"/>
        <v>100</v>
      </c>
      <c r="J276" s="511">
        <f>(G276*0)/(1+cDR)^'Markov Model_SA2'!cycle</f>
        <v>0</v>
      </c>
      <c r="K276" s="512">
        <f t="shared" si="21"/>
        <v>8.6247494448307691</v>
      </c>
      <c r="L276" s="513">
        <f>(G276*(uPostT))/(1+oDR)^'Markov Model_SA2'!cycle</f>
        <v>3.373763659480264</v>
      </c>
      <c r="M276" s="80"/>
      <c r="N276" s="3"/>
      <c r="O276" s="80"/>
      <c r="P276" s="506">
        <v>266</v>
      </c>
      <c r="Q276" s="506"/>
      <c r="R276" s="507">
        <v>3.0026787825909729E-3</v>
      </c>
      <c r="S276" s="508"/>
      <c r="T276" s="509">
        <f t="shared" si="25"/>
        <v>8.1255336518417778</v>
      </c>
      <c r="U276" s="510">
        <f>U275+(T275*R276*'life-tables-test'!$C$66)</f>
        <v>91.874466348158222</v>
      </c>
      <c r="V276" s="518">
        <f t="shared" si="22"/>
        <v>100</v>
      </c>
      <c r="W276" s="511">
        <f>(T276*0)/(1+cDR)^'Markov Model_SA2'!cycle2</f>
        <v>0</v>
      </c>
      <c r="X276" s="512">
        <f t="shared" si="23"/>
        <v>8.1255336518417778</v>
      </c>
      <c r="Y276" s="513">
        <f>(T276*(uPostT))/(1+oDR)^'Markov Model_SA2'!cycle</f>
        <v>3.17848423584039</v>
      </c>
      <c r="Z276" s="80"/>
      <c r="AA276" s="3"/>
      <c r="AB276" s="3"/>
      <c r="AC276" s="14">
        <v>264</v>
      </c>
      <c r="AD276" s="14"/>
      <c r="AE276" s="14"/>
      <c r="AF276" s="3"/>
      <c r="AG276" s="3"/>
      <c r="AH276" s="3"/>
      <c r="AI276" s="14"/>
      <c r="AJ276" s="14"/>
      <c r="AK276" s="3"/>
      <c r="AL276" s="3"/>
      <c r="AM276" s="3"/>
      <c r="AN276" s="3"/>
      <c r="AO276" s="3"/>
      <c r="AP276" s="3"/>
      <c r="AQ276" s="3"/>
      <c r="AR276" s="3"/>
      <c r="AS276" s="3"/>
      <c r="AT276" s="4"/>
      <c r="AU276" s="4"/>
      <c r="AV276" s="402"/>
      <c r="AW276" s="402"/>
      <c r="AX276" s="402"/>
      <c r="AY276" s="402"/>
      <c r="AZ276" s="402"/>
      <c r="BA276" s="402"/>
      <c r="BB276" s="402"/>
      <c r="BC276" s="402"/>
      <c r="BD276" s="402"/>
      <c r="BE276" s="402"/>
      <c r="BF276" s="402"/>
    </row>
    <row r="277" spans="1:58" ht="14.25" customHeight="1" x14ac:dyDescent="0.25">
      <c r="A277" s="637"/>
      <c r="B277" s="417"/>
      <c r="C277" s="173">
        <v>267</v>
      </c>
      <c r="D277" s="165"/>
      <c r="E277" s="174">
        <v>3.331798494724536E-3</v>
      </c>
      <c r="F277" s="502"/>
      <c r="G277" s="219">
        <f t="shared" si="26"/>
        <v>8.481069808742447</v>
      </c>
      <c r="H277" s="249">
        <f>H276+(G276*E277*'life-tables-test'!$C$66)</f>
        <v>91.518930191257553</v>
      </c>
      <c r="I277" s="516">
        <f t="shared" si="24"/>
        <v>100</v>
      </c>
      <c r="J277" s="153">
        <f>(G277*0)/(1+cDR)^'Markov Model_SA2'!cycle</f>
        <v>0</v>
      </c>
      <c r="K277" s="178">
        <f t="shared" si="21"/>
        <v>8.481069808742447</v>
      </c>
      <c r="L277" s="202">
        <f>(G277*(uPostT))/(1+oDR)^'Markov Model_SA2'!cycle</f>
        <v>3.3092869387223938</v>
      </c>
      <c r="M277" s="80"/>
      <c r="N277" s="3"/>
      <c r="O277" s="80"/>
      <c r="P277" s="173">
        <v>267</v>
      </c>
      <c r="Q277" s="165"/>
      <c r="R277" s="174">
        <v>3.331798494724536E-3</v>
      </c>
      <c r="S277" s="502"/>
      <c r="T277" s="219">
        <f t="shared" si="25"/>
        <v>7.9901704478915718</v>
      </c>
      <c r="U277" s="249">
        <f>U276+(T276*R277*'life-tables-test'!$C$66)</f>
        <v>92.009829552108428</v>
      </c>
      <c r="V277" s="516">
        <f t="shared" si="22"/>
        <v>100</v>
      </c>
      <c r="W277" s="153">
        <f>(T277*0)/(1+cDR)^'Markov Model_SA2'!cycle2</f>
        <v>0</v>
      </c>
      <c r="X277" s="178">
        <f t="shared" si="23"/>
        <v>7.9901704478915718</v>
      </c>
      <c r="Y277" s="202">
        <f>(T277*(uPostT))/(1+oDR)^'Markov Model_SA2'!cycle</f>
        <v>3.1177395420229375</v>
      </c>
      <c r="Z277" s="80"/>
      <c r="AA277" s="3"/>
      <c r="AB277" s="3"/>
      <c r="AC277" s="14">
        <v>265</v>
      </c>
      <c r="AD277" s="14"/>
      <c r="AE277" s="14"/>
      <c r="AF277" s="3"/>
      <c r="AG277" s="3"/>
      <c r="AH277" s="3"/>
      <c r="AI277" s="14"/>
      <c r="AJ277" s="14"/>
      <c r="AK277" s="3"/>
      <c r="AL277" s="3"/>
      <c r="AM277" s="3"/>
      <c r="AN277" s="3"/>
      <c r="AO277" s="3"/>
      <c r="AP277" s="3"/>
      <c r="AQ277" s="3"/>
      <c r="AR277" s="3"/>
      <c r="AS277" s="3"/>
      <c r="AT277" s="4"/>
      <c r="AU277" s="4"/>
      <c r="AV277" s="402"/>
      <c r="AW277" s="402"/>
      <c r="AX277" s="402"/>
      <c r="AY277" s="402"/>
      <c r="AZ277" s="402"/>
      <c r="BA277" s="402"/>
      <c r="BB277" s="402"/>
      <c r="BC277" s="402"/>
      <c r="BD277" s="402"/>
      <c r="BE277" s="402"/>
      <c r="BF277" s="402"/>
    </row>
    <row r="278" spans="1:58" ht="14.25" customHeight="1" x14ac:dyDescent="0.25">
      <c r="A278" s="637"/>
      <c r="B278" s="417"/>
      <c r="C278" s="173">
        <v>268</v>
      </c>
      <c r="D278" s="165"/>
      <c r="E278" s="174">
        <v>3.331798494724536E-3</v>
      </c>
      <c r="F278" s="502"/>
      <c r="G278" s="219">
        <f t="shared" si="26"/>
        <v>8.3397837306303444</v>
      </c>
      <c r="H278" s="249">
        <f>H277+(G277*E278*'life-tables-test'!$C$66)</f>
        <v>91.660216269369656</v>
      </c>
      <c r="I278" s="516">
        <f t="shared" si="24"/>
        <v>100</v>
      </c>
      <c r="J278" s="153">
        <f>(G278*0)/(1+cDR)^'Markov Model_SA2'!cycle</f>
        <v>0</v>
      </c>
      <c r="K278" s="178">
        <f t="shared" si="21"/>
        <v>8.3397837306303444</v>
      </c>
      <c r="L278" s="202">
        <f>(G278*(uPostT))/(1+oDR)^'Markov Model_SA2'!cycle</f>
        <v>3.2460424464011584</v>
      </c>
      <c r="M278" s="80"/>
      <c r="N278" s="3"/>
      <c r="O278" s="80"/>
      <c r="P278" s="173">
        <v>268</v>
      </c>
      <c r="Q278" s="165"/>
      <c r="R278" s="174">
        <v>3.331798494724536E-3</v>
      </c>
      <c r="S278" s="502"/>
      <c r="T278" s="219">
        <f t="shared" si="25"/>
        <v>7.8570622585371837</v>
      </c>
      <c r="U278" s="249">
        <f>U277+(T277*R278*'life-tables-test'!$C$66)</f>
        <v>92.142937741462816</v>
      </c>
      <c r="V278" s="516">
        <f t="shared" si="22"/>
        <v>100</v>
      </c>
      <c r="W278" s="153">
        <f>(T278*0)/(1+cDR)^'Markov Model_SA2'!cycle2</f>
        <v>0</v>
      </c>
      <c r="X278" s="178">
        <f t="shared" si="23"/>
        <v>7.8570622585371837</v>
      </c>
      <c r="Y278" s="202">
        <f>(T278*(uPostT))/(1+oDR)^'Markov Model_SA2'!cycle</f>
        <v>3.0581557530749732</v>
      </c>
      <c r="Z278" s="80"/>
      <c r="AA278" s="3"/>
      <c r="AB278" s="3"/>
      <c r="AC278" s="14">
        <v>266</v>
      </c>
      <c r="AD278" s="14"/>
      <c r="AE278" s="14"/>
      <c r="AF278" s="3"/>
      <c r="AG278" s="3"/>
      <c r="AH278" s="3"/>
      <c r="AI278" s="14"/>
      <c r="AJ278" s="14"/>
      <c r="AK278" s="3"/>
      <c r="AL278" s="3"/>
      <c r="AM278" s="3"/>
      <c r="AN278" s="3"/>
      <c r="AO278" s="3"/>
      <c r="AP278" s="3"/>
      <c r="AQ278" s="3"/>
      <c r="AR278" s="3"/>
      <c r="AS278" s="3"/>
      <c r="AT278" s="4"/>
      <c r="AU278" s="4"/>
      <c r="AV278" s="402"/>
      <c r="AW278" s="402"/>
      <c r="AX278" s="402"/>
      <c r="AY278" s="402"/>
      <c r="AZ278" s="402"/>
      <c r="BA278" s="402"/>
      <c r="BB278" s="402"/>
      <c r="BC278" s="402"/>
      <c r="BD278" s="402"/>
      <c r="BE278" s="402"/>
      <c r="BF278" s="402"/>
    </row>
    <row r="279" spans="1:58" ht="14.25" customHeight="1" x14ac:dyDescent="0.25">
      <c r="A279" s="637"/>
      <c r="B279" s="417"/>
      <c r="C279" s="173">
        <v>269</v>
      </c>
      <c r="D279" s="165"/>
      <c r="E279" s="174">
        <v>3.331798494724536E-3</v>
      </c>
      <c r="F279" s="502"/>
      <c r="G279" s="219">
        <f t="shared" si="26"/>
        <v>8.2008513362301301</v>
      </c>
      <c r="H279" s="249">
        <f>H278+(G278*E279*'life-tables-test'!$C$66)</f>
        <v>91.79914866376987</v>
      </c>
      <c r="I279" s="516">
        <f t="shared" si="24"/>
        <v>100</v>
      </c>
      <c r="J279" s="153">
        <f>(G279*0)/(1+cDR)^'Markov Model_SA2'!cycle</f>
        <v>0</v>
      </c>
      <c r="K279" s="178">
        <f t="shared" si="21"/>
        <v>8.2008513362301301</v>
      </c>
      <c r="L279" s="202">
        <f>(G279*(uPostT))/(1+oDR)^'Markov Model_SA2'!cycle</f>
        <v>3.1840066331346639</v>
      </c>
      <c r="M279" s="80"/>
      <c r="N279" s="3"/>
      <c r="O279" s="80"/>
      <c r="P279" s="173">
        <v>269</v>
      </c>
      <c r="Q279" s="165"/>
      <c r="R279" s="174">
        <v>3.331798494724536E-3</v>
      </c>
      <c r="S279" s="502"/>
      <c r="T279" s="219">
        <f t="shared" si="25"/>
        <v>7.7261715175074244</v>
      </c>
      <c r="U279" s="249">
        <f>U278+(T278*R279*'life-tables-test'!$C$66)</f>
        <v>92.273828482492576</v>
      </c>
      <c r="V279" s="516">
        <f t="shared" si="22"/>
        <v>100</v>
      </c>
      <c r="W279" s="153">
        <f>(T279*0)/(1+cDR)^'Markov Model_SA2'!cycle2</f>
        <v>0</v>
      </c>
      <c r="X279" s="178">
        <f t="shared" si="23"/>
        <v>7.7261715175074244</v>
      </c>
      <c r="Y279" s="202">
        <f>(T279*(uPostT))/(1+oDR)^'Markov Model_SA2'!cycle</f>
        <v>2.9997106826945936</v>
      </c>
      <c r="Z279" s="80"/>
      <c r="AA279" s="3"/>
      <c r="AB279" s="3"/>
      <c r="AC279" s="14">
        <v>267</v>
      </c>
      <c r="AD279" s="14"/>
      <c r="AE279" s="14"/>
      <c r="AF279" s="3"/>
      <c r="AG279" s="3"/>
      <c r="AH279" s="3"/>
      <c r="AI279" s="14"/>
      <c r="AJ279" s="14"/>
      <c r="AK279" s="3"/>
      <c r="AL279" s="3"/>
      <c r="AM279" s="3"/>
      <c r="AN279" s="3"/>
      <c r="AO279" s="3"/>
      <c r="AP279" s="3"/>
      <c r="AQ279" s="3"/>
      <c r="AR279" s="3"/>
      <c r="AS279" s="3"/>
      <c r="AT279" s="4"/>
      <c r="AU279" s="4"/>
      <c r="AV279" s="402"/>
      <c r="AW279" s="402"/>
      <c r="AX279" s="402"/>
      <c r="AY279" s="402"/>
      <c r="AZ279" s="402"/>
      <c r="BA279" s="402"/>
      <c r="BB279" s="402"/>
      <c r="BC279" s="402"/>
      <c r="BD279" s="402"/>
      <c r="BE279" s="402"/>
      <c r="BF279" s="402"/>
    </row>
    <row r="280" spans="1:58" ht="14.25" customHeight="1" x14ac:dyDescent="0.25">
      <c r="A280" s="637"/>
      <c r="B280" s="417"/>
      <c r="C280" s="173">
        <v>270</v>
      </c>
      <c r="D280" s="165"/>
      <c r="E280" s="174">
        <v>3.331798494724536E-3</v>
      </c>
      <c r="F280" s="502"/>
      <c r="G280" s="219">
        <f t="shared" si="26"/>
        <v>8.0642334155425743</v>
      </c>
      <c r="H280" s="249">
        <f>H279+(G279*E280*'life-tables-test'!$C$66)</f>
        <v>91.935766584457426</v>
      </c>
      <c r="I280" s="516">
        <f t="shared" si="24"/>
        <v>100</v>
      </c>
      <c r="J280" s="153">
        <f>(G280*0)/(1+cDR)^'Markov Model_SA2'!cycle</f>
        <v>0</v>
      </c>
      <c r="K280" s="178">
        <f t="shared" si="21"/>
        <v>8.0642334155425743</v>
      </c>
      <c r="L280" s="202">
        <f>(G280*(uPostT))/(1+oDR)^'Markov Model_SA2'!cycle</f>
        <v>3.1231563995983147</v>
      </c>
      <c r="M280" s="80"/>
      <c r="N280" s="3"/>
      <c r="O280" s="80"/>
      <c r="P280" s="173">
        <v>270</v>
      </c>
      <c r="Q280" s="165"/>
      <c r="R280" s="174">
        <v>3.331798494724536E-3</v>
      </c>
      <c r="S280" s="502"/>
      <c r="T280" s="219">
        <f t="shared" si="25"/>
        <v>7.5974612843473466</v>
      </c>
      <c r="U280" s="249">
        <f>U279+(T279*R280*'life-tables-test'!$C$66)</f>
        <v>92.402538715652653</v>
      </c>
      <c r="V280" s="516">
        <f t="shared" si="22"/>
        <v>100</v>
      </c>
      <c r="W280" s="153">
        <f>(T280*0)/(1+cDR)^'Markov Model_SA2'!cycle2</f>
        <v>0</v>
      </c>
      <c r="X280" s="178">
        <f t="shared" si="23"/>
        <v>7.5974612843473466</v>
      </c>
      <c r="Y280" s="202">
        <f>(T280*(uPostT))/(1+oDR)^'Markov Model_SA2'!cycle</f>
        <v>2.9423825685870701</v>
      </c>
      <c r="Z280" s="80"/>
      <c r="AA280" s="3"/>
      <c r="AB280" s="3"/>
      <c r="AC280" s="14">
        <v>268</v>
      </c>
      <c r="AD280" s="14"/>
      <c r="AE280" s="14"/>
      <c r="AF280" s="3"/>
      <c r="AG280" s="3"/>
      <c r="AH280" s="3"/>
      <c r="AI280" s="14"/>
      <c r="AJ280" s="14"/>
      <c r="AK280" s="3"/>
      <c r="AL280" s="3"/>
      <c r="AM280" s="3"/>
      <c r="AN280" s="3"/>
      <c r="AO280" s="3"/>
      <c r="AP280" s="3"/>
      <c r="AQ280" s="3"/>
      <c r="AR280" s="3"/>
      <c r="AS280" s="3"/>
      <c r="AT280" s="4"/>
      <c r="AU280" s="4"/>
      <c r="AV280" s="402"/>
      <c r="AW280" s="402"/>
      <c r="AX280" s="402"/>
      <c r="AY280" s="402"/>
      <c r="AZ280" s="402"/>
      <c r="BA280" s="402"/>
      <c r="BB280" s="402"/>
      <c r="BC280" s="402"/>
      <c r="BD280" s="402"/>
      <c r="BE280" s="402"/>
      <c r="BF280" s="402"/>
    </row>
    <row r="281" spans="1:58" ht="14.25" customHeight="1" x14ac:dyDescent="0.25">
      <c r="A281" s="637"/>
      <c r="B281" s="417"/>
      <c r="C281" s="173">
        <v>271</v>
      </c>
      <c r="D281" s="165"/>
      <c r="E281" s="174">
        <v>3.331798494724536E-3</v>
      </c>
      <c r="F281" s="502"/>
      <c r="G281" s="219">
        <f t="shared" si="26"/>
        <v>7.9298914117675139</v>
      </c>
      <c r="H281" s="249">
        <f>H280+(G280*E281*'life-tables-test'!$C$66)</f>
        <v>92.070108588232486</v>
      </c>
      <c r="I281" s="516">
        <f t="shared" si="24"/>
        <v>100</v>
      </c>
      <c r="J281" s="153">
        <f>(G281*0)/(1+cDR)^'Markov Model_SA2'!cycle</f>
        <v>0</v>
      </c>
      <c r="K281" s="178">
        <f t="shared" si="21"/>
        <v>7.9298914117675139</v>
      </c>
      <c r="L281" s="202">
        <f>(G281*(uPostT))/(1+oDR)^'Markov Model_SA2'!cycle</f>
        <v>3.0634690879236506</v>
      </c>
      <c r="M281" s="80"/>
      <c r="N281" s="3"/>
      <c r="O281" s="80"/>
      <c r="P281" s="173">
        <v>271</v>
      </c>
      <c r="Q281" s="165"/>
      <c r="R281" s="174">
        <v>3.331798494724536E-3</v>
      </c>
      <c r="S281" s="502"/>
      <c r="T281" s="219">
        <f t="shared" si="25"/>
        <v>7.4708952339927635</v>
      </c>
      <c r="U281" s="249">
        <f>U280+(T280*R281*'life-tables-test'!$C$66)</f>
        <v>92.529104766007237</v>
      </c>
      <c r="V281" s="516">
        <f t="shared" si="22"/>
        <v>100</v>
      </c>
      <c r="W281" s="153">
        <f>(T281*0)/(1+cDR)^'Markov Model_SA2'!cycle2</f>
        <v>0</v>
      </c>
      <c r="X281" s="178">
        <f t="shared" si="23"/>
        <v>7.4708952339927635</v>
      </c>
      <c r="Y281" s="202">
        <f>(T281*(uPostT))/(1+oDR)^'Markov Model_SA2'!cycle</f>
        <v>2.8861500643615559</v>
      </c>
      <c r="Z281" s="80"/>
      <c r="AA281" s="3"/>
      <c r="AB281" s="3"/>
      <c r="AC281" s="14">
        <v>269</v>
      </c>
      <c r="AD281" s="14"/>
      <c r="AE281" s="14"/>
      <c r="AF281" s="3"/>
      <c r="AG281" s="3"/>
      <c r="AH281" s="3"/>
      <c r="AI281" s="14"/>
      <c r="AJ281" s="14"/>
      <c r="AK281" s="3"/>
      <c r="AL281" s="3"/>
      <c r="AM281" s="3"/>
      <c r="AN281" s="3"/>
      <c r="AO281" s="3"/>
      <c r="AP281" s="3"/>
      <c r="AQ281" s="3"/>
      <c r="AR281" s="3"/>
      <c r="AS281" s="3"/>
      <c r="AT281" s="4"/>
      <c r="AU281" s="4"/>
      <c r="AV281" s="402"/>
      <c r="AW281" s="402"/>
      <c r="AX281" s="402"/>
      <c r="AY281" s="402"/>
      <c r="AZ281" s="402"/>
      <c r="BA281" s="402"/>
      <c r="BB281" s="402"/>
      <c r="BC281" s="402"/>
      <c r="BD281" s="402"/>
      <c r="BE281" s="402"/>
      <c r="BF281" s="402"/>
    </row>
    <row r="282" spans="1:58" ht="14.25" customHeight="1" x14ac:dyDescent="0.25">
      <c r="A282" s="637"/>
      <c r="B282" s="417"/>
      <c r="C282" s="173">
        <v>272</v>
      </c>
      <c r="D282" s="165"/>
      <c r="E282" s="174">
        <v>3.331798494724536E-3</v>
      </c>
      <c r="F282" s="502"/>
      <c r="G282" s="219">
        <f t="shared" si="26"/>
        <v>7.7977874104222309</v>
      </c>
      <c r="H282" s="249">
        <f>H281+(G281*E282*'life-tables-test'!$C$66)</f>
        <v>92.202212589577769</v>
      </c>
      <c r="I282" s="516">
        <f t="shared" si="24"/>
        <v>100</v>
      </c>
      <c r="J282" s="153">
        <f>(G282*0)/(1+cDR)^'Markov Model_SA2'!cycle</f>
        <v>0</v>
      </c>
      <c r="K282" s="178">
        <f t="shared" si="21"/>
        <v>7.7977874104222309</v>
      </c>
      <c r="L282" s="202">
        <f>(G282*(uPostT))/(1+oDR)^'Markov Model_SA2'!cycle</f>
        <v>3.0049224732615993</v>
      </c>
      <c r="M282" s="80"/>
      <c r="N282" s="3"/>
      <c r="O282" s="80"/>
      <c r="P282" s="173">
        <v>272</v>
      </c>
      <c r="Q282" s="165"/>
      <c r="R282" s="174">
        <v>3.331798494724536E-3</v>
      </c>
      <c r="S282" s="502"/>
      <c r="T282" s="219">
        <f t="shared" si="25"/>
        <v>7.3464376465184529</v>
      </c>
      <c r="U282" s="249">
        <f>U281+(T281*R282*'life-tables-test'!$C$66)</f>
        <v>92.653562353481547</v>
      </c>
      <c r="V282" s="516">
        <f t="shared" si="22"/>
        <v>100</v>
      </c>
      <c r="W282" s="153">
        <f>(T282*0)/(1+cDR)^'Markov Model_SA2'!cycle2</f>
        <v>0</v>
      </c>
      <c r="X282" s="178">
        <f t="shared" si="23"/>
        <v>7.3464376465184529</v>
      </c>
      <c r="Y282" s="202">
        <f>(T282*(uPostT))/(1+oDR)^'Markov Model_SA2'!cycle</f>
        <v>2.8309922315826537</v>
      </c>
      <c r="Z282" s="80"/>
      <c r="AA282" s="3"/>
      <c r="AB282" s="3"/>
      <c r="AC282" s="14">
        <v>270</v>
      </c>
      <c r="AD282" s="14"/>
      <c r="AE282" s="14"/>
      <c r="AF282" s="3"/>
      <c r="AG282" s="3"/>
      <c r="AH282" s="3"/>
      <c r="AI282" s="14"/>
      <c r="AJ282" s="14"/>
      <c r="AK282" s="3"/>
      <c r="AL282" s="3"/>
      <c r="AM282" s="3"/>
      <c r="AN282" s="3"/>
      <c r="AO282" s="3"/>
      <c r="AP282" s="3"/>
      <c r="AQ282" s="3"/>
      <c r="AR282" s="3"/>
      <c r="AS282" s="3"/>
      <c r="AT282" s="4"/>
      <c r="AU282" s="4"/>
      <c r="AV282" s="402"/>
      <c r="AW282" s="402"/>
      <c r="AX282" s="402"/>
      <c r="AY282" s="402"/>
      <c r="AZ282" s="402"/>
      <c r="BA282" s="402"/>
      <c r="BB282" s="402"/>
      <c r="BC282" s="402"/>
      <c r="BD282" s="402"/>
      <c r="BE282" s="402"/>
      <c r="BF282" s="402"/>
    </row>
    <row r="283" spans="1:58" ht="14.25" customHeight="1" x14ac:dyDescent="0.2">
      <c r="A283" s="637"/>
      <c r="B283" s="417"/>
      <c r="C283" s="173">
        <v>273</v>
      </c>
      <c r="D283" s="165"/>
      <c r="E283" s="174">
        <v>3.331798494724536E-3</v>
      </c>
      <c r="F283" s="502"/>
      <c r="G283" s="219">
        <f t="shared" si="26"/>
        <v>7.6678841286410915</v>
      </c>
      <c r="H283" s="249">
        <f>H282+(G282*E283*'life-tables-test'!$C$66)</f>
        <v>92.332115871358909</v>
      </c>
      <c r="I283" s="516">
        <f t="shared" si="24"/>
        <v>100</v>
      </c>
      <c r="J283" s="153">
        <f>(G283*0)/(1+cDR)^'Markov Model_SA2'!cycle</f>
        <v>0</v>
      </c>
      <c r="K283" s="178">
        <f t="shared" si="21"/>
        <v>7.6678841286410915</v>
      </c>
      <c r="L283" s="202">
        <f>(G283*(uPostT))/(1+oDR)^'Markov Model_SA2'!cycle</f>
        <v>2.9474947555069453</v>
      </c>
      <c r="M283" s="80"/>
      <c r="N283" s="3"/>
      <c r="O283" s="80"/>
      <c r="P283" s="173">
        <v>273</v>
      </c>
      <c r="Q283" s="165"/>
      <c r="R283" s="174">
        <v>3.331798494724536E-3</v>
      </c>
      <c r="S283" s="502"/>
      <c r="T283" s="219">
        <f t="shared" si="25"/>
        <v>7.2240533970571619</v>
      </c>
      <c r="U283" s="249">
        <f>U282+(T282*R283*'life-tables-test'!$C$66)</f>
        <v>92.775946602942838</v>
      </c>
      <c r="V283" s="516">
        <f t="shared" si="22"/>
        <v>100</v>
      </c>
      <c r="W283" s="153">
        <f>(T283*0)/(1+cDR)^'Markov Model_SA2'!cycle2</f>
        <v>0</v>
      </c>
      <c r="X283" s="178">
        <f t="shared" si="23"/>
        <v>7.2240533970571619</v>
      </c>
      <c r="Y283" s="202">
        <f>(T283*(uPostT))/(1+oDR)^'Markov Model_SA2'!cycle</f>
        <v>2.7768885319738987</v>
      </c>
      <c r="Z283" s="80"/>
      <c r="AA283" s="3"/>
      <c r="AB283" s="3"/>
      <c r="AC283" s="14">
        <v>271</v>
      </c>
      <c r="AD283" s="14"/>
      <c r="AE283" s="14"/>
      <c r="AF283" s="3"/>
      <c r="AG283" s="3"/>
      <c r="AH283" s="3"/>
      <c r="AI283" s="14"/>
      <c r="AJ283" s="14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</row>
    <row r="284" spans="1:58" ht="14.25" customHeight="1" x14ac:dyDescent="0.2">
      <c r="A284" s="637"/>
      <c r="B284" s="417"/>
      <c r="C284" s="173">
        <v>274</v>
      </c>
      <c r="D284" s="165"/>
      <c r="E284" s="174">
        <v>3.331798494724536E-3</v>
      </c>
      <c r="F284" s="502"/>
      <c r="G284" s="219">
        <f t="shared" si="26"/>
        <v>7.5401449046534452</v>
      </c>
      <c r="H284" s="249">
        <f>H283+(G283*E284*'life-tables-test'!$C$66)</f>
        <v>92.459855095346555</v>
      </c>
      <c r="I284" s="516">
        <f t="shared" si="24"/>
        <v>100</v>
      </c>
      <c r="J284" s="153">
        <f>(G284*0)/(1+cDR)^'Markov Model_SA2'!cycle</f>
        <v>0</v>
      </c>
      <c r="K284" s="178">
        <f t="shared" si="21"/>
        <v>7.5401449046534452</v>
      </c>
      <c r="L284" s="202">
        <f>(G284*(uPostT))/(1+oDR)^'Markov Model_SA2'!cycle</f>
        <v>2.8911645511809589</v>
      </c>
      <c r="M284" s="80"/>
      <c r="N284" s="3"/>
      <c r="O284" s="80"/>
      <c r="P284" s="173">
        <v>274</v>
      </c>
      <c r="Q284" s="165"/>
      <c r="R284" s="174">
        <v>3.331798494724536E-3</v>
      </c>
      <c r="S284" s="502"/>
      <c r="T284" s="219">
        <f t="shared" si="25"/>
        <v>7.1037079458865406</v>
      </c>
      <c r="U284" s="249">
        <f>U283+(T283*R284*'life-tables-test'!$C$66)</f>
        <v>92.896292054113459</v>
      </c>
      <c r="V284" s="516">
        <f t="shared" si="22"/>
        <v>100</v>
      </c>
      <c r="W284" s="153">
        <f>(T284*0)/(1+cDR)^'Markov Model_SA2'!cycle2</f>
        <v>0</v>
      </c>
      <c r="X284" s="178">
        <f t="shared" si="23"/>
        <v>7.1037079458865406</v>
      </c>
      <c r="Y284" s="202">
        <f>(T284*(uPostT))/(1+oDR)^'Markov Model_SA2'!cycle</f>
        <v>2.7238188197702318</v>
      </c>
      <c r="Z284" s="80"/>
      <c r="AA284" s="3"/>
      <c r="AB284" s="3"/>
      <c r="AC284" s="14">
        <v>272</v>
      </c>
      <c r="AD284" s="14"/>
      <c r="AE284" s="14"/>
      <c r="AF284" s="3"/>
      <c r="AG284" s="3"/>
      <c r="AH284" s="3"/>
      <c r="AI284" s="14"/>
      <c r="AJ284" s="14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</row>
    <row r="285" spans="1:58" ht="14.25" customHeight="1" x14ac:dyDescent="0.2">
      <c r="A285" s="637"/>
      <c r="B285" s="417"/>
      <c r="C285" s="173">
        <v>275</v>
      </c>
      <c r="D285" s="165"/>
      <c r="E285" s="174">
        <v>3.331798494724536E-3</v>
      </c>
      <c r="F285" s="502"/>
      <c r="G285" s="219">
        <f t="shared" si="26"/>
        <v>7.4145336874368013</v>
      </c>
      <c r="H285" s="249">
        <f>H284+(G284*E285*'life-tables-test'!$C$66)</f>
        <v>92.585466312563199</v>
      </c>
      <c r="I285" s="516">
        <f t="shared" si="24"/>
        <v>100</v>
      </c>
      <c r="J285" s="153">
        <f>(G285*0)/(1+cDR)^'Markov Model_SA2'!cycle</f>
        <v>0</v>
      </c>
      <c r="K285" s="178">
        <f t="shared" si="21"/>
        <v>7.4145336874368013</v>
      </c>
      <c r="L285" s="202">
        <f>(G285*(uPostT))/(1+oDR)^'Markov Model_SA2'!cycle</f>
        <v>2.8359108854691595</v>
      </c>
      <c r="M285" s="80"/>
      <c r="N285" s="3"/>
      <c r="O285" s="80"/>
      <c r="P285" s="173">
        <v>275</v>
      </c>
      <c r="Q285" s="165"/>
      <c r="R285" s="174">
        <v>3.331798494724536E-3</v>
      </c>
      <c r="S285" s="502"/>
      <c r="T285" s="219">
        <f t="shared" si="25"/>
        <v>6.9853673286812068</v>
      </c>
      <c r="U285" s="249">
        <f>U284+(T284*R285*'life-tables-test'!$C$66)</f>
        <v>93.014632671318793</v>
      </c>
      <c r="V285" s="516">
        <f t="shared" si="22"/>
        <v>100</v>
      </c>
      <c r="W285" s="153">
        <f>(T285*0)/(1+cDR)^'Markov Model_SA2'!cycle2</f>
        <v>0</v>
      </c>
      <c r="X285" s="178">
        <f t="shared" si="23"/>
        <v>6.9853673286812068</v>
      </c>
      <c r="Y285" s="202">
        <f>(T285*(uPostT))/(1+oDR)^'Markov Model_SA2'!cycle</f>
        <v>2.671763334216628</v>
      </c>
      <c r="Z285" s="80"/>
      <c r="AA285" s="3"/>
      <c r="AB285" s="3"/>
      <c r="AC285" s="14">
        <v>273</v>
      </c>
      <c r="AD285" s="14"/>
      <c r="AE285" s="14"/>
      <c r="AF285" s="3"/>
      <c r="AG285" s="3"/>
      <c r="AH285" s="3"/>
      <c r="AI285" s="14"/>
      <c r="AJ285" s="14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</row>
    <row r="286" spans="1:58" ht="14.25" customHeight="1" x14ac:dyDescent="0.2">
      <c r="A286" s="637"/>
      <c r="B286" s="417"/>
      <c r="C286" s="173">
        <v>276</v>
      </c>
      <c r="D286" s="165"/>
      <c r="E286" s="174">
        <v>3.331798494724536E-3</v>
      </c>
      <c r="F286" s="502"/>
      <c r="G286" s="219">
        <f t="shared" si="26"/>
        <v>7.2910150265423681</v>
      </c>
      <c r="H286" s="249">
        <f>H285+(G285*E286*'life-tables-test'!$C$66)</f>
        <v>92.708984973457632</v>
      </c>
      <c r="I286" s="516">
        <f t="shared" si="24"/>
        <v>100</v>
      </c>
      <c r="J286" s="153">
        <f>(G286*0)/(1+cDR)^'Markov Model_SA2'!cycle</f>
        <v>0</v>
      </c>
      <c r="K286" s="178">
        <f t="shared" si="21"/>
        <v>7.2910150265423681</v>
      </c>
      <c r="L286" s="202">
        <f>(G286*(uPostT))/(1+oDR)^'Markov Model_SA2'!cycle</f>
        <v>2.7817131844112346</v>
      </c>
      <c r="M286" s="80"/>
      <c r="N286" s="3"/>
      <c r="O286" s="80"/>
      <c r="P286" s="173">
        <v>276</v>
      </c>
      <c r="Q286" s="165"/>
      <c r="R286" s="174">
        <v>3.331798494724536E-3</v>
      </c>
      <c r="S286" s="502"/>
      <c r="T286" s="219">
        <f t="shared" si="25"/>
        <v>6.8689981469272112</v>
      </c>
      <c r="U286" s="249">
        <f>U285+(T285*R286*'life-tables-test'!$C$66)</f>
        <v>93.131001853072789</v>
      </c>
      <c r="V286" s="516">
        <f t="shared" si="22"/>
        <v>100</v>
      </c>
      <c r="W286" s="153">
        <f>(T286*0)/(1+cDR)^'Markov Model_SA2'!cycle2</f>
        <v>0</v>
      </c>
      <c r="X286" s="178">
        <f t="shared" si="23"/>
        <v>6.8689981469272112</v>
      </c>
      <c r="Y286" s="202">
        <f>(T286*(uPostT))/(1+oDR)^'Markov Model_SA2'!cycle</f>
        <v>2.6207026922100845</v>
      </c>
      <c r="Z286" s="80"/>
      <c r="AA286" s="3"/>
      <c r="AB286" s="3"/>
      <c r="AC286" s="14">
        <v>274</v>
      </c>
      <c r="AD286" s="14"/>
      <c r="AE286" s="14"/>
      <c r="AF286" s="3"/>
      <c r="AG286" s="3"/>
      <c r="AH286" s="3"/>
      <c r="AI286" s="14"/>
      <c r="AJ286" s="14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</row>
    <row r="287" spans="1:58" ht="14.25" customHeight="1" x14ac:dyDescent="0.2">
      <c r="A287" s="606"/>
      <c r="B287" s="417"/>
      <c r="C287" s="173">
        <v>277</v>
      </c>
      <c r="D287" s="504"/>
      <c r="E287" s="174">
        <v>3.331798494724536E-3</v>
      </c>
      <c r="F287" s="505"/>
      <c r="G287" s="219">
        <f t="shared" si="26"/>
        <v>7.1695540620901284</v>
      </c>
      <c r="H287" s="249">
        <f>H286+(G286*E287*'life-tables-test'!$C$66)</f>
        <v>92.830445937909872</v>
      </c>
      <c r="I287" s="516">
        <f t="shared" si="24"/>
        <v>100</v>
      </c>
      <c r="J287" s="180">
        <f>(G287*0)/(1+cDR)^'Markov Model_SA2'!cycle</f>
        <v>0</v>
      </c>
      <c r="K287" s="176">
        <f t="shared" si="21"/>
        <v>7.1695540620901284</v>
      </c>
      <c r="L287" s="202">
        <f>(G287*(uPostT))/(1+oDR)^'Markov Model_SA2'!cycle</f>
        <v>2.7285512672402503</v>
      </c>
      <c r="M287" s="80"/>
      <c r="N287" s="3"/>
      <c r="O287" s="80"/>
      <c r="P287" s="173">
        <v>277</v>
      </c>
      <c r="Q287" s="504"/>
      <c r="R287" s="174">
        <v>3.331798494724536E-3</v>
      </c>
      <c r="S287" s="505"/>
      <c r="T287" s="219">
        <f t="shared" si="25"/>
        <v>6.7545675584962197</v>
      </c>
      <c r="U287" s="249">
        <f>U286+(T286*R287*'life-tables-test'!$C$66)</f>
        <v>93.24543244150378</v>
      </c>
      <c r="V287" s="516">
        <f t="shared" si="22"/>
        <v>100</v>
      </c>
      <c r="W287" s="180">
        <f>(T287*0)/(1+cDR)^'Markov Model_SA2'!cycle2</f>
        <v>0</v>
      </c>
      <c r="X287" s="176">
        <f t="shared" si="23"/>
        <v>6.7545675584962197</v>
      </c>
      <c r="Y287" s="202">
        <f>(T287*(uPostT))/(1+oDR)^'Markov Model_SA2'!cycle</f>
        <v>2.5706178810822471</v>
      </c>
      <c r="Z287" s="80"/>
      <c r="AA287" s="3"/>
      <c r="AB287" s="3"/>
      <c r="AC287" s="14">
        <v>275</v>
      </c>
      <c r="AD287" s="14"/>
      <c r="AE287" s="14"/>
      <c r="AF287" s="3"/>
      <c r="AG287" s="3"/>
      <c r="AH287" s="3"/>
      <c r="AI287" s="14"/>
      <c r="AJ287" s="14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</row>
    <row r="288" spans="1:58" ht="14.25" customHeight="1" x14ac:dyDescent="0.25">
      <c r="A288" s="3">
        <v>25</v>
      </c>
      <c r="B288" s="417"/>
      <c r="C288" s="506">
        <v>278</v>
      </c>
      <c r="D288" s="506"/>
      <c r="E288" s="507">
        <v>3.331798494724536E-3</v>
      </c>
      <c r="F288" s="508"/>
      <c r="G288" s="509">
        <f t="shared" si="26"/>
        <v>7.0501165149305365</v>
      </c>
      <c r="H288" s="510">
        <f>H287+(G287*E288*'life-tables-test'!$C$66)</f>
        <v>92.949883485069464</v>
      </c>
      <c r="I288" s="518">
        <f t="shared" si="24"/>
        <v>100</v>
      </c>
      <c r="J288" s="511">
        <f>(G288*0)/(1+cDR)^'Markov Model_SA2'!cycle</f>
        <v>0</v>
      </c>
      <c r="K288" s="512">
        <f t="shared" si="21"/>
        <v>7.0501165149305365</v>
      </c>
      <c r="L288" s="513">
        <f>(G288*(uPostT))/(1+oDR)^'Markov Model_SA2'!cycle</f>
        <v>2.6764053388682307</v>
      </c>
      <c r="M288" s="80"/>
      <c r="N288" s="3"/>
      <c r="O288" s="80"/>
      <c r="P288" s="506">
        <v>278</v>
      </c>
      <c r="Q288" s="506"/>
      <c r="R288" s="507">
        <v>3.331798494724536E-3</v>
      </c>
      <c r="S288" s="508"/>
      <c r="T288" s="509">
        <f t="shared" si="25"/>
        <v>6.6420432683766535</v>
      </c>
      <c r="U288" s="510">
        <f>U287+(T287*R288*'life-tables-test'!$C$66)</f>
        <v>93.357956731623347</v>
      </c>
      <c r="V288" s="518">
        <f t="shared" si="22"/>
        <v>100</v>
      </c>
      <c r="W288" s="511">
        <f>(T288*0)/(1+cDR)^'Markov Model_SA2'!cycle2</f>
        <v>0</v>
      </c>
      <c r="X288" s="512">
        <f t="shared" si="23"/>
        <v>6.6420432683766535</v>
      </c>
      <c r="Y288" s="513">
        <f>(T288*(uPostT))/(1+oDR)^'Markov Model_SA2'!cycle</f>
        <v>2.5214902515199387</v>
      </c>
      <c r="Z288" s="80"/>
      <c r="AA288" s="3"/>
      <c r="AB288" s="3"/>
      <c r="AC288" s="14">
        <v>276</v>
      </c>
      <c r="AD288" s="14"/>
      <c r="AE288" s="14"/>
      <c r="AF288" s="3"/>
      <c r="AG288" s="3"/>
      <c r="AH288" s="3"/>
      <c r="AI288" s="14"/>
      <c r="AJ288" s="14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</row>
    <row r="289" spans="1:47" ht="14.25" customHeight="1" x14ac:dyDescent="0.2">
      <c r="A289" s="3"/>
      <c r="B289" s="417"/>
      <c r="C289" s="173">
        <v>279</v>
      </c>
      <c r="D289" s="165"/>
      <c r="E289" s="174">
        <v>3.6900607789041029E-3</v>
      </c>
      <c r="F289" s="502"/>
      <c r="G289" s="219">
        <f t="shared" si="26"/>
        <v>6.920039722738295</v>
      </c>
      <c r="H289" s="249">
        <f>H288+(G288*E289*'life-tables-test'!$C$66)</f>
        <v>93.079960277261705</v>
      </c>
      <c r="I289" s="516">
        <f t="shared" si="24"/>
        <v>100</v>
      </c>
      <c r="J289" s="153">
        <f>(G289*0)/(1+cDR)^'Markov Model_SA2'!cycle</f>
        <v>0</v>
      </c>
      <c r="K289" s="178">
        <f t="shared" si="21"/>
        <v>6.920039722738295</v>
      </c>
      <c r="L289" s="202">
        <f>(G289*(uPostT))/(1+oDR)^'Markov Model_SA2'!cycle</f>
        <v>2.6204736628640366</v>
      </c>
      <c r="M289" s="80"/>
      <c r="N289" s="3"/>
      <c r="O289" s="80"/>
      <c r="P289" s="173">
        <v>279</v>
      </c>
      <c r="Q289" s="165"/>
      <c r="R289" s="174">
        <v>3.6900607789041029E-3</v>
      </c>
      <c r="S289" s="502"/>
      <c r="T289" s="219">
        <f t="shared" si="25"/>
        <v>6.5194955515945452</v>
      </c>
      <c r="U289" s="249">
        <f>U288+(T288*R289*'life-tables-test'!$C$66)</f>
        <v>93.480504448405455</v>
      </c>
      <c r="V289" s="516">
        <f t="shared" si="22"/>
        <v>100</v>
      </c>
      <c r="W289" s="153">
        <f>(T289*0)/(1+cDR)^'Markov Model_SA2'!cycle2</f>
        <v>0</v>
      </c>
      <c r="X289" s="178">
        <f t="shared" si="23"/>
        <v>6.5194955515945452</v>
      </c>
      <c r="Y289" s="202">
        <f>(T289*(uPostT))/(1+oDR)^'Markov Model_SA2'!cycle</f>
        <v>2.4687960001120426</v>
      </c>
      <c r="Z289" s="80"/>
      <c r="AA289" s="3"/>
      <c r="AB289" s="3"/>
      <c r="AC289" s="14">
        <v>277</v>
      </c>
      <c r="AD289" s="14"/>
      <c r="AE289" s="14"/>
      <c r="AF289" s="3"/>
      <c r="AG289" s="3"/>
      <c r="AH289" s="3"/>
      <c r="AI289" s="14"/>
      <c r="AJ289" s="14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</row>
    <row r="290" spans="1:47" ht="14.25" customHeight="1" x14ac:dyDescent="0.2">
      <c r="A290" s="3"/>
      <c r="B290" s="417"/>
      <c r="C290" s="173">
        <v>280</v>
      </c>
      <c r="D290" s="165"/>
      <c r="E290" s="174">
        <v>3.6900607789041029E-3</v>
      </c>
      <c r="F290" s="502"/>
      <c r="G290" s="219">
        <f t="shared" si="26"/>
        <v>6.7923628868916239</v>
      </c>
      <c r="H290" s="249">
        <f>H289+(G289*E290*'life-tables-test'!$C$66)</f>
        <v>93.207637113108376</v>
      </c>
      <c r="I290" s="516">
        <f t="shared" si="24"/>
        <v>100</v>
      </c>
      <c r="J290" s="153">
        <f>(G290*0)/(1+cDR)^'Markov Model_SA2'!cycle</f>
        <v>0</v>
      </c>
      <c r="K290" s="178">
        <f t="shared" si="21"/>
        <v>6.7923628868916239</v>
      </c>
      <c r="L290" s="202">
        <f>(G290*(uPostT))/(1+oDR)^'Markov Model_SA2'!cycle</f>
        <v>2.5657108503108326</v>
      </c>
      <c r="M290" s="80"/>
      <c r="N290" s="3"/>
      <c r="O290" s="80"/>
      <c r="P290" s="173">
        <v>280</v>
      </c>
      <c r="Q290" s="165"/>
      <c r="R290" s="174">
        <v>3.6900607789041029E-3</v>
      </c>
      <c r="S290" s="502"/>
      <c r="T290" s="219">
        <f t="shared" si="25"/>
        <v>6.3992088774286486</v>
      </c>
      <c r="U290" s="249">
        <f>U289+(T289*R290*'life-tables-test'!$C$66)</f>
        <v>93.600791122571351</v>
      </c>
      <c r="V290" s="516">
        <f t="shared" si="22"/>
        <v>100</v>
      </c>
      <c r="W290" s="153">
        <f>(T290*0)/(1+cDR)^'Markov Model_SA2'!cycle2</f>
        <v>0</v>
      </c>
      <c r="X290" s="178">
        <f t="shared" si="23"/>
        <v>6.3992088774286486</v>
      </c>
      <c r="Y290" s="202">
        <f>(T290*(uPostT))/(1+oDR)^'Markov Model_SA2'!cycle</f>
        <v>2.4172029562657333</v>
      </c>
      <c r="Z290" s="80"/>
      <c r="AA290" s="3"/>
      <c r="AB290" s="3"/>
      <c r="AC290" s="14">
        <v>278</v>
      </c>
      <c r="AD290" s="14"/>
      <c r="AE290" s="14"/>
      <c r="AF290" s="3"/>
      <c r="AG290" s="3"/>
      <c r="AH290" s="3"/>
      <c r="AI290" s="14"/>
      <c r="AJ290" s="14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</row>
    <row r="291" spans="1:47" ht="14.25" customHeight="1" x14ac:dyDescent="0.2">
      <c r="A291" s="3"/>
      <c r="B291" s="417"/>
      <c r="C291" s="173">
        <v>281</v>
      </c>
      <c r="D291" s="165"/>
      <c r="E291" s="174">
        <v>3.6900607789041029E-3</v>
      </c>
      <c r="F291" s="502"/>
      <c r="G291" s="219">
        <f t="shared" si="26"/>
        <v>6.6670417274666107</v>
      </c>
      <c r="H291" s="249">
        <f>H290+(G290*E291*'life-tables-test'!$C$66)</f>
        <v>93.332958272533389</v>
      </c>
      <c r="I291" s="516">
        <f t="shared" si="24"/>
        <v>100</v>
      </c>
      <c r="J291" s="153">
        <f>(G291*0)/(1+cDR)^'Markov Model_SA2'!cycle</f>
        <v>0</v>
      </c>
      <c r="K291" s="178">
        <f t="shared" si="21"/>
        <v>6.6670417274666107</v>
      </c>
      <c r="L291" s="202">
        <f>(G291*(uPostT))/(1+oDR)^'Markov Model_SA2'!cycle</f>
        <v>2.51209247423155</v>
      </c>
      <c r="M291" s="80"/>
      <c r="N291" s="3"/>
      <c r="O291" s="80"/>
      <c r="P291" s="173">
        <v>281</v>
      </c>
      <c r="Q291" s="165"/>
      <c r="R291" s="174">
        <v>3.6900607789041029E-3</v>
      </c>
      <c r="S291" s="502"/>
      <c r="T291" s="219">
        <f t="shared" si="25"/>
        <v>6.2811415289555725</v>
      </c>
      <c r="U291" s="249">
        <f>U290+(T290*R291*'life-tables-test'!$C$66)</f>
        <v>93.718858471044427</v>
      </c>
      <c r="V291" s="516">
        <f t="shared" si="22"/>
        <v>100</v>
      </c>
      <c r="W291" s="153">
        <f>(T291*0)/(1+cDR)^'Markov Model_SA2'!cycle2</f>
        <v>0</v>
      </c>
      <c r="X291" s="178">
        <f t="shared" si="23"/>
        <v>6.2811415289555725</v>
      </c>
      <c r="Y291" s="202">
        <f>(T291*(uPostT))/(1+oDR)^'Markov Model_SA2'!cycle</f>
        <v>2.366688106880694</v>
      </c>
      <c r="Z291" s="80"/>
      <c r="AA291" s="3"/>
      <c r="AB291" s="3"/>
      <c r="AC291" s="14">
        <v>279</v>
      </c>
      <c r="AD291" s="14"/>
      <c r="AE291" s="14"/>
      <c r="AF291" s="3"/>
      <c r="AG291" s="3"/>
      <c r="AH291" s="3"/>
      <c r="AI291" s="14"/>
      <c r="AJ291" s="14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</row>
    <row r="292" spans="1:47" ht="14.25" customHeight="1" x14ac:dyDescent="0.2">
      <c r="A292" s="3"/>
      <c r="B292" s="417"/>
      <c r="C292" s="173">
        <v>282</v>
      </c>
      <c r="D292" s="165"/>
      <c r="E292" s="174">
        <v>3.6900607789041029E-3</v>
      </c>
      <c r="F292" s="502"/>
      <c r="G292" s="219">
        <f t="shared" si="26"/>
        <v>6.5440327815174015</v>
      </c>
      <c r="H292" s="249">
        <f>H291+(G291*E292*'life-tables-test'!$C$66)</f>
        <v>93.455967218482598</v>
      </c>
      <c r="I292" s="516">
        <f t="shared" si="24"/>
        <v>100</v>
      </c>
      <c r="J292" s="153">
        <f>(G292*0)/(1+cDR)^'Markov Model_SA2'!cycle</f>
        <v>0</v>
      </c>
      <c r="K292" s="178">
        <f t="shared" si="21"/>
        <v>6.5440327815174015</v>
      </c>
      <c r="L292" s="202">
        <f>(G292*(uPostT))/(1+oDR)^'Markov Model_SA2'!cycle</f>
        <v>2.4595946181255255</v>
      </c>
      <c r="M292" s="80"/>
      <c r="N292" s="3"/>
      <c r="O292" s="80"/>
      <c r="P292" s="173">
        <v>282</v>
      </c>
      <c r="Q292" s="165"/>
      <c r="R292" s="174">
        <v>3.6900607789041029E-3</v>
      </c>
      <c r="S292" s="502"/>
      <c r="T292" s="219">
        <f t="shared" si="25"/>
        <v>6.1652525589418445</v>
      </c>
      <c r="U292" s="249">
        <f>U291+(T291*R292*'life-tables-test'!$C$66)</f>
        <v>93.834747441058155</v>
      </c>
      <c r="V292" s="516">
        <f t="shared" si="22"/>
        <v>100</v>
      </c>
      <c r="W292" s="153">
        <f>(T292*0)/(1+cDR)^'Markov Model_SA2'!cycle2</f>
        <v>0</v>
      </c>
      <c r="X292" s="178">
        <f t="shared" si="23"/>
        <v>6.1652525589418445</v>
      </c>
      <c r="Y292" s="202">
        <f>(T292*(uPostT))/(1+oDR)^'Markov Model_SA2'!cycle</f>
        <v>2.3172289197857316</v>
      </c>
      <c r="Z292" s="80"/>
      <c r="AA292" s="3"/>
      <c r="AB292" s="3"/>
      <c r="AC292" s="14">
        <v>280</v>
      </c>
      <c r="AD292" s="14"/>
      <c r="AE292" s="14"/>
      <c r="AF292" s="3"/>
      <c r="AG292" s="3"/>
      <c r="AH292" s="3"/>
      <c r="AI292" s="14"/>
      <c r="AJ292" s="14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</row>
    <row r="293" spans="1:47" ht="14.25" customHeight="1" x14ac:dyDescent="0.2">
      <c r="A293" s="3"/>
      <c r="B293" s="417"/>
      <c r="C293" s="173">
        <v>283</v>
      </c>
      <c r="D293" s="165"/>
      <c r="E293" s="174">
        <v>3.6900607789041029E-3</v>
      </c>
      <c r="F293" s="502"/>
      <c r="G293" s="219">
        <f t="shared" si="26"/>
        <v>6.4232933880027048</v>
      </c>
      <c r="H293" s="249">
        <f>H292+(G292*E293*'life-tables-test'!$C$66)</f>
        <v>93.576706611997295</v>
      </c>
      <c r="I293" s="516">
        <f t="shared" si="24"/>
        <v>100</v>
      </c>
      <c r="J293" s="153">
        <f>(G293*0)/(1+cDR)^'Markov Model_SA2'!cycle</f>
        <v>0</v>
      </c>
      <c r="K293" s="178">
        <f t="shared" si="21"/>
        <v>6.4232933880027048</v>
      </c>
      <c r="L293" s="202">
        <f>(G293*(uPostT))/(1+oDR)^'Markov Model_SA2'!cycle</f>
        <v>2.4081938653005333</v>
      </c>
      <c r="M293" s="80"/>
      <c r="N293" s="3"/>
      <c r="O293" s="80"/>
      <c r="P293" s="173">
        <v>283</v>
      </c>
      <c r="Q293" s="165"/>
      <c r="R293" s="174">
        <v>3.6900607789041029E-3</v>
      </c>
      <c r="S293" s="502"/>
      <c r="T293" s="219">
        <f t="shared" si="25"/>
        <v>6.0515017756428904</v>
      </c>
      <c r="U293" s="249">
        <f>U292+(T292*R293*'life-tables-test'!$C$66)</f>
        <v>93.94849822435711</v>
      </c>
      <c r="V293" s="516">
        <f t="shared" si="22"/>
        <v>100</v>
      </c>
      <c r="W293" s="153">
        <f>(T293*0)/(1+cDR)^'Markov Model_SA2'!cycle2</f>
        <v>0</v>
      </c>
      <c r="X293" s="178">
        <f t="shared" si="23"/>
        <v>6.0515017756428904</v>
      </c>
      <c r="Y293" s="202">
        <f>(T293*(uPostT))/(1+oDR)^'Markov Model_SA2'!cycle</f>
        <v>2.2688033336882905</v>
      </c>
      <c r="Z293" s="80"/>
      <c r="AA293" s="3"/>
      <c r="AB293" s="3"/>
      <c r="AC293" s="14">
        <v>281</v>
      </c>
      <c r="AD293" s="14"/>
      <c r="AE293" s="14"/>
      <c r="AF293" s="3"/>
      <c r="AG293" s="3"/>
      <c r="AH293" s="3"/>
      <c r="AI293" s="14"/>
      <c r="AJ293" s="14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</row>
    <row r="294" spans="1:47" ht="14.25" customHeight="1" x14ac:dyDescent="0.2">
      <c r="A294" s="3"/>
      <c r="B294" s="417"/>
      <c r="C294" s="173">
        <v>284</v>
      </c>
      <c r="D294" s="165"/>
      <c r="E294" s="174">
        <v>3.6900607789041029E-3</v>
      </c>
      <c r="F294" s="502"/>
      <c r="G294" s="219">
        <f t="shared" si="26"/>
        <v>6.3047816729903872</v>
      </c>
      <c r="H294" s="249">
        <f>H293+(G293*E294*'life-tables-test'!$C$66)</f>
        <v>93.695218327009613</v>
      </c>
      <c r="I294" s="516">
        <f t="shared" si="24"/>
        <v>100</v>
      </c>
      <c r="J294" s="153">
        <f>(G294*0)/(1+cDR)^'Markov Model_SA2'!cycle</f>
        <v>0</v>
      </c>
      <c r="K294" s="178">
        <f t="shared" si="21"/>
        <v>6.3047816729903872</v>
      </c>
      <c r="L294" s="202">
        <f>(G294*(uPostT))/(1+oDR)^'Markov Model_SA2'!cycle</f>
        <v>2.3578672884277476</v>
      </c>
      <c r="M294" s="80"/>
      <c r="N294" s="3"/>
      <c r="O294" s="80"/>
      <c r="P294" s="173">
        <v>284</v>
      </c>
      <c r="Q294" s="165"/>
      <c r="R294" s="174">
        <v>3.6900607789041029E-3</v>
      </c>
      <c r="S294" s="502"/>
      <c r="T294" s="219">
        <f t="shared" si="25"/>
        <v>5.9398497288640471</v>
      </c>
      <c r="U294" s="249">
        <f>U293+(T293*R294*'life-tables-test'!$C$66)</f>
        <v>94.060150271135953</v>
      </c>
      <c r="V294" s="516">
        <f t="shared" si="22"/>
        <v>100</v>
      </c>
      <c r="W294" s="153">
        <f>(T294*0)/(1+cDR)^'Markov Model_SA2'!cycle2</f>
        <v>0</v>
      </c>
      <c r="X294" s="178">
        <f t="shared" si="23"/>
        <v>5.9398497288640471</v>
      </c>
      <c r="Y294" s="202">
        <f>(T294*(uPostT))/(1+oDR)^'Markov Model_SA2'!cycle</f>
        <v>2.2213897483340048</v>
      </c>
      <c r="Z294" s="80"/>
      <c r="AA294" s="3"/>
      <c r="AB294" s="3"/>
      <c r="AC294" s="14">
        <v>282</v>
      </c>
      <c r="AD294" s="14"/>
      <c r="AE294" s="14"/>
      <c r="AF294" s="297"/>
      <c r="AG294" s="297"/>
      <c r="AH294" s="297"/>
      <c r="AI294" s="14"/>
      <c r="AJ294" s="14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</row>
    <row r="295" spans="1:47" ht="14.25" customHeight="1" x14ac:dyDescent="0.2">
      <c r="A295" s="3"/>
      <c r="B295" s="417"/>
      <c r="C295" s="173">
        <v>285</v>
      </c>
      <c r="D295" s="165"/>
      <c r="E295" s="174">
        <v>3.6900607789041029E-3</v>
      </c>
      <c r="F295" s="502"/>
      <c r="G295" s="219">
        <f t="shared" si="26"/>
        <v>6.1884565351351171</v>
      </c>
      <c r="H295" s="249">
        <f>H294+(G294*E295*'life-tables-test'!$C$66)</f>
        <v>93.811543464864883</v>
      </c>
      <c r="I295" s="516">
        <f t="shared" si="24"/>
        <v>100</v>
      </c>
      <c r="J295" s="153">
        <f>(G295*0)/(1+cDR)^'Markov Model_SA2'!cycle</f>
        <v>0</v>
      </c>
      <c r="K295" s="178">
        <f t="shared" si="21"/>
        <v>6.1884565351351171</v>
      </c>
      <c r="L295" s="202">
        <f>(G295*(uPostT))/(1+oDR)^'Markov Model_SA2'!cycle</f>
        <v>2.3085924393150208</v>
      </c>
      <c r="M295" s="80"/>
      <c r="N295" s="3"/>
      <c r="O295" s="80"/>
      <c r="P295" s="173">
        <v>285</v>
      </c>
      <c r="Q295" s="165"/>
      <c r="R295" s="174">
        <v>3.6900607789041029E-3</v>
      </c>
      <c r="S295" s="502"/>
      <c r="T295" s="219">
        <f t="shared" si="25"/>
        <v>5.8302576962787214</v>
      </c>
      <c r="U295" s="249">
        <f>U294+(T294*R295*'life-tables-test'!$C$66)</f>
        <v>94.169742303721279</v>
      </c>
      <c r="V295" s="516">
        <f t="shared" si="22"/>
        <v>100</v>
      </c>
      <c r="W295" s="153">
        <f>(T295*0)/(1+cDR)^'Markov Model_SA2'!cycle2</f>
        <v>0</v>
      </c>
      <c r="X295" s="178">
        <f t="shared" si="23"/>
        <v>5.8302576962787214</v>
      </c>
      <c r="Y295" s="202">
        <f>(T295*(uPostT))/(1+oDR)^'Markov Model_SA2'!cycle</f>
        <v>2.17496701487189</v>
      </c>
      <c r="Z295" s="80"/>
      <c r="AA295" s="3"/>
      <c r="AB295" s="3"/>
      <c r="AC295" s="14">
        <v>283</v>
      </c>
      <c r="AD295" s="14"/>
      <c r="AE295" s="14"/>
      <c r="AF295" s="297"/>
      <c r="AG295" s="297"/>
      <c r="AH295" s="297"/>
      <c r="AI295" s="14"/>
      <c r="AJ295" s="14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</row>
    <row r="296" spans="1:47" ht="14.25" customHeight="1" x14ac:dyDescent="0.2">
      <c r="A296" s="3"/>
      <c r="B296" s="417"/>
      <c r="C296" s="173">
        <v>286</v>
      </c>
      <c r="D296" s="165"/>
      <c r="E296" s="174">
        <v>3.6900607789041029E-3</v>
      </c>
      <c r="F296" s="502"/>
      <c r="G296" s="219">
        <f t="shared" si="26"/>
        <v>6.0742776314238398</v>
      </c>
      <c r="H296" s="249">
        <f>H295+(G295*E296*'life-tables-test'!$C$66)</f>
        <v>93.92572236857616</v>
      </c>
      <c r="I296" s="516">
        <f t="shared" si="24"/>
        <v>100</v>
      </c>
      <c r="J296" s="153">
        <f>(G296*0)/(1+cDR)^'Markov Model_SA2'!cycle</f>
        <v>0</v>
      </c>
      <c r="K296" s="178">
        <f t="shared" si="21"/>
        <v>6.0742776314238398</v>
      </c>
      <c r="L296" s="202">
        <f>(G296*(uPostT))/(1+oDR)^'Markov Model_SA2'!cycle</f>
        <v>2.2603473388938311</v>
      </c>
      <c r="M296" s="80"/>
      <c r="N296" s="3"/>
      <c r="O296" s="80"/>
      <c r="P296" s="173">
        <v>286</v>
      </c>
      <c r="Q296" s="165"/>
      <c r="R296" s="174">
        <v>3.6900607789041029E-3</v>
      </c>
      <c r="S296" s="502"/>
      <c r="T296" s="219">
        <f t="shared" si="25"/>
        <v>5.7226876699990186</v>
      </c>
      <c r="U296" s="249">
        <f>U295+(T295*R296*'life-tables-test'!$C$66)</f>
        <v>94.277312330000981</v>
      </c>
      <c r="V296" s="516">
        <f t="shared" si="22"/>
        <v>100</v>
      </c>
      <c r="W296" s="153">
        <f>(T296*0)/(1+cDR)^'Markov Model_SA2'!cycle2</f>
        <v>0</v>
      </c>
      <c r="X296" s="178">
        <f t="shared" si="23"/>
        <v>5.7226876699990186</v>
      </c>
      <c r="Y296" s="202">
        <f>(T296*(uPostT))/(1+oDR)^'Markov Model_SA2'!cycle</f>
        <v>2.1295144264208967</v>
      </c>
      <c r="Z296" s="80"/>
      <c r="AA296" s="3"/>
      <c r="AB296" s="3"/>
      <c r="AC296" s="14">
        <v>284</v>
      </c>
      <c r="AD296" s="14"/>
      <c r="AE296" s="14"/>
      <c r="AF296" s="297"/>
      <c r="AG296" s="297"/>
      <c r="AH296" s="297"/>
      <c r="AI296" s="14"/>
      <c r="AJ296" s="14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</row>
    <row r="297" spans="1:47" ht="14.25" customHeight="1" x14ac:dyDescent="0.2">
      <c r="A297" s="3"/>
      <c r="B297" s="417"/>
      <c r="C297" s="173">
        <v>287</v>
      </c>
      <c r="D297" s="165"/>
      <c r="E297" s="174">
        <v>3.6900607789041029E-3</v>
      </c>
      <c r="F297" s="502"/>
      <c r="G297" s="219">
        <f t="shared" si="26"/>
        <v>5.9622053631843812</v>
      </c>
      <c r="H297" s="249">
        <f>H296+(G296*E297*'life-tables-test'!$C$66)</f>
        <v>94.037794636815619</v>
      </c>
      <c r="I297" s="516">
        <f t="shared" si="24"/>
        <v>100</v>
      </c>
      <c r="J297" s="153">
        <f>(G297*0)/(1+cDR)^'Markov Model_SA2'!cycle</f>
        <v>0</v>
      </c>
      <c r="K297" s="178">
        <f t="shared" si="21"/>
        <v>5.9622053631843812</v>
      </c>
      <c r="L297" s="202">
        <f>(G297*(uPostT))/(1+oDR)^'Markov Model_SA2'!cycle</f>
        <v>2.2131104674155306</v>
      </c>
      <c r="M297" s="80"/>
      <c r="N297" s="3"/>
      <c r="O297" s="80"/>
      <c r="P297" s="173">
        <v>287</v>
      </c>
      <c r="Q297" s="165"/>
      <c r="R297" s="174">
        <v>3.6900607789041029E-3</v>
      </c>
      <c r="S297" s="502"/>
      <c r="T297" s="219">
        <f t="shared" si="25"/>
        <v>5.6171023433941087</v>
      </c>
      <c r="U297" s="249">
        <f>U296+(T296*R297*'life-tables-test'!$C$66)</f>
        <v>94.382897656605891</v>
      </c>
      <c r="V297" s="516">
        <f t="shared" si="22"/>
        <v>100</v>
      </c>
      <c r="W297" s="153">
        <f>(T297*0)/(1+cDR)^'Markov Model_SA2'!cycle2</f>
        <v>0</v>
      </c>
      <c r="X297" s="178">
        <f t="shared" si="23"/>
        <v>5.6171023433941087</v>
      </c>
      <c r="Y297" s="202">
        <f>(T297*(uPostT))/(1+oDR)^'Markov Model_SA2'!cycle</f>
        <v>2.0850117088335809</v>
      </c>
      <c r="Z297" s="80"/>
      <c r="AA297" s="3"/>
      <c r="AB297" s="3"/>
      <c r="AC297" s="14">
        <v>285</v>
      </c>
      <c r="AD297" s="14"/>
      <c r="AE297" s="14"/>
      <c r="AF297" s="297"/>
      <c r="AG297" s="297"/>
      <c r="AH297" s="297"/>
      <c r="AI297" s="14"/>
      <c r="AJ297" s="14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</row>
    <row r="298" spans="1:47" ht="14.25" customHeight="1" x14ac:dyDescent="0.2">
      <c r="A298" s="3"/>
      <c r="B298" s="417"/>
      <c r="C298" s="173">
        <v>288</v>
      </c>
      <c r="D298" s="165"/>
      <c r="E298" s="174">
        <v>3.6900607789041029E-3</v>
      </c>
      <c r="F298" s="502"/>
      <c r="G298" s="219">
        <f t="shared" si="26"/>
        <v>5.8522008623520918</v>
      </c>
      <c r="H298" s="249">
        <f>H297+(G297*E298*'life-tables-test'!$C$66)</f>
        <v>94.147799137647908</v>
      </c>
      <c r="I298" s="516">
        <f t="shared" si="24"/>
        <v>100</v>
      </c>
      <c r="J298" s="153">
        <f>(G298*0)/(1+cDR)^'Markov Model_SA2'!cycle</f>
        <v>0</v>
      </c>
      <c r="K298" s="178">
        <f t="shared" si="21"/>
        <v>5.8522008623520918</v>
      </c>
      <c r="L298" s="202">
        <f>(G298*(uPostT))/(1+oDR)^'Markov Model_SA2'!cycle</f>
        <v>2.166860754852439</v>
      </c>
      <c r="M298" s="80"/>
      <c r="N298" s="3"/>
      <c r="O298" s="80"/>
      <c r="P298" s="173">
        <v>288</v>
      </c>
      <c r="Q298" s="165"/>
      <c r="R298" s="174">
        <v>3.6900607789041029E-3</v>
      </c>
      <c r="S298" s="502"/>
      <c r="T298" s="219">
        <f t="shared" si="25"/>
        <v>5.5134650981518689</v>
      </c>
      <c r="U298" s="249">
        <f>U297+(T297*R298*'life-tables-test'!$C$66)</f>
        <v>94.486534901848131</v>
      </c>
      <c r="V298" s="516">
        <f t="shared" si="22"/>
        <v>100</v>
      </c>
      <c r="W298" s="153">
        <f>(T298*0)/(1+cDR)^'Markov Model_SA2'!cycle2</f>
        <v>0</v>
      </c>
      <c r="X298" s="178">
        <f t="shared" si="23"/>
        <v>5.5134650981518689</v>
      </c>
      <c r="Y298" s="202">
        <f>(T298*(uPostT))/(1+oDR)^'Markov Model_SA2'!cycle</f>
        <v>2.0414390116528374</v>
      </c>
      <c r="Z298" s="80"/>
      <c r="AA298" s="3"/>
      <c r="AB298" s="3"/>
      <c r="AC298" s="14">
        <v>286</v>
      </c>
      <c r="AD298" s="14"/>
      <c r="AE298" s="14"/>
      <c r="AF298" s="297"/>
      <c r="AG298" s="297"/>
      <c r="AH298" s="297"/>
      <c r="AI298" s="14"/>
      <c r="AJ298" s="14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</row>
    <row r="299" spans="1:47" ht="14.25" customHeight="1" x14ac:dyDescent="0.2">
      <c r="A299" s="3"/>
      <c r="B299" s="417"/>
      <c r="C299" s="173">
        <v>289</v>
      </c>
      <c r="D299" s="504"/>
      <c r="E299" s="174">
        <v>3.6900607789041029E-3</v>
      </c>
      <c r="F299" s="505"/>
      <c r="G299" s="219">
        <f t="shared" si="26"/>
        <v>5.7442259779899274</v>
      </c>
      <c r="H299" s="249">
        <f>H298+(G298*E299*'life-tables-test'!$C$66)</f>
        <v>94.255774022010073</v>
      </c>
      <c r="I299" s="516">
        <f t="shared" si="24"/>
        <v>100</v>
      </c>
      <c r="J299" s="180">
        <f>(G299*0)/(1+cDR)^'Markov Model_SA2'!cycle</f>
        <v>0</v>
      </c>
      <c r="K299" s="176">
        <f t="shared" si="21"/>
        <v>5.7442259779899274</v>
      </c>
      <c r="L299" s="202">
        <f>(G299*(uPostT))/(1+oDR)^'Markov Model_SA2'!cycle</f>
        <v>2.1215775714995551</v>
      </c>
      <c r="M299" s="80"/>
      <c r="N299" s="3"/>
      <c r="O299" s="80"/>
      <c r="P299" s="173">
        <v>289</v>
      </c>
      <c r="Q299" s="504"/>
      <c r="R299" s="174">
        <v>3.6900607789041029E-3</v>
      </c>
      <c r="S299" s="505"/>
      <c r="T299" s="219">
        <f t="shared" si="25"/>
        <v>5.4117399915791395</v>
      </c>
      <c r="U299" s="249">
        <f>U298+(T298*R299*'life-tables-test'!$C$66)</f>
        <v>94.58826000842086</v>
      </c>
      <c r="V299" s="516">
        <f t="shared" si="22"/>
        <v>100</v>
      </c>
      <c r="W299" s="180">
        <f>(T299*0)/(1+cDR)^'Markov Model_SA2'!cycle2</f>
        <v>0</v>
      </c>
      <c r="X299" s="176">
        <f t="shared" si="23"/>
        <v>5.4117399915791395</v>
      </c>
      <c r="Y299" s="202">
        <f>(T299*(uPostT))/(1+oDR)^'Markov Model_SA2'!cycle</f>
        <v>1.998776899257571</v>
      </c>
      <c r="Z299" s="80"/>
      <c r="AA299" s="3"/>
      <c r="AB299" s="3"/>
      <c r="AC299" s="14">
        <v>287</v>
      </c>
      <c r="AD299" s="14"/>
      <c r="AE299" s="14"/>
      <c r="AF299" s="297"/>
      <c r="AG299" s="297"/>
      <c r="AH299" s="297"/>
      <c r="AI299" s="14"/>
      <c r="AJ299" s="14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</row>
    <row r="300" spans="1:47" ht="14.25" customHeight="1" x14ac:dyDescent="0.25">
      <c r="A300" s="3">
        <v>26</v>
      </c>
      <c r="B300" s="417"/>
      <c r="C300" s="506">
        <v>290</v>
      </c>
      <c r="D300" s="506"/>
      <c r="E300" s="507">
        <v>3.6900607789041029E-3</v>
      </c>
      <c r="F300" s="508"/>
      <c r="G300" s="509">
        <f t="shared" si="26"/>
        <v>5.6382432630572197</v>
      </c>
      <c r="H300" s="510">
        <f>H299+(G299*E300*'life-tables-test'!$C$66)</f>
        <v>94.36175673694278</v>
      </c>
      <c r="I300" s="518">
        <f t="shared" si="24"/>
        <v>100</v>
      </c>
      <c r="J300" s="511">
        <f>(G300*0)/(1+cDR)^'Markov Model_SA2'!cycle</f>
        <v>0</v>
      </c>
      <c r="K300" s="512">
        <f t="shared" si="21"/>
        <v>5.6382432630572197</v>
      </c>
      <c r="L300" s="513">
        <f>(G300*(uPostT))/(1+oDR)^'Markov Model_SA2'!cycle</f>
        <v>2.0772407187726603</v>
      </c>
      <c r="M300" s="80"/>
      <c r="N300" s="3"/>
      <c r="O300" s="80"/>
      <c r="P300" s="506">
        <v>290</v>
      </c>
      <c r="Q300" s="506"/>
      <c r="R300" s="507">
        <v>3.6900607789041029E-3</v>
      </c>
      <c r="S300" s="508"/>
      <c r="T300" s="509">
        <f t="shared" si="25"/>
        <v>5.3118917441363749</v>
      </c>
      <c r="U300" s="510">
        <f>U299+(T299*R300*'life-tables-test'!$C$66)</f>
        <v>94.688108255863625</v>
      </c>
      <c r="V300" s="518">
        <f t="shared" si="22"/>
        <v>100</v>
      </c>
      <c r="W300" s="511">
        <f>(T300*0)/(1+cDR)^'Markov Model_SA2'!cycle2</f>
        <v>0</v>
      </c>
      <c r="X300" s="512">
        <f t="shared" si="23"/>
        <v>5.3118917441363749</v>
      </c>
      <c r="Y300" s="513">
        <f>(T300*(uPostT))/(1+oDR)^'Markov Model_SA2'!cycle</f>
        <v>1.9570063421934381</v>
      </c>
      <c r="Z300" s="80"/>
      <c r="AA300" s="3"/>
      <c r="AB300" s="3"/>
      <c r="AC300" s="14">
        <v>288</v>
      </c>
      <c r="AD300" s="14"/>
      <c r="AE300" s="14"/>
      <c r="AF300" s="297"/>
      <c r="AG300" s="297"/>
      <c r="AH300" s="297"/>
      <c r="AI300" s="14"/>
      <c r="AJ300" s="14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</row>
    <row r="301" spans="1:47" ht="14.25" customHeight="1" x14ac:dyDescent="0.2">
      <c r="A301" s="3"/>
      <c r="B301" s="417"/>
      <c r="C301" s="173">
        <v>291</v>
      </c>
      <c r="D301" s="165"/>
      <c r="E301" s="174">
        <v>4.1050077712355693E-3</v>
      </c>
      <c r="F301" s="502"/>
      <c r="G301" s="219">
        <f t="shared" si="26"/>
        <v>5.5225181010023903</v>
      </c>
      <c r="H301" s="249">
        <f>H300+(G300*E301*'life-tables-test'!$C$66)</f>
        <v>94.47748189899761</v>
      </c>
      <c r="I301" s="516">
        <f t="shared" si="24"/>
        <v>100</v>
      </c>
      <c r="J301" s="153">
        <f>(G301*0)/(1+cDR)^'Markov Model_SA2'!cycle</f>
        <v>0</v>
      </c>
      <c r="K301" s="178">
        <f t="shared" si="21"/>
        <v>5.5225181010023903</v>
      </c>
      <c r="L301" s="202">
        <f>(G301*(uPostT))/(1+oDR)^'Markov Model_SA2'!cycle</f>
        <v>2.0295314436969756</v>
      </c>
      <c r="M301" s="80"/>
      <c r="N301" s="3"/>
      <c r="O301" s="80"/>
      <c r="P301" s="173">
        <v>291</v>
      </c>
      <c r="Q301" s="165"/>
      <c r="R301" s="174">
        <v>4.1050077712355693E-3</v>
      </c>
      <c r="S301" s="502"/>
      <c r="T301" s="219">
        <f t="shared" si="25"/>
        <v>5.2028649596881706</v>
      </c>
      <c r="U301" s="249">
        <f>U300+(T300*R301*'life-tables-test'!$C$66)</f>
        <v>94.797135040311829</v>
      </c>
      <c r="V301" s="516">
        <f t="shared" si="22"/>
        <v>100</v>
      </c>
      <c r="W301" s="153">
        <f>(T301*0)/(1+cDR)^'Markov Model_SA2'!cycle2</f>
        <v>0</v>
      </c>
      <c r="X301" s="178">
        <f t="shared" si="23"/>
        <v>5.2028649596881706</v>
      </c>
      <c r="Y301" s="202">
        <f>(T301*(uPostT))/(1+oDR)^'Markov Model_SA2'!cycle</f>
        <v>1.9120585645667163</v>
      </c>
      <c r="Z301" s="80"/>
      <c r="AA301" s="3"/>
      <c r="AB301" s="3"/>
      <c r="AC301" s="14">
        <v>289</v>
      </c>
      <c r="AD301" s="14"/>
      <c r="AE301" s="14"/>
      <c r="AF301" s="297"/>
      <c r="AG301" s="297"/>
      <c r="AH301" s="297"/>
      <c r="AI301" s="14"/>
      <c r="AJ301" s="14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</row>
    <row r="302" spans="1:47" ht="14.25" customHeight="1" x14ac:dyDescent="0.2">
      <c r="A302" s="3"/>
      <c r="B302" s="417"/>
      <c r="C302" s="173">
        <v>292</v>
      </c>
      <c r="D302" s="165"/>
      <c r="E302" s="174">
        <v>4.1050077712355693E-3</v>
      </c>
      <c r="F302" s="502"/>
      <c r="G302" s="219">
        <f t="shared" si="26"/>
        <v>5.4091682023953638</v>
      </c>
      <c r="H302" s="249">
        <f>H301+(G301*E302*'life-tables-test'!$C$66)</f>
        <v>94.590831797604636</v>
      </c>
      <c r="I302" s="516">
        <f t="shared" si="24"/>
        <v>100</v>
      </c>
      <c r="J302" s="153">
        <f>(G302*0)/(1+cDR)^'Markov Model_SA2'!cycle</f>
        <v>0</v>
      </c>
      <c r="K302" s="178">
        <f t="shared" si="21"/>
        <v>5.4091682023953638</v>
      </c>
      <c r="L302" s="202">
        <f>(G302*(uPostT))/(1+oDR)^'Markov Model_SA2'!cycle</f>
        <v>1.9829179371124761</v>
      </c>
      <c r="M302" s="80"/>
      <c r="N302" s="3"/>
      <c r="O302" s="80"/>
      <c r="P302" s="173">
        <v>292</v>
      </c>
      <c r="Q302" s="165"/>
      <c r="R302" s="174">
        <v>4.1050077712355693E-3</v>
      </c>
      <c r="S302" s="502"/>
      <c r="T302" s="219">
        <f t="shared" si="25"/>
        <v>5.0960759542271177</v>
      </c>
      <c r="U302" s="249">
        <f>U301+(T301*R302*'life-tables-test'!$C$66)</f>
        <v>94.903924045772882</v>
      </c>
      <c r="V302" s="516">
        <f t="shared" si="22"/>
        <v>100</v>
      </c>
      <c r="W302" s="153">
        <f>(T302*0)/(1+cDR)^'Markov Model_SA2'!cycle2</f>
        <v>0</v>
      </c>
      <c r="X302" s="178">
        <f t="shared" si="23"/>
        <v>5.0960759542271177</v>
      </c>
      <c r="Y302" s="202">
        <f>(T302*(uPostT))/(1+oDR)^'Markov Model_SA2'!cycle</f>
        <v>1.8681431304076748</v>
      </c>
      <c r="Z302" s="80"/>
      <c r="AA302" s="3"/>
      <c r="AB302" s="3"/>
      <c r="AC302" s="14">
        <v>290</v>
      </c>
      <c r="AD302" s="14"/>
      <c r="AE302" s="14"/>
      <c r="AF302" s="297"/>
      <c r="AG302" s="297"/>
      <c r="AH302" s="297"/>
      <c r="AI302" s="14"/>
      <c r="AJ302" s="14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</row>
    <row r="303" spans="1:47" ht="14.25" customHeight="1" x14ac:dyDescent="0.2">
      <c r="A303" s="3"/>
      <c r="B303" s="417"/>
      <c r="C303" s="173">
        <v>293</v>
      </c>
      <c r="D303" s="165"/>
      <c r="E303" s="174">
        <v>4.1050077712355693E-3</v>
      </c>
      <c r="F303" s="502"/>
      <c r="G303" s="219">
        <f t="shared" si="26"/>
        <v>5.298144814861601</v>
      </c>
      <c r="H303" s="249">
        <f>H302+(G302*E303*'life-tables-test'!$C$66)</f>
        <v>94.701855185138399</v>
      </c>
      <c r="I303" s="516">
        <f t="shared" si="24"/>
        <v>100</v>
      </c>
      <c r="J303" s="153">
        <f>(G303*0)/(1+cDR)^'Markov Model_SA2'!cycle</f>
        <v>0</v>
      </c>
      <c r="K303" s="178">
        <f t="shared" si="21"/>
        <v>5.298144814861601</v>
      </c>
      <c r="L303" s="202">
        <f>(G303*(uPostT))/(1+oDR)^'Markov Model_SA2'!cycle</f>
        <v>1.9373750318250693</v>
      </c>
      <c r="M303" s="80"/>
      <c r="N303" s="3"/>
      <c r="O303" s="80"/>
      <c r="P303" s="173">
        <v>293</v>
      </c>
      <c r="Q303" s="165"/>
      <c r="R303" s="174">
        <v>4.1050077712355693E-3</v>
      </c>
      <c r="S303" s="502"/>
      <c r="T303" s="219">
        <f t="shared" si="25"/>
        <v>4.9914787972525687</v>
      </c>
      <c r="U303" s="249">
        <f>U302+(T302*R303*'life-tables-test'!$C$66)</f>
        <v>95.008521202747431</v>
      </c>
      <c r="V303" s="516">
        <f t="shared" si="22"/>
        <v>100</v>
      </c>
      <c r="W303" s="153">
        <f>(T303*0)/(1+cDR)^'Markov Model_SA2'!cycle2</f>
        <v>0</v>
      </c>
      <c r="X303" s="178">
        <f t="shared" si="23"/>
        <v>4.9914787972525687</v>
      </c>
      <c r="Y303" s="202">
        <f>(T303*(uPostT))/(1+oDR)^'Markov Model_SA2'!cycle</f>
        <v>1.8252363292440441</v>
      </c>
      <c r="Z303" s="80"/>
      <c r="AA303" s="3"/>
      <c r="AB303" s="3"/>
      <c r="AC303" s="14">
        <v>291</v>
      </c>
      <c r="AD303" s="14"/>
      <c r="AE303" s="14"/>
      <c r="AF303" s="297"/>
      <c r="AG303" s="297"/>
      <c r="AH303" s="297"/>
      <c r="AI303" s="14"/>
      <c r="AJ303" s="14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</row>
    <row r="304" spans="1:47" ht="14.25" customHeight="1" x14ac:dyDescent="0.2">
      <c r="A304" s="3"/>
      <c r="B304" s="417"/>
      <c r="C304" s="173">
        <v>294</v>
      </c>
      <c r="D304" s="165"/>
      <c r="E304" s="174">
        <v>4.1050077712355693E-3</v>
      </c>
      <c r="F304" s="502"/>
      <c r="G304" s="219">
        <f t="shared" si="26"/>
        <v>5.189400186670909</v>
      </c>
      <c r="H304" s="249">
        <f>H303+(G303*E304*'life-tables-test'!$C$66)</f>
        <v>94.810599813329091</v>
      </c>
      <c r="I304" s="516">
        <f t="shared" si="24"/>
        <v>100</v>
      </c>
      <c r="J304" s="153">
        <f>(G304*0)/(1+cDR)^'Markov Model_SA2'!cycle</f>
        <v>0</v>
      </c>
      <c r="K304" s="178">
        <f t="shared" si="21"/>
        <v>5.189400186670909</v>
      </c>
      <c r="L304" s="202">
        <f>(G304*(uPostT))/(1+oDR)^'Markov Model_SA2'!cycle</f>
        <v>1.8928781386711935</v>
      </c>
      <c r="M304" s="80"/>
      <c r="N304" s="3"/>
      <c r="O304" s="80"/>
      <c r="P304" s="173">
        <v>294</v>
      </c>
      <c r="Q304" s="165"/>
      <c r="R304" s="174">
        <v>4.1050077712355693E-3</v>
      </c>
      <c r="S304" s="502"/>
      <c r="T304" s="219">
        <f t="shared" si="25"/>
        <v>4.8890285009891699</v>
      </c>
      <c r="U304" s="249">
        <f>U303+(T303*R304*'life-tables-test'!$C$66)</f>
        <v>95.11097149901083</v>
      </c>
      <c r="V304" s="516">
        <f t="shared" si="22"/>
        <v>100</v>
      </c>
      <c r="W304" s="153">
        <f>(T304*0)/(1+cDR)^'Markov Model_SA2'!cycle2</f>
        <v>0</v>
      </c>
      <c r="X304" s="178">
        <f t="shared" si="23"/>
        <v>4.8890285009891699</v>
      </c>
      <c r="Y304" s="202">
        <f>(T304*(uPostT))/(1+oDR)^'Markov Model_SA2'!cycle</f>
        <v>1.7833149951766609</v>
      </c>
      <c r="Z304" s="80"/>
      <c r="AA304" s="3"/>
      <c r="AB304" s="3"/>
      <c r="AC304" s="14">
        <v>292</v>
      </c>
      <c r="AD304" s="14"/>
      <c r="AE304" s="14"/>
      <c r="AF304" s="297"/>
      <c r="AG304" s="297"/>
      <c r="AH304" s="297"/>
      <c r="AI304" s="14"/>
      <c r="AJ304" s="14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</row>
    <row r="305" spans="1:47" ht="14.25" customHeight="1" x14ac:dyDescent="0.2">
      <c r="A305" s="3"/>
      <c r="B305" s="417"/>
      <c r="C305" s="173">
        <v>295</v>
      </c>
      <c r="D305" s="165"/>
      <c r="E305" s="174">
        <v>4.1050077712355693E-3</v>
      </c>
      <c r="F305" s="502"/>
      <c r="G305" s="219">
        <f t="shared" si="26"/>
        <v>5.0828875461992311</v>
      </c>
      <c r="H305" s="249">
        <f>H304+(G304*E305*'life-tables-test'!$C$66)</f>
        <v>94.917112453800769</v>
      </c>
      <c r="I305" s="516">
        <f t="shared" si="24"/>
        <v>100</v>
      </c>
      <c r="J305" s="153">
        <f>(G305*0)/(1+cDR)^'Markov Model_SA2'!cycle</f>
        <v>0</v>
      </c>
      <c r="K305" s="178">
        <f t="shared" si="21"/>
        <v>5.0828875461992311</v>
      </c>
      <c r="L305" s="202">
        <f>(G305*(uPostT))/(1+oDR)^'Markov Model_SA2'!cycle</f>
        <v>1.8494032332418526</v>
      </c>
      <c r="M305" s="80"/>
      <c r="N305" s="3"/>
      <c r="O305" s="80"/>
      <c r="P305" s="173">
        <v>295</v>
      </c>
      <c r="Q305" s="165"/>
      <c r="R305" s="174">
        <v>4.1050077712355693E-3</v>
      </c>
      <c r="S305" s="502"/>
      <c r="T305" s="219">
        <f t="shared" si="25"/>
        <v>4.7886810010374035</v>
      </c>
      <c r="U305" s="249">
        <f>U304+(T304*R305*'life-tables-test'!$C$66)</f>
        <v>95.211318998962597</v>
      </c>
      <c r="V305" s="516">
        <f t="shared" si="22"/>
        <v>100</v>
      </c>
      <c r="W305" s="153">
        <f>(T305*0)/(1+cDR)^'Markov Model_SA2'!cycle2</f>
        <v>0</v>
      </c>
      <c r="X305" s="178">
        <f t="shared" si="23"/>
        <v>4.7886810010374035</v>
      </c>
      <c r="Y305" s="202">
        <f>(T305*(uPostT))/(1+oDR)^'Markov Model_SA2'!cycle</f>
        <v>1.7423564943719243</v>
      </c>
      <c r="Z305" s="80"/>
      <c r="AA305" s="3"/>
      <c r="AB305" s="3"/>
      <c r="AC305" s="14">
        <v>293</v>
      </c>
      <c r="AD305" s="14"/>
      <c r="AE305" s="14"/>
      <c r="AF305" s="297"/>
      <c r="AG305" s="297"/>
      <c r="AH305" s="297"/>
      <c r="AI305" s="14"/>
      <c r="AJ305" s="14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</row>
    <row r="306" spans="1:47" ht="14.25" customHeight="1" x14ac:dyDescent="0.2">
      <c r="A306" s="3"/>
      <c r="B306" s="417"/>
      <c r="C306" s="173">
        <v>296</v>
      </c>
      <c r="D306" s="165"/>
      <c r="E306" s="174">
        <v>4.1050077712355693E-3</v>
      </c>
      <c r="F306" s="502"/>
      <c r="G306" s="219">
        <f t="shared" si="26"/>
        <v>4.9785610818119039</v>
      </c>
      <c r="H306" s="249">
        <f>H305+(G305*E306*'life-tables-test'!$C$66)</f>
        <v>95.021438918188096</v>
      </c>
      <c r="I306" s="516">
        <f t="shared" si="24"/>
        <v>100</v>
      </c>
      <c r="J306" s="153">
        <f>(G306*0)/(1+cDR)^'Markov Model_SA2'!cycle</f>
        <v>0</v>
      </c>
      <c r="K306" s="178">
        <f t="shared" ref="K306:K369" si="27">G306</f>
        <v>4.9785610818119039</v>
      </c>
      <c r="L306" s="202">
        <f>(G306*(uPostT))/(1+oDR)^'Markov Model_SA2'!cycle</f>
        <v>1.8069268429115419</v>
      </c>
      <c r="M306" s="80"/>
      <c r="N306" s="3"/>
      <c r="O306" s="80"/>
      <c r="P306" s="173">
        <v>296</v>
      </c>
      <c r="Q306" s="165"/>
      <c r="R306" s="174">
        <v>4.1050077712355693E-3</v>
      </c>
      <c r="S306" s="502"/>
      <c r="T306" s="219">
        <f t="shared" si="25"/>
        <v>4.6903931374212675</v>
      </c>
      <c r="U306" s="249">
        <f>U305+(T305*R306*'life-tables-test'!$C$66)</f>
        <v>95.309606862578732</v>
      </c>
      <c r="V306" s="516">
        <f t="shared" si="22"/>
        <v>100</v>
      </c>
      <c r="W306" s="153">
        <f>(T306*0)/(1+cDR)^'Markov Model_SA2'!cycle2</f>
        <v>0</v>
      </c>
      <c r="X306" s="178">
        <f t="shared" si="23"/>
        <v>4.6903931374212675</v>
      </c>
      <c r="Y306" s="202">
        <f>(T306*(uPostT))/(1+oDR)^'Markov Model_SA2'!cycle</f>
        <v>1.7023387128415222</v>
      </c>
      <c r="Z306" s="80"/>
      <c r="AA306" s="3"/>
      <c r="AB306" s="3"/>
      <c r="AC306" s="14">
        <v>294</v>
      </c>
      <c r="AD306" s="14"/>
      <c r="AE306" s="14"/>
      <c r="AF306" s="297"/>
      <c r="AG306" s="297"/>
      <c r="AH306" s="297"/>
      <c r="AI306" s="14"/>
      <c r="AJ306" s="14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</row>
    <row r="307" spans="1:47" ht="14.25" customHeight="1" x14ac:dyDescent="0.2">
      <c r="A307" s="3"/>
      <c r="B307" s="417"/>
      <c r="C307" s="173">
        <v>297</v>
      </c>
      <c r="D307" s="165"/>
      <c r="E307" s="174">
        <v>4.1050077712355693E-3</v>
      </c>
      <c r="F307" s="502"/>
      <c r="G307" s="219">
        <f t="shared" si="26"/>
        <v>4.8763759221598661</v>
      </c>
      <c r="H307" s="249">
        <f>H306+(G306*E307*'life-tables-test'!$C$66)</f>
        <v>95.123624077840134</v>
      </c>
      <c r="I307" s="516">
        <f t="shared" si="24"/>
        <v>100</v>
      </c>
      <c r="J307" s="153">
        <f>(G307*0)/(1+cDR)^'Markov Model_SA2'!cycle</f>
        <v>0</v>
      </c>
      <c r="K307" s="178">
        <f t="shared" si="27"/>
        <v>4.8763759221598661</v>
      </c>
      <c r="L307" s="202">
        <f>(G307*(uPostT))/(1+oDR)^'Markov Model_SA2'!cycle</f>
        <v>1.7654260341651014</v>
      </c>
      <c r="M307" s="80"/>
      <c r="N307" s="3"/>
      <c r="O307" s="80"/>
      <c r="P307" s="173">
        <v>297</v>
      </c>
      <c r="Q307" s="165"/>
      <c r="R307" s="174">
        <v>4.1050077712355693E-3</v>
      </c>
      <c r="S307" s="502"/>
      <c r="T307" s="219">
        <f t="shared" si="25"/>
        <v>4.5941226360249487</v>
      </c>
      <c r="U307" s="249">
        <f>U306+(T306*R307*'life-tables-test'!$C$66)</f>
        <v>95.405877363975051</v>
      </c>
      <c r="V307" s="516">
        <f t="shared" si="22"/>
        <v>100</v>
      </c>
      <c r="W307" s="153">
        <f>(T307*0)/(1+cDR)^'Markov Model_SA2'!cycle2</f>
        <v>0</v>
      </c>
      <c r="X307" s="178">
        <f t="shared" si="23"/>
        <v>4.5941226360249487</v>
      </c>
      <c r="Y307" s="202">
        <f>(T307*(uPostT))/(1+oDR)^'Markov Model_SA2'!cycle</f>
        <v>1.6632400445028184</v>
      </c>
      <c r="Z307" s="80"/>
      <c r="AA307" s="3"/>
      <c r="AB307" s="3"/>
      <c r="AC307" s="14">
        <v>295</v>
      </c>
      <c r="AD307" s="14"/>
      <c r="AE307" s="14"/>
      <c r="AF307" s="297"/>
      <c r="AG307" s="297"/>
      <c r="AH307" s="297"/>
      <c r="AI307" s="14"/>
      <c r="AJ307" s="14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</row>
    <row r="308" spans="1:47" ht="14.25" customHeight="1" x14ac:dyDescent="0.2">
      <c r="A308" s="3"/>
      <c r="B308" s="417"/>
      <c r="C308" s="173">
        <v>298</v>
      </c>
      <c r="D308" s="165"/>
      <c r="E308" s="174">
        <v>4.1050077712355693E-3</v>
      </c>
      <c r="F308" s="502"/>
      <c r="G308" s="219">
        <f t="shared" si="26"/>
        <v>4.7762881168802096</v>
      </c>
      <c r="H308" s="249">
        <f>H307+(G307*E308*'life-tables-test'!$C$66)</f>
        <v>95.22371188311979</v>
      </c>
      <c r="I308" s="516">
        <f t="shared" si="24"/>
        <v>100</v>
      </c>
      <c r="J308" s="153">
        <f>(G308*0)/(1+cDR)^'Markov Model_SA2'!cycle</f>
        <v>0</v>
      </c>
      <c r="K308" s="178">
        <f t="shared" si="27"/>
        <v>4.7762881168802096</v>
      </c>
      <c r="L308" s="202">
        <f>(G308*(uPostT))/(1+oDR)^'Markov Model_SA2'!cycle</f>
        <v>1.7248784002156174</v>
      </c>
      <c r="M308" s="80"/>
      <c r="N308" s="3"/>
      <c r="O308" s="80"/>
      <c r="P308" s="173">
        <v>298</v>
      </c>
      <c r="Q308" s="165"/>
      <c r="R308" s="174">
        <v>4.1050077712355693E-3</v>
      </c>
      <c r="S308" s="502"/>
      <c r="T308" s="219">
        <f t="shared" si="25"/>
        <v>4.4998280904104888</v>
      </c>
      <c r="U308" s="249">
        <f>U307+(T307*R308*'life-tables-test'!$C$66)</f>
        <v>95.500171909589511</v>
      </c>
      <c r="V308" s="516">
        <f t="shared" si="22"/>
        <v>100</v>
      </c>
      <c r="W308" s="153">
        <f>(T308*0)/(1+cDR)^'Markov Model_SA2'!cycle2</f>
        <v>0</v>
      </c>
      <c r="X308" s="178">
        <f t="shared" si="23"/>
        <v>4.4998280904104888</v>
      </c>
      <c r="Y308" s="202">
        <f>(T308*(uPostT))/(1+oDR)^'Markov Model_SA2'!cycle</f>
        <v>1.6250393795134628</v>
      </c>
      <c r="Z308" s="80"/>
      <c r="AA308" s="3"/>
      <c r="AB308" s="3"/>
      <c r="AC308" s="14">
        <v>296</v>
      </c>
      <c r="AD308" s="14"/>
      <c r="AE308" s="14"/>
      <c r="AF308" s="297"/>
      <c r="AG308" s="297"/>
      <c r="AH308" s="297"/>
      <c r="AI308" s="14"/>
      <c r="AJ308" s="14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</row>
    <row r="309" spans="1:47" ht="14.25" customHeight="1" x14ac:dyDescent="0.2">
      <c r="A309" s="3"/>
      <c r="B309" s="417"/>
      <c r="C309" s="173">
        <v>299</v>
      </c>
      <c r="D309" s="165"/>
      <c r="E309" s="174">
        <v>4.1050077712355693E-3</v>
      </c>
      <c r="F309" s="502"/>
      <c r="G309" s="219">
        <f t="shared" si="26"/>
        <v>4.6782546176929429</v>
      </c>
      <c r="H309" s="249">
        <f>H308+(G308*E309*'life-tables-test'!$C$66)</f>
        <v>95.321745382307057</v>
      </c>
      <c r="I309" s="516">
        <f t="shared" si="24"/>
        <v>100</v>
      </c>
      <c r="J309" s="153">
        <f>(G309*0)/(1+cDR)^'Markov Model_SA2'!cycle</f>
        <v>0</v>
      </c>
      <c r="K309" s="178">
        <f t="shared" si="27"/>
        <v>4.6782546176929429</v>
      </c>
      <c r="L309" s="202">
        <f>(G309*(uPostT))/(1+oDR)^'Markov Model_SA2'!cycle</f>
        <v>1.6852620489067436</v>
      </c>
      <c r="M309" s="80"/>
      <c r="N309" s="3"/>
      <c r="O309" s="80"/>
      <c r="P309" s="173">
        <v>299</v>
      </c>
      <c r="Q309" s="165"/>
      <c r="R309" s="174">
        <v>4.1050077712355693E-3</v>
      </c>
      <c r="S309" s="502"/>
      <c r="T309" s="219">
        <f t="shared" si="25"/>
        <v>4.4074689440086985</v>
      </c>
      <c r="U309" s="249">
        <f>U308+(T308*R309*'life-tables-test'!$C$66)</f>
        <v>95.592531055991302</v>
      </c>
      <c r="V309" s="516">
        <f t="shared" si="22"/>
        <v>100</v>
      </c>
      <c r="W309" s="153">
        <f>(T309*0)/(1+cDR)^'Markov Model_SA2'!cycle2</f>
        <v>0</v>
      </c>
      <c r="X309" s="178">
        <f t="shared" si="23"/>
        <v>4.4074689440086985</v>
      </c>
      <c r="Y309" s="202">
        <f>(T309*(uPostT))/(1+oDR)^'Markov Model_SA2'!cycle</f>
        <v>1.5877160928739471</v>
      </c>
      <c r="Z309" s="80"/>
      <c r="AA309" s="3"/>
      <c r="AB309" s="3"/>
      <c r="AC309" s="14">
        <v>297</v>
      </c>
      <c r="AD309" s="14"/>
      <c r="AE309" s="14"/>
      <c r="AF309" s="297"/>
      <c r="AG309" s="297"/>
      <c r="AH309" s="297"/>
      <c r="AI309" s="14"/>
      <c r="AJ309" s="14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</row>
    <row r="310" spans="1:47" ht="14.25" customHeight="1" x14ac:dyDescent="0.2">
      <c r="A310" s="3"/>
      <c r="B310" s="417"/>
      <c r="C310" s="173">
        <v>300</v>
      </c>
      <c r="D310" s="165"/>
      <c r="E310" s="174">
        <v>4.1050077712355693E-3</v>
      </c>
      <c r="F310" s="502"/>
      <c r="G310" s="219">
        <f t="shared" si="26"/>
        <v>4.5822332598856974</v>
      </c>
      <c r="H310" s="249">
        <f>H309+(G309*E310*'life-tables-test'!$C$66)</f>
        <v>95.417766740114303</v>
      </c>
      <c r="I310" s="516">
        <f t="shared" si="24"/>
        <v>100</v>
      </c>
      <c r="J310" s="153">
        <f>(G310*0)/(1+cDR)^'Markov Model_SA2'!cycle</f>
        <v>0</v>
      </c>
      <c r="K310" s="178">
        <f t="shared" si="27"/>
        <v>4.5822332598856974</v>
      </c>
      <c r="L310" s="202">
        <f>(G310*(uPostT))/(1+oDR)^'Markov Model_SA2'!cycle</f>
        <v>1.6465555908928571</v>
      </c>
      <c r="M310" s="80"/>
      <c r="N310" s="3"/>
      <c r="O310" s="80"/>
      <c r="P310" s="173">
        <v>300</v>
      </c>
      <c r="Q310" s="165"/>
      <c r="R310" s="174">
        <v>4.1050077712355693E-3</v>
      </c>
      <c r="S310" s="502"/>
      <c r="T310" s="219">
        <f t="shared" si="25"/>
        <v>4.3170054726755183</v>
      </c>
      <c r="U310" s="249">
        <f>U309+(T309*R310*'life-tables-test'!$C$66)</f>
        <v>95.682994527324482</v>
      </c>
      <c r="V310" s="516">
        <f t="shared" si="22"/>
        <v>100</v>
      </c>
      <c r="W310" s="153">
        <f>(T310*0)/(1+cDR)^'Markov Model_SA2'!cycle2</f>
        <v>0</v>
      </c>
      <c r="X310" s="178">
        <f t="shared" si="23"/>
        <v>4.3170054726755183</v>
      </c>
      <c r="Y310" s="202">
        <f>(T310*(uPostT))/(1+oDR)^'Markov Model_SA2'!cycle</f>
        <v>1.551250033291899</v>
      </c>
      <c r="Z310" s="80"/>
      <c r="AA310" s="3"/>
      <c r="AB310" s="3"/>
      <c r="AC310" s="14">
        <v>298</v>
      </c>
      <c r="AD310" s="14"/>
      <c r="AE310" s="14"/>
      <c r="AF310" s="297"/>
      <c r="AG310" s="297"/>
      <c r="AH310" s="297"/>
      <c r="AI310" s="14"/>
      <c r="AJ310" s="14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</row>
    <row r="311" spans="1:47" ht="14.25" customHeight="1" x14ac:dyDescent="0.2">
      <c r="A311" s="3"/>
      <c r="B311" s="417"/>
      <c r="C311" s="173">
        <v>301</v>
      </c>
      <c r="D311" s="504"/>
      <c r="E311" s="174">
        <v>4.1050077712355693E-3</v>
      </c>
      <c r="F311" s="505"/>
      <c r="G311" s="219">
        <f t="shared" si="26"/>
        <v>4.4881827441784736</v>
      </c>
      <c r="H311" s="249">
        <f>H310+(G310*E311*'life-tables-test'!$C$66)</f>
        <v>95.511817255821526</v>
      </c>
      <c r="I311" s="516">
        <f t="shared" si="24"/>
        <v>100</v>
      </c>
      <c r="J311" s="180">
        <f>(G311*0)/(1+cDR)^'Markov Model_SA2'!cycle</f>
        <v>0</v>
      </c>
      <c r="K311" s="176">
        <f t="shared" si="27"/>
        <v>4.4881827441784736</v>
      </c>
      <c r="L311" s="202">
        <f>(G311*(uPostT))/(1+oDR)^'Markov Model_SA2'!cycle</f>
        <v>1.6087381280906976</v>
      </c>
      <c r="M311" s="80"/>
      <c r="N311" s="3"/>
      <c r="O311" s="80"/>
      <c r="P311" s="173">
        <v>301</v>
      </c>
      <c r="Q311" s="504"/>
      <c r="R311" s="174">
        <v>4.1050077712355693E-3</v>
      </c>
      <c r="S311" s="505"/>
      <c r="T311" s="219">
        <f t="shared" si="25"/>
        <v>4.2283987676065209</v>
      </c>
      <c r="U311" s="249">
        <f>U310+(T310*R311*'life-tables-test'!$C$66)</f>
        <v>95.771601232393479</v>
      </c>
      <c r="V311" s="516">
        <f t="shared" si="22"/>
        <v>100</v>
      </c>
      <c r="W311" s="180">
        <f>(T311*0)/(1+cDR)^'Markov Model_SA2'!cycle2</f>
        <v>0</v>
      </c>
      <c r="X311" s="176">
        <f t="shared" si="23"/>
        <v>4.2283987676065209</v>
      </c>
      <c r="Y311" s="202">
        <f>(T311*(uPostT))/(1+oDR)^'Markov Model_SA2'!cycle</f>
        <v>1.5156215123021801</v>
      </c>
      <c r="Z311" s="80"/>
      <c r="AA311" s="3"/>
      <c r="AB311" s="3"/>
      <c r="AC311" s="14">
        <v>299</v>
      </c>
      <c r="AD311" s="14"/>
      <c r="AE311" s="14"/>
      <c r="AF311" s="297"/>
      <c r="AG311" s="297"/>
      <c r="AH311" s="297"/>
      <c r="AI311" s="14"/>
      <c r="AJ311" s="14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</row>
    <row r="312" spans="1:47" ht="14.25" customHeight="1" x14ac:dyDescent="0.25">
      <c r="A312" s="3">
        <v>27</v>
      </c>
      <c r="B312" s="417"/>
      <c r="C312" s="506">
        <v>302</v>
      </c>
      <c r="D312" s="506"/>
      <c r="E312" s="507">
        <v>4.1050077712355693E-3</v>
      </c>
      <c r="F312" s="508"/>
      <c r="G312" s="509">
        <f t="shared" si="26"/>
        <v>4.3960626189605847</v>
      </c>
      <c r="H312" s="510">
        <f>H311+(G311*E312*'life-tables-test'!$C$66)</f>
        <v>95.603937381039415</v>
      </c>
      <c r="I312" s="518">
        <f t="shared" si="24"/>
        <v>100</v>
      </c>
      <c r="J312" s="511">
        <f>(G312*0)/(1+cDR)^'Markov Model_SA2'!cycle</f>
        <v>0</v>
      </c>
      <c r="K312" s="512">
        <f t="shared" si="27"/>
        <v>4.3960626189605847</v>
      </c>
      <c r="L312" s="513">
        <f>(G312*(uPostT))/(1+oDR)^'Markov Model_SA2'!cycle</f>
        <v>1.5717892423962314</v>
      </c>
      <c r="M312" s="80"/>
      <c r="N312" s="3"/>
      <c r="O312" s="80"/>
      <c r="P312" s="506">
        <v>302</v>
      </c>
      <c r="Q312" s="506"/>
      <c r="R312" s="507">
        <v>4.1050077712355693E-3</v>
      </c>
      <c r="S312" s="508"/>
      <c r="T312" s="509">
        <f t="shared" si="25"/>
        <v>4.1416107186019815</v>
      </c>
      <c r="U312" s="510">
        <f>U311+(T311*R312*'life-tables-test'!$C$66)</f>
        <v>95.858389281398019</v>
      </c>
      <c r="V312" s="518">
        <f t="shared" ref="V312:V375" si="28">SUM(T312:U312)</f>
        <v>100</v>
      </c>
      <c r="W312" s="511">
        <f>(T312*0)/(1+cDR)^'Markov Model_SA2'!cycle2</f>
        <v>0</v>
      </c>
      <c r="X312" s="512">
        <f t="shared" ref="X312:X375" si="29">T312</f>
        <v>4.1416107186019815</v>
      </c>
      <c r="Y312" s="513">
        <f>(T312*(uPostT))/(1+oDR)^'Markov Model_SA2'!cycle</f>
        <v>1.480811293636827</v>
      </c>
      <c r="Z312" s="80"/>
      <c r="AA312" s="3"/>
      <c r="AB312" s="3"/>
      <c r="AC312" s="14">
        <v>300</v>
      </c>
      <c r="AD312" s="14"/>
      <c r="AE312" s="14"/>
      <c r="AF312" s="297"/>
      <c r="AG312" s="297"/>
      <c r="AH312" s="297"/>
      <c r="AI312" s="14"/>
      <c r="AJ312" s="14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</row>
    <row r="313" spans="1:47" ht="14.25" customHeight="1" x14ac:dyDescent="0.2">
      <c r="A313" s="3"/>
      <c r="B313" s="417"/>
      <c r="C313" s="173">
        <v>303</v>
      </c>
      <c r="D313" s="165"/>
      <c r="E313" s="174">
        <v>4.5466575584373059E-3</v>
      </c>
      <c r="F313" s="502"/>
      <c r="G313" s="219">
        <f t="shared" si="26"/>
        <v>4.2961256622912742</v>
      </c>
      <c r="H313" s="249">
        <f>H312+(G312*E313*'life-tables-test'!$C$66)</f>
        <v>95.703874337708726</v>
      </c>
      <c r="I313" s="516">
        <f t="shared" ref="I313:I376" si="30">SUM(G313:H313)</f>
        <v>100</v>
      </c>
      <c r="J313" s="153">
        <f>(G313*0)/(1+cDR)^'Markov Model_SA2'!cycle</f>
        <v>0</v>
      </c>
      <c r="K313" s="178">
        <f t="shared" si="27"/>
        <v>4.2961256622912742</v>
      </c>
      <c r="L313" s="202">
        <f>(G313*(uPostT))/(1+oDR)^'Markov Model_SA2'!cycle</f>
        <v>1.5322267383542874</v>
      </c>
      <c r="M313" s="80"/>
      <c r="N313" s="3"/>
      <c r="O313" s="80"/>
      <c r="P313" s="173">
        <v>303</v>
      </c>
      <c r="Q313" s="165"/>
      <c r="R313" s="174">
        <v>4.5466575584373059E-3</v>
      </c>
      <c r="S313" s="502"/>
      <c r="T313" s="219">
        <f t="shared" ref="T313:T376" si="31">$T$10-U313</f>
        <v>4.047458290212802</v>
      </c>
      <c r="U313" s="249">
        <f>U312+(T312*R313*'life-tables-test'!$C$66)</f>
        <v>95.952541709787198</v>
      </c>
      <c r="V313" s="516">
        <f t="shared" si="28"/>
        <v>100</v>
      </c>
      <c r="W313" s="153">
        <f>(T313*0)/(1+cDR)^'Markov Model_SA2'!cycle2</f>
        <v>0</v>
      </c>
      <c r="X313" s="178">
        <f t="shared" si="29"/>
        <v>4.047458290212802</v>
      </c>
      <c r="Y313" s="202">
        <f>(T313*(uPostT))/(1+oDR)^'Markov Model_SA2'!cycle</f>
        <v>1.4435387374889399</v>
      </c>
      <c r="Z313" s="80"/>
      <c r="AA313" s="3"/>
      <c r="AB313" s="3"/>
      <c r="AC313" s="14">
        <v>301</v>
      </c>
      <c r="AD313" s="14"/>
      <c r="AE313" s="14"/>
      <c r="AF313" s="297"/>
      <c r="AG313" s="297"/>
      <c r="AH313" s="297"/>
      <c r="AI313" s="14"/>
      <c r="AJ313" s="14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</row>
    <row r="314" spans="1:47" ht="14.25" customHeight="1" x14ac:dyDescent="0.2">
      <c r="A314" s="3"/>
      <c r="B314" s="417"/>
      <c r="C314" s="173">
        <v>304</v>
      </c>
      <c r="D314" s="165"/>
      <c r="E314" s="174">
        <v>4.5466575584373059E-3</v>
      </c>
      <c r="F314" s="502"/>
      <c r="G314" s="219">
        <f t="shared" si="26"/>
        <v>4.1984606012190113</v>
      </c>
      <c r="H314" s="249">
        <f>H313+(G313*E314*'life-tables-test'!$C$66)</f>
        <v>95.801539398780989</v>
      </c>
      <c r="I314" s="516">
        <f t="shared" si="30"/>
        <v>100</v>
      </c>
      <c r="J314" s="153">
        <f>(G314*0)/(1+cDR)^'Markov Model_SA2'!cycle</f>
        <v>0</v>
      </c>
      <c r="K314" s="178">
        <f t="shared" si="27"/>
        <v>4.1984606012190113</v>
      </c>
      <c r="L314" s="202">
        <f>(G314*(uPostT))/(1+oDR)^'Markov Model_SA2'!cycle</f>
        <v>1.4936600368562556</v>
      </c>
      <c r="M314" s="80"/>
      <c r="N314" s="3"/>
      <c r="O314" s="80"/>
      <c r="P314" s="173">
        <v>304</v>
      </c>
      <c r="Q314" s="165"/>
      <c r="R314" s="174">
        <v>4.5466575584373059E-3</v>
      </c>
      <c r="S314" s="502"/>
      <c r="T314" s="219">
        <f t="shared" si="31"/>
        <v>3.9554462560745236</v>
      </c>
      <c r="U314" s="249">
        <f>U313+(T313*R314*'life-tables-test'!$C$66)</f>
        <v>96.044553743925476</v>
      </c>
      <c r="V314" s="516">
        <f t="shared" si="28"/>
        <v>100</v>
      </c>
      <c r="W314" s="153">
        <f>(T314*0)/(1+cDR)^'Markov Model_SA2'!cycle2</f>
        <v>0</v>
      </c>
      <c r="X314" s="178">
        <f t="shared" si="29"/>
        <v>3.9554462560745236</v>
      </c>
      <c r="Y314" s="202">
        <f>(T314*(uPostT))/(1+oDR)^'Markov Model_SA2'!cycle</f>
        <v>1.4072043450677645</v>
      </c>
      <c r="Z314" s="80"/>
      <c r="AA314" s="3"/>
      <c r="AB314" s="3"/>
      <c r="AC314" s="14">
        <v>302</v>
      </c>
      <c r="AD314" s="14"/>
      <c r="AE314" s="14"/>
      <c r="AF314" s="297"/>
      <c r="AG314" s="297"/>
      <c r="AH314" s="297"/>
      <c r="AI314" s="14"/>
      <c r="AJ314" s="14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</row>
    <row r="315" spans="1:47" ht="14.25" customHeight="1" x14ac:dyDescent="0.2">
      <c r="A315" s="3"/>
      <c r="B315" s="417"/>
      <c r="C315" s="173">
        <v>305</v>
      </c>
      <c r="D315" s="165"/>
      <c r="E315" s="174">
        <v>4.5466575584373059E-3</v>
      </c>
      <c r="F315" s="502"/>
      <c r="G315" s="219">
        <f t="shared" si="26"/>
        <v>4.1030157880873475</v>
      </c>
      <c r="H315" s="249">
        <f>H314+(G314*E315*'life-tables-test'!$C$66)</f>
        <v>95.896984211912653</v>
      </c>
      <c r="I315" s="516">
        <f t="shared" si="30"/>
        <v>100</v>
      </c>
      <c r="J315" s="153">
        <f>(G315*0)/(1+cDR)^'Markov Model_SA2'!cycle</f>
        <v>0</v>
      </c>
      <c r="K315" s="178">
        <f t="shared" si="27"/>
        <v>4.1030157880873475</v>
      </c>
      <c r="L315" s="202">
        <f>(G315*(uPostT))/(1+oDR)^'Markov Model_SA2'!cycle</f>
        <v>1.4560640731917371</v>
      </c>
      <c r="M315" s="80"/>
      <c r="N315" s="3"/>
      <c r="O315" s="80"/>
      <c r="P315" s="173">
        <v>305</v>
      </c>
      <c r="Q315" s="165"/>
      <c r="R315" s="174">
        <v>4.5466575584373059E-3</v>
      </c>
      <c r="S315" s="502"/>
      <c r="T315" s="219">
        <f t="shared" si="31"/>
        <v>3.8655259579886518</v>
      </c>
      <c r="U315" s="249">
        <f>U314+(T314*R315*'life-tables-test'!$C$66)</f>
        <v>96.134474042011348</v>
      </c>
      <c r="V315" s="516">
        <f t="shared" si="28"/>
        <v>100</v>
      </c>
      <c r="W315" s="153">
        <f>(T315*0)/(1+cDR)^'Markov Model_SA2'!cycle2</f>
        <v>0</v>
      </c>
      <c r="X315" s="178">
        <f t="shared" si="29"/>
        <v>3.8655259579886518</v>
      </c>
      <c r="Y315" s="202">
        <f>(T315*(uPostT))/(1+oDR)^'Markov Model_SA2'!cycle</f>
        <v>1.371784502452791</v>
      </c>
      <c r="Z315" s="80"/>
      <c r="AA315" s="3"/>
      <c r="AB315" s="3"/>
      <c r="AC315" s="14">
        <v>303</v>
      </c>
      <c r="AD315" s="14"/>
      <c r="AE315" s="14"/>
      <c r="AF315" s="297"/>
      <c r="AG315" s="297"/>
      <c r="AH315" s="297"/>
      <c r="AI315" s="14"/>
      <c r="AJ315" s="14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</row>
    <row r="316" spans="1:47" ht="14.25" customHeight="1" x14ac:dyDescent="0.2">
      <c r="A316" s="3"/>
      <c r="B316" s="417"/>
      <c r="C316" s="173">
        <v>306</v>
      </c>
      <c r="D316" s="165"/>
      <c r="E316" s="174">
        <v>4.5466575584373059E-3</v>
      </c>
      <c r="F316" s="502"/>
      <c r="G316" s="219">
        <f t="shared" si="26"/>
        <v>4.0097407493608728</v>
      </c>
      <c r="H316" s="249">
        <f>H315+(G315*E316*'life-tables-test'!$C$66)</f>
        <v>95.990259250639127</v>
      </c>
      <c r="I316" s="516">
        <f t="shared" si="30"/>
        <v>100</v>
      </c>
      <c r="J316" s="153">
        <f>(G316*0)/(1+cDR)^'Markov Model_SA2'!cycle</f>
        <v>0</v>
      </c>
      <c r="K316" s="178">
        <f t="shared" si="27"/>
        <v>4.0097407493608728</v>
      </c>
      <c r="L316" s="202">
        <f>(G316*(uPostT))/(1+oDR)^'Markov Model_SA2'!cycle</f>
        <v>1.4194144135381606</v>
      </c>
      <c r="M316" s="80"/>
      <c r="N316" s="3"/>
      <c r="O316" s="80"/>
      <c r="P316" s="173">
        <v>306</v>
      </c>
      <c r="Q316" s="165"/>
      <c r="R316" s="174">
        <v>4.5466575584373059E-3</v>
      </c>
      <c r="S316" s="502"/>
      <c r="T316" s="219">
        <f t="shared" si="31"/>
        <v>3.7776498439175299</v>
      </c>
      <c r="U316" s="249">
        <f>U315+(T315*R316*'life-tables-test'!$C$66)</f>
        <v>96.22235015608247</v>
      </c>
      <c r="V316" s="516">
        <f t="shared" si="28"/>
        <v>100</v>
      </c>
      <c r="W316" s="153">
        <f>(T316*0)/(1+cDR)^'Markov Model_SA2'!cycle2</f>
        <v>0</v>
      </c>
      <c r="X316" s="178">
        <f t="shared" si="29"/>
        <v>3.7776498439175299</v>
      </c>
      <c r="Y316" s="202">
        <f>(T316*(uPostT))/(1+oDR)^'Markov Model_SA2'!cycle</f>
        <v>1.3372561900944346</v>
      </c>
      <c r="Z316" s="80"/>
      <c r="AA316" s="3"/>
      <c r="AB316" s="3"/>
      <c r="AC316" s="14">
        <v>304</v>
      </c>
      <c r="AD316" s="14"/>
      <c r="AE316" s="14"/>
      <c r="AF316" s="297"/>
      <c r="AG316" s="297"/>
      <c r="AH316" s="297"/>
      <c r="AI316" s="14"/>
      <c r="AJ316" s="14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</row>
    <row r="317" spans="1:47" ht="14.25" customHeight="1" x14ac:dyDescent="0.2">
      <c r="A317" s="3"/>
      <c r="B317" s="417"/>
      <c r="C317" s="173">
        <v>307</v>
      </c>
      <c r="D317" s="165"/>
      <c r="E317" s="174">
        <v>4.5466575584373059E-3</v>
      </c>
      <c r="F317" s="502"/>
      <c r="G317" s="219">
        <f t="shared" si="26"/>
        <v>3.9185861589335929</v>
      </c>
      <c r="H317" s="249">
        <f>H316+(G316*E317*'life-tables-test'!$C$66)</f>
        <v>96.081413841066407</v>
      </c>
      <c r="I317" s="516">
        <f t="shared" si="30"/>
        <v>100</v>
      </c>
      <c r="J317" s="153">
        <f>(G317*0)/(1+cDR)^'Markov Model_SA2'!cycle</f>
        <v>0</v>
      </c>
      <c r="K317" s="178">
        <f t="shared" si="27"/>
        <v>3.9185861589335929</v>
      </c>
      <c r="L317" s="202">
        <f>(G317*(uPostT))/(1+oDR)^'Markov Model_SA2'!cycle</f>
        <v>1.3836872390811168</v>
      </c>
      <c r="M317" s="80"/>
      <c r="N317" s="3"/>
      <c r="O317" s="80"/>
      <c r="P317" s="173">
        <v>307</v>
      </c>
      <c r="Q317" s="165"/>
      <c r="R317" s="174">
        <v>4.5466575584373059E-3</v>
      </c>
      <c r="S317" s="502"/>
      <c r="T317" s="219">
        <f t="shared" si="31"/>
        <v>3.6917714428376485</v>
      </c>
      <c r="U317" s="249">
        <f>U316+(T316*R317*'life-tables-test'!$C$66)</f>
        <v>96.308228557162352</v>
      </c>
      <c r="V317" s="516">
        <f t="shared" si="28"/>
        <v>100</v>
      </c>
      <c r="W317" s="153">
        <f>(T317*0)/(1+cDR)^'Markov Model_SA2'!cycle2</f>
        <v>0</v>
      </c>
      <c r="X317" s="178">
        <f t="shared" si="29"/>
        <v>3.6917714428376485</v>
      </c>
      <c r="Y317" s="202">
        <f>(T317*(uPostT))/(1+oDR)^'Markov Model_SA2'!cycle</f>
        <v>1.3035969678535029</v>
      </c>
      <c r="Z317" s="80"/>
      <c r="AA317" s="3"/>
      <c r="AB317" s="3"/>
      <c r="AC317" s="14">
        <v>305</v>
      </c>
      <c r="AD317" s="14"/>
      <c r="AE317" s="14"/>
      <c r="AF317" s="297"/>
      <c r="AG317" s="297"/>
      <c r="AH317" s="297"/>
      <c r="AI317" s="14"/>
      <c r="AJ317" s="14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</row>
    <row r="318" spans="1:47" ht="14.25" customHeight="1" x14ac:dyDescent="0.2">
      <c r="A318" s="3"/>
      <c r="B318" s="417"/>
      <c r="C318" s="173">
        <v>308</v>
      </c>
      <c r="D318" s="165"/>
      <c r="E318" s="174">
        <v>4.5466575584373059E-3</v>
      </c>
      <c r="F318" s="502"/>
      <c r="G318" s="219">
        <f t="shared" si="26"/>
        <v>3.8295038120440807</v>
      </c>
      <c r="H318" s="249">
        <f>H317+(G317*E318*'life-tables-test'!$C$66)</f>
        <v>96.170496187955919</v>
      </c>
      <c r="I318" s="516">
        <f t="shared" si="30"/>
        <v>100</v>
      </c>
      <c r="J318" s="153">
        <f>(G318*0)/(1+cDR)^'Markov Model_SA2'!cycle</f>
        <v>0</v>
      </c>
      <c r="K318" s="178">
        <f t="shared" si="27"/>
        <v>3.8295038120440807</v>
      </c>
      <c r="L318" s="202">
        <f>(G318*(uPostT))/(1+oDR)^'Markov Model_SA2'!cycle</f>
        <v>1.348859330534375</v>
      </c>
      <c r="M318" s="80"/>
      <c r="N318" s="3"/>
      <c r="O318" s="80"/>
      <c r="P318" s="173">
        <v>308</v>
      </c>
      <c r="Q318" s="165"/>
      <c r="R318" s="174">
        <v>4.5466575584373059E-3</v>
      </c>
      <c r="S318" s="502"/>
      <c r="T318" s="219">
        <f t="shared" si="31"/>
        <v>3.6078453401646442</v>
      </c>
      <c r="U318" s="249">
        <f>U317+(T317*R318*'life-tables-test'!$C$66)</f>
        <v>96.392154659835356</v>
      </c>
      <c r="V318" s="516">
        <f t="shared" si="28"/>
        <v>100</v>
      </c>
      <c r="W318" s="153">
        <f>(T318*0)/(1+cDR)^'Markov Model_SA2'!cycle2</f>
        <v>0</v>
      </c>
      <c r="X318" s="178">
        <f t="shared" si="29"/>
        <v>3.6078453401646442</v>
      </c>
      <c r="Y318" s="202">
        <f>(T318*(uPostT))/(1+oDR)^'Markov Model_SA2'!cycle</f>
        <v>1.2707849604172241</v>
      </c>
      <c r="Z318" s="80"/>
      <c r="AA318" s="3"/>
      <c r="AB318" s="3"/>
      <c r="AC318" s="14">
        <v>306</v>
      </c>
      <c r="AD318" s="14"/>
      <c r="AE318" s="14"/>
      <c r="AF318" s="297"/>
      <c r="AG318" s="297"/>
      <c r="AH318" s="297"/>
      <c r="AI318" s="14"/>
      <c r="AJ318" s="14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</row>
    <row r="319" spans="1:47" ht="14.25" customHeight="1" x14ac:dyDescent="0.2">
      <c r="A319" s="3"/>
      <c r="B319" s="417"/>
      <c r="C319" s="173">
        <v>309</v>
      </c>
      <c r="D319" s="165"/>
      <c r="E319" s="174">
        <v>4.5466575584373059E-3</v>
      </c>
      <c r="F319" s="502"/>
      <c r="G319" s="219">
        <f t="shared" si="26"/>
        <v>3.7424465997836052</v>
      </c>
      <c r="H319" s="249">
        <f>H318+(G318*E319*'life-tables-test'!$C$66)</f>
        <v>96.257553400216395</v>
      </c>
      <c r="I319" s="516">
        <f t="shared" si="30"/>
        <v>100</v>
      </c>
      <c r="J319" s="153">
        <f>(G319*0)/(1+cDR)^'Markov Model_SA2'!cycle</f>
        <v>0</v>
      </c>
      <c r="K319" s="178">
        <f t="shared" si="27"/>
        <v>3.7424465997836052</v>
      </c>
      <c r="L319" s="202">
        <f>(G319*(uPostT))/(1+oDR)^'Markov Model_SA2'!cycle</f>
        <v>1.3149080530495365</v>
      </c>
      <c r="M319" s="80"/>
      <c r="N319" s="3"/>
      <c r="O319" s="80"/>
      <c r="P319" s="173">
        <v>309</v>
      </c>
      <c r="Q319" s="165"/>
      <c r="R319" s="174">
        <v>4.5466575584373059E-3</v>
      </c>
      <c r="S319" s="502"/>
      <c r="T319" s="219">
        <f t="shared" si="31"/>
        <v>3.5258271537369836</v>
      </c>
      <c r="U319" s="249">
        <f>U318+(T318*R319*'life-tables-test'!$C$66)</f>
        <v>96.474172846263016</v>
      </c>
      <c r="V319" s="516">
        <f t="shared" si="28"/>
        <v>100</v>
      </c>
      <c r="W319" s="153">
        <f>(T319*0)/(1+cDR)^'Markov Model_SA2'!cycle2</f>
        <v>0</v>
      </c>
      <c r="X319" s="178">
        <f t="shared" si="29"/>
        <v>3.5258271537369836</v>
      </c>
      <c r="Y319" s="202">
        <f>(T319*(uPostT))/(1+oDR)^'Markov Model_SA2'!cycle</f>
        <v>1.2387988430823718</v>
      </c>
      <c r="Z319" s="80"/>
      <c r="AA319" s="3"/>
      <c r="AB319" s="3"/>
      <c r="AC319" s="14">
        <v>307</v>
      </c>
      <c r="AD319" s="14"/>
      <c r="AE319" s="14"/>
      <c r="AF319" s="297"/>
      <c r="AG319" s="297"/>
      <c r="AH319" s="297"/>
      <c r="AI319" s="14"/>
      <c r="AJ319" s="14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</row>
    <row r="320" spans="1:47" ht="14.25" customHeight="1" x14ac:dyDescent="0.2">
      <c r="A320" s="3"/>
      <c r="B320" s="417"/>
      <c r="C320" s="173">
        <v>310</v>
      </c>
      <c r="D320" s="165"/>
      <c r="E320" s="174">
        <v>4.5466575584373059E-3</v>
      </c>
      <c r="F320" s="502"/>
      <c r="G320" s="219">
        <f t="shared" si="26"/>
        <v>3.6573684841838343</v>
      </c>
      <c r="H320" s="249">
        <f>H319+(G319*E320*'life-tables-test'!$C$66)</f>
        <v>96.342631515816166</v>
      </c>
      <c r="I320" s="516">
        <f t="shared" si="30"/>
        <v>100</v>
      </c>
      <c r="J320" s="153">
        <f>(G320*0)/(1+cDR)^'Markov Model_SA2'!cycle</f>
        <v>0</v>
      </c>
      <c r="K320" s="178">
        <f t="shared" si="27"/>
        <v>3.6573684841838343</v>
      </c>
      <c r="L320" s="202">
        <f>(G320*(uPostT))/(1+oDR)^'Markov Model_SA2'!cycle</f>
        <v>1.2818113415055343</v>
      </c>
      <c r="M320" s="80"/>
      <c r="N320" s="3"/>
      <c r="O320" s="80"/>
      <c r="P320" s="173">
        <v>310</v>
      </c>
      <c r="Q320" s="165"/>
      <c r="R320" s="174">
        <v>4.5466575584373059E-3</v>
      </c>
      <c r="S320" s="502"/>
      <c r="T320" s="219">
        <f t="shared" si="31"/>
        <v>3.4456735103455713</v>
      </c>
      <c r="U320" s="249">
        <f>U319+(T319*R320*'life-tables-test'!$C$66)</f>
        <v>96.554326489654429</v>
      </c>
      <c r="V320" s="516">
        <f t="shared" si="28"/>
        <v>100</v>
      </c>
      <c r="W320" s="153">
        <f>(T320*0)/(1+cDR)^'Markov Model_SA2'!cycle2</f>
        <v>0</v>
      </c>
      <c r="X320" s="178">
        <f t="shared" si="29"/>
        <v>3.4456735103455713</v>
      </c>
      <c r="Y320" s="202">
        <f>(T320*(uPostT))/(1+oDR)^'Markov Model_SA2'!cycle</f>
        <v>1.2076178278962111</v>
      </c>
      <c r="Z320" s="80"/>
      <c r="AA320" s="3"/>
      <c r="AB320" s="3"/>
      <c r="AC320" s="14">
        <v>308</v>
      </c>
      <c r="AD320" s="14"/>
      <c r="AE320" s="14"/>
      <c r="AF320" s="297"/>
      <c r="AG320" s="297"/>
      <c r="AH320" s="297"/>
      <c r="AI320" s="14"/>
      <c r="AJ320" s="14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</row>
    <row r="321" spans="1:47" ht="14.25" customHeight="1" x14ac:dyDescent="0.2">
      <c r="A321" s="3"/>
      <c r="B321" s="417"/>
      <c r="C321" s="173">
        <v>311</v>
      </c>
      <c r="D321" s="165"/>
      <c r="E321" s="174">
        <v>4.5466575584373059E-3</v>
      </c>
      <c r="F321" s="502"/>
      <c r="G321" s="219">
        <f t="shared" si="26"/>
        <v>3.5742244738708138</v>
      </c>
      <c r="H321" s="249">
        <f>H320+(G320*E321*'life-tables-test'!$C$66)</f>
        <v>96.425775526129186</v>
      </c>
      <c r="I321" s="516">
        <f t="shared" si="30"/>
        <v>100</v>
      </c>
      <c r="J321" s="153">
        <f>(G321*0)/(1+cDR)^'Markov Model_SA2'!cycle</f>
        <v>0</v>
      </c>
      <c r="K321" s="178">
        <f t="shared" si="27"/>
        <v>3.5742244738708138</v>
      </c>
      <c r="L321" s="202">
        <f>(G321*(uPostT))/(1+oDR)^'Markov Model_SA2'!cycle</f>
        <v>1.2495476861683805</v>
      </c>
      <c r="M321" s="80"/>
      <c r="N321" s="3"/>
      <c r="O321" s="80"/>
      <c r="P321" s="173">
        <v>311</v>
      </c>
      <c r="Q321" s="165"/>
      <c r="R321" s="174">
        <v>4.5466575584373059E-3</v>
      </c>
      <c r="S321" s="502"/>
      <c r="T321" s="219">
        <f t="shared" si="31"/>
        <v>3.3673420227969757</v>
      </c>
      <c r="U321" s="249">
        <f>U320+(T320*R321*'life-tables-test'!$C$66)</f>
        <v>96.632657977203024</v>
      </c>
      <c r="V321" s="516">
        <f t="shared" si="28"/>
        <v>100</v>
      </c>
      <c r="W321" s="153">
        <f>(T321*0)/(1+cDR)^'Markov Model_SA2'!cycle2</f>
        <v>0</v>
      </c>
      <c r="X321" s="178">
        <f t="shared" si="29"/>
        <v>3.3673420227969757</v>
      </c>
      <c r="Y321" s="202">
        <f>(T321*(uPostT))/(1+oDR)^'Markov Model_SA2'!cycle</f>
        <v>1.1772216501463069</v>
      </c>
      <c r="Z321" s="80"/>
      <c r="AA321" s="3"/>
      <c r="AB321" s="3"/>
      <c r="AC321" s="14">
        <v>309</v>
      </c>
      <c r="AD321" s="14"/>
      <c r="AE321" s="14"/>
      <c r="AF321" s="297"/>
      <c r="AG321" s="297"/>
      <c r="AH321" s="297"/>
      <c r="AI321" s="14"/>
      <c r="AJ321" s="14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</row>
    <row r="322" spans="1:47" ht="14.25" customHeight="1" x14ac:dyDescent="0.2">
      <c r="A322" s="3"/>
      <c r="B322" s="417"/>
      <c r="C322" s="173">
        <v>312</v>
      </c>
      <c r="D322" s="165"/>
      <c r="E322" s="174">
        <v>4.5466575584373059E-3</v>
      </c>
      <c r="F322" s="502"/>
      <c r="G322" s="219">
        <f t="shared" si="26"/>
        <v>3.4929706002724288</v>
      </c>
      <c r="H322" s="249">
        <f>H321+(G321*E322*'life-tables-test'!$C$66)</f>
        <v>96.507029399727571</v>
      </c>
      <c r="I322" s="516">
        <f t="shared" si="30"/>
        <v>100</v>
      </c>
      <c r="J322" s="153">
        <f>(G322*0)/(1+cDR)^'Markov Model_SA2'!cycle</f>
        <v>0</v>
      </c>
      <c r="K322" s="178">
        <f t="shared" si="27"/>
        <v>3.4929706002724288</v>
      </c>
      <c r="L322" s="202">
        <f>(G322*(uPostT))/(1+oDR)^'Markov Model_SA2'!cycle</f>
        <v>1.2180961187118731</v>
      </c>
      <c r="M322" s="80"/>
      <c r="N322" s="3"/>
      <c r="O322" s="80"/>
      <c r="P322" s="173">
        <v>312</v>
      </c>
      <c r="Q322" s="165"/>
      <c r="R322" s="174">
        <v>4.5466575584373059E-3</v>
      </c>
      <c r="S322" s="502"/>
      <c r="T322" s="219">
        <f t="shared" si="31"/>
        <v>3.2907912674980082</v>
      </c>
      <c r="U322" s="249">
        <f>U321+(T321*R322*'life-tables-test'!$C$66)</f>
        <v>96.709208732501992</v>
      </c>
      <c r="V322" s="516">
        <f t="shared" si="28"/>
        <v>100</v>
      </c>
      <c r="W322" s="153">
        <f>(T322*0)/(1+cDR)^'Markov Model_SA2'!cycle2</f>
        <v>0</v>
      </c>
      <c r="X322" s="178">
        <f t="shared" si="29"/>
        <v>3.2907912674980082</v>
      </c>
      <c r="Y322" s="202">
        <f>(T322*(uPostT))/(1+oDR)^'Markov Model_SA2'!cycle</f>
        <v>1.1475905551903622</v>
      </c>
      <c r="Z322" s="80"/>
      <c r="AA322" s="3"/>
      <c r="AB322" s="3"/>
      <c r="AC322" s="14">
        <v>310</v>
      </c>
      <c r="AD322" s="14"/>
      <c r="AE322" s="14"/>
      <c r="AF322" s="297"/>
      <c r="AG322" s="297"/>
      <c r="AH322" s="297"/>
      <c r="AI322" s="14"/>
      <c r="AJ322" s="14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</row>
    <row r="323" spans="1:47" ht="14.25" customHeight="1" x14ac:dyDescent="0.2">
      <c r="A323" s="3"/>
      <c r="B323" s="417"/>
      <c r="C323" s="173">
        <v>313</v>
      </c>
      <c r="D323" s="504"/>
      <c r="E323" s="174">
        <v>4.5466575584373059E-3</v>
      </c>
      <c r="F323" s="505"/>
      <c r="G323" s="219">
        <f t="shared" si="26"/>
        <v>3.4135638943667885</v>
      </c>
      <c r="H323" s="249">
        <f>H322+(G322*E323*'life-tables-test'!$C$66)</f>
        <v>96.586436105633211</v>
      </c>
      <c r="I323" s="516">
        <f t="shared" si="30"/>
        <v>100</v>
      </c>
      <c r="J323" s="180">
        <f>(G323*0)/(1+cDR)^'Markov Model_SA2'!cycle</f>
        <v>0</v>
      </c>
      <c r="K323" s="176">
        <f t="shared" si="27"/>
        <v>3.4135638943667885</v>
      </c>
      <c r="L323" s="202">
        <f>(G323*(uPostT))/(1+oDR)^'Markov Model_SA2'!cycle</f>
        <v>1.1874361985901749</v>
      </c>
      <c r="M323" s="80"/>
      <c r="N323" s="3"/>
      <c r="O323" s="80"/>
      <c r="P323" s="173">
        <v>313</v>
      </c>
      <c r="Q323" s="504"/>
      <c r="R323" s="174">
        <v>4.5466575584373059E-3</v>
      </c>
      <c r="S323" s="505"/>
      <c r="T323" s="219">
        <f t="shared" si="31"/>
        <v>3.215980762549961</v>
      </c>
      <c r="U323" s="249">
        <f>U322+(T322*R323*'life-tables-test'!$C$66)</f>
        <v>96.784019237450039</v>
      </c>
      <c r="V323" s="516">
        <f t="shared" si="28"/>
        <v>100</v>
      </c>
      <c r="W323" s="180">
        <f>(T323*0)/(1+cDR)^'Markov Model_SA2'!cycle2</f>
        <v>0</v>
      </c>
      <c r="X323" s="176">
        <f t="shared" si="29"/>
        <v>3.215980762549961</v>
      </c>
      <c r="Y323" s="202">
        <f>(T323*(uPostT))/(1+oDR)^'Markov Model_SA2'!cycle</f>
        <v>1.1187052856175805</v>
      </c>
      <c r="Z323" s="80"/>
      <c r="AA323" s="3"/>
      <c r="AB323" s="3"/>
      <c r="AC323" s="14">
        <v>311</v>
      </c>
      <c r="AD323" s="14"/>
      <c r="AE323" s="14"/>
      <c r="AF323" s="297"/>
      <c r="AG323" s="297"/>
      <c r="AH323" s="297"/>
      <c r="AI323" s="14"/>
      <c r="AJ323" s="14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</row>
    <row r="324" spans="1:47" ht="14.25" customHeight="1" x14ac:dyDescent="0.25">
      <c r="A324" s="3">
        <v>28</v>
      </c>
      <c r="B324" s="417"/>
      <c r="C324" s="506">
        <v>314</v>
      </c>
      <c r="D324" s="506"/>
      <c r="E324" s="507">
        <v>4.5466575584373059E-3</v>
      </c>
      <c r="F324" s="508"/>
      <c r="G324" s="509">
        <f t="shared" si="26"/>
        <v>3.3359623639591263</v>
      </c>
      <c r="H324" s="510">
        <f>H323+(G323*E324*'life-tables-test'!$C$66)</f>
        <v>96.664037636040874</v>
      </c>
      <c r="I324" s="518">
        <f t="shared" si="30"/>
        <v>100</v>
      </c>
      <c r="J324" s="511">
        <f>(G324*0)/(1+cDR)^'Markov Model_SA2'!cycle</f>
        <v>0</v>
      </c>
      <c r="K324" s="512">
        <f t="shared" si="27"/>
        <v>3.3359623639591263</v>
      </c>
      <c r="L324" s="513">
        <f>(G324*(uPostT))/(1+oDR)^'Markov Model_SA2'!cycle</f>
        <v>1.1575479997533795</v>
      </c>
      <c r="M324" s="80"/>
      <c r="N324" s="3"/>
      <c r="O324" s="80"/>
      <c r="P324" s="506">
        <v>314</v>
      </c>
      <c r="Q324" s="506"/>
      <c r="R324" s="507">
        <v>4.5466575584373059E-3</v>
      </c>
      <c r="S324" s="508"/>
      <c r="T324" s="509">
        <f t="shared" si="31"/>
        <v>3.1428709463407785</v>
      </c>
      <c r="U324" s="510">
        <f>U323+(T323*R324*'life-tables-test'!$C$66)</f>
        <v>96.857129053659222</v>
      </c>
      <c r="V324" s="518">
        <f t="shared" si="28"/>
        <v>100</v>
      </c>
      <c r="W324" s="511">
        <f>(T324*0)/(1+cDR)^'Markov Model_SA2'!cycle2</f>
        <v>0</v>
      </c>
      <c r="X324" s="512">
        <f t="shared" si="29"/>
        <v>3.1428709463407785</v>
      </c>
      <c r="Y324" s="513">
        <f>(T324*(uPostT))/(1+oDR)^'Markov Model_SA2'!cycle</f>
        <v>1.0905470687331633</v>
      </c>
      <c r="Z324" s="80"/>
      <c r="AA324" s="3"/>
      <c r="AB324" s="3"/>
      <c r="AC324" s="14">
        <v>312</v>
      </c>
      <c r="AD324" s="14"/>
      <c r="AE324" s="14"/>
      <c r="AF324" s="297"/>
      <c r="AG324" s="297"/>
      <c r="AH324" s="297"/>
      <c r="AI324" s="14"/>
      <c r="AJ324" s="14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</row>
    <row r="325" spans="1:47" ht="14.25" customHeight="1" x14ac:dyDescent="0.2">
      <c r="A325" s="3"/>
      <c r="B325" s="417"/>
      <c r="C325" s="173">
        <v>315</v>
      </c>
      <c r="D325" s="165"/>
      <c r="E325" s="174">
        <v>5.0760082864224065E-3</v>
      </c>
      <c r="F325" s="502"/>
      <c r="G325" s="219">
        <f t="shared" si="26"/>
        <v>3.2512955009458722</v>
      </c>
      <c r="H325" s="249">
        <f>H324+(G324*E325*'life-tables-test'!$C$66)</f>
        <v>96.748704499054128</v>
      </c>
      <c r="I325" s="516">
        <f t="shared" si="30"/>
        <v>100</v>
      </c>
      <c r="J325" s="153">
        <f>(G325*0)/(1+cDR)^'Markov Model_SA2'!cycle</f>
        <v>0</v>
      </c>
      <c r="K325" s="178">
        <f t="shared" si="27"/>
        <v>3.2512955009458722</v>
      </c>
      <c r="L325" s="202">
        <f>(G325*(uPostT))/(1+oDR)^'Markov Model_SA2'!cycle</f>
        <v>1.1253559935760384</v>
      </c>
      <c r="M325" s="80"/>
      <c r="N325" s="3"/>
      <c r="O325" s="80"/>
      <c r="P325" s="173">
        <v>315</v>
      </c>
      <c r="Q325" s="165"/>
      <c r="R325" s="174">
        <v>5.0760082864224065E-3</v>
      </c>
      <c r="S325" s="502"/>
      <c r="T325" s="219">
        <f t="shared" si="31"/>
        <v>3.0631047515068701</v>
      </c>
      <c r="U325" s="249">
        <f>U324+(T324*R325*'life-tables-test'!$C$66)</f>
        <v>96.93689524849313</v>
      </c>
      <c r="V325" s="516">
        <f t="shared" si="28"/>
        <v>100</v>
      </c>
      <c r="W325" s="153">
        <f>(T325*0)/(1+cDR)^'Markov Model_SA2'!cycle2</f>
        <v>0</v>
      </c>
      <c r="X325" s="178">
        <f t="shared" si="29"/>
        <v>3.0631047515068701</v>
      </c>
      <c r="Y325" s="202">
        <f>(T325*(uPostT))/(1+oDR)^'Markov Model_SA2'!cycle</f>
        <v>1.0602183929626412</v>
      </c>
      <c r="Z325" s="80"/>
      <c r="AA325" s="3"/>
      <c r="AB325" s="3"/>
      <c r="AC325" s="14">
        <v>313</v>
      </c>
      <c r="AD325" s="14"/>
      <c r="AE325" s="14"/>
      <c r="AF325" s="297"/>
      <c r="AG325" s="297"/>
      <c r="AH325" s="297"/>
      <c r="AI325" s="14"/>
      <c r="AJ325" s="14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</row>
    <row r="326" spans="1:47" ht="14.25" customHeight="1" x14ac:dyDescent="0.2">
      <c r="A326" s="3"/>
      <c r="B326" s="417"/>
      <c r="C326" s="173">
        <v>316</v>
      </c>
      <c r="D326" s="165"/>
      <c r="E326" s="174">
        <v>5.0760082864224065E-3</v>
      </c>
      <c r="F326" s="502"/>
      <c r="G326" s="219">
        <f t="shared" si="26"/>
        <v>3.1687774864238207</v>
      </c>
      <c r="H326" s="249">
        <f>H325+(G325*E326*'life-tables-test'!$C$66)</f>
        <v>96.831222513576179</v>
      </c>
      <c r="I326" s="516">
        <f t="shared" si="30"/>
        <v>100</v>
      </c>
      <c r="J326" s="153">
        <f>(G326*0)/(1+cDR)^'Markov Model_SA2'!cycle</f>
        <v>0</v>
      </c>
      <c r="K326" s="178">
        <f t="shared" si="27"/>
        <v>3.1687774864238207</v>
      </c>
      <c r="L326" s="202">
        <f>(G326*(uPostT))/(1+oDR)^'Markov Model_SA2'!cycle</f>
        <v>1.0940592636740163</v>
      </c>
      <c r="M326" s="80"/>
      <c r="N326" s="3"/>
      <c r="O326" s="80"/>
      <c r="P326" s="173">
        <v>316</v>
      </c>
      <c r="Q326" s="165"/>
      <c r="R326" s="174">
        <v>5.0760082864224065E-3</v>
      </c>
      <c r="S326" s="502"/>
      <c r="T326" s="219">
        <f t="shared" si="31"/>
        <v>2.9853630260027302</v>
      </c>
      <c r="U326" s="249">
        <f>U325+(T325*R326*'life-tables-test'!$C$66)</f>
        <v>97.01463697399727</v>
      </c>
      <c r="V326" s="516">
        <f t="shared" si="28"/>
        <v>100</v>
      </c>
      <c r="W326" s="153">
        <f>(T326*0)/(1+cDR)^'Markov Model_SA2'!cycle2</f>
        <v>0</v>
      </c>
      <c r="X326" s="178">
        <f t="shared" si="29"/>
        <v>2.9853630260027302</v>
      </c>
      <c r="Y326" s="202">
        <f>(T326*(uPostT))/(1+oDR)^'Markov Model_SA2'!cycle</f>
        <v>1.0307331732889413</v>
      </c>
      <c r="Z326" s="80"/>
      <c r="AA326" s="3"/>
      <c r="AB326" s="3"/>
      <c r="AC326" s="14">
        <v>314</v>
      </c>
      <c r="AD326" s="14"/>
      <c r="AE326" s="14"/>
      <c r="AF326" s="297"/>
      <c r="AG326" s="297"/>
      <c r="AH326" s="297"/>
      <c r="AI326" s="14"/>
      <c r="AJ326" s="14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</row>
    <row r="327" spans="1:47" ht="14.25" customHeight="1" x14ac:dyDescent="0.2">
      <c r="A327" s="3"/>
      <c r="B327" s="417"/>
      <c r="C327" s="173">
        <v>317</v>
      </c>
      <c r="D327" s="165"/>
      <c r="E327" s="174">
        <v>5.0760082864224065E-3</v>
      </c>
      <c r="F327" s="502"/>
      <c r="G327" s="219">
        <f t="shared" si="26"/>
        <v>3.0883537825292393</v>
      </c>
      <c r="H327" s="249">
        <f>H326+(G326*E327*'life-tables-test'!$C$66)</f>
        <v>96.911646217470761</v>
      </c>
      <c r="I327" s="516">
        <f t="shared" si="30"/>
        <v>100</v>
      </c>
      <c r="J327" s="153">
        <f>(G327*0)/(1+cDR)^'Markov Model_SA2'!cycle</f>
        <v>0</v>
      </c>
      <c r="K327" s="178">
        <f t="shared" si="27"/>
        <v>3.0883537825292393</v>
      </c>
      <c r="L327" s="202">
        <f>(G327*(uPostT))/(1+oDR)^'Markov Model_SA2'!cycle</f>
        <v>1.0636329119529009</v>
      </c>
      <c r="M327" s="80"/>
      <c r="N327" s="3"/>
      <c r="O327" s="80"/>
      <c r="P327" s="173">
        <v>317</v>
      </c>
      <c r="Q327" s="165"/>
      <c r="R327" s="174">
        <v>5.0760082864224065E-3</v>
      </c>
      <c r="S327" s="502"/>
      <c r="T327" s="219">
        <f t="shared" si="31"/>
        <v>2.9095943887128897</v>
      </c>
      <c r="U327" s="249">
        <f>U326+(T326*R327*'life-tables-test'!$C$66)</f>
        <v>97.09040561128711</v>
      </c>
      <c r="V327" s="516">
        <f t="shared" si="28"/>
        <v>100</v>
      </c>
      <c r="W327" s="153">
        <f>(T327*0)/(1+cDR)^'Markov Model_SA2'!cycle2</f>
        <v>0</v>
      </c>
      <c r="X327" s="178">
        <f t="shared" si="29"/>
        <v>2.9095943887128897</v>
      </c>
      <c r="Y327" s="202">
        <f>(T327*(uPostT))/(1+oDR)^'Markov Model_SA2'!cycle</f>
        <v>1.0020679527635079</v>
      </c>
      <c r="Z327" s="80"/>
      <c r="AA327" s="3"/>
      <c r="AB327" s="3"/>
      <c r="AC327" s="14">
        <v>315</v>
      </c>
      <c r="AD327" s="14"/>
      <c r="AE327" s="14"/>
      <c r="AF327" s="297"/>
      <c r="AG327" s="297"/>
      <c r="AH327" s="297"/>
      <c r="AI327" s="14"/>
      <c r="AJ327" s="14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</row>
    <row r="328" spans="1:47" ht="14.25" customHeight="1" x14ac:dyDescent="0.2">
      <c r="A328" s="3"/>
      <c r="B328" s="417"/>
      <c r="C328" s="173">
        <v>318</v>
      </c>
      <c r="D328" s="165"/>
      <c r="E328" s="174">
        <v>5.0760082864224065E-3</v>
      </c>
      <c r="F328" s="502"/>
      <c r="G328" s="219">
        <f t="shared" si="26"/>
        <v>3.0099712355716264</v>
      </c>
      <c r="H328" s="249">
        <f>H327+(G327*E328*'life-tables-test'!$C$66)</f>
        <v>96.990028764428374</v>
      </c>
      <c r="I328" s="516">
        <f t="shared" si="30"/>
        <v>100</v>
      </c>
      <c r="J328" s="153">
        <f>(G328*0)/(1+cDR)^'Markov Model_SA2'!cycle</f>
        <v>0</v>
      </c>
      <c r="K328" s="178">
        <f t="shared" si="27"/>
        <v>3.0099712355716264</v>
      </c>
      <c r="L328" s="202">
        <f>(G328*(uPostT))/(1+oDR)^'Markov Model_SA2'!cycle</f>
        <v>1.0340527327471105</v>
      </c>
      <c r="M328" s="80"/>
      <c r="N328" s="3"/>
      <c r="O328" s="80"/>
      <c r="P328" s="173">
        <v>318</v>
      </c>
      <c r="Q328" s="165"/>
      <c r="R328" s="174">
        <v>5.0760082864224065E-3</v>
      </c>
      <c r="S328" s="502"/>
      <c r="T328" s="219">
        <f t="shared" si="31"/>
        <v>2.8357487625767135</v>
      </c>
      <c r="U328" s="249">
        <f>U327+(T327*R328*'life-tables-test'!$C$66)</f>
        <v>97.164251237423287</v>
      </c>
      <c r="V328" s="516">
        <f t="shared" si="28"/>
        <v>100</v>
      </c>
      <c r="W328" s="153">
        <f>(T328*0)/(1+cDR)^'Markov Model_SA2'!cycle2</f>
        <v>0</v>
      </c>
      <c r="X328" s="178">
        <f t="shared" si="29"/>
        <v>2.8357487625767135</v>
      </c>
      <c r="Y328" s="202">
        <f>(T328*(uPostT))/(1+oDR)^'Markov Model_SA2'!cycle</f>
        <v>0.97419992678760892</v>
      </c>
      <c r="Z328" s="80"/>
      <c r="AA328" s="3"/>
      <c r="AB328" s="3"/>
      <c r="AC328" s="14">
        <v>316</v>
      </c>
      <c r="AD328" s="14"/>
      <c r="AE328" s="14"/>
      <c r="AF328" s="297"/>
      <c r="AG328" s="297"/>
      <c r="AH328" s="297"/>
      <c r="AI328" s="14"/>
      <c r="AJ328" s="14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</row>
    <row r="329" spans="1:47" ht="14.25" customHeight="1" x14ac:dyDescent="0.2">
      <c r="A329" s="3"/>
      <c r="B329" s="417"/>
      <c r="C329" s="173">
        <v>319</v>
      </c>
      <c r="D329" s="165"/>
      <c r="E329" s="174">
        <v>5.0760082864224065E-3</v>
      </c>
      <c r="F329" s="502"/>
      <c r="G329" s="219">
        <f t="shared" si="26"/>
        <v>2.9335780409033561</v>
      </c>
      <c r="H329" s="249">
        <f>H328+(G328*E329*'life-tables-test'!$C$66)</f>
        <v>97.066421959096644</v>
      </c>
      <c r="I329" s="516">
        <f t="shared" si="30"/>
        <v>100</v>
      </c>
      <c r="J329" s="153">
        <f>(G329*0)/(1+cDR)^'Markov Model_SA2'!cycle</f>
        <v>0</v>
      </c>
      <c r="K329" s="178">
        <f t="shared" si="27"/>
        <v>2.9335780409033561</v>
      </c>
      <c r="L329" s="202">
        <f>(G329*(uPostT))/(1+oDR)^'Markov Model_SA2'!cycle</f>
        <v>1.0052951935630936</v>
      </c>
      <c r="M329" s="80"/>
      <c r="N329" s="3"/>
      <c r="O329" s="80"/>
      <c r="P329" s="173">
        <v>319</v>
      </c>
      <c r="Q329" s="165"/>
      <c r="R329" s="174">
        <v>5.0760082864224065E-3</v>
      </c>
      <c r="S329" s="502"/>
      <c r="T329" s="219">
        <f t="shared" si="31"/>
        <v>2.7637773414914619</v>
      </c>
      <c r="U329" s="249">
        <f>U328+(T328*R329*'life-tables-test'!$C$66)</f>
        <v>97.236222658508538</v>
      </c>
      <c r="V329" s="516">
        <f t="shared" si="28"/>
        <v>100</v>
      </c>
      <c r="W329" s="153">
        <f>(T329*0)/(1+cDR)^'Markov Model_SA2'!cycle2</f>
        <v>0</v>
      </c>
      <c r="X329" s="178">
        <f t="shared" si="29"/>
        <v>2.7637773414914619</v>
      </c>
      <c r="Y329" s="202">
        <f>(T329*(uPostT))/(1+oDR)^'Markov Model_SA2'!cycle</f>
        <v>0.94710692497015581</v>
      </c>
      <c r="Z329" s="80"/>
      <c r="AA329" s="3"/>
      <c r="AB329" s="3"/>
      <c r="AC329" s="14">
        <v>317</v>
      </c>
      <c r="AD329" s="14"/>
      <c r="AE329" s="14"/>
      <c r="AF329" s="3"/>
      <c r="AG329" s="3"/>
      <c r="AH329" s="3"/>
      <c r="AI329" s="14"/>
      <c r="AJ329" s="14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</row>
    <row r="330" spans="1:47" ht="14.25" customHeight="1" x14ac:dyDescent="0.2">
      <c r="A330" s="3"/>
      <c r="B330" s="417"/>
      <c r="C330" s="173">
        <v>320</v>
      </c>
      <c r="D330" s="165"/>
      <c r="E330" s="174">
        <v>5.0760082864224065E-3</v>
      </c>
      <c r="F330" s="502"/>
      <c r="G330" s="219">
        <f t="shared" si="26"/>
        <v>2.8591237086808974</v>
      </c>
      <c r="H330" s="249">
        <f>H329+(G329*E330*'life-tables-test'!$C$66)</f>
        <v>97.140876291319103</v>
      </c>
      <c r="I330" s="516">
        <f t="shared" si="30"/>
        <v>100</v>
      </c>
      <c r="J330" s="153">
        <f>(G330*0)/(1+cDR)^'Markov Model_SA2'!cycle</f>
        <v>0</v>
      </c>
      <c r="K330" s="178">
        <f t="shared" si="27"/>
        <v>2.8591237086808974</v>
      </c>
      <c r="L330" s="202">
        <f>(G330*(uPostT))/(1+oDR)^'Markov Model_SA2'!cycle</f>
        <v>0.97733741635806448</v>
      </c>
      <c r="M330" s="80"/>
      <c r="N330" s="3"/>
      <c r="O330" s="80"/>
      <c r="P330" s="173">
        <v>320</v>
      </c>
      <c r="Q330" s="165"/>
      <c r="R330" s="174">
        <v>5.0760082864224065E-3</v>
      </c>
      <c r="S330" s="502"/>
      <c r="T330" s="219">
        <f t="shared" si="31"/>
        <v>2.6936325580552705</v>
      </c>
      <c r="U330" s="249">
        <f>U329+(T329*R330*'life-tables-test'!$C$66)</f>
        <v>97.30636744194473</v>
      </c>
      <c r="V330" s="516">
        <f t="shared" si="28"/>
        <v>100</v>
      </c>
      <c r="W330" s="153">
        <f>(T330*0)/(1+cDR)^'Markov Model_SA2'!cycle2</f>
        <v>0</v>
      </c>
      <c r="X330" s="178">
        <f t="shared" si="29"/>
        <v>2.6936325580552705</v>
      </c>
      <c r="Y330" s="202">
        <f>(T330*(uPostT))/(1+oDR)^'Markov Model_SA2'!cycle</f>
        <v>0.92076739349004566</v>
      </c>
      <c r="Z330" s="80"/>
      <c r="AA330" s="3"/>
      <c r="AB330" s="3"/>
      <c r="AC330" s="14">
        <v>318</v>
      </c>
      <c r="AD330" s="14"/>
      <c r="AE330" s="14"/>
      <c r="AF330" s="3"/>
      <c r="AG330" s="3"/>
      <c r="AH330" s="3"/>
      <c r="AI330" s="14"/>
      <c r="AJ330" s="14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</row>
    <row r="331" spans="1:47" ht="14.25" customHeight="1" x14ac:dyDescent="0.2">
      <c r="A331" s="3"/>
      <c r="B331" s="417"/>
      <c r="C331" s="173">
        <v>321</v>
      </c>
      <c r="D331" s="165"/>
      <c r="E331" s="174">
        <v>5.0760082864224065E-3</v>
      </c>
      <c r="F331" s="502"/>
      <c r="G331" s="219">
        <f t="shared" si="26"/>
        <v>2.7865590304950416</v>
      </c>
      <c r="H331" s="249">
        <f>H330+(G330*E331*'life-tables-test'!$C$66)</f>
        <v>97.213440969504958</v>
      </c>
      <c r="I331" s="516">
        <f t="shared" si="30"/>
        <v>100</v>
      </c>
      <c r="J331" s="153">
        <f>(G331*0)/(1+cDR)^'Markov Model_SA2'!cycle</f>
        <v>0</v>
      </c>
      <c r="K331" s="178">
        <f t="shared" si="27"/>
        <v>2.7865590304950416</v>
      </c>
      <c r="L331" s="202">
        <f>(G331*(uPostT))/(1+oDR)^'Markov Model_SA2'!cycle</f>
        <v>0.95015715933939482</v>
      </c>
      <c r="M331" s="80"/>
      <c r="N331" s="3"/>
      <c r="O331" s="80"/>
      <c r="P331" s="173">
        <v>321</v>
      </c>
      <c r="Q331" s="165"/>
      <c r="R331" s="174">
        <v>5.0760082864224065E-3</v>
      </c>
      <c r="S331" s="502"/>
      <c r="T331" s="219">
        <f t="shared" si="31"/>
        <v>2.6252680521289449</v>
      </c>
      <c r="U331" s="249">
        <f>U330+(T330*R331*'life-tables-test'!$C$66)</f>
        <v>97.374731947871055</v>
      </c>
      <c r="V331" s="516">
        <f t="shared" si="28"/>
        <v>100</v>
      </c>
      <c r="W331" s="153">
        <f>(T331*0)/(1+cDR)^'Markov Model_SA2'!cycle2</f>
        <v>0</v>
      </c>
      <c r="X331" s="178">
        <f t="shared" si="29"/>
        <v>2.6252680521289449</v>
      </c>
      <c r="Y331" s="202">
        <f>(T331*(uPostT))/(1+oDR)^'Markov Model_SA2'!cycle</f>
        <v>0.89516037794905889</v>
      </c>
      <c r="Z331" s="80"/>
      <c r="AA331" s="3"/>
      <c r="AB331" s="3"/>
      <c r="AC331" s="14">
        <v>319</v>
      </c>
      <c r="AD331" s="14"/>
      <c r="AE331" s="14"/>
      <c r="AF331" s="3"/>
      <c r="AG331" s="3"/>
      <c r="AH331" s="3"/>
      <c r="AI331" s="14"/>
      <c r="AJ331" s="14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</row>
    <row r="332" spans="1:47" ht="14.25" customHeight="1" x14ac:dyDescent="0.2">
      <c r="A332" s="3"/>
      <c r="B332" s="417"/>
      <c r="C332" s="173">
        <v>322</v>
      </c>
      <c r="D332" s="165"/>
      <c r="E332" s="174">
        <v>5.0760082864224065E-3</v>
      </c>
      <c r="F332" s="502"/>
      <c r="G332" s="219">
        <f t="shared" ref="G332:G395" si="32">$G$10-H332</f>
        <v>2.7158360468480538</v>
      </c>
      <c r="H332" s="249">
        <f>H331+(G331*E332*'life-tables-test'!$C$66)</f>
        <v>97.284163953151946</v>
      </c>
      <c r="I332" s="516">
        <f t="shared" si="30"/>
        <v>100</v>
      </c>
      <c r="J332" s="153">
        <f>(G332*0)/(1+cDR)^'Markov Model_SA2'!cycle</f>
        <v>0</v>
      </c>
      <c r="K332" s="178">
        <f t="shared" si="27"/>
        <v>2.7158360468480538</v>
      </c>
      <c r="L332" s="202">
        <f>(G332*(uPostT))/(1+oDR)^'Markov Model_SA2'!cycle</f>
        <v>0.92373279927016849</v>
      </c>
      <c r="M332" s="80"/>
      <c r="N332" s="3"/>
      <c r="O332" s="80"/>
      <c r="P332" s="173">
        <v>322</v>
      </c>
      <c r="Q332" s="165"/>
      <c r="R332" s="174">
        <v>5.0760082864224065E-3</v>
      </c>
      <c r="S332" s="502"/>
      <c r="T332" s="219">
        <f t="shared" si="31"/>
        <v>2.558638640195511</v>
      </c>
      <c r="U332" s="249">
        <f>U331+(T331*R332*'life-tables-test'!$C$66)</f>
        <v>97.441361359804489</v>
      </c>
      <c r="V332" s="516">
        <f t="shared" si="28"/>
        <v>100</v>
      </c>
      <c r="W332" s="153">
        <f>(T332*0)/(1+cDR)^'Markov Model_SA2'!cycle2</f>
        <v>0</v>
      </c>
      <c r="X332" s="178">
        <f t="shared" si="29"/>
        <v>2.558638640195511</v>
      </c>
      <c r="Y332" s="202">
        <f>(T332*(uPostT))/(1+oDR)^'Markov Model_SA2'!cycle</f>
        <v>0.87026550670157243</v>
      </c>
      <c r="Z332" s="80"/>
      <c r="AA332" s="3"/>
      <c r="AB332" s="3"/>
      <c r="AC332" s="14">
        <v>320</v>
      </c>
      <c r="AD332" s="14"/>
      <c r="AE332" s="14"/>
      <c r="AF332" s="3"/>
      <c r="AG332" s="3"/>
      <c r="AH332" s="3"/>
      <c r="AI332" s="14"/>
      <c r="AJ332" s="14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</row>
    <row r="333" spans="1:47" ht="14.25" customHeight="1" x14ac:dyDescent="0.2">
      <c r="A333" s="3"/>
      <c r="B333" s="417"/>
      <c r="C333" s="173">
        <v>323</v>
      </c>
      <c r="D333" s="165"/>
      <c r="E333" s="174">
        <v>5.0760082864224065E-3</v>
      </c>
      <c r="F333" s="502"/>
      <c r="G333" s="219">
        <f t="shared" si="32"/>
        <v>2.6469080154562334</v>
      </c>
      <c r="H333" s="249">
        <f>H332+(G332*E333*'life-tables-test'!$C$66)</f>
        <v>97.353091984543767</v>
      </c>
      <c r="I333" s="516">
        <f t="shared" si="30"/>
        <v>100</v>
      </c>
      <c r="J333" s="153">
        <f>(G333*0)/(1+cDR)^'Markov Model_SA2'!cycle</f>
        <v>0</v>
      </c>
      <c r="K333" s="178">
        <f t="shared" si="27"/>
        <v>2.6469080154562334</v>
      </c>
      <c r="L333" s="202">
        <f>(G333*(uPostT))/(1+oDR)^'Markov Model_SA2'!cycle</f>
        <v>0.89804331426682615</v>
      </c>
      <c r="M333" s="80"/>
      <c r="N333" s="3"/>
      <c r="O333" s="80"/>
      <c r="P333" s="173">
        <v>323</v>
      </c>
      <c r="Q333" s="165"/>
      <c r="R333" s="174">
        <v>5.0760082864224065E-3</v>
      </c>
      <c r="S333" s="502"/>
      <c r="T333" s="219">
        <f t="shared" si="31"/>
        <v>2.4937002854975532</v>
      </c>
      <c r="U333" s="249">
        <f>U332+(T332*R333*'life-tables-test'!$C$66)</f>
        <v>97.506299714502447</v>
      </c>
      <c r="V333" s="516">
        <f t="shared" si="28"/>
        <v>100</v>
      </c>
      <c r="W333" s="153">
        <f>(T333*0)/(1+cDR)^'Markov Model_SA2'!cycle2</f>
        <v>0</v>
      </c>
      <c r="X333" s="178">
        <f t="shared" si="29"/>
        <v>2.4937002854975532</v>
      </c>
      <c r="Y333" s="202">
        <f>(T333*(uPostT))/(1+oDR)^'Markov Model_SA2'!cycle</f>
        <v>0.84606297464793134</v>
      </c>
      <c r="Z333" s="80"/>
      <c r="AA333" s="3"/>
      <c r="AB333" s="3"/>
      <c r="AC333" s="14">
        <v>321</v>
      </c>
      <c r="AD333" s="14"/>
      <c r="AE333" s="14"/>
      <c r="AF333" s="3"/>
      <c r="AG333" s="3"/>
      <c r="AH333" s="3"/>
      <c r="AI333" s="14"/>
      <c r="AJ333" s="14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</row>
    <row r="334" spans="1:47" ht="14.25" customHeight="1" x14ac:dyDescent="0.2">
      <c r="A334" s="3"/>
      <c r="B334" s="417"/>
      <c r="C334" s="173">
        <v>324</v>
      </c>
      <c r="D334" s="165"/>
      <c r="E334" s="174">
        <v>5.0760082864224065E-3</v>
      </c>
      <c r="F334" s="502"/>
      <c r="G334" s="219">
        <f t="shared" si="32"/>
        <v>2.5797293803569659</v>
      </c>
      <c r="H334" s="249">
        <f>H333+(G333*E334*'life-tables-test'!$C$66)</f>
        <v>97.420270619643034</v>
      </c>
      <c r="I334" s="516">
        <f t="shared" si="30"/>
        <v>100</v>
      </c>
      <c r="J334" s="153">
        <f>(G334*0)/(1+cDR)^'Markov Model_SA2'!cycle</f>
        <v>0</v>
      </c>
      <c r="K334" s="178">
        <f t="shared" si="27"/>
        <v>2.5797293803569659</v>
      </c>
      <c r="L334" s="202">
        <f>(G334*(uPostT))/(1+oDR)^'Markov Model_SA2'!cycle</f>
        <v>0.87306826707521523</v>
      </c>
      <c r="M334" s="80"/>
      <c r="N334" s="3"/>
      <c r="O334" s="80"/>
      <c r="P334" s="173">
        <v>324</v>
      </c>
      <c r="Q334" s="165"/>
      <c r="R334" s="174">
        <v>5.0760082864224065E-3</v>
      </c>
      <c r="S334" s="502"/>
      <c r="T334" s="219">
        <f t="shared" si="31"/>
        <v>2.4304100689323604</v>
      </c>
      <c r="U334" s="249">
        <f>U333+(T333*R334*'life-tables-test'!$C$66)</f>
        <v>97.56958993106764</v>
      </c>
      <c r="V334" s="516">
        <f t="shared" si="28"/>
        <v>100</v>
      </c>
      <c r="W334" s="153">
        <f>(T334*0)/(1+cDR)^'Markov Model_SA2'!cycle2</f>
        <v>0</v>
      </c>
      <c r="X334" s="178">
        <f t="shared" si="29"/>
        <v>2.4304100689323604</v>
      </c>
      <c r="Y334" s="202">
        <f>(T334*(uPostT))/(1+oDR)^'Markov Model_SA2'!cycle</f>
        <v>0.82253352747849617</v>
      </c>
      <c r="Z334" s="80"/>
      <c r="AA334" s="3"/>
      <c r="AB334" s="3"/>
      <c r="AC334" s="14">
        <v>322</v>
      </c>
      <c r="AD334" s="14"/>
      <c r="AE334" s="14"/>
      <c r="AF334" s="3"/>
      <c r="AG334" s="3"/>
      <c r="AH334" s="3"/>
      <c r="AI334" s="14"/>
      <c r="AJ334" s="14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</row>
    <row r="335" spans="1:47" ht="14.25" customHeight="1" x14ac:dyDescent="0.2">
      <c r="A335" s="3"/>
      <c r="B335" s="417"/>
      <c r="C335" s="173">
        <v>325</v>
      </c>
      <c r="D335" s="504"/>
      <c r="E335" s="174">
        <v>5.0760082864224065E-3</v>
      </c>
      <c r="F335" s="505"/>
      <c r="G335" s="219">
        <f t="shared" si="32"/>
        <v>2.5142557417998717</v>
      </c>
      <c r="H335" s="249">
        <f>H334+(G334*E335*'life-tables-test'!$C$66)</f>
        <v>97.485744258200128</v>
      </c>
      <c r="I335" s="516">
        <f t="shared" si="30"/>
        <v>100</v>
      </c>
      <c r="J335" s="180">
        <f>(G335*0)/(1+cDR)^'Markov Model_SA2'!cycle</f>
        <v>0</v>
      </c>
      <c r="K335" s="176">
        <f t="shared" si="27"/>
        <v>2.5142557417998717</v>
      </c>
      <c r="L335" s="202">
        <f>(G335*(uPostT))/(1+oDR)^'Markov Model_SA2'!cycle</f>
        <v>0.84878778881175532</v>
      </c>
      <c r="M335" s="80"/>
      <c r="N335" s="3"/>
      <c r="O335" s="80"/>
      <c r="P335" s="173">
        <v>325</v>
      </c>
      <c r="Q335" s="504"/>
      <c r="R335" s="174">
        <v>5.0760082864224065E-3</v>
      </c>
      <c r="S335" s="505"/>
      <c r="T335" s="219">
        <f t="shared" si="31"/>
        <v>2.3687261606858385</v>
      </c>
      <c r="U335" s="249">
        <f>U334+(T334*R335*'life-tables-test'!$C$66)</f>
        <v>97.631273839314161</v>
      </c>
      <c r="V335" s="516">
        <f t="shared" si="28"/>
        <v>100</v>
      </c>
      <c r="W335" s="180">
        <f>(T335*0)/(1+cDR)^'Markov Model_SA2'!cycle2</f>
        <v>0</v>
      </c>
      <c r="X335" s="176">
        <f t="shared" si="29"/>
        <v>2.3687261606858385</v>
      </c>
      <c r="Y335" s="202">
        <f>(T335*(uPostT))/(1+oDR)^'Markov Model_SA2'!cycle</f>
        <v>0.79965844635590211</v>
      </c>
      <c r="Z335" s="80"/>
      <c r="AA335" s="3"/>
      <c r="AB335" s="3"/>
      <c r="AC335" s="14">
        <v>323</v>
      </c>
      <c r="AD335" s="14"/>
      <c r="AE335" s="14"/>
      <c r="AF335" s="3"/>
      <c r="AG335" s="3"/>
      <c r="AH335" s="3"/>
      <c r="AI335" s="14"/>
      <c r="AJ335" s="14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</row>
    <row r="336" spans="1:47" ht="14.25" customHeight="1" x14ac:dyDescent="0.25">
      <c r="A336" s="3">
        <v>29</v>
      </c>
      <c r="B336" s="417"/>
      <c r="C336" s="506">
        <v>326</v>
      </c>
      <c r="D336" s="506"/>
      <c r="E336" s="507">
        <v>5.0760082864224065E-3</v>
      </c>
      <c r="F336" s="508"/>
      <c r="G336" s="509">
        <f t="shared" si="32"/>
        <v>2.4504438269020596</v>
      </c>
      <c r="H336" s="510">
        <f>H335+(G335*E336*'life-tables-test'!$C$66)</f>
        <v>97.54955617309794</v>
      </c>
      <c r="I336" s="518">
        <f t="shared" si="30"/>
        <v>100</v>
      </c>
      <c r="J336" s="511">
        <f>(G336*0)/(1+cDR)^'Markov Model_SA2'!cycle</f>
        <v>0</v>
      </c>
      <c r="K336" s="512">
        <f t="shared" si="27"/>
        <v>2.4504438269020596</v>
      </c>
      <c r="L336" s="513">
        <f>(G336*(uPostT))/(1+oDR)^'Markov Model_SA2'!cycle</f>
        <v>0.82518256315674876</v>
      </c>
      <c r="M336" s="80"/>
      <c r="N336" s="3"/>
      <c r="O336" s="80"/>
      <c r="P336" s="506">
        <v>326</v>
      </c>
      <c r="Q336" s="506"/>
      <c r="R336" s="507">
        <v>5.0760082864224065E-3</v>
      </c>
      <c r="S336" s="508"/>
      <c r="T336" s="509">
        <f t="shared" si="31"/>
        <v>2.3086077925863009</v>
      </c>
      <c r="U336" s="510">
        <f>U335+(T335*R336*'life-tables-test'!$C$66)</f>
        <v>97.691392207413699</v>
      </c>
      <c r="V336" s="518">
        <f t="shared" si="28"/>
        <v>100</v>
      </c>
      <c r="W336" s="511">
        <f>(T336*0)/(1+cDR)^'Markov Model_SA2'!cycle2</f>
        <v>0</v>
      </c>
      <c r="X336" s="512">
        <f t="shared" si="29"/>
        <v>2.3086077925863009</v>
      </c>
      <c r="Y336" s="513">
        <f>(T336*(uPostT))/(1+oDR)^'Markov Model_SA2'!cycle</f>
        <v>0.77741953302329192</v>
      </c>
      <c r="Z336" s="80"/>
      <c r="AA336" s="3"/>
      <c r="AB336" s="3"/>
      <c r="AC336" s="14">
        <v>324</v>
      </c>
      <c r="AD336" s="14"/>
      <c r="AE336" s="14"/>
      <c r="AF336" s="3"/>
      <c r="AG336" s="3"/>
      <c r="AH336" s="3"/>
      <c r="AI336" s="14"/>
      <c r="AJ336" s="14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</row>
    <row r="337" spans="1:47" ht="14.25" customHeight="1" x14ac:dyDescent="0.2">
      <c r="A337" s="3"/>
      <c r="B337" s="417"/>
      <c r="C337" s="173">
        <v>327</v>
      </c>
      <c r="D337" s="165"/>
      <c r="E337" s="174">
        <v>5.7237960968931079E-3</v>
      </c>
      <c r="F337" s="502"/>
      <c r="G337" s="219">
        <f t="shared" si="32"/>
        <v>2.3803146228416665</v>
      </c>
      <c r="H337" s="249">
        <f>H336+(G336*E337*'life-tables-test'!$C$66)</f>
        <v>97.619685377158333</v>
      </c>
      <c r="I337" s="516">
        <f t="shared" si="30"/>
        <v>100</v>
      </c>
      <c r="J337" s="153">
        <f>(G337*0)/(1+cDR)^'Markov Model_SA2'!cycle</f>
        <v>0</v>
      </c>
      <c r="K337" s="178">
        <f t="shared" si="27"/>
        <v>2.3803146228416665</v>
      </c>
      <c r="L337" s="202">
        <f>(G337*(uPostT))/(1+oDR)^'Markov Model_SA2'!cycle</f>
        <v>0.79956776008542962</v>
      </c>
      <c r="M337" s="80"/>
      <c r="N337" s="3"/>
      <c r="O337" s="80"/>
      <c r="P337" s="173">
        <v>327</v>
      </c>
      <c r="Q337" s="165"/>
      <c r="R337" s="174">
        <v>5.7237960968931079E-3</v>
      </c>
      <c r="S337" s="502"/>
      <c r="T337" s="219">
        <f t="shared" si="31"/>
        <v>2.2425377912239952</v>
      </c>
      <c r="U337" s="249">
        <f>U336+(T336*R337*'life-tables-test'!$C$66)</f>
        <v>97.757462208776005</v>
      </c>
      <c r="V337" s="516">
        <f t="shared" si="28"/>
        <v>100</v>
      </c>
      <c r="W337" s="153">
        <f>(T337*0)/(1+cDR)^'Markov Model_SA2'!cycle2</f>
        <v>0</v>
      </c>
      <c r="X337" s="178">
        <f t="shared" si="29"/>
        <v>2.2425377912239952</v>
      </c>
      <c r="Y337" s="202">
        <f>(T337*(uPostT))/(1+oDR)^'Markov Model_SA2'!cycle</f>
        <v>0.75328736017901077</v>
      </c>
      <c r="Z337" s="80"/>
      <c r="AA337" s="3"/>
      <c r="AB337" s="3"/>
      <c r="AC337" s="14">
        <v>325</v>
      </c>
      <c r="AD337" s="14"/>
      <c r="AE337" s="14"/>
      <c r="AF337" s="3"/>
      <c r="AG337" s="3"/>
      <c r="AH337" s="3"/>
      <c r="AI337" s="14"/>
      <c r="AJ337" s="14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</row>
    <row r="338" spans="1:47" ht="14.25" customHeight="1" x14ac:dyDescent="0.2">
      <c r="A338" s="3"/>
      <c r="B338" s="417"/>
      <c r="C338" s="173">
        <v>328</v>
      </c>
      <c r="D338" s="165"/>
      <c r="E338" s="174">
        <v>5.7237960968931079E-3</v>
      </c>
      <c r="F338" s="502"/>
      <c r="G338" s="219">
        <f t="shared" si="32"/>
        <v>2.3121924451036762</v>
      </c>
      <c r="H338" s="249">
        <f>H337+(G337*E338*'life-tables-test'!$C$66)</f>
        <v>97.687807554896324</v>
      </c>
      <c r="I338" s="516">
        <f t="shared" si="30"/>
        <v>100</v>
      </c>
      <c r="J338" s="153">
        <f>(G338*0)/(1+cDR)^'Markov Model_SA2'!cycle</f>
        <v>0</v>
      </c>
      <c r="K338" s="178">
        <f t="shared" si="27"/>
        <v>2.3121924451036762</v>
      </c>
      <c r="L338" s="202">
        <f>(G338*(uPostT))/(1+oDR)^'Markov Model_SA2'!cycle</f>
        <v>0.77474807577410276</v>
      </c>
      <c r="M338" s="80"/>
      <c r="N338" s="3"/>
      <c r="O338" s="80"/>
      <c r="P338" s="173">
        <v>328</v>
      </c>
      <c r="Q338" s="165"/>
      <c r="R338" s="174">
        <v>5.7237960968931079E-3</v>
      </c>
      <c r="S338" s="502"/>
      <c r="T338" s="219">
        <f t="shared" si="31"/>
        <v>2.1783586459412732</v>
      </c>
      <c r="U338" s="249">
        <f>U337+(T337*R338*'life-tables-test'!$C$66)</f>
        <v>97.821641354058727</v>
      </c>
      <c r="V338" s="516">
        <f t="shared" si="28"/>
        <v>100</v>
      </c>
      <c r="W338" s="153">
        <f>(T338*0)/(1+cDR)^'Markov Model_SA2'!cycle2</f>
        <v>0</v>
      </c>
      <c r="X338" s="178">
        <f t="shared" si="29"/>
        <v>2.1783586459412732</v>
      </c>
      <c r="Y338" s="202">
        <f>(T338*(uPostT))/(1+oDR)^'Markov Model_SA2'!cycle</f>
        <v>0.72990428321082401</v>
      </c>
      <c r="Z338" s="80"/>
      <c r="AA338" s="3"/>
      <c r="AB338" s="3"/>
      <c r="AC338" s="14">
        <v>326</v>
      </c>
      <c r="AD338" s="14"/>
      <c r="AE338" s="14"/>
      <c r="AF338" s="3"/>
      <c r="AG338" s="3"/>
      <c r="AH338" s="3"/>
      <c r="AI338" s="14"/>
      <c r="AJ338" s="14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</row>
    <row r="339" spans="1:47" ht="14.25" customHeight="1" x14ac:dyDescent="0.2">
      <c r="A339" s="3"/>
      <c r="B339" s="417"/>
      <c r="C339" s="173">
        <v>329</v>
      </c>
      <c r="D339" s="165"/>
      <c r="E339" s="174">
        <v>5.7237960968931079E-3</v>
      </c>
      <c r="F339" s="502"/>
      <c r="G339" s="219">
        <f t="shared" si="32"/>
        <v>2.2460198546409202</v>
      </c>
      <c r="H339" s="249">
        <f>H338+(G338*E339*'life-tables-test'!$C$66)</f>
        <v>97.75398014535908</v>
      </c>
      <c r="I339" s="516">
        <f t="shared" si="30"/>
        <v>100</v>
      </c>
      <c r="J339" s="153">
        <f>(G339*0)/(1+cDR)^'Markov Model_SA2'!cycle</f>
        <v>0</v>
      </c>
      <c r="K339" s="178">
        <f t="shared" si="27"/>
        <v>2.2460198546409202</v>
      </c>
      <c r="L339" s="202">
        <f>(G339*(uPostT))/(1+oDR)^'Markov Model_SA2'!cycle</f>
        <v>0.75069882864154092</v>
      </c>
      <c r="M339" s="80"/>
      <c r="N339" s="3"/>
      <c r="O339" s="80"/>
      <c r="P339" s="173">
        <v>329</v>
      </c>
      <c r="Q339" s="165"/>
      <c r="R339" s="174">
        <v>5.7237960968931079E-3</v>
      </c>
      <c r="S339" s="502"/>
      <c r="T339" s="219">
        <f t="shared" si="31"/>
        <v>2.1160162423649069</v>
      </c>
      <c r="U339" s="249">
        <f>U338+(T338*R339*'life-tables-test'!$C$66)</f>
        <v>97.883983757635093</v>
      </c>
      <c r="V339" s="516">
        <f t="shared" si="28"/>
        <v>100</v>
      </c>
      <c r="W339" s="153">
        <f>(T339*0)/(1+cDR)^'Markov Model_SA2'!cycle2</f>
        <v>0</v>
      </c>
      <c r="X339" s="178">
        <f t="shared" si="29"/>
        <v>2.1160162423649069</v>
      </c>
      <c r="Y339" s="202">
        <f>(T339*(uPostT))/(1+oDR)^'Markov Model_SA2'!cycle</f>
        <v>0.70724704915120551</v>
      </c>
      <c r="Z339" s="80"/>
      <c r="AA339" s="3"/>
      <c r="AB339" s="3"/>
      <c r="AC339" s="14">
        <v>327</v>
      </c>
      <c r="AD339" s="14"/>
      <c r="AE339" s="14"/>
      <c r="AF339" s="3"/>
      <c r="AG339" s="3"/>
      <c r="AH339" s="3"/>
      <c r="AI339" s="14"/>
      <c r="AJ339" s="14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</row>
    <row r="340" spans="1:47" ht="14.25" customHeight="1" x14ac:dyDescent="0.2">
      <c r="A340" s="3"/>
      <c r="B340" s="417"/>
      <c r="C340" s="173">
        <v>330</v>
      </c>
      <c r="D340" s="165"/>
      <c r="E340" s="174">
        <v>5.7237960968931079E-3</v>
      </c>
      <c r="F340" s="502"/>
      <c r="G340" s="219">
        <f t="shared" si="32"/>
        <v>2.1817410562532302</v>
      </c>
      <c r="H340" s="249">
        <f>H339+(G339*E340*'life-tables-test'!$C$66)</f>
        <v>97.81825894374677</v>
      </c>
      <c r="I340" s="516">
        <f t="shared" si="30"/>
        <v>100</v>
      </c>
      <c r="J340" s="153">
        <f>(G340*0)/(1+cDR)^'Markov Model_SA2'!cycle</f>
        <v>0</v>
      </c>
      <c r="K340" s="178">
        <f t="shared" si="27"/>
        <v>2.1817410562532302</v>
      </c>
      <c r="L340" s="202">
        <f>(G340*(uPostT))/(1+oDR)^'Markov Model_SA2'!cycle</f>
        <v>0.72739610325679571</v>
      </c>
      <c r="M340" s="80"/>
      <c r="N340" s="3"/>
      <c r="O340" s="80"/>
      <c r="P340" s="173">
        <v>330</v>
      </c>
      <c r="Q340" s="165"/>
      <c r="R340" s="174">
        <v>5.7237960968931079E-3</v>
      </c>
      <c r="S340" s="502"/>
      <c r="T340" s="219">
        <f t="shared" si="31"/>
        <v>2.0554580148198482</v>
      </c>
      <c r="U340" s="249">
        <f>U339+(T339*R340*'life-tables-test'!$C$66)</f>
        <v>97.944541985180152</v>
      </c>
      <c r="V340" s="516">
        <f t="shared" si="28"/>
        <v>100</v>
      </c>
      <c r="W340" s="153">
        <f>(T340*0)/(1+cDR)^'Markov Model_SA2'!cycle2</f>
        <v>0</v>
      </c>
      <c r="X340" s="178">
        <f t="shared" si="29"/>
        <v>2.0554580148198482</v>
      </c>
      <c r="Y340" s="202">
        <f>(T340*(uPostT))/(1+oDR)^'Markov Model_SA2'!cycle</f>
        <v>0.68529312683675769</v>
      </c>
      <c r="Z340" s="80"/>
      <c r="AA340" s="3"/>
      <c r="AB340" s="3"/>
      <c r="AC340" s="14">
        <v>328</v>
      </c>
      <c r="AD340" s="14"/>
      <c r="AE340" s="14"/>
      <c r="AF340" s="3"/>
      <c r="AG340" s="3"/>
      <c r="AH340" s="3"/>
      <c r="AI340" s="14"/>
      <c r="AJ340" s="14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</row>
    <row r="341" spans="1:47" ht="14.25" customHeight="1" x14ac:dyDescent="0.2">
      <c r="A341" s="3"/>
      <c r="B341" s="417"/>
      <c r="C341" s="173">
        <v>331</v>
      </c>
      <c r="D341" s="165"/>
      <c r="E341" s="174">
        <v>5.7237960968931079E-3</v>
      </c>
      <c r="F341" s="502"/>
      <c r="G341" s="219">
        <f t="shared" si="32"/>
        <v>2.1193018515421613</v>
      </c>
      <c r="H341" s="249">
        <f>H340+(G340*E341*'life-tables-test'!$C$66)</f>
        <v>97.880698148457839</v>
      </c>
      <c r="I341" s="516">
        <f t="shared" si="30"/>
        <v>100</v>
      </c>
      <c r="J341" s="153">
        <f>(G341*0)/(1+cDR)^'Markov Model_SA2'!cycle</f>
        <v>0</v>
      </c>
      <c r="K341" s="178">
        <f t="shared" si="27"/>
        <v>2.1193018515421613</v>
      </c>
      <c r="L341" s="202">
        <f>(G341*(uPostT))/(1+oDR)^'Markov Model_SA2'!cycle</f>
        <v>0.70481672655682104</v>
      </c>
      <c r="M341" s="80"/>
      <c r="N341" s="3"/>
      <c r="O341" s="80"/>
      <c r="P341" s="173">
        <v>331</v>
      </c>
      <c r="Q341" s="165"/>
      <c r="R341" s="174">
        <v>5.7237960968931079E-3</v>
      </c>
      <c r="S341" s="502"/>
      <c r="T341" s="219">
        <f t="shared" si="31"/>
        <v>1.9966329020070788</v>
      </c>
      <c r="U341" s="249">
        <f>U340+(T340*R341*'life-tables-test'!$C$66)</f>
        <v>98.003367097992921</v>
      </c>
      <c r="V341" s="516">
        <f t="shared" si="28"/>
        <v>100</v>
      </c>
      <c r="W341" s="153">
        <f>(T341*0)/(1+cDR)^'Markov Model_SA2'!cycle2</f>
        <v>0</v>
      </c>
      <c r="X341" s="178">
        <f t="shared" si="29"/>
        <v>1.9966329020070788</v>
      </c>
      <c r="Y341" s="202">
        <f>(T341*(uPostT))/(1+oDR)^'Markov Model_SA2'!cycle</f>
        <v>0.66402068450242158</v>
      </c>
      <c r="Z341" s="80"/>
      <c r="AA341" s="3"/>
      <c r="AB341" s="3"/>
      <c r="AC341" s="14">
        <v>329</v>
      </c>
      <c r="AD341" s="14"/>
      <c r="AE341" s="14"/>
      <c r="AF341" s="3"/>
      <c r="AG341" s="3"/>
      <c r="AH341" s="3"/>
      <c r="AI341" s="14"/>
      <c r="AJ341" s="14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</row>
    <row r="342" spans="1:47" ht="14.25" customHeight="1" x14ac:dyDescent="0.2">
      <c r="A342" s="3"/>
      <c r="B342" s="417"/>
      <c r="C342" s="173">
        <v>332</v>
      </c>
      <c r="D342" s="165"/>
      <c r="E342" s="174">
        <v>5.7237960968931079E-3</v>
      </c>
      <c r="F342" s="502"/>
      <c r="G342" s="219">
        <f t="shared" si="32"/>
        <v>2.0586495932121807</v>
      </c>
      <c r="H342" s="249">
        <f>H341+(G341*E342*'life-tables-test'!$C$66)</f>
        <v>97.941350406787819</v>
      </c>
      <c r="I342" s="516">
        <f t="shared" si="30"/>
        <v>100</v>
      </c>
      <c r="J342" s="153">
        <f>(G342*0)/(1+cDR)^'Markov Model_SA2'!cycle</f>
        <v>0</v>
      </c>
      <c r="K342" s="178">
        <f t="shared" si="27"/>
        <v>2.0586495932121807</v>
      </c>
      <c r="L342" s="202">
        <f>(G342*(uPostT))/(1+oDR)^'Markov Model_SA2'!cycle</f>
        <v>0.68293824480235932</v>
      </c>
      <c r="M342" s="80"/>
      <c r="N342" s="3"/>
      <c r="O342" s="80"/>
      <c r="P342" s="173">
        <v>332</v>
      </c>
      <c r="Q342" s="165"/>
      <c r="R342" s="174">
        <v>5.7237960968931079E-3</v>
      </c>
      <c r="S342" s="502"/>
      <c r="T342" s="219">
        <f t="shared" si="31"/>
        <v>1.9394913039498931</v>
      </c>
      <c r="U342" s="249">
        <f>U341+(T341*R342*'life-tables-test'!$C$66)</f>
        <v>98.060508696050107</v>
      </c>
      <c r="V342" s="516">
        <f t="shared" si="28"/>
        <v>100</v>
      </c>
      <c r="W342" s="153">
        <f>(T342*0)/(1+cDR)^'Markov Model_SA2'!cycle2</f>
        <v>0</v>
      </c>
      <c r="X342" s="178">
        <f t="shared" si="29"/>
        <v>1.9394913039498931</v>
      </c>
      <c r="Y342" s="202">
        <f>(T342*(uPostT))/(1+oDR)^'Markov Model_SA2'!cycle</f>
        <v>0.64340856807118629</v>
      </c>
      <c r="Z342" s="80"/>
      <c r="AA342" s="3"/>
      <c r="AB342" s="3"/>
      <c r="AC342" s="14">
        <v>330</v>
      </c>
      <c r="AD342" s="14"/>
      <c r="AE342" s="14"/>
      <c r="AF342" s="3"/>
      <c r="AG342" s="3"/>
      <c r="AH342" s="3"/>
      <c r="AI342" s="14"/>
      <c r="AJ342" s="14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</row>
    <row r="343" spans="1:47" ht="14.25" customHeight="1" x14ac:dyDescent="0.2">
      <c r="A343" s="3"/>
      <c r="B343" s="417"/>
      <c r="C343" s="173">
        <v>333</v>
      </c>
      <c r="D343" s="165"/>
      <c r="E343" s="174">
        <v>5.7237960968931079E-3</v>
      </c>
      <c r="F343" s="502"/>
      <c r="G343" s="219">
        <f t="shared" si="32"/>
        <v>1.9997331406796945</v>
      </c>
      <c r="H343" s="249">
        <f>H342+(G342*E343*'life-tables-test'!$C$66)</f>
        <v>98.000266859320305</v>
      </c>
      <c r="I343" s="516">
        <f t="shared" si="30"/>
        <v>100</v>
      </c>
      <c r="J343" s="153">
        <f>(G343*0)/(1+cDR)^'Markov Model_SA2'!cycle</f>
        <v>0</v>
      </c>
      <c r="K343" s="178">
        <f t="shared" si="27"/>
        <v>1.9997331406796945</v>
      </c>
      <c r="L343" s="202">
        <f>(G343*(uPostT))/(1+oDR)^'Markov Model_SA2'!cycle</f>
        <v>0.66173890124914447</v>
      </c>
      <c r="M343" s="80"/>
      <c r="N343" s="3"/>
      <c r="O343" s="80"/>
      <c r="P343" s="173">
        <v>333</v>
      </c>
      <c r="Q343" s="165"/>
      <c r="R343" s="174">
        <v>5.7237960968931079E-3</v>
      </c>
      <c r="S343" s="502"/>
      <c r="T343" s="219">
        <f t="shared" si="31"/>
        <v>1.8839850401723623</v>
      </c>
      <c r="U343" s="249">
        <f>U342+(T342*R343*'life-tables-test'!$C$66)</f>
        <v>98.116014959827638</v>
      </c>
      <c r="V343" s="516">
        <f t="shared" si="28"/>
        <v>100</v>
      </c>
      <c r="W343" s="153">
        <f>(T343*0)/(1+cDR)^'Markov Model_SA2'!cycle2</f>
        <v>0</v>
      </c>
      <c r="X343" s="178">
        <f t="shared" si="29"/>
        <v>1.8839850401723623</v>
      </c>
      <c r="Y343" s="202">
        <f>(T343*(uPostT))/(1+oDR)^'Markov Model_SA2'!cycle</f>
        <v>0.62343628011772512</v>
      </c>
      <c r="Z343" s="80"/>
      <c r="AA343" s="3"/>
      <c r="AB343" s="3"/>
      <c r="AC343" s="14">
        <v>331</v>
      </c>
      <c r="AD343" s="14"/>
      <c r="AE343" s="14"/>
      <c r="AF343" s="3"/>
      <c r="AG343" s="3"/>
      <c r="AH343" s="3"/>
      <c r="AI343" s="14"/>
      <c r="AJ343" s="14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</row>
    <row r="344" spans="1:47" ht="14.25" customHeight="1" x14ac:dyDescent="0.2">
      <c r="A344" s="3"/>
      <c r="B344" s="417"/>
      <c r="C344" s="173">
        <v>334</v>
      </c>
      <c r="D344" s="165"/>
      <c r="E344" s="174">
        <v>5.7237960968931079E-3</v>
      </c>
      <c r="F344" s="502"/>
      <c r="G344" s="219">
        <f t="shared" si="32"/>
        <v>1.942502816952441</v>
      </c>
      <c r="H344" s="249">
        <f>H343+(G343*E344*'life-tables-test'!$C$66)</f>
        <v>98.057497183047559</v>
      </c>
      <c r="I344" s="516">
        <f t="shared" si="30"/>
        <v>100</v>
      </c>
      <c r="J344" s="153">
        <f>(G344*0)/(1+cDR)^'Markov Model_SA2'!cycle</f>
        <v>0</v>
      </c>
      <c r="K344" s="178">
        <f t="shared" si="27"/>
        <v>1.942502816952441</v>
      </c>
      <c r="L344" s="202">
        <f>(G344*(uPostT))/(1+oDR)^'Markov Model_SA2'!cycle</f>
        <v>0.64119761451220258</v>
      </c>
      <c r="M344" s="80"/>
      <c r="N344" s="3"/>
      <c r="O344" s="80"/>
      <c r="P344" s="173">
        <v>334</v>
      </c>
      <c r="Q344" s="165"/>
      <c r="R344" s="174">
        <v>5.7237960968931079E-3</v>
      </c>
      <c r="S344" s="502"/>
      <c r="T344" s="219">
        <f t="shared" si="31"/>
        <v>1.83006730907465</v>
      </c>
      <c r="U344" s="249">
        <f>U343+(T343*R344*'life-tables-test'!$C$66)</f>
        <v>98.16993269092535</v>
      </c>
      <c r="V344" s="516">
        <f t="shared" si="28"/>
        <v>100</v>
      </c>
      <c r="W344" s="153">
        <f>(T344*0)/(1+cDR)^'Markov Model_SA2'!cycle2</f>
        <v>0</v>
      </c>
      <c r="X344" s="178">
        <f t="shared" si="29"/>
        <v>1.83006730907465</v>
      </c>
      <c r="Y344" s="202">
        <f>(T344*(uPostT))/(1+oDR)^'Markov Model_SA2'!cycle</f>
        <v>0.6040839594850177</v>
      </c>
      <c r="Z344" s="80"/>
      <c r="AA344" s="3"/>
      <c r="AB344" s="3"/>
      <c r="AC344" s="14">
        <v>332</v>
      </c>
      <c r="AD344" s="14"/>
      <c r="AE344" s="14"/>
      <c r="AF344" s="3"/>
      <c r="AG344" s="3"/>
      <c r="AH344" s="3"/>
      <c r="AI344" s="14"/>
      <c r="AJ344" s="14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</row>
    <row r="345" spans="1:47" ht="14.25" customHeight="1" x14ac:dyDescent="0.2">
      <c r="A345" s="3"/>
      <c r="B345" s="417"/>
      <c r="C345" s="173">
        <v>335</v>
      </c>
      <c r="D345" s="165"/>
      <c r="E345" s="174">
        <v>5.7237960968931079E-3</v>
      </c>
      <c r="F345" s="502"/>
      <c r="G345" s="219">
        <f t="shared" si="32"/>
        <v>1.8869103667430664</v>
      </c>
      <c r="H345" s="249">
        <f>H344+(G344*E345*'life-tables-test'!$C$66)</f>
        <v>98.113089633256934</v>
      </c>
      <c r="I345" s="516">
        <f t="shared" si="30"/>
        <v>100</v>
      </c>
      <c r="J345" s="153">
        <f>(G345*0)/(1+cDR)^'Markov Model_SA2'!cycle</f>
        <v>0</v>
      </c>
      <c r="K345" s="178">
        <f t="shared" si="27"/>
        <v>1.8869103667430664</v>
      </c>
      <c r="L345" s="202">
        <f>(G345*(uPostT))/(1+oDR)^'Markov Model_SA2'!cycle</f>
        <v>0.62129395760178974</v>
      </c>
      <c r="M345" s="80"/>
      <c r="N345" s="3"/>
      <c r="O345" s="80"/>
      <c r="P345" s="173">
        <v>335</v>
      </c>
      <c r="Q345" s="165"/>
      <c r="R345" s="174">
        <v>5.7237960968931079E-3</v>
      </c>
      <c r="S345" s="502"/>
      <c r="T345" s="219">
        <f t="shared" si="31"/>
        <v>1.777692648470989</v>
      </c>
      <c r="U345" s="249">
        <f>U344+(T344*R345*'life-tables-test'!$C$66)</f>
        <v>98.222307351529011</v>
      </c>
      <c r="V345" s="516">
        <f t="shared" si="28"/>
        <v>100</v>
      </c>
      <c r="W345" s="153">
        <f>(T345*0)/(1+cDR)^'Markov Model_SA2'!cycle2</f>
        <v>0</v>
      </c>
      <c r="X345" s="178">
        <f t="shared" si="29"/>
        <v>1.777692648470989</v>
      </c>
      <c r="Y345" s="202">
        <f>(T345*(uPostT))/(1+oDR)^'Markov Model_SA2'!cycle</f>
        <v>0.5853323615337046</v>
      </c>
      <c r="Z345" s="80"/>
      <c r="AA345" s="3"/>
      <c r="AB345" s="3"/>
      <c r="AC345" s="14">
        <v>333</v>
      </c>
      <c r="AD345" s="14"/>
      <c r="AE345" s="14"/>
      <c r="AF345" s="3"/>
      <c r="AG345" s="3"/>
      <c r="AH345" s="3"/>
      <c r="AI345" s="14"/>
      <c r="AJ345" s="14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</row>
    <row r="346" spans="1:47" ht="14.25" customHeight="1" x14ac:dyDescent="0.2">
      <c r="A346" s="3"/>
      <c r="B346" s="417"/>
      <c r="C346" s="173">
        <v>336</v>
      </c>
      <c r="D346" s="165"/>
      <c r="E346" s="174">
        <v>5.7237960968931079E-3</v>
      </c>
      <c r="F346" s="502"/>
      <c r="G346" s="219">
        <f t="shared" si="32"/>
        <v>1.8329089157813172</v>
      </c>
      <c r="H346" s="249">
        <f>H345+(G345*E346*'life-tables-test'!$C$66)</f>
        <v>98.167091084218683</v>
      </c>
      <c r="I346" s="516">
        <f t="shared" si="30"/>
        <v>100</v>
      </c>
      <c r="J346" s="153">
        <f>(G346*0)/(1+cDR)^'Markov Model_SA2'!cycle</f>
        <v>0</v>
      </c>
      <c r="K346" s="178">
        <f t="shared" si="27"/>
        <v>1.8329089157813172</v>
      </c>
      <c r="L346" s="202">
        <f>(G346*(uPostT))/(1+oDR)^'Markov Model_SA2'!cycle</f>
        <v>0.60200813761004457</v>
      </c>
      <c r="M346" s="80"/>
      <c r="N346" s="3"/>
      <c r="O346" s="80"/>
      <c r="P346" s="173">
        <v>336</v>
      </c>
      <c r="Q346" s="165"/>
      <c r="R346" s="174">
        <v>5.7237960968931079E-3</v>
      </c>
      <c r="S346" s="502"/>
      <c r="T346" s="219">
        <f t="shared" si="31"/>
        <v>1.7268168972570237</v>
      </c>
      <c r="U346" s="249">
        <f>U345+(T345*R346*'life-tables-test'!$C$66)</f>
        <v>98.273183102742976</v>
      </c>
      <c r="V346" s="516">
        <f t="shared" si="28"/>
        <v>100</v>
      </c>
      <c r="W346" s="153">
        <f>(T346*0)/(1+cDR)^'Markov Model_SA2'!cycle2</f>
        <v>0</v>
      </c>
      <c r="X346" s="178">
        <f t="shared" si="29"/>
        <v>1.7268168972570237</v>
      </c>
      <c r="Y346" s="202">
        <f>(T346*(uPostT))/(1+oDR)^'Markov Model_SA2'!cycle</f>
        <v>0.56716283900453524</v>
      </c>
      <c r="Z346" s="80"/>
      <c r="AA346" s="3"/>
      <c r="AB346" s="3"/>
      <c r="AC346" s="14">
        <v>334</v>
      </c>
      <c r="AD346" s="14"/>
      <c r="AE346" s="14"/>
      <c r="AF346" s="3"/>
      <c r="AG346" s="3"/>
      <c r="AH346" s="3"/>
      <c r="AI346" s="14"/>
      <c r="AJ346" s="14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</row>
    <row r="347" spans="1:47" ht="14.25" customHeight="1" x14ac:dyDescent="0.2">
      <c r="A347" s="3"/>
      <c r="B347" s="417"/>
      <c r="C347" s="173">
        <v>337</v>
      </c>
      <c r="D347" s="504"/>
      <c r="E347" s="174">
        <v>5.7237960968931079E-3</v>
      </c>
      <c r="F347" s="505"/>
      <c r="G347" s="219">
        <f t="shared" si="32"/>
        <v>1.7804529312907675</v>
      </c>
      <c r="H347" s="249">
        <f>H346+(G346*E347*'life-tables-test'!$C$66)</f>
        <v>98.219547068709232</v>
      </c>
      <c r="I347" s="516">
        <f t="shared" si="30"/>
        <v>100</v>
      </c>
      <c r="J347" s="180">
        <f>(G347*0)/(1+cDR)^'Markov Model_SA2'!cycle</f>
        <v>0</v>
      </c>
      <c r="K347" s="176">
        <f t="shared" si="27"/>
        <v>1.7804529312907675</v>
      </c>
      <c r="L347" s="202">
        <f>(G347*(uPostT))/(1+oDR)^'Markov Model_SA2'!cycle</f>
        <v>0.58332097602822242</v>
      </c>
      <c r="M347" s="80"/>
      <c r="N347" s="3"/>
      <c r="O347" s="80"/>
      <c r="P347" s="173">
        <v>337</v>
      </c>
      <c r="Q347" s="504"/>
      <c r="R347" s="174">
        <v>5.7237960968931079E-3</v>
      </c>
      <c r="S347" s="505"/>
      <c r="T347" s="219">
        <f t="shared" si="31"/>
        <v>1.6773971581741733</v>
      </c>
      <c r="U347" s="249">
        <f>U346+(T346*R347*'life-tables-test'!$C$66)</f>
        <v>98.322602841825827</v>
      </c>
      <c r="V347" s="516">
        <f t="shared" si="28"/>
        <v>100</v>
      </c>
      <c r="W347" s="180">
        <f>(T347*0)/(1+cDR)^'Markov Model_SA2'!cycle2</f>
        <v>0</v>
      </c>
      <c r="X347" s="176">
        <f t="shared" si="29"/>
        <v>1.6773971581741733</v>
      </c>
      <c r="Y347" s="202">
        <f>(T347*(uPostT))/(1+oDR)^'Markov Model_SA2'!cycle</f>
        <v>0.5495573234748613</v>
      </c>
      <c r="Z347" s="80"/>
      <c r="AA347" s="3"/>
      <c r="AB347" s="3"/>
      <c r="AC347" s="14">
        <v>335</v>
      </c>
      <c r="AD347" s="14"/>
      <c r="AE347" s="14"/>
      <c r="AF347" s="3"/>
      <c r="AG347" s="3"/>
      <c r="AH347" s="3"/>
      <c r="AI347" s="14"/>
      <c r="AJ347" s="14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</row>
    <row r="348" spans="1:47" ht="14.25" customHeight="1" x14ac:dyDescent="0.25">
      <c r="A348" s="3">
        <v>30</v>
      </c>
      <c r="B348" s="417"/>
      <c r="C348" s="506">
        <v>338</v>
      </c>
      <c r="D348" s="506"/>
      <c r="E348" s="507">
        <v>5.7237960968931079E-3</v>
      </c>
      <c r="F348" s="508"/>
      <c r="G348" s="509">
        <f t="shared" si="32"/>
        <v>1.7294981835966468</v>
      </c>
      <c r="H348" s="510">
        <f>H347+(G347*E348*'life-tables-test'!$C$66)</f>
        <v>98.270501816403353</v>
      </c>
      <c r="I348" s="518">
        <f t="shared" si="30"/>
        <v>100</v>
      </c>
      <c r="J348" s="511">
        <f>(G348*0)/(1+cDR)^'Markov Model_SA2'!cycle</f>
        <v>0</v>
      </c>
      <c r="K348" s="512">
        <f t="shared" si="27"/>
        <v>1.7294981835966468</v>
      </c>
      <c r="L348" s="513">
        <f>(G348*(uPostT))/(1+oDR)^'Markov Model_SA2'!cycle</f>
        <v>0.5652138896749036</v>
      </c>
      <c r="M348" s="80"/>
      <c r="N348" s="3"/>
      <c r="O348" s="80"/>
      <c r="P348" s="506">
        <v>338</v>
      </c>
      <c r="Q348" s="506"/>
      <c r="R348" s="507">
        <v>5.7237960968931079E-3</v>
      </c>
      <c r="S348" s="508"/>
      <c r="T348" s="509">
        <f t="shared" si="31"/>
        <v>1.6293917616396953</v>
      </c>
      <c r="U348" s="510">
        <f>U347+(T347*R348*'life-tables-test'!$C$66)</f>
        <v>98.370608238360305</v>
      </c>
      <c r="V348" s="518">
        <f t="shared" si="28"/>
        <v>100</v>
      </c>
      <c r="W348" s="511">
        <f>(T348*0)/(1+cDR)^'Markov Model_SA2'!cycle2</f>
        <v>0</v>
      </c>
      <c r="X348" s="512">
        <f t="shared" si="29"/>
        <v>1.6293917616396953</v>
      </c>
      <c r="Y348" s="513">
        <f>(T348*(uPostT))/(1+oDR)^'Markov Model_SA2'!cycle</f>
        <v>0.53249830739076431</v>
      </c>
      <c r="Z348" s="80"/>
      <c r="AA348" s="3"/>
      <c r="AB348" s="3"/>
      <c r="AC348" s="14">
        <v>336</v>
      </c>
      <c r="AD348" s="14"/>
      <c r="AE348" s="14"/>
      <c r="AF348" s="3"/>
      <c r="AG348" s="3"/>
      <c r="AH348" s="3"/>
      <c r="AI348" s="14"/>
      <c r="AJ348" s="14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</row>
    <row r="349" spans="1:47" ht="14.25" customHeight="1" x14ac:dyDescent="0.2">
      <c r="A349" s="3"/>
      <c r="B349" s="417"/>
      <c r="C349" s="173">
        <v>339</v>
      </c>
      <c r="D349" s="165"/>
      <c r="E349" s="174">
        <v>6.3902981105391499E-3</v>
      </c>
      <c r="F349" s="502"/>
      <c r="G349" s="219">
        <f t="shared" si="32"/>
        <v>1.6742381387225578</v>
      </c>
      <c r="H349" s="249">
        <f>H348+(G348*E349*'life-tables-test'!$C$66)</f>
        <v>98.325761861277442</v>
      </c>
      <c r="I349" s="516">
        <f t="shared" si="30"/>
        <v>100</v>
      </c>
      <c r="J349" s="153">
        <f>(G349*0)/(1+cDR)^'Markov Model_SA2'!cycle</f>
        <v>0</v>
      </c>
      <c r="K349" s="178">
        <f t="shared" si="27"/>
        <v>1.6742381387225578</v>
      </c>
      <c r="L349" s="202">
        <f>(G349*(uPostT))/(1+oDR)^'Markov Model_SA2'!cycle</f>
        <v>0.54578998844758586</v>
      </c>
      <c r="M349" s="80"/>
      <c r="N349" s="3"/>
      <c r="O349" s="80"/>
      <c r="P349" s="173">
        <v>339</v>
      </c>
      <c r="Q349" s="165"/>
      <c r="R349" s="174">
        <v>6.3902981105391499E-3</v>
      </c>
      <c r="S349" s="502"/>
      <c r="T349" s="219">
        <f t="shared" si="31"/>
        <v>1.5773302661610273</v>
      </c>
      <c r="U349" s="249">
        <f>U348+(T348*R349*'life-tables-test'!$C$66)</f>
        <v>98.422669733838973</v>
      </c>
      <c r="V349" s="516">
        <f t="shared" si="28"/>
        <v>100</v>
      </c>
      <c r="W349" s="153">
        <f>(T349*0)/(1+cDR)^'Markov Model_SA2'!cycle2</f>
        <v>0</v>
      </c>
      <c r="X349" s="178">
        <f t="shared" si="29"/>
        <v>1.5773302661610273</v>
      </c>
      <c r="Y349" s="202">
        <f>(T349*(uPostT))/(1+oDR)^'Markov Model_SA2'!cycle</f>
        <v>0.51419869601281076</v>
      </c>
      <c r="Z349" s="80"/>
      <c r="AA349" s="3"/>
      <c r="AB349" s="3"/>
      <c r="AC349" s="14">
        <v>337</v>
      </c>
      <c r="AD349" s="14"/>
      <c r="AE349" s="14"/>
      <c r="AF349" s="3"/>
      <c r="AG349" s="3"/>
      <c r="AH349" s="3"/>
      <c r="AI349" s="14"/>
      <c r="AJ349" s="14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</row>
    <row r="350" spans="1:47" ht="14.25" customHeight="1" x14ac:dyDescent="0.2">
      <c r="A350" s="3"/>
      <c r="B350" s="417"/>
      <c r="C350" s="173">
        <v>340</v>
      </c>
      <c r="D350" s="165"/>
      <c r="E350" s="174">
        <v>6.3902981105391499E-3</v>
      </c>
      <c r="F350" s="502"/>
      <c r="G350" s="219">
        <f t="shared" si="32"/>
        <v>1.6207437346502047</v>
      </c>
      <c r="H350" s="249">
        <f>H349+(G349*E350*'life-tables-test'!$C$66)</f>
        <v>98.379256265349795</v>
      </c>
      <c r="I350" s="516">
        <f t="shared" si="30"/>
        <v>100</v>
      </c>
      <c r="J350" s="153">
        <f>(G350*0)/(1+cDR)^'Markov Model_SA2'!cycle</f>
        <v>0</v>
      </c>
      <c r="K350" s="178">
        <f t="shared" si="27"/>
        <v>1.6207437346502047</v>
      </c>
      <c r="L350" s="202">
        <f>(G350*(uPostT))/(1+oDR)^'Markov Model_SA2'!cycle</f>
        <v>0.52703360078598316</v>
      </c>
      <c r="M350" s="80"/>
      <c r="N350" s="3"/>
      <c r="O350" s="80"/>
      <c r="P350" s="173">
        <v>340</v>
      </c>
      <c r="Q350" s="165"/>
      <c r="R350" s="174">
        <v>6.3902981105391499E-3</v>
      </c>
      <c r="S350" s="502"/>
      <c r="T350" s="219">
        <f t="shared" si="31"/>
        <v>1.5269322130633043</v>
      </c>
      <c r="U350" s="249">
        <f>U349+(T349*R350*'life-tables-test'!$C$66)</f>
        <v>98.473067786936696</v>
      </c>
      <c r="V350" s="516">
        <f t="shared" si="28"/>
        <v>100</v>
      </c>
      <c r="W350" s="153">
        <f>(T350*0)/(1+cDR)^'Markov Model_SA2'!cycle2</f>
        <v>0</v>
      </c>
      <c r="X350" s="178">
        <f t="shared" si="29"/>
        <v>1.5269322130633043</v>
      </c>
      <c r="Y350" s="202">
        <f>(T350*(uPostT))/(1+oDR)^'Markov Model_SA2'!cycle</f>
        <v>0.49652796133162064</v>
      </c>
      <c r="Z350" s="80"/>
      <c r="AA350" s="3"/>
      <c r="AB350" s="3"/>
      <c r="AC350" s="14">
        <v>338</v>
      </c>
      <c r="AD350" s="14"/>
      <c r="AE350" s="14"/>
      <c r="AF350" s="3"/>
      <c r="AG350" s="3"/>
      <c r="AH350" s="3"/>
      <c r="AI350" s="14"/>
      <c r="AJ350" s="14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</row>
    <row r="351" spans="1:47" ht="14.25" customHeight="1" x14ac:dyDescent="0.2">
      <c r="A351" s="3"/>
      <c r="B351" s="417"/>
      <c r="C351" s="173">
        <v>341</v>
      </c>
      <c r="D351" s="165"/>
      <c r="E351" s="174">
        <v>6.3902981105391499E-3</v>
      </c>
      <c r="F351" s="502"/>
      <c r="G351" s="219">
        <f t="shared" si="32"/>
        <v>1.5689585565241941</v>
      </c>
      <c r="H351" s="249">
        <f>H350+(G350*E351*'life-tables-test'!$C$66)</f>
        <v>98.431041443475806</v>
      </c>
      <c r="I351" s="516">
        <f t="shared" si="30"/>
        <v>100</v>
      </c>
      <c r="J351" s="153">
        <f>(G351*0)/(1+cDR)^'Markov Model_SA2'!cycle</f>
        <v>0</v>
      </c>
      <c r="K351" s="178">
        <f t="shared" si="27"/>
        <v>1.5689585565241941</v>
      </c>
      <c r="L351" s="202">
        <f>(G351*(uPostT))/(1+oDR)^'Markov Model_SA2'!cycle</f>
        <v>0.50892178720151482</v>
      </c>
      <c r="M351" s="80"/>
      <c r="N351" s="3"/>
      <c r="O351" s="80"/>
      <c r="P351" s="173">
        <v>341</v>
      </c>
      <c r="Q351" s="165"/>
      <c r="R351" s="174">
        <v>6.3902981105391499E-3</v>
      </c>
      <c r="S351" s="502"/>
      <c r="T351" s="219">
        <f t="shared" si="31"/>
        <v>1.4781444528830008</v>
      </c>
      <c r="U351" s="249">
        <f>U350+(T350*R351*'life-tables-test'!$C$66)</f>
        <v>98.521855547116999</v>
      </c>
      <c r="V351" s="516">
        <f t="shared" si="28"/>
        <v>100</v>
      </c>
      <c r="W351" s="153">
        <f>(T351*0)/(1+cDR)^'Markov Model_SA2'!cycle2</f>
        <v>0</v>
      </c>
      <c r="X351" s="178">
        <f t="shared" si="29"/>
        <v>1.4781444528830008</v>
      </c>
      <c r="Y351" s="202">
        <f>(T351*(uPostT))/(1+oDR)^'Markov Model_SA2'!cycle</f>
        <v>0.47946449163689048</v>
      </c>
      <c r="Z351" s="80"/>
      <c r="AA351" s="3"/>
      <c r="AB351" s="3"/>
      <c r="AC351" s="14">
        <v>339</v>
      </c>
      <c r="AD351" s="14"/>
      <c r="AE351" s="14"/>
      <c r="AF351" s="3"/>
      <c r="AG351" s="3"/>
      <c r="AH351" s="3"/>
      <c r="AI351" s="14"/>
      <c r="AJ351" s="14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</row>
    <row r="352" spans="1:47" ht="14.25" customHeight="1" x14ac:dyDescent="0.2">
      <c r="A352" s="3"/>
      <c r="B352" s="417"/>
      <c r="C352" s="173">
        <v>342</v>
      </c>
      <c r="D352" s="165"/>
      <c r="E352" s="174">
        <v>6.3902981105391499E-3</v>
      </c>
      <c r="F352" s="502"/>
      <c r="G352" s="219">
        <f t="shared" si="32"/>
        <v>1.5188279920278376</v>
      </c>
      <c r="H352" s="249">
        <f>H351+(G351*E352*'life-tables-test'!$C$66)</f>
        <v>98.481172007972162</v>
      </c>
      <c r="I352" s="516">
        <f t="shared" si="30"/>
        <v>100</v>
      </c>
      <c r="J352" s="153">
        <f>(G352*0)/(1+cDR)^'Markov Model_SA2'!cycle</f>
        <v>0</v>
      </c>
      <c r="K352" s="178">
        <f t="shared" si="27"/>
        <v>1.5188279920278376</v>
      </c>
      <c r="L352" s="202">
        <f>(G352*(uPostT))/(1+oDR)^'Markov Model_SA2'!cycle</f>
        <v>0.49143239653434811</v>
      </c>
      <c r="M352" s="80"/>
      <c r="N352" s="3"/>
      <c r="O352" s="80"/>
      <c r="P352" s="173">
        <v>342</v>
      </c>
      <c r="Q352" s="165"/>
      <c r="R352" s="174">
        <v>6.3902981105391499E-3</v>
      </c>
      <c r="S352" s="502"/>
      <c r="T352" s="219">
        <f t="shared" si="31"/>
        <v>1.4309155343611906</v>
      </c>
      <c r="U352" s="249">
        <f>U351+(T351*R352*'life-tables-test'!$C$66)</f>
        <v>98.569084465638809</v>
      </c>
      <c r="V352" s="516">
        <f t="shared" si="28"/>
        <v>100</v>
      </c>
      <c r="W352" s="153">
        <f>(T352*0)/(1+cDR)^'Markov Model_SA2'!cycle2</f>
        <v>0</v>
      </c>
      <c r="X352" s="178">
        <f t="shared" si="29"/>
        <v>1.4309155343611906</v>
      </c>
      <c r="Y352" s="202">
        <f>(T352*(uPostT))/(1+oDR)^'Markov Model_SA2'!cycle</f>
        <v>0.46298741791720854</v>
      </c>
      <c r="Z352" s="80"/>
      <c r="AA352" s="3"/>
      <c r="AB352" s="3"/>
      <c r="AC352" s="14">
        <v>340</v>
      </c>
      <c r="AD352" s="14"/>
      <c r="AE352" s="14"/>
      <c r="AF352" s="3"/>
      <c r="AG352" s="3"/>
      <c r="AH352" s="3"/>
      <c r="AI352" s="14"/>
      <c r="AJ352" s="14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</row>
    <row r="353" spans="1:47" ht="14.25" customHeight="1" x14ac:dyDescent="0.2">
      <c r="A353" s="3"/>
      <c r="B353" s="417"/>
      <c r="C353" s="173">
        <v>343</v>
      </c>
      <c r="D353" s="165"/>
      <c r="E353" s="174">
        <v>6.3902981105391499E-3</v>
      </c>
      <c r="F353" s="502"/>
      <c r="G353" s="219">
        <f t="shared" si="32"/>
        <v>1.4702991737893853</v>
      </c>
      <c r="H353" s="249">
        <f>H352+(G352*E353*'life-tables-test'!$C$66)</f>
        <v>98.529700826210615</v>
      </c>
      <c r="I353" s="516">
        <f t="shared" si="30"/>
        <v>100</v>
      </c>
      <c r="J353" s="153">
        <f>(G353*0)/(1+cDR)^'Markov Model_SA2'!cycle</f>
        <v>0</v>
      </c>
      <c r="K353" s="178">
        <f t="shared" si="27"/>
        <v>1.4702991737893853</v>
      </c>
      <c r="L353" s="202">
        <f>(G353*(uPostT))/(1+oDR)^'Markov Model_SA2'!cycle</f>
        <v>0.4745440388620355</v>
      </c>
      <c r="M353" s="80"/>
      <c r="N353" s="3"/>
      <c r="O353" s="80"/>
      <c r="P353" s="173">
        <v>343</v>
      </c>
      <c r="Q353" s="165"/>
      <c r="R353" s="174">
        <v>6.3902981105391499E-3</v>
      </c>
      <c r="S353" s="502"/>
      <c r="T353" s="219">
        <f t="shared" si="31"/>
        <v>1.3851956501833484</v>
      </c>
      <c r="U353" s="249">
        <f>U352+(T352*R353*'life-tables-test'!$C$66)</f>
        <v>98.614804349816652</v>
      </c>
      <c r="V353" s="516">
        <f t="shared" si="28"/>
        <v>100</v>
      </c>
      <c r="W353" s="153">
        <f>(T353*0)/(1+cDR)^'Markov Model_SA2'!cycle2</f>
        <v>0</v>
      </c>
      <c r="X353" s="178">
        <f t="shared" si="29"/>
        <v>1.3851956501833484</v>
      </c>
      <c r="Y353" s="202">
        <f>(T353*(uPostT))/(1+oDR)^'Markov Model_SA2'!cycle</f>
        <v>0.44707658833676961</v>
      </c>
      <c r="Z353" s="80"/>
      <c r="AA353" s="3"/>
      <c r="AB353" s="3"/>
      <c r="AC353" s="14">
        <v>341</v>
      </c>
      <c r="AD353" s="14"/>
      <c r="AE353" s="14"/>
      <c r="AF353" s="3"/>
      <c r="AG353" s="3"/>
      <c r="AH353" s="3"/>
      <c r="AI353" s="14"/>
      <c r="AJ353" s="14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</row>
    <row r="354" spans="1:47" ht="14.25" customHeight="1" x14ac:dyDescent="0.2">
      <c r="A354" s="3"/>
      <c r="B354" s="417"/>
      <c r="C354" s="173">
        <v>344</v>
      </c>
      <c r="D354" s="165"/>
      <c r="E354" s="174">
        <v>6.3902981105391499E-3</v>
      </c>
      <c r="F354" s="502"/>
      <c r="G354" s="219">
        <f t="shared" si="32"/>
        <v>1.4233209236284239</v>
      </c>
      <c r="H354" s="249">
        <f>H353+(G353*E354*'life-tables-test'!$C$66)</f>
        <v>98.576679076371576</v>
      </c>
      <c r="I354" s="516">
        <f t="shared" si="30"/>
        <v>100</v>
      </c>
      <c r="J354" s="153">
        <f>(G354*0)/(1+cDR)^'Markov Model_SA2'!cycle</f>
        <v>0</v>
      </c>
      <c r="K354" s="178">
        <f t="shared" si="27"/>
        <v>1.4233209236284239</v>
      </c>
      <c r="L354" s="202">
        <f>(G354*(uPostT))/(1+oDR)^'Markov Model_SA2'!cycle</f>
        <v>0.45823605933915135</v>
      </c>
      <c r="M354" s="80"/>
      <c r="N354" s="3"/>
      <c r="O354" s="80"/>
      <c r="P354" s="173">
        <v>344</v>
      </c>
      <c r="Q354" s="165"/>
      <c r="R354" s="174">
        <v>6.3902981105391499E-3</v>
      </c>
      <c r="S354" s="502"/>
      <c r="T354" s="219">
        <f t="shared" si="31"/>
        <v>1.3409365844528764</v>
      </c>
      <c r="U354" s="249">
        <f>U353+(T353*R354*'life-tables-test'!$C$66)</f>
        <v>98.659063415547124</v>
      </c>
      <c r="V354" s="516">
        <f t="shared" si="28"/>
        <v>100</v>
      </c>
      <c r="W354" s="153">
        <f>(T354*0)/(1+cDR)^'Markov Model_SA2'!cycle2</f>
        <v>0</v>
      </c>
      <c r="X354" s="178">
        <f t="shared" si="29"/>
        <v>1.3409365844528764</v>
      </c>
      <c r="Y354" s="202">
        <f>(T354*(uPostT))/(1+oDR)^'Markov Model_SA2'!cycle</f>
        <v>0.43171254358922168</v>
      </c>
      <c r="Z354" s="80"/>
      <c r="AA354" s="3"/>
      <c r="AB354" s="3"/>
      <c r="AC354" s="14">
        <v>342</v>
      </c>
      <c r="AD354" s="14"/>
      <c r="AE354" s="14"/>
      <c r="AF354" s="3"/>
      <c r="AG354" s="3"/>
      <c r="AH354" s="3"/>
      <c r="AI354" s="14"/>
      <c r="AJ354" s="14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</row>
    <row r="355" spans="1:47" ht="14.25" customHeight="1" x14ac:dyDescent="0.2">
      <c r="A355" s="3"/>
      <c r="B355" s="417"/>
      <c r="C355" s="173">
        <v>345</v>
      </c>
      <c r="D355" s="165"/>
      <c r="E355" s="174">
        <v>6.3902981105391499E-3</v>
      </c>
      <c r="F355" s="502"/>
      <c r="G355" s="219">
        <f t="shared" si="32"/>
        <v>1.3778436985836606</v>
      </c>
      <c r="H355" s="249">
        <f>H354+(G354*E355*'life-tables-test'!$C$66)</f>
        <v>98.622156301416339</v>
      </c>
      <c r="I355" s="516">
        <f t="shared" si="30"/>
        <v>100</v>
      </c>
      <c r="J355" s="153">
        <f>(G355*0)/(1+cDR)^'Markov Model_SA2'!cycle</f>
        <v>0</v>
      </c>
      <c r="K355" s="178">
        <f t="shared" si="27"/>
        <v>1.3778436985836606</v>
      </c>
      <c r="L355" s="202">
        <f>(G355*(uPostT))/(1+oDR)^'Markov Model_SA2'!cycle</f>
        <v>0.4424885129359335</v>
      </c>
      <c r="M355" s="80"/>
      <c r="N355" s="3"/>
      <c r="O355" s="80"/>
      <c r="P355" s="173">
        <v>345</v>
      </c>
      <c r="Q355" s="165"/>
      <c r="R355" s="174">
        <v>6.3902981105391499E-3</v>
      </c>
      <c r="S355" s="502"/>
      <c r="T355" s="219">
        <f t="shared" si="31"/>
        <v>1.2980916618429603</v>
      </c>
      <c r="U355" s="249">
        <f>U354+(T354*R355*'life-tables-test'!$C$66)</f>
        <v>98.70190833815704</v>
      </c>
      <c r="V355" s="516">
        <f t="shared" si="28"/>
        <v>100</v>
      </c>
      <c r="W355" s="153">
        <f>(T355*0)/(1+cDR)^'Markov Model_SA2'!cycle2</f>
        <v>0</v>
      </c>
      <c r="X355" s="178">
        <f t="shared" si="29"/>
        <v>1.2980916618429603</v>
      </c>
      <c r="Y355" s="202">
        <f>(T355*(uPostT))/(1+oDR)^'Markov Model_SA2'!cycle</f>
        <v>0.41687649309850217</v>
      </c>
      <c r="Z355" s="80"/>
      <c r="AA355" s="3"/>
      <c r="AB355" s="3"/>
      <c r="AC355" s="14">
        <v>343</v>
      </c>
      <c r="AD355" s="14"/>
      <c r="AE355" s="14"/>
      <c r="AF355" s="3"/>
      <c r="AG355" s="3"/>
      <c r="AH355" s="3"/>
      <c r="AI355" s="14"/>
      <c r="AJ355" s="14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</row>
    <row r="356" spans="1:47" ht="14.25" customHeight="1" x14ac:dyDescent="0.2">
      <c r="A356" s="3"/>
      <c r="B356" s="417"/>
      <c r="C356" s="173">
        <v>346</v>
      </c>
      <c r="D356" s="165"/>
      <c r="E356" s="174">
        <v>6.3902981105391499E-3</v>
      </c>
      <c r="F356" s="502"/>
      <c r="G356" s="219">
        <f t="shared" si="32"/>
        <v>1.3338195386652671</v>
      </c>
      <c r="H356" s="249">
        <f>H355+(G355*E356*'life-tables-test'!$C$66)</f>
        <v>98.666180461334733</v>
      </c>
      <c r="I356" s="516">
        <f t="shared" si="30"/>
        <v>100</v>
      </c>
      <c r="J356" s="153">
        <f>(G356*0)/(1+cDR)^'Markov Model_SA2'!cycle</f>
        <v>0</v>
      </c>
      <c r="K356" s="178">
        <f t="shared" si="27"/>
        <v>1.3338195386652671</v>
      </c>
      <c r="L356" s="202">
        <f>(G356*(uPostT))/(1+oDR)^'Markov Model_SA2'!cycle</f>
        <v>0.42728214004506998</v>
      </c>
      <c r="M356" s="80"/>
      <c r="N356" s="3"/>
      <c r="O356" s="80"/>
      <c r="P356" s="173">
        <v>346</v>
      </c>
      <c r="Q356" s="165"/>
      <c r="R356" s="174">
        <v>6.3902981105391499E-3</v>
      </c>
      <c r="S356" s="502"/>
      <c r="T356" s="219">
        <f t="shared" si="31"/>
        <v>1.2566156983730536</v>
      </c>
      <c r="U356" s="249">
        <f>U355+(T355*R356*'life-tables-test'!$C$66)</f>
        <v>98.743384301626946</v>
      </c>
      <c r="V356" s="516">
        <f t="shared" si="28"/>
        <v>100</v>
      </c>
      <c r="W356" s="153">
        <f>(T356*0)/(1+cDR)^'Markov Model_SA2'!cycle2</f>
        <v>0</v>
      </c>
      <c r="X356" s="178">
        <f t="shared" si="29"/>
        <v>1.2566156983730536</v>
      </c>
      <c r="Y356" s="202">
        <f>(T356*(uPostT))/(1+oDR)^'Markov Model_SA2'!cycle</f>
        <v>0.40255029203753123</v>
      </c>
      <c r="Z356" s="80"/>
      <c r="AA356" s="3"/>
      <c r="AB356" s="3"/>
      <c r="AC356" s="14">
        <v>344</v>
      </c>
      <c r="AD356" s="14"/>
      <c r="AE356" s="14"/>
      <c r="AF356" s="3"/>
      <c r="AG356" s="3"/>
      <c r="AH356" s="3"/>
      <c r="AI356" s="14"/>
      <c r="AJ356" s="14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</row>
    <row r="357" spans="1:47" ht="14.25" customHeight="1" x14ac:dyDescent="0.2">
      <c r="A357" s="3"/>
      <c r="B357" s="417"/>
      <c r="C357" s="173">
        <v>347</v>
      </c>
      <c r="D357" s="165"/>
      <c r="E357" s="174">
        <v>6.3902981105391499E-3</v>
      </c>
      <c r="F357" s="502"/>
      <c r="G357" s="219">
        <f t="shared" si="32"/>
        <v>1.2912020162765998</v>
      </c>
      <c r="H357" s="249">
        <f>H356+(G356*E357*'life-tables-test'!$C$66)</f>
        <v>98.7087979837234</v>
      </c>
      <c r="I357" s="516">
        <f t="shared" si="30"/>
        <v>100</v>
      </c>
      <c r="J357" s="153">
        <f>(G357*0)/(1+cDR)^'Markov Model_SA2'!cycle</f>
        <v>0</v>
      </c>
      <c r="K357" s="178">
        <f t="shared" si="27"/>
        <v>1.2912020162765998</v>
      </c>
      <c r="L357" s="202">
        <f>(G357*(uPostT))/(1+oDR)^'Markov Model_SA2'!cycle</f>
        <v>0.41259834292676645</v>
      </c>
      <c r="M357" s="80"/>
      <c r="N357" s="3"/>
      <c r="O357" s="80"/>
      <c r="P357" s="173">
        <v>347</v>
      </c>
      <c r="Q357" s="165"/>
      <c r="R357" s="174">
        <v>6.3902981105391499E-3</v>
      </c>
      <c r="S357" s="502"/>
      <c r="T357" s="219">
        <f t="shared" si="31"/>
        <v>1.2164649537581198</v>
      </c>
      <c r="U357" s="249">
        <f>U356+(T356*R357*'life-tables-test'!$C$66)</f>
        <v>98.78353504624188</v>
      </c>
      <c r="V357" s="516">
        <f t="shared" si="28"/>
        <v>100</v>
      </c>
      <c r="W357" s="153">
        <f>(T357*0)/(1+cDR)^'Markov Model_SA2'!cycle2</f>
        <v>0</v>
      </c>
      <c r="X357" s="178">
        <f t="shared" si="29"/>
        <v>1.2164649537581198</v>
      </c>
      <c r="Y357" s="202">
        <f>(T357*(uPostT))/(1+oDR)^'Markov Model_SA2'!cycle</f>
        <v>0.38871641913666816</v>
      </c>
      <c r="Z357" s="80"/>
      <c r="AA357" s="3"/>
      <c r="AB357" s="3"/>
      <c r="AC357" s="14">
        <v>345</v>
      </c>
      <c r="AD357" s="14"/>
      <c r="AE357" s="14"/>
      <c r="AF357" s="3"/>
      <c r="AG357" s="3"/>
      <c r="AH357" s="3"/>
      <c r="AI357" s="14"/>
      <c r="AJ357" s="14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</row>
    <row r="358" spans="1:47" ht="14.25" customHeight="1" x14ac:dyDescent="0.2">
      <c r="A358" s="3"/>
      <c r="B358" s="417"/>
      <c r="C358" s="173">
        <v>348</v>
      </c>
      <c r="D358" s="165"/>
      <c r="E358" s="174">
        <v>6.3902981105391499E-3</v>
      </c>
      <c r="F358" s="502"/>
      <c r="G358" s="219">
        <f t="shared" si="32"/>
        <v>1.249946187251922</v>
      </c>
      <c r="H358" s="249">
        <f>H357+(G357*E358*'life-tables-test'!$C$66)</f>
        <v>98.750053812748078</v>
      </c>
      <c r="I358" s="516">
        <f t="shared" si="30"/>
        <v>100</v>
      </c>
      <c r="J358" s="153">
        <f>(G358*0)/(1+cDR)^'Markov Model_SA2'!cycle</f>
        <v>0</v>
      </c>
      <c r="K358" s="178">
        <f t="shared" si="27"/>
        <v>1.249946187251922</v>
      </c>
      <c r="L358" s="202">
        <f>(G358*(uPostT))/(1+oDR)^'Markov Model_SA2'!cycle</f>
        <v>0.39841916296327762</v>
      </c>
      <c r="M358" s="80"/>
      <c r="N358" s="3"/>
      <c r="O358" s="80"/>
      <c r="P358" s="173">
        <v>348</v>
      </c>
      <c r="Q358" s="165"/>
      <c r="R358" s="174">
        <v>6.3902981105391499E-3</v>
      </c>
      <c r="S358" s="502"/>
      <c r="T358" s="219">
        <f t="shared" si="31"/>
        <v>1.1775970852804249</v>
      </c>
      <c r="U358" s="249">
        <f>U357+(T357*R358*'life-tables-test'!$C$66)</f>
        <v>98.822402914719575</v>
      </c>
      <c r="V358" s="516">
        <f t="shared" si="28"/>
        <v>100</v>
      </c>
      <c r="W358" s="153">
        <f>(T358*0)/(1+cDR)^'Markov Model_SA2'!cycle2</f>
        <v>0</v>
      </c>
      <c r="X358" s="178">
        <f t="shared" si="29"/>
        <v>1.1775970852804249</v>
      </c>
      <c r="Y358" s="202">
        <f>(T358*(uPostT))/(1+oDR)^'Markov Model_SA2'!cycle</f>
        <v>0.37535795525480603</v>
      </c>
      <c r="Z358" s="80"/>
      <c r="AA358" s="3"/>
      <c r="AB358" s="3"/>
      <c r="AC358" s="14">
        <v>346</v>
      </c>
      <c r="AD358" s="14"/>
      <c r="AE358" s="14"/>
      <c r="AF358" s="3"/>
      <c r="AG358" s="3"/>
      <c r="AH358" s="3"/>
      <c r="AI358" s="14"/>
      <c r="AJ358" s="14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</row>
    <row r="359" spans="1:47" ht="14.25" customHeight="1" x14ac:dyDescent="0.2">
      <c r="A359" s="3"/>
      <c r="B359" s="417"/>
      <c r="C359" s="173">
        <v>349</v>
      </c>
      <c r="D359" s="504"/>
      <c r="E359" s="174">
        <v>6.3902981105391499E-3</v>
      </c>
      <c r="F359" s="505"/>
      <c r="G359" s="219">
        <f t="shared" si="32"/>
        <v>1.2100085434585708</v>
      </c>
      <c r="H359" s="249">
        <f>H358+(G358*E359*'life-tables-test'!$C$66)</f>
        <v>98.789991456541429</v>
      </c>
      <c r="I359" s="516">
        <f t="shared" si="30"/>
        <v>100</v>
      </c>
      <c r="J359" s="180">
        <f>(G359*0)/(1+cDR)^'Markov Model_SA2'!cycle</f>
        <v>0</v>
      </c>
      <c r="K359" s="176">
        <f t="shared" si="27"/>
        <v>1.2100085434585708</v>
      </c>
      <c r="L359" s="202">
        <f>(G359*(uPostT))/(1+oDR)^'Markov Model_SA2'!cycle</f>
        <v>0.38472725869510771</v>
      </c>
      <c r="M359" s="80"/>
      <c r="N359" s="3"/>
      <c r="O359" s="80"/>
      <c r="P359" s="173">
        <v>349</v>
      </c>
      <c r="Q359" s="504"/>
      <c r="R359" s="174">
        <v>6.3902981105391499E-3</v>
      </c>
      <c r="S359" s="505"/>
      <c r="T359" s="219">
        <f t="shared" si="31"/>
        <v>1.1399711031352098</v>
      </c>
      <c r="U359" s="249">
        <f>U358+(T358*R359*'life-tables-test'!$C$66)</f>
        <v>98.86002889686479</v>
      </c>
      <c r="V359" s="516">
        <f t="shared" si="28"/>
        <v>100</v>
      </c>
      <c r="W359" s="180">
        <f>(T359*0)/(1+cDR)^'Markov Model_SA2'!cycle2</f>
        <v>0</v>
      </c>
      <c r="X359" s="176">
        <f t="shared" si="29"/>
        <v>1.1399711031352098</v>
      </c>
      <c r="Y359" s="202">
        <f>(T359*(uPostT))/(1+oDR)^'Markov Model_SA2'!cycle</f>
        <v>0.36245856268688692</v>
      </c>
      <c r="Z359" s="80"/>
      <c r="AA359" s="3"/>
      <c r="AB359" s="3"/>
      <c r="AC359" s="14">
        <v>347</v>
      </c>
      <c r="AD359" s="14"/>
      <c r="AE359" s="14"/>
      <c r="AF359" s="3"/>
      <c r="AG359" s="3"/>
      <c r="AH359" s="3"/>
      <c r="AI359" s="14"/>
      <c r="AJ359" s="14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</row>
    <row r="360" spans="1:47" ht="14.25" customHeight="1" x14ac:dyDescent="0.25">
      <c r="A360" s="3">
        <v>31</v>
      </c>
      <c r="B360" s="417"/>
      <c r="C360" s="506">
        <v>350</v>
      </c>
      <c r="D360" s="506"/>
      <c r="E360" s="507">
        <v>6.3902981105391499E-3</v>
      </c>
      <c r="F360" s="508"/>
      <c r="G360" s="509">
        <f t="shared" si="32"/>
        <v>1.1713469669135748</v>
      </c>
      <c r="H360" s="510">
        <f>H359+(G359*E360*'life-tables-test'!$C$66)</f>
        <v>98.828653033086425</v>
      </c>
      <c r="I360" s="518">
        <f t="shared" si="30"/>
        <v>100</v>
      </c>
      <c r="J360" s="511">
        <f>(G360*0)/(1+cDR)^'Markov Model_SA2'!cycle</f>
        <v>0</v>
      </c>
      <c r="K360" s="512">
        <f t="shared" si="27"/>
        <v>1.1713469669135748</v>
      </c>
      <c r="L360" s="513">
        <f>(G360*(uPostT))/(1+oDR)^'Markov Model_SA2'!cycle</f>
        <v>0.37150588461201706</v>
      </c>
      <c r="M360" s="80"/>
      <c r="N360" s="3"/>
      <c r="O360" s="80"/>
      <c r="P360" s="506">
        <v>350</v>
      </c>
      <c r="Q360" s="506"/>
      <c r="R360" s="507">
        <v>6.3902981105391499E-3</v>
      </c>
      <c r="S360" s="508"/>
      <c r="T360" s="509">
        <f t="shared" si="31"/>
        <v>1.1035473272030458</v>
      </c>
      <c r="U360" s="510">
        <f>U359+(T359*R360*'life-tables-test'!$C$66)</f>
        <v>98.896452672796954</v>
      </c>
      <c r="V360" s="518">
        <f t="shared" si="28"/>
        <v>100</v>
      </c>
      <c r="W360" s="511">
        <f>(T360*0)/(1+cDR)^'Markov Model_SA2'!cycle2</f>
        <v>0</v>
      </c>
      <c r="X360" s="512">
        <f t="shared" si="29"/>
        <v>1.1035473272030458</v>
      </c>
      <c r="Y360" s="513">
        <f>(T360*(uPostT))/(1+oDR)^'Markov Model_SA2'!cycle</f>
        <v>0.35000246518249928</v>
      </c>
      <c r="Z360" s="80"/>
      <c r="AA360" s="3"/>
      <c r="AB360" s="3"/>
      <c r="AC360" s="14">
        <v>348</v>
      </c>
      <c r="AD360" s="14"/>
      <c r="AE360" s="14"/>
      <c r="AF360" s="3"/>
      <c r="AG360" s="3"/>
      <c r="AH360" s="3"/>
      <c r="AI360" s="14"/>
      <c r="AJ360" s="14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</row>
    <row r="361" spans="1:47" ht="14.25" customHeight="1" x14ac:dyDescent="0.2">
      <c r="A361" s="3"/>
      <c r="B361" s="417"/>
      <c r="C361" s="173">
        <v>351</v>
      </c>
      <c r="D361" s="165"/>
      <c r="E361" s="174">
        <v>7.1003211512630227E-3</v>
      </c>
      <c r="F361" s="502"/>
      <c r="G361" s="219">
        <f t="shared" si="32"/>
        <v>1.1297622686903566</v>
      </c>
      <c r="H361" s="249">
        <f>H360+(G360*E361*'life-tables-test'!$C$66)</f>
        <v>98.870237731309643</v>
      </c>
      <c r="I361" s="516">
        <f t="shared" si="30"/>
        <v>100</v>
      </c>
      <c r="J361" s="153">
        <f>(G361*0)/(1+cDR)^'Markov Model_SA2'!cycle</f>
        <v>0</v>
      </c>
      <c r="K361" s="178">
        <f t="shared" si="27"/>
        <v>1.1297622686903566</v>
      </c>
      <c r="L361" s="202">
        <f>(G361*(uPostT))/(1+oDR)^'Markov Model_SA2'!cycle</f>
        <v>0.35742327098291388</v>
      </c>
      <c r="M361" s="80"/>
      <c r="N361" s="3"/>
      <c r="O361" s="80"/>
      <c r="P361" s="173">
        <v>351</v>
      </c>
      <c r="Q361" s="165"/>
      <c r="R361" s="174">
        <v>7.1003211512630227E-3</v>
      </c>
      <c r="S361" s="502"/>
      <c r="T361" s="219">
        <f t="shared" si="31"/>
        <v>1.0643696250592427</v>
      </c>
      <c r="U361" s="249">
        <f>U360+(T360*R361*'life-tables-test'!$C$66)</f>
        <v>98.935630374940757</v>
      </c>
      <c r="V361" s="516">
        <f t="shared" si="28"/>
        <v>100</v>
      </c>
      <c r="W361" s="153">
        <f>(T361*0)/(1+cDR)^'Markov Model_SA2'!cycle2</f>
        <v>0</v>
      </c>
      <c r="X361" s="178">
        <f t="shared" si="29"/>
        <v>1.0643696250592427</v>
      </c>
      <c r="Y361" s="202">
        <f>(T361*(uPostT))/(1+oDR)^'Markov Model_SA2'!cycle</f>
        <v>0.33673497820433934</v>
      </c>
      <c r="Z361" s="80"/>
      <c r="AA361" s="3"/>
      <c r="AB361" s="3"/>
      <c r="AC361" s="14">
        <v>349</v>
      </c>
      <c r="AD361" s="14"/>
      <c r="AE361" s="14"/>
      <c r="AF361" s="3"/>
      <c r="AG361" s="3"/>
      <c r="AH361" s="3"/>
      <c r="AI361" s="14"/>
      <c r="AJ361" s="14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</row>
    <row r="362" spans="1:47" ht="14.25" customHeight="1" x14ac:dyDescent="0.2">
      <c r="A362" s="3"/>
      <c r="B362" s="417"/>
      <c r="C362" s="173">
        <v>352</v>
      </c>
      <c r="D362" s="165"/>
      <c r="E362" s="174">
        <v>7.1003211512630227E-3</v>
      </c>
      <c r="F362" s="502"/>
      <c r="G362" s="219">
        <f t="shared" si="32"/>
        <v>1.089653894028956</v>
      </c>
      <c r="H362" s="249">
        <f>H361+(G361*E362*'life-tables-test'!$C$66)</f>
        <v>98.910346105971044</v>
      </c>
      <c r="I362" s="516">
        <f t="shared" si="30"/>
        <v>100</v>
      </c>
      <c r="J362" s="153">
        <f>(G362*0)/(1+cDR)^'Markov Model_SA2'!cycle</f>
        <v>0</v>
      </c>
      <c r="K362" s="178">
        <f t="shared" si="27"/>
        <v>1.089653894028956</v>
      </c>
      <c r="L362" s="202">
        <f>(G362*(uPostT))/(1+oDR)^'Markov Model_SA2'!cycle</f>
        <v>0.34387448471655585</v>
      </c>
      <c r="M362" s="80"/>
      <c r="N362" s="3"/>
      <c r="O362" s="80"/>
      <c r="P362" s="173">
        <v>352</v>
      </c>
      <c r="Q362" s="165"/>
      <c r="R362" s="174">
        <v>7.1003211512630227E-3</v>
      </c>
      <c r="S362" s="502"/>
      <c r="T362" s="219">
        <f t="shared" si="31"/>
        <v>1.0265827942513965</v>
      </c>
      <c r="U362" s="249">
        <f>U361+(T361*R362*'life-tables-test'!$C$66)</f>
        <v>98.973417205748603</v>
      </c>
      <c r="V362" s="516">
        <f t="shared" si="28"/>
        <v>100</v>
      </c>
      <c r="W362" s="153">
        <f>(T362*0)/(1+cDR)^'Markov Model_SA2'!cycle2</f>
        <v>0</v>
      </c>
      <c r="X362" s="178">
        <f t="shared" si="29"/>
        <v>1.0265827942513965</v>
      </c>
      <c r="Y362" s="202">
        <f>(T362*(uPostT))/(1+oDR)^'Markov Model_SA2'!cycle</f>
        <v>0.32397041971448248</v>
      </c>
      <c r="Z362" s="80"/>
      <c r="AA362" s="3"/>
      <c r="AB362" s="3"/>
      <c r="AC362" s="14">
        <v>350</v>
      </c>
      <c r="AD362" s="14"/>
      <c r="AE362" s="14"/>
      <c r="AF362" s="3"/>
      <c r="AG362" s="3"/>
      <c r="AH362" s="3"/>
      <c r="AI362" s="14"/>
      <c r="AJ362" s="14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</row>
    <row r="363" spans="1:47" ht="14.25" customHeight="1" x14ac:dyDescent="0.2">
      <c r="A363" s="3"/>
      <c r="B363" s="417"/>
      <c r="C363" s="173">
        <v>353</v>
      </c>
      <c r="D363" s="165"/>
      <c r="E363" s="174">
        <v>7.1003211512630227E-3</v>
      </c>
      <c r="F363" s="502"/>
      <c r="G363" s="219">
        <f t="shared" si="32"/>
        <v>1.0509694310723035</v>
      </c>
      <c r="H363" s="249">
        <f>H362+(G362*E363*'life-tables-test'!$C$66)</f>
        <v>98.949030568927697</v>
      </c>
      <c r="I363" s="516">
        <f t="shared" si="30"/>
        <v>100</v>
      </c>
      <c r="J363" s="153">
        <f>(G363*0)/(1+cDR)^'Markov Model_SA2'!cycle</f>
        <v>0</v>
      </c>
      <c r="K363" s="178">
        <f t="shared" si="27"/>
        <v>1.0509694310723035</v>
      </c>
      <c r="L363" s="202">
        <f>(G363*(uPostT))/(1+oDR)^'Markov Model_SA2'!cycle</f>
        <v>0.33083929010522867</v>
      </c>
      <c r="M363" s="80"/>
      <c r="N363" s="3"/>
      <c r="O363" s="80"/>
      <c r="P363" s="173">
        <v>353</v>
      </c>
      <c r="Q363" s="165"/>
      <c r="R363" s="174">
        <v>7.1003211512630227E-3</v>
      </c>
      <c r="S363" s="502"/>
      <c r="T363" s="219">
        <f t="shared" si="31"/>
        <v>0.9901374566136667</v>
      </c>
      <c r="U363" s="249">
        <f>U362+(T362*R363*'life-tables-test'!$C$66)</f>
        <v>99.009862543386333</v>
      </c>
      <c r="V363" s="516">
        <f t="shared" si="28"/>
        <v>100</v>
      </c>
      <c r="W363" s="153">
        <f>(T363*0)/(1+cDR)^'Markov Model_SA2'!cycle2</f>
        <v>0</v>
      </c>
      <c r="X363" s="178">
        <f t="shared" si="29"/>
        <v>0.9901374566136667</v>
      </c>
      <c r="Y363" s="202">
        <f>(T363*(uPostT))/(1+oDR)^'Markov Model_SA2'!cycle</f>
        <v>0.31168972528386124</v>
      </c>
      <c r="Z363" s="80"/>
      <c r="AA363" s="3"/>
      <c r="AB363" s="3"/>
      <c r="AC363" s="14">
        <v>351</v>
      </c>
      <c r="AD363" s="14"/>
      <c r="AE363" s="14"/>
      <c r="AF363" s="3"/>
      <c r="AG363" s="3"/>
      <c r="AH363" s="3"/>
      <c r="AI363" s="14"/>
      <c r="AJ363" s="14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</row>
    <row r="364" spans="1:47" ht="14.25" customHeight="1" x14ac:dyDescent="0.2">
      <c r="A364" s="3"/>
      <c r="B364" s="417"/>
      <c r="C364" s="173">
        <v>354</v>
      </c>
      <c r="D364" s="165"/>
      <c r="E364" s="174">
        <v>7.1003211512630227E-3</v>
      </c>
      <c r="F364" s="502"/>
      <c r="G364" s="219">
        <f t="shared" si="32"/>
        <v>1.0136583286684413</v>
      </c>
      <c r="H364" s="249">
        <f>H363+(G363*E364*'life-tables-test'!$C$66)</f>
        <v>98.986341671331559</v>
      </c>
      <c r="I364" s="516">
        <f t="shared" si="30"/>
        <v>100</v>
      </c>
      <c r="J364" s="153">
        <f>(G364*0)/(1+cDR)^'Markov Model_SA2'!cycle</f>
        <v>0</v>
      </c>
      <c r="K364" s="178">
        <f t="shared" si="27"/>
        <v>1.0136583286684413</v>
      </c>
      <c r="L364" s="202">
        <f>(G364*(uPostT))/(1+oDR)^'Markov Model_SA2'!cycle</f>
        <v>0.31829821851293322</v>
      </c>
      <c r="M364" s="80"/>
      <c r="N364" s="3"/>
      <c r="O364" s="80"/>
      <c r="P364" s="173">
        <v>354</v>
      </c>
      <c r="Q364" s="165"/>
      <c r="R364" s="174">
        <v>7.1003211512630227E-3</v>
      </c>
      <c r="S364" s="502"/>
      <c r="T364" s="219">
        <f t="shared" si="31"/>
        <v>0.95498598698441128</v>
      </c>
      <c r="U364" s="249">
        <f>U363+(T363*R364*'life-tables-test'!$C$66)</f>
        <v>99.045014013015589</v>
      </c>
      <c r="V364" s="516">
        <f t="shared" si="28"/>
        <v>100</v>
      </c>
      <c r="W364" s="153">
        <f>(T364*0)/(1+cDR)^'Markov Model_SA2'!cycle2</f>
        <v>0</v>
      </c>
      <c r="X364" s="178">
        <f t="shared" si="29"/>
        <v>0.95498598698441128</v>
      </c>
      <c r="Y364" s="202">
        <f>(T364*(uPostT))/(1+oDR)^'Markov Model_SA2'!cycle</f>
        <v>0.29987455315565148</v>
      </c>
      <c r="Z364" s="80"/>
      <c r="AA364" s="3"/>
      <c r="AB364" s="3"/>
      <c r="AC364" s="14">
        <v>352</v>
      </c>
      <c r="AD364" s="14"/>
      <c r="AE364" s="14"/>
      <c r="AF364" s="3"/>
      <c r="AG364" s="3"/>
      <c r="AH364" s="3"/>
      <c r="AI364" s="14"/>
      <c r="AJ364" s="14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</row>
    <row r="365" spans="1:47" ht="14.25" customHeight="1" x14ac:dyDescent="0.2">
      <c r="A365" s="3"/>
      <c r="B365" s="417"/>
      <c r="C365" s="173">
        <v>355</v>
      </c>
      <c r="D365" s="165"/>
      <c r="E365" s="174">
        <v>7.1003211512630227E-3</v>
      </c>
      <c r="F365" s="502"/>
      <c r="G365" s="219">
        <f t="shared" si="32"/>
        <v>0.97767183031244542</v>
      </c>
      <c r="H365" s="249">
        <f>H364+(G364*E365*'life-tables-test'!$C$66)</f>
        <v>99.022328169687555</v>
      </c>
      <c r="I365" s="516">
        <f t="shared" si="30"/>
        <v>100</v>
      </c>
      <c r="J365" s="153">
        <f>(G365*0)/(1+cDR)^'Markov Model_SA2'!cycle</f>
        <v>0</v>
      </c>
      <c r="K365" s="178">
        <f t="shared" si="27"/>
        <v>0.97767183031244542</v>
      </c>
      <c r="L365" s="202">
        <f>(G365*(uPostT))/(1+oDR)^'Markov Model_SA2'!cycle</f>
        <v>0.30623253929810323</v>
      </c>
      <c r="M365" s="80"/>
      <c r="N365" s="3"/>
      <c r="O365" s="80"/>
      <c r="P365" s="173">
        <v>355</v>
      </c>
      <c r="Q365" s="165"/>
      <c r="R365" s="174">
        <v>7.1003211512630227E-3</v>
      </c>
      <c r="S365" s="502"/>
      <c r="T365" s="219">
        <f t="shared" si="31"/>
        <v>0.92108245097168151</v>
      </c>
      <c r="U365" s="249">
        <f>U364+(T364*R365*'life-tables-test'!$C$66)</f>
        <v>99.078917549028318</v>
      </c>
      <c r="V365" s="516">
        <f t="shared" si="28"/>
        <v>100</v>
      </c>
      <c r="W365" s="153">
        <f>(T365*0)/(1+cDR)^'Markov Model_SA2'!cycle2</f>
        <v>0</v>
      </c>
      <c r="X365" s="178">
        <f t="shared" si="29"/>
        <v>0.92108245097168151</v>
      </c>
      <c r="Y365" s="202">
        <f>(T365*(uPostT))/(1+oDR)^'Markov Model_SA2'!cycle</f>
        <v>0.28850725685103956</v>
      </c>
      <c r="Z365" s="80"/>
      <c r="AA365" s="3"/>
      <c r="AB365" s="3"/>
      <c r="AC365" s="14">
        <v>353</v>
      </c>
      <c r="AD365" s="14"/>
      <c r="AE365" s="14"/>
      <c r="AF365" s="3"/>
      <c r="AG365" s="3"/>
      <c r="AH365" s="3"/>
      <c r="AI365" s="14"/>
      <c r="AJ365" s="14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</row>
    <row r="366" spans="1:47" ht="14.25" customHeight="1" x14ac:dyDescent="0.2">
      <c r="A366" s="3"/>
      <c r="B366" s="417"/>
      <c r="C366" s="173">
        <v>356</v>
      </c>
      <c r="D366" s="165"/>
      <c r="E366" s="174">
        <v>7.1003211512630227E-3</v>
      </c>
      <c r="F366" s="502"/>
      <c r="G366" s="219">
        <f t="shared" si="32"/>
        <v>0.94296291043363567</v>
      </c>
      <c r="H366" s="249">
        <f>H365+(G365*E366*'life-tables-test'!$C$66)</f>
        <v>99.057037089566364</v>
      </c>
      <c r="I366" s="516">
        <f t="shared" si="30"/>
        <v>100</v>
      </c>
      <c r="J366" s="153">
        <f>(G366*0)/(1+cDR)^'Markov Model_SA2'!cycle</f>
        <v>0</v>
      </c>
      <c r="K366" s="178">
        <f t="shared" si="27"/>
        <v>0.94296291043363567</v>
      </c>
      <c r="L366" s="202">
        <f>(G366*(uPostT))/(1+oDR)^'Markov Model_SA2'!cycle</f>
        <v>0.29462423183858943</v>
      </c>
      <c r="M366" s="80"/>
      <c r="N366" s="3"/>
      <c r="O366" s="80"/>
      <c r="P366" s="173">
        <v>356</v>
      </c>
      <c r="Q366" s="165"/>
      <c r="R366" s="174">
        <v>7.1003211512630227E-3</v>
      </c>
      <c r="S366" s="502"/>
      <c r="T366" s="219">
        <f t="shared" si="31"/>
        <v>0.88838254492821989</v>
      </c>
      <c r="U366" s="249">
        <f>U365+(T365*R366*'life-tables-test'!$C$66)</f>
        <v>99.11161745507178</v>
      </c>
      <c r="V366" s="516">
        <f t="shared" si="28"/>
        <v>100</v>
      </c>
      <c r="W366" s="153">
        <f>(T366*0)/(1+cDR)^'Markov Model_SA2'!cycle2</f>
        <v>0</v>
      </c>
      <c r="X366" s="178">
        <f t="shared" si="29"/>
        <v>0.88838254492821989</v>
      </c>
      <c r="Y366" s="202">
        <f>(T366*(uPostT))/(1+oDR)^'Markov Model_SA2'!cycle</f>
        <v>0.27757085881344301</v>
      </c>
      <c r="Z366" s="80"/>
      <c r="AA366" s="3"/>
      <c r="AB366" s="3"/>
      <c r="AC366" s="14">
        <v>354</v>
      </c>
      <c r="AD366" s="14"/>
      <c r="AE366" s="14"/>
      <c r="AF366" s="3"/>
      <c r="AG366" s="3"/>
      <c r="AH366" s="3"/>
      <c r="AI366" s="14"/>
      <c r="AJ366" s="14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</row>
    <row r="367" spans="1:47" ht="14.25" customHeight="1" x14ac:dyDescent="0.2">
      <c r="A367" s="3"/>
      <c r="B367" s="417"/>
      <c r="C367" s="173">
        <v>357</v>
      </c>
      <c r="D367" s="165"/>
      <c r="E367" s="174">
        <v>7.1003211512630227E-3</v>
      </c>
      <c r="F367" s="502"/>
      <c r="G367" s="219">
        <f t="shared" si="32"/>
        <v>0.90948621294459997</v>
      </c>
      <c r="H367" s="249">
        <f>H366+(G366*E367*'life-tables-test'!$C$66)</f>
        <v>99.0905137870554</v>
      </c>
      <c r="I367" s="516">
        <f t="shared" si="30"/>
        <v>100</v>
      </c>
      <c r="J367" s="153">
        <f>(G367*0)/(1+cDR)^'Markov Model_SA2'!cycle</f>
        <v>0</v>
      </c>
      <c r="K367" s="178">
        <f t="shared" si="27"/>
        <v>0.90948621294459997</v>
      </c>
      <c r="L367" s="202">
        <f>(G367*(uPostT))/(1+oDR)^'Markov Model_SA2'!cycle</f>
        <v>0.28345595861705808</v>
      </c>
      <c r="M367" s="80"/>
      <c r="N367" s="3"/>
      <c r="O367" s="80"/>
      <c r="P367" s="173">
        <v>357</v>
      </c>
      <c r="Q367" s="165"/>
      <c r="R367" s="174">
        <v>7.1003211512630227E-3</v>
      </c>
      <c r="S367" s="502"/>
      <c r="T367" s="219">
        <f t="shared" si="31"/>
        <v>0.85684353805739022</v>
      </c>
      <c r="U367" s="249">
        <f>U366+(T366*R367*'life-tables-test'!$C$66)</f>
        <v>99.14315646194261</v>
      </c>
      <c r="V367" s="516">
        <f t="shared" si="28"/>
        <v>100</v>
      </c>
      <c r="W367" s="153">
        <f>(T367*0)/(1+cDR)^'Markov Model_SA2'!cycle2</f>
        <v>0</v>
      </c>
      <c r="X367" s="178">
        <f t="shared" si="29"/>
        <v>0.85684353805739022</v>
      </c>
      <c r="Y367" s="202">
        <f>(T367*(uPostT))/(1+oDR)^'Markov Model_SA2'!cycle</f>
        <v>0.26704902505177808</v>
      </c>
      <c r="Z367" s="80"/>
      <c r="AA367" s="3"/>
      <c r="AB367" s="3"/>
      <c r="AC367" s="14">
        <v>355</v>
      </c>
      <c r="AD367" s="14"/>
      <c r="AE367" s="14"/>
      <c r="AF367" s="3"/>
      <c r="AG367" s="3"/>
      <c r="AH367" s="3"/>
      <c r="AI367" s="14"/>
      <c r="AJ367" s="14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</row>
    <row r="368" spans="1:47" ht="14.25" customHeight="1" x14ac:dyDescent="0.2">
      <c r="A368" s="3"/>
      <c r="B368" s="417"/>
      <c r="C368" s="173">
        <v>358</v>
      </c>
      <c r="D368" s="165"/>
      <c r="E368" s="174">
        <v>7.1003211512630227E-3</v>
      </c>
      <c r="F368" s="502"/>
      <c r="G368" s="219">
        <f t="shared" si="32"/>
        <v>0.87719799197184045</v>
      </c>
      <c r="H368" s="249">
        <f>H367+(G367*E368*'life-tables-test'!$C$66)</f>
        <v>99.12280200802816</v>
      </c>
      <c r="I368" s="516">
        <f t="shared" si="30"/>
        <v>100</v>
      </c>
      <c r="J368" s="153">
        <f>(G368*0)/(1+cDR)^'Markov Model_SA2'!cycle</f>
        <v>0</v>
      </c>
      <c r="K368" s="178">
        <f t="shared" si="27"/>
        <v>0.87719799197184045</v>
      </c>
      <c r="L368" s="202">
        <f>(G368*(uPostT))/(1+oDR)^'Markov Model_SA2'!cycle</f>
        <v>0.27271103932664159</v>
      </c>
      <c r="M368" s="80"/>
      <c r="N368" s="3"/>
      <c r="O368" s="80"/>
      <c r="P368" s="173">
        <v>358</v>
      </c>
      <c r="Q368" s="165"/>
      <c r="R368" s="174">
        <v>7.1003211512630227E-3</v>
      </c>
      <c r="S368" s="502"/>
      <c r="T368" s="219">
        <f t="shared" si="31"/>
        <v>0.82642421657442355</v>
      </c>
      <c r="U368" s="249">
        <f>U367+(T367*R368*'life-tables-test'!$C$66)</f>
        <v>99.173575783425576</v>
      </c>
      <c r="V368" s="516">
        <f t="shared" si="28"/>
        <v>100</v>
      </c>
      <c r="W368" s="153">
        <f>(T368*0)/(1+cDR)^'Markov Model_SA2'!cycle2</f>
        <v>0</v>
      </c>
      <c r="X368" s="178">
        <f t="shared" si="29"/>
        <v>0.82642421657442355</v>
      </c>
      <c r="Y368" s="202">
        <f>(T368*(uPostT))/(1+oDR)^'Markov Model_SA2'!cycle</f>
        <v>0.25692604074491715</v>
      </c>
      <c r="Z368" s="80"/>
      <c r="AA368" s="3"/>
      <c r="AB368" s="3"/>
      <c r="AC368" s="14">
        <v>356</v>
      </c>
      <c r="AD368" s="14"/>
      <c r="AE368" s="14"/>
      <c r="AF368" s="3"/>
      <c r="AG368" s="3"/>
      <c r="AH368" s="3"/>
      <c r="AI368" s="14"/>
      <c r="AJ368" s="14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</row>
    <row r="369" spans="1:47" ht="14.25" customHeight="1" x14ac:dyDescent="0.2">
      <c r="A369" s="3"/>
      <c r="B369" s="417"/>
      <c r="C369" s="173">
        <v>359</v>
      </c>
      <c r="D369" s="165"/>
      <c r="E369" s="174">
        <v>7.1003211512630227E-3</v>
      </c>
      <c r="F369" s="502"/>
      <c r="G369" s="219">
        <f t="shared" si="32"/>
        <v>0.84605605469062084</v>
      </c>
      <c r="H369" s="249">
        <f>H368+(G368*E369*'life-tables-test'!$C$66)</f>
        <v>99.153943945309379</v>
      </c>
      <c r="I369" s="516">
        <f t="shared" si="30"/>
        <v>100</v>
      </c>
      <c r="J369" s="153">
        <f>(G369*0)/(1+cDR)^'Markov Model_SA2'!cycle</f>
        <v>0</v>
      </c>
      <c r="K369" s="178">
        <f t="shared" si="27"/>
        <v>0.84605605469062084</v>
      </c>
      <c r="L369" s="202">
        <f>(G369*(uPostT))/(1+oDR)^'Markov Model_SA2'!cycle</f>
        <v>0.26237342595817548</v>
      </c>
      <c r="M369" s="80"/>
      <c r="N369" s="3"/>
      <c r="O369" s="80"/>
      <c r="P369" s="173">
        <v>359</v>
      </c>
      <c r="Q369" s="165"/>
      <c r="R369" s="174">
        <v>7.1003211512630227E-3</v>
      </c>
      <c r="S369" s="502"/>
      <c r="T369" s="219">
        <f t="shared" si="31"/>
        <v>0.79708482985012097</v>
      </c>
      <c r="U369" s="249">
        <f>U368+(T368*R369*'life-tables-test'!$C$66)</f>
        <v>99.202915170149879</v>
      </c>
      <c r="V369" s="516">
        <f t="shared" si="28"/>
        <v>100</v>
      </c>
      <c r="W369" s="153">
        <f>(T369*0)/(1+cDR)^'Markov Model_SA2'!cycle2</f>
        <v>0</v>
      </c>
      <c r="X369" s="178">
        <f t="shared" si="29"/>
        <v>0.79708482985012097</v>
      </c>
      <c r="Y369" s="202">
        <f>(T369*(uPostT))/(1+oDR)^'Markov Model_SA2'!cycle</f>
        <v>0.24718678677093098</v>
      </c>
      <c r="Z369" s="80"/>
      <c r="AA369" s="3"/>
      <c r="AB369" s="3"/>
      <c r="AC369" s="14">
        <v>357</v>
      </c>
      <c r="AD369" s="14"/>
      <c r="AE369" s="14"/>
      <c r="AF369" s="3"/>
      <c r="AG369" s="3"/>
      <c r="AH369" s="3"/>
      <c r="AI369" s="14"/>
      <c r="AJ369" s="14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</row>
    <row r="370" spans="1:47" ht="14.25" customHeight="1" x14ac:dyDescent="0.2">
      <c r="A370" s="3"/>
      <c r="B370" s="417"/>
      <c r="C370" s="173">
        <v>360</v>
      </c>
      <c r="D370" s="165"/>
      <c r="E370" s="174">
        <v>7.1003211512630227E-3</v>
      </c>
      <c r="F370" s="502"/>
      <c r="G370" s="219">
        <f t="shared" si="32"/>
        <v>0.81601970618925179</v>
      </c>
      <c r="H370" s="249">
        <f>H369+(G369*E370*'life-tables-test'!$C$66)</f>
        <v>99.183980293810748</v>
      </c>
      <c r="I370" s="516">
        <f t="shared" si="30"/>
        <v>100</v>
      </c>
      <c r="J370" s="153">
        <f>(G370*0)/(1+cDR)^'Markov Model_SA2'!cycle</f>
        <v>0</v>
      </c>
      <c r="K370" s="178">
        <f t="shared" ref="K370:K408" si="33">G370</f>
        <v>0.81601970618925179</v>
      </c>
      <c r="L370" s="202">
        <f>(G370*(uPostT))/(1+oDR)^'Markov Model_SA2'!cycle</f>
        <v>0.25242767883179534</v>
      </c>
      <c r="M370" s="80"/>
      <c r="N370" s="3"/>
      <c r="O370" s="80"/>
      <c r="P370" s="173">
        <v>360</v>
      </c>
      <c r="Q370" s="165"/>
      <c r="R370" s="174">
        <v>7.1003211512630227E-3</v>
      </c>
      <c r="S370" s="502"/>
      <c r="T370" s="219">
        <f t="shared" si="31"/>
        <v>0.76878703846644214</v>
      </c>
      <c r="U370" s="249">
        <f>U369+(T369*R370*'life-tables-test'!$C$66)</f>
        <v>99.231212961533558</v>
      </c>
      <c r="V370" s="516">
        <f t="shared" si="28"/>
        <v>100</v>
      </c>
      <c r="W370" s="153">
        <f>(T370*0)/(1+cDR)^'Markov Model_SA2'!cycle2</f>
        <v>0</v>
      </c>
      <c r="X370" s="178">
        <f t="shared" si="29"/>
        <v>0.76878703846644214</v>
      </c>
      <c r="Y370" s="202">
        <f>(T370*(uPostT))/(1+oDR)^'Markov Model_SA2'!cycle</f>
        <v>0.23781671712600397</v>
      </c>
      <c r="Z370" s="80"/>
      <c r="AA370" s="3"/>
      <c r="AB370" s="3"/>
      <c r="AC370" s="14">
        <v>358</v>
      </c>
      <c r="AD370" s="14"/>
      <c r="AE370" s="14"/>
      <c r="AF370" s="3"/>
      <c r="AG370" s="3"/>
      <c r="AH370" s="3"/>
      <c r="AI370" s="14"/>
      <c r="AJ370" s="14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</row>
    <row r="371" spans="1:47" ht="14.25" customHeight="1" x14ac:dyDescent="0.2">
      <c r="A371" s="3"/>
      <c r="B371" s="417"/>
      <c r="C371" s="173">
        <v>361</v>
      </c>
      <c r="D371" s="504"/>
      <c r="E371" s="174">
        <v>7.1003211512630227E-3</v>
      </c>
      <c r="F371" s="505"/>
      <c r="G371" s="219">
        <f t="shared" si="32"/>
        <v>0.78704969629073673</v>
      </c>
      <c r="H371" s="249">
        <f>H370+(G370*E371*'life-tables-test'!$C$66)</f>
        <v>99.212950303709263</v>
      </c>
      <c r="I371" s="516">
        <f t="shared" si="30"/>
        <v>100</v>
      </c>
      <c r="J371" s="180">
        <f>(G371*0)/(1+cDR)^'Markov Model_SA2'!cycle</f>
        <v>0</v>
      </c>
      <c r="K371" s="176">
        <f t="shared" si="33"/>
        <v>0.78704969629073673</v>
      </c>
      <c r="L371" s="202">
        <f>(G371*(uPostT))/(1+oDR)^'Markov Model_SA2'!cycle</f>
        <v>0.24285894353708454</v>
      </c>
      <c r="M371" s="80"/>
      <c r="N371" s="3"/>
      <c r="O371" s="80"/>
      <c r="P371" s="173">
        <v>361</v>
      </c>
      <c r="Q371" s="504"/>
      <c r="R371" s="174">
        <v>7.1003211512630227E-3</v>
      </c>
      <c r="S371" s="505"/>
      <c r="T371" s="219">
        <f t="shared" si="31"/>
        <v>0.74149386411623652</v>
      </c>
      <c r="U371" s="249">
        <f>U370+(T370*R371*'life-tables-test'!$C$66)</f>
        <v>99.258506135883763</v>
      </c>
      <c r="V371" s="516">
        <f t="shared" si="28"/>
        <v>100</v>
      </c>
      <c r="W371" s="180">
        <f>(T371*0)/(1+cDR)^'Markov Model_SA2'!cycle2</f>
        <v>0</v>
      </c>
      <c r="X371" s="176">
        <f t="shared" si="29"/>
        <v>0.74149386411623652</v>
      </c>
      <c r="Y371" s="202">
        <f>(T371*(uPostT))/(1+oDR)^'Markov Model_SA2'!cycle</f>
        <v>0.22880183719933564</v>
      </c>
      <c r="Z371" s="80"/>
      <c r="AA371" s="3"/>
      <c r="AB371" s="3"/>
      <c r="AC371" s="14">
        <v>359</v>
      </c>
      <c r="AD371" s="14"/>
      <c r="AE371" s="14"/>
      <c r="AF371" s="3"/>
      <c r="AG371" s="3"/>
      <c r="AH371" s="3"/>
      <c r="AI371" s="14"/>
      <c r="AJ371" s="14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</row>
    <row r="372" spans="1:47" ht="14.25" customHeight="1" x14ac:dyDescent="0.25">
      <c r="A372" s="3">
        <v>32</v>
      </c>
      <c r="B372" s="417"/>
      <c r="C372" s="506">
        <v>362</v>
      </c>
      <c r="D372" s="506"/>
      <c r="E372" s="507">
        <v>7.1003211512630227E-3</v>
      </c>
      <c r="F372" s="508"/>
      <c r="G372" s="509">
        <f t="shared" si="32"/>
        <v>0.7591081682624008</v>
      </c>
      <c r="H372" s="510">
        <f>H371+(G371*E372*'life-tables-test'!$C$66)</f>
        <v>99.240891831737599</v>
      </c>
      <c r="I372" s="518">
        <f t="shared" si="30"/>
        <v>100</v>
      </c>
      <c r="J372" s="511">
        <f>(G372*0)/(1+cDR)^'Markov Model_SA2'!cycle</f>
        <v>0</v>
      </c>
      <c r="K372" s="512">
        <f t="shared" si="33"/>
        <v>0.7591081682624008</v>
      </c>
      <c r="L372" s="513">
        <f>(G372*(uPostT))/(1+oDR)^'Markov Model_SA2'!cycle</f>
        <v>0.23365292874736898</v>
      </c>
      <c r="M372" s="80"/>
      <c r="N372" s="3"/>
      <c r="O372" s="80"/>
      <c r="P372" s="506">
        <v>362</v>
      </c>
      <c r="Q372" s="506"/>
      <c r="R372" s="507">
        <v>7.1003211512630227E-3</v>
      </c>
      <c r="S372" s="508"/>
      <c r="T372" s="509">
        <f t="shared" si="31"/>
        <v>0.71516964128166194</v>
      </c>
      <c r="U372" s="510">
        <f>U371+(T371*R372*'life-tables-test'!$C$66)</f>
        <v>99.284830358718338</v>
      </c>
      <c r="V372" s="518">
        <f t="shared" si="28"/>
        <v>100</v>
      </c>
      <c r="W372" s="511">
        <f>(T372*0)/(1+cDR)^'Markov Model_SA2'!cycle2</f>
        <v>0</v>
      </c>
      <c r="X372" s="512">
        <f t="shared" si="29"/>
        <v>0.71516964128166194</v>
      </c>
      <c r="Y372" s="513">
        <f>(T372*(uPostT))/(1+oDR)^'Markov Model_SA2'!cycle</f>
        <v>0.22012868287158735</v>
      </c>
      <c r="Z372" s="80"/>
      <c r="AA372" s="3"/>
      <c r="AB372" s="3"/>
      <c r="AC372" s="14">
        <v>360</v>
      </c>
      <c r="AD372" s="14"/>
      <c r="AE372" s="14"/>
      <c r="AF372" s="3"/>
      <c r="AG372" s="3"/>
      <c r="AH372" s="3"/>
      <c r="AI372" s="14"/>
      <c r="AJ372" s="14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</row>
    <row r="373" spans="1:47" ht="14.25" customHeight="1" x14ac:dyDescent="0.2">
      <c r="A373" s="3"/>
      <c r="B373" s="417"/>
      <c r="C373" s="173">
        <v>363</v>
      </c>
      <c r="D373" s="165"/>
      <c r="E373" s="174">
        <v>7.9083200825209587E-3</v>
      </c>
      <c r="F373" s="502"/>
      <c r="G373" s="219">
        <f t="shared" si="32"/>
        <v>0.72909181640302734</v>
      </c>
      <c r="H373" s="249">
        <f>H372+(G372*E373*'life-tables-test'!$C$66)</f>
        <v>99.270908183596973</v>
      </c>
      <c r="I373" s="516">
        <f t="shared" si="30"/>
        <v>100</v>
      </c>
      <c r="J373" s="153">
        <f>(G373*0)/(1+cDR)^'Markov Model_SA2'!cycle</f>
        <v>0</v>
      </c>
      <c r="K373" s="178">
        <f t="shared" si="33"/>
        <v>0.72909181640302734</v>
      </c>
      <c r="L373" s="202">
        <f>(G373*(uPostT))/(1+oDR)^'Markov Model_SA2'!cycle</f>
        <v>0.22385428229786189</v>
      </c>
      <c r="M373" s="80"/>
      <c r="N373" s="3"/>
      <c r="O373" s="80"/>
      <c r="P373" s="173">
        <v>363</v>
      </c>
      <c r="Q373" s="165"/>
      <c r="R373" s="174">
        <v>7.9083200825209587E-3</v>
      </c>
      <c r="S373" s="502"/>
      <c r="T373" s="219">
        <f t="shared" si="31"/>
        <v>0.68689068909887396</v>
      </c>
      <c r="U373" s="249">
        <f>U372+(T372*R373*'life-tables-test'!$C$66)</f>
        <v>99.313109310901126</v>
      </c>
      <c r="V373" s="516">
        <f t="shared" si="28"/>
        <v>100</v>
      </c>
      <c r="W373" s="153">
        <f>(T373*0)/(1+cDR)^'Markov Model_SA2'!cycle2</f>
        <v>0</v>
      </c>
      <c r="X373" s="178">
        <f t="shared" si="29"/>
        <v>0.68689068909887396</v>
      </c>
      <c r="Y373" s="202">
        <f>(T373*(uPostT))/(1+oDR)^'Markov Model_SA2'!cycle</f>
        <v>0.21089719945548652</v>
      </c>
      <c r="Z373" s="80"/>
      <c r="AA373" s="3"/>
      <c r="AB373" s="3"/>
      <c r="AC373" s="14">
        <v>361</v>
      </c>
      <c r="AD373" s="14"/>
      <c r="AE373" s="14"/>
      <c r="AF373" s="3"/>
      <c r="AG373" s="3"/>
      <c r="AH373" s="3"/>
      <c r="AI373" s="14"/>
      <c r="AJ373" s="14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</row>
    <row r="374" spans="1:47" ht="14.25" customHeight="1" x14ac:dyDescent="0.2">
      <c r="A374" s="3"/>
      <c r="B374" s="417"/>
      <c r="C374" s="173">
        <v>364</v>
      </c>
      <c r="D374" s="165"/>
      <c r="E374" s="174">
        <v>7.9083200825209587E-3</v>
      </c>
      <c r="F374" s="502"/>
      <c r="G374" s="219">
        <f t="shared" si="32"/>
        <v>0.70026235913471169</v>
      </c>
      <c r="H374" s="249">
        <f>H373+(G373*E374*'life-tables-test'!$C$66)</f>
        <v>99.299737640865288</v>
      </c>
      <c r="I374" s="516">
        <f t="shared" si="30"/>
        <v>100</v>
      </c>
      <c r="J374" s="153">
        <f>(G374*0)/(1+cDR)^'Markov Model_SA2'!cycle</f>
        <v>0</v>
      </c>
      <c r="K374" s="178">
        <f t="shared" si="33"/>
        <v>0.70026235913471169</v>
      </c>
      <c r="L374" s="202">
        <f>(G374*(uPostT))/(1+oDR)^'Markov Model_SA2'!cycle</f>
        <v>0.21446655931829153</v>
      </c>
      <c r="M374" s="80"/>
      <c r="N374" s="3"/>
      <c r="O374" s="80"/>
      <c r="P374" s="173">
        <v>364</v>
      </c>
      <c r="Q374" s="165"/>
      <c r="R374" s="174">
        <v>7.9083200825209587E-3</v>
      </c>
      <c r="S374" s="502"/>
      <c r="T374" s="219">
        <f t="shared" si="31"/>
        <v>0.65972993194338869</v>
      </c>
      <c r="U374" s="249">
        <f>U373+(T373*R374*'life-tables-test'!$C$66)</f>
        <v>99.340270068056611</v>
      </c>
      <c r="V374" s="516">
        <f t="shared" si="28"/>
        <v>100</v>
      </c>
      <c r="W374" s="153">
        <f>(T374*0)/(1+cDR)^'Markov Model_SA2'!cycle2</f>
        <v>0</v>
      </c>
      <c r="X374" s="178">
        <f t="shared" si="29"/>
        <v>0.65972993194338869</v>
      </c>
      <c r="Y374" s="202">
        <f>(T374*(uPostT))/(1+oDR)^'Markov Model_SA2'!cycle</f>
        <v>0.20205285453015523</v>
      </c>
      <c r="Z374" s="80"/>
      <c r="AA374" s="3"/>
      <c r="AB374" s="3"/>
      <c r="AC374" s="14">
        <v>362</v>
      </c>
      <c r="AD374" s="14"/>
      <c r="AE374" s="14"/>
      <c r="AF374" s="3"/>
      <c r="AG374" s="3"/>
      <c r="AH374" s="3"/>
      <c r="AI374" s="14"/>
      <c r="AJ374" s="14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</row>
    <row r="375" spans="1:47" ht="14.25" customHeight="1" x14ac:dyDescent="0.2">
      <c r="A375" s="3"/>
      <c r="B375" s="417"/>
      <c r="C375" s="173">
        <v>365</v>
      </c>
      <c r="D375" s="165"/>
      <c r="E375" s="174">
        <v>7.9083200825209587E-3</v>
      </c>
      <c r="F375" s="502"/>
      <c r="G375" s="219">
        <f t="shared" si="32"/>
        <v>0.6725728647458169</v>
      </c>
      <c r="H375" s="249">
        <f>H374+(G374*E375*'life-tables-test'!$C$66)</f>
        <v>99.327427135254183</v>
      </c>
      <c r="I375" s="516">
        <f t="shared" si="30"/>
        <v>100</v>
      </c>
      <c r="J375" s="153">
        <f>(G375*0)/(1+cDR)^'Markov Model_SA2'!cycle</f>
        <v>0</v>
      </c>
      <c r="K375" s="178">
        <f t="shared" si="33"/>
        <v>0.6725728647458169</v>
      </c>
      <c r="L375" s="202">
        <f>(G375*(uPostT))/(1+oDR)^'Markov Model_SA2'!cycle</f>
        <v>0.20547252701033497</v>
      </c>
      <c r="M375" s="80"/>
      <c r="N375" s="3"/>
      <c r="O375" s="80"/>
      <c r="P375" s="173">
        <v>365</v>
      </c>
      <c r="Q375" s="165"/>
      <c r="R375" s="174">
        <v>7.9083200825209587E-3</v>
      </c>
      <c r="S375" s="502"/>
      <c r="T375" s="219">
        <f t="shared" si="31"/>
        <v>0.63364315459425313</v>
      </c>
      <c r="U375" s="249">
        <f>U374+(T374*R375*'life-tables-test'!$C$66)</f>
        <v>99.366356845405747</v>
      </c>
      <c r="V375" s="516">
        <f t="shared" si="28"/>
        <v>100</v>
      </c>
      <c r="W375" s="153">
        <f>(T375*0)/(1+cDR)^'Markov Model_SA2'!cycle2</f>
        <v>0</v>
      </c>
      <c r="X375" s="178">
        <f t="shared" si="29"/>
        <v>0.63364315459425313</v>
      </c>
      <c r="Y375" s="202">
        <f>(T375*(uPostT))/(1+oDR)^'Markov Model_SA2'!cycle</f>
        <v>0.19357941276219368</v>
      </c>
      <c r="Z375" s="80"/>
      <c r="AA375" s="3"/>
      <c r="AB375" s="3"/>
      <c r="AC375" s="14">
        <v>363</v>
      </c>
      <c r="AD375" s="14"/>
      <c r="AE375" s="14"/>
      <c r="AF375" s="3"/>
      <c r="AG375" s="3"/>
      <c r="AH375" s="3"/>
      <c r="AI375" s="14"/>
      <c r="AJ375" s="14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</row>
    <row r="376" spans="1:47" ht="14.25" customHeight="1" x14ac:dyDescent="0.2">
      <c r="A376" s="3"/>
      <c r="B376" s="417"/>
      <c r="C376" s="173">
        <v>366</v>
      </c>
      <c r="D376" s="165"/>
      <c r="E376" s="174">
        <v>7.9083200825209587E-3</v>
      </c>
      <c r="F376" s="502"/>
      <c r="G376" s="219">
        <f t="shared" si="32"/>
        <v>0.64597825727967972</v>
      </c>
      <c r="H376" s="249">
        <f>H375+(G375*E376*'life-tables-test'!$C$66)</f>
        <v>99.35402174272032</v>
      </c>
      <c r="I376" s="516">
        <f t="shared" si="30"/>
        <v>100</v>
      </c>
      <c r="J376" s="153">
        <f>(G376*0)/(1+cDR)^'Markov Model_SA2'!cycle</f>
        <v>0</v>
      </c>
      <c r="K376" s="178">
        <f t="shared" si="33"/>
        <v>0.64597825727967972</v>
      </c>
      <c r="L376" s="202">
        <f>(G376*(uPostT))/(1+oDR)^'Markov Model_SA2'!cycle</f>
        <v>0.19685567526336667</v>
      </c>
      <c r="M376" s="80"/>
      <c r="N376" s="3"/>
      <c r="O376" s="80"/>
      <c r="P376" s="173">
        <v>366</v>
      </c>
      <c r="Q376" s="165"/>
      <c r="R376" s="174">
        <v>7.9083200825209587E-3</v>
      </c>
      <c r="S376" s="502"/>
      <c r="T376" s="219">
        <f t="shared" si="31"/>
        <v>0.60858789017110837</v>
      </c>
      <c r="U376" s="249">
        <f>U375+(T375*R376*'life-tables-test'!$C$66)</f>
        <v>99.391412109828892</v>
      </c>
      <c r="V376" s="516">
        <f t="shared" ref="V376:V408" si="34">SUM(T376:U376)</f>
        <v>100</v>
      </c>
      <c r="W376" s="153">
        <f>(T376*0)/(1+cDR)^'Markov Model_SA2'!cycle2</f>
        <v>0</v>
      </c>
      <c r="X376" s="178">
        <f t="shared" ref="X376:X408" si="35">T376</f>
        <v>0.60858789017110837</v>
      </c>
      <c r="Y376" s="202">
        <f>(T376*(uPostT))/(1+oDR)^'Markov Model_SA2'!cycle</f>
        <v>0.18546131967545681</v>
      </c>
      <c r="Z376" s="80"/>
      <c r="AA376" s="3"/>
      <c r="AB376" s="3"/>
      <c r="AC376" s="14">
        <v>364</v>
      </c>
      <c r="AD376" s="14"/>
      <c r="AE376" s="14"/>
      <c r="AF376" s="3"/>
      <c r="AG376" s="3"/>
      <c r="AH376" s="3"/>
      <c r="AI376" s="14"/>
      <c r="AJ376" s="14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</row>
    <row r="377" spans="1:47" ht="14.25" customHeight="1" x14ac:dyDescent="0.2">
      <c r="A377" s="3"/>
      <c r="B377" s="417"/>
      <c r="C377" s="173">
        <v>367</v>
      </c>
      <c r="D377" s="165"/>
      <c r="E377" s="174">
        <v>7.9083200825209587E-3</v>
      </c>
      <c r="F377" s="502"/>
      <c r="G377" s="219">
        <f t="shared" si="32"/>
        <v>0.62043524315510012</v>
      </c>
      <c r="H377" s="249">
        <f>H376+(G376*E377*'life-tables-test'!$C$66)</f>
        <v>99.3795647568449</v>
      </c>
      <c r="I377" s="516">
        <f t="shared" ref="I377:I408" si="36">SUM(G377:H377)</f>
        <v>100</v>
      </c>
      <c r="J377" s="153">
        <f>(G377*0)/(1+cDR)^'Markov Model_SA2'!cycle</f>
        <v>0</v>
      </c>
      <c r="K377" s="178">
        <f t="shared" si="33"/>
        <v>0.62043524315510012</v>
      </c>
      <c r="L377" s="202">
        <f>(G377*(uPostT))/(1+oDR)^'Markov Model_SA2'!cycle</f>
        <v>0.18860018634728223</v>
      </c>
      <c r="M377" s="80"/>
      <c r="N377" s="3"/>
      <c r="O377" s="80"/>
      <c r="P377" s="173">
        <v>367</v>
      </c>
      <c r="Q377" s="165"/>
      <c r="R377" s="174">
        <v>7.9083200825209587E-3</v>
      </c>
      <c r="S377" s="502"/>
      <c r="T377" s="219">
        <f t="shared" ref="T377:T408" si="37">$T$10-U377</f>
        <v>0.58452335100200514</v>
      </c>
      <c r="U377" s="249">
        <f>U376+(T376*R377*'life-tables-test'!$C$66)</f>
        <v>99.415476648997995</v>
      </c>
      <c r="V377" s="516">
        <f t="shared" si="34"/>
        <v>100</v>
      </c>
      <c r="W377" s="153">
        <f>(T377*0)/(1+cDR)^'Markov Model_SA2'!cycle2</f>
        <v>0</v>
      </c>
      <c r="X377" s="178">
        <f t="shared" si="35"/>
        <v>0.58452335100200514</v>
      </c>
      <c r="Y377" s="202">
        <f>(T377*(uPostT))/(1+oDR)^'Markov Model_SA2'!cycle</f>
        <v>0.17768367309810812</v>
      </c>
      <c r="Z377" s="80"/>
      <c r="AA377" s="3"/>
      <c r="AB377" s="3"/>
      <c r="AC377" s="14">
        <v>365</v>
      </c>
      <c r="AD377" s="14"/>
      <c r="AE377" s="14"/>
      <c r="AF377" s="3"/>
      <c r="AG377" s="3"/>
      <c r="AH377" s="3"/>
      <c r="AI377" s="14"/>
      <c r="AJ377" s="14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</row>
    <row r="378" spans="1:47" ht="14.25" customHeight="1" x14ac:dyDescent="0.2">
      <c r="A378" s="3"/>
      <c r="B378" s="417"/>
      <c r="C378" s="173">
        <v>368</v>
      </c>
      <c r="D378" s="165"/>
      <c r="E378" s="174">
        <v>7.9083200825209587E-3</v>
      </c>
      <c r="F378" s="502"/>
      <c r="G378" s="219">
        <f t="shared" si="32"/>
        <v>0.59590224068836051</v>
      </c>
      <c r="H378" s="249">
        <f>H377+(G377*E378*'life-tables-test'!$C$66)</f>
        <v>99.404097759311639</v>
      </c>
      <c r="I378" s="516">
        <f t="shared" si="36"/>
        <v>100</v>
      </c>
      <c r="J378" s="153">
        <f>(G378*0)/(1+cDR)^'Markov Model_SA2'!cycle</f>
        <v>0</v>
      </c>
      <c r="K378" s="178">
        <f t="shared" si="33"/>
        <v>0.59590224068836051</v>
      </c>
      <c r="L378" s="202">
        <f>(G378*(uPostT))/(1+oDR)^'Markov Model_SA2'!cycle</f>
        <v>0.1806909058763034</v>
      </c>
      <c r="M378" s="80"/>
      <c r="N378" s="3"/>
      <c r="O378" s="80"/>
      <c r="P378" s="173">
        <v>368</v>
      </c>
      <c r="Q378" s="165"/>
      <c r="R378" s="174">
        <v>7.9083200825209587E-3</v>
      </c>
      <c r="S378" s="502"/>
      <c r="T378" s="219">
        <f t="shared" si="37"/>
        <v>0.56141036222484786</v>
      </c>
      <c r="U378" s="249">
        <f>U377+(T377*R378*'life-tables-test'!$C$66)</f>
        <v>99.438589637775152</v>
      </c>
      <c r="V378" s="516">
        <f t="shared" si="34"/>
        <v>100</v>
      </c>
      <c r="W378" s="153">
        <f>(T378*0)/(1+cDR)^'Markov Model_SA2'!cycle2</f>
        <v>0</v>
      </c>
      <c r="X378" s="178">
        <f t="shared" si="35"/>
        <v>0.56141036222484786</v>
      </c>
      <c r="Y378" s="202">
        <f>(T378*(uPostT))/(1+oDR)^'Markov Model_SA2'!cycle</f>
        <v>0.17023219580710128</v>
      </c>
      <c r="Z378" s="80"/>
      <c r="AA378" s="3"/>
      <c r="AB378" s="3"/>
      <c r="AC378" s="14">
        <v>366</v>
      </c>
      <c r="AD378" s="14"/>
      <c r="AE378" s="14"/>
      <c r="AF378" s="3"/>
      <c r="AG378" s="3"/>
      <c r="AH378" s="3"/>
      <c r="AI378" s="14"/>
      <c r="AJ378" s="14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</row>
    <row r="379" spans="1:47" ht="14.25" customHeight="1" x14ac:dyDescent="0.2">
      <c r="A379" s="3"/>
      <c r="B379" s="417"/>
      <c r="C379" s="173">
        <v>369</v>
      </c>
      <c r="D379" s="165"/>
      <c r="E379" s="174">
        <v>7.9083200825209587E-3</v>
      </c>
      <c r="F379" s="502"/>
      <c r="G379" s="219">
        <f t="shared" si="32"/>
        <v>0.5723393124020788</v>
      </c>
      <c r="H379" s="249">
        <f>H378+(G378*E379*'life-tables-test'!$C$66)</f>
        <v>99.427660687597921</v>
      </c>
      <c r="I379" s="516">
        <f t="shared" si="36"/>
        <v>100</v>
      </c>
      <c r="J379" s="153">
        <f>(G379*0)/(1+cDR)^'Markov Model_SA2'!cycle</f>
        <v>0</v>
      </c>
      <c r="K379" s="178">
        <f t="shared" si="33"/>
        <v>0.5723393124020788</v>
      </c>
      <c r="L379" s="202">
        <f>(G379*(uPostT))/(1+oDR)^'Markov Model_SA2'!cycle</f>
        <v>0.17311331499047286</v>
      </c>
      <c r="M379" s="80"/>
      <c r="N379" s="3"/>
      <c r="O379" s="80"/>
      <c r="P379" s="173">
        <v>369</v>
      </c>
      <c r="Q379" s="165"/>
      <c r="R379" s="174">
        <v>7.9083200825209587E-3</v>
      </c>
      <c r="S379" s="502"/>
      <c r="T379" s="219">
        <f t="shared" si="37"/>
        <v>0.53921129801425138</v>
      </c>
      <c r="U379" s="249">
        <f>U378+(T378*R379*'life-tables-test'!$C$66)</f>
        <v>99.460788701985749</v>
      </c>
      <c r="V379" s="516">
        <f t="shared" si="34"/>
        <v>100</v>
      </c>
      <c r="W379" s="153">
        <f>(T379*0)/(1+cDR)^'Markov Model_SA2'!cycle2</f>
        <v>0</v>
      </c>
      <c r="X379" s="178">
        <f t="shared" si="35"/>
        <v>0.53921129801425138</v>
      </c>
      <c r="Y379" s="202">
        <f>(T379*(uPostT))/(1+oDR)^'Markov Model_SA2'!cycle</f>
        <v>0.16309320931983529</v>
      </c>
      <c r="Z379" s="80"/>
      <c r="AA379" s="3"/>
      <c r="AB379" s="3"/>
      <c r="AC379" s="14">
        <v>367</v>
      </c>
      <c r="AD379" s="14"/>
      <c r="AE379" s="14"/>
      <c r="AF379" s="3"/>
      <c r="AG379" s="3"/>
      <c r="AH379" s="3"/>
      <c r="AI379" s="14"/>
      <c r="AJ379" s="14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</row>
    <row r="380" spans="1:47" ht="14.25" customHeight="1" x14ac:dyDescent="0.2">
      <c r="A380" s="3"/>
      <c r="B380" s="417"/>
      <c r="C380" s="173">
        <v>370</v>
      </c>
      <c r="D380" s="165"/>
      <c r="E380" s="174">
        <v>7.9083200825209587E-3</v>
      </c>
      <c r="F380" s="502"/>
      <c r="G380" s="219">
        <f t="shared" si="32"/>
        <v>0.54970810001064763</v>
      </c>
      <c r="H380" s="249">
        <f>H379+(G379*E380*'life-tables-test'!$C$66)</f>
        <v>99.450291899989352</v>
      </c>
      <c r="I380" s="516">
        <f t="shared" si="36"/>
        <v>100</v>
      </c>
      <c r="J380" s="153">
        <f>(G380*0)/(1+cDR)^'Markov Model_SA2'!cycle</f>
        <v>0</v>
      </c>
      <c r="K380" s="178">
        <f t="shared" si="33"/>
        <v>0.54970810001064763</v>
      </c>
      <c r="L380" s="202">
        <f>(G380*(uPostT))/(1+oDR)^'Markov Model_SA2'!cycle</f>
        <v>0.16585350370375779</v>
      </c>
      <c r="M380" s="80"/>
      <c r="N380" s="3"/>
      <c r="O380" s="80"/>
      <c r="P380" s="173">
        <v>370</v>
      </c>
      <c r="Q380" s="165"/>
      <c r="R380" s="174">
        <v>7.9083200825209587E-3</v>
      </c>
      <c r="S380" s="502"/>
      <c r="T380" s="219">
        <f t="shared" si="37"/>
        <v>0.51789002033021347</v>
      </c>
      <c r="U380" s="249">
        <f>U379+(T379*R380*'life-tables-test'!$C$66)</f>
        <v>99.482109979669787</v>
      </c>
      <c r="V380" s="516">
        <f t="shared" si="34"/>
        <v>100</v>
      </c>
      <c r="W380" s="153">
        <f>(T380*0)/(1+cDR)^'Markov Model_SA2'!cycle2</f>
        <v>0</v>
      </c>
      <c r="X380" s="178">
        <f t="shared" si="35"/>
        <v>0.51789002033021347</v>
      </c>
      <c r="Y380" s="202">
        <f>(T380*(uPostT))/(1+oDR)^'Markov Model_SA2'!cycle</f>
        <v>0.15625360878493974</v>
      </c>
      <c r="Z380" s="80"/>
      <c r="AA380" s="3"/>
      <c r="AB380" s="3"/>
      <c r="AC380" s="14">
        <v>368</v>
      </c>
      <c r="AD380" s="14"/>
      <c r="AE380" s="14"/>
      <c r="AF380" s="3"/>
      <c r="AG380" s="3"/>
      <c r="AH380" s="3"/>
      <c r="AI380" s="14"/>
      <c r="AJ380" s="14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</row>
    <row r="381" spans="1:47" ht="14.25" customHeight="1" x14ac:dyDescent="0.2">
      <c r="A381" s="3"/>
      <c r="B381" s="417"/>
      <c r="C381" s="173">
        <v>371</v>
      </c>
      <c r="D381" s="165"/>
      <c r="E381" s="174">
        <v>7.9083200825209587E-3</v>
      </c>
      <c r="F381" s="502"/>
      <c r="G381" s="219">
        <f t="shared" si="32"/>
        <v>0.52797176197645967</v>
      </c>
      <c r="H381" s="249">
        <f>H380+(G380*E381*'life-tables-test'!$C$66)</f>
        <v>99.47202823802354</v>
      </c>
      <c r="I381" s="516">
        <f t="shared" si="36"/>
        <v>100</v>
      </c>
      <c r="J381" s="153">
        <f>(G381*0)/(1+cDR)^'Markov Model_SA2'!cycle</f>
        <v>0</v>
      </c>
      <c r="K381" s="178">
        <f t="shared" si="33"/>
        <v>0.52797176197645967</v>
      </c>
      <c r="L381" s="202">
        <f>(G381*(uPostT))/(1+oDR)^'Markov Model_SA2'!cycle</f>
        <v>0.15889814536985034</v>
      </c>
      <c r="M381" s="80"/>
      <c r="N381" s="3"/>
      <c r="O381" s="80"/>
      <c r="P381" s="173">
        <v>371</v>
      </c>
      <c r="Q381" s="165"/>
      <c r="R381" s="174">
        <v>7.9083200825209587E-3</v>
      </c>
      <c r="S381" s="502"/>
      <c r="T381" s="219">
        <f t="shared" si="37"/>
        <v>0.49741182008864371</v>
      </c>
      <c r="U381" s="249">
        <f>U380+(T380*R381*'life-tables-test'!$C$66)</f>
        <v>99.502588179911356</v>
      </c>
      <c r="V381" s="516">
        <f t="shared" si="34"/>
        <v>100</v>
      </c>
      <c r="W381" s="153">
        <f>(T381*0)/(1+cDR)^'Markov Model_SA2'!cycle2</f>
        <v>0</v>
      </c>
      <c r="X381" s="178">
        <f t="shared" si="35"/>
        <v>0.49741182008864371</v>
      </c>
      <c r="Y381" s="202">
        <f>(T381*(uPostT))/(1+oDR)^'Markov Model_SA2'!cycle</f>
        <v>0.14970083892602415</v>
      </c>
      <c r="Z381" s="80"/>
      <c r="AA381" s="3"/>
      <c r="AB381" s="3"/>
      <c r="AC381" s="14">
        <v>369</v>
      </c>
      <c r="AD381" s="14"/>
      <c r="AE381" s="14"/>
      <c r="AF381" s="3"/>
      <c r="AG381" s="3"/>
      <c r="AH381" s="3"/>
      <c r="AI381" s="14"/>
      <c r="AJ381" s="14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</row>
    <row r="382" spans="1:47" ht="14.25" customHeight="1" x14ac:dyDescent="0.2">
      <c r="A382" s="3"/>
      <c r="B382" s="417"/>
      <c r="C382" s="173">
        <v>372</v>
      </c>
      <c r="D382" s="165"/>
      <c r="E382" s="174">
        <v>7.9083200825209587E-3</v>
      </c>
      <c r="F382" s="502"/>
      <c r="G382" s="219">
        <f t="shared" si="32"/>
        <v>0.50709491353524072</v>
      </c>
      <c r="H382" s="249">
        <f>H381+(G381*E382*'life-tables-test'!$C$66)</f>
        <v>99.492905086464759</v>
      </c>
      <c r="I382" s="516">
        <f t="shared" si="36"/>
        <v>100</v>
      </c>
      <c r="J382" s="153">
        <f>(G382*0)/(1+cDR)^'Markov Model_SA2'!cycle</f>
        <v>0</v>
      </c>
      <c r="K382" s="178">
        <f t="shared" si="33"/>
        <v>0.50709491353524072</v>
      </c>
      <c r="L382" s="202">
        <f>(G382*(uPostT))/(1+oDR)^'Markov Model_SA2'!cycle</f>
        <v>0.15223447221878267</v>
      </c>
      <c r="M382" s="80"/>
      <c r="N382" s="3"/>
      <c r="O382" s="80"/>
      <c r="P382" s="173">
        <v>372</v>
      </c>
      <c r="Q382" s="165"/>
      <c r="R382" s="174">
        <v>7.9083200825209587E-3</v>
      </c>
      <c r="S382" s="502"/>
      <c r="T382" s="219">
        <f t="shared" si="37"/>
        <v>0.47774336065819512</v>
      </c>
      <c r="U382" s="249">
        <f>U381+(T381*R382*'life-tables-test'!$C$66)</f>
        <v>99.522256639341805</v>
      </c>
      <c r="V382" s="516">
        <f t="shared" si="34"/>
        <v>100</v>
      </c>
      <c r="W382" s="153">
        <f>(T382*0)/(1+cDR)^'Markov Model_SA2'!cycle2</f>
        <v>0</v>
      </c>
      <c r="X382" s="178">
        <f t="shared" si="35"/>
        <v>0.47774336065819512</v>
      </c>
      <c r="Y382" s="202">
        <f>(T382*(uPostT))/(1+oDR)^'Markov Model_SA2'!cycle</f>
        <v>0.14342287099429474</v>
      </c>
      <c r="Z382" s="80"/>
      <c r="AA382" s="3"/>
      <c r="AB382" s="3"/>
      <c r="AC382" s="14">
        <v>370</v>
      </c>
      <c r="AD382" s="14"/>
      <c r="AE382" s="14"/>
      <c r="AF382" s="3"/>
      <c r="AG382" s="3"/>
      <c r="AH382" s="3"/>
      <c r="AI382" s="14"/>
      <c r="AJ382" s="14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</row>
    <row r="383" spans="1:47" ht="14.25" customHeight="1" x14ac:dyDescent="0.2">
      <c r="A383" s="3"/>
      <c r="B383" s="417"/>
      <c r="C383" s="173">
        <v>373</v>
      </c>
      <c r="D383" s="504"/>
      <c r="E383" s="174">
        <v>7.9083200825209587E-3</v>
      </c>
      <c r="F383" s="505"/>
      <c r="G383" s="219">
        <f t="shared" si="32"/>
        <v>0.48704356909296109</v>
      </c>
      <c r="H383" s="249">
        <f>H382+(G382*E383*'life-tables-test'!$C$66)</f>
        <v>99.512956430907039</v>
      </c>
      <c r="I383" s="516">
        <f t="shared" si="36"/>
        <v>100</v>
      </c>
      <c r="J383" s="180">
        <f>(G383*0)/(1+cDR)^'Markov Model_SA2'!cycle</f>
        <v>0</v>
      </c>
      <c r="K383" s="176">
        <f t="shared" si="33"/>
        <v>0.48704356909296109</v>
      </c>
      <c r="L383" s="202">
        <f>(G383*(uPostT))/(1+oDR)^'Markov Model_SA2'!cycle</f>
        <v>0.14585025191948367</v>
      </c>
      <c r="M383" s="80"/>
      <c r="N383" s="3"/>
      <c r="O383" s="80"/>
      <c r="P383" s="173">
        <v>373</v>
      </c>
      <c r="Q383" s="504"/>
      <c r="R383" s="174">
        <v>7.9083200825209587E-3</v>
      </c>
      <c r="S383" s="505"/>
      <c r="T383" s="219">
        <f t="shared" si="37"/>
        <v>0.45885262359126955</v>
      </c>
      <c r="U383" s="249">
        <f>U382+(T382*R383*'life-tables-test'!$C$66)</f>
        <v>99.54114737640873</v>
      </c>
      <c r="V383" s="516">
        <f t="shared" si="34"/>
        <v>100</v>
      </c>
      <c r="W383" s="180">
        <f>(T383*0)/(1+cDR)^'Markov Model_SA2'!cycle2</f>
        <v>0</v>
      </c>
      <c r="X383" s="176">
        <f t="shared" si="35"/>
        <v>0.45885262359126955</v>
      </c>
      <c r="Y383" s="202">
        <f>(T383*(uPostT))/(1+oDR)^'Markov Model_SA2'!cycle</f>
        <v>0.13740818068768929</v>
      </c>
      <c r="Z383" s="80"/>
      <c r="AA383" s="3"/>
      <c r="AB383" s="3"/>
      <c r="AC383" s="14">
        <v>371</v>
      </c>
      <c r="AD383" s="14"/>
      <c r="AE383" s="14"/>
      <c r="AF383" s="3"/>
      <c r="AG383" s="3"/>
      <c r="AH383" s="3"/>
      <c r="AI383" s="14"/>
      <c r="AJ383" s="14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</row>
    <row r="384" spans="1:47" ht="14.25" customHeight="1" x14ac:dyDescent="0.25">
      <c r="A384" s="3">
        <v>33</v>
      </c>
      <c r="B384" s="417"/>
      <c r="C384" s="506">
        <v>374</v>
      </c>
      <c r="D384" s="506"/>
      <c r="E384" s="507">
        <v>7.9083200825209587E-3</v>
      </c>
      <c r="F384" s="508"/>
      <c r="G384" s="509">
        <f t="shared" si="32"/>
        <v>0.46778508690036347</v>
      </c>
      <c r="H384" s="510">
        <f>H383+(G383*E384*'life-tables-test'!$C$66)</f>
        <v>99.532214913099637</v>
      </c>
      <c r="I384" s="518">
        <f t="shared" si="36"/>
        <v>100</v>
      </c>
      <c r="J384" s="511">
        <f>(G384*0)/(1+cDR)^'Markov Model_SA2'!cycle</f>
        <v>0</v>
      </c>
      <c r="K384" s="512">
        <f t="shared" si="33"/>
        <v>0.46778508690036347</v>
      </c>
      <c r="L384" s="513">
        <f>(G384*(uPostT))/(1+oDR)^'Markov Model_SA2'!cycle</f>
        <v>0.13973376512519428</v>
      </c>
      <c r="M384" s="80"/>
      <c r="N384" s="3"/>
      <c r="O384" s="80"/>
      <c r="P384" s="506">
        <v>374</v>
      </c>
      <c r="Q384" s="506"/>
      <c r="R384" s="507">
        <v>7.9083200825209587E-3</v>
      </c>
      <c r="S384" s="508"/>
      <c r="T384" s="509">
        <f t="shared" si="37"/>
        <v>0.44070885650094738</v>
      </c>
      <c r="U384" s="510">
        <f>U383+(T383*R384*'life-tables-test'!$C$66)</f>
        <v>99.559291143499053</v>
      </c>
      <c r="V384" s="518">
        <f t="shared" si="34"/>
        <v>100</v>
      </c>
      <c r="W384" s="511">
        <f>(T384*0)/(1+cDR)^'Markov Model_SA2'!cycle2</f>
        <v>0</v>
      </c>
      <c r="X384" s="512">
        <f t="shared" si="35"/>
        <v>0.44070885650094738</v>
      </c>
      <c r="Y384" s="513">
        <f>(T384*(uPostT))/(1+oDR)^'Markov Model_SA2'!cycle</f>
        <v>0.13164572699602339</v>
      </c>
      <c r="Z384" s="80"/>
      <c r="AA384" s="3"/>
      <c r="AB384" s="3"/>
      <c r="AC384" s="14">
        <v>372</v>
      </c>
      <c r="AD384" s="14"/>
      <c r="AE384" s="14"/>
      <c r="AF384" s="3"/>
      <c r="AG384" s="3"/>
      <c r="AH384" s="3"/>
      <c r="AI384" s="14"/>
      <c r="AJ384" s="14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</row>
    <row r="385" spans="1:47" ht="14.25" customHeight="1" x14ac:dyDescent="0.2">
      <c r="A385" s="3"/>
      <c r="B385" s="417"/>
      <c r="C385" s="173">
        <v>375</v>
      </c>
      <c r="D385" s="165"/>
      <c r="E385" s="174">
        <v>8.9196625610592495E-3</v>
      </c>
      <c r="F385" s="502"/>
      <c r="G385" s="219">
        <f t="shared" si="32"/>
        <v>0.44692266126912727</v>
      </c>
      <c r="H385" s="249">
        <f>H384+(G384*E385*'life-tables-test'!$C$66)</f>
        <v>99.553077338730873</v>
      </c>
      <c r="I385" s="516">
        <f t="shared" si="36"/>
        <v>100</v>
      </c>
      <c r="J385" s="153">
        <f>(G385*0)/(1+cDR)^'Markov Model_SA2'!cycle</f>
        <v>0</v>
      </c>
      <c r="K385" s="178">
        <f t="shared" si="33"/>
        <v>0.44692266126912727</v>
      </c>
      <c r="L385" s="202">
        <f>(G385*(uPostT))/(1+oDR)^'Markov Model_SA2'!cycle</f>
        <v>0.13316895257723566</v>
      </c>
      <c r="M385" s="80"/>
      <c r="N385" s="3"/>
      <c r="O385" s="80"/>
      <c r="P385" s="173">
        <v>375</v>
      </c>
      <c r="Q385" s="165"/>
      <c r="R385" s="174">
        <v>8.9196625610592495E-3</v>
      </c>
      <c r="S385" s="502"/>
      <c r="T385" s="219">
        <f t="shared" si="37"/>
        <v>0.42105398506265601</v>
      </c>
      <c r="U385" s="249">
        <f>U384+(T384*R385*'life-tables-test'!$C$66)</f>
        <v>99.578946014937344</v>
      </c>
      <c r="V385" s="516">
        <f t="shared" si="34"/>
        <v>100</v>
      </c>
      <c r="W385" s="153">
        <f>(T385*0)/(1+cDR)^'Markov Model_SA2'!cycle2</f>
        <v>0</v>
      </c>
      <c r="X385" s="178">
        <f t="shared" si="35"/>
        <v>0.42105398506265601</v>
      </c>
      <c r="Y385" s="202">
        <f>(T385*(uPostT))/(1+oDR)^'Markov Model_SA2'!cycle</f>
        <v>0.12546089744037389</v>
      </c>
      <c r="Z385" s="80"/>
      <c r="AA385" s="3"/>
      <c r="AB385" s="3"/>
      <c r="AC385" s="14">
        <v>373</v>
      </c>
      <c r="AD385" s="14"/>
      <c r="AE385" s="14"/>
      <c r="AF385" s="3"/>
      <c r="AG385" s="3"/>
      <c r="AH385" s="3"/>
      <c r="AI385" s="14"/>
      <c r="AJ385" s="14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</row>
    <row r="386" spans="1:47" ht="14.25" customHeight="1" x14ac:dyDescent="0.2">
      <c r="A386" s="3"/>
      <c r="B386" s="417"/>
      <c r="C386" s="173">
        <v>376</v>
      </c>
      <c r="D386" s="165"/>
      <c r="E386" s="174">
        <v>8.9196625610592495E-3</v>
      </c>
      <c r="F386" s="502"/>
      <c r="G386" s="219">
        <f t="shared" si="32"/>
        <v>0.42699066462206758</v>
      </c>
      <c r="H386" s="249">
        <f>H385+(G385*E386*'life-tables-test'!$C$66)</f>
        <v>99.573009335377932</v>
      </c>
      <c r="I386" s="516">
        <f t="shared" si="36"/>
        <v>100</v>
      </c>
      <c r="J386" s="153">
        <f>(G386*0)/(1+cDR)^'Markov Model_SA2'!cycle</f>
        <v>0</v>
      </c>
      <c r="K386" s="178">
        <f t="shared" si="33"/>
        <v>0.42699066462206758</v>
      </c>
      <c r="L386" s="202">
        <f>(G386*(uPostT))/(1+oDR)^'Markov Model_SA2'!cycle</f>
        <v>0.12691256057280934</v>
      </c>
      <c r="M386" s="80"/>
      <c r="N386" s="3"/>
      <c r="O386" s="80"/>
      <c r="P386" s="173">
        <v>376</v>
      </c>
      <c r="Q386" s="165"/>
      <c r="R386" s="174">
        <v>8.9196625610592495E-3</v>
      </c>
      <c r="S386" s="502"/>
      <c r="T386" s="219">
        <f t="shared" si="37"/>
        <v>0.40227568772891686</v>
      </c>
      <c r="U386" s="249">
        <f>U385+(T385*R386*'life-tables-test'!$C$66)</f>
        <v>99.597724312271083</v>
      </c>
      <c r="V386" s="516">
        <f t="shared" si="34"/>
        <v>100</v>
      </c>
      <c r="W386" s="153">
        <f>(T386*0)/(1+cDR)^'Markov Model_SA2'!cycle2</f>
        <v>0</v>
      </c>
      <c r="X386" s="178">
        <f t="shared" si="35"/>
        <v>0.40227568772891686</v>
      </c>
      <c r="Y386" s="202">
        <f>(T386*(uPostT))/(1+oDR)^'Markov Model_SA2'!cycle</f>
        <v>0.11956663650024479</v>
      </c>
      <c r="Z386" s="80"/>
      <c r="AA386" s="3"/>
      <c r="AB386" s="3"/>
      <c r="AC386" s="14">
        <v>374</v>
      </c>
      <c r="AD386" s="14"/>
      <c r="AE386" s="14"/>
      <c r="AF386" s="3"/>
      <c r="AG386" s="3"/>
      <c r="AH386" s="3"/>
      <c r="AI386" s="14"/>
      <c r="AJ386" s="14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</row>
    <row r="387" spans="1:47" ht="14.25" customHeight="1" x14ac:dyDescent="0.2">
      <c r="A387" s="3"/>
      <c r="B387" s="417"/>
      <c r="C387" s="173">
        <v>377</v>
      </c>
      <c r="D387" s="165"/>
      <c r="E387" s="174">
        <v>8.9196625610592495E-3</v>
      </c>
      <c r="F387" s="502"/>
      <c r="G387" s="219">
        <f t="shared" si="32"/>
        <v>0.40794760139631592</v>
      </c>
      <c r="H387" s="249">
        <f>H386+(G386*E387*'life-tables-test'!$C$66)</f>
        <v>99.592052398603684</v>
      </c>
      <c r="I387" s="516">
        <f t="shared" si="36"/>
        <v>100</v>
      </c>
      <c r="J387" s="153">
        <f>(G387*0)/(1+cDR)^'Markov Model_SA2'!cycle</f>
        <v>0</v>
      </c>
      <c r="K387" s="178">
        <f t="shared" si="33"/>
        <v>0.40794760139631592</v>
      </c>
      <c r="L387" s="202">
        <f>(G387*(uPostT))/(1+oDR)^'Markov Model_SA2'!cycle</f>
        <v>0.1209500992493401</v>
      </c>
      <c r="M387" s="80"/>
      <c r="N387" s="3"/>
      <c r="O387" s="80"/>
      <c r="P387" s="173">
        <v>377</v>
      </c>
      <c r="Q387" s="165"/>
      <c r="R387" s="174">
        <v>8.9196625610592495E-3</v>
      </c>
      <c r="S387" s="502"/>
      <c r="T387" s="219">
        <f t="shared" si="37"/>
        <v>0.38433487077361406</v>
      </c>
      <c r="U387" s="249">
        <f>U386+(T386*R387*'life-tables-test'!$C$66)</f>
        <v>99.615665129226386</v>
      </c>
      <c r="V387" s="516">
        <f t="shared" si="34"/>
        <v>100</v>
      </c>
      <c r="W387" s="153">
        <f>(T387*0)/(1+cDR)^'Markov Model_SA2'!cycle2</f>
        <v>0</v>
      </c>
      <c r="X387" s="178">
        <f t="shared" si="35"/>
        <v>0.38433487077361406</v>
      </c>
      <c r="Y387" s="202">
        <f>(T387*(uPostT))/(1+oDR)^'Markov Model_SA2'!cycle</f>
        <v>0.11394929301199887</v>
      </c>
      <c r="Z387" s="80"/>
      <c r="AA387" s="3"/>
      <c r="AB387" s="3"/>
      <c r="AC387" s="14">
        <v>375</v>
      </c>
      <c r="AD387" s="14"/>
      <c r="AE387" s="14"/>
      <c r="AF387" s="3"/>
      <c r="AG387" s="3"/>
      <c r="AH387" s="3"/>
      <c r="AI387" s="14"/>
      <c r="AJ387" s="14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</row>
    <row r="388" spans="1:47" ht="14.25" customHeight="1" x14ac:dyDescent="0.2">
      <c r="A388" s="3"/>
      <c r="B388" s="417"/>
      <c r="C388" s="173">
        <v>378</v>
      </c>
      <c r="D388" s="165"/>
      <c r="E388" s="174">
        <v>8.9196625610592495E-3</v>
      </c>
      <c r="F388" s="502"/>
      <c r="G388" s="219">
        <f t="shared" si="32"/>
        <v>0.38975382666107805</v>
      </c>
      <c r="H388" s="249">
        <f>H387+(G387*E388*'life-tables-test'!$C$66)</f>
        <v>99.610246173338922</v>
      </c>
      <c r="I388" s="516">
        <f t="shared" si="36"/>
        <v>100</v>
      </c>
      <c r="J388" s="153">
        <f>(G388*0)/(1+cDR)^'Markov Model_SA2'!cycle</f>
        <v>0</v>
      </c>
      <c r="K388" s="178">
        <f t="shared" si="33"/>
        <v>0.38975382666107805</v>
      </c>
      <c r="L388" s="202">
        <f>(G388*(uPostT))/(1+oDR)^'Markov Model_SA2'!cycle</f>
        <v>0.11526775949046182</v>
      </c>
      <c r="M388" s="80"/>
      <c r="N388" s="3"/>
      <c r="O388" s="80"/>
      <c r="P388" s="173">
        <v>378</v>
      </c>
      <c r="Q388" s="165"/>
      <c r="R388" s="174">
        <v>8.9196625610592495E-3</v>
      </c>
      <c r="S388" s="502"/>
      <c r="T388" s="219">
        <f t="shared" si="37"/>
        <v>0.36719418398486425</v>
      </c>
      <c r="U388" s="249">
        <f>U387+(T387*R388*'life-tables-test'!$C$66)</f>
        <v>99.632805816015136</v>
      </c>
      <c r="V388" s="516">
        <f t="shared" si="34"/>
        <v>100</v>
      </c>
      <c r="W388" s="153">
        <f>(T388*0)/(1+cDR)^'Markov Model_SA2'!cycle2</f>
        <v>0</v>
      </c>
      <c r="X388" s="178">
        <f t="shared" si="35"/>
        <v>0.36719418398486425</v>
      </c>
      <c r="Y388" s="202">
        <f>(T388*(uPostT))/(1+oDR)^'Markov Model_SA2'!cycle</f>
        <v>0.10859585715541734</v>
      </c>
      <c r="Z388" s="80"/>
      <c r="AA388" s="3"/>
      <c r="AB388" s="3"/>
      <c r="AC388" s="14">
        <v>376</v>
      </c>
      <c r="AD388" s="14"/>
      <c r="AE388" s="14"/>
      <c r="AF388" s="3"/>
      <c r="AG388" s="3"/>
      <c r="AH388" s="3"/>
      <c r="AI388" s="14"/>
      <c r="AJ388" s="14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</row>
    <row r="389" spans="1:47" ht="14.25" customHeight="1" x14ac:dyDescent="0.2">
      <c r="A389" s="3"/>
      <c r="B389" s="417"/>
      <c r="C389" s="173">
        <v>379</v>
      </c>
      <c r="D389" s="165"/>
      <c r="E389" s="174">
        <v>8.9196625610592495E-3</v>
      </c>
      <c r="F389" s="502"/>
      <c r="G389" s="219">
        <f t="shared" si="32"/>
        <v>0.37237146358258144</v>
      </c>
      <c r="H389" s="249">
        <f>H388+(G388*E389*'life-tables-test'!$C$66)</f>
        <v>99.627628536417419</v>
      </c>
      <c r="I389" s="516">
        <f t="shared" si="36"/>
        <v>100</v>
      </c>
      <c r="J389" s="153">
        <f>(G389*0)/(1+cDR)^'Markov Model_SA2'!cycle</f>
        <v>0</v>
      </c>
      <c r="K389" s="178">
        <f t="shared" si="33"/>
        <v>0.37237146358258144</v>
      </c>
      <c r="L389" s="202">
        <f>(G389*(uPostT))/(1+oDR)^'Markov Model_SA2'!cycle</f>
        <v>0.10985238094397921</v>
      </c>
      <c r="M389" s="80"/>
      <c r="N389" s="3"/>
      <c r="O389" s="80"/>
      <c r="P389" s="173">
        <v>379</v>
      </c>
      <c r="Q389" s="165"/>
      <c r="R389" s="174">
        <v>8.9196625610592495E-3</v>
      </c>
      <c r="S389" s="502"/>
      <c r="T389" s="219">
        <f t="shared" si="37"/>
        <v>0.35081794290722712</v>
      </c>
      <c r="U389" s="249">
        <f>U388+(T388*R389*'life-tables-test'!$C$66)</f>
        <v>99.649182057092773</v>
      </c>
      <c r="V389" s="516">
        <f t="shared" si="34"/>
        <v>100</v>
      </c>
      <c r="W389" s="153">
        <f>(T389*0)/(1+cDR)^'Markov Model_SA2'!cycle2</f>
        <v>0</v>
      </c>
      <c r="X389" s="178">
        <f t="shared" si="35"/>
        <v>0.35081794290722712</v>
      </c>
      <c r="Y389" s="202">
        <f>(T389*(uPostT))/(1+oDR)^'Markov Model_SA2'!cycle</f>
        <v>0.10349393032283524</v>
      </c>
      <c r="Z389" s="80"/>
      <c r="AA389" s="3"/>
      <c r="AB389" s="3"/>
      <c r="AC389" s="14">
        <v>377</v>
      </c>
      <c r="AD389" s="14"/>
      <c r="AE389" s="14"/>
      <c r="AF389" s="3"/>
      <c r="AG389" s="3"/>
      <c r="AH389" s="3"/>
      <c r="AI389" s="14"/>
      <c r="AJ389" s="14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</row>
    <row r="390" spans="1:47" ht="14.25" customHeight="1" x14ac:dyDescent="0.2">
      <c r="A390" s="3"/>
      <c r="B390" s="417"/>
      <c r="C390" s="173">
        <v>380</v>
      </c>
      <c r="D390" s="165"/>
      <c r="E390" s="174">
        <v>8.9196625610592495E-3</v>
      </c>
      <c r="F390" s="502"/>
      <c r="G390" s="219">
        <f t="shared" si="32"/>
        <v>0.35576432456996088</v>
      </c>
      <c r="H390" s="249">
        <f>H389+(G389*E390*'life-tables-test'!$C$66)</f>
        <v>99.644235675430039</v>
      </c>
      <c r="I390" s="516">
        <f t="shared" si="36"/>
        <v>100</v>
      </c>
      <c r="J390" s="153">
        <f>(G390*0)/(1+cDR)^'Markov Model_SA2'!cycle</f>
        <v>0</v>
      </c>
      <c r="K390" s="178">
        <f t="shared" si="33"/>
        <v>0.35576432456996088</v>
      </c>
      <c r="L390" s="202">
        <f>(G390*(uPostT))/(1+oDR)^'Markov Model_SA2'!cycle</f>
        <v>0.10469142154237755</v>
      </c>
      <c r="M390" s="80"/>
      <c r="N390" s="3"/>
      <c r="O390" s="80"/>
      <c r="P390" s="173">
        <v>380</v>
      </c>
      <c r="Q390" s="165"/>
      <c r="R390" s="174">
        <v>8.9196625610592495E-3</v>
      </c>
      <c r="S390" s="502"/>
      <c r="T390" s="219">
        <f t="shared" si="37"/>
        <v>0.33517205455173382</v>
      </c>
      <c r="U390" s="249">
        <f>U389+(T389*R390*'life-tables-test'!$C$66)</f>
        <v>99.664827945448266</v>
      </c>
      <c r="V390" s="516">
        <f t="shared" si="34"/>
        <v>100</v>
      </c>
      <c r="W390" s="153">
        <f>(T390*0)/(1+cDR)^'Markov Model_SA2'!cycle2</f>
        <v>0</v>
      </c>
      <c r="X390" s="178">
        <f t="shared" si="35"/>
        <v>0.33517205455173382</v>
      </c>
      <c r="Y390" s="202">
        <f>(T390*(uPostT))/(1+oDR)^'Markov Model_SA2'!cycle</f>
        <v>9.8631696403836497E-2</v>
      </c>
      <c r="Z390" s="80"/>
      <c r="AA390" s="3"/>
      <c r="AB390" s="3"/>
      <c r="AC390" s="14">
        <v>378</v>
      </c>
      <c r="AD390" s="14"/>
      <c r="AE390" s="14"/>
      <c r="AF390" s="3"/>
      <c r="AG390" s="3"/>
      <c r="AH390" s="3"/>
      <c r="AI390" s="14"/>
      <c r="AJ390" s="14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</row>
    <row r="391" spans="1:47" ht="14.25" customHeight="1" x14ac:dyDescent="0.2">
      <c r="A391" s="3"/>
      <c r="B391" s="417"/>
      <c r="C391" s="173">
        <v>381</v>
      </c>
      <c r="D391" s="165"/>
      <c r="E391" s="174">
        <v>8.9196625610592495E-3</v>
      </c>
      <c r="F391" s="502"/>
      <c r="G391" s="219">
        <f t="shared" si="32"/>
        <v>0.33989783593781908</v>
      </c>
      <c r="H391" s="249">
        <f>H390+(G390*E391*'life-tables-test'!$C$66)</f>
        <v>99.660102164062181</v>
      </c>
      <c r="I391" s="516">
        <f t="shared" si="36"/>
        <v>100</v>
      </c>
      <c r="J391" s="153">
        <f>(G391*0)/(1+cDR)^'Markov Model_SA2'!cycle</f>
        <v>0</v>
      </c>
      <c r="K391" s="178">
        <f t="shared" si="33"/>
        <v>0.33989783593781908</v>
      </c>
      <c r="L391" s="202">
        <f>(G391*(uPostT))/(1+oDR)^'Markov Model_SA2'!cycle</f>
        <v>9.9772928455259619E-2</v>
      </c>
      <c r="M391" s="80"/>
      <c r="N391" s="3"/>
      <c r="O391" s="80"/>
      <c r="P391" s="173">
        <v>381</v>
      </c>
      <c r="Q391" s="165"/>
      <c r="R391" s="174">
        <v>8.9196625610592495E-3</v>
      </c>
      <c r="S391" s="502"/>
      <c r="T391" s="219">
        <f t="shared" si="37"/>
        <v>0.32022394641924734</v>
      </c>
      <c r="U391" s="249">
        <f>U390+(T390*R391*'life-tables-test'!$C$66)</f>
        <v>99.679776053580753</v>
      </c>
      <c r="V391" s="516">
        <f t="shared" si="34"/>
        <v>100</v>
      </c>
      <c r="W391" s="153">
        <f>(T391*0)/(1+cDR)^'Markov Model_SA2'!cycle2</f>
        <v>0</v>
      </c>
      <c r="X391" s="178">
        <f t="shared" si="35"/>
        <v>0.32022394641924734</v>
      </c>
      <c r="Y391" s="202">
        <f>(T391*(uPostT))/(1+oDR)^'Markov Model_SA2'!cycle</f>
        <v>9.3997894419055178E-2</v>
      </c>
      <c r="Z391" s="80"/>
      <c r="AA391" s="3"/>
      <c r="AB391" s="3"/>
      <c r="AC391" s="14">
        <v>379</v>
      </c>
      <c r="AD391" s="14"/>
      <c r="AE391" s="14"/>
      <c r="AF391" s="3"/>
      <c r="AG391" s="3"/>
      <c r="AH391" s="3"/>
      <c r="AI391" s="14"/>
      <c r="AJ391" s="14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</row>
    <row r="392" spans="1:47" ht="14.25" customHeight="1" x14ac:dyDescent="0.2">
      <c r="A392" s="3"/>
      <c r="B392" s="417"/>
      <c r="C392" s="173">
        <v>382</v>
      </c>
      <c r="D392" s="165"/>
      <c r="E392" s="174">
        <v>8.9196625610592495E-3</v>
      </c>
      <c r="F392" s="502"/>
      <c r="G392" s="219">
        <f t="shared" si="32"/>
        <v>0.32473896592881601</v>
      </c>
      <c r="H392" s="249">
        <f>H391+(G391*E392*'life-tables-test'!$C$66)</f>
        <v>99.675261034071184</v>
      </c>
      <c r="I392" s="516">
        <f t="shared" si="36"/>
        <v>100</v>
      </c>
      <c r="J392" s="153">
        <f>(G392*0)/(1+cDR)^'Markov Model_SA2'!cycle</f>
        <v>0</v>
      </c>
      <c r="K392" s="178">
        <f t="shared" si="33"/>
        <v>0.32473896592881601</v>
      </c>
      <c r="L392" s="202">
        <f>(G392*(uPostT))/(1+oDR)^'Markov Model_SA2'!cycle</f>
        <v>9.5085510406493851E-2</v>
      </c>
      <c r="M392" s="80"/>
      <c r="N392" s="3"/>
      <c r="O392" s="80"/>
      <c r="P392" s="173">
        <v>382</v>
      </c>
      <c r="Q392" s="165"/>
      <c r="R392" s="174">
        <v>8.9196625610592495E-3</v>
      </c>
      <c r="S392" s="502"/>
      <c r="T392" s="219">
        <f t="shared" si="37"/>
        <v>0.30594249868909174</v>
      </c>
      <c r="U392" s="249">
        <f>U391+(T391*R392*'life-tables-test'!$C$66)</f>
        <v>99.694057501310908</v>
      </c>
      <c r="V392" s="516">
        <f t="shared" si="34"/>
        <v>100</v>
      </c>
      <c r="W392" s="153">
        <f>(T392*0)/(1+cDR)^'Markov Model_SA2'!cycle2</f>
        <v>0</v>
      </c>
      <c r="X392" s="178">
        <f t="shared" si="35"/>
        <v>0.30594249868909174</v>
      </c>
      <c r="Y392" s="202">
        <f>(T392*(uPostT))/(1+oDR)^'Markov Model_SA2'!cycle</f>
        <v>8.9581792439614866E-2</v>
      </c>
      <c r="Z392" s="80"/>
      <c r="AA392" s="3"/>
      <c r="AB392" s="3"/>
      <c r="AC392" s="14">
        <v>380</v>
      </c>
      <c r="AD392" s="14"/>
      <c r="AE392" s="14"/>
      <c r="AF392" s="3"/>
      <c r="AG392" s="3"/>
      <c r="AH392" s="3"/>
      <c r="AI392" s="14"/>
      <c r="AJ392" s="14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</row>
    <row r="393" spans="1:47" ht="14.25" customHeight="1" x14ac:dyDescent="0.2">
      <c r="A393" s="3"/>
      <c r="B393" s="417"/>
      <c r="C393" s="173">
        <v>383</v>
      </c>
      <c r="D393" s="165"/>
      <c r="E393" s="174">
        <v>8.9196625610592495E-3</v>
      </c>
      <c r="F393" s="502"/>
      <c r="G393" s="219">
        <f t="shared" si="32"/>
        <v>0.31025615594624867</v>
      </c>
      <c r="H393" s="249">
        <f>H392+(G392*E393*'life-tables-test'!$C$66)</f>
        <v>99.689743844053751</v>
      </c>
      <c r="I393" s="516">
        <f t="shared" si="36"/>
        <v>100</v>
      </c>
      <c r="J393" s="153">
        <f>(G393*0)/(1+cDR)^'Markov Model_SA2'!cycle</f>
        <v>0</v>
      </c>
      <c r="K393" s="178">
        <f t="shared" si="33"/>
        <v>0.31025615594624867</v>
      </c>
      <c r="L393" s="202">
        <f>(G393*(uPostT))/(1+oDR)^'Markov Model_SA2'!cycle</f>
        <v>9.0618311291902426E-2</v>
      </c>
      <c r="M393" s="80"/>
      <c r="N393" s="3"/>
      <c r="O393" s="80"/>
      <c r="P393" s="173">
        <v>383</v>
      </c>
      <c r="Q393" s="165"/>
      <c r="R393" s="174">
        <v>8.9196625610592495E-3</v>
      </c>
      <c r="S393" s="502"/>
      <c r="T393" s="219">
        <f t="shared" si="37"/>
        <v>0.29229797943212077</v>
      </c>
      <c r="U393" s="249">
        <f>U392+(T392*R393*'life-tables-test'!$C$66)</f>
        <v>99.707702020567879</v>
      </c>
      <c r="V393" s="516">
        <f t="shared" si="34"/>
        <v>100</v>
      </c>
      <c r="W393" s="153">
        <f>(T393*0)/(1+cDR)^'Markov Model_SA2'!cycle2</f>
        <v>0</v>
      </c>
      <c r="X393" s="178">
        <f t="shared" si="35"/>
        <v>0.29229797943212077</v>
      </c>
      <c r="Y393" s="202">
        <f>(T393*(uPostT))/(1+oDR)^'Markov Model_SA2'!cycle</f>
        <v>8.5373162731903804E-2</v>
      </c>
      <c r="Z393" s="80"/>
      <c r="AA393" s="3"/>
      <c r="AB393" s="3"/>
      <c r="AC393" s="14">
        <v>381</v>
      </c>
      <c r="AD393" s="14"/>
      <c r="AE393" s="14"/>
      <c r="AF393" s="3"/>
      <c r="AG393" s="3"/>
      <c r="AH393" s="3"/>
      <c r="AI393" s="14"/>
      <c r="AJ393" s="14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</row>
    <row r="394" spans="1:47" ht="14.25" customHeight="1" x14ac:dyDescent="0.2">
      <c r="A394" s="3"/>
      <c r="B394" s="417"/>
      <c r="C394" s="173">
        <v>384</v>
      </c>
      <c r="D394" s="165"/>
      <c r="E394" s="174">
        <v>8.9196625610592495E-3</v>
      </c>
      <c r="F394" s="502"/>
      <c r="G394" s="219">
        <f t="shared" si="32"/>
        <v>0.29641925485358911</v>
      </c>
      <c r="H394" s="249">
        <f>H393+(G393*E394*'life-tables-test'!$C$66)</f>
        <v>99.703580745146411</v>
      </c>
      <c r="I394" s="516">
        <f t="shared" si="36"/>
        <v>100</v>
      </c>
      <c r="J394" s="153">
        <f>(G394*0)/(1+cDR)^'Markov Model_SA2'!cycle</f>
        <v>0</v>
      </c>
      <c r="K394" s="178">
        <f t="shared" si="33"/>
        <v>0.29641925485358911</v>
      </c>
      <c r="L394" s="202">
        <f>(G394*(uPostT))/(1+oDR)^'Markov Model_SA2'!cycle</f>
        <v>8.6360985036427362E-2</v>
      </c>
      <c r="M394" s="80"/>
      <c r="N394" s="3"/>
      <c r="O394" s="80"/>
      <c r="P394" s="173">
        <v>384</v>
      </c>
      <c r="Q394" s="165"/>
      <c r="R394" s="174">
        <v>8.9196625610592495E-3</v>
      </c>
      <c r="S394" s="502"/>
      <c r="T394" s="219">
        <f t="shared" si="37"/>
        <v>0.27926198271305225</v>
      </c>
      <c r="U394" s="249">
        <f>U393+(T393*R394*'life-tables-test'!$C$66)</f>
        <v>99.720738017286948</v>
      </c>
      <c r="V394" s="516">
        <f t="shared" si="34"/>
        <v>100</v>
      </c>
      <c r="W394" s="153">
        <f>(T394*0)/(1+cDR)^'Markov Model_SA2'!cycle2</f>
        <v>0</v>
      </c>
      <c r="X394" s="178">
        <f t="shared" si="35"/>
        <v>0.27926198271305225</v>
      </c>
      <c r="Y394" s="202">
        <f>(T394*(uPostT))/(1+oDR)^'Markov Model_SA2'!cycle</f>
        <v>8.1362258070034152E-2</v>
      </c>
      <c r="Z394" s="80"/>
      <c r="AA394" s="3"/>
      <c r="AB394" s="3"/>
      <c r="AC394" s="14">
        <v>382</v>
      </c>
      <c r="AD394" s="14"/>
      <c r="AE394" s="14"/>
      <c r="AF394" s="3"/>
      <c r="AG394" s="3"/>
      <c r="AH394" s="3"/>
      <c r="AI394" s="14"/>
      <c r="AJ394" s="14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</row>
    <row r="395" spans="1:47" ht="14.25" customHeight="1" x14ac:dyDescent="0.2">
      <c r="A395" s="3"/>
      <c r="B395" s="417"/>
      <c r="C395" s="173">
        <v>385</v>
      </c>
      <c r="D395" s="504"/>
      <c r="E395" s="174">
        <v>8.9196625610592495E-3</v>
      </c>
      <c r="F395" s="505"/>
      <c r="G395" s="219">
        <f t="shared" si="32"/>
        <v>0.28319945620411602</v>
      </c>
      <c r="H395" s="249">
        <f>H394+(G394*E395*'life-tables-test'!$C$66)</f>
        <v>99.716800543795884</v>
      </c>
      <c r="I395" s="516">
        <f t="shared" si="36"/>
        <v>100</v>
      </c>
      <c r="J395" s="180">
        <f>(G395*0)/(1+cDR)^'Markov Model_SA2'!cycle</f>
        <v>0</v>
      </c>
      <c r="K395" s="176">
        <f t="shared" si="33"/>
        <v>0.28319945620411602</v>
      </c>
      <c r="L395" s="202">
        <f>(G395*(uPostT))/(1+oDR)^'Markov Model_SA2'!cycle</f>
        <v>8.2303671632518005E-2</v>
      </c>
      <c r="M395" s="80"/>
      <c r="N395" s="3"/>
      <c r="O395" s="80"/>
      <c r="P395" s="173">
        <v>385</v>
      </c>
      <c r="Q395" s="504"/>
      <c r="R395" s="174">
        <v>8.9196625610592495E-3</v>
      </c>
      <c r="S395" s="505"/>
      <c r="T395" s="219">
        <f t="shared" si="37"/>
        <v>0.26680736945338879</v>
      </c>
      <c r="U395" s="249">
        <f>U394+(T394*R395*'life-tables-test'!$C$66)</f>
        <v>99.733192630546611</v>
      </c>
      <c r="V395" s="516">
        <f t="shared" si="34"/>
        <v>100</v>
      </c>
      <c r="W395" s="180">
        <f>(T395*0)/(1+cDR)^'Markov Model_SA2'!cycle2</f>
        <v>0</v>
      </c>
      <c r="X395" s="176">
        <f t="shared" si="35"/>
        <v>0.26680736945338879</v>
      </c>
      <c r="Y395" s="202">
        <f>(T395*(uPostT))/(1+oDR)^'Markov Model_SA2'!cycle</f>
        <v>7.7539789161178721E-2</v>
      </c>
      <c r="Z395" s="80"/>
      <c r="AA395" s="3"/>
      <c r="AB395" s="3"/>
      <c r="AC395" s="14">
        <v>383</v>
      </c>
      <c r="AD395" s="14"/>
      <c r="AE395" s="14"/>
      <c r="AF395" s="3"/>
      <c r="AG395" s="3"/>
      <c r="AH395" s="3"/>
      <c r="AI395" s="14"/>
      <c r="AJ395" s="14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</row>
    <row r="396" spans="1:47" ht="14.25" customHeight="1" x14ac:dyDescent="0.25">
      <c r="A396" s="3">
        <v>34</v>
      </c>
      <c r="B396" s="417"/>
      <c r="C396" s="506">
        <v>386</v>
      </c>
      <c r="D396" s="506"/>
      <c r="E396" s="507">
        <v>8.9196625610592495E-3</v>
      </c>
      <c r="F396" s="508"/>
      <c r="G396" s="509">
        <f t="shared" ref="G396:G408" si="38">$G$10-H396</f>
        <v>0.27056923827004198</v>
      </c>
      <c r="H396" s="510">
        <f>H395+(G395*E396*'life-tables-test'!$C$66)</f>
        <v>99.729430761729958</v>
      </c>
      <c r="I396" s="518">
        <f t="shared" si="36"/>
        <v>100</v>
      </c>
      <c r="J396" s="511">
        <f>(G396*0)/(1+cDR)^'Markov Model_SA2'!cycle</f>
        <v>0</v>
      </c>
      <c r="K396" s="512">
        <f t="shared" si="33"/>
        <v>0.27056923827004198</v>
      </c>
      <c r="L396" s="513">
        <f>(G396*(uPostT))/(1+oDR)^'Markov Model_SA2'!cycle</f>
        <v>7.8436974304267923E-2</v>
      </c>
      <c r="M396" s="80"/>
      <c r="N396" s="3"/>
      <c r="O396" s="80"/>
      <c r="P396" s="506">
        <v>386</v>
      </c>
      <c r="Q396" s="506"/>
      <c r="R396" s="507">
        <v>8.9196625610592495E-3</v>
      </c>
      <c r="S396" s="508"/>
      <c r="T396" s="509">
        <f t="shared" si="37"/>
        <v>0.25490821093174532</v>
      </c>
      <c r="U396" s="510">
        <f>U395+(T395*R396*'life-tables-test'!$C$66)</f>
        <v>99.745091789068255</v>
      </c>
      <c r="V396" s="518">
        <f t="shared" si="34"/>
        <v>100</v>
      </c>
      <c r="W396" s="511">
        <f>(T396*0)/(1+cDR)^'Markov Model_SA2'!cycle2</f>
        <v>0</v>
      </c>
      <c r="X396" s="512">
        <f t="shared" si="35"/>
        <v>0.25490821093174532</v>
      </c>
      <c r="Y396" s="513">
        <f>(T396*(uPostT))/(1+oDR)^'Markov Model_SA2'!cycle</f>
        <v>7.3896903131482186E-2</v>
      </c>
      <c r="Z396" s="80"/>
      <c r="AA396" s="3"/>
      <c r="AB396" s="3"/>
      <c r="AC396" s="14">
        <v>384</v>
      </c>
      <c r="AD396" s="14"/>
      <c r="AE396" s="14"/>
      <c r="AF396" s="3"/>
      <c r="AG396" s="3"/>
      <c r="AH396" s="3"/>
      <c r="AI396" s="14"/>
      <c r="AJ396" s="14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</row>
    <row r="397" spans="1:47" ht="14.25" customHeight="1" x14ac:dyDescent="0.2">
      <c r="A397" s="3"/>
      <c r="B397" s="417"/>
      <c r="C397" s="173">
        <v>387</v>
      </c>
      <c r="D397" s="165"/>
      <c r="E397" s="174">
        <v>1.0042812600308371E-2</v>
      </c>
      <c r="F397" s="502"/>
      <c r="G397" s="219">
        <f t="shared" si="38"/>
        <v>0.25698285749326999</v>
      </c>
      <c r="H397" s="249">
        <f>H396+(G396*E397*'life-tables-test'!$C$66)</f>
        <v>99.74301714250673</v>
      </c>
      <c r="I397" s="516">
        <f t="shared" si="36"/>
        <v>100</v>
      </c>
      <c r="J397" s="153">
        <f>(G397*0)/(1+cDR)^'Markov Model_SA2'!cycle</f>
        <v>0</v>
      </c>
      <c r="K397" s="178">
        <f t="shared" si="33"/>
        <v>0.25698285749326999</v>
      </c>
      <c r="L397" s="202">
        <f>(G397*(uPostT))/(1+oDR)^'Markov Model_SA2'!cycle</f>
        <v>7.4312553750526519E-2</v>
      </c>
      <c r="M397" s="80"/>
      <c r="N397" s="3"/>
      <c r="O397" s="80"/>
      <c r="P397" s="173">
        <v>387</v>
      </c>
      <c r="Q397" s="165"/>
      <c r="R397" s="174">
        <v>1.0042812600308371E-2</v>
      </c>
      <c r="S397" s="502"/>
      <c r="T397" s="219">
        <f t="shared" si="37"/>
        <v>0.24210823396840908</v>
      </c>
      <c r="U397" s="249">
        <f>U396+(T396*R397*'life-tables-test'!$C$66)</f>
        <v>99.757891766031591</v>
      </c>
      <c r="V397" s="516">
        <f t="shared" si="34"/>
        <v>100</v>
      </c>
      <c r="W397" s="153">
        <f>(T397*0)/(1+cDR)^'Markov Model_SA2'!cycle2</f>
        <v>0</v>
      </c>
      <c r="X397" s="178">
        <f t="shared" si="35"/>
        <v>0.24210823396840908</v>
      </c>
      <c r="Y397" s="202">
        <f>(T397*(uPostT))/(1+oDR)^'Markov Model_SA2'!cycle</f>
        <v>7.0011211353635236E-2</v>
      </c>
      <c r="Z397" s="80"/>
      <c r="AA397" s="3"/>
      <c r="AB397" s="3"/>
      <c r="AC397" s="14">
        <v>385</v>
      </c>
      <c r="AD397" s="14"/>
      <c r="AE397" s="14"/>
      <c r="AF397" s="3"/>
      <c r="AG397" s="3"/>
      <c r="AH397" s="3"/>
      <c r="AI397" s="14"/>
      <c r="AJ397" s="14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</row>
    <row r="398" spans="1:47" ht="14.25" customHeight="1" x14ac:dyDescent="0.2">
      <c r="A398" s="3"/>
      <c r="B398" s="417"/>
      <c r="C398" s="173">
        <v>388</v>
      </c>
      <c r="D398" s="165"/>
      <c r="E398" s="174">
        <v>1.0042812600308371E-2</v>
      </c>
      <c r="F398" s="502"/>
      <c r="G398" s="219">
        <f t="shared" si="38"/>
        <v>0.24407870409679333</v>
      </c>
      <c r="H398" s="249">
        <f>H397+(G397*E398*'life-tables-test'!$C$66)</f>
        <v>99.755921295903207</v>
      </c>
      <c r="I398" s="516">
        <f t="shared" si="36"/>
        <v>100</v>
      </c>
      <c r="J398" s="153">
        <f>(G398*0)/(1+cDR)^'Markov Model_SA2'!cycle</f>
        <v>0</v>
      </c>
      <c r="K398" s="178">
        <f t="shared" si="33"/>
        <v>0.24407870409679333</v>
      </c>
      <c r="L398" s="202">
        <f>(G398*(uPostT))/(1+oDR)^'Markov Model_SA2'!cycle</f>
        <v>7.0405005979744681E-2</v>
      </c>
      <c r="M398" s="80"/>
      <c r="N398" s="3"/>
      <c r="O398" s="80"/>
      <c r="P398" s="173">
        <v>388</v>
      </c>
      <c r="Q398" s="165"/>
      <c r="R398" s="174">
        <v>1.0042812600308371E-2</v>
      </c>
      <c r="S398" s="502"/>
      <c r="T398" s="219">
        <f t="shared" si="37"/>
        <v>0.2299509958547219</v>
      </c>
      <c r="U398" s="249">
        <f>U397+(T397*R398*'life-tables-test'!$C$66)</f>
        <v>99.770049004145278</v>
      </c>
      <c r="V398" s="516">
        <f t="shared" si="34"/>
        <v>100</v>
      </c>
      <c r="W398" s="153">
        <f>(T398*0)/(1+cDR)^'Markov Model_SA2'!cycle2</f>
        <v>0</v>
      </c>
      <c r="X398" s="178">
        <f t="shared" si="35"/>
        <v>0.2299509958547219</v>
      </c>
      <c r="Y398" s="202">
        <f>(T398*(uPostT))/(1+oDR)^'Markov Model_SA2'!cycle</f>
        <v>6.6329839377464297E-2</v>
      </c>
      <c r="Z398" s="80"/>
      <c r="AA398" s="3"/>
      <c r="AB398" s="3"/>
      <c r="AC398" s="14">
        <v>386</v>
      </c>
      <c r="AD398" s="14"/>
      <c r="AE398" s="14"/>
      <c r="AF398" s="3"/>
      <c r="AG398" s="3"/>
      <c r="AH398" s="3"/>
      <c r="AI398" s="14"/>
      <c r="AJ398" s="14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</row>
    <row r="399" spans="1:47" ht="14.25" customHeight="1" x14ac:dyDescent="0.2">
      <c r="A399" s="3"/>
      <c r="B399" s="417"/>
      <c r="C399" s="173">
        <v>389</v>
      </c>
      <c r="D399" s="165"/>
      <c r="E399" s="174">
        <v>1.0042812600308371E-2</v>
      </c>
      <c r="F399" s="502"/>
      <c r="G399" s="219">
        <f t="shared" si="38"/>
        <v>0.23182252067194042</v>
      </c>
      <c r="H399" s="249">
        <f>H398+(G398*E399*'life-tables-test'!$C$66)</f>
        <v>99.76817747932806</v>
      </c>
      <c r="I399" s="516">
        <f t="shared" si="36"/>
        <v>100</v>
      </c>
      <c r="J399" s="153">
        <f>(G399*0)/(1+cDR)^'Markov Model_SA2'!cycle</f>
        <v>0</v>
      </c>
      <c r="K399" s="178">
        <f t="shared" si="33"/>
        <v>0.23182252067194042</v>
      </c>
      <c r="L399" s="202">
        <f>(G399*(uPostT))/(1+oDR)^'Markov Model_SA2'!cycle</f>
        <v>6.6702927255714042E-2</v>
      </c>
      <c r="M399" s="80"/>
      <c r="N399" s="3"/>
      <c r="O399" s="80"/>
      <c r="P399" s="173">
        <v>389</v>
      </c>
      <c r="Q399" s="165"/>
      <c r="R399" s="174">
        <v>1.0042812600308371E-2</v>
      </c>
      <c r="S399" s="502"/>
      <c r="T399" s="219">
        <f t="shared" si="37"/>
        <v>0.21840422206160781</v>
      </c>
      <c r="U399" s="249">
        <f>U398+(T398*R399*'life-tables-test'!$C$66)</f>
        <v>99.781595777938392</v>
      </c>
      <c r="V399" s="516">
        <f t="shared" si="34"/>
        <v>100</v>
      </c>
      <c r="W399" s="153">
        <f>(T399*0)/(1+cDR)^'Markov Model_SA2'!cycle2</f>
        <v>0</v>
      </c>
      <c r="X399" s="178">
        <f t="shared" si="35"/>
        <v>0.21840422206160781</v>
      </c>
      <c r="Y399" s="202">
        <f>(T399*(uPostT))/(1+oDR)^'Markov Model_SA2'!cycle</f>
        <v>6.2842043535244682E-2</v>
      </c>
      <c r="Z399" s="80"/>
      <c r="AA399" s="3"/>
      <c r="AB399" s="3"/>
      <c r="AC399" s="14">
        <v>387</v>
      </c>
      <c r="AD399" s="3"/>
      <c r="AE399" s="3"/>
      <c r="AF399" s="3"/>
      <c r="AG399" s="3"/>
      <c r="AH399" s="3"/>
      <c r="AI399" s="14"/>
      <c r="AJ399" s="14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</row>
    <row r="400" spans="1:47" ht="14.25" customHeight="1" x14ac:dyDescent="0.2">
      <c r="A400" s="3"/>
      <c r="B400" s="417"/>
      <c r="C400" s="173">
        <v>390</v>
      </c>
      <c r="D400" s="165"/>
      <c r="E400" s="174">
        <v>1.0042812600308371E-2</v>
      </c>
      <c r="F400" s="502"/>
      <c r="G400" s="219">
        <f t="shared" si="38"/>
        <v>0.22018177001373829</v>
      </c>
      <c r="H400" s="249">
        <f>H399+(G399*E400*'life-tables-test'!$C$66)</f>
        <v>99.779818229986262</v>
      </c>
      <c r="I400" s="516">
        <f t="shared" si="36"/>
        <v>100</v>
      </c>
      <c r="J400" s="153">
        <f>(G400*0)/(1+cDR)^'Markov Model_SA2'!cycle</f>
        <v>0</v>
      </c>
      <c r="K400" s="178">
        <f t="shared" si="33"/>
        <v>0.22018177001373829</v>
      </c>
      <c r="L400" s="202">
        <f>(G400*(uPostT))/(1+oDR)^'Markov Model_SA2'!cycle</f>
        <v>6.3195513480405877E-2</v>
      </c>
      <c r="M400" s="80"/>
      <c r="N400" s="3"/>
      <c r="O400" s="80"/>
      <c r="P400" s="173">
        <v>390</v>
      </c>
      <c r="Q400" s="165"/>
      <c r="R400" s="174">
        <v>1.0042812600308371E-2</v>
      </c>
      <c r="S400" s="502"/>
      <c r="T400" s="219">
        <f t="shared" si="37"/>
        <v>0.20743725869520802</v>
      </c>
      <c r="U400" s="249">
        <f>U399+(T399*R400*'life-tables-test'!$C$66)</f>
        <v>99.792562741304792</v>
      </c>
      <c r="V400" s="516">
        <f t="shared" si="34"/>
        <v>100</v>
      </c>
      <c r="W400" s="153">
        <f>(T400*0)/(1+cDR)^'Markov Model_SA2'!cycle2</f>
        <v>0</v>
      </c>
      <c r="X400" s="178">
        <f t="shared" si="35"/>
        <v>0.20743725869520802</v>
      </c>
      <c r="Y400" s="202">
        <f>(T400*(uPostT))/(1+oDR)^'Markov Model_SA2'!cycle</f>
        <v>5.9537645089298333E-2</v>
      </c>
      <c r="Z400" s="80"/>
      <c r="AA400" s="3"/>
      <c r="AB400" s="3"/>
      <c r="AC400" s="14">
        <v>388</v>
      </c>
      <c r="AD400" s="3"/>
      <c r="AE400" s="3"/>
      <c r="AF400" s="3"/>
      <c r="AG400" s="3"/>
      <c r="AH400" s="3"/>
      <c r="AI400" s="14"/>
      <c r="AJ400" s="14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</row>
    <row r="401" spans="1:47" ht="14.25" customHeight="1" x14ac:dyDescent="0.2">
      <c r="A401" s="3"/>
      <c r="B401" s="417"/>
      <c r="C401" s="173">
        <v>391</v>
      </c>
      <c r="D401" s="165"/>
      <c r="E401" s="174">
        <v>1.0042812600308371E-2</v>
      </c>
      <c r="F401" s="502"/>
      <c r="G401" s="219">
        <f t="shared" si="38"/>
        <v>0.20912554874247746</v>
      </c>
      <c r="H401" s="249">
        <f>H400+(G400*E401*'life-tables-test'!$C$66)</f>
        <v>99.790874451257523</v>
      </c>
      <c r="I401" s="516">
        <f t="shared" si="36"/>
        <v>100</v>
      </c>
      <c r="J401" s="153">
        <f>(G401*0)/(1+cDR)^'Markov Model_SA2'!cycle</f>
        <v>0</v>
      </c>
      <c r="K401" s="178">
        <f t="shared" si="33"/>
        <v>0.20912554874247746</v>
      </c>
      <c r="L401" s="202">
        <f>(G401*(uPostT))/(1+oDR)^'Markov Model_SA2'!cycle</f>
        <v>5.9872528663427439E-2</v>
      </c>
      <c r="M401" s="80"/>
      <c r="N401" s="3"/>
      <c r="O401" s="80"/>
      <c r="P401" s="173">
        <v>391</v>
      </c>
      <c r="Q401" s="165"/>
      <c r="R401" s="174">
        <v>1.0042812600308371E-2</v>
      </c>
      <c r="S401" s="502"/>
      <c r="T401" s="219">
        <f t="shared" si="37"/>
        <v>0.19702099111822235</v>
      </c>
      <c r="U401" s="249">
        <f>U400+(T400*R401*'life-tables-test'!$C$66)</f>
        <v>99.802979008881778</v>
      </c>
      <c r="V401" s="516">
        <f t="shared" si="34"/>
        <v>100</v>
      </c>
      <c r="W401" s="153">
        <f>(T401*0)/(1+cDR)^'Markov Model_SA2'!cycle2</f>
        <v>0</v>
      </c>
      <c r="X401" s="178">
        <f t="shared" si="35"/>
        <v>0.19702099111822235</v>
      </c>
      <c r="Y401" s="202">
        <f>(T401*(uPostT))/(1+oDR)^'Markov Model_SA2'!cycle</f>
        <v>5.6407000526505366E-2</v>
      </c>
      <c r="Z401" s="80"/>
      <c r="AA401" s="3"/>
      <c r="AB401" s="3"/>
      <c r="AC401" s="3"/>
      <c r="AD401" s="3"/>
      <c r="AE401" s="3"/>
      <c r="AF401" s="3"/>
      <c r="AG401" s="3"/>
      <c r="AH401" s="3"/>
      <c r="AI401" s="14"/>
      <c r="AJ401" s="14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</row>
    <row r="402" spans="1:47" ht="14.25" customHeight="1" x14ac:dyDescent="0.2">
      <c r="A402" s="3"/>
      <c r="B402" s="417"/>
      <c r="C402" s="173">
        <v>392</v>
      </c>
      <c r="D402" s="165"/>
      <c r="E402" s="174">
        <v>1.0042812600308371E-2</v>
      </c>
      <c r="F402" s="502"/>
      <c r="G402" s="219">
        <f t="shared" si="38"/>
        <v>0.1986245052626856</v>
      </c>
      <c r="H402" s="249">
        <f>H401+(G401*E402*'life-tables-test'!$C$66)</f>
        <v>99.801375494737314</v>
      </c>
      <c r="I402" s="516">
        <f t="shared" si="36"/>
        <v>100</v>
      </c>
      <c r="J402" s="153">
        <f>(G402*0)/(1+cDR)^'Markov Model_SA2'!cycle</f>
        <v>0</v>
      </c>
      <c r="K402" s="178">
        <f t="shared" si="33"/>
        <v>0.1986245052626856</v>
      </c>
      <c r="L402" s="202">
        <f>(G402*(uPostT))/(1+oDR)^'Markov Model_SA2'!cycle</f>
        <v>5.6724275049435412E-2</v>
      </c>
      <c r="M402" s="80"/>
      <c r="N402" s="3"/>
      <c r="O402" s="80"/>
      <c r="P402" s="173">
        <v>392</v>
      </c>
      <c r="Q402" s="165"/>
      <c r="R402" s="174">
        <v>1.0042812600308371E-2</v>
      </c>
      <c r="S402" s="502"/>
      <c r="T402" s="219">
        <f t="shared" si="37"/>
        <v>0.18712776665758213</v>
      </c>
      <c r="U402" s="249">
        <f>U401+(T401*R402*'life-tables-test'!$C$66)</f>
        <v>99.812872233342418</v>
      </c>
      <c r="V402" s="516">
        <f t="shared" si="34"/>
        <v>100</v>
      </c>
      <c r="W402" s="153">
        <f>(T402*0)/(1+cDR)^'Markov Model_SA2'!cycle2</f>
        <v>0</v>
      </c>
      <c r="X402" s="178">
        <f t="shared" si="35"/>
        <v>0.18712776665758213</v>
      </c>
      <c r="Y402" s="202">
        <f>(T402*(uPostT))/(1+oDR)^'Markov Model_SA2'!cycle</f>
        <v>5.3440973414801383E-2</v>
      </c>
      <c r="Z402" s="80"/>
      <c r="AA402" s="3"/>
      <c r="AB402" s="3"/>
      <c r="AC402" s="3"/>
      <c r="AD402" s="3"/>
      <c r="AE402" s="3"/>
      <c r="AF402" s="3"/>
      <c r="AG402" s="3"/>
      <c r="AH402" s="3"/>
      <c r="AI402" s="14"/>
      <c r="AJ402" s="14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</row>
    <row r="403" spans="1:47" ht="14.25" customHeight="1" x14ac:dyDescent="0.2">
      <c r="A403" s="3"/>
      <c r="B403" s="417"/>
      <c r="C403" s="173">
        <v>393</v>
      </c>
      <c r="D403" s="165"/>
      <c r="E403" s="174">
        <v>1.0042812600308371E-2</v>
      </c>
      <c r="F403" s="502"/>
      <c r="G403" s="219">
        <f t="shared" si="38"/>
        <v>0.18865076184177099</v>
      </c>
      <c r="H403" s="249">
        <f>H402+(G402*E403*'life-tables-test'!$C$66)</f>
        <v>99.811349238158229</v>
      </c>
      <c r="I403" s="516">
        <f t="shared" si="36"/>
        <v>100</v>
      </c>
      <c r="J403" s="153">
        <f>(G403*0)/(1+cDR)^'Markov Model_SA2'!cycle</f>
        <v>0</v>
      </c>
      <c r="K403" s="178">
        <f t="shared" si="33"/>
        <v>0.18865076184177099</v>
      </c>
      <c r="L403" s="202">
        <f>(G403*(uPostT))/(1+oDR)^'Markov Model_SA2'!cycle</f>
        <v>5.3741564816344269E-2</v>
      </c>
      <c r="M403" s="80"/>
      <c r="N403" s="3"/>
      <c r="O403" s="80"/>
      <c r="P403" s="173">
        <v>393</v>
      </c>
      <c r="Q403" s="165"/>
      <c r="R403" s="174">
        <v>1.0042812600308371E-2</v>
      </c>
      <c r="S403" s="502"/>
      <c r="T403" s="219">
        <f t="shared" si="37"/>
        <v>0.17773132119330626</v>
      </c>
      <c r="U403" s="249">
        <f>U402+(T402*R403*'life-tables-test'!$C$66)</f>
        <v>99.822268678806694</v>
      </c>
      <c r="V403" s="516">
        <f t="shared" si="34"/>
        <v>100</v>
      </c>
      <c r="W403" s="153">
        <f>(T403*0)/(1+cDR)^'Markov Model_SA2'!cycle2</f>
        <v>0</v>
      </c>
      <c r="X403" s="178">
        <f t="shared" si="35"/>
        <v>0.17773132119330626</v>
      </c>
      <c r="Y403" s="202">
        <f>(T403*(uPostT))/(1+oDR)^'Markov Model_SA2'!cycle</f>
        <v>5.0630907739539627E-2</v>
      </c>
      <c r="Z403" s="80"/>
      <c r="AA403" s="3"/>
      <c r="AB403" s="3"/>
      <c r="AC403" s="3"/>
      <c r="AD403" s="3"/>
      <c r="AE403" s="3"/>
      <c r="AF403" s="3"/>
      <c r="AG403" s="3"/>
      <c r="AH403" s="3"/>
      <c r="AI403" s="14"/>
      <c r="AJ403" s="14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</row>
    <row r="404" spans="1:47" ht="14.25" customHeight="1" x14ac:dyDescent="0.2">
      <c r="A404" s="3"/>
      <c r="B404" s="417"/>
      <c r="C404" s="173">
        <v>394</v>
      </c>
      <c r="D404" s="165"/>
      <c r="E404" s="174">
        <v>1.0042812600308371E-2</v>
      </c>
      <c r="F404" s="502"/>
      <c r="G404" s="219">
        <f t="shared" si="38"/>
        <v>0.17917784060135489</v>
      </c>
      <c r="H404" s="249">
        <f>H403+(G403*E404*'life-tables-test'!$C$66)</f>
        <v>99.820822159398645</v>
      </c>
      <c r="I404" s="516">
        <f t="shared" si="36"/>
        <v>100</v>
      </c>
      <c r="J404" s="153">
        <f>(G404*0)/(1+cDR)^'Markov Model_SA2'!cycle</f>
        <v>0</v>
      </c>
      <c r="K404" s="178">
        <f t="shared" si="33"/>
        <v>0.17917784060135489</v>
      </c>
      <c r="L404" s="202">
        <f>(G404*(uPostT))/(1+oDR)^'Markov Model_SA2'!cycle</f>
        <v>5.0915693261699375E-2</v>
      </c>
      <c r="M404" s="80"/>
      <c r="N404" s="3"/>
      <c r="O404" s="80"/>
      <c r="P404" s="173">
        <v>394</v>
      </c>
      <c r="Q404" s="165"/>
      <c r="R404" s="174">
        <v>1.0042812600308371E-2</v>
      </c>
      <c r="S404" s="502"/>
      <c r="T404" s="219">
        <f t="shared" si="37"/>
        <v>0.16880670943355369</v>
      </c>
      <c r="U404" s="249">
        <f>U403+(T403*R404*'life-tables-test'!$C$66)</f>
        <v>99.831193290566446</v>
      </c>
      <c r="V404" s="516">
        <f t="shared" si="34"/>
        <v>100</v>
      </c>
      <c r="W404" s="153">
        <f>(T404*0)/(1+cDR)^'Markov Model_SA2'!cycle2</f>
        <v>0</v>
      </c>
      <c r="X404" s="178">
        <f t="shared" si="35"/>
        <v>0.16880670943355369</v>
      </c>
      <c r="Y404" s="202">
        <f>(T404*(uPostT))/(1+oDR)^'Markov Model_SA2'!cycle</f>
        <v>4.7968602641875129E-2</v>
      </c>
      <c r="Z404" s="80"/>
      <c r="AA404" s="3"/>
      <c r="AB404" s="3"/>
      <c r="AC404" s="3"/>
      <c r="AD404" s="3"/>
      <c r="AE404" s="3"/>
      <c r="AF404" s="3"/>
      <c r="AG404" s="3"/>
      <c r="AH404" s="3"/>
      <c r="AI404" s="14"/>
      <c r="AJ404" s="14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</row>
    <row r="405" spans="1:47" ht="14.25" customHeight="1" x14ac:dyDescent="0.2">
      <c r="A405" s="3"/>
      <c r="B405" s="417"/>
      <c r="C405" s="173">
        <v>395</v>
      </c>
      <c r="D405" s="165"/>
      <c r="E405" s="174">
        <v>1.0042812600308371E-2</v>
      </c>
      <c r="F405" s="502"/>
      <c r="G405" s="219">
        <f t="shared" si="38"/>
        <v>0.17018059322491297</v>
      </c>
      <c r="H405" s="249">
        <f>H404+(G404*E405*'life-tables-test'!$C$66)</f>
        <v>99.829819406775087</v>
      </c>
      <c r="I405" s="516">
        <f t="shared" si="36"/>
        <v>100</v>
      </c>
      <c r="J405" s="153">
        <f>(G405*0)/(1+cDR)^'Markov Model_SA2'!cycle</f>
        <v>0</v>
      </c>
      <c r="K405" s="178">
        <f t="shared" si="33"/>
        <v>0.17018059322491297</v>
      </c>
      <c r="L405" s="202">
        <f>(G405*(uPostT))/(1+oDR)^'Markov Model_SA2'!cycle</f>
        <v>4.8238413398990272E-2</v>
      </c>
      <c r="M405" s="80"/>
      <c r="N405" s="3"/>
      <c r="O405" s="80"/>
      <c r="P405" s="173">
        <v>395</v>
      </c>
      <c r="Q405" s="165"/>
      <c r="R405" s="174">
        <v>1.0042812600308371E-2</v>
      </c>
      <c r="S405" s="502"/>
      <c r="T405" s="219">
        <f t="shared" si="37"/>
        <v>0.16033023869097462</v>
      </c>
      <c r="U405" s="249">
        <f>U404+(T404*R405*'life-tables-test'!$C$66)</f>
        <v>99.839669761309025</v>
      </c>
      <c r="V405" s="516">
        <f t="shared" si="34"/>
        <v>100</v>
      </c>
      <c r="W405" s="153">
        <f>(T405*0)/(1+cDR)^'Markov Model_SA2'!cycle2</f>
        <v>0</v>
      </c>
      <c r="X405" s="178">
        <f t="shared" si="35"/>
        <v>0.16033023869097462</v>
      </c>
      <c r="Y405" s="202">
        <f>(T405*(uPostT))/(1+oDR)^'Markov Model_SA2'!cycle</f>
        <v>4.5446288485506442E-2</v>
      </c>
      <c r="Z405" s="80"/>
      <c r="AA405" s="3"/>
      <c r="AB405" s="3"/>
      <c r="AC405" s="3"/>
      <c r="AD405" s="3"/>
      <c r="AE405" s="3"/>
      <c r="AF405" s="3"/>
      <c r="AG405" s="3"/>
      <c r="AH405" s="3"/>
      <c r="AI405" s="14"/>
      <c r="AJ405" s="14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</row>
    <row r="406" spans="1:47" ht="14.25" customHeight="1" x14ac:dyDescent="0.2">
      <c r="A406" s="3"/>
      <c r="B406" s="417"/>
      <c r="C406" s="173">
        <v>396</v>
      </c>
      <c r="D406" s="165"/>
      <c r="E406" s="174">
        <v>1.0042812600308371E-2</v>
      </c>
      <c r="F406" s="502"/>
      <c r="G406" s="219">
        <f t="shared" si="38"/>
        <v>0.16163513419508035</v>
      </c>
      <c r="H406" s="249">
        <f>H405+(G405*E406*'life-tables-test'!$C$66)</f>
        <v>99.83836486580492</v>
      </c>
      <c r="I406" s="516">
        <f t="shared" si="36"/>
        <v>100</v>
      </c>
      <c r="J406" s="153">
        <f>(G406*0)/(1+cDR)^'Markov Model_SA2'!cycle</f>
        <v>0</v>
      </c>
      <c r="K406" s="178">
        <f t="shared" si="33"/>
        <v>0.16163513419508035</v>
      </c>
      <c r="L406" s="202">
        <f>(G406*(uPostT))/(1+oDR)^'Markov Model_SA2'!cycle</f>
        <v>4.5701911889755385E-2</v>
      </c>
      <c r="M406" s="80"/>
      <c r="N406" s="3"/>
      <c r="O406" s="80"/>
      <c r="P406" s="173">
        <v>396</v>
      </c>
      <c r="Q406" s="165"/>
      <c r="R406" s="174">
        <v>1.0042812600308371E-2</v>
      </c>
      <c r="S406" s="502"/>
      <c r="T406" s="219">
        <f t="shared" si="37"/>
        <v>0.15227940598428802</v>
      </c>
      <c r="U406" s="249">
        <f>U405+(T405*R406*'life-tables-test'!$C$66)</f>
        <v>99.847720594015712</v>
      </c>
      <c r="V406" s="516">
        <f t="shared" si="34"/>
        <v>100</v>
      </c>
      <c r="W406" s="153">
        <f>(T406*0)/(1+cDR)^'Markov Model_SA2'!cycle2</f>
        <v>0</v>
      </c>
      <c r="X406" s="178">
        <f t="shared" si="35"/>
        <v>0.15227940598428802</v>
      </c>
      <c r="Y406" s="202">
        <f>(T406*(uPostT))/(1+oDR)^'Markov Model_SA2'!cycle</f>
        <v>4.3056604181852698E-2</v>
      </c>
      <c r="Z406" s="80"/>
      <c r="AA406" s="3"/>
      <c r="AB406" s="3"/>
      <c r="AC406" s="3"/>
      <c r="AD406" s="3"/>
      <c r="AE406" s="3"/>
      <c r="AF406" s="3"/>
      <c r="AG406" s="3"/>
      <c r="AH406" s="3"/>
      <c r="AI406" s="14"/>
      <c r="AJ406" s="14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</row>
    <row r="407" spans="1:47" ht="14.25" customHeight="1" x14ac:dyDescent="0.2">
      <c r="A407" s="3"/>
      <c r="B407" s="417"/>
      <c r="C407" s="173">
        <v>397</v>
      </c>
      <c r="D407" s="504"/>
      <c r="E407" s="174">
        <v>1.0042812600308371E-2</v>
      </c>
      <c r="F407" s="505"/>
      <c r="G407" s="219">
        <f t="shared" si="38"/>
        <v>0.15351877738333997</v>
      </c>
      <c r="H407" s="249">
        <f>H406+(G406*E407*'life-tables-test'!$C$66)</f>
        <v>99.84648122261666</v>
      </c>
      <c r="I407" s="516">
        <f t="shared" si="36"/>
        <v>100</v>
      </c>
      <c r="J407" s="180">
        <f>(G407*0)/(1+cDR)^'Markov Model_SA2'!cycle</f>
        <v>0</v>
      </c>
      <c r="K407" s="176">
        <f t="shared" si="33"/>
        <v>0.15351877738333997</v>
      </c>
      <c r="L407" s="202">
        <f>(G407*(uPostT))/(1+oDR)^'Markov Model_SA2'!cycle</f>
        <v>4.3298786241227537E-2</v>
      </c>
      <c r="M407" s="80"/>
      <c r="N407" s="3"/>
      <c r="O407" s="80"/>
      <c r="P407" s="173">
        <v>397</v>
      </c>
      <c r="Q407" s="504"/>
      <c r="R407" s="174">
        <v>1.0042812600308371E-2</v>
      </c>
      <c r="S407" s="505"/>
      <c r="T407" s="219">
        <f t="shared" si="37"/>
        <v>0.1446328382983495</v>
      </c>
      <c r="U407" s="249">
        <f>U406+(T406*R407*'life-tables-test'!$C$66)</f>
        <v>99.855367161701651</v>
      </c>
      <c r="V407" s="516">
        <f t="shared" si="34"/>
        <v>100</v>
      </c>
      <c r="W407" s="180">
        <f>(T407*0)/(1+cDR)^'Markov Model_SA2'!cycle2</f>
        <v>0</v>
      </c>
      <c r="X407" s="176">
        <f t="shared" si="35"/>
        <v>0.1446328382983495</v>
      </c>
      <c r="Y407" s="202">
        <f>(T407*(uPostT))/(1+oDR)^'Markov Model_SA2'!cycle</f>
        <v>4.0792575707562062E-2</v>
      </c>
      <c r="Z407" s="80"/>
      <c r="AA407" s="3"/>
      <c r="AB407" s="3"/>
      <c r="AC407" s="3"/>
      <c r="AD407" s="3"/>
      <c r="AE407" s="3"/>
      <c r="AF407" s="3"/>
      <c r="AG407" s="3"/>
      <c r="AH407" s="3"/>
      <c r="AI407" s="14"/>
      <c r="AJ407" s="14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</row>
    <row r="408" spans="1:47" ht="14.25" customHeight="1" x14ac:dyDescent="0.25">
      <c r="A408" s="3">
        <v>35</v>
      </c>
      <c r="B408" s="417"/>
      <c r="C408" s="506">
        <v>398</v>
      </c>
      <c r="D408" s="506"/>
      <c r="E408" s="507">
        <v>1.0042812600308371E-2</v>
      </c>
      <c r="F408" s="508"/>
      <c r="G408" s="509">
        <f t="shared" si="38"/>
        <v>0.14580997582389443</v>
      </c>
      <c r="H408" s="510">
        <f>H407+(G407*E408*'life-tables-test'!$C$66)</f>
        <v>99.854190024176106</v>
      </c>
      <c r="I408" s="518">
        <f t="shared" si="36"/>
        <v>100</v>
      </c>
      <c r="J408" s="511">
        <f>(G408*0)/(1+cDR)^'Markov Model_SA2'!cycle</f>
        <v>0</v>
      </c>
      <c r="K408" s="512">
        <f t="shared" si="33"/>
        <v>0.14580997582389443</v>
      </c>
      <c r="L408" s="513">
        <f>(G408*(uPostT))/(1+oDR)^'Markov Model_SA2'!cycle</f>
        <v>4.1022023203013062E-2</v>
      </c>
      <c r="M408" s="80"/>
      <c r="N408" s="3"/>
      <c r="O408" s="80"/>
      <c r="P408" s="506">
        <v>398</v>
      </c>
      <c r="Q408" s="506"/>
      <c r="R408" s="507">
        <v>1.0042812600308371E-2</v>
      </c>
      <c r="S408" s="508"/>
      <c r="T408" s="509">
        <f t="shared" si="37"/>
        <v>0.13737023584394592</v>
      </c>
      <c r="U408" s="510">
        <f>U407+(T407*R408*'life-tables-test'!$C$66)</f>
        <v>99.862629764156054</v>
      </c>
      <c r="V408" s="518">
        <f t="shared" si="34"/>
        <v>100</v>
      </c>
      <c r="W408" s="511">
        <f>(T408*0)/(1+cDR)^'Markov Model_SA2'!cycle2</f>
        <v>0</v>
      </c>
      <c r="X408" s="512">
        <f t="shared" si="35"/>
        <v>0.13737023584394592</v>
      </c>
      <c r="Y408" s="513">
        <f>(T408*(uPostT))/(1+oDR)^'Markov Model_SA2'!cycle</f>
        <v>3.864759575160881E-2</v>
      </c>
      <c r="Z408" s="80"/>
      <c r="AA408" s="3"/>
      <c r="AB408" s="3"/>
      <c r="AC408" s="3"/>
      <c r="AD408" s="3"/>
      <c r="AE408" s="3"/>
      <c r="AF408" s="3"/>
      <c r="AG408" s="3"/>
      <c r="AH408" s="3"/>
      <c r="AI408" s="14"/>
      <c r="AJ408" s="14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</row>
    <row r="409" spans="1:47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416" t="s">
        <v>244</v>
      </c>
      <c r="K409" s="416" t="s">
        <v>354</v>
      </c>
      <c r="L409" s="416" t="s">
        <v>355</v>
      </c>
      <c r="M409" s="3"/>
      <c r="N409" s="3"/>
      <c r="O409" s="252"/>
      <c r="P409" s="252"/>
      <c r="Q409" s="252"/>
      <c r="R409" s="252"/>
      <c r="S409" s="252"/>
      <c r="T409" s="252"/>
      <c r="U409" s="252"/>
      <c r="V409" s="252"/>
      <c r="W409" s="416" t="s">
        <v>244</v>
      </c>
      <c r="X409" s="416" t="s">
        <v>354</v>
      </c>
      <c r="Y409" s="416" t="s">
        <v>355</v>
      </c>
      <c r="Z409" s="3"/>
      <c r="AA409" s="3"/>
      <c r="AB409" s="3"/>
      <c r="AC409" s="3"/>
      <c r="AD409" s="3"/>
      <c r="AE409" s="3"/>
      <c r="AF409" s="3"/>
      <c r="AG409" s="3"/>
      <c r="AH409" s="3"/>
      <c r="AI409" s="14"/>
      <c r="AJ409" s="14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</row>
    <row r="410" spans="1:47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411">
        <f>SUM(J11:J408)/cohortsize</f>
        <v>83857.116128155467</v>
      </c>
      <c r="K410" s="410">
        <f>(SUM(K12:K408)/12/cohortsize)+(K11/cohortsize)</f>
        <v>8.2285742888198286</v>
      </c>
      <c r="L410" s="410">
        <f>(SUM(L12:L408)/12/cohortsize)+(L11/cohortsize)</f>
        <v>4.8802018517906269</v>
      </c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411">
        <f>SUM(W11:W408)/cohortsize</f>
        <v>70660.948978284257</v>
      </c>
      <c r="X410" s="410">
        <f>(SUM(X12:X408)/12/cohortsize)+(X11/cohortsize)</f>
        <v>7.7522898164373997</v>
      </c>
      <c r="Y410" s="410">
        <f>(SUM(Y12:Y408)/12/cohortsize)+(Y11/cohortsize)</f>
        <v>4.5737917646407418</v>
      </c>
      <c r="Z410" s="3"/>
      <c r="AA410" s="3"/>
      <c r="AB410" s="3"/>
      <c r="AC410" s="3"/>
      <c r="AD410" s="3"/>
      <c r="AE410" s="3"/>
      <c r="AF410" s="3"/>
      <c r="AG410" s="3"/>
      <c r="AH410" s="3"/>
      <c r="AI410" s="14"/>
      <c r="AJ410" s="14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</row>
    <row r="411" spans="1:47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411" t="s">
        <v>351</v>
      </c>
      <c r="K411" s="410" t="s">
        <v>353</v>
      </c>
      <c r="L411" s="410" t="s">
        <v>352</v>
      </c>
      <c r="M411" s="252"/>
      <c r="N411" s="252"/>
      <c r="O411" s="252"/>
      <c r="P411" s="252"/>
      <c r="Q411" s="252"/>
      <c r="R411" s="252"/>
      <c r="S411" s="252"/>
      <c r="T411" s="252"/>
      <c r="U411" s="252"/>
      <c r="V411" s="252"/>
      <c r="W411" s="411" t="s">
        <v>351</v>
      </c>
      <c r="X411" s="410" t="s">
        <v>353</v>
      </c>
      <c r="Y411" s="410" t="s">
        <v>352</v>
      </c>
      <c r="Z411" s="3"/>
      <c r="AA411" s="3"/>
      <c r="AB411" s="3"/>
      <c r="AC411" s="3"/>
      <c r="AD411" s="3"/>
      <c r="AE411" s="3"/>
      <c r="AF411" s="3"/>
      <c r="AG411" s="3"/>
      <c r="AH411" s="3"/>
      <c r="AI411" s="14"/>
      <c r="AJ411" s="14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</row>
    <row r="412" spans="1:47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412">
        <f>SUM(J11:J408)</f>
        <v>8385711.6128155468</v>
      </c>
      <c r="K412" s="410">
        <f>(SUM(K12:K408)/12)+(K11)</f>
        <v>822.85742888198286</v>
      </c>
      <c r="L412" s="410">
        <f>(SUM(L12:L408)/12)+(L11)</f>
        <v>488.02018517906265</v>
      </c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412">
        <f>SUM(W11:W408)</f>
        <v>7066094.8978284262</v>
      </c>
      <c r="X412" s="410">
        <f>(SUM(X12:X408)/12)+(X11)</f>
        <v>775.22898164373998</v>
      </c>
      <c r="Y412" s="410">
        <f>(SUM(Y12:Y408)/12)+(Y11)</f>
        <v>457.37917646407413</v>
      </c>
      <c r="Z412" s="3"/>
      <c r="AA412" s="3"/>
      <c r="AB412" s="3"/>
      <c r="AC412" s="3"/>
      <c r="AD412" s="3"/>
      <c r="AE412" s="3"/>
      <c r="AF412" s="3"/>
      <c r="AG412" s="3"/>
      <c r="AH412" s="3"/>
      <c r="AI412" s="14"/>
      <c r="AJ412" s="14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</row>
    <row r="413" spans="1:47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277"/>
      <c r="K413" s="253"/>
      <c r="L413" s="253"/>
      <c r="M413" s="252"/>
      <c r="N413" s="252"/>
      <c r="O413" s="252"/>
      <c r="P413" s="252"/>
      <c r="Q413" s="252"/>
      <c r="R413" s="252"/>
      <c r="S413" s="252"/>
      <c r="T413" s="252"/>
      <c r="U413" s="252"/>
      <c r="V413" s="252"/>
      <c r="W413" s="277"/>
      <c r="X413" s="25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14"/>
      <c r="AJ413" s="14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</row>
    <row r="414" spans="1:47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 t="s">
        <v>538</v>
      </c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14"/>
      <c r="AJ414" s="14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</row>
    <row r="415" spans="1:47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413" t="s">
        <v>229</v>
      </c>
      <c r="K415" s="415">
        <f>(J410-W410)/(L410-Y410)</f>
        <v>43067.012814810187</v>
      </c>
      <c r="L415" s="4" t="s">
        <v>374</v>
      </c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14"/>
      <c r="AJ415" s="14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</row>
    <row r="416" spans="1:47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76" t="s">
        <v>255</v>
      </c>
      <c r="K416" s="414">
        <f>(J410-W410)/(K410-X410)</f>
        <v>27706.481976753275</v>
      </c>
      <c r="L416" s="272" t="s">
        <v>368</v>
      </c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14"/>
      <c r="AJ416" s="14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</row>
    <row r="417" spans="1:47" ht="8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14"/>
      <c r="AJ417" s="14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</row>
    <row r="418" spans="1:47" ht="6.7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522"/>
      <c r="K418" s="522"/>
      <c r="L418" s="522"/>
      <c r="M418" s="522"/>
      <c r="N418" s="522"/>
      <c r="O418" s="522"/>
      <c r="P418" s="522"/>
      <c r="Q418" s="522"/>
      <c r="R418" s="522"/>
      <c r="S418" s="522"/>
      <c r="T418" s="522"/>
      <c r="U418" s="522"/>
      <c r="V418" s="522"/>
      <c r="W418" s="522"/>
      <c r="X418" s="522"/>
      <c r="Y418" s="522"/>
      <c r="Z418" s="3"/>
      <c r="AA418" s="3"/>
      <c r="AB418" s="3"/>
      <c r="AC418" s="3"/>
      <c r="AD418" s="3"/>
      <c r="AE418" s="3"/>
      <c r="AF418" s="3"/>
      <c r="AG418" s="3"/>
      <c r="AH418" s="3"/>
      <c r="AI418" s="14"/>
      <c r="AJ418" s="14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</row>
    <row r="419" spans="1:47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28" t="s">
        <v>244</v>
      </c>
      <c r="K419" s="328" t="s">
        <v>354</v>
      </c>
      <c r="L419" s="328" t="s">
        <v>355</v>
      </c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28" t="s">
        <v>244</v>
      </c>
      <c r="X419" s="328" t="s">
        <v>354</v>
      </c>
      <c r="Y419" s="328" t="s">
        <v>355</v>
      </c>
      <c r="Z419" s="3"/>
      <c r="AA419" s="3"/>
      <c r="AB419" s="3"/>
      <c r="AC419" s="3"/>
      <c r="AD419" s="3"/>
      <c r="AE419" s="3"/>
      <c r="AF419" s="3"/>
      <c r="AG419" s="3"/>
      <c r="AH419" s="3"/>
      <c r="AI419" s="14"/>
      <c r="AJ419" s="14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</row>
    <row r="420" spans="1:47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411">
        <f>SUM(J11:J119)/cohortsize</f>
        <v>83857.116128155467</v>
      </c>
      <c r="K420" s="410">
        <f>(SUM(K11:K119)/12/cohortsize)+(K11/cohortsize)</f>
        <v>5.1365165673665452</v>
      </c>
      <c r="L420" s="410">
        <f>(SUM(L11:L119)/12/cohortsize)+(L11/cohortsize)</f>
        <v>3.3880727383448552</v>
      </c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411">
        <f>SUM(W11:W119)/cohortsize</f>
        <v>70660.948978284257</v>
      </c>
      <c r="X420" s="410">
        <f>(SUM(X11:X119)/12/cohortsize)+(X11/cohortsize)</f>
        <v>4.8392058793539503</v>
      </c>
      <c r="Y420" s="410">
        <f>(SUM(Y11:Y119)/12/cohortsize)+(Y11/cohortsize)</f>
        <v>3.1660351179695971</v>
      </c>
      <c r="Z420" s="3"/>
      <c r="AA420" s="3"/>
      <c r="AB420" s="3"/>
      <c r="AC420" s="3"/>
      <c r="AD420" s="3"/>
      <c r="AE420" s="3"/>
      <c r="AF420" s="3"/>
      <c r="AG420" s="3"/>
      <c r="AH420" s="3"/>
      <c r="AI420" s="14"/>
      <c r="AJ420" s="14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</row>
    <row r="421" spans="1:47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411" t="s">
        <v>351</v>
      </c>
      <c r="K421" s="410" t="s">
        <v>353</v>
      </c>
      <c r="L421" s="410" t="s">
        <v>352</v>
      </c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411" t="s">
        <v>351</v>
      </c>
      <c r="X421" s="410" t="s">
        <v>353</v>
      </c>
      <c r="Y421" s="410" t="s">
        <v>352</v>
      </c>
      <c r="Z421" s="3"/>
      <c r="AA421" s="3"/>
      <c r="AB421" s="3"/>
      <c r="AC421" s="3"/>
      <c r="AD421" s="3"/>
      <c r="AE421" s="3"/>
      <c r="AF421" s="3"/>
      <c r="AG421" s="3"/>
      <c r="AH421" s="3"/>
      <c r="AI421" s="14"/>
      <c r="AJ421" s="14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</row>
    <row r="422" spans="1:47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412">
        <f>SUM(J11:J119)</f>
        <v>8385711.6128155468</v>
      </c>
      <c r="K422" s="410">
        <f>(SUM(K11:K119)/12)+(K11)</f>
        <v>513.65165673665445</v>
      </c>
      <c r="L422" s="410">
        <f>(SUM(L11:L119)/12)+(L11)</f>
        <v>338.8072738344855</v>
      </c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412">
        <f>SUM(W11:W119)</f>
        <v>7066094.8978284262</v>
      </c>
      <c r="X422" s="410">
        <f>(SUM(X11:X119)/12)+(X11)</f>
        <v>483.92058793539508</v>
      </c>
      <c r="Y422" s="410">
        <f>(SUM(Y11:Y119)/12)+(Y11)</f>
        <v>316.60351179695971</v>
      </c>
      <c r="Z422" s="3"/>
      <c r="AA422" s="3"/>
      <c r="AB422" s="3"/>
      <c r="AC422" s="3"/>
      <c r="AD422" s="3"/>
      <c r="AE422" s="3"/>
      <c r="AF422" s="3"/>
      <c r="AG422" s="3"/>
      <c r="AH422" s="3"/>
      <c r="AI422" s="14"/>
      <c r="AJ422" s="14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</row>
    <row r="423" spans="1:47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14"/>
      <c r="AJ423" s="14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</row>
    <row r="424" spans="1:47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52"/>
      <c r="K424" s="3"/>
      <c r="L424" s="3" t="s">
        <v>539</v>
      </c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14"/>
      <c r="AJ424" s="14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</row>
    <row r="425" spans="1:47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520" t="s">
        <v>253</v>
      </c>
      <c r="K425" s="521">
        <f>(J420-W420)/(L420-Y420)</f>
        <v>59432.1229329013</v>
      </c>
      <c r="L425" s="4" t="s">
        <v>540</v>
      </c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14"/>
      <c r="AJ425" s="14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</row>
    <row r="426" spans="1:47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28" t="s">
        <v>541</v>
      </c>
      <c r="K426" s="414">
        <f>(J420-W420)/(K420-X420)</f>
        <v>44385.108514202439</v>
      </c>
      <c r="L426" s="3" t="s">
        <v>368</v>
      </c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14"/>
      <c r="AJ426" s="14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</row>
    <row r="427" spans="1:47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14"/>
      <c r="AJ427" s="14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</row>
    <row r="428" spans="1:47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14"/>
      <c r="AJ428" s="14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</row>
    <row r="429" spans="1:47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14"/>
      <c r="AJ429" s="14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</row>
    <row r="430" spans="1:47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14"/>
      <c r="AJ430" s="14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</row>
    <row r="431" spans="1:47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14"/>
      <c r="AJ431" s="14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</row>
    <row r="432" spans="1:47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14"/>
      <c r="AJ432" s="14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</row>
    <row r="433" spans="1:47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14"/>
      <c r="AJ433" s="14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</row>
    <row r="434" spans="1:47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14"/>
      <c r="AJ434" s="14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</row>
    <row r="435" spans="1:47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14"/>
      <c r="AJ435" s="14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</row>
    <row r="436" spans="1:47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14"/>
      <c r="AJ436" s="14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</row>
    <row r="437" spans="1:47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14"/>
      <c r="AJ437" s="14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</row>
    <row r="438" spans="1:47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14"/>
      <c r="AJ438" s="14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</row>
    <row r="439" spans="1:47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14"/>
      <c r="AJ439" s="14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</row>
    <row r="440" spans="1:47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14"/>
      <c r="AJ440" s="14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</row>
    <row r="441" spans="1:47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14"/>
      <c r="AJ441" s="14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</row>
    <row r="442" spans="1:47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14"/>
      <c r="AJ442" s="14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</row>
    <row r="443" spans="1:47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14"/>
      <c r="AJ443" s="14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</row>
    <row r="444" spans="1:47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14"/>
      <c r="AJ444" s="14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</row>
    <row r="445" spans="1:47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14"/>
      <c r="AJ445" s="14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</row>
    <row r="446" spans="1:47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14"/>
      <c r="AJ446" s="14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</row>
    <row r="447" spans="1:47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14"/>
      <c r="AJ447" s="14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</row>
    <row r="448" spans="1:47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14"/>
      <c r="AJ448" s="14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</row>
    <row r="449" spans="1:47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14"/>
      <c r="AJ449" s="14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</row>
    <row r="450" spans="1:47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14"/>
      <c r="AJ450" s="14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</row>
    <row r="451" spans="1:47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14"/>
      <c r="AJ451" s="14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</row>
    <row r="452" spans="1:47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14"/>
      <c r="AJ452" s="14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</row>
    <row r="453" spans="1:47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14"/>
      <c r="AJ453" s="14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</row>
    <row r="454" spans="1:47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14"/>
      <c r="AJ454" s="14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</row>
    <row r="455" spans="1:47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14"/>
      <c r="AJ455" s="14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</row>
    <row r="456" spans="1:47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14"/>
      <c r="AJ456" s="14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</row>
    <row r="457" spans="1:47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14"/>
      <c r="AJ457" s="14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</row>
    <row r="458" spans="1:47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14"/>
      <c r="AJ458" s="14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</row>
    <row r="459" spans="1:47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14"/>
      <c r="AJ459" s="14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</row>
    <row r="460" spans="1:47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14"/>
      <c r="AJ460" s="14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</row>
    <row r="461" spans="1:47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14"/>
      <c r="AJ461" s="14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</row>
    <row r="462" spans="1:47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14"/>
      <c r="AJ462" s="14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</row>
    <row r="463" spans="1:47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14"/>
      <c r="AJ463" s="14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</row>
    <row r="464" spans="1:47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14"/>
      <c r="AJ464" s="14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</row>
    <row r="465" spans="1:47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14"/>
      <c r="AJ465" s="14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</row>
    <row r="466" spans="1:47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14"/>
      <c r="AJ466" s="14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</row>
    <row r="467" spans="1:47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14"/>
      <c r="AJ467" s="14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</row>
    <row r="468" spans="1:47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14"/>
      <c r="AJ468" s="14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</row>
    <row r="469" spans="1:47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14"/>
      <c r="AJ469" s="14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</row>
    <row r="470" spans="1:47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14"/>
      <c r="AJ470" s="14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</row>
    <row r="471" spans="1:47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14"/>
      <c r="AJ471" s="14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</row>
    <row r="472" spans="1:47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14"/>
      <c r="AJ472" s="14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</row>
    <row r="473" spans="1:47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14"/>
      <c r="AJ473" s="14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</row>
    <row r="474" spans="1:47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14"/>
      <c r="AJ474" s="14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</row>
    <row r="475" spans="1:47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14"/>
      <c r="AJ475" s="14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</row>
    <row r="476" spans="1:47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14"/>
      <c r="AJ476" s="14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</row>
    <row r="477" spans="1:47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14"/>
      <c r="AJ477" s="14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</row>
    <row r="478" spans="1:47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14"/>
      <c r="AJ478" s="14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</row>
    <row r="479" spans="1:47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14"/>
      <c r="AJ479" s="14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</row>
    <row r="480" spans="1:47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14"/>
      <c r="AJ480" s="14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</row>
    <row r="481" spans="1:47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14"/>
      <c r="AJ481" s="14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</row>
    <row r="482" spans="1:47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14"/>
      <c r="AJ482" s="14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</row>
    <row r="483" spans="1:47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14"/>
      <c r="AJ483" s="14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</row>
    <row r="484" spans="1:47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14"/>
      <c r="AJ484" s="14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</row>
    <row r="485" spans="1:47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14"/>
      <c r="AJ485" s="14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</row>
    <row r="486" spans="1:47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14"/>
      <c r="AJ486" s="14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</row>
    <row r="487" spans="1:47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14"/>
      <c r="AJ487" s="14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</row>
    <row r="488" spans="1:47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14"/>
      <c r="AJ488" s="14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</row>
    <row r="489" spans="1:47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14"/>
      <c r="AJ489" s="14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</row>
    <row r="490" spans="1:47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14"/>
      <c r="AJ490" s="14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</row>
    <row r="491" spans="1:47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14"/>
      <c r="AJ491" s="14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</row>
    <row r="492" spans="1:47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14"/>
      <c r="AJ492" s="14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</row>
    <row r="493" spans="1:47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14"/>
      <c r="AJ493" s="14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</row>
    <row r="494" spans="1:47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14"/>
      <c r="AJ494" s="14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</row>
    <row r="495" spans="1:47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14"/>
      <c r="AJ495" s="14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</row>
    <row r="496" spans="1:47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14"/>
      <c r="AJ496" s="14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</row>
    <row r="497" spans="1:47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14"/>
      <c r="AJ497" s="14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</row>
    <row r="498" spans="1:47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14"/>
      <c r="AJ498" s="14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</row>
    <row r="499" spans="1:47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14"/>
      <c r="AJ499" s="14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</row>
    <row r="500" spans="1:47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14"/>
      <c r="AJ500" s="14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</row>
    <row r="501" spans="1:47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14"/>
      <c r="AJ501" s="14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</row>
    <row r="502" spans="1:47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14"/>
      <c r="AJ502" s="14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</row>
    <row r="503" spans="1:47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14"/>
      <c r="AJ503" s="14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</row>
    <row r="504" spans="1:47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14"/>
      <c r="AJ504" s="14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</row>
    <row r="505" spans="1:47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14"/>
      <c r="AJ505" s="14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</row>
    <row r="506" spans="1:47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14"/>
      <c r="AJ506" s="14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</row>
    <row r="507" spans="1:47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14"/>
      <c r="AJ507" s="14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</row>
    <row r="508" spans="1:47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14"/>
      <c r="AJ508" s="14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</row>
    <row r="509" spans="1:47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14"/>
      <c r="AJ509" s="14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</row>
    <row r="510" spans="1:47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14"/>
      <c r="AJ510" s="14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</row>
    <row r="511" spans="1:47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14"/>
      <c r="AJ511" s="14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</row>
    <row r="512" spans="1:47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14"/>
      <c r="AJ512" s="14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</row>
    <row r="513" spans="1:47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14"/>
      <c r="AJ513" s="14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</row>
    <row r="514" spans="1:47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14"/>
      <c r="AJ514" s="14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</row>
    <row r="515" spans="1:47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14"/>
      <c r="AJ515" s="14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</row>
    <row r="516" spans="1:47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14"/>
      <c r="AJ516" s="14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</row>
    <row r="517" spans="1:47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14"/>
      <c r="AJ517" s="14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</row>
    <row r="518" spans="1:47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14"/>
      <c r="AJ518" s="14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</row>
    <row r="519" spans="1:47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14"/>
      <c r="AJ519" s="14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</row>
    <row r="520" spans="1:47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14"/>
      <c r="AJ520" s="14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</row>
    <row r="521" spans="1:47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14"/>
      <c r="AJ521" s="14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</row>
    <row r="522" spans="1:47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14"/>
      <c r="AJ522" s="14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</row>
    <row r="523" spans="1:47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14"/>
      <c r="AJ523" s="14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</row>
    <row r="524" spans="1:47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14"/>
      <c r="AJ524" s="14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</row>
    <row r="525" spans="1:47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14"/>
      <c r="AJ525" s="14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</row>
    <row r="526" spans="1:47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14"/>
      <c r="AJ526" s="14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</row>
    <row r="527" spans="1:47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14"/>
      <c r="AJ527" s="14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</row>
    <row r="528" spans="1:47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14"/>
      <c r="AJ528" s="14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</row>
    <row r="529" spans="1:47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14"/>
      <c r="AJ529" s="14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</row>
    <row r="530" spans="1:47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14"/>
      <c r="AJ530" s="14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</row>
    <row r="531" spans="1:47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14"/>
      <c r="AJ531" s="14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</row>
    <row r="532" spans="1:47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14"/>
      <c r="AJ532" s="14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</row>
    <row r="533" spans="1:47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14"/>
      <c r="AJ533" s="14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</row>
    <row r="534" spans="1:47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14"/>
      <c r="AJ534" s="14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</row>
    <row r="535" spans="1:47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14"/>
      <c r="AJ535" s="14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</row>
    <row r="536" spans="1:47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14"/>
      <c r="AJ536" s="14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</row>
    <row r="537" spans="1:47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14"/>
      <c r="AJ537" s="14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</row>
    <row r="538" spans="1:47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14"/>
      <c r="AJ538" s="14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</row>
    <row r="539" spans="1:47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14"/>
      <c r="AJ539" s="14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</row>
    <row r="540" spans="1:47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14"/>
      <c r="AJ540" s="14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</row>
    <row r="541" spans="1:47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14"/>
      <c r="AJ541" s="14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</row>
    <row r="542" spans="1:47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14"/>
      <c r="AJ542" s="14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</row>
    <row r="543" spans="1:47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14"/>
      <c r="AJ543" s="14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</row>
    <row r="544" spans="1:47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14"/>
      <c r="AJ544" s="14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</row>
    <row r="545" spans="1:47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14"/>
      <c r="AJ545" s="14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</row>
    <row r="546" spans="1:47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14"/>
      <c r="AJ546" s="14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</row>
    <row r="547" spans="1:47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14"/>
      <c r="AJ547" s="14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</row>
    <row r="548" spans="1:47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14"/>
      <c r="AJ548" s="14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</row>
    <row r="549" spans="1:47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14"/>
      <c r="AJ549" s="14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</row>
    <row r="550" spans="1:47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14"/>
      <c r="AJ550" s="14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</row>
    <row r="551" spans="1:47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14"/>
      <c r="AJ551" s="14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</row>
    <row r="552" spans="1:47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14"/>
      <c r="AJ552" s="14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</row>
    <row r="553" spans="1:47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14"/>
      <c r="AJ553" s="14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</row>
    <row r="554" spans="1:47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14"/>
      <c r="AJ554" s="14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</row>
    <row r="555" spans="1:47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14"/>
      <c r="AJ555" s="14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</row>
    <row r="556" spans="1:47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14"/>
      <c r="AJ556" s="14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</row>
    <row r="557" spans="1:47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14"/>
      <c r="AJ557" s="14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</row>
    <row r="558" spans="1:47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14"/>
      <c r="AJ558" s="14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</row>
    <row r="559" spans="1:47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14"/>
      <c r="AJ559" s="14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</row>
    <row r="560" spans="1:47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14"/>
      <c r="AJ560" s="14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</row>
    <row r="561" spans="1:47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14"/>
      <c r="AJ561" s="14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</row>
    <row r="562" spans="1:47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14"/>
      <c r="AJ562" s="14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</row>
    <row r="563" spans="1:47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14"/>
      <c r="AJ563" s="14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</row>
    <row r="564" spans="1:47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14"/>
      <c r="AJ564" s="14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</row>
    <row r="565" spans="1:47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14"/>
      <c r="AJ565" s="14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</row>
    <row r="566" spans="1:47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14"/>
      <c r="AJ566" s="14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</row>
    <row r="567" spans="1:47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14"/>
      <c r="AJ567" s="14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</row>
    <row r="568" spans="1:47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14"/>
      <c r="AJ568" s="14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</row>
    <row r="569" spans="1:47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14"/>
      <c r="AJ569" s="14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</row>
    <row r="570" spans="1:47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14"/>
      <c r="AJ570" s="14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</row>
    <row r="571" spans="1:47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14"/>
      <c r="AJ571" s="14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</row>
    <row r="572" spans="1:47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14"/>
      <c r="AJ572" s="14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</row>
    <row r="573" spans="1:47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14"/>
      <c r="AJ573" s="14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</row>
    <row r="574" spans="1:47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14"/>
      <c r="AJ574" s="14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</row>
    <row r="575" spans="1:47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14"/>
      <c r="AJ575" s="14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</row>
    <row r="576" spans="1:47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14"/>
      <c r="AJ576" s="14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</row>
    <row r="577" spans="1:47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14"/>
      <c r="AJ577" s="14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</row>
    <row r="578" spans="1:47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14"/>
      <c r="AJ578" s="14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</row>
    <row r="579" spans="1:47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14"/>
      <c r="AJ579" s="14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</row>
    <row r="580" spans="1:47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14"/>
      <c r="AJ580" s="14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</row>
    <row r="581" spans="1:47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14"/>
      <c r="AJ581" s="14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</row>
    <row r="582" spans="1:47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14"/>
      <c r="AJ582" s="14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</row>
    <row r="583" spans="1:47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14"/>
      <c r="AJ583" s="14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</row>
    <row r="584" spans="1:47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14"/>
      <c r="AJ584" s="14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</row>
    <row r="585" spans="1:47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14"/>
      <c r="AJ585" s="14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</row>
    <row r="586" spans="1:47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14"/>
      <c r="AJ586" s="14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</row>
    <row r="587" spans="1:47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14"/>
      <c r="AJ587" s="14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</row>
    <row r="588" spans="1:47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14"/>
      <c r="AJ588" s="14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</row>
    <row r="589" spans="1:47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14"/>
      <c r="AJ589" s="14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</row>
    <row r="590" spans="1:47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14"/>
      <c r="AJ590" s="14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</row>
    <row r="591" spans="1:47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14"/>
      <c r="AJ591" s="14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</row>
    <row r="592" spans="1:47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14"/>
      <c r="AJ592" s="14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</row>
    <row r="593" spans="1:47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14"/>
      <c r="AJ593" s="14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</row>
    <row r="594" spans="1:47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14"/>
      <c r="AJ594" s="14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</row>
    <row r="595" spans="1:47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14"/>
      <c r="AJ595" s="14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</row>
    <row r="596" spans="1:47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14"/>
      <c r="AJ596" s="14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</row>
    <row r="597" spans="1:47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14"/>
      <c r="AJ597" s="14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</row>
    <row r="598" spans="1:47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14"/>
      <c r="AJ598" s="14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</row>
    <row r="599" spans="1:47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14"/>
      <c r="AJ599" s="14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</row>
    <row r="600" spans="1:47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14"/>
      <c r="AJ600" s="14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</row>
    <row r="601" spans="1:47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14"/>
      <c r="AJ601" s="14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</row>
    <row r="602" spans="1:47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14"/>
      <c r="AJ602" s="14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</row>
    <row r="603" spans="1:47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14"/>
      <c r="AJ603" s="14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</row>
    <row r="604" spans="1:47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14"/>
      <c r="AJ604" s="14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</row>
    <row r="605" spans="1:47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14"/>
      <c r="AJ605" s="14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</row>
    <row r="606" spans="1:47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14"/>
      <c r="AJ606" s="14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</row>
    <row r="607" spans="1:47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14"/>
      <c r="AJ607" s="14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</row>
    <row r="608" spans="1:47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14"/>
      <c r="AJ608" s="14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</row>
    <row r="609" spans="1:47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14"/>
      <c r="AJ609" s="14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</row>
    <row r="610" spans="1:47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14"/>
      <c r="AJ610" s="14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</row>
    <row r="611" spans="1:47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14"/>
      <c r="AJ611" s="14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</row>
    <row r="612" spans="1:47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14"/>
      <c r="AJ612" s="14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</row>
    <row r="613" spans="1:47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14"/>
      <c r="AJ613" s="14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</row>
    <row r="614" spans="1:47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14"/>
      <c r="AJ614" s="14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</row>
    <row r="615" spans="1:47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14"/>
      <c r="AJ615" s="14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</row>
    <row r="616" spans="1:47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14"/>
      <c r="AJ616" s="14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</row>
    <row r="617" spans="1:47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14"/>
      <c r="AJ617" s="14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</row>
    <row r="618" spans="1:47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14"/>
      <c r="AJ618" s="14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</row>
    <row r="619" spans="1:47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14"/>
      <c r="AJ619" s="14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</row>
    <row r="620" spans="1:47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14"/>
      <c r="AJ620" s="14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</row>
    <row r="621" spans="1:47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14"/>
      <c r="AJ621" s="14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</row>
    <row r="622" spans="1:47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14"/>
      <c r="AJ622" s="14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</row>
    <row r="623" spans="1:47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14"/>
      <c r="AJ623" s="14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</row>
    <row r="624" spans="1:47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14"/>
      <c r="AJ624" s="14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</row>
    <row r="625" spans="1:47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14"/>
      <c r="AJ625" s="14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</row>
    <row r="626" spans="1:47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14"/>
      <c r="AJ626" s="14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</row>
    <row r="627" spans="1:47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14"/>
      <c r="AJ627" s="14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</row>
    <row r="628" spans="1:47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14"/>
      <c r="AJ628" s="14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</row>
    <row r="629" spans="1:47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14"/>
      <c r="AJ629" s="14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</row>
    <row r="630" spans="1:47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14"/>
      <c r="AJ630" s="14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</row>
    <row r="631" spans="1:47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14"/>
      <c r="AJ631" s="14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</row>
    <row r="632" spans="1:47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14"/>
      <c r="AJ632" s="14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</row>
    <row r="633" spans="1:47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14"/>
      <c r="AJ633" s="14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</row>
    <row r="634" spans="1:47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14"/>
      <c r="AJ634" s="14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</row>
    <row r="635" spans="1:47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14"/>
      <c r="AJ635" s="14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</row>
    <row r="636" spans="1:47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14"/>
      <c r="AJ636" s="14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</row>
    <row r="637" spans="1:47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14"/>
      <c r="AJ637" s="14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</row>
    <row r="638" spans="1:47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14"/>
      <c r="AJ638" s="14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</row>
    <row r="639" spans="1:47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14"/>
      <c r="AJ639" s="14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</row>
    <row r="640" spans="1:47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14"/>
      <c r="AJ640" s="14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</row>
    <row r="641" spans="1:47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14"/>
      <c r="AJ641" s="14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</row>
    <row r="642" spans="1:47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14"/>
      <c r="AJ642" s="14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</row>
    <row r="643" spans="1:47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14"/>
      <c r="AJ643" s="14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</row>
    <row r="644" spans="1:47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14"/>
      <c r="AJ644" s="14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</row>
    <row r="645" spans="1:47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14"/>
      <c r="AJ645" s="14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</row>
    <row r="646" spans="1:47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14"/>
      <c r="AJ646" s="14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</row>
    <row r="647" spans="1:47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14"/>
      <c r="AJ647" s="14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</row>
    <row r="648" spans="1:47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14"/>
      <c r="AJ648" s="14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</row>
    <row r="649" spans="1:47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14"/>
      <c r="AJ649" s="14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</row>
    <row r="650" spans="1:47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14"/>
      <c r="AJ650" s="14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</row>
    <row r="651" spans="1:47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14"/>
      <c r="AJ651" s="14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</row>
    <row r="652" spans="1:47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14"/>
      <c r="AJ652" s="14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</row>
    <row r="653" spans="1:47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14"/>
      <c r="AJ653" s="14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</row>
    <row r="654" spans="1:47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14"/>
      <c r="AJ654" s="14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</row>
    <row r="655" spans="1:47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14"/>
      <c r="AJ655" s="14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</row>
    <row r="656" spans="1:47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14"/>
      <c r="AJ656" s="14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</row>
    <row r="657" spans="1:47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14"/>
      <c r="AJ657" s="14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</row>
    <row r="658" spans="1:47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14"/>
      <c r="AJ658" s="14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</row>
    <row r="659" spans="1:47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14"/>
      <c r="AJ659" s="14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</row>
    <row r="660" spans="1:47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14"/>
      <c r="AJ660" s="14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</row>
    <row r="661" spans="1:47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14"/>
      <c r="AJ661" s="14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</row>
    <row r="662" spans="1:47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14"/>
      <c r="AJ662" s="14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</row>
    <row r="663" spans="1:47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14"/>
      <c r="AJ663" s="14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</row>
    <row r="664" spans="1:47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14"/>
      <c r="AJ664" s="14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</row>
    <row r="665" spans="1:47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14"/>
      <c r="AJ665" s="14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</row>
    <row r="666" spans="1:47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14"/>
      <c r="AJ666" s="14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</row>
    <row r="667" spans="1:47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14"/>
      <c r="AJ667" s="14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</row>
    <row r="668" spans="1:47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14"/>
      <c r="AJ668" s="14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</row>
    <row r="669" spans="1:47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14"/>
      <c r="AJ669" s="14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</row>
    <row r="670" spans="1:47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14"/>
      <c r="AJ670" s="14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</row>
    <row r="671" spans="1:47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14"/>
      <c r="AJ671" s="14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</row>
    <row r="672" spans="1:47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14"/>
      <c r="AJ672" s="14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</row>
    <row r="673" spans="1:47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14"/>
      <c r="AJ673" s="14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</row>
    <row r="674" spans="1:47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14"/>
      <c r="AJ674" s="14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</row>
    <row r="675" spans="1:47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14"/>
      <c r="AJ675" s="14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</row>
    <row r="676" spans="1:47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14"/>
      <c r="AJ676" s="14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</row>
    <row r="677" spans="1:47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14"/>
      <c r="AJ677" s="14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</row>
    <row r="678" spans="1:47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14"/>
      <c r="AJ678" s="14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</row>
    <row r="679" spans="1:47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14"/>
      <c r="AJ679" s="14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</row>
    <row r="680" spans="1:47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14"/>
      <c r="AJ680" s="14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</row>
    <row r="681" spans="1:47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14"/>
      <c r="AJ681" s="14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</row>
    <row r="682" spans="1:47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14"/>
      <c r="AJ682" s="14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</row>
    <row r="683" spans="1:47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14"/>
      <c r="AJ683" s="14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</row>
    <row r="684" spans="1:47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14"/>
      <c r="AJ684" s="14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</row>
    <row r="685" spans="1:47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14"/>
      <c r="AJ685" s="14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</row>
    <row r="686" spans="1:47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14"/>
      <c r="AJ686" s="14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</row>
    <row r="687" spans="1:47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14"/>
      <c r="AJ687" s="14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</row>
    <row r="688" spans="1:47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14"/>
      <c r="AJ688" s="14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</row>
    <row r="689" spans="1:47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14"/>
      <c r="AJ689" s="14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</row>
    <row r="690" spans="1:47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14"/>
      <c r="AJ690" s="14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</row>
    <row r="691" spans="1:47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14"/>
      <c r="AJ691" s="14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</row>
    <row r="692" spans="1:47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14"/>
      <c r="AJ692" s="14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</row>
    <row r="693" spans="1:47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14"/>
      <c r="AJ693" s="14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</row>
    <row r="694" spans="1:47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14"/>
      <c r="AJ694" s="14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</row>
    <row r="695" spans="1:47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14"/>
      <c r="AJ695" s="14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</row>
    <row r="696" spans="1:47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14"/>
      <c r="AJ696" s="14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</row>
    <row r="697" spans="1:47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14"/>
      <c r="AJ697" s="14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</row>
    <row r="698" spans="1:47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14"/>
      <c r="AJ698" s="14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</row>
    <row r="699" spans="1:47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14"/>
      <c r="AJ699" s="14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</row>
    <row r="700" spans="1:47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14"/>
      <c r="AJ700" s="14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</row>
    <row r="701" spans="1:47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14"/>
      <c r="AJ701" s="14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</row>
    <row r="702" spans="1:47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14"/>
      <c r="AJ702" s="14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</row>
    <row r="703" spans="1:47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14"/>
      <c r="AJ703" s="14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</row>
    <row r="704" spans="1:47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14"/>
      <c r="AJ704" s="14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</row>
    <row r="705" spans="1:47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14"/>
      <c r="AJ705" s="14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</row>
    <row r="706" spans="1:47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14"/>
      <c r="AJ706" s="14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</row>
    <row r="707" spans="1:47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14"/>
      <c r="AJ707" s="14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</row>
    <row r="708" spans="1:47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14"/>
      <c r="AJ708" s="14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</row>
    <row r="709" spans="1:47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14"/>
      <c r="AJ709" s="14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</row>
    <row r="710" spans="1:47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14"/>
      <c r="AJ710" s="14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</row>
    <row r="711" spans="1:47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14"/>
      <c r="AJ711" s="14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</row>
    <row r="712" spans="1:47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14"/>
      <c r="AJ712" s="14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</row>
    <row r="713" spans="1:47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14"/>
      <c r="AJ713" s="14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</row>
    <row r="714" spans="1:47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14"/>
      <c r="AJ714" s="14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</row>
    <row r="715" spans="1:47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14"/>
      <c r="AJ715" s="14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</row>
    <row r="716" spans="1:47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14"/>
      <c r="AJ716" s="14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</row>
    <row r="717" spans="1:47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14"/>
      <c r="AJ717" s="14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</row>
    <row r="718" spans="1:47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14"/>
      <c r="AJ718" s="14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</row>
    <row r="719" spans="1:47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14"/>
      <c r="AJ719" s="14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</row>
    <row r="720" spans="1:47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14"/>
      <c r="AJ720" s="14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</row>
    <row r="721" spans="1:47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14"/>
      <c r="AJ721" s="14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</row>
    <row r="722" spans="1:47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14"/>
      <c r="AJ722" s="14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</row>
    <row r="723" spans="1:47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14"/>
      <c r="AJ723" s="14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</row>
    <row r="724" spans="1:47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14"/>
      <c r="AJ724" s="14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</row>
    <row r="725" spans="1:47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14"/>
      <c r="AJ725" s="14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</row>
    <row r="726" spans="1:47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14"/>
      <c r="AJ726" s="14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</row>
    <row r="727" spans="1:47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14"/>
      <c r="AJ727" s="14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</row>
    <row r="728" spans="1:47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14"/>
      <c r="AJ728" s="14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</row>
    <row r="729" spans="1:47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14"/>
      <c r="AJ729" s="14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</row>
    <row r="730" spans="1:47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14"/>
      <c r="AJ730" s="14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</row>
    <row r="731" spans="1:47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14"/>
      <c r="AJ731" s="14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</row>
    <row r="732" spans="1:47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14"/>
      <c r="AJ732" s="14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</row>
    <row r="733" spans="1:47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14"/>
      <c r="AJ733" s="14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</row>
    <row r="734" spans="1:47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14"/>
      <c r="AJ734" s="14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</row>
    <row r="735" spans="1:47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14"/>
      <c r="AJ735" s="14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</row>
    <row r="736" spans="1:47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14"/>
      <c r="AJ736" s="14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</row>
    <row r="737" spans="1:47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14"/>
      <c r="AJ737" s="14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</row>
    <row r="738" spans="1:47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14"/>
      <c r="AJ738" s="14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</row>
    <row r="739" spans="1:47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14"/>
      <c r="AJ739" s="14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</row>
    <row r="740" spans="1:47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14"/>
      <c r="AJ740" s="14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</row>
    <row r="741" spans="1:47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14"/>
      <c r="AJ741" s="14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</row>
    <row r="742" spans="1:47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14"/>
      <c r="AJ742" s="14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</row>
    <row r="743" spans="1:47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14"/>
      <c r="AJ743" s="14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</row>
    <row r="744" spans="1:47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14"/>
      <c r="AJ744" s="14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</row>
    <row r="745" spans="1:47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14"/>
      <c r="AJ745" s="14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</row>
    <row r="746" spans="1:47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14"/>
      <c r="AJ746" s="14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</row>
    <row r="747" spans="1:47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14"/>
      <c r="AJ747" s="14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</row>
    <row r="748" spans="1:47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14"/>
      <c r="AJ748" s="14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</row>
    <row r="749" spans="1:47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14"/>
      <c r="AJ749" s="14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</row>
    <row r="750" spans="1:47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14"/>
      <c r="AJ750" s="14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</row>
    <row r="751" spans="1:47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14"/>
      <c r="AJ751" s="14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</row>
    <row r="752" spans="1:47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14"/>
      <c r="AJ752" s="14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</row>
    <row r="753" spans="1:47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14"/>
      <c r="AJ753" s="14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</row>
    <row r="754" spans="1:47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14"/>
      <c r="AJ754" s="14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</row>
    <row r="755" spans="1:47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14"/>
      <c r="AJ755" s="14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</row>
    <row r="756" spans="1:47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14"/>
      <c r="AJ756" s="14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</row>
    <row r="757" spans="1:47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14"/>
      <c r="AJ757" s="14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</row>
    <row r="758" spans="1:47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14"/>
      <c r="AJ758" s="14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</row>
    <row r="759" spans="1:47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14"/>
      <c r="AJ759" s="14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</row>
    <row r="760" spans="1:47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14"/>
      <c r="AJ760" s="14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</row>
    <row r="761" spans="1:47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14"/>
      <c r="AJ761" s="14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</row>
    <row r="762" spans="1:47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14"/>
      <c r="AJ762" s="14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</row>
    <row r="763" spans="1:47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14"/>
      <c r="AJ763" s="14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</row>
    <row r="764" spans="1:47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14"/>
      <c r="AJ764" s="14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</row>
    <row r="765" spans="1:47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14"/>
      <c r="AJ765" s="14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</row>
    <row r="766" spans="1:47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14"/>
      <c r="AJ766" s="14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</row>
    <row r="767" spans="1:47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14"/>
      <c r="AJ767" s="14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</row>
    <row r="768" spans="1:47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14"/>
      <c r="AJ768" s="14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</row>
    <row r="769" spans="1:47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14"/>
      <c r="AJ769" s="14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</row>
    <row r="770" spans="1:47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14"/>
      <c r="AJ770" s="14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</row>
    <row r="771" spans="1:47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14"/>
      <c r="AJ771" s="14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</row>
    <row r="772" spans="1:47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14"/>
      <c r="AJ772" s="14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</row>
    <row r="773" spans="1:47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14"/>
      <c r="AJ773" s="14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</row>
    <row r="774" spans="1:47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14"/>
      <c r="AJ774" s="14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</row>
    <row r="775" spans="1:47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14"/>
      <c r="AJ775" s="14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</row>
    <row r="776" spans="1:47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14"/>
      <c r="AJ776" s="14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</row>
    <row r="777" spans="1:47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14"/>
      <c r="AJ777" s="14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</row>
    <row r="778" spans="1:47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14"/>
      <c r="AJ778" s="14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</row>
    <row r="779" spans="1:47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14"/>
      <c r="AJ779" s="14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</row>
    <row r="780" spans="1:47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14"/>
      <c r="AJ780" s="14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</row>
    <row r="781" spans="1:47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14"/>
      <c r="AJ781" s="14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</row>
    <row r="782" spans="1:47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14"/>
      <c r="AJ782" s="14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</row>
    <row r="783" spans="1:47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14"/>
      <c r="AJ783" s="14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</row>
    <row r="784" spans="1:47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14"/>
      <c r="AJ784" s="14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</row>
    <row r="785" spans="1:47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14"/>
      <c r="AJ785" s="14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</row>
    <row r="786" spans="1:47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14"/>
      <c r="AJ786" s="14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</row>
    <row r="787" spans="1:47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14"/>
      <c r="AJ787" s="14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</row>
    <row r="788" spans="1:47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14"/>
      <c r="AJ788" s="14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</row>
    <row r="789" spans="1:47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14"/>
      <c r="AJ789" s="14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</row>
    <row r="790" spans="1:47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14"/>
      <c r="AJ790" s="14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</row>
    <row r="791" spans="1:47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14"/>
      <c r="AJ791" s="14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</row>
    <row r="792" spans="1:47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14"/>
      <c r="AJ792" s="14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</row>
    <row r="793" spans="1:47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14"/>
      <c r="AJ793" s="14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</row>
    <row r="794" spans="1:47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14"/>
      <c r="AJ794" s="14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</row>
    <row r="795" spans="1:47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14"/>
      <c r="AJ795" s="14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</row>
    <row r="796" spans="1:47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14"/>
      <c r="AJ796" s="14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</row>
    <row r="797" spans="1:47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14"/>
      <c r="AJ797" s="14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</row>
    <row r="798" spans="1:47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14"/>
      <c r="AJ798" s="14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</row>
    <row r="799" spans="1:47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14"/>
      <c r="AJ799" s="14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</row>
    <row r="800" spans="1:47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14"/>
      <c r="AJ800" s="14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</row>
    <row r="801" spans="1:47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14"/>
      <c r="AJ801" s="14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</row>
    <row r="802" spans="1:47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14"/>
      <c r="AJ802" s="14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</row>
    <row r="803" spans="1:47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14"/>
      <c r="AJ803" s="14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</row>
    <row r="804" spans="1:47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14"/>
      <c r="AJ804" s="14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</row>
    <row r="805" spans="1:47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14"/>
      <c r="AJ805" s="14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</row>
    <row r="806" spans="1:47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14"/>
      <c r="AJ806" s="14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</row>
    <row r="807" spans="1:47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14"/>
      <c r="AJ807" s="14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</row>
    <row r="808" spans="1:47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14"/>
      <c r="AJ808" s="14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</row>
    <row r="809" spans="1:47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14"/>
      <c r="AJ809" s="14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</row>
    <row r="810" spans="1:47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14"/>
      <c r="AJ810" s="14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</row>
    <row r="811" spans="1:47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14"/>
      <c r="AJ811" s="14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</row>
    <row r="812" spans="1:47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14"/>
      <c r="AJ812" s="14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</row>
    <row r="813" spans="1:47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14"/>
      <c r="AJ813" s="14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</row>
    <row r="814" spans="1:47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14"/>
      <c r="AJ814" s="14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</row>
    <row r="815" spans="1:47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14"/>
      <c r="AJ815" s="14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</row>
    <row r="816" spans="1:47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14"/>
      <c r="AJ816" s="14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</row>
    <row r="817" spans="1:47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14"/>
      <c r="AJ817" s="14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</row>
    <row r="818" spans="1:47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14"/>
      <c r="AJ818" s="14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</row>
    <row r="819" spans="1:47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14"/>
      <c r="AJ819" s="14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</row>
    <row r="820" spans="1:47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14"/>
      <c r="AJ820" s="14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</row>
    <row r="821" spans="1:47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14"/>
      <c r="AJ821" s="14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</row>
    <row r="822" spans="1:47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14"/>
      <c r="AJ822" s="14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</row>
    <row r="823" spans="1:47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14"/>
      <c r="AJ823" s="14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</row>
    <row r="824" spans="1:47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14"/>
      <c r="AJ824" s="14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</row>
    <row r="825" spans="1:47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14"/>
      <c r="AJ825" s="14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</row>
    <row r="826" spans="1:47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14"/>
      <c r="AJ826" s="14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</row>
    <row r="827" spans="1:47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14"/>
      <c r="AJ827" s="14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</row>
    <row r="828" spans="1:47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14"/>
      <c r="AJ828" s="14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</row>
    <row r="829" spans="1:47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14"/>
      <c r="AJ829" s="14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</row>
    <row r="830" spans="1:47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14"/>
      <c r="AJ830" s="14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</row>
    <row r="831" spans="1:47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14"/>
      <c r="AJ831" s="14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</row>
    <row r="832" spans="1:47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14"/>
      <c r="AJ832" s="14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</row>
    <row r="833" spans="1:47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14"/>
      <c r="AJ833" s="14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</row>
    <row r="834" spans="1:47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14"/>
      <c r="AJ834" s="14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</row>
    <row r="835" spans="1:47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14"/>
      <c r="AJ835" s="14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</row>
    <row r="836" spans="1:47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14"/>
      <c r="AJ836" s="14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</row>
    <row r="837" spans="1:47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14"/>
      <c r="AJ837" s="14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</row>
    <row r="838" spans="1:47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14"/>
      <c r="AJ838" s="14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</row>
    <row r="839" spans="1:47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14"/>
      <c r="AJ839" s="14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</row>
    <row r="840" spans="1:47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14"/>
      <c r="AJ840" s="14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</row>
    <row r="841" spans="1:47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14"/>
      <c r="AJ841" s="14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</row>
    <row r="842" spans="1:47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14"/>
      <c r="AJ842" s="14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</row>
    <row r="843" spans="1:47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14"/>
      <c r="AJ843" s="14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</row>
    <row r="844" spans="1:47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14"/>
      <c r="AJ844" s="14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</row>
    <row r="845" spans="1:47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14"/>
      <c r="AJ845" s="14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</row>
    <row r="846" spans="1:47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14"/>
      <c r="AJ846" s="14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</row>
    <row r="847" spans="1:47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14"/>
      <c r="AJ847" s="14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</row>
    <row r="848" spans="1:47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14"/>
      <c r="AJ848" s="14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</row>
    <row r="849" spans="1:47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14"/>
      <c r="AJ849" s="14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</row>
    <row r="850" spans="1:47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14"/>
      <c r="AJ850" s="14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</row>
    <row r="851" spans="1:47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14"/>
      <c r="AJ851" s="14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</row>
    <row r="852" spans="1:47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14"/>
      <c r="AJ852" s="14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</row>
    <row r="853" spans="1:47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14"/>
      <c r="AJ853" s="14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</row>
    <row r="854" spans="1:47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14"/>
      <c r="AJ854" s="14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</row>
    <row r="855" spans="1:47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14"/>
      <c r="AJ855" s="14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</row>
    <row r="856" spans="1:47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14"/>
      <c r="AJ856" s="14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</row>
    <row r="857" spans="1:47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14"/>
      <c r="AJ857" s="14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</row>
    <row r="858" spans="1:47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14"/>
      <c r="AJ858" s="14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</row>
    <row r="859" spans="1:47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14"/>
      <c r="AJ859" s="14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</row>
    <row r="860" spans="1:47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14"/>
      <c r="AJ860" s="14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</row>
    <row r="861" spans="1:47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14"/>
      <c r="AJ861" s="14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</row>
    <row r="862" spans="1:47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14"/>
      <c r="AJ862" s="14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</row>
    <row r="863" spans="1:47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14"/>
      <c r="AJ863" s="14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</row>
    <row r="864" spans="1:47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14"/>
      <c r="AJ864" s="14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</row>
    <row r="865" spans="1:47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14"/>
      <c r="AJ865" s="14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</row>
    <row r="866" spans="1:47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14"/>
      <c r="AJ866" s="14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</row>
    <row r="867" spans="1:47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14"/>
      <c r="AJ867" s="14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</row>
    <row r="868" spans="1:47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14"/>
      <c r="AJ868" s="14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</row>
    <row r="869" spans="1:47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14"/>
      <c r="AJ869" s="14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</row>
    <row r="870" spans="1:47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14"/>
      <c r="AJ870" s="14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</row>
    <row r="871" spans="1:47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14"/>
      <c r="AJ871" s="14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</row>
    <row r="872" spans="1:47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14"/>
      <c r="AJ872" s="14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</row>
    <row r="873" spans="1:47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14"/>
      <c r="AJ873" s="14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</row>
    <row r="874" spans="1:47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14"/>
      <c r="AJ874" s="14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</row>
    <row r="875" spans="1:47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14"/>
      <c r="AJ875" s="14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</row>
    <row r="876" spans="1:47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14"/>
      <c r="AJ876" s="14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</row>
    <row r="877" spans="1:47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14"/>
      <c r="AJ877" s="14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</row>
    <row r="878" spans="1:47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14"/>
      <c r="AJ878" s="14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</row>
    <row r="879" spans="1:47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14"/>
      <c r="AJ879" s="14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</row>
    <row r="880" spans="1:47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14"/>
      <c r="AJ880" s="14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</row>
    <row r="881" spans="1:47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14"/>
      <c r="AJ881" s="14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</row>
    <row r="882" spans="1:47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14"/>
      <c r="AJ882" s="14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</row>
    <row r="883" spans="1:47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14"/>
      <c r="AJ883" s="14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</row>
    <row r="884" spans="1:47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14"/>
      <c r="AJ884" s="14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</row>
    <row r="885" spans="1:47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14"/>
      <c r="AJ885" s="14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</row>
    <row r="886" spans="1:47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14"/>
      <c r="AJ886" s="14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</row>
    <row r="887" spans="1:47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14"/>
      <c r="AJ887" s="14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</row>
    <row r="888" spans="1:47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14"/>
      <c r="AJ888" s="14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</row>
    <row r="889" spans="1:47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14"/>
      <c r="AJ889" s="14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</row>
    <row r="890" spans="1:47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14"/>
      <c r="AJ890" s="14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</row>
    <row r="891" spans="1:47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14"/>
      <c r="AJ891" s="14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</row>
    <row r="892" spans="1:47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14"/>
      <c r="AJ892" s="14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</row>
    <row r="893" spans="1:47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14"/>
      <c r="AJ893" s="14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</row>
    <row r="894" spans="1:47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14"/>
      <c r="AJ894" s="14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</row>
    <row r="895" spans="1:47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14"/>
      <c r="AJ895" s="14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</row>
    <row r="896" spans="1:47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14"/>
      <c r="AJ896" s="14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</row>
    <row r="897" spans="1:47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14"/>
      <c r="AJ897" s="14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</row>
    <row r="898" spans="1:47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14"/>
      <c r="AJ898" s="14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</row>
    <row r="899" spans="1:47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14"/>
      <c r="AJ899" s="14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</row>
    <row r="900" spans="1:47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14"/>
      <c r="AJ900" s="14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</row>
    <row r="901" spans="1:47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14"/>
      <c r="AJ901" s="14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</row>
    <row r="902" spans="1:47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14"/>
      <c r="AJ902" s="14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</row>
    <row r="903" spans="1:47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14"/>
      <c r="AJ903" s="14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</row>
    <row r="904" spans="1:47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14"/>
      <c r="AJ904" s="14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</row>
    <row r="905" spans="1:47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14"/>
      <c r="AJ905" s="14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</row>
    <row r="906" spans="1:47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14"/>
      <c r="AJ906" s="14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</row>
    <row r="907" spans="1:47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14"/>
      <c r="AJ907" s="14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</row>
    <row r="908" spans="1:47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14"/>
      <c r="AJ908" s="14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</row>
    <row r="909" spans="1:47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14"/>
      <c r="AJ909" s="14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</row>
    <row r="910" spans="1:47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14"/>
      <c r="AJ910" s="14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</row>
    <row r="911" spans="1:47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14"/>
      <c r="AJ911" s="14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</row>
    <row r="912" spans="1:47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14"/>
      <c r="AJ912" s="14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</row>
    <row r="913" spans="1:47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14"/>
      <c r="AJ913" s="14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</row>
    <row r="914" spans="1:47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14"/>
      <c r="AJ914" s="14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</row>
    <row r="915" spans="1:47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14"/>
      <c r="AJ915" s="14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</row>
    <row r="916" spans="1:47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14"/>
      <c r="AJ916" s="14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</row>
    <row r="917" spans="1:47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14"/>
      <c r="AJ917" s="14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</row>
    <row r="918" spans="1:47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14"/>
      <c r="AJ918" s="14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</row>
    <row r="919" spans="1:47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14"/>
      <c r="AJ919" s="14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</row>
    <row r="920" spans="1:47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14"/>
      <c r="AJ920" s="14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</row>
    <row r="921" spans="1:47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14"/>
      <c r="AJ921" s="14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</row>
    <row r="922" spans="1:47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14"/>
      <c r="AJ922" s="14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</row>
    <row r="923" spans="1:47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14"/>
      <c r="AJ923" s="14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</row>
    <row r="924" spans="1:47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14"/>
      <c r="AJ924" s="14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</row>
    <row r="925" spans="1:47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14"/>
      <c r="AJ925" s="14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</row>
    <row r="926" spans="1:47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14"/>
      <c r="AJ926" s="14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</row>
    <row r="927" spans="1:47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14"/>
      <c r="AJ927" s="14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</row>
    <row r="928" spans="1:47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14"/>
      <c r="AJ928" s="14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</row>
    <row r="929" spans="1:47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14"/>
      <c r="AJ929" s="14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</row>
    <row r="930" spans="1:47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14"/>
      <c r="AJ930" s="14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</row>
    <row r="931" spans="1:47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14"/>
      <c r="AJ931" s="14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</row>
    <row r="932" spans="1:47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14"/>
      <c r="AJ932" s="14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</row>
    <row r="933" spans="1:47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14"/>
      <c r="AJ933" s="14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</row>
    <row r="934" spans="1:47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14"/>
      <c r="AJ934" s="14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</row>
    <row r="935" spans="1:47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14"/>
      <c r="AJ935" s="14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</row>
    <row r="936" spans="1:47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14"/>
      <c r="AJ936" s="14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</row>
    <row r="937" spans="1:47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14"/>
      <c r="AJ937" s="14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</row>
    <row r="938" spans="1:47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14"/>
      <c r="AJ938" s="14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</row>
    <row r="939" spans="1:47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14"/>
      <c r="AJ939" s="14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</row>
    <row r="940" spans="1:47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14"/>
      <c r="AJ940" s="14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</row>
    <row r="941" spans="1:47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14"/>
      <c r="AJ941" s="14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</row>
    <row r="942" spans="1:47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14"/>
      <c r="AJ942" s="14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</row>
    <row r="943" spans="1:47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14"/>
      <c r="AJ943" s="14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</row>
    <row r="944" spans="1:47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14"/>
      <c r="AJ944" s="14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</row>
    <row r="945" spans="1:47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14"/>
      <c r="AJ945" s="14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</row>
    <row r="946" spans="1:47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14"/>
      <c r="AJ946" s="14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</row>
    <row r="947" spans="1:47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14"/>
      <c r="AJ947" s="14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</row>
    <row r="948" spans="1:47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14"/>
      <c r="AJ948" s="14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</row>
    <row r="949" spans="1:47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14"/>
      <c r="AJ949" s="14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</row>
    <row r="950" spans="1:47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14"/>
      <c r="AJ950" s="14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</row>
    <row r="951" spans="1:47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14"/>
      <c r="AJ951" s="14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</row>
    <row r="952" spans="1:47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14"/>
      <c r="AJ952" s="14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</row>
    <row r="953" spans="1:47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14"/>
      <c r="AJ953" s="14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</row>
    <row r="954" spans="1:47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14"/>
      <c r="AJ954" s="14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</row>
    <row r="955" spans="1:47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14"/>
      <c r="AJ955" s="14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</row>
    <row r="956" spans="1:47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14"/>
      <c r="AJ956" s="14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</row>
    <row r="957" spans="1:47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14"/>
      <c r="AJ957" s="14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</row>
    <row r="958" spans="1:47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14"/>
      <c r="AJ958" s="14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</row>
    <row r="959" spans="1:47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14"/>
      <c r="AJ959" s="14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</row>
    <row r="960" spans="1:47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14"/>
      <c r="AJ960" s="14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</row>
    <row r="961" spans="1:47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14"/>
      <c r="AJ961" s="14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</row>
    <row r="962" spans="1:47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14"/>
      <c r="AJ962" s="14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</row>
    <row r="963" spans="1:47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14"/>
      <c r="AJ963" s="14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</row>
    <row r="964" spans="1:47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14"/>
      <c r="AJ964" s="14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</row>
    <row r="965" spans="1:47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14"/>
      <c r="AJ965" s="14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</row>
    <row r="966" spans="1:47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14"/>
      <c r="AJ966" s="14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</row>
    <row r="967" spans="1:47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14"/>
      <c r="AJ967" s="14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</row>
    <row r="968" spans="1:47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14"/>
      <c r="AJ968" s="14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</row>
    <row r="969" spans="1:47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14"/>
      <c r="AJ969" s="14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</row>
    <row r="970" spans="1:47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14"/>
      <c r="AJ970" s="14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</row>
    <row r="971" spans="1:47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14"/>
      <c r="AJ971" s="14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</row>
    <row r="972" spans="1:47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14"/>
      <c r="AJ972" s="14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</row>
    <row r="973" spans="1:47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14"/>
      <c r="AJ973" s="14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</row>
    <row r="974" spans="1:47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14"/>
      <c r="AJ974" s="14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</row>
    <row r="975" spans="1:47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14"/>
      <c r="AJ975" s="14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</row>
    <row r="976" spans="1:47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14"/>
      <c r="AJ976" s="14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</row>
    <row r="977" spans="1:47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14"/>
      <c r="AJ977" s="14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</row>
    <row r="978" spans="1:47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14"/>
      <c r="AJ978" s="14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</row>
    <row r="979" spans="1:47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14"/>
      <c r="AJ979" s="14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</row>
    <row r="980" spans="1:47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14"/>
      <c r="AJ980" s="14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</row>
    <row r="981" spans="1:47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14"/>
      <c r="AJ981" s="14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</row>
    <row r="982" spans="1:47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14"/>
      <c r="AJ982" s="14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</row>
    <row r="983" spans="1:47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14"/>
      <c r="AJ983" s="14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</row>
    <row r="984" spans="1:47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14"/>
      <c r="AJ984" s="14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</row>
    <row r="985" spans="1:47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14"/>
      <c r="AJ985" s="14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</row>
    <row r="986" spans="1:47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14"/>
      <c r="AJ986" s="14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</row>
    <row r="987" spans="1:47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14"/>
      <c r="AJ987" s="14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</row>
    <row r="988" spans="1:47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14"/>
      <c r="AJ988" s="14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</row>
    <row r="989" spans="1:47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14"/>
      <c r="AJ989" s="14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</row>
  </sheetData>
  <mergeCells count="26">
    <mergeCell ref="A264:A274"/>
    <mergeCell ref="A276:A286"/>
    <mergeCell ref="A192:A202"/>
    <mergeCell ref="A204:A214"/>
    <mergeCell ref="A216:A226"/>
    <mergeCell ref="A228:A238"/>
    <mergeCell ref="A240:A250"/>
    <mergeCell ref="A252:A262"/>
    <mergeCell ref="A180:A190"/>
    <mergeCell ref="A60:A71"/>
    <mergeCell ref="A72:A83"/>
    <mergeCell ref="A84:A94"/>
    <mergeCell ref="A95:A105"/>
    <mergeCell ref="A106:A107"/>
    <mergeCell ref="A108:A118"/>
    <mergeCell ref="A120:A130"/>
    <mergeCell ref="A132:A142"/>
    <mergeCell ref="A144:A154"/>
    <mergeCell ref="A156:A166"/>
    <mergeCell ref="A168:A178"/>
    <mergeCell ref="A48:A59"/>
    <mergeCell ref="B4:L5"/>
    <mergeCell ref="AC7:AG7"/>
    <mergeCell ref="A11:A23"/>
    <mergeCell ref="A24:A35"/>
    <mergeCell ref="A36:A47"/>
  </mergeCells>
  <pageMargins left="0.7" right="0.7" top="0.75" bottom="0.75" header="0" footer="0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86A7-6BB5-4C1D-BC9F-5DF75BA07EC1}">
  <sheetPr codeName="Sheet16"/>
  <dimension ref="A1:CL1002"/>
  <sheetViews>
    <sheetView topLeftCell="A123" zoomScale="70" zoomScaleNormal="70" workbookViewId="0">
      <selection activeCell="BP78" sqref="BP78"/>
    </sheetView>
  </sheetViews>
  <sheetFormatPr defaultColWidth="12.625" defaultRowHeight="15" customHeight="1" x14ac:dyDescent="0.2"/>
  <cols>
    <col min="1" max="1" width="8" style="322" customWidth="1"/>
    <col min="2" max="2" width="2.125" style="322" customWidth="1"/>
    <col min="3" max="3" width="8" style="322" customWidth="1"/>
    <col min="4" max="4" width="12.75" style="322" customWidth="1"/>
    <col min="5" max="5" width="11.75" style="322" customWidth="1"/>
    <col min="6" max="6" width="9.5" style="322" customWidth="1"/>
    <col min="7" max="7" width="2.875" style="322" customWidth="1"/>
    <col min="8" max="8" width="8" style="322" customWidth="1"/>
    <col min="9" max="9" width="10.75" style="322" customWidth="1"/>
    <col min="10" max="11" width="8" style="322" customWidth="1"/>
    <col min="12" max="12" width="3.625" style="322" customWidth="1"/>
    <col min="13" max="13" width="8.25" style="322" customWidth="1"/>
    <col min="14" max="14" width="11" style="322" customWidth="1"/>
    <col min="15" max="15" width="8" style="322" customWidth="1"/>
    <col min="16" max="16" width="11" style="322" customWidth="1"/>
    <col min="17" max="17" width="3.75" style="322" customWidth="1"/>
    <col min="18" max="18" width="8.625" style="322" customWidth="1"/>
    <col min="19" max="19" width="6" style="322" customWidth="1"/>
    <col min="20" max="20" width="12.75" style="322" customWidth="1"/>
    <col min="21" max="21" width="8" style="322" customWidth="1"/>
    <col min="22" max="22" width="11.25" style="322" customWidth="1"/>
    <col min="23" max="24" width="11.25" style="499" customWidth="1"/>
    <col min="25" max="25" width="15.125" style="499" customWidth="1"/>
    <col min="26" max="26" width="8.375" style="322" customWidth="1"/>
    <col min="27" max="27" width="10.875" style="322" customWidth="1"/>
    <col min="28" max="28" width="11.75" style="499" customWidth="1"/>
    <col min="29" max="29" width="16.125" style="499" customWidth="1"/>
    <col min="30" max="30" width="17.125" style="499" customWidth="1"/>
    <col min="31" max="31" width="6.125" style="322" customWidth="1"/>
    <col min="32" max="32" width="11.375" style="322" customWidth="1"/>
    <col min="33" max="34" width="11.375" style="499" customWidth="1"/>
    <col min="35" max="35" width="17.375" style="499" customWidth="1"/>
    <col min="36" max="36" width="5.875" style="322" customWidth="1"/>
    <col min="37" max="37" width="10.625" style="322" customWidth="1"/>
    <col min="38" max="38" width="9.5" style="499" customWidth="1"/>
    <col min="39" max="39" width="10.625" style="499" customWidth="1"/>
    <col min="40" max="40" width="16.625" style="499" customWidth="1"/>
    <col min="41" max="41" width="7.25" style="322" customWidth="1"/>
    <col min="42" max="42" width="10" style="322" customWidth="1"/>
    <col min="43" max="43" width="8.875" style="499" customWidth="1"/>
    <col min="44" max="44" width="10" style="499" customWidth="1"/>
    <col min="45" max="45" width="16.5" style="499" customWidth="1"/>
    <col min="46" max="46" width="6.125" style="322" customWidth="1"/>
    <col min="47" max="47" width="12.25" style="322" customWidth="1"/>
    <col min="48" max="48" width="12.25" style="486" customWidth="1"/>
    <col min="49" max="49" width="14.125" style="486" customWidth="1"/>
    <col min="50" max="50" width="17.125" style="486" customWidth="1"/>
    <col min="51" max="51" width="9.125" style="322" customWidth="1"/>
    <col min="52" max="52" width="12.375" style="322" customWidth="1"/>
    <col min="53" max="53" width="12.625" style="293"/>
    <col min="54" max="54" width="11.125" style="293" customWidth="1"/>
    <col min="55" max="55" width="12.75" style="293" customWidth="1"/>
    <col min="56" max="56" width="20.875" style="293" customWidth="1"/>
    <col min="57" max="57" width="1.125" style="322" customWidth="1"/>
    <col min="58" max="58" width="17.125" style="322" customWidth="1"/>
    <col min="59" max="59" width="21" style="322" customWidth="1"/>
    <col min="60" max="60" width="20" style="322" customWidth="1"/>
    <col min="61" max="61" width="30.875" style="322" customWidth="1"/>
    <col min="62" max="62" width="13" style="322" customWidth="1"/>
    <col min="63" max="63" width="14.625" style="322" customWidth="1"/>
    <col min="64" max="64" width="17.25" style="322" customWidth="1"/>
    <col min="65" max="65" width="17.375" style="322" customWidth="1"/>
    <col min="66" max="66" width="19.5" style="322" customWidth="1"/>
    <col min="67" max="67" width="15.125" style="322" customWidth="1"/>
    <col min="68" max="68" width="17" style="322" customWidth="1"/>
    <col min="69" max="74" width="12.625" style="322"/>
    <col min="75" max="75" width="16.875" style="322" customWidth="1"/>
    <col min="76" max="76" width="23" style="322" customWidth="1"/>
    <col min="77" max="77" width="29.5" style="322" customWidth="1"/>
    <col min="78" max="16384" width="12.625" style="322"/>
  </cols>
  <sheetData>
    <row r="1" spans="1:90" ht="14.25" customHeight="1" x14ac:dyDescent="0.2">
      <c r="A1" s="1"/>
      <c r="B1" s="324"/>
      <c r="C1" s="1"/>
      <c r="D1" s="1"/>
      <c r="E1" s="1"/>
      <c r="F1" s="1"/>
      <c r="G1" s="324"/>
      <c r="H1" s="1"/>
      <c r="I1" s="1"/>
      <c r="J1" s="1"/>
      <c r="K1" s="1"/>
      <c r="L1" s="324"/>
      <c r="M1" s="1"/>
      <c r="N1" s="1"/>
      <c r="O1" s="1"/>
      <c r="P1" s="1"/>
      <c r="Q1" s="1"/>
      <c r="R1" s="1"/>
      <c r="S1" s="1"/>
      <c r="T1" s="1"/>
      <c r="U1" s="1"/>
      <c r="V1" s="1"/>
      <c r="W1" s="324"/>
      <c r="X1" s="324"/>
      <c r="Y1" s="324"/>
      <c r="Z1" s="1"/>
      <c r="AA1" s="1"/>
      <c r="AB1" s="324"/>
      <c r="AC1" s="324"/>
      <c r="AD1" s="324"/>
      <c r="AE1" s="1"/>
      <c r="AF1" s="1"/>
      <c r="AG1" s="324"/>
      <c r="AH1" s="324"/>
      <c r="AI1" s="324"/>
      <c r="AJ1" s="1"/>
      <c r="AK1" s="1"/>
      <c r="AL1" s="324"/>
      <c r="AM1" s="324"/>
      <c r="AN1" s="324"/>
      <c r="AO1" s="1"/>
      <c r="AP1" s="1"/>
      <c r="AQ1" s="324"/>
      <c r="AR1" s="324"/>
      <c r="AS1" s="324"/>
      <c r="AT1" s="1"/>
      <c r="AU1" s="1"/>
      <c r="AV1" s="324"/>
      <c r="AW1" s="324"/>
      <c r="AX1" s="324"/>
      <c r="AY1" s="1"/>
      <c r="AZ1" s="1"/>
      <c r="BA1" s="380"/>
      <c r="BB1" s="557"/>
      <c r="BC1" s="557"/>
      <c r="BD1" s="557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</row>
    <row r="2" spans="1:90" ht="48.75" customHeight="1" x14ac:dyDescent="0.2">
      <c r="A2" s="1"/>
      <c r="B2" s="324"/>
      <c r="C2" s="1"/>
      <c r="D2" s="1"/>
      <c r="E2" s="1"/>
      <c r="F2" s="1"/>
      <c r="G2" s="324"/>
      <c r="H2" s="1"/>
      <c r="I2" s="1"/>
      <c r="J2" s="1"/>
      <c r="K2" s="1"/>
      <c r="L2" s="324"/>
      <c r="M2" s="1"/>
      <c r="N2" s="1"/>
      <c r="O2" s="1"/>
      <c r="P2" s="1"/>
      <c r="Q2" s="1"/>
      <c r="R2" s="1"/>
      <c r="S2" s="1"/>
      <c r="T2" s="1"/>
      <c r="U2" s="1"/>
      <c r="V2" s="1"/>
      <c r="W2" s="324"/>
      <c r="X2" s="324"/>
      <c r="Y2" s="324"/>
      <c r="Z2" s="1"/>
      <c r="AA2" s="1"/>
      <c r="AB2" s="324"/>
      <c r="AC2" s="324"/>
      <c r="AD2" s="324"/>
      <c r="AE2" s="1"/>
      <c r="AF2" s="1"/>
      <c r="AG2" s="324"/>
      <c r="AH2" s="324"/>
      <c r="AI2" s="324"/>
      <c r="AJ2" s="1"/>
      <c r="AK2" s="1"/>
      <c r="AL2" s="324"/>
      <c r="AM2" s="324"/>
      <c r="AN2" s="324"/>
      <c r="AO2" s="1"/>
      <c r="AP2" s="1"/>
      <c r="AQ2" s="324"/>
      <c r="AR2" s="324"/>
      <c r="AS2" s="324"/>
      <c r="AT2" s="1"/>
      <c r="AU2" s="1"/>
      <c r="AV2" s="324"/>
      <c r="AW2" s="324"/>
      <c r="AX2" s="324"/>
      <c r="AY2" s="1"/>
      <c r="AZ2" s="1"/>
      <c r="BA2" s="380"/>
      <c r="BB2" s="557"/>
      <c r="BC2" s="557"/>
      <c r="BD2" s="557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</row>
    <row r="3" spans="1:90" ht="35.25" customHeight="1" x14ac:dyDescent="0.2">
      <c r="A3" s="1"/>
      <c r="B3" s="324"/>
      <c r="C3" s="1"/>
      <c r="D3" s="1"/>
      <c r="E3" s="1"/>
      <c r="F3" s="1"/>
      <c r="G3" s="324"/>
      <c r="H3" s="1"/>
      <c r="I3" s="1"/>
      <c r="J3" s="1"/>
      <c r="K3" s="1"/>
      <c r="L3" s="324"/>
      <c r="M3" s="1"/>
      <c r="N3" s="1"/>
      <c r="O3" s="1"/>
      <c r="P3" s="1"/>
      <c r="Q3" s="1"/>
      <c r="R3" s="1"/>
      <c r="S3" s="1"/>
      <c r="T3" s="1"/>
      <c r="U3" s="1"/>
      <c r="V3" s="1"/>
      <c r="W3" s="324"/>
      <c r="X3" s="324"/>
      <c r="Y3" s="324"/>
      <c r="Z3" s="1"/>
      <c r="AA3" s="1"/>
      <c r="AB3" s="324"/>
      <c r="AC3" s="324"/>
      <c r="AD3" s="324"/>
      <c r="AE3" s="1"/>
      <c r="AF3" s="1"/>
      <c r="AG3" s="324"/>
      <c r="AH3" s="324"/>
      <c r="AI3" s="324"/>
      <c r="AJ3" s="1"/>
      <c r="AK3" s="1"/>
      <c r="AL3" s="324"/>
      <c r="AM3" s="324"/>
      <c r="AN3" s="324"/>
      <c r="AO3" s="1"/>
      <c r="AP3" s="1"/>
      <c r="AQ3" s="324"/>
      <c r="AR3" s="324"/>
      <c r="AS3" s="324"/>
      <c r="AT3" s="1"/>
      <c r="AU3" s="1"/>
      <c r="AV3" s="324"/>
      <c r="AW3" s="324"/>
      <c r="AX3" s="324"/>
      <c r="AY3" s="1"/>
      <c r="AZ3" s="1"/>
      <c r="BA3" s="380"/>
      <c r="BB3" s="557"/>
      <c r="BC3" s="557"/>
      <c r="BD3" s="557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</row>
    <row r="4" spans="1:90" ht="14.25" customHeight="1" x14ac:dyDescent="0.2">
      <c r="A4" s="618" t="s">
        <v>388</v>
      </c>
      <c r="B4" s="638"/>
      <c r="C4" s="618"/>
      <c r="D4" s="618"/>
      <c r="E4" s="618"/>
      <c r="F4" s="618"/>
      <c r="G4" s="638"/>
      <c r="H4" s="618"/>
      <c r="I4" s="618"/>
      <c r="J4" s="8"/>
      <c r="K4" s="8"/>
      <c r="L4" s="347"/>
      <c r="M4" s="8"/>
      <c r="N4" s="8"/>
      <c r="O4" s="8"/>
      <c r="P4" s="8"/>
      <c r="Q4" s="8"/>
      <c r="R4" s="8"/>
      <c r="S4" s="8"/>
      <c r="T4" s="8"/>
      <c r="U4" s="8"/>
      <c r="V4" s="8"/>
      <c r="W4" s="347"/>
      <c r="X4" s="347"/>
      <c r="Y4" s="347"/>
      <c r="Z4" s="8"/>
      <c r="AA4" s="8"/>
      <c r="AB4" s="347"/>
      <c r="AC4" s="347"/>
      <c r="AD4" s="347"/>
      <c r="AE4" s="8"/>
      <c r="AF4" s="8"/>
      <c r="AG4" s="347"/>
      <c r="AH4" s="347"/>
      <c r="AI4" s="347"/>
      <c r="AJ4" s="8"/>
      <c r="AK4" s="8"/>
      <c r="AL4" s="347"/>
      <c r="AM4" s="347"/>
      <c r="AN4" s="347"/>
      <c r="AO4" s="8"/>
      <c r="AP4" s="8"/>
      <c r="AQ4" s="347"/>
      <c r="AR4" s="347"/>
      <c r="AS4" s="347"/>
      <c r="AT4" s="8"/>
      <c r="AU4" s="8"/>
      <c r="AV4" s="347"/>
      <c r="AW4" s="347"/>
      <c r="AX4" s="347"/>
      <c r="AY4" s="8"/>
      <c r="AZ4" s="8"/>
      <c r="BA4" s="323"/>
      <c r="BB4" s="558"/>
      <c r="BC4" s="558"/>
      <c r="BD4" s="55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</row>
    <row r="5" spans="1:90" ht="14.25" customHeight="1" x14ac:dyDescent="0.2">
      <c r="A5" s="618"/>
      <c r="B5" s="638"/>
      <c r="C5" s="618"/>
      <c r="D5" s="618"/>
      <c r="E5" s="618"/>
      <c r="F5" s="618"/>
      <c r="G5" s="638"/>
      <c r="H5" s="618"/>
      <c r="I5" s="618"/>
      <c r="J5" s="8"/>
      <c r="K5" s="8"/>
      <c r="L5" s="347"/>
      <c r="M5" s="8"/>
      <c r="N5" s="8"/>
      <c r="O5" s="8"/>
      <c r="P5" s="8"/>
      <c r="Q5" s="8"/>
      <c r="R5" s="8"/>
      <c r="S5" s="8"/>
      <c r="T5" s="8"/>
      <c r="U5" s="8"/>
      <c r="V5" s="8"/>
      <c r="W5" s="347"/>
      <c r="X5" s="347"/>
      <c r="Y5" s="347"/>
      <c r="Z5" s="8"/>
      <c r="AA5" s="8"/>
      <c r="AB5" s="347"/>
      <c r="AC5" s="347"/>
      <c r="AD5" s="347"/>
      <c r="AE5" s="8"/>
      <c r="AF5" s="8"/>
      <c r="AG5" s="347"/>
      <c r="AH5" s="347"/>
      <c r="AI5" s="347"/>
      <c r="AJ5" s="8"/>
      <c r="AK5" s="8"/>
      <c r="AL5" s="347"/>
      <c r="AM5" s="347"/>
      <c r="AN5" s="347"/>
      <c r="AO5" s="8"/>
      <c r="AP5" s="8"/>
      <c r="AQ5" s="347"/>
      <c r="AR5" s="347"/>
      <c r="AS5" s="347"/>
      <c r="AT5" s="8"/>
      <c r="AU5" s="8"/>
      <c r="AV5" s="347"/>
      <c r="AW5" s="347"/>
      <c r="AX5" s="347"/>
      <c r="AY5" s="8"/>
      <c r="AZ5" s="8"/>
      <c r="BA5" s="323"/>
      <c r="BB5" s="558"/>
      <c r="BC5" s="558"/>
      <c r="BD5" s="55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</row>
    <row r="6" spans="1:90" ht="14.25" customHeight="1" x14ac:dyDescent="0.2">
      <c r="A6" s="3"/>
      <c r="B6" s="252"/>
      <c r="C6" s="3"/>
      <c r="D6" s="3"/>
      <c r="E6" s="3"/>
      <c r="F6" s="3"/>
      <c r="G6" s="252"/>
      <c r="H6" s="3"/>
      <c r="I6" s="3"/>
      <c r="J6" s="3"/>
      <c r="K6" s="3"/>
      <c r="L6" s="252"/>
      <c r="M6" s="3"/>
      <c r="N6" s="3"/>
      <c r="O6" s="3"/>
      <c r="P6" s="3"/>
      <c r="Q6" s="3"/>
      <c r="R6" s="3"/>
      <c r="S6" s="3"/>
      <c r="T6" s="3"/>
      <c r="U6" s="3"/>
      <c r="V6" s="3"/>
      <c r="W6" s="252"/>
      <c r="X6" s="252"/>
      <c r="Y6" s="252"/>
      <c r="Z6" s="3"/>
      <c r="AA6" s="3"/>
      <c r="AB6" s="252"/>
      <c r="AC6" s="252"/>
      <c r="AD6" s="252"/>
      <c r="AE6" s="282"/>
      <c r="AF6" s="282"/>
      <c r="AG6" s="282"/>
      <c r="AH6" s="282"/>
      <c r="AI6" s="282"/>
      <c r="AJ6" s="282"/>
      <c r="AK6" s="282"/>
      <c r="AL6" s="282"/>
      <c r="AM6" s="282"/>
      <c r="AN6" s="282"/>
      <c r="AO6" s="283"/>
      <c r="AP6" s="283"/>
      <c r="AQ6" s="283"/>
      <c r="AR6" s="283"/>
      <c r="AS6" s="283"/>
      <c r="AT6" s="283"/>
      <c r="AU6" s="283"/>
      <c r="AV6" s="283"/>
      <c r="AW6" s="283"/>
      <c r="AX6" s="283"/>
      <c r="AY6" s="283"/>
      <c r="AZ6" s="283"/>
      <c r="BA6" s="372"/>
      <c r="BB6" s="372"/>
      <c r="BC6" s="372"/>
      <c r="BD6" s="372"/>
      <c r="BE6" s="283"/>
      <c r="BF6" s="283"/>
      <c r="BG6" s="283"/>
      <c r="BH6" s="283"/>
      <c r="BI6" s="283"/>
      <c r="BJ6" s="283"/>
      <c r="BK6" s="283"/>
      <c r="BL6" s="283"/>
      <c r="BM6" s="283"/>
      <c r="BN6" s="283"/>
      <c r="BO6" s="283"/>
      <c r="BP6" s="283"/>
      <c r="BQ6" s="283"/>
      <c r="BR6" s="283"/>
      <c r="BS6" s="283"/>
      <c r="BT6" s="283"/>
      <c r="BU6" s="283"/>
      <c r="BV6" s="283"/>
      <c r="BW6" s="396"/>
      <c r="BX6" s="283"/>
      <c r="BY6" s="283"/>
      <c r="BZ6" s="283"/>
      <c r="CA6" s="283"/>
      <c r="CB6" s="283"/>
      <c r="CC6" s="283"/>
      <c r="CD6" s="283"/>
      <c r="CE6" s="283"/>
      <c r="CF6" s="283"/>
      <c r="CG6" s="283"/>
      <c r="CH6" s="283"/>
      <c r="CI6" s="283"/>
      <c r="CJ6" s="283"/>
      <c r="CK6" s="283"/>
      <c r="CL6" s="283"/>
    </row>
    <row r="7" spans="1:90" ht="14.25" customHeight="1" x14ac:dyDescent="0.2">
      <c r="A7" s="3"/>
      <c r="B7" s="252"/>
      <c r="C7" s="3" t="s">
        <v>389</v>
      </c>
      <c r="D7" s="3"/>
      <c r="E7" s="3"/>
      <c r="F7" s="3"/>
      <c r="G7" s="252"/>
      <c r="H7" s="3"/>
      <c r="I7" s="3"/>
      <c r="J7" s="3"/>
      <c r="K7" s="3"/>
      <c r="L7" s="252"/>
      <c r="M7" s="3"/>
      <c r="N7" s="3"/>
      <c r="O7" s="3"/>
      <c r="P7" s="3"/>
      <c r="Q7" s="3"/>
      <c r="R7" s="3"/>
      <c r="S7" s="3"/>
      <c r="T7" s="3"/>
      <c r="U7" s="3"/>
      <c r="V7" s="3"/>
      <c r="W7" s="252"/>
      <c r="X7" s="252"/>
      <c r="Y7" s="252"/>
      <c r="Z7" s="3"/>
      <c r="AA7" s="3"/>
      <c r="AB7" s="252"/>
      <c r="AC7" s="252"/>
      <c r="AD7" s="252"/>
      <c r="AE7" s="282"/>
      <c r="AF7" s="282"/>
      <c r="AG7" s="282"/>
      <c r="AH7" s="282"/>
      <c r="AI7" s="282"/>
      <c r="AJ7" s="282"/>
      <c r="AK7" s="282"/>
      <c r="AL7" s="282"/>
      <c r="AM7" s="282"/>
      <c r="AN7" s="282"/>
      <c r="AO7" s="283"/>
      <c r="AP7" s="283"/>
      <c r="AQ7" s="283"/>
      <c r="AR7" s="283"/>
      <c r="AS7" s="283"/>
      <c r="AT7" s="283"/>
      <c r="AU7" s="283"/>
      <c r="AV7" s="283"/>
      <c r="AW7" s="283"/>
      <c r="AX7" s="283"/>
      <c r="AY7" s="283"/>
      <c r="AZ7" s="283"/>
      <c r="BA7" s="372"/>
      <c r="BB7" s="372"/>
      <c r="BC7" s="372"/>
      <c r="BD7" s="372"/>
      <c r="BE7" s="283"/>
      <c r="BF7" s="283"/>
      <c r="BG7" s="283"/>
      <c r="BH7" s="283"/>
      <c r="BI7" s="283"/>
      <c r="BJ7" s="283"/>
      <c r="BK7" s="283"/>
      <c r="BL7" s="283"/>
      <c r="BM7" s="283"/>
      <c r="BN7" s="283"/>
      <c r="BO7" s="283"/>
      <c r="BP7" s="283"/>
      <c r="BQ7" s="283"/>
      <c r="BR7" s="283"/>
      <c r="BS7" s="283"/>
      <c r="BT7" s="283"/>
      <c r="BU7" s="283"/>
      <c r="BV7" s="283"/>
      <c r="BW7" s="283"/>
      <c r="BX7" s="283"/>
      <c r="BY7" s="283"/>
      <c r="BZ7" s="283"/>
      <c r="CA7" s="283"/>
      <c r="CB7" s="283"/>
      <c r="CC7" s="283"/>
      <c r="CD7" s="283"/>
      <c r="CE7" s="283"/>
      <c r="CF7" s="283"/>
      <c r="CG7" s="283"/>
      <c r="CH7" s="283"/>
      <c r="CI7" s="283"/>
      <c r="CJ7" s="283"/>
      <c r="CK7" s="283"/>
      <c r="CL7" s="283"/>
    </row>
    <row r="8" spans="1:90" ht="8.25" customHeight="1" x14ac:dyDescent="0.2">
      <c r="A8" s="3"/>
      <c r="B8" s="252"/>
      <c r="C8" s="3"/>
      <c r="D8" s="3"/>
      <c r="E8" s="3"/>
      <c r="F8" s="3"/>
      <c r="G8" s="252"/>
      <c r="H8" s="3"/>
      <c r="I8" s="3"/>
      <c r="J8" s="3"/>
      <c r="K8" s="3"/>
      <c r="L8" s="252"/>
      <c r="M8" s="3"/>
      <c r="N8" s="3"/>
      <c r="O8" s="3"/>
      <c r="P8" s="3"/>
      <c r="Q8" s="3"/>
      <c r="R8" s="3"/>
      <c r="S8" s="3"/>
      <c r="T8" s="3"/>
      <c r="U8" s="3"/>
      <c r="V8" s="3"/>
      <c r="W8" s="252"/>
      <c r="X8" s="252"/>
      <c r="Y8" s="282"/>
      <c r="Z8" s="282"/>
      <c r="AA8" s="282"/>
      <c r="AB8" s="282"/>
      <c r="AC8" s="282"/>
      <c r="AD8" s="282"/>
      <c r="AE8" s="282"/>
      <c r="AF8" s="282"/>
      <c r="AG8" s="282"/>
      <c r="AH8" s="282"/>
      <c r="AI8" s="282"/>
      <c r="AJ8" s="282"/>
      <c r="AK8" s="283"/>
      <c r="AL8" s="283"/>
      <c r="AM8" s="283"/>
      <c r="AN8" s="283"/>
      <c r="AO8" s="283"/>
      <c r="AP8" s="283"/>
      <c r="AQ8" s="283"/>
      <c r="AR8" s="283"/>
      <c r="AS8" s="283"/>
      <c r="AT8" s="283"/>
      <c r="AU8" s="283"/>
      <c r="AV8" s="283"/>
      <c r="AW8" s="283"/>
      <c r="AX8" s="283"/>
      <c r="AY8" s="283"/>
      <c r="AZ8" s="283"/>
      <c r="BA8" s="283"/>
      <c r="BB8" s="283"/>
      <c r="BC8" s="283"/>
      <c r="BD8" s="283"/>
      <c r="BE8" s="283"/>
      <c r="BF8" s="283"/>
      <c r="BG8" s="283"/>
      <c r="BH8" s="283"/>
      <c r="BI8" s="283"/>
      <c r="BJ8" s="283"/>
      <c r="BK8" s="283"/>
      <c r="BL8" s="283"/>
      <c r="BM8" s="283"/>
      <c r="BN8" s="283"/>
      <c r="BO8" s="283"/>
      <c r="BP8" s="283"/>
      <c r="BQ8" s="283"/>
      <c r="BR8" s="283"/>
      <c r="BS8" s="283"/>
      <c r="BT8" s="283"/>
      <c r="BU8" s="283"/>
      <c r="BV8" s="283"/>
      <c r="BW8" s="283"/>
      <c r="BX8" s="283"/>
      <c r="BY8" s="283"/>
      <c r="BZ8" s="283"/>
      <c r="CA8" s="283"/>
      <c r="CB8" s="283"/>
      <c r="CC8" s="283"/>
      <c r="CD8" s="283"/>
      <c r="CE8" s="283"/>
      <c r="CF8" s="283"/>
      <c r="CG8" s="283"/>
      <c r="CH8" s="283"/>
      <c r="CI8" s="283"/>
      <c r="CJ8" s="283"/>
      <c r="CK8" s="283"/>
      <c r="CL8" s="283"/>
    </row>
    <row r="9" spans="1:90" ht="14.25" customHeight="1" x14ac:dyDescent="0.2">
      <c r="A9" s="3"/>
      <c r="B9" s="330"/>
      <c r="C9" s="331" t="s">
        <v>390</v>
      </c>
      <c r="D9" s="332"/>
      <c r="E9" s="332"/>
      <c r="F9" s="332"/>
      <c r="G9" s="332"/>
      <c r="H9" s="332"/>
      <c r="I9" s="332"/>
      <c r="J9" s="332"/>
      <c r="K9" s="332"/>
      <c r="L9" s="332"/>
      <c r="M9" s="332"/>
      <c r="N9" s="332"/>
      <c r="O9" s="332"/>
      <c r="P9" s="333"/>
      <c r="Q9" s="3"/>
      <c r="R9" s="353" t="s">
        <v>419</v>
      </c>
      <c r="S9" s="332"/>
      <c r="T9" s="332"/>
      <c r="U9" s="332"/>
      <c r="V9" s="332"/>
      <c r="W9" s="332"/>
      <c r="X9" s="333"/>
      <c r="Y9" s="282"/>
      <c r="Z9" s="282"/>
      <c r="AA9" s="282"/>
      <c r="AB9" s="282"/>
      <c r="AC9" s="282"/>
      <c r="AD9" s="282"/>
      <c r="AE9" s="282"/>
      <c r="AF9" s="283"/>
      <c r="AG9" s="283"/>
      <c r="AH9" s="283"/>
      <c r="AI9" s="283"/>
      <c r="AJ9" s="283"/>
      <c r="AK9" s="283"/>
      <c r="AL9" s="283"/>
      <c r="AM9" s="283"/>
      <c r="AN9" s="283"/>
      <c r="AO9" s="283"/>
      <c r="AP9" s="283"/>
      <c r="AQ9" s="283"/>
      <c r="AR9" s="283"/>
      <c r="AS9" s="283"/>
      <c r="AT9" s="283"/>
      <c r="AU9" s="283"/>
      <c r="AV9" s="283"/>
      <c r="AW9" s="283"/>
      <c r="AX9" s="283"/>
      <c r="AY9" s="283"/>
      <c r="AZ9" s="283"/>
      <c r="BA9" s="283"/>
      <c r="BB9" s="283"/>
      <c r="BC9" s="283"/>
      <c r="BD9" s="283"/>
      <c r="BE9" s="283"/>
      <c r="BF9" s="283"/>
      <c r="BG9" s="283"/>
      <c r="BH9" s="283"/>
      <c r="BI9" s="283"/>
      <c r="BJ9" s="283"/>
      <c r="BK9" s="283"/>
      <c r="BL9" s="283"/>
      <c r="BM9" s="283"/>
      <c r="BN9" s="283"/>
      <c r="BO9" s="283"/>
      <c r="BP9" s="283"/>
      <c r="BQ9" s="283"/>
      <c r="BR9" s="283"/>
      <c r="BS9" s="283"/>
      <c r="BT9" s="283"/>
      <c r="BU9" s="283"/>
      <c r="BV9" s="283"/>
      <c r="BW9" s="283"/>
      <c r="BX9" s="283"/>
      <c r="BY9" s="283"/>
      <c r="BZ9" s="283"/>
      <c r="CA9" s="283"/>
      <c r="CB9" s="283"/>
      <c r="CC9" s="283"/>
      <c r="CD9" s="283"/>
      <c r="CE9" s="283"/>
      <c r="CF9" s="283"/>
      <c r="CG9" s="283"/>
      <c r="CH9" s="283"/>
      <c r="CI9" s="283"/>
      <c r="CJ9" s="283"/>
      <c r="CK9" s="283"/>
      <c r="CL9" s="283"/>
    </row>
    <row r="10" spans="1:90" ht="14.25" customHeight="1" x14ac:dyDescent="0.2">
      <c r="A10" s="3"/>
      <c r="B10" s="334"/>
      <c r="C10" s="335" t="s">
        <v>391</v>
      </c>
      <c r="D10" s="252"/>
      <c r="E10" s="252"/>
      <c r="F10" s="252"/>
      <c r="G10" s="346"/>
      <c r="H10" s="335" t="s">
        <v>398</v>
      </c>
      <c r="I10" s="252"/>
      <c r="J10" s="252"/>
      <c r="K10" s="252"/>
      <c r="L10" s="346"/>
      <c r="M10" s="335" t="s">
        <v>399</v>
      </c>
      <c r="N10" s="252"/>
      <c r="O10" s="252"/>
      <c r="P10" s="336"/>
      <c r="Q10" s="3"/>
      <c r="R10" s="334"/>
      <c r="S10" s="337"/>
      <c r="T10" s="354" t="s">
        <v>397</v>
      </c>
      <c r="U10" s="354" t="s">
        <v>422</v>
      </c>
      <c r="V10" s="354" t="s">
        <v>423</v>
      </c>
      <c r="W10" s="354" t="s">
        <v>424</v>
      </c>
      <c r="X10" s="355" t="s">
        <v>425</v>
      </c>
      <c r="Y10" s="282"/>
      <c r="Z10" s="282"/>
      <c r="AA10" s="282"/>
      <c r="AB10" s="282"/>
      <c r="AC10" s="282"/>
      <c r="AD10" s="282"/>
      <c r="AE10" s="282"/>
      <c r="AF10" s="282"/>
      <c r="AG10" s="282"/>
      <c r="AH10" s="282"/>
      <c r="AI10" s="282"/>
      <c r="AJ10" s="282"/>
      <c r="AK10" s="283"/>
      <c r="AL10" s="283"/>
      <c r="AM10" s="283"/>
      <c r="AN10" s="283"/>
      <c r="AO10" s="283"/>
      <c r="AP10" s="283"/>
      <c r="AQ10" s="283"/>
      <c r="AR10" s="283"/>
      <c r="AS10" s="283"/>
      <c r="AT10" s="283"/>
      <c r="AU10" s="283"/>
      <c r="AV10" s="283"/>
      <c r="AW10" s="283"/>
      <c r="AX10" s="283"/>
      <c r="AY10" s="283"/>
      <c r="AZ10" s="283"/>
      <c r="BA10" s="283"/>
      <c r="BB10" s="283"/>
      <c r="BC10" s="283"/>
      <c r="BD10" s="283"/>
      <c r="BE10" s="283"/>
      <c r="BF10" s="283"/>
      <c r="BG10" s="283"/>
      <c r="BH10" s="283"/>
      <c r="BI10" s="283"/>
      <c r="BJ10" s="283"/>
      <c r="BK10" s="283"/>
      <c r="BL10" s="283"/>
      <c r="BM10" s="283"/>
      <c r="BN10" s="283"/>
      <c r="BO10" s="283"/>
      <c r="BP10" s="283"/>
      <c r="BQ10" s="283"/>
      <c r="BR10" s="283"/>
      <c r="BS10" s="283"/>
      <c r="BT10" s="283"/>
      <c r="BU10" s="283"/>
      <c r="BV10" s="283"/>
      <c r="BW10" s="283"/>
      <c r="BX10" s="283"/>
      <c r="BY10" s="283"/>
      <c r="BZ10" s="283"/>
      <c r="CA10" s="283"/>
      <c r="CB10" s="283"/>
      <c r="CC10" s="283"/>
      <c r="CD10" s="283"/>
      <c r="CE10" s="283"/>
      <c r="CF10" s="283"/>
      <c r="CG10" s="283"/>
      <c r="CH10" s="283"/>
      <c r="CI10" s="283"/>
      <c r="CJ10" s="283"/>
      <c r="CK10" s="283"/>
      <c r="CL10" s="283"/>
    </row>
    <row r="11" spans="1:90" ht="11.25" customHeight="1" x14ac:dyDescent="0.2">
      <c r="A11" s="3"/>
      <c r="B11" s="334"/>
      <c r="C11" s="252"/>
      <c r="D11" s="337" t="s">
        <v>393</v>
      </c>
      <c r="E11" s="337" t="s">
        <v>394</v>
      </c>
      <c r="F11" s="252"/>
      <c r="G11" s="334"/>
      <c r="H11" s="252"/>
      <c r="I11" s="252"/>
      <c r="J11" s="252"/>
      <c r="K11" s="252"/>
      <c r="L11" s="334"/>
      <c r="M11" s="252"/>
      <c r="N11" s="252"/>
      <c r="O11" s="252"/>
      <c r="P11" s="336"/>
      <c r="Q11" s="3"/>
      <c r="R11" s="639" t="s">
        <v>390</v>
      </c>
      <c r="S11" s="640"/>
      <c r="T11" s="359">
        <f>D19</f>
        <v>-520.5086</v>
      </c>
      <c r="U11" s="361">
        <v>1</v>
      </c>
      <c r="V11" s="357">
        <v>170</v>
      </c>
      <c r="W11" s="358">
        <f>-2*T11+U11*2</f>
        <v>1043.0172</v>
      </c>
      <c r="X11" s="363">
        <f>-2*T11+U11*LN(V11)</f>
        <v>1046.1529984370502</v>
      </c>
      <c r="Y11" s="282"/>
      <c r="Z11" s="282"/>
      <c r="AA11" s="282"/>
      <c r="AB11" s="282"/>
      <c r="AC11" s="282"/>
      <c r="AD11" s="282"/>
      <c r="AE11" s="282"/>
      <c r="AF11" s="282"/>
      <c r="AG11" s="282"/>
      <c r="AH11" s="282"/>
      <c r="AI11" s="282"/>
      <c r="AJ11" s="282"/>
      <c r="AK11" s="283"/>
      <c r="AL11" s="283"/>
      <c r="AM11" s="283"/>
      <c r="AN11" s="283"/>
      <c r="AO11" s="283"/>
      <c r="AP11" s="283"/>
      <c r="AQ11" s="283"/>
      <c r="AR11" s="283"/>
      <c r="AS11" s="283"/>
      <c r="AT11" s="283"/>
      <c r="AU11" s="283"/>
      <c r="AV11" s="283"/>
      <c r="AW11" s="283"/>
      <c r="AX11" s="283"/>
      <c r="AY11" s="283"/>
      <c r="AZ11" s="283"/>
      <c r="BA11" s="283"/>
      <c r="BB11" s="283"/>
      <c r="BC11" s="283"/>
      <c r="BD11" s="283"/>
      <c r="BE11" s="283"/>
      <c r="BF11" s="283"/>
      <c r="BG11" s="283"/>
      <c r="BH11" s="283"/>
      <c r="BI11" s="283"/>
      <c r="BJ11" s="283"/>
      <c r="BK11" s="283"/>
      <c r="BL11" s="283"/>
      <c r="BM11" s="283"/>
      <c r="BN11" s="283"/>
      <c r="BO11" s="283"/>
      <c r="BP11" s="283"/>
      <c r="BQ11" s="283"/>
      <c r="BR11" s="283"/>
      <c r="BS11" s="283"/>
      <c r="BT11" s="283"/>
      <c r="BU11" s="283"/>
      <c r="BV11" s="283"/>
      <c r="BW11" s="283"/>
      <c r="BX11" s="283"/>
      <c r="BY11" s="283"/>
      <c r="BZ11" s="283"/>
      <c r="CA11" s="283"/>
      <c r="CB11" s="283"/>
      <c r="CC11" s="283"/>
      <c r="CD11" s="283"/>
      <c r="CE11" s="283"/>
      <c r="CF11" s="283"/>
      <c r="CG11" s="283"/>
      <c r="CH11" s="283"/>
      <c r="CI11" s="283"/>
      <c r="CJ11" s="283"/>
      <c r="CK11" s="283"/>
      <c r="CL11" s="283"/>
    </row>
    <row r="12" spans="1:90" ht="14.25" customHeight="1" x14ac:dyDescent="0.2">
      <c r="A12" s="3"/>
      <c r="B12" s="334"/>
      <c r="C12" s="252" t="s">
        <v>392</v>
      </c>
      <c r="D12" s="325">
        <v>3.6892670000000001</v>
      </c>
      <c r="E12" s="326">
        <v>9.4915799999999995E-2</v>
      </c>
      <c r="F12" s="252"/>
      <c r="G12" s="334"/>
      <c r="H12" s="338" t="s">
        <v>167</v>
      </c>
      <c r="I12" s="329">
        <f>EXP(-D12)</f>
        <v>2.4990313230003575E-2</v>
      </c>
      <c r="J12" s="252"/>
      <c r="K12" s="252"/>
      <c r="L12" s="334"/>
      <c r="M12" s="252" t="s">
        <v>400</v>
      </c>
      <c r="N12" s="339"/>
      <c r="O12" s="252"/>
      <c r="P12" s="336"/>
      <c r="Q12" s="3"/>
      <c r="R12" s="641" t="s">
        <v>402</v>
      </c>
      <c r="S12" s="642"/>
      <c r="T12" s="360">
        <f>D33</f>
        <v>-514.49760000000003</v>
      </c>
      <c r="U12" s="362">
        <v>2</v>
      </c>
      <c r="V12" s="178">
        <v>170</v>
      </c>
      <c r="W12" s="356">
        <f>-2*T12+U12*2</f>
        <v>1032.9952000000001</v>
      </c>
      <c r="X12" s="364">
        <f>-2*T12+U12*LN(V12)</f>
        <v>1039.2667968741007</v>
      </c>
      <c r="Y12" s="282"/>
      <c r="Z12" s="282"/>
      <c r="AA12" s="282"/>
      <c r="AB12" s="282"/>
      <c r="AC12" s="282"/>
      <c r="AD12" s="282"/>
      <c r="AE12" s="282"/>
      <c r="AF12" s="282"/>
      <c r="AG12" s="282"/>
      <c r="AH12" s="282"/>
      <c r="AI12" s="282"/>
      <c r="AJ12" s="282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  <c r="CK12" s="283"/>
      <c r="CL12" s="283"/>
    </row>
    <row r="13" spans="1:90" ht="14.25" customHeight="1" x14ac:dyDescent="0.2">
      <c r="A13" s="3"/>
      <c r="B13" s="334"/>
      <c r="C13" s="252"/>
      <c r="D13" s="252"/>
      <c r="E13" s="252"/>
      <c r="F13" s="252"/>
      <c r="G13" s="334"/>
      <c r="H13" s="252"/>
      <c r="I13" s="252"/>
      <c r="J13" s="252"/>
      <c r="K13" s="252"/>
      <c r="L13" s="334"/>
      <c r="M13" s="252" t="s">
        <v>392</v>
      </c>
      <c r="N13" s="328">
        <f ca="1">_xlfn.NORM.INV(RAND(),0,1)</f>
        <v>0.82038663861335193</v>
      </c>
      <c r="O13" s="252"/>
      <c r="P13" s="336"/>
      <c r="Q13" s="3"/>
      <c r="R13" s="641" t="s">
        <v>168</v>
      </c>
      <c r="S13" s="642"/>
      <c r="T13" s="360">
        <f>D47</f>
        <v>-501.00209999999998</v>
      </c>
      <c r="U13" s="362">
        <v>2</v>
      </c>
      <c r="V13" s="178">
        <v>170</v>
      </c>
      <c r="W13" s="356">
        <f>-2*T13+U13*2</f>
        <v>1006.0042</v>
      </c>
      <c r="X13" s="364">
        <f>-2*T13+U13*LN(V13)</f>
        <v>1012.2757968741005</v>
      </c>
      <c r="Y13" s="282"/>
      <c r="Z13" s="282"/>
      <c r="AA13" s="282"/>
      <c r="AB13" s="282"/>
      <c r="AC13" s="282"/>
      <c r="AD13" s="282"/>
      <c r="AE13" s="282"/>
      <c r="AF13" s="282"/>
      <c r="AG13" s="282"/>
      <c r="AH13" s="282"/>
      <c r="AI13" s="282"/>
      <c r="AJ13" s="282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  <c r="CK13" s="283"/>
      <c r="CL13" s="283"/>
    </row>
    <row r="14" spans="1:90" ht="14.25" customHeight="1" x14ac:dyDescent="0.2">
      <c r="A14" s="3"/>
      <c r="B14" s="334"/>
      <c r="C14" s="335" t="s">
        <v>395</v>
      </c>
      <c r="D14" s="252"/>
      <c r="E14" s="252"/>
      <c r="F14" s="252"/>
      <c r="G14" s="334"/>
      <c r="H14" s="252"/>
      <c r="I14" s="252"/>
      <c r="J14" s="252"/>
      <c r="K14" s="252"/>
      <c r="L14" s="334"/>
      <c r="M14" s="252"/>
      <c r="N14" s="252"/>
      <c r="O14" s="252"/>
      <c r="P14" s="336"/>
      <c r="Q14" s="3"/>
      <c r="R14" s="641" t="s">
        <v>409</v>
      </c>
      <c r="S14" s="642"/>
      <c r="T14" s="360">
        <f>D61</f>
        <v>-504.65550000000002</v>
      </c>
      <c r="U14" s="362">
        <v>2</v>
      </c>
      <c r="V14" s="178">
        <v>170</v>
      </c>
      <c r="W14" s="356">
        <f>-2*T14+U14*2</f>
        <v>1013.311</v>
      </c>
      <c r="X14" s="364">
        <f>-2*T14+U14*LN(V14)</f>
        <v>1019.5825968741005</v>
      </c>
      <c r="Y14" s="282"/>
      <c r="Z14" s="282"/>
      <c r="AA14" s="282"/>
      <c r="AB14" s="282"/>
      <c r="AC14" s="282"/>
      <c r="AD14" s="282"/>
      <c r="AE14" s="282"/>
      <c r="AF14" s="282"/>
      <c r="AG14" s="282"/>
      <c r="AH14" s="282"/>
      <c r="AI14" s="282"/>
      <c r="AJ14" s="282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  <c r="CK14" s="283"/>
      <c r="CL14" s="283"/>
    </row>
    <row r="15" spans="1:90" ht="14.25" customHeight="1" x14ac:dyDescent="0.2">
      <c r="A15" s="3"/>
      <c r="B15" s="334"/>
      <c r="C15" s="252"/>
      <c r="D15" s="337" t="s">
        <v>392</v>
      </c>
      <c r="E15" s="252"/>
      <c r="F15" s="252"/>
      <c r="G15" s="334"/>
      <c r="H15" s="252"/>
      <c r="I15" s="252"/>
      <c r="J15" s="252"/>
      <c r="K15" s="252"/>
      <c r="L15" s="334"/>
      <c r="M15" s="252" t="s">
        <v>406</v>
      </c>
      <c r="N15" s="252"/>
      <c r="O15" s="252"/>
      <c r="P15" s="336"/>
      <c r="Q15" s="3"/>
      <c r="R15" s="641" t="s">
        <v>420</v>
      </c>
      <c r="S15" s="642"/>
      <c r="T15" s="360">
        <f>D75</f>
        <v>-517.03779999999995</v>
      </c>
      <c r="U15" s="362">
        <v>2</v>
      </c>
      <c r="V15" s="178">
        <v>170</v>
      </c>
      <c r="W15" s="356">
        <f>-2*T15+U15*2</f>
        <v>1038.0755999999999</v>
      </c>
      <c r="X15" s="364">
        <f>-2*T15+U15*LN(V15)</f>
        <v>1044.3471968741005</v>
      </c>
      <c r="Y15" s="282"/>
      <c r="Z15" s="282"/>
      <c r="AA15" s="282"/>
      <c r="AB15" s="282"/>
      <c r="AC15" s="282"/>
      <c r="AD15" s="282"/>
      <c r="AE15" s="282"/>
      <c r="AF15" s="282"/>
      <c r="AG15" s="282"/>
      <c r="AH15" s="282"/>
      <c r="AI15" s="282"/>
      <c r="AJ15" s="282"/>
      <c r="AK15" s="282"/>
      <c r="AL15" s="282"/>
      <c r="AM15" s="282"/>
      <c r="AN15" s="282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372"/>
      <c r="BB15" s="372"/>
      <c r="BC15" s="372"/>
      <c r="BD15" s="372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  <c r="CK15" s="283"/>
      <c r="CL15" s="283"/>
    </row>
    <row r="16" spans="1:90" ht="14.25" customHeight="1" x14ac:dyDescent="0.2">
      <c r="A16" s="3"/>
      <c r="B16" s="334"/>
      <c r="C16" s="340" t="s">
        <v>392</v>
      </c>
      <c r="D16" s="326">
        <v>9.4915799999999995E-2</v>
      </c>
      <c r="E16" s="252"/>
      <c r="F16" s="252"/>
      <c r="G16" s="334"/>
      <c r="H16" s="252"/>
      <c r="I16" s="252"/>
      <c r="J16" s="252"/>
      <c r="K16" s="252"/>
      <c r="L16" s="334"/>
      <c r="M16" s="252" t="s">
        <v>401</v>
      </c>
      <c r="N16" s="327">
        <f ca="1">D12+D16*N13</f>
        <v>3.7671346541132973</v>
      </c>
      <c r="O16" s="252"/>
      <c r="P16" s="336"/>
      <c r="Q16" s="3"/>
      <c r="R16" s="641" t="s">
        <v>421</v>
      </c>
      <c r="S16" s="642"/>
      <c r="T16" s="360">
        <v>-489.5</v>
      </c>
      <c r="U16" s="362">
        <v>2</v>
      </c>
      <c r="V16" s="178">
        <v>170</v>
      </c>
      <c r="W16" s="356">
        <v>985</v>
      </c>
      <c r="X16" s="364">
        <v>994.40739531115082</v>
      </c>
      <c r="Y16" s="282"/>
      <c r="Z16" s="282"/>
      <c r="AA16" s="282"/>
      <c r="AB16" s="282"/>
      <c r="AC16" s="282"/>
      <c r="AD16" s="541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372"/>
      <c r="BB16" s="372"/>
      <c r="BC16" s="372"/>
      <c r="BD16" s="372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  <c r="CK16" s="283"/>
      <c r="CL16" s="283"/>
    </row>
    <row r="17" spans="1:90" ht="14.25" customHeight="1" x14ac:dyDescent="0.2">
      <c r="A17" s="3"/>
      <c r="B17" s="334"/>
      <c r="C17" s="252"/>
      <c r="D17" s="252"/>
      <c r="E17" s="252"/>
      <c r="F17" s="252"/>
      <c r="G17" s="334"/>
      <c r="H17" s="252"/>
      <c r="I17" s="252"/>
      <c r="J17" s="252"/>
      <c r="K17" s="252"/>
      <c r="L17" s="334"/>
      <c r="M17" s="252"/>
      <c r="N17" s="252"/>
      <c r="O17" s="252"/>
      <c r="P17" s="336"/>
      <c r="Q17" s="3"/>
      <c r="R17" s="643" t="s">
        <v>426</v>
      </c>
      <c r="S17" s="644"/>
      <c r="T17" s="432">
        <v>-501.26150000000001</v>
      </c>
      <c r="U17" s="433">
        <v>3</v>
      </c>
      <c r="V17" s="421">
        <v>170</v>
      </c>
      <c r="W17" s="434">
        <v>1006.523</v>
      </c>
      <c r="X17" s="435">
        <v>1012.7945968741005</v>
      </c>
      <c r="Y17" s="282"/>
      <c r="Z17" s="282"/>
      <c r="AA17" s="282"/>
      <c r="AB17" s="540"/>
      <c r="AC17" s="282"/>
      <c r="AD17" s="282"/>
      <c r="AE17" s="282"/>
      <c r="AF17" s="282"/>
      <c r="AG17" s="282"/>
      <c r="AH17" s="282"/>
      <c r="AI17" s="282"/>
      <c r="AJ17" s="282"/>
      <c r="AK17" s="282"/>
      <c r="AL17" s="282"/>
      <c r="AM17" s="282"/>
      <c r="AN17" s="282"/>
      <c r="AO17" s="282"/>
      <c r="AP17" s="282"/>
      <c r="AQ17" s="282"/>
      <c r="AR17" s="282"/>
      <c r="AS17" s="282"/>
      <c r="AT17" s="283"/>
      <c r="AU17" s="283"/>
      <c r="AV17" s="283"/>
      <c r="AW17" s="283"/>
      <c r="AX17" s="283"/>
      <c r="AY17" s="283"/>
      <c r="AZ17" s="283"/>
      <c r="BA17" s="372"/>
      <c r="BB17" s="372"/>
      <c r="BC17" s="372"/>
      <c r="BD17" s="372"/>
      <c r="BE17" s="283"/>
      <c r="BF17" s="396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  <c r="CK17" s="283"/>
      <c r="CL17" s="283"/>
    </row>
    <row r="18" spans="1:90" ht="14.25" customHeight="1" x14ac:dyDescent="0.2">
      <c r="A18" s="3"/>
      <c r="B18" s="334"/>
      <c r="C18" s="335" t="s">
        <v>396</v>
      </c>
      <c r="D18" s="252"/>
      <c r="E18" s="252"/>
      <c r="F18" s="252"/>
      <c r="G18" s="334"/>
      <c r="H18" s="252"/>
      <c r="I18" s="252"/>
      <c r="J18" s="252"/>
      <c r="K18" s="252"/>
      <c r="L18" s="334"/>
      <c r="M18" s="338" t="s">
        <v>167</v>
      </c>
      <c r="N18" s="329">
        <f ca="1">EXP(-N16)</f>
        <v>2.3118210143500295E-2</v>
      </c>
      <c r="O18" s="252"/>
      <c r="P18" s="336"/>
      <c r="Q18" s="3"/>
      <c r="R18" s="3"/>
      <c r="S18" s="3"/>
      <c r="T18" s="3"/>
      <c r="U18" s="3"/>
      <c r="V18" s="3"/>
      <c r="W18" s="252"/>
      <c r="X18" s="252"/>
      <c r="Y18" s="252"/>
      <c r="Z18" s="3"/>
      <c r="AA18" s="3"/>
      <c r="AB18" s="252"/>
      <c r="AC18" s="252"/>
      <c r="AD18" s="252"/>
      <c r="AE18" s="282"/>
      <c r="AF18" s="282"/>
      <c r="AG18" s="282"/>
      <c r="AH18" s="282"/>
      <c r="AI18" s="282"/>
      <c r="AJ18" s="282"/>
      <c r="AK18" s="282"/>
      <c r="AL18" s="282"/>
      <c r="AM18" s="282"/>
      <c r="AN18" s="282"/>
      <c r="AO18" s="283"/>
      <c r="AP18" s="283"/>
      <c r="AQ18" s="283"/>
      <c r="AR18" s="283"/>
      <c r="AS18" s="283"/>
      <c r="AT18" s="283"/>
      <c r="AU18" s="283"/>
      <c r="AV18" s="283"/>
      <c r="AW18" s="552"/>
      <c r="AX18" s="283"/>
      <c r="AY18" s="283"/>
      <c r="AZ18" s="283"/>
      <c r="BA18" s="372"/>
      <c r="BB18" s="372"/>
      <c r="BC18" s="372"/>
      <c r="BD18" s="372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  <c r="CK18" s="283"/>
      <c r="CL18" s="283"/>
    </row>
    <row r="19" spans="1:90" ht="14.25" customHeight="1" x14ac:dyDescent="0.2">
      <c r="A19" s="3"/>
      <c r="B19" s="341"/>
      <c r="C19" s="342" t="s">
        <v>397</v>
      </c>
      <c r="D19" s="343">
        <v>-520.5086</v>
      </c>
      <c r="E19" s="344"/>
      <c r="F19" s="344"/>
      <c r="G19" s="341"/>
      <c r="H19" s="344"/>
      <c r="I19" s="344"/>
      <c r="J19" s="344"/>
      <c r="K19" s="344"/>
      <c r="L19" s="341"/>
      <c r="M19" s="344"/>
      <c r="N19" s="344"/>
      <c r="O19" s="344"/>
      <c r="P19" s="345"/>
      <c r="Q19" s="3"/>
      <c r="R19" s="3"/>
      <c r="S19" s="3"/>
      <c r="T19" s="3"/>
      <c r="U19" s="3"/>
      <c r="V19" s="3"/>
      <c r="W19" s="252"/>
      <c r="X19" s="252"/>
      <c r="Y19" s="252"/>
      <c r="Z19" s="3"/>
      <c r="AA19" s="3"/>
      <c r="AB19" s="252"/>
      <c r="AC19" s="252"/>
      <c r="AD19" s="252"/>
      <c r="AE19" s="282"/>
      <c r="AF19" s="282"/>
      <c r="AG19" s="282"/>
      <c r="AH19" s="282"/>
      <c r="AI19" s="282"/>
      <c r="AJ19" s="282"/>
      <c r="AK19" s="282"/>
      <c r="AL19" s="282"/>
      <c r="AM19" s="282"/>
      <c r="AN19" s="282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372"/>
      <c r="BB19" s="372"/>
      <c r="BC19" s="372"/>
      <c r="BD19" s="372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  <c r="CK19" s="283"/>
      <c r="CL19" s="283"/>
    </row>
    <row r="20" spans="1:90" ht="14.25" customHeight="1" x14ac:dyDescent="0.2">
      <c r="A20" s="3"/>
      <c r="B20" s="252"/>
      <c r="C20" s="3"/>
      <c r="D20" s="3"/>
      <c r="E20" s="3"/>
      <c r="F20" s="3"/>
      <c r="G20" s="252"/>
      <c r="H20" s="3"/>
      <c r="I20" s="3"/>
      <c r="J20" s="3"/>
      <c r="K20" s="3"/>
      <c r="L20" s="252"/>
      <c r="M20" s="3"/>
      <c r="N20" s="3"/>
      <c r="O20" s="3"/>
      <c r="P20" s="3"/>
      <c r="Q20" s="3"/>
      <c r="R20" s="3"/>
      <c r="S20" s="389"/>
      <c r="T20" s="387"/>
      <c r="U20" s="645" t="s">
        <v>390</v>
      </c>
      <c r="V20" s="646"/>
      <c r="W20" s="498"/>
      <c r="X20" s="498"/>
      <c r="Y20" s="498"/>
      <c r="Z20" s="645" t="s">
        <v>402</v>
      </c>
      <c r="AA20" s="646"/>
      <c r="AB20" s="498"/>
      <c r="AC20" s="498"/>
      <c r="AD20" s="498"/>
      <c r="AE20" s="645" t="s">
        <v>168</v>
      </c>
      <c r="AF20" s="646"/>
      <c r="AG20" s="498"/>
      <c r="AH20" s="498"/>
      <c r="AI20" s="498"/>
      <c r="AJ20" s="645" t="s">
        <v>409</v>
      </c>
      <c r="AK20" s="646"/>
      <c r="AL20" s="498"/>
      <c r="AM20" s="498"/>
      <c r="AN20" s="498"/>
      <c r="AO20" s="645" t="s">
        <v>131</v>
      </c>
      <c r="AP20" s="646"/>
      <c r="AQ20" s="498"/>
      <c r="AR20" s="498"/>
      <c r="AS20" s="498"/>
      <c r="AT20" s="645" t="s">
        <v>421</v>
      </c>
      <c r="AU20" s="646"/>
      <c r="AV20" s="485"/>
      <c r="AW20" s="485"/>
      <c r="AX20" s="485"/>
      <c r="AY20" s="650" t="s">
        <v>426</v>
      </c>
      <c r="AZ20" s="650"/>
      <c r="BA20" s="650"/>
      <c r="BB20" s="650"/>
      <c r="BC20" s="650"/>
      <c r="BD20" s="650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  <c r="CK20" s="283"/>
      <c r="CL20" s="283"/>
    </row>
    <row r="21" spans="1:90" ht="14.25" customHeight="1" x14ac:dyDescent="0.2">
      <c r="A21" s="3"/>
      <c r="B21" s="330"/>
      <c r="C21" s="331" t="s">
        <v>402</v>
      </c>
      <c r="D21" s="332"/>
      <c r="E21" s="332"/>
      <c r="F21" s="332"/>
      <c r="G21" s="332"/>
      <c r="H21" s="332"/>
      <c r="I21" s="332"/>
      <c r="J21" s="332"/>
      <c r="K21" s="332"/>
      <c r="L21" s="332"/>
      <c r="M21" s="332"/>
      <c r="N21" s="332"/>
      <c r="O21" s="332"/>
      <c r="P21" s="333"/>
      <c r="Q21" s="3"/>
      <c r="R21" s="3"/>
      <c r="S21" s="370"/>
      <c r="T21" s="388"/>
      <c r="U21" s="367" t="s">
        <v>167</v>
      </c>
      <c r="V21" s="365">
        <f>I12</f>
        <v>2.4990313230003575E-2</v>
      </c>
      <c r="W21" s="365"/>
      <c r="X21" s="365"/>
      <c r="Y21" s="365"/>
      <c r="Z21" s="367" t="s">
        <v>167</v>
      </c>
      <c r="AA21" s="365">
        <f>I24</f>
        <v>41.308913503095965</v>
      </c>
      <c r="AB21" s="365"/>
      <c r="AC21" s="365"/>
      <c r="AD21" s="365"/>
      <c r="AE21" s="367" t="s">
        <v>182</v>
      </c>
      <c r="AF21" s="366">
        <f>I38</f>
        <v>3.1136330000000001</v>
      </c>
      <c r="AG21" s="366"/>
      <c r="AH21" s="366"/>
      <c r="AI21" s="366"/>
      <c r="AJ21" s="367" t="s">
        <v>184</v>
      </c>
      <c r="AK21" s="366">
        <f>I52</f>
        <v>21.087777136443449</v>
      </c>
      <c r="AL21" s="366"/>
      <c r="AM21" s="366"/>
      <c r="AN21" s="366"/>
      <c r="AO21" s="367" t="s">
        <v>411</v>
      </c>
      <c r="AP21" s="366">
        <f>I66</f>
        <v>0.75255605006257198</v>
      </c>
      <c r="AQ21" s="366"/>
      <c r="AR21" s="366"/>
      <c r="AS21" s="366"/>
      <c r="AT21" s="367" t="s">
        <v>182</v>
      </c>
      <c r="AU21" s="366">
        <f>I80</f>
        <v>-4.0508660000000002E-2</v>
      </c>
      <c r="AV21" s="366"/>
      <c r="AW21" s="366"/>
      <c r="AX21" s="366"/>
      <c r="AY21" s="559" t="s">
        <v>416</v>
      </c>
      <c r="AZ21" s="561">
        <f>I94</f>
        <v>1.993841</v>
      </c>
      <c r="BA21" s="560"/>
      <c r="BB21" s="560"/>
      <c r="BC21" s="560"/>
      <c r="BD21" s="564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  <c r="CK21" s="283"/>
      <c r="CL21" s="283"/>
    </row>
    <row r="22" spans="1:90" ht="14.25" customHeight="1" x14ac:dyDescent="0.2">
      <c r="A22" s="3"/>
      <c r="B22" s="334"/>
      <c r="C22" s="335" t="s">
        <v>391</v>
      </c>
      <c r="D22" s="252"/>
      <c r="E22" s="252"/>
      <c r="F22" s="252"/>
      <c r="G22" s="346"/>
      <c r="H22" s="335" t="s">
        <v>398</v>
      </c>
      <c r="I22" s="252"/>
      <c r="J22" s="252"/>
      <c r="K22" s="252"/>
      <c r="L22" s="346"/>
      <c r="M22" s="335" t="s">
        <v>399</v>
      </c>
      <c r="N22" s="252"/>
      <c r="O22" s="252"/>
      <c r="P22" s="336"/>
      <c r="Q22" s="3"/>
      <c r="R22" s="3"/>
      <c r="S22" s="370"/>
      <c r="T22" s="388"/>
      <c r="U22" s="370"/>
      <c r="V22" s="371"/>
      <c r="W22" s="371"/>
      <c r="X22" s="371"/>
      <c r="Y22" s="371"/>
      <c r="Z22" s="368" t="s">
        <v>131</v>
      </c>
      <c r="AA22" s="369">
        <f>I26</f>
        <v>0.76942907514738923</v>
      </c>
      <c r="AB22" s="369"/>
      <c r="AC22" s="369"/>
      <c r="AD22" s="369"/>
      <c r="AE22" s="368" t="s">
        <v>184</v>
      </c>
      <c r="AF22" s="369">
        <f>I40</f>
        <v>1.5303033749046111</v>
      </c>
      <c r="AG22" s="369"/>
      <c r="AH22" s="369"/>
      <c r="AI22" s="369"/>
      <c r="AJ22" s="368" t="s">
        <v>186</v>
      </c>
      <c r="AK22" s="369">
        <f>I54</f>
        <v>1.0664785327129929</v>
      </c>
      <c r="AL22" s="369"/>
      <c r="AM22" s="369"/>
      <c r="AN22" s="369"/>
      <c r="AO22" s="368" t="s">
        <v>412</v>
      </c>
      <c r="AP22" s="369">
        <f>I68</f>
        <v>1.6946828022223501E-2</v>
      </c>
      <c r="AQ22" s="369"/>
      <c r="AR22" s="369"/>
      <c r="AS22" s="369"/>
      <c r="AT22" s="368" t="s">
        <v>184</v>
      </c>
      <c r="AU22" s="369">
        <f>I82</f>
        <v>5.1174035740809656E-2</v>
      </c>
      <c r="AV22" s="369"/>
      <c r="AW22" s="369"/>
      <c r="AX22" s="369"/>
      <c r="AY22" s="368" t="s">
        <v>417</v>
      </c>
      <c r="AZ22" s="562">
        <f>I96</f>
        <v>1.2713495829713175</v>
      </c>
      <c r="BA22" s="560"/>
      <c r="BB22" s="560"/>
      <c r="BC22" s="560"/>
      <c r="BD22" s="564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  <c r="CK22" s="283"/>
      <c r="CL22" s="283"/>
    </row>
    <row r="23" spans="1:90" ht="14.25" customHeight="1" x14ac:dyDescent="0.2">
      <c r="A23" s="3"/>
      <c r="B23" s="334"/>
      <c r="C23" s="337"/>
      <c r="D23" s="337" t="s">
        <v>404</v>
      </c>
      <c r="E23" s="337" t="s">
        <v>394</v>
      </c>
      <c r="F23" s="252"/>
      <c r="G23" s="334"/>
      <c r="H23" s="252"/>
      <c r="I23" s="252"/>
      <c r="J23" s="252"/>
      <c r="K23" s="252"/>
      <c r="L23" s="334"/>
      <c r="M23" s="252"/>
      <c r="N23" s="252"/>
      <c r="O23" s="252"/>
      <c r="P23" s="336"/>
      <c r="Q23" s="3"/>
      <c r="R23" s="3"/>
      <c r="S23" s="370"/>
      <c r="T23" s="388"/>
      <c r="U23" s="370"/>
      <c r="V23" s="371"/>
      <c r="W23" s="371"/>
      <c r="X23" s="371"/>
      <c r="Y23" s="371"/>
      <c r="Z23" s="370"/>
      <c r="AA23" s="371"/>
      <c r="AB23" s="371"/>
      <c r="AC23" s="371"/>
      <c r="AD23" s="371"/>
      <c r="AE23" s="370"/>
      <c r="AF23" s="371"/>
      <c r="AG23" s="371"/>
      <c r="AH23" s="371"/>
      <c r="AI23" s="371"/>
      <c r="AJ23" s="370"/>
      <c r="AK23" s="371"/>
      <c r="AL23" s="371"/>
      <c r="AM23" s="371"/>
      <c r="AN23" s="371"/>
      <c r="AO23" s="370"/>
      <c r="AP23" s="371"/>
      <c r="AQ23" s="371"/>
      <c r="AR23" s="371"/>
      <c r="AS23" s="371"/>
      <c r="AT23" s="370"/>
      <c r="AU23" s="371"/>
      <c r="AV23" s="371"/>
      <c r="AW23" s="371"/>
      <c r="AX23" s="371"/>
      <c r="AY23" s="368" t="s">
        <v>418</v>
      </c>
      <c r="AZ23" s="562">
        <f>I98</f>
        <v>-1.7848299999999999</v>
      </c>
      <c r="BA23" s="560"/>
      <c r="BB23" s="560"/>
      <c r="BC23" s="560"/>
      <c r="BD23" s="564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  <c r="CK23" s="283"/>
      <c r="CL23" s="283"/>
    </row>
    <row r="24" spans="1:90" ht="14.25" customHeight="1" thickBot="1" x14ac:dyDescent="0.25">
      <c r="A24" s="3"/>
      <c r="B24" s="334"/>
      <c r="C24" s="252" t="s">
        <v>401</v>
      </c>
      <c r="D24" s="325">
        <v>3.7210782999999998</v>
      </c>
      <c r="E24" s="325">
        <v>0.12449928</v>
      </c>
      <c r="F24" s="252"/>
      <c r="G24" s="334"/>
      <c r="H24" s="348" t="s">
        <v>184</v>
      </c>
      <c r="I24" s="329">
        <f>EXP(D24)</f>
        <v>41.308913503095965</v>
      </c>
      <c r="J24" s="252"/>
      <c r="K24" s="252"/>
      <c r="L24" s="334"/>
      <c r="M24" s="252" t="s">
        <v>400</v>
      </c>
      <c r="N24" s="252"/>
      <c r="O24" s="252"/>
      <c r="P24" s="336"/>
      <c r="Q24" s="3"/>
      <c r="R24" s="3"/>
      <c r="S24" s="370"/>
      <c r="T24" s="388"/>
      <c r="U24" s="370"/>
      <c r="V24" s="371"/>
      <c r="W24" s="371"/>
      <c r="X24" s="371"/>
      <c r="Y24" s="371"/>
      <c r="Z24" s="370"/>
      <c r="AA24" s="371"/>
      <c r="AB24" s="371"/>
      <c r="AC24" s="371"/>
      <c r="AD24" s="371"/>
      <c r="AE24" s="370"/>
      <c r="AF24" s="371"/>
      <c r="AG24" s="371"/>
      <c r="AH24" s="371"/>
      <c r="AI24" s="371"/>
      <c r="AJ24" s="370"/>
      <c r="AK24" s="371"/>
      <c r="AL24" s="371"/>
      <c r="AM24" s="371"/>
      <c r="AN24" s="371"/>
      <c r="AO24" s="370"/>
      <c r="AP24" s="371"/>
      <c r="AQ24" s="371"/>
      <c r="AR24" s="371"/>
      <c r="AS24" s="371"/>
      <c r="AT24" s="370"/>
      <c r="AU24" s="371"/>
      <c r="AV24" s="371"/>
      <c r="AW24" s="371"/>
      <c r="AX24" s="371"/>
      <c r="AY24" s="368" t="s">
        <v>411</v>
      </c>
      <c r="AZ24" s="563">
        <f>$AZ$23^(-2)</f>
        <v>0.31391082029825779</v>
      </c>
      <c r="BA24" s="388"/>
      <c r="BB24" s="371"/>
      <c r="BC24" s="371"/>
      <c r="BD24" s="388"/>
      <c r="BE24" s="283"/>
      <c r="BF24" s="396" t="s">
        <v>434</v>
      </c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  <c r="CK24" s="283"/>
      <c r="CL24" s="283"/>
    </row>
    <row r="25" spans="1:90" ht="14.25" customHeight="1" x14ac:dyDescent="0.2">
      <c r="A25" s="3"/>
      <c r="B25" s="334"/>
      <c r="C25" s="252" t="s">
        <v>403</v>
      </c>
      <c r="D25" s="325">
        <v>0.26210650000000002</v>
      </c>
      <c r="E25" s="325">
        <v>8.008796E-2</v>
      </c>
      <c r="F25" s="252"/>
      <c r="G25" s="334"/>
      <c r="H25" s="340"/>
      <c r="I25" s="252"/>
      <c r="J25" s="252"/>
      <c r="K25" s="252"/>
      <c r="L25" s="334"/>
      <c r="M25" s="252" t="s">
        <v>401</v>
      </c>
      <c r="N25" s="328">
        <f ca="1">_xlfn.NORM.INV(RAND(),0,1)</f>
        <v>-0.43647782058416906</v>
      </c>
      <c r="O25" s="252"/>
      <c r="P25" s="336"/>
      <c r="Q25" s="3"/>
      <c r="R25" s="3"/>
      <c r="S25" s="334"/>
      <c r="T25" s="252" t="s">
        <v>428</v>
      </c>
      <c r="U25" s="334"/>
      <c r="V25" s="567" t="s">
        <v>427</v>
      </c>
      <c r="W25" s="382" t="s">
        <v>535</v>
      </c>
      <c r="X25" s="382" t="s">
        <v>536</v>
      </c>
      <c r="Y25" s="382" t="s">
        <v>571</v>
      </c>
      <c r="Z25" s="375"/>
      <c r="AA25" s="570" t="s">
        <v>427</v>
      </c>
      <c r="AB25" s="382" t="s">
        <v>535</v>
      </c>
      <c r="AC25" s="382" t="s">
        <v>536</v>
      </c>
      <c r="AD25" s="382" t="s">
        <v>571</v>
      </c>
      <c r="AE25" s="377"/>
      <c r="AF25" s="573" t="s">
        <v>427</v>
      </c>
      <c r="AG25" s="382" t="s">
        <v>535</v>
      </c>
      <c r="AH25" s="382" t="s">
        <v>536</v>
      </c>
      <c r="AI25" s="382" t="s">
        <v>572</v>
      </c>
      <c r="AJ25" s="377"/>
      <c r="AK25" s="576" t="s">
        <v>427</v>
      </c>
      <c r="AL25" s="382" t="s">
        <v>535</v>
      </c>
      <c r="AM25" s="382" t="s">
        <v>536</v>
      </c>
      <c r="AN25" s="382" t="s">
        <v>572</v>
      </c>
      <c r="AO25" s="378"/>
      <c r="AP25" s="579" t="s">
        <v>427</v>
      </c>
      <c r="AQ25" s="382" t="s">
        <v>535</v>
      </c>
      <c r="AR25" s="382" t="s">
        <v>536</v>
      </c>
      <c r="AS25" s="382" t="s">
        <v>572</v>
      </c>
      <c r="AT25" s="378"/>
      <c r="AU25" s="582" t="s">
        <v>427</v>
      </c>
      <c r="AV25" s="382" t="s">
        <v>535</v>
      </c>
      <c r="AW25" s="382" t="s">
        <v>536</v>
      </c>
      <c r="AX25" s="382" t="s">
        <v>537</v>
      </c>
      <c r="AY25" s="377" t="s">
        <v>429</v>
      </c>
      <c r="AZ25" s="382" t="s">
        <v>430</v>
      </c>
      <c r="BA25" s="585" t="s">
        <v>431</v>
      </c>
      <c r="BB25" s="382" t="s">
        <v>535</v>
      </c>
      <c r="BC25" s="382" t="s">
        <v>536</v>
      </c>
      <c r="BD25" s="565" t="s">
        <v>537</v>
      </c>
      <c r="BE25" s="283"/>
      <c r="BF25" s="390" t="s">
        <v>432</v>
      </c>
      <c r="BG25" s="391" t="s">
        <v>433</v>
      </c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  <c r="CK25" s="283"/>
      <c r="CL25" s="283"/>
    </row>
    <row r="26" spans="1:90" ht="14.25" customHeight="1" x14ac:dyDescent="0.2">
      <c r="A26" s="3"/>
      <c r="B26" s="334"/>
      <c r="C26" s="252"/>
      <c r="D26" s="252"/>
      <c r="E26" s="252"/>
      <c r="F26" s="252"/>
      <c r="G26" s="334"/>
      <c r="H26" s="348" t="s">
        <v>186</v>
      </c>
      <c r="I26" s="329">
        <f>1/EXP((D25))</f>
        <v>0.76942907514738923</v>
      </c>
      <c r="J26" s="252"/>
      <c r="K26" s="252"/>
      <c r="L26" s="334"/>
      <c r="M26" s="252" t="s">
        <v>405</v>
      </c>
      <c r="N26" s="328">
        <f ca="1">_xlfn.NORM.INV(RAND(),0,1)</f>
        <v>2.016217080830264</v>
      </c>
      <c r="O26" s="252"/>
      <c r="P26" s="336"/>
      <c r="Q26" s="3"/>
      <c r="R26" s="3"/>
      <c r="S26" s="334"/>
      <c r="T26" s="373">
        <v>0</v>
      </c>
      <c r="U26" s="334"/>
      <c r="V26" s="568">
        <v>1</v>
      </c>
      <c r="W26" s="337"/>
      <c r="X26" s="337"/>
      <c r="Y26" s="337"/>
      <c r="Z26" s="334"/>
      <c r="AA26" s="571">
        <v>1</v>
      </c>
      <c r="AB26" s="337"/>
      <c r="AC26" s="337"/>
      <c r="AD26" s="337"/>
      <c r="AE26" s="383"/>
      <c r="AF26" s="574">
        <v>1</v>
      </c>
      <c r="AG26" s="542"/>
      <c r="AH26" s="542"/>
      <c r="AI26" s="542"/>
      <c r="AJ26" s="374"/>
      <c r="AK26" s="577">
        <v>1</v>
      </c>
      <c r="AL26" s="542"/>
      <c r="AM26" s="542"/>
      <c r="AN26" s="542"/>
      <c r="AO26" s="554"/>
      <c r="AP26" s="580">
        <v>1</v>
      </c>
      <c r="AQ26" s="384"/>
      <c r="AR26" s="384"/>
      <c r="AS26" s="384"/>
      <c r="AT26" s="384"/>
      <c r="AU26" s="583">
        <v>1</v>
      </c>
      <c r="AV26" s="376">
        <v>1</v>
      </c>
      <c r="AW26" s="376"/>
      <c r="AX26" s="376"/>
      <c r="AY26" s="379"/>
      <c r="AZ26" s="379"/>
      <c r="BA26" s="586">
        <v>1</v>
      </c>
      <c r="BB26" s="542"/>
      <c r="BC26" s="542"/>
      <c r="BD26" s="566"/>
      <c r="BE26" s="283"/>
      <c r="BF26" s="392">
        <v>0.17799999999999999</v>
      </c>
      <c r="BG26" s="393">
        <v>1</v>
      </c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  <c r="CK26" s="283"/>
      <c r="CL26" s="283"/>
    </row>
    <row r="27" spans="1:90" ht="14.25" customHeight="1" x14ac:dyDescent="0.2">
      <c r="A27" s="3"/>
      <c r="B27" s="334"/>
      <c r="C27" s="335" t="s">
        <v>395</v>
      </c>
      <c r="D27" s="252"/>
      <c r="E27" s="252"/>
      <c r="F27" s="252"/>
      <c r="G27" s="334"/>
      <c r="H27" s="252"/>
      <c r="I27" s="252"/>
      <c r="J27" s="252"/>
      <c r="K27" s="252"/>
      <c r="L27" s="334"/>
      <c r="M27" s="252"/>
      <c r="N27" s="252"/>
      <c r="O27" s="252"/>
      <c r="P27" s="336"/>
      <c r="Q27" s="3"/>
      <c r="R27" s="3"/>
      <c r="S27" s="334"/>
      <c r="T27" s="373">
        <v>1</v>
      </c>
      <c r="U27" s="334"/>
      <c r="V27" s="568">
        <f>EXP(-1*$V$21*T27)</f>
        <v>0.97531935967688421</v>
      </c>
      <c r="W27" s="328">
        <f>1-V26</f>
        <v>0</v>
      </c>
      <c r="X27" s="328">
        <f>1-V27</f>
        <v>2.4680640323115788E-2</v>
      </c>
      <c r="Y27" s="328">
        <f>1-EXP(W27-X27)</f>
        <v>2.4378563571781808E-2</v>
      </c>
      <c r="Z27" s="334"/>
      <c r="AA27" s="571">
        <f>EXP(-1*(T27/$AA$21)^$AA$22)</f>
        <v>0.94450795571099744</v>
      </c>
      <c r="AB27" s="327">
        <f t="shared" ref="AB27:AB34" si="0">1-AA26</f>
        <v>0</v>
      </c>
      <c r="AC27" s="327">
        <f>1-AA27</f>
        <v>5.5492044289002562E-2</v>
      </c>
      <c r="AD27" s="327">
        <f>1-EXP(AB27-AC27)</f>
        <v>5.3980450101366761E-2</v>
      </c>
      <c r="AE27" s="383"/>
      <c r="AF27" s="574">
        <f t="shared" ref="AF27:AF90" si="1">1-_xlfn.NORM.DIST(LN(T27),$AF$21,$AF$22,TRUE)</f>
        <v>0.97905698946860908</v>
      </c>
      <c r="AG27" s="376">
        <f>1-AF26</f>
        <v>0</v>
      </c>
      <c r="AH27" s="376">
        <f>1-AF27</f>
        <v>2.0943010531390915E-2</v>
      </c>
      <c r="AI27" s="553">
        <f>1-EXP(AG27-AH27)</f>
        <v>2.0725228671913953E-2</v>
      </c>
      <c r="AJ27" s="374"/>
      <c r="AK27" s="577">
        <f t="shared" ref="AK27:AK90" si="2">(1+(T27/$AK$21)^$AK$22)^-1</f>
        <v>0.9627221764966124</v>
      </c>
      <c r="AL27" s="376">
        <f>1-AK26</f>
        <v>0</v>
      </c>
      <c r="AM27" s="376">
        <f>1-AK27</f>
        <v>3.7277823503387597E-2</v>
      </c>
      <c r="AN27" s="553">
        <f>1-EXP(AL27-AM27)</f>
        <v>3.6591559343339797E-2</v>
      </c>
      <c r="AO27" s="554"/>
      <c r="AP27" s="580">
        <f t="shared" ref="AP27:AP90" si="3">1-_xlfn.GAMMA.DIST(T27,$AP$21,1/$AP$22,TRUE)</f>
        <v>0.94982191438543573</v>
      </c>
      <c r="AQ27" s="376">
        <f>1-AP26</f>
        <v>0</v>
      </c>
      <c r="AR27" s="379">
        <f>1-AP27</f>
        <v>5.0178085614564272E-2</v>
      </c>
      <c r="AS27" s="376">
        <f>1-EXP(AQ27-AR27)</f>
        <v>4.8939960692959028E-2</v>
      </c>
      <c r="AT27" s="384"/>
      <c r="AU27" s="583">
        <f t="shared" ref="AU27:AU90" si="4">EXP((-$AU$22/$AU$21)*(EXP($AU$21*T27)-1))</f>
        <v>0.95108542400097373</v>
      </c>
      <c r="AV27" s="381">
        <f t="shared" ref="AV27:AV35" si="5">($AU$22/$AU$21)*((EXP($AU$21*T26))-1)</f>
        <v>0</v>
      </c>
      <c r="AW27" s="376">
        <f t="shared" ref="AW27:AW90" si="6">($AU$22/$AU$21)*((EXP($AU$21*T27))-1)</f>
        <v>5.0151395022888776E-2</v>
      </c>
      <c r="AX27" s="503">
        <f>1-EXP(AV27-AW27)</f>
        <v>4.8914575999026266E-2</v>
      </c>
      <c r="AY27" s="376">
        <f t="shared" ref="AY27:AY90" si="7">(LN(T27)-$AZ$21)/$AZ$22</f>
        <v>-1.5682869815712854</v>
      </c>
      <c r="AZ27" s="381">
        <f>$AZ$24*EXP(ABS($AZ$23)*-AY27)</f>
        <v>5.1576410190806801</v>
      </c>
      <c r="BA27" s="586">
        <f>_xlfn.GAMMA.DIST(AZ27,$AZ$24,1,TRUE)</f>
        <v>0.99941297136691376</v>
      </c>
      <c r="BB27" s="376">
        <f>1-BA26</f>
        <v>0</v>
      </c>
      <c r="BC27" s="376">
        <f>1-BA27</f>
        <v>5.8702863308623954E-4</v>
      </c>
      <c r="BD27" s="376">
        <f>1-EXP(BB27-BC27)</f>
        <v>5.8685636548849729E-4</v>
      </c>
      <c r="BE27" s="283"/>
      <c r="BF27" s="392">
        <v>1.08</v>
      </c>
      <c r="BG27" s="393">
        <v>1</v>
      </c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  <c r="CK27" s="283"/>
      <c r="CL27" s="283"/>
    </row>
    <row r="28" spans="1:90" ht="14.25" customHeight="1" x14ac:dyDescent="0.2">
      <c r="A28" s="3"/>
      <c r="B28" s="334"/>
      <c r="C28" s="252"/>
      <c r="D28" s="337" t="s">
        <v>401</v>
      </c>
      <c r="E28" s="337" t="s">
        <v>405</v>
      </c>
      <c r="F28" s="252"/>
      <c r="G28" s="334"/>
      <c r="H28" s="252"/>
      <c r="I28" s="252"/>
      <c r="J28" s="252"/>
      <c r="K28" s="252"/>
      <c r="L28" s="334"/>
      <c r="M28" s="252" t="s">
        <v>406</v>
      </c>
      <c r="N28" s="252"/>
      <c r="O28" s="252"/>
      <c r="P28" s="336"/>
      <c r="Q28" s="3"/>
      <c r="R28" s="3"/>
      <c r="S28" s="334"/>
      <c r="T28" s="373">
        <v>2</v>
      </c>
      <c r="U28" s="334"/>
      <c r="V28" s="568">
        <f>EXP(-1*$V$21*T28)</f>
        <v>0.95124785336052753</v>
      </c>
      <c r="W28" s="328">
        <f t="shared" ref="W28:W91" si="8">1-V27</f>
        <v>2.4680640323115788E-2</v>
      </c>
      <c r="X28" s="328">
        <f t="shared" ref="X28:X91" si="9">1-V28</f>
        <v>4.8752146639472471E-2</v>
      </c>
      <c r="Y28" s="328">
        <f t="shared" ref="Y28:Y91" si="10">1-EXP(W28-X28)</f>
        <v>2.3784098341017357E-2</v>
      </c>
      <c r="Z28" s="334"/>
      <c r="AA28" s="571">
        <f>EXP(-1*(T28/$AA$21)^$AA$22)</f>
        <v>0.9072680609722853</v>
      </c>
      <c r="AB28" s="327">
        <f t="shared" si="0"/>
        <v>5.5492044289002562E-2</v>
      </c>
      <c r="AC28" s="327">
        <f t="shared" ref="AC28:AC91" si="11">1-AA28</f>
        <v>9.2731939027714705E-2</v>
      </c>
      <c r="AD28" s="327">
        <f t="shared" ref="AD28:AD91" si="12">1-EXP(AB28-AC28)</f>
        <v>3.6555017758323483E-2</v>
      </c>
      <c r="AE28" s="383"/>
      <c r="AF28" s="574">
        <f t="shared" si="1"/>
        <v>0.94314133461885608</v>
      </c>
      <c r="AG28" s="376">
        <f>1-AF27</f>
        <v>2.0943010531390915E-2</v>
      </c>
      <c r="AH28" s="376">
        <f t="shared" ref="AH28:AH91" si="13">1-AF28</f>
        <v>5.6858665381143925E-2</v>
      </c>
      <c r="AI28" s="553">
        <f t="shared" ref="AI28:AI91" si="14">1-EXP(AG28-AH28)</f>
        <v>3.5278340355016535E-2</v>
      </c>
      <c r="AJ28" s="374"/>
      <c r="AK28" s="577">
        <f t="shared" si="2"/>
        <v>0.92498848671902922</v>
      </c>
      <c r="AL28" s="376">
        <f t="shared" ref="AL28:AL91" si="15">1-AK27</f>
        <v>3.7277823503387597E-2</v>
      </c>
      <c r="AM28" s="376">
        <f t="shared" ref="AM28:AM91" si="16">1-AK28</f>
        <v>7.5011513280970776E-2</v>
      </c>
      <c r="AN28" s="553">
        <f t="shared" ref="AN28:AN91" si="17">1-EXP(AL28-AM28)</f>
        <v>3.7030644670010493E-2</v>
      </c>
      <c r="AO28" s="554"/>
      <c r="AP28" s="580">
        <f t="shared" si="3"/>
        <v>0.91607095392796012</v>
      </c>
      <c r="AQ28" s="376">
        <f t="shared" ref="AQ28:AQ91" si="18">1-AP27</f>
        <v>5.0178085614564272E-2</v>
      </c>
      <c r="AR28" s="379">
        <f t="shared" ref="AR28:AR91" si="19">1-AP28</f>
        <v>8.3929046072039881E-2</v>
      </c>
      <c r="AS28" s="376">
        <f t="shared" ref="AS28:AS91" si="20">1-EXP(AQ28-AR28)</f>
        <v>3.3187750860955267E-2</v>
      </c>
      <c r="AT28" s="384"/>
      <c r="AU28" s="583">
        <f t="shared" si="4"/>
        <v>0.90636623456687859</v>
      </c>
      <c r="AV28" s="381">
        <f t="shared" si="5"/>
        <v>5.0151395022888776E-2</v>
      </c>
      <c r="AW28" s="376">
        <f t="shared" si="6"/>
        <v>9.8311822205295607E-2</v>
      </c>
      <c r="AX28" s="503">
        <f t="shared" ref="AX28:AX56" si="21">1-EXP(AV28-AW28)</f>
        <v>4.7019109225723388E-2</v>
      </c>
      <c r="AY28" s="376">
        <f t="shared" si="7"/>
        <v>-1.0230811704835392</v>
      </c>
      <c r="AZ28" s="381">
        <f t="shared" ref="AZ28:AZ91" si="22">$AZ$24*EXP(ABS($AZ$23)*-AY28)</f>
        <v>1.9491231802770204</v>
      </c>
      <c r="BA28" s="586">
        <f t="shared" ref="BA28:BA91" si="23">_xlfn.GAMMA.DIST(AZ28,$AZ$24,1,TRUE)</f>
        <v>0.97502320303125201</v>
      </c>
      <c r="BB28" s="376">
        <f t="shared" ref="BB28:BB91" si="24">1-BA27</f>
        <v>5.8702863308623954E-4</v>
      </c>
      <c r="BC28" s="376">
        <f t="shared" ref="BC28:BC91" si="25">1-BA28</f>
        <v>2.4976796968747994E-2</v>
      </c>
      <c r="BD28" s="376">
        <f t="shared" ref="BD28:BD91" si="26">1-EXP(BB28-BC28)</f>
        <v>2.4094741349599436E-2</v>
      </c>
      <c r="BE28" s="283"/>
      <c r="BF28" s="392">
        <v>1.35</v>
      </c>
      <c r="BG28" s="393">
        <v>0.99399999999999999</v>
      </c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  <c r="CK28" s="283"/>
      <c r="CL28" s="283"/>
    </row>
    <row r="29" spans="1:90" ht="14.25" customHeight="1" x14ac:dyDescent="0.2">
      <c r="A29" s="3"/>
      <c r="B29" s="334"/>
      <c r="C29" s="337" t="s">
        <v>401</v>
      </c>
      <c r="D29" s="325">
        <v>0.12449929999999999</v>
      </c>
      <c r="E29" s="325">
        <v>0</v>
      </c>
      <c r="F29" s="252"/>
      <c r="G29" s="334"/>
      <c r="H29" s="252"/>
      <c r="I29" s="252"/>
      <c r="J29" s="252"/>
      <c r="K29" s="252"/>
      <c r="L29" s="334"/>
      <c r="M29" s="340" t="s">
        <v>392</v>
      </c>
      <c r="N29" s="327" cm="1">
        <f t="array" aca="1" ref="N29:N30" ca="1">D24:D25+MMULT(D29:E30,N25:N26)</f>
        <v>3.6667371168717451</v>
      </c>
      <c r="O29" s="252"/>
      <c r="P29" s="336"/>
      <c r="Q29" s="3"/>
      <c r="R29" s="3"/>
      <c r="S29" s="334"/>
      <c r="T29" s="373">
        <v>3</v>
      </c>
      <c r="U29" s="334"/>
      <c r="V29" s="568">
        <f t="shared" ref="V29:V92" si="27">EXP(-1*$V$21*T29)</f>
        <v>0.92777044723360036</v>
      </c>
      <c r="W29" s="328">
        <f t="shared" si="8"/>
        <v>4.8752146639472471E-2</v>
      </c>
      <c r="X29" s="328">
        <f t="shared" si="9"/>
        <v>7.2229552766399641E-2</v>
      </c>
      <c r="Y29" s="328">
        <f t="shared" si="10"/>
        <v>2.3203955974636536E-2</v>
      </c>
      <c r="Z29" s="334"/>
      <c r="AA29" s="571">
        <f>EXP(-1*(T29/$AA$21)^$AA$22)</f>
        <v>0.87551112881564974</v>
      </c>
      <c r="AB29" s="327">
        <f t="shared" si="0"/>
        <v>9.2731939027714705E-2</v>
      </c>
      <c r="AC29" s="327">
        <f t="shared" si="11"/>
        <v>0.12448887118435026</v>
      </c>
      <c r="AD29" s="327">
        <f t="shared" si="12"/>
        <v>3.1257976501652407E-2</v>
      </c>
      <c r="AE29" s="383"/>
      <c r="AF29" s="574">
        <f t="shared" si="1"/>
        <v>0.90603809559689241</v>
      </c>
      <c r="AG29" s="376">
        <f t="shared" ref="AG29:AG92" si="28">1-AF28</f>
        <v>5.6858665381143925E-2</v>
      </c>
      <c r="AH29" s="376">
        <f t="shared" si="13"/>
        <v>9.3961904403107588E-2</v>
      </c>
      <c r="AI29" s="553">
        <f t="shared" si="14"/>
        <v>3.6423348497253816E-2</v>
      </c>
      <c r="AJ29" s="374"/>
      <c r="AK29" s="577">
        <f t="shared" si="2"/>
        <v>0.88891637265349288</v>
      </c>
      <c r="AL29" s="376">
        <f t="shared" si="15"/>
        <v>7.5011513280970776E-2</v>
      </c>
      <c r="AM29" s="376">
        <f t="shared" si="16"/>
        <v>0.11108362734650712</v>
      </c>
      <c r="AN29" s="553">
        <f t="shared" si="17"/>
        <v>3.5429268142004311E-2</v>
      </c>
      <c r="AO29" s="554"/>
      <c r="AP29" s="580">
        <f t="shared" si="3"/>
        <v>0.88694281776690886</v>
      </c>
      <c r="AQ29" s="376">
        <f t="shared" si="18"/>
        <v>8.3929046072039881E-2</v>
      </c>
      <c r="AR29" s="379">
        <f t="shared" si="19"/>
        <v>0.11305718223309114</v>
      </c>
      <c r="AS29" s="376">
        <f t="shared" si="20"/>
        <v>2.8708001135491434E-2</v>
      </c>
      <c r="AT29" s="384"/>
      <c r="AU29" s="583">
        <f t="shared" si="4"/>
        <v>0.86540270862813085</v>
      </c>
      <c r="AV29" s="381">
        <f t="shared" si="5"/>
        <v>9.8311822205295607E-2</v>
      </c>
      <c r="AW29" s="376">
        <f t="shared" si="6"/>
        <v>0.1445603212816092</v>
      </c>
      <c r="AX29" s="503">
        <f t="shared" si="21"/>
        <v>4.5195335369397127E-2</v>
      </c>
      <c r="AY29" s="376">
        <f t="shared" si="7"/>
        <v>-0.70415621582194454</v>
      </c>
      <c r="AZ29" s="381">
        <f t="shared" si="22"/>
        <v>1.1031313235102085</v>
      </c>
      <c r="BA29" s="586">
        <f t="shared" si="23"/>
        <v>0.92318641951012514</v>
      </c>
      <c r="BB29" s="376">
        <f t="shared" si="24"/>
        <v>2.4976796968747994E-2</v>
      </c>
      <c r="BC29" s="376">
        <f t="shared" si="25"/>
        <v>7.6813580489874855E-2</v>
      </c>
      <c r="BD29" s="376">
        <f t="shared" si="26"/>
        <v>5.0516174396604052E-2</v>
      </c>
      <c r="BE29" s="283"/>
      <c r="BF29" s="392">
        <v>1.58</v>
      </c>
      <c r="BG29" s="393">
        <v>0.98499999999999999</v>
      </c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  <c r="CK29" s="283"/>
      <c r="CL29" s="283"/>
    </row>
    <row r="30" spans="1:90" ht="14.25" customHeight="1" x14ac:dyDescent="0.2">
      <c r="A30" s="3"/>
      <c r="B30" s="334"/>
      <c r="C30" s="337" t="s">
        <v>403</v>
      </c>
      <c r="D30" s="325">
        <v>1.08159E-2</v>
      </c>
      <c r="E30" s="325">
        <v>7.9354259999999996E-2</v>
      </c>
      <c r="F30" s="252"/>
      <c r="G30" s="334"/>
      <c r="H30" s="252"/>
      <c r="I30" s="252"/>
      <c r="J30" s="252"/>
      <c r="K30" s="252"/>
      <c r="L30" s="334"/>
      <c r="M30" s="340" t="s">
        <v>405</v>
      </c>
      <c r="N30" s="327">
        <f ca="1"/>
        <v>0.41738101398898947</v>
      </c>
      <c r="O30" s="252"/>
      <c r="P30" s="336"/>
      <c r="Q30" s="3"/>
      <c r="R30" s="3"/>
      <c r="S30" s="334"/>
      <c r="T30" s="373">
        <v>4</v>
      </c>
      <c r="U30" s="334"/>
      <c r="V30" s="568">
        <f t="shared" si="27"/>
        <v>0.90487247852301167</v>
      </c>
      <c r="W30" s="328">
        <f t="shared" si="8"/>
        <v>7.2229552766399641E-2</v>
      </c>
      <c r="X30" s="328">
        <f t="shared" si="9"/>
        <v>9.512752147698833E-2</v>
      </c>
      <c r="Y30" s="328">
        <f t="shared" si="10"/>
        <v>2.2637799788398305E-2</v>
      </c>
      <c r="Z30" s="334"/>
      <c r="AA30" s="571">
        <f>EXP(-1*(T30/$AA$21)^$AA$22)</f>
        <v>0.84714226519078306</v>
      </c>
      <c r="AB30" s="327">
        <f t="shared" si="0"/>
        <v>0.12448887118435026</v>
      </c>
      <c r="AC30" s="327">
        <f t="shared" si="11"/>
        <v>0.15285773480921694</v>
      </c>
      <c r="AD30" s="327">
        <f t="shared" si="12"/>
        <v>2.7970245752880207E-2</v>
      </c>
      <c r="AE30" s="383"/>
      <c r="AF30" s="574">
        <f t="shared" si="1"/>
        <v>0.87049954488659698</v>
      </c>
      <c r="AG30" s="376">
        <f t="shared" si="28"/>
        <v>9.3961904403107588E-2</v>
      </c>
      <c r="AH30" s="376">
        <f t="shared" si="13"/>
        <v>0.12950045511340302</v>
      </c>
      <c r="AI30" s="553">
        <f t="shared" si="14"/>
        <v>3.4914471219773535E-2</v>
      </c>
      <c r="AJ30" s="374"/>
      <c r="AK30" s="577">
        <f t="shared" si="2"/>
        <v>0.85481956834506834</v>
      </c>
      <c r="AL30" s="376">
        <f t="shared" si="15"/>
        <v>0.11108362734650712</v>
      </c>
      <c r="AM30" s="376">
        <f t="shared" si="16"/>
        <v>0.14518043165493166</v>
      </c>
      <c r="AN30" s="553">
        <f t="shared" si="17"/>
        <v>3.3522059119782233E-2</v>
      </c>
      <c r="AO30" s="554"/>
      <c r="AP30" s="580">
        <f t="shared" si="3"/>
        <v>0.86062016515594819</v>
      </c>
      <c r="AQ30" s="376">
        <f t="shared" si="18"/>
        <v>0.11305718223309114</v>
      </c>
      <c r="AR30" s="379">
        <f t="shared" si="19"/>
        <v>0.13937983484405181</v>
      </c>
      <c r="AS30" s="376">
        <f t="shared" si="20"/>
        <v>2.5979231440882988E-2</v>
      </c>
      <c r="AT30" s="384"/>
      <c r="AU30" s="583">
        <f t="shared" si="4"/>
        <v>0.82780902761525021</v>
      </c>
      <c r="AV30" s="381">
        <f t="shared" si="5"/>
        <v>0.1445603212816092</v>
      </c>
      <c r="AW30" s="376">
        <f t="shared" si="6"/>
        <v>0.18897279417581009</v>
      </c>
      <c r="AX30" s="503">
        <f t="shared" si="21"/>
        <v>4.3440678701451629E-2</v>
      </c>
      <c r="AY30" s="376">
        <f t="shared" si="7"/>
        <v>-0.47787535939579262</v>
      </c>
      <c r="AZ30" s="381">
        <f t="shared" si="22"/>
        <v>0.73659278686486951</v>
      </c>
      <c r="BA30" s="586">
        <f t="shared" si="23"/>
        <v>0.86775688288637443</v>
      </c>
      <c r="BB30" s="376">
        <f t="shared" si="24"/>
        <v>7.6813580489874855E-2</v>
      </c>
      <c r="BC30" s="376">
        <f t="shared" si="25"/>
        <v>0.13224311711362557</v>
      </c>
      <c r="BD30" s="376">
        <f t="shared" si="26"/>
        <v>5.3921314779833751E-2</v>
      </c>
      <c r="BE30" s="283"/>
      <c r="BF30" s="392">
        <v>1.67</v>
      </c>
      <c r="BG30" s="393">
        <v>0.97699999999999998</v>
      </c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396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  <c r="CK30" s="283"/>
      <c r="CL30" s="283"/>
    </row>
    <row r="31" spans="1:90" ht="14.25" customHeight="1" x14ac:dyDescent="0.2">
      <c r="A31" s="3"/>
      <c r="B31" s="334"/>
      <c r="C31" s="252"/>
      <c r="D31" s="252"/>
      <c r="E31" s="252"/>
      <c r="F31" s="252"/>
      <c r="G31" s="334"/>
      <c r="H31" s="252"/>
      <c r="I31" s="252"/>
      <c r="J31" s="252"/>
      <c r="K31" s="252"/>
      <c r="L31" s="334"/>
      <c r="M31" s="252"/>
      <c r="N31" s="252"/>
      <c r="O31" s="252"/>
      <c r="P31" s="336"/>
      <c r="Q31" s="3"/>
      <c r="R31" s="3"/>
      <c r="S31" s="334"/>
      <c r="T31" s="373">
        <f t="shared" ref="T31:T37" si="29">T30+1</f>
        <v>5</v>
      </c>
      <c r="U31" s="334"/>
      <c r="V31" s="568">
        <f t="shared" si="27"/>
        <v>0.88253964634229887</v>
      </c>
      <c r="W31" s="328">
        <f t="shared" si="8"/>
        <v>9.512752147698833E-2</v>
      </c>
      <c r="X31" s="328">
        <f t="shared" si="9"/>
        <v>0.11746035365770113</v>
      </c>
      <c r="Y31" s="328">
        <f t="shared" si="10"/>
        <v>2.2085300602107227E-2</v>
      </c>
      <c r="Z31" s="334"/>
      <c r="AA31" s="571">
        <f>EXP(-1*(T31/$AA$21)^$AA$22)</f>
        <v>0.82122394967789547</v>
      </c>
      <c r="AB31" s="327">
        <f t="shared" si="0"/>
        <v>0.15285773480921694</v>
      </c>
      <c r="AC31" s="327">
        <f t="shared" si="11"/>
        <v>0.17877605032210453</v>
      </c>
      <c r="AD31" s="327">
        <f t="shared" si="12"/>
        <v>2.5585319078536783E-2</v>
      </c>
      <c r="AE31" s="383"/>
      <c r="AF31" s="574">
        <f t="shared" si="1"/>
        <v>0.83718130425322013</v>
      </c>
      <c r="AG31" s="376">
        <f t="shared" si="28"/>
        <v>0.12950045511340302</v>
      </c>
      <c r="AH31" s="376">
        <f t="shared" si="13"/>
        <v>0.16281869574677987</v>
      </c>
      <c r="AI31" s="553">
        <f t="shared" si="14"/>
        <v>3.2769301505435E-2</v>
      </c>
      <c r="AJ31" s="374"/>
      <c r="AK31" s="577">
        <f t="shared" si="2"/>
        <v>0.82272725786153533</v>
      </c>
      <c r="AL31" s="376">
        <f t="shared" si="15"/>
        <v>0.14518043165493166</v>
      </c>
      <c r="AM31" s="376">
        <f t="shared" si="16"/>
        <v>0.17727274213846467</v>
      </c>
      <c r="AN31" s="553">
        <f t="shared" si="17"/>
        <v>3.1582817105394567E-2</v>
      </c>
      <c r="AO31" s="554"/>
      <c r="AP31" s="580">
        <f t="shared" si="3"/>
        <v>0.83631096379460312</v>
      </c>
      <c r="AQ31" s="376">
        <f t="shared" si="18"/>
        <v>0.13937983484405181</v>
      </c>
      <c r="AR31" s="379">
        <f t="shared" si="19"/>
        <v>0.16368903620539688</v>
      </c>
      <c r="AS31" s="376">
        <f t="shared" si="20"/>
        <v>2.4016112448286386E-2</v>
      </c>
      <c r="AT31" s="384"/>
      <c r="AU31" s="583">
        <f t="shared" si="4"/>
        <v>0.79324581081731615</v>
      </c>
      <c r="AV31" s="381">
        <f t="shared" si="5"/>
        <v>0.18897279417581009</v>
      </c>
      <c r="AW31" s="376">
        <f t="shared" si="6"/>
        <v>0.23162212956988223</v>
      </c>
      <c r="AX31" s="503">
        <f t="shared" si="21"/>
        <v>4.1752645410866984E-2</v>
      </c>
      <c r="AY31" s="376">
        <f t="shared" si="7"/>
        <v>-0.30235829131079528</v>
      </c>
      <c r="AZ31" s="381">
        <f t="shared" si="22"/>
        <v>0.53848900731540972</v>
      </c>
      <c r="BA31" s="586">
        <f t="shared" si="23"/>
        <v>0.81726914756061741</v>
      </c>
      <c r="BB31" s="376">
        <f t="shared" si="24"/>
        <v>0.13224311711362557</v>
      </c>
      <c r="BC31" s="376">
        <f t="shared" si="25"/>
        <v>0.18273085243938259</v>
      </c>
      <c r="BD31" s="376">
        <f t="shared" si="26"/>
        <v>4.9234410568945175E-2</v>
      </c>
      <c r="BE31" s="283"/>
      <c r="BF31" s="392">
        <v>1.81</v>
      </c>
      <c r="BG31" s="393">
        <v>0.96599999999999997</v>
      </c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  <c r="CK31" s="283"/>
      <c r="CL31" s="283"/>
    </row>
    <row r="32" spans="1:90" ht="14.25" customHeight="1" x14ac:dyDescent="0.2">
      <c r="A32" s="3"/>
      <c r="B32" s="334"/>
      <c r="C32" s="335" t="s">
        <v>396</v>
      </c>
      <c r="D32" s="252"/>
      <c r="E32" s="252"/>
      <c r="F32" s="252"/>
      <c r="G32" s="334"/>
      <c r="H32" s="252"/>
      <c r="I32" s="252"/>
      <c r="J32" s="252"/>
      <c r="K32" s="252"/>
      <c r="L32" s="334"/>
      <c r="M32" s="348" t="s">
        <v>184</v>
      </c>
      <c r="N32" s="329">
        <f ca="1">EXP(N29)</f>
        <v>39.124040197720092</v>
      </c>
      <c r="O32" s="252"/>
      <c r="P32" s="336"/>
      <c r="Q32" s="3"/>
      <c r="R32" s="3"/>
      <c r="S32" s="334"/>
      <c r="T32" s="373">
        <f t="shared" si="29"/>
        <v>6</v>
      </c>
      <c r="U32" s="334"/>
      <c r="V32" s="568">
        <f t="shared" si="27"/>
        <v>0.86075800276003478</v>
      </c>
      <c r="W32" s="328">
        <f t="shared" si="8"/>
        <v>0.11746035365770113</v>
      </c>
      <c r="X32" s="328">
        <f t="shared" si="9"/>
        <v>0.13924199723996522</v>
      </c>
      <c r="Y32" s="328">
        <f t="shared" si="10"/>
        <v>2.1546136592666576E-2</v>
      </c>
      <c r="Z32" s="334"/>
      <c r="AA32" s="571">
        <f t="shared" ref="AA32:AA91" si="30">EXP(-1*(T32/$AA$21)^$AA$22)</f>
        <v>0.79722246478913084</v>
      </c>
      <c r="AB32" s="327">
        <f t="shared" si="0"/>
        <v>0.17877605032210453</v>
      </c>
      <c r="AC32" s="327">
        <f t="shared" si="11"/>
        <v>0.20277753521086916</v>
      </c>
      <c r="AD32" s="327">
        <f t="shared" si="12"/>
        <v>2.3715739916695844E-2</v>
      </c>
      <c r="AE32" s="383"/>
      <c r="AF32" s="574">
        <f t="shared" si="1"/>
        <v>0.80615066287857173</v>
      </c>
      <c r="AG32" s="376">
        <f t="shared" si="28"/>
        <v>0.16281869574677987</v>
      </c>
      <c r="AH32" s="376">
        <f t="shared" si="13"/>
        <v>0.19384933712142827</v>
      </c>
      <c r="AI32" s="553">
        <f t="shared" si="14"/>
        <v>3.0554132533108458E-2</v>
      </c>
      <c r="AJ32" s="374"/>
      <c r="AK32" s="577">
        <f t="shared" si="2"/>
        <v>0.79257104564411518</v>
      </c>
      <c r="AL32" s="376">
        <f t="shared" si="15"/>
        <v>0.17727274213846467</v>
      </c>
      <c r="AM32" s="376">
        <f t="shared" si="16"/>
        <v>0.20742895435588482</v>
      </c>
      <c r="AN32" s="553">
        <f t="shared" si="17"/>
        <v>2.9706050060258837E-2</v>
      </c>
      <c r="AO32" s="554"/>
      <c r="AP32" s="580">
        <f t="shared" si="3"/>
        <v>0.81357318743521512</v>
      </c>
      <c r="AQ32" s="376">
        <f t="shared" si="18"/>
        <v>0.16368903620539688</v>
      </c>
      <c r="AR32" s="379">
        <f t="shared" si="19"/>
        <v>0.18642681256478488</v>
      </c>
      <c r="AS32" s="376">
        <f t="shared" si="20"/>
        <v>2.2481221298568443E-2</v>
      </c>
      <c r="AT32" s="384"/>
      <c r="AU32" s="583">
        <f t="shared" si="4"/>
        <v>0.7614137909875538</v>
      </c>
      <c r="AV32" s="381">
        <f t="shared" si="5"/>
        <v>0.23162212956988223</v>
      </c>
      <c r="AW32" s="376">
        <f t="shared" si="6"/>
        <v>0.27257832252696379</v>
      </c>
      <c r="AX32" s="503">
        <f t="shared" si="21"/>
        <v>4.012882185531419E-2</v>
      </c>
      <c r="AY32" s="376">
        <f t="shared" si="7"/>
        <v>-0.15895040473419819</v>
      </c>
      <c r="AZ32" s="381">
        <f t="shared" si="22"/>
        <v>0.41688415800731038</v>
      </c>
      <c r="BA32" s="586">
        <f t="shared" si="23"/>
        <v>0.77313281948968315</v>
      </c>
      <c r="BB32" s="376">
        <f t="shared" si="24"/>
        <v>0.18273085243938259</v>
      </c>
      <c r="BC32" s="376">
        <f t="shared" si="25"/>
        <v>0.22686718051031685</v>
      </c>
      <c r="BD32" s="376">
        <f t="shared" si="26"/>
        <v>4.3176493321693932E-2</v>
      </c>
      <c r="BE32" s="283"/>
      <c r="BF32" s="392">
        <v>2.0299999999999998</v>
      </c>
      <c r="BG32" s="393">
        <v>0.96</v>
      </c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  <c r="CK32" s="283"/>
      <c r="CL32" s="283"/>
    </row>
    <row r="33" spans="1:90" ht="14.25" customHeight="1" x14ac:dyDescent="0.2">
      <c r="A33" s="3"/>
      <c r="B33" s="341"/>
      <c r="C33" s="342" t="s">
        <v>397</v>
      </c>
      <c r="D33" s="343">
        <v>-514.49760000000003</v>
      </c>
      <c r="E33" s="344"/>
      <c r="F33" s="344"/>
      <c r="G33" s="341"/>
      <c r="H33" s="344"/>
      <c r="I33" s="344"/>
      <c r="J33" s="344"/>
      <c r="K33" s="344"/>
      <c r="L33" s="341"/>
      <c r="M33" s="349" t="s">
        <v>186</v>
      </c>
      <c r="N33" s="329">
        <f ca="1">1/(EXP(N30))</f>
        <v>0.65876987158409095</v>
      </c>
      <c r="O33" s="344"/>
      <c r="P33" s="345"/>
      <c r="Q33" s="3"/>
      <c r="R33" s="3"/>
      <c r="S33" s="334"/>
      <c r="T33" s="373">
        <f t="shared" si="29"/>
        <v>7</v>
      </c>
      <c r="U33" s="334"/>
      <c r="V33" s="568">
        <f t="shared" si="27"/>
        <v>0.83951394408867097</v>
      </c>
      <c r="W33" s="328">
        <f t="shared" si="8"/>
        <v>0.13924199723996522</v>
      </c>
      <c r="X33" s="328">
        <f t="shared" si="9"/>
        <v>0.16048605591132903</v>
      </c>
      <c r="Y33" s="328">
        <f t="shared" si="10"/>
        <v>2.101999314896974E-2</v>
      </c>
      <c r="Z33" s="334"/>
      <c r="AA33" s="571">
        <f t="shared" si="30"/>
        <v>0.77479281956380419</v>
      </c>
      <c r="AB33" s="327">
        <f t="shared" si="0"/>
        <v>0.20277753521086916</v>
      </c>
      <c r="AC33" s="327">
        <f t="shared" si="11"/>
        <v>0.22520718043619581</v>
      </c>
      <c r="AD33" s="327">
        <f t="shared" si="12"/>
        <v>2.2179970918793757E-2</v>
      </c>
      <c r="AE33" s="383"/>
      <c r="AF33" s="574">
        <f t="shared" si="1"/>
        <v>0.77728805537862167</v>
      </c>
      <c r="AG33" s="376">
        <f t="shared" si="28"/>
        <v>0.19384933712142827</v>
      </c>
      <c r="AH33" s="376">
        <f t="shared" si="13"/>
        <v>0.22271194462137833</v>
      </c>
      <c r="AI33" s="553">
        <f t="shared" si="14"/>
        <v>2.8450061027764373E-2</v>
      </c>
      <c r="AJ33" s="374"/>
      <c r="AK33" s="577">
        <f t="shared" si="2"/>
        <v>0.76424492393164012</v>
      </c>
      <c r="AL33" s="376">
        <f t="shared" si="15"/>
        <v>0.20742895435588482</v>
      </c>
      <c r="AM33" s="376">
        <f t="shared" si="16"/>
        <v>0.23575507606835988</v>
      </c>
      <c r="AN33" s="553">
        <f t="shared" si="17"/>
        <v>2.792869845438295E-2</v>
      </c>
      <c r="AO33" s="554"/>
      <c r="AP33" s="580">
        <f t="shared" si="3"/>
        <v>0.79212557818210327</v>
      </c>
      <c r="AQ33" s="376">
        <f t="shared" si="18"/>
        <v>0.18642681256478488</v>
      </c>
      <c r="AR33" s="379">
        <f t="shared" si="19"/>
        <v>0.20787442181789673</v>
      </c>
      <c r="AS33" s="376">
        <f t="shared" si="20"/>
        <v>2.1219244819299266E-2</v>
      </c>
      <c r="AT33" s="384"/>
      <c r="AU33" s="583">
        <f t="shared" si="4"/>
        <v>0.73204844218248211</v>
      </c>
      <c r="AV33" s="381">
        <f t="shared" si="5"/>
        <v>0.27257832252696379</v>
      </c>
      <c r="AW33" s="376">
        <f t="shared" si="6"/>
        <v>0.31190858936556159</v>
      </c>
      <c r="AX33" s="503">
        <f t="shared" si="21"/>
        <v>3.8566872773587169E-2</v>
      </c>
      <c r="AY33" s="376">
        <f t="shared" si="7"/>
        <v>-3.7700764279692295E-2</v>
      </c>
      <c r="AZ33" s="381">
        <f t="shared" si="22"/>
        <v>0.3357605942501522</v>
      </c>
      <c r="BA33" s="586">
        <f t="shared" si="23"/>
        <v>0.73483195660976852</v>
      </c>
      <c r="BB33" s="376">
        <f t="shared" si="24"/>
        <v>0.22686718051031685</v>
      </c>
      <c r="BC33" s="376">
        <f t="shared" si="25"/>
        <v>0.26516804339023148</v>
      </c>
      <c r="BD33" s="376">
        <f t="shared" si="26"/>
        <v>3.757666012944505E-2</v>
      </c>
      <c r="BE33" s="283"/>
      <c r="BF33" s="392">
        <v>2.2999999999999998</v>
      </c>
      <c r="BG33" s="393">
        <v>0.95099999999999996</v>
      </c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  <c r="CK33" s="283"/>
      <c r="CL33" s="283"/>
    </row>
    <row r="34" spans="1:90" ht="14.25" customHeight="1" x14ac:dyDescent="0.2">
      <c r="A34" s="3"/>
      <c r="B34" s="252"/>
      <c r="C34" s="3"/>
      <c r="D34" s="3"/>
      <c r="E34" s="3"/>
      <c r="F34" s="3"/>
      <c r="G34" s="252"/>
      <c r="H34" s="3"/>
      <c r="I34" s="3"/>
      <c r="J34" s="3"/>
      <c r="K34" s="3"/>
      <c r="L34" s="252"/>
      <c r="M34" s="3"/>
      <c r="N34" s="3"/>
      <c r="O34" s="3"/>
      <c r="P34" s="3"/>
      <c r="Q34" s="3"/>
      <c r="R34" s="3"/>
      <c r="S34" s="334"/>
      <c r="T34" s="373">
        <f t="shared" si="29"/>
        <v>8</v>
      </c>
      <c r="U34" s="334"/>
      <c r="V34" s="568">
        <f t="shared" si="27"/>
        <v>0.81879420238837819</v>
      </c>
      <c r="W34" s="328">
        <f t="shared" si="8"/>
        <v>0.16048605591132903</v>
      </c>
      <c r="X34" s="328">
        <f t="shared" si="9"/>
        <v>0.18120579761162181</v>
      </c>
      <c r="Y34" s="328">
        <f t="shared" si="10"/>
        <v>2.050656272865925E-2</v>
      </c>
      <c r="Z34" s="334"/>
      <c r="AA34" s="571">
        <f t="shared" si="30"/>
        <v>0.75369346261267101</v>
      </c>
      <c r="AB34" s="327">
        <f t="shared" si="0"/>
        <v>0.22520718043619581</v>
      </c>
      <c r="AC34" s="327">
        <f t="shared" si="11"/>
        <v>0.24630653738732899</v>
      </c>
      <c r="AD34" s="327">
        <f t="shared" si="12"/>
        <v>2.0878322808183136E-2</v>
      </c>
      <c r="AE34" s="383"/>
      <c r="AF34" s="574">
        <f t="shared" si="1"/>
        <v>0.75041876308738131</v>
      </c>
      <c r="AG34" s="376">
        <f t="shared" si="28"/>
        <v>0.22271194462137833</v>
      </c>
      <c r="AH34" s="376">
        <f t="shared" si="13"/>
        <v>0.24958123691261869</v>
      </c>
      <c r="AI34" s="553">
        <f t="shared" si="14"/>
        <v>2.651152434292825E-2</v>
      </c>
      <c r="AJ34" s="374"/>
      <c r="AK34" s="577">
        <f t="shared" si="2"/>
        <v>0.73762997672209396</v>
      </c>
      <c r="AL34" s="376">
        <f t="shared" si="15"/>
        <v>0.23575507606835988</v>
      </c>
      <c r="AM34" s="376">
        <f t="shared" si="16"/>
        <v>0.26237002327790604</v>
      </c>
      <c r="AN34" s="553">
        <f t="shared" si="17"/>
        <v>2.6263890846212945E-2</v>
      </c>
      <c r="AO34" s="554"/>
      <c r="AP34" s="580">
        <f t="shared" si="3"/>
        <v>0.77177369004847174</v>
      </c>
      <c r="AQ34" s="376">
        <f t="shared" si="18"/>
        <v>0.20787442181789673</v>
      </c>
      <c r="AR34" s="379">
        <f t="shared" si="19"/>
        <v>0.22822630995152826</v>
      </c>
      <c r="AS34" s="376">
        <f t="shared" si="20"/>
        <v>2.0146186295423307E-2</v>
      </c>
      <c r="AT34" s="384"/>
      <c r="AU34" s="583">
        <f t="shared" si="4"/>
        <v>0.7049154038044918</v>
      </c>
      <c r="AV34" s="381">
        <f t="shared" si="5"/>
        <v>0.31190858936556159</v>
      </c>
      <c r="AW34" s="376">
        <f t="shared" si="6"/>
        <v>0.34967747797335458</v>
      </c>
      <c r="AX34" s="503">
        <f t="shared" si="21"/>
        <v>3.7064539468313895E-2</v>
      </c>
      <c r="AY34" s="376">
        <f t="shared" si="7"/>
        <v>6.7330451691953702E-2</v>
      </c>
      <c r="AZ34" s="381">
        <f t="shared" si="22"/>
        <v>0.27836564623085669</v>
      </c>
      <c r="BA34" s="586">
        <f t="shared" si="23"/>
        <v>0.70147805655127127</v>
      </c>
      <c r="BB34" s="376">
        <f t="shared" si="24"/>
        <v>0.26516804339023148</v>
      </c>
      <c r="BC34" s="376">
        <f t="shared" si="25"/>
        <v>0.29852194344872873</v>
      </c>
      <c r="BD34" s="376">
        <f t="shared" si="26"/>
        <v>3.2803791781146785E-2</v>
      </c>
      <c r="BE34" s="283"/>
      <c r="BF34" s="392">
        <v>2.44</v>
      </c>
      <c r="BG34" s="393">
        <v>0.93899999999999995</v>
      </c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  <c r="CK34" s="283"/>
      <c r="CL34" s="283"/>
    </row>
    <row r="35" spans="1:90" ht="14.25" customHeight="1" x14ac:dyDescent="0.2">
      <c r="A35" s="3"/>
      <c r="B35" s="330"/>
      <c r="C35" s="331" t="s">
        <v>168</v>
      </c>
      <c r="D35" s="332"/>
      <c r="E35" s="332"/>
      <c r="F35" s="332"/>
      <c r="G35" s="332"/>
      <c r="H35" s="332"/>
      <c r="I35" s="332"/>
      <c r="J35" s="332"/>
      <c r="K35" s="332"/>
      <c r="L35" s="332"/>
      <c r="M35" s="332"/>
      <c r="N35" s="332"/>
      <c r="O35" s="332"/>
      <c r="P35" s="333"/>
      <c r="Q35" s="3"/>
      <c r="R35" s="3"/>
      <c r="S35" s="334"/>
      <c r="T35" s="373">
        <f t="shared" si="29"/>
        <v>9</v>
      </c>
      <c r="U35" s="334"/>
      <c r="V35" s="568">
        <f t="shared" si="27"/>
        <v>0.79858583718057807</v>
      </c>
      <c r="W35" s="328">
        <f t="shared" si="8"/>
        <v>0.18120579761162181</v>
      </c>
      <c r="X35" s="328">
        <f t="shared" si="9"/>
        <v>0.20141416281942193</v>
      </c>
      <c r="Y35" s="328">
        <f t="shared" si="10"/>
        <v>2.0005544716789392E-2</v>
      </c>
      <c r="Z35" s="334"/>
      <c r="AA35" s="571">
        <f t="shared" si="30"/>
        <v>0.73374566917523898</v>
      </c>
      <c r="AB35" s="327">
        <f t="shared" ref="AB35:AB98" si="31">1-AA34</f>
        <v>0.24630653738732899</v>
      </c>
      <c r="AC35" s="327">
        <f t="shared" si="11"/>
        <v>0.26625433082476102</v>
      </c>
      <c r="AD35" s="327">
        <f t="shared" si="12"/>
        <v>1.9750152554076306E-2</v>
      </c>
      <c r="AE35" s="383"/>
      <c r="AF35" s="574">
        <f t="shared" si="1"/>
        <v>0.72536054491886504</v>
      </c>
      <c r="AG35" s="376">
        <f t="shared" si="28"/>
        <v>0.24958123691261869</v>
      </c>
      <c r="AH35" s="376">
        <f t="shared" si="13"/>
        <v>0.27463945508113496</v>
      </c>
      <c r="AI35" s="553">
        <f t="shared" si="14"/>
        <v>2.4746867075677637E-2</v>
      </c>
      <c r="AJ35" s="374"/>
      <c r="AK35" s="577">
        <f t="shared" si="2"/>
        <v>0.71260576384029573</v>
      </c>
      <c r="AL35" s="376">
        <f t="shared" si="15"/>
        <v>0.26237002327790604</v>
      </c>
      <c r="AM35" s="376">
        <f t="shared" si="16"/>
        <v>0.28739423615970427</v>
      </c>
      <c r="AN35" s="553">
        <f t="shared" si="17"/>
        <v>2.4713702749391886E-2</v>
      </c>
      <c r="AO35" s="554"/>
      <c r="AP35" s="580">
        <f t="shared" si="3"/>
        <v>0.75237511266268764</v>
      </c>
      <c r="AQ35" s="376">
        <f t="shared" si="18"/>
        <v>0.22822630995152826</v>
      </c>
      <c r="AR35" s="379">
        <f t="shared" si="19"/>
        <v>0.24762488733731236</v>
      </c>
      <c r="AS35" s="376">
        <f t="shared" si="20"/>
        <v>1.9211635735729704E-2</v>
      </c>
      <c r="AT35" s="384"/>
      <c r="AU35" s="583">
        <f t="shared" si="4"/>
        <v>0.67980657232354513</v>
      </c>
      <c r="AV35" s="381">
        <f t="shared" si="5"/>
        <v>0.34967747797335458</v>
      </c>
      <c r="AW35" s="376">
        <f t="shared" si="6"/>
        <v>0.38594697374163561</v>
      </c>
      <c r="AX35" s="503">
        <f t="shared" si="21"/>
        <v>3.5619637967097884E-2</v>
      </c>
      <c r="AY35" s="376">
        <f t="shared" si="7"/>
        <v>0.15997454992739638</v>
      </c>
      <c r="AZ35" s="381">
        <f t="shared" si="22"/>
        <v>0.2359409490516052</v>
      </c>
      <c r="BA35" s="586">
        <f t="shared" si="23"/>
        <v>0.67222723897719217</v>
      </c>
      <c r="BB35" s="376">
        <f t="shared" si="24"/>
        <v>0.29852194344872873</v>
      </c>
      <c r="BC35" s="376">
        <f t="shared" si="25"/>
        <v>0.32777276102280783</v>
      </c>
      <c r="BD35" s="376">
        <f t="shared" si="26"/>
        <v>2.8827153301347219E-2</v>
      </c>
      <c r="BE35" s="283"/>
      <c r="BF35" s="392">
        <v>2.71</v>
      </c>
      <c r="BG35" s="393">
        <v>0.93400000000000005</v>
      </c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  <c r="CK35" s="283"/>
      <c r="CL35" s="283"/>
    </row>
    <row r="36" spans="1:90" ht="14.25" customHeight="1" x14ac:dyDescent="0.2">
      <c r="A36" s="3"/>
      <c r="B36" s="334"/>
      <c r="C36" s="335" t="s">
        <v>391</v>
      </c>
      <c r="D36" s="252"/>
      <c r="E36" s="252"/>
      <c r="F36" s="252"/>
      <c r="G36" s="346"/>
      <c r="H36" s="335" t="s">
        <v>398</v>
      </c>
      <c r="I36" s="252"/>
      <c r="J36" s="252"/>
      <c r="K36" s="252"/>
      <c r="L36" s="352"/>
      <c r="M36" s="335" t="s">
        <v>399</v>
      </c>
      <c r="N36" s="252"/>
      <c r="O36" s="252"/>
      <c r="P36" s="336"/>
      <c r="Q36" s="3"/>
      <c r="R36" s="3"/>
      <c r="S36" s="334"/>
      <c r="T36" s="373">
        <f t="shared" si="29"/>
        <v>10</v>
      </c>
      <c r="U36" s="334"/>
      <c r="V36" s="568">
        <f t="shared" si="27"/>
        <v>0.77887622736599005</v>
      </c>
      <c r="W36" s="328">
        <f t="shared" si="8"/>
        <v>0.20141416281942193</v>
      </c>
      <c r="X36" s="328">
        <f t="shared" si="9"/>
        <v>0.22112377263400995</v>
      </c>
      <c r="Y36" s="328">
        <f t="shared" si="10"/>
        <v>1.9516645286419831E-2</v>
      </c>
      <c r="Z36" s="334"/>
      <c r="AA36" s="571">
        <f t="shared" si="30"/>
        <v>0.71481173703915535</v>
      </c>
      <c r="AB36" s="327">
        <f t="shared" si="31"/>
        <v>0.26625433082476102</v>
      </c>
      <c r="AC36" s="327">
        <f t="shared" si="11"/>
        <v>0.28518826296084465</v>
      </c>
      <c r="AD36" s="327">
        <f t="shared" si="12"/>
        <v>1.8755811191158989E-2</v>
      </c>
      <c r="AE36" s="383"/>
      <c r="AF36" s="574">
        <f t="shared" si="1"/>
        <v>0.70194111644042256</v>
      </c>
      <c r="AG36" s="376">
        <f t="shared" si="28"/>
        <v>0.27463945508113496</v>
      </c>
      <c r="AH36" s="376">
        <f t="shared" si="13"/>
        <v>0.29805888355957744</v>
      </c>
      <c r="AI36" s="553">
        <f t="shared" si="14"/>
        <v>2.3147321995218184E-2</v>
      </c>
      <c r="AJ36" s="374"/>
      <c r="AK36" s="577">
        <f t="shared" si="2"/>
        <v>0.68905578185644301</v>
      </c>
      <c r="AL36" s="376">
        <f t="shared" si="15"/>
        <v>0.28739423615970427</v>
      </c>
      <c r="AM36" s="376">
        <f t="shared" si="16"/>
        <v>0.31094421814355699</v>
      </c>
      <c r="AN36" s="553">
        <f t="shared" si="17"/>
        <v>2.3274845212118422E-2</v>
      </c>
      <c r="AO36" s="554"/>
      <c r="AP36" s="580">
        <f t="shared" si="3"/>
        <v>0.73382101100312314</v>
      </c>
      <c r="AQ36" s="376">
        <f t="shared" si="18"/>
        <v>0.24762488733731236</v>
      </c>
      <c r="AR36" s="379">
        <f t="shared" si="19"/>
        <v>0.26617898899687686</v>
      </c>
      <c r="AS36" s="376">
        <f t="shared" si="20"/>
        <v>1.8383033951745564E-2</v>
      </c>
      <c r="AT36" s="384"/>
      <c r="AU36" s="583">
        <f t="shared" si="4"/>
        <v>0.65653675448874182</v>
      </c>
      <c r="AV36" s="381">
        <f t="shared" ref="AV36:AV99" si="32">($AU$22/$AU$21)*((EXP($AU$21*T35))-1)</f>
        <v>0.38594697374163561</v>
      </c>
      <c r="AW36" s="376">
        <f t="shared" si="6"/>
        <v>0.4207766012942431</v>
      </c>
      <c r="AX36" s="503">
        <f t="shared" si="21"/>
        <v>3.4230057169450823E-2</v>
      </c>
      <c r="AY36" s="376">
        <f t="shared" si="7"/>
        <v>0.24284751977695138</v>
      </c>
      <c r="AZ36" s="381">
        <f t="shared" si="22"/>
        <v>0.20350028290063282</v>
      </c>
      <c r="BA36" s="586">
        <f t="shared" si="23"/>
        <v>0.64637144876854047</v>
      </c>
      <c r="BB36" s="376">
        <f t="shared" si="24"/>
        <v>0.32777276102280783</v>
      </c>
      <c r="BC36" s="376">
        <f t="shared" si="25"/>
        <v>0.35362855123145953</v>
      </c>
      <c r="BD36" s="376">
        <f t="shared" si="26"/>
        <v>2.5524391599425544E-2</v>
      </c>
      <c r="BE36" s="283"/>
      <c r="BF36" s="392">
        <v>2.85</v>
      </c>
      <c r="BG36" s="393">
        <v>0.92300000000000004</v>
      </c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  <c r="CK36" s="283"/>
      <c r="CL36" s="283"/>
    </row>
    <row r="37" spans="1:90" ht="14.25" customHeight="1" x14ac:dyDescent="0.2">
      <c r="A37" s="3"/>
      <c r="B37" s="334"/>
      <c r="C37" s="252"/>
      <c r="D37" s="337" t="s">
        <v>404</v>
      </c>
      <c r="E37" s="337" t="s">
        <v>407</v>
      </c>
      <c r="F37" s="252"/>
      <c r="G37" s="334"/>
      <c r="H37" s="252"/>
      <c r="I37" s="252"/>
      <c r="J37" s="252"/>
      <c r="K37" s="252"/>
      <c r="L37" s="334"/>
      <c r="M37" s="252"/>
      <c r="N37" s="252"/>
      <c r="O37" s="252"/>
      <c r="P37" s="336"/>
      <c r="Q37" s="3"/>
      <c r="R37" s="3"/>
      <c r="S37" s="334"/>
      <c r="T37" s="373">
        <f t="shared" si="29"/>
        <v>11</v>
      </c>
      <c r="U37" s="334"/>
      <c r="V37" s="568">
        <f t="shared" si="27"/>
        <v>0.75965306334214466</v>
      </c>
      <c r="W37" s="328">
        <f t="shared" si="8"/>
        <v>0.22112377263400995</v>
      </c>
      <c r="X37" s="328">
        <f t="shared" si="9"/>
        <v>0.24034693665785534</v>
      </c>
      <c r="Y37" s="328">
        <f t="shared" si="10"/>
        <v>1.9039577261167118E-2</v>
      </c>
      <c r="Z37" s="334"/>
      <c r="AA37" s="571">
        <f t="shared" si="30"/>
        <v>0.69678223409490236</v>
      </c>
      <c r="AB37" s="327">
        <f t="shared" si="31"/>
        <v>0.28518826296084465</v>
      </c>
      <c r="AC37" s="327">
        <f t="shared" si="11"/>
        <v>0.30321776590509764</v>
      </c>
      <c r="AD37" s="327">
        <f t="shared" si="12"/>
        <v>1.7867943856440527E-2</v>
      </c>
      <c r="AE37" s="383"/>
      <c r="AF37" s="574">
        <f t="shared" si="1"/>
        <v>0.68000389705465225</v>
      </c>
      <c r="AG37" s="376">
        <f t="shared" si="28"/>
        <v>0.29805888355957744</v>
      </c>
      <c r="AH37" s="376">
        <f t="shared" si="13"/>
        <v>0.31999610294534775</v>
      </c>
      <c r="AI37" s="553">
        <f t="shared" si="14"/>
        <v>2.1698348498108144E-2</v>
      </c>
      <c r="AJ37" s="374"/>
      <c r="AK37" s="577">
        <f t="shared" si="2"/>
        <v>0.66687002537862594</v>
      </c>
      <c r="AL37" s="376">
        <f t="shared" si="15"/>
        <v>0.31094421814355699</v>
      </c>
      <c r="AM37" s="376">
        <f t="shared" si="16"/>
        <v>0.33312997462137406</v>
      </c>
      <c r="AN37" s="553">
        <f t="shared" si="17"/>
        <v>2.1941462533037859E-2</v>
      </c>
      <c r="AO37" s="554"/>
      <c r="AP37" s="580">
        <f t="shared" si="3"/>
        <v>0.71602544013823954</v>
      </c>
      <c r="AQ37" s="376">
        <f t="shared" si="18"/>
        <v>0.26617898899687686</v>
      </c>
      <c r="AR37" s="379">
        <f t="shared" si="19"/>
        <v>0.28397455986176046</v>
      </c>
      <c r="AS37" s="376">
        <f t="shared" si="20"/>
        <v>1.7638164787031618E-2</v>
      </c>
      <c r="AT37" s="384"/>
      <c r="AU37" s="583">
        <f t="shared" si="4"/>
        <v>0.63494079403409132</v>
      </c>
      <c r="AV37" s="381">
        <f t="shared" si="32"/>
        <v>0.4207766012942431</v>
      </c>
      <c r="AW37" s="376">
        <f t="shared" si="6"/>
        <v>0.45422352217794232</v>
      </c>
      <c r="AX37" s="503">
        <f t="shared" si="21"/>
        <v>3.2893756986183798E-2</v>
      </c>
      <c r="AY37" s="376">
        <f t="shared" si="7"/>
        <v>0.3178152399704578</v>
      </c>
      <c r="AZ37" s="381">
        <f t="shared" si="22"/>
        <v>0.17801409971264931</v>
      </c>
      <c r="BA37" s="586">
        <f t="shared" si="23"/>
        <v>0.62333870267721458</v>
      </c>
      <c r="BB37" s="376">
        <f t="shared" si="24"/>
        <v>0.35362855123145953</v>
      </c>
      <c r="BC37" s="376">
        <f t="shared" si="25"/>
        <v>0.37666129732278542</v>
      </c>
      <c r="BD37" s="376">
        <f t="shared" si="26"/>
        <v>2.27695172293092E-2</v>
      </c>
      <c r="BE37" s="283"/>
      <c r="BF37" s="392">
        <v>3.34</v>
      </c>
      <c r="BG37" s="393">
        <v>0.91300000000000003</v>
      </c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  <c r="CK37" s="283"/>
      <c r="CL37" s="283"/>
    </row>
    <row r="38" spans="1:90" ht="14.25" customHeight="1" x14ac:dyDescent="0.2">
      <c r="A38" s="3"/>
      <c r="B38" s="334"/>
      <c r="C38" s="252" t="s">
        <v>401</v>
      </c>
      <c r="D38" s="325">
        <v>3.1136330000000001</v>
      </c>
      <c r="E38" s="325">
        <v>0.12804715999999999</v>
      </c>
      <c r="F38" s="252"/>
      <c r="G38" s="334"/>
      <c r="H38" s="348" t="s">
        <v>182</v>
      </c>
      <c r="I38" s="350">
        <f>D38</f>
        <v>3.1136330000000001</v>
      </c>
      <c r="J38" s="252"/>
      <c r="K38" s="252"/>
      <c r="L38" s="334"/>
      <c r="M38" s="252" t="s">
        <v>400</v>
      </c>
      <c r="N38" s="252"/>
      <c r="O38" s="252"/>
      <c r="P38" s="336"/>
      <c r="Q38" s="3"/>
      <c r="R38" s="3"/>
      <c r="S38" s="334"/>
      <c r="T38" s="373">
        <f t="shared" ref="T38:T101" si="33">T37+1</f>
        <v>12</v>
      </c>
      <c r="U38" s="334"/>
      <c r="V38" s="568">
        <f t="shared" si="27"/>
        <v>0.74090433931544408</v>
      </c>
      <c r="W38" s="328">
        <f t="shared" si="8"/>
        <v>0.24034693665785534</v>
      </c>
      <c r="X38" s="328">
        <f t="shared" si="9"/>
        <v>0.25909566068455592</v>
      </c>
      <c r="Y38" s="328">
        <f t="shared" si="10"/>
        <v>1.8574059979727053E-2</v>
      </c>
      <c r="Z38" s="334"/>
      <c r="AA38" s="571">
        <f t="shared" si="30"/>
        <v>0.67956804275844451</v>
      </c>
      <c r="AB38" s="327">
        <f t="shared" si="31"/>
        <v>0.30321776590509764</v>
      </c>
      <c r="AC38" s="327">
        <f t="shared" si="11"/>
        <v>0.32043195724155549</v>
      </c>
      <c r="AD38" s="327">
        <f t="shared" si="12"/>
        <v>1.7066873674144611E-2</v>
      </c>
      <c r="AE38" s="383"/>
      <c r="AF38" s="574">
        <f t="shared" si="1"/>
        <v>0.65940902586736738</v>
      </c>
      <c r="AG38" s="376">
        <f t="shared" si="28"/>
        <v>0.31999610294534775</v>
      </c>
      <c r="AH38" s="376">
        <f t="shared" si="13"/>
        <v>0.34059097413263262</v>
      </c>
      <c r="AI38" s="553">
        <f t="shared" si="14"/>
        <v>2.0384245243894705E-2</v>
      </c>
      <c r="AJ38" s="374"/>
      <c r="AK38" s="577">
        <f t="shared" si="2"/>
        <v>0.64594604658063137</v>
      </c>
      <c r="AL38" s="376">
        <f t="shared" si="15"/>
        <v>0.33312997462137406</v>
      </c>
      <c r="AM38" s="376">
        <f t="shared" si="16"/>
        <v>0.35405395341936863</v>
      </c>
      <c r="AN38" s="553">
        <f t="shared" si="17"/>
        <v>2.0706591198193181E-2</v>
      </c>
      <c r="AO38" s="554"/>
      <c r="AP38" s="580">
        <f t="shared" si="3"/>
        <v>0.69891874316341784</v>
      </c>
      <c r="AQ38" s="376">
        <f t="shared" si="18"/>
        <v>0.28397455986176046</v>
      </c>
      <c r="AR38" s="379">
        <f t="shared" si="19"/>
        <v>0.30108125683658216</v>
      </c>
      <c r="AS38" s="376">
        <f t="shared" si="20"/>
        <v>1.6961208226080937E-2</v>
      </c>
      <c r="AT38" s="384"/>
      <c r="AU38" s="583">
        <f t="shared" si="4"/>
        <v>0.61487109874859003</v>
      </c>
      <c r="AV38" s="381">
        <f t="shared" si="32"/>
        <v>0.45422352217794232</v>
      </c>
      <c r="AW38" s="376">
        <f t="shared" si="6"/>
        <v>0.48634262867458006</v>
      </c>
      <c r="AX38" s="503">
        <f t="shared" si="21"/>
        <v>3.1608766477246864E-2</v>
      </c>
      <c r="AY38" s="376">
        <f t="shared" si="7"/>
        <v>0.38625540635354827</v>
      </c>
      <c r="AZ38" s="381">
        <f t="shared" si="22"/>
        <v>0.15754461639657702</v>
      </c>
      <c r="BA38" s="586">
        <f>_xlfn.GAMMA.DIST(AZ38,$AZ$24,1,TRUE)</f>
        <v>0.60267147799071596</v>
      </c>
      <c r="BB38" s="376">
        <f t="shared" si="24"/>
        <v>0.37666129732278542</v>
      </c>
      <c r="BC38" s="376">
        <f t="shared" si="25"/>
        <v>0.39732852200928404</v>
      </c>
      <c r="BD38" s="376">
        <f t="shared" si="26"/>
        <v>2.0455121307539681E-2</v>
      </c>
      <c r="BE38" s="283"/>
      <c r="BF38" s="392">
        <v>3.53</v>
      </c>
      <c r="BG38" s="393">
        <v>0.89200000000000002</v>
      </c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  <c r="CK38" s="283"/>
      <c r="CL38" s="283"/>
    </row>
    <row r="39" spans="1:90" ht="14.25" customHeight="1" x14ac:dyDescent="0.25">
      <c r="A39" s="3"/>
      <c r="B39" s="334"/>
      <c r="C39" s="252" t="s">
        <v>405</v>
      </c>
      <c r="D39" s="325">
        <v>0.42546600000000001</v>
      </c>
      <c r="E39" s="325">
        <v>7.2728260000000003E-2</v>
      </c>
      <c r="F39" s="252"/>
      <c r="G39" s="334"/>
      <c r="H39" s="340"/>
      <c r="I39" s="252"/>
      <c r="J39" s="252"/>
      <c r="K39" s="252"/>
      <c r="L39" s="334"/>
      <c r="M39" s="252" t="s">
        <v>401</v>
      </c>
      <c r="N39" s="328">
        <f ca="1">_xlfn.NORM.INV(RAND(),0,1)</f>
        <v>-0.35436404179208592</v>
      </c>
      <c r="O39" s="252"/>
      <c r="P39" s="336"/>
      <c r="Q39" s="3"/>
      <c r="R39" s="3"/>
      <c r="S39" s="334"/>
      <c r="T39" s="532">
        <f t="shared" si="33"/>
        <v>13</v>
      </c>
      <c r="U39" s="533"/>
      <c r="V39" s="534">
        <f t="shared" si="27"/>
        <v>0.72261834580296391</v>
      </c>
      <c r="W39" s="534">
        <f t="shared" si="8"/>
        <v>0.25909566068455592</v>
      </c>
      <c r="X39" s="534">
        <f t="shared" si="9"/>
        <v>0.27738165419703609</v>
      </c>
      <c r="Y39" s="534">
        <f t="shared" si="10"/>
        <v>1.8119819162393802E-2</v>
      </c>
      <c r="Z39" s="533"/>
      <c r="AA39" s="534">
        <f t="shared" si="30"/>
        <v>0.66309513972681267</v>
      </c>
      <c r="AB39" s="538">
        <f t="shared" si="31"/>
        <v>0.32043195724155549</v>
      </c>
      <c r="AC39" s="538">
        <f t="shared" si="11"/>
        <v>0.33690486027318733</v>
      </c>
      <c r="AD39" s="538">
        <f t="shared" si="12"/>
        <v>1.633796671144816E-2</v>
      </c>
      <c r="AE39" s="535"/>
      <c r="AF39" s="534">
        <f t="shared" si="1"/>
        <v>0.64003250007632095</v>
      </c>
      <c r="AG39" s="534">
        <f t="shared" si="28"/>
        <v>0.34059097413263262</v>
      </c>
      <c r="AH39" s="534">
        <f t="shared" si="13"/>
        <v>0.35996749992367905</v>
      </c>
      <c r="AI39" s="532">
        <f t="shared" si="14"/>
        <v>1.9190007549730437E-2</v>
      </c>
      <c r="AJ39" s="533"/>
      <c r="AK39" s="534">
        <f t="shared" si="2"/>
        <v>0.62618921510455361</v>
      </c>
      <c r="AL39" s="534">
        <f t="shared" si="15"/>
        <v>0.35405395341936863</v>
      </c>
      <c r="AM39" s="534">
        <f t="shared" si="16"/>
        <v>0.37381078489544639</v>
      </c>
      <c r="AN39" s="532">
        <f t="shared" si="17"/>
        <v>1.9562944246326985E-2</v>
      </c>
      <c r="AO39" s="555"/>
      <c r="AP39" s="537">
        <f t="shared" si="3"/>
        <v>0.68244325796037253</v>
      </c>
      <c r="AQ39" s="534">
        <f t="shared" si="18"/>
        <v>0.30108125683658216</v>
      </c>
      <c r="AR39" s="537">
        <f t="shared" si="19"/>
        <v>0.31755674203962747</v>
      </c>
      <c r="AS39" s="534">
        <f t="shared" si="20"/>
        <v>1.6340506692151702E-2</v>
      </c>
      <c r="AT39" s="536"/>
      <c r="AU39" s="534">
        <f t="shared" si="4"/>
        <v>0.59619550696381629</v>
      </c>
      <c r="AV39" s="538">
        <f t="shared" si="32"/>
        <v>0.48634262867458006</v>
      </c>
      <c r="AW39" s="534">
        <f t="shared" si="6"/>
        <v>0.51718663388897756</v>
      </c>
      <c r="AX39" s="539">
        <f t="shared" si="21"/>
        <v>3.0373181993401666E-2</v>
      </c>
      <c r="AY39" s="534">
        <f t="shared" si="7"/>
        <v>0.44921425633914047</v>
      </c>
      <c r="AZ39" s="538">
        <f t="shared" si="22"/>
        <v>0.14079963517564117</v>
      </c>
      <c r="BA39" s="534">
        <f t="shared" si="23"/>
        <v>0.58400335763230271</v>
      </c>
      <c r="BB39" s="534">
        <f t="shared" si="24"/>
        <v>0.39732852200928404</v>
      </c>
      <c r="BC39" s="534">
        <f t="shared" si="25"/>
        <v>0.41599664236769729</v>
      </c>
      <c r="BD39" s="534">
        <f t="shared" si="26"/>
        <v>1.8494950260585119E-2</v>
      </c>
      <c r="BE39" s="283"/>
      <c r="BF39" s="392">
        <v>3.98</v>
      </c>
      <c r="BG39" s="393">
        <v>0.88</v>
      </c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  <c r="CK39" s="283"/>
      <c r="CL39" s="283"/>
    </row>
    <row r="40" spans="1:90" ht="14.25" customHeight="1" x14ac:dyDescent="0.2">
      <c r="A40" s="3"/>
      <c r="B40" s="334"/>
      <c r="C40" s="252"/>
      <c r="D40" s="252"/>
      <c r="E40" s="252"/>
      <c r="F40" s="252"/>
      <c r="G40" s="334"/>
      <c r="H40" s="348" t="s">
        <v>184</v>
      </c>
      <c r="I40" s="329">
        <f>EXP(D39)</f>
        <v>1.5303033749046111</v>
      </c>
      <c r="J40" s="252"/>
      <c r="K40" s="252"/>
      <c r="L40" s="334"/>
      <c r="M40" s="252" t="s">
        <v>405</v>
      </c>
      <c r="N40" s="328">
        <f ca="1">_xlfn.NORM.INV(RAND(),0,1)</f>
        <v>-0.85338234986738626</v>
      </c>
      <c r="O40" s="252"/>
      <c r="P40" s="336"/>
      <c r="Q40" s="3"/>
      <c r="R40" s="3"/>
      <c r="S40" s="334"/>
      <c r="T40" s="373">
        <f t="shared" si="33"/>
        <v>14</v>
      </c>
      <c r="U40" s="334"/>
      <c r="V40" s="568">
        <f t="shared" si="27"/>
        <v>0.70478366231931611</v>
      </c>
      <c r="W40" s="328">
        <f t="shared" si="8"/>
        <v>0.27738165419703609</v>
      </c>
      <c r="X40" s="328">
        <f t="shared" si="9"/>
        <v>0.29521633768068389</v>
      </c>
      <c r="Y40" s="328">
        <f t="shared" si="10"/>
        <v>1.7676586779583503E-2</v>
      </c>
      <c r="Z40" s="334"/>
      <c r="AA40" s="571">
        <f t="shared" si="30"/>
        <v>0.64730102829607727</v>
      </c>
      <c r="AB40" s="327">
        <f t="shared" si="31"/>
        <v>0.33690486027318733</v>
      </c>
      <c r="AC40" s="327">
        <f t="shared" si="11"/>
        <v>0.35269897170392273</v>
      </c>
      <c r="AD40" s="327">
        <f t="shared" si="12"/>
        <v>1.5670038518753704E-2</v>
      </c>
      <c r="AE40" s="383"/>
      <c r="AF40" s="574">
        <f t="shared" si="1"/>
        <v>0.62176464818356814</v>
      </c>
      <c r="AG40" s="376">
        <f t="shared" si="28"/>
        <v>0.35996749992367905</v>
      </c>
      <c r="AH40" s="376">
        <f t="shared" si="13"/>
        <v>0.37823535181643186</v>
      </c>
      <c r="AI40" s="553">
        <f t="shared" si="14"/>
        <v>1.8102006103956847E-2</v>
      </c>
      <c r="AJ40" s="374"/>
      <c r="AK40" s="577">
        <f t="shared" si="2"/>
        <v>0.60751255159102069</v>
      </c>
      <c r="AL40" s="376">
        <f t="shared" si="15"/>
        <v>0.37381078489544639</v>
      </c>
      <c r="AM40" s="376">
        <f t="shared" si="16"/>
        <v>0.39248744840897931</v>
      </c>
      <c r="AN40" s="553">
        <f t="shared" si="17"/>
        <v>1.8503335374658092E-2</v>
      </c>
      <c r="AO40" s="554"/>
      <c r="AP40" s="580">
        <f t="shared" si="3"/>
        <v>0.66655040782375341</v>
      </c>
      <c r="AQ40" s="376">
        <f t="shared" si="18"/>
        <v>0.31755674203962747</v>
      </c>
      <c r="AR40" s="379">
        <f t="shared" si="19"/>
        <v>0.33344959217624659</v>
      </c>
      <c r="AS40" s="376">
        <f t="shared" si="20"/>
        <v>1.5767225187190981E-2</v>
      </c>
      <c r="AT40" s="384"/>
      <c r="AU40" s="583">
        <f t="shared" si="4"/>
        <v>0.57879544252613668</v>
      </c>
      <c r="AV40" s="381">
        <f t="shared" si="32"/>
        <v>0.51718663388897756</v>
      </c>
      <c r="AW40" s="376">
        <f t="shared" si="6"/>
        <v>0.5468061582604099</v>
      </c>
      <c r="AX40" s="503">
        <f t="shared" si="21"/>
        <v>2.9185165326540474E-2</v>
      </c>
      <c r="AY40" s="376">
        <f t="shared" si="7"/>
        <v>0.50750504680805397</v>
      </c>
      <c r="AZ40" s="381">
        <f t="shared" si="22"/>
        <v>0.12688722515883991</v>
      </c>
      <c r="BA40" s="586">
        <f t="shared" si="23"/>
        <v>0.56703914157140956</v>
      </c>
      <c r="BB40" s="376">
        <f t="shared" si="24"/>
        <v>0.41599664236769729</v>
      </c>
      <c r="BC40" s="376">
        <f t="shared" si="25"/>
        <v>0.43296085842859044</v>
      </c>
      <c r="BD40" s="376">
        <f t="shared" si="26"/>
        <v>1.6821133981885672E-2</v>
      </c>
      <c r="BE40" s="283"/>
      <c r="BF40" s="392">
        <v>3.98</v>
      </c>
      <c r="BG40" s="393">
        <v>0.86799999999999999</v>
      </c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  <c r="CK40" s="283"/>
      <c r="CL40" s="283"/>
    </row>
    <row r="41" spans="1:90" ht="14.25" customHeight="1" x14ac:dyDescent="0.2">
      <c r="A41" s="3"/>
      <c r="B41" s="334"/>
      <c r="C41" s="335" t="s">
        <v>395</v>
      </c>
      <c r="D41" s="252"/>
      <c r="E41" s="252"/>
      <c r="F41" s="252"/>
      <c r="G41" s="334"/>
      <c r="H41" s="252"/>
      <c r="I41" s="252"/>
      <c r="J41" s="252"/>
      <c r="K41" s="252"/>
      <c r="L41" s="334"/>
      <c r="M41" s="252"/>
      <c r="N41" s="252"/>
      <c r="O41" s="252"/>
      <c r="P41" s="336"/>
      <c r="Q41" s="3"/>
      <c r="R41" s="3"/>
      <c r="S41" s="334"/>
      <c r="T41" s="373">
        <f t="shared" si="33"/>
        <v>15</v>
      </c>
      <c r="U41" s="334"/>
      <c r="V41" s="568">
        <f t="shared" si="27"/>
        <v>0.68738915024400482</v>
      </c>
      <c r="W41" s="328">
        <f t="shared" si="8"/>
        <v>0.29521633768068389</v>
      </c>
      <c r="X41" s="328">
        <f t="shared" si="9"/>
        <v>0.31261084975599518</v>
      </c>
      <c r="Y41" s="328">
        <f t="shared" si="10"/>
        <v>1.7244100922372829E-2</v>
      </c>
      <c r="Z41" s="334"/>
      <c r="AA41" s="571">
        <f t="shared" si="30"/>
        <v>0.63213221695969846</v>
      </c>
      <c r="AB41" s="327">
        <f t="shared" si="31"/>
        <v>0.35269897170392273</v>
      </c>
      <c r="AC41" s="327">
        <f t="shared" si="11"/>
        <v>0.36786778304030154</v>
      </c>
      <c r="AD41" s="327">
        <f t="shared" si="12"/>
        <v>1.5054344424235144E-2</v>
      </c>
      <c r="AE41" s="383"/>
      <c r="AF41" s="574">
        <f t="shared" si="1"/>
        <v>0.6045084592619836</v>
      </c>
      <c r="AG41" s="376">
        <f t="shared" si="28"/>
        <v>0.37823535181643186</v>
      </c>
      <c r="AH41" s="376">
        <f t="shared" si="13"/>
        <v>0.3954915407380164</v>
      </c>
      <c r="AI41" s="553">
        <f t="shared" si="14"/>
        <v>1.7108153624956102E-2</v>
      </c>
      <c r="AJ41" s="374"/>
      <c r="AK41" s="577">
        <f t="shared" si="2"/>
        <v>0.58983634091041282</v>
      </c>
      <c r="AL41" s="376">
        <f t="shared" si="15"/>
        <v>0.39248744840897931</v>
      </c>
      <c r="AM41" s="376">
        <f t="shared" si="16"/>
        <v>0.41016365908958718</v>
      </c>
      <c r="AN41" s="553">
        <f t="shared" si="17"/>
        <v>1.7520902899294089E-2</v>
      </c>
      <c r="AO41" s="554"/>
      <c r="AP41" s="580">
        <f t="shared" si="3"/>
        <v>0.651198661697175</v>
      </c>
      <c r="AQ41" s="376">
        <f t="shared" si="18"/>
        <v>0.33344959217624659</v>
      </c>
      <c r="AR41" s="379">
        <f t="shared" si="19"/>
        <v>0.348801338302825</v>
      </c>
      <c r="AS41" s="376">
        <f t="shared" si="20"/>
        <v>1.5234508771429955E-2</v>
      </c>
      <c r="AT41" s="384"/>
      <c r="AU41" s="583">
        <f t="shared" si="4"/>
        <v>0.56256431557505204</v>
      </c>
      <c r="AV41" s="381">
        <f t="shared" si="32"/>
        <v>0.5468061582604099</v>
      </c>
      <c r="AW41" s="376">
        <f t="shared" si="6"/>
        <v>0.57524981263965169</v>
      </c>
      <c r="AX41" s="503">
        <f t="shared" si="21"/>
        <v>2.8042941872942651E-2</v>
      </c>
      <c r="AY41" s="376">
        <f t="shared" si="7"/>
        <v>0.56177247443854561</v>
      </c>
      <c r="AZ41" s="381">
        <f t="shared" si="22"/>
        <v>0.11517360148524405</v>
      </c>
      <c r="BA41" s="586">
        <f t="shared" si="23"/>
        <v>0.55153912319070297</v>
      </c>
      <c r="BB41" s="376">
        <f t="shared" si="24"/>
        <v>0.43296085842859044</v>
      </c>
      <c r="BC41" s="376">
        <f t="shared" si="25"/>
        <v>0.44846087680929703</v>
      </c>
      <c r="BD41" s="376">
        <f t="shared" si="26"/>
        <v>1.5380511346269055E-2</v>
      </c>
      <c r="BE41" s="283"/>
      <c r="BF41" s="392">
        <v>4.57</v>
      </c>
      <c r="BG41" s="393">
        <v>0.85599999999999998</v>
      </c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  <c r="CK41" s="283"/>
      <c r="CL41" s="283"/>
    </row>
    <row r="42" spans="1:90" ht="14.25" customHeight="1" x14ac:dyDescent="0.2">
      <c r="A42" s="3"/>
      <c r="B42" s="334"/>
      <c r="C42" s="252"/>
      <c r="D42" s="337" t="s">
        <v>401</v>
      </c>
      <c r="E42" s="337" t="s">
        <v>405</v>
      </c>
      <c r="F42" s="252"/>
      <c r="G42" s="334"/>
      <c r="H42" s="252"/>
      <c r="I42" s="252"/>
      <c r="J42" s="252"/>
      <c r="K42" s="252"/>
      <c r="L42" s="334"/>
      <c r="M42" s="252" t="s">
        <v>408</v>
      </c>
      <c r="N42" s="252"/>
      <c r="O42" s="252"/>
      <c r="P42" s="336"/>
      <c r="Q42" s="3"/>
      <c r="R42" s="3"/>
      <c r="S42" s="334"/>
      <c r="T42" s="373">
        <f t="shared" si="33"/>
        <v>16</v>
      </c>
      <c r="U42" s="334"/>
      <c r="V42" s="568">
        <f t="shared" si="27"/>
        <v>0.67042394586482035</v>
      </c>
      <c r="W42" s="328">
        <f t="shared" si="8"/>
        <v>0.31261084975599518</v>
      </c>
      <c r="X42" s="328">
        <f t="shared" si="9"/>
        <v>0.32957605413517965</v>
      </c>
      <c r="Y42" s="328">
        <f t="shared" si="10"/>
        <v>1.6822105675062371E-2</v>
      </c>
      <c r="Z42" s="334"/>
      <c r="AA42" s="571">
        <f t="shared" si="30"/>
        <v>0.61754238663628402</v>
      </c>
      <c r="AB42" s="327">
        <f t="shared" si="31"/>
        <v>0.36786778304030154</v>
      </c>
      <c r="AC42" s="327">
        <f t="shared" si="11"/>
        <v>0.38245761336371598</v>
      </c>
      <c r="AD42" s="327">
        <f t="shared" si="12"/>
        <v>1.4483914472734338E-2</v>
      </c>
      <c r="AE42" s="383"/>
      <c r="AF42" s="574">
        <f t="shared" si="1"/>
        <v>0.58817798622468753</v>
      </c>
      <c r="AG42" s="376">
        <f t="shared" si="28"/>
        <v>0.3954915407380164</v>
      </c>
      <c r="AH42" s="376">
        <f t="shared" si="13"/>
        <v>0.41182201377531247</v>
      </c>
      <c r="AI42" s="553">
        <f t="shared" si="14"/>
        <v>1.61978537557117E-2</v>
      </c>
      <c r="AJ42" s="374"/>
      <c r="AK42" s="577">
        <f t="shared" si="2"/>
        <v>0.5730876414915933</v>
      </c>
      <c r="AL42" s="376">
        <f t="shared" si="15"/>
        <v>0.41016365908958718</v>
      </c>
      <c r="AM42" s="376">
        <f t="shared" si="16"/>
        <v>0.4269123585084067</v>
      </c>
      <c r="AN42" s="553">
        <f t="shared" si="17"/>
        <v>1.6609219739420866E-2</v>
      </c>
      <c r="AO42" s="554"/>
      <c r="AP42" s="580">
        <f t="shared" si="3"/>
        <v>0.6363520626854573</v>
      </c>
      <c r="AQ42" s="376">
        <f t="shared" si="18"/>
        <v>0.348801338302825</v>
      </c>
      <c r="AR42" s="379">
        <f t="shared" si="19"/>
        <v>0.3636479373145427</v>
      </c>
      <c r="AS42" s="376">
        <f t="shared" si="20"/>
        <v>1.4736931660481178E-2</v>
      </c>
      <c r="AT42" s="384"/>
      <c r="AU42" s="583">
        <f t="shared" si="4"/>
        <v>0.54740613327235088</v>
      </c>
      <c r="AV42" s="381">
        <f t="shared" si="32"/>
        <v>0.57524981263965169</v>
      </c>
      <c r="AW42" s="376">
        <f t="shared" si="6"/>
        <v>0.602564278067938</v>
      </c>
      <c r="AX42" s="503">
        <f t="shared" si="21"/>
        <v>2.694479881328149E-2</v>
      </c>
      <c r="AY42" s="376">
        <f t="shared" si="7"/>
        <v>0.61253626277970019</v>
      </c>
      <c r="AZ42" s="381">
        <f t="shared" si="22"/>
        <v>0.1051971107826471</v>
      </c>
      <c r="BA42" s="586">
        <f t="shared" si="23"/>
        <v>0.53730698763996809</v>
      </c>
      <c r="BB42" s="376">
        <f t="shared" si="24"/>
        <v>0.44846087680929703</v>
      </c>
      <c r="BC42" s="376">
        <f t="shared" si="25"/>
        <v>0.46269301236003191</v>
      </c>
      <c r="BD42" s="376">
        <f t="shared" si="26"/>
        <v>1.4131337466832816E-2</v>
      </c>
      <c r="BE42" s="283"/>
      <c r="BF42" s="392">
        <v>4.88</v>
      </c>
      <c r="BG42" s="393">
        <v>0.84699999999999998</v>
      </c>
      <c r="BH42" s="283"/>
      <c r="BI42" s="283"/>
      <c r="BJ42" s="283"/>
      <c r="BK42" s="283"/>
      <c r="BL42" s="283"/>
      <c r="BM42" s="283"/>
      <c r="BN42" s="283"/>
      <c r="BO42" s="283"/>
      <c r="BP42" s="283"/>
      <c r="BQ42" s="283"/>
      <c r="BR42" s="283"/>
      <c r="BS42" s="283"/>
      <c r="BT42" s="283"/>
      <c r="BU42" s="283"/>
      <c r="BV42" s="283"/>
      <c r="BW42" s="283"/>
      <c r="BX42" s="283"/>
      <c r="BY42" s="283"/>
      <c r="BZ42" s="283"/>
      <c r="CA42" s="283"/>
      <c r="CB42" s="283"/>
      <c r="CC42" s="283"/>
      <c r="CD42" s="283"/>
      <c r="CE42" s="283"/>
      <c r="CF42" s="283"/>
      <c r="CG42" s="283"/>
      <c r="CH42" s="283"/>
      <c r="CI42" s="283"/>
      <c r="CJ42" s="283"/>
      <c r="CK42" s="283"/>
      <c r="CL42" s="283"/>
    </row>
    <row r="43" spans="1:90" ht="14.25" customHeight="1" x14ac:dyDescent="0.2">
      <c r="A43" s="3"/>
      <c r="B43" s="334"/>
      <c r="C43" s="252" t="s">
        <v>401</v>
      </c>
      <c r="D43" s="325">
        <v>0.12804715999999999</v>
      </c>
      <c r="E43" s="325">
        <v>0</v>
      </c>
      <c r="F43" s="252"/>
      <c r="G43" s="334"/>
      <c r="H43" s="252"/>
      <c r="I43" s="252"/>
      <c r="J43" s="252"/>
      <c r="K43" s="252"/>
      <c r="L43" s="334"/>
      <c r="M43" s="340" t="s">
        <v>392</v>
      </c>
      <c r="N43" s="327" cm="1">
        <f t="array" aca="1" ref="N43:N44" ca="1">D38:D39+MMULT(D43:E44,N39:N40)</f>
        <v>3.068257690842402</v>
      </c>
      <c r="O43" s="252"/>
      <c r="P43" s="336"/>
      <c r="Q43" s="3"/>
      <c r="R43" s="3"/>
      <c r="S43" s="334"/>
      <c r="T43" s="373">
        <f t="shared" si="33"/>
        <v>17</v>
      </c>
      <c r="U43" s="334"/>
      <c r="V43" s="568">
        <f t="shared" si="27"/>
        <v>0.65387745359292671</v>
      </c>
      <c r="W43" s="328">
        <f t="shared" si="8"/>
        <v>0.32957605413517965</v>
      </c>
      <c r="X43" s="328">
        <f t="shared" si="9"/>
        <v>0.34612254640707329</v>
      </c>
      <c r="Y43" s="328">
        <f t="shared" si="10"/>
        <v>1.6410350989767619E-2</v>
      </c>
      <c r="Z43" s="334"/>
      <c r="AA43" s="571">
        <f t="shared" si="30"/>
        <v>0.60349102619102335</v>
      </c>
      <c r="AB43" s="327">
        <f t="shared" si="31"/>
        <v>0.38245761336371598</v>
      </c>
      <c r="AC43" s="327">
        <f t="shared" si="11"/>
        <v>0.39650897380897665</v>
      </c>
      <c r="AD43" s="327">
        <f t="shared" si="12"/>
        <v>1.3953100845493061E-2</v>
      </c>
      <c r="AE43" s="383"/>
      <c r="AF43" s="574">
        <f t="shared" si="1"/>
        <v>0.57269690490632985</v>
      </c>
      <c r="AG43" s="376">
        <f t="shared" si="28"/>
        <v>0.41182201377531247</v>
      </c>
      <c r="AH43" s="376">
        <f t="shared" si="13"/>
        <v>0.42730309509367015</v>
      </c>
      <c r="AI43" s="553">
        <f t="shared" si="14"/>
        <v>1.5361865369073024E-2</v>
      </c>
      <c r="AJ43" s="374"/>
      <c r="AK43" s="577">
        <f t="shared" si="2"/>
        <v>0.55719975708416936</v>
      </c>
      <c r="AL43" s="376">
        <f t="shared" si="15"/>
        <v>0.4269123585084067</v>
      </c>
      <c r="AM43" s="376">
        <f t="shared" si="16"/>
        <v>0.44280024291583064</v>
      </c>
      <c r="AN43" s="553">
        <f t="shared" si="17"/>
        <v>1.5762337741631494E-2</v>
      </c>
      <c r="AO43" s="554"/>
      <c r="AP43" s="580">
        <f t="shared" si="3"/>
        <v>0.62197914038817381</v>
      </c>
      <c r="AQ43" s="376">
        <f t="shared" si="18"/>
        <v>0.3636479373145427</v>
      </c>
      <c r="AR43" s="379">
        <f t="shared" si="19"/>
        <v>0.37802085961182619</v>
      </c>
      <c r="AS43" s="376">
        <f t="shared" si="20"/>
        <v>1.4270124938407625E-2</v>
      </c>
      <c r="AT43" s="384"/>
      <c r="AU43" s="583">
        <f t="shared" si="4"/>
        <v>0.53323429028216107</v>
      </c>
      <c r="AV43" s="381">
        <f t="shared" si="32"/>
        <v>0.602564278067938</v>
      </c>
      <c r="AW43" s="376">
        <f t="shared" si="6"/>
        <v>0.62879438238876451</v>
      </c>
      <c r="AX43" s="503">
        <f t="shared" si="21"/>
        <v>2.5889083312734429E-2</v>
      </c>
      <c r="AY43" s="376">
        <f t="shared" si="7"/>
        <v>0.66022151208363045</v>
      </c>
      <c r="AZ43" s="381">
        <f t="shared" si="22"/>
        <v>9.6614204253257785E-2</v>
      </c>
      <c r="BA43" s="586">
        <f t="shared" si="23"/>
        <v>0.52418057189198752</v>
      </c>
      <c r="BB43" s="376">
        <f t="shared" si="24"/>
        <v>0.46269301236003191</v>
      </c>
      <c r="BC43" s="376">
        <f t="shared" si="25"/>
        <v>0.47581942810801248</v>
      </c>
      <c r="BD43" s="376">
        <f t="shared" si="26"/>
        <v>1.3040640072026322E-2</v>
      </c>
      <c r="BE43" s="283"/>
      <c r="BF43" s="392">
        <v>5.2</v>
      </c>
      <c r="BG43" s="393">
        <v>0.83699999999999997</v>
      </c>
      <c r="BH43" s="283"/>
      <c r="BI43" s="283"/>
      <c r="BJ43" s="283"/>
      <c r="BK43" s="283"/>
      <c r="BL43" s="283"/>
      <c r="BM43" s="283"/>
      <c r="BN43" s="283"/>
      <c r="BO43" s="283"/>
      <c r="BP43" s="283"/>
      <c r="BQ43" s="283"/>
      <c r="BR43" s="283"/>
      <c r="BS43" s="283"/>
      <c r="BT43" s="283"/>
      <c r="BU43" s="283"/>
      <c r="BV43" s="283"/>
      <c r="BW43" s="283"/>
      <c r="BX43" s="283"/>
      <c r="BY43" s="283"/>
      <c r="BZ43" s="283"/>
      <c r="CA43" s="283"/>
      <c r="CB43" s="283"/>
      <c r="CC43" s="283"/>
      <c r="CD43" s="283"/>
      <c r="CE43" s="283"/>
      <c r="CF43" s="283"/>
      <c r="CG43" s="283"/>
      <c r="CH43" s="283"/>
      <c r="CI43" s="283"/>
      <c r="CJ43" s="283"/>
      <c r="CK43" s="283"/>
      <c r="CL43" s="283"/>
    </row>
    <row r="44" spans="1:90" ht="14.25" customHeight="1" x14ac:dyDescent="0.2">
      <c r="A44" s="3"/>
      <c r="B44" s="334"/>
      <c r="C44" s="252" t="s">
        <v>403</v>
      </c>
      <c r="D44" s="325">
        <v>1.8488560000000001E-2</v>
      </c>
      <c r="E44" s="325">
        <v>7.0668990000000001E-2</v>
      </c>
      <c r="F44" s="252"/>
      <c r="G44" s="334"/>
      <c r="H44" s="252"/>
      <c r="I44" s="252"/>
      <c r="J44" s="252"/>
      <c r="K44" s="252"/>
      <c r="L44" s="334"/>
      <c r="M44" s="340" t="s">
        <v>405</v>
      </c>
      <c r="N44" s="327">
        <f ca="1"/>
        <v>0.3586066504025297</v>
      </c>
      <c r="O44" s="252"/>
      <c r="P44" s="336"/>
      <c r="Q44" s="3"/>
      <c r="R44" s="3"/>
      <c r="S44" s="334"/>
      <c r="T44" s="373">
        <f t="shared" si="33"/>
        <v>18</v>
      </c>
      <c r="U44" s="334"/>
      <c r="V44" s="568">
        <f t="shared" si="27"/>
        <v>0.63773933934540483</v>
      </c>
      <c r="W44" s="328">
        <f t="shared" si="8"/>
        <v>0.34612254640707329</v>
      </c>
      <c r="X44" s="328">
        <f t="shared" si="9"/>
        <v>0.36226066065459517</v>
      </c>
      <c r="Y44" s="328">
        <f t="shared" si="10"/>
        <v>1.6008592563039437E-2</v>
      </c>
      <c r="Z44" s="334"/>
      <c r="AA44" s="571">
        <f t="shared" si="30"/>
        <v>0.58994239543567661</v>
      </c>
      <c r="AB44" s="327">
        <f t="shared" si="31"/>
        <v>0.39650897380897665</v>
      </c>
      <c r="AC44" s="327">
        <f t="shared" si="11"/>
        <v>0.41005760456432339</v>
      </c>
      <c r="AD44" s="327">
        <f t="shared" si="12"/>
        <v>1.3457261167419854E-2</v>
      </c>
      <c r="AE44" s="383"/>
      <c r="AF44" s="574">
        <f t="shared" si="1"/>
        <v>0.55799724961987995</v>
      </c>
      <c r="AG44" s="376">
        <f t="shared" si="28"/>
        <v>0.42730309509367015</v>
      </c>
      <c r="AH44" s="376">
        <f t="shared" si="13"/>
        <v>0.44200275038012005</v>
      </c>
      <c r="AI44" s="553">
        <f t="shared" si="14"/>
        <v>1.4592142797203556E-2</v>
      </c>
      <c r="AJ44" s="374"/>
      <c r="AK44" s="577">
        <f t="shared" si="2"/>
        <v>0.54211170852347923</v>
      </c>
      <c r="AL44" s="376">
        <f t="shared" si="15"/>
        <v>0.44280024291583064</v>
      </c>
      <c r="AM44" s="376">
        <f t="shared" si="16"/>
        <v>0.45788829147652077</v>
      </c>
      <c r="AN44" s="553">
        <f t="shared" si="17"/>
        <v>1.497479426688586E-2</v>
      </c>
      <c r="AO44" s="554"/>
      <c r="AP44" s="580">
        <f t="shared" si="3"/>
        <v>0.60805208989145809</v>
      </c>
      <c r="AQ44" s="376">
        <f t="shared" si="18"/>
        <v>0.37802085961182619</v>
      </c>
      <c r="AR44" s="379">
        <f t="shared" si="19"/>
        <v>0.39194791010854191</v>
      </c>
      <c r="AS44" s="376">
        <f t="shared" si="20"/>
        <v>1.3830517787207341E-2</v>
      </c>
      <c r="AT44" s="384"/>
      <c r="AU44" s="583">
        <f t="shared" si="4"/>
        <v>0.5199705135020114</v>
      </c>
      <c r="AV44" s="381">
        <f t="shared" si="32"/>
        <v>0.62879438238876451</v>
      </c>
      <c r="AW44" s="376">
        <f t="shared" si="6"/>
        <v>0.65398317381826632</v>
      </c>
      <c r="AX44" s="503">
        <f t="shared" si="21"/>
        <v>2.48742007441628E-2</v>
      </c>
      <c r="AY44" s="376">
        <f t="shared" si="7"/>
        <v>0.70518036101514248</v>
      </c>
      <c r="AZ44" s="381">
        <f t="shared" si="22"/>
        <v>8.9164401181029446E-2</v>
      </c>
      <c r="BA44" s="586">
        <f t="shared" si="23"/>
        <v>0.5120248053349612</v>
      </c>
      <c r="BB44" s="376">
        <f t="shared" si="24"/>
        <v>0.47581942810801248</v>
      </c>
      <c r="BC44" s="376">
        <f t="shared" si="25"/>
        <v>0.4879751946650388</v>
      </c>
      <c r="BD44" s="376">
        <f t="shared" si="26"/>
        <v>1.2082183680598657E-2</v>
      </c>
      <c r="BE44" s="283"/>
      <c r="BF44" s="392">
        <v>5.56</v>
      </c>
      <c r="BG44" s="393">
        <v>0.82299999999999995</v>
      </c>
      <c r="BH44" s="283"/>
      <c r="BI44" s="283"/>
      <c r="BJ44" s="283"/>
      <c r="BK44" s="283"/>
      <c r="BL44" s="283"/>
      <c r="BM44" s="283"/>
      <c r="BN44" s="283"/>
      <c r="BO44" s="283"/>
      <c r="BP44" s="283"/>
      <c r="BQ44" s="283"/>
      <c r="BR44" s="283"/>
      <c r="BS44" s="283"/>
      <c r="BT44" s="283"/>
      <c r="BU44" s="283"/>
      <c r="BV44" s="283"/>
      <c r="BW44" s="283"/>
      <c r="BX44" s="283"/>
      <c r="BY44" s="283"/>
      <c r="BZ44" s="283"/>
      <c r="CA44" s="283"/>
      <c r="CB44" s="283"/>
      <c r="CC44" s="283"/>
      <c r="CD44" s="283"/>
      <c r="CE44" s="283"/>
      <c r="CF44" s="283"/>
      <c r="CG44" s="283"/>
      <c r="CH44" s="283"/>
      <c r="CI44" s="283"/>
      <c r="CJ44" s="283"/>
      <c r="CK44" s="283"/>
      <c r="CL44" s="283"/>
    </row>
    <row r="45" spans="1:90" ht="14.25" customHeight="1" x14ac:dyDescent="0.2">
      <c r="A45" s="3"/>
      <c r="B45" s="334"/>
      <c r="C45" s="252"/>
      <c r="D45" s="252"/>
      <c r="E45" s="252"/>
      <c r="F45" s="252"/>
      <c r="G45" s="334"/>
      <c r="H45" s="252"/>
      <c r="I45" s="252"/>
      <c r="J45" s="252"/>
      <c r="K45" s="252"/>
      <c r="L45" s="334"/>
      <c r="M45" s="252"/>
      <c r="N45" s="252"/>
      <c r="O45" s="252"/>
      <c r="P45" s="336"/>
      <c r="Q45" s="3"/>
      <c r="R45" s="3"/>
      <c r="S45" s="334"/>
      <c r="T45" s="373">
        <f t="shared" si="33"/>
        <v>19</v>
      </c>
      <c r="U45" s="334"/>
      <c r="V45" s="568">
        <f t="shared" si="27"/>
        <v>0.62199952409111947</v>
      </c>
      <c r="W45" s="328">
        <f t="shared" si="8"/>
        <v>0.36226066065459517</v>
      </c>
      <c r="X45" s="328">
        <f t="shared" si="9"/>
        <v>0.37800047590888053</v>
      </c>
      <c r="Y45" s="328">
        <f t="shared" si="10"/>
        <v>1.5616591714514572E-2</v>
      </c>
      <c r="Z45" s="334"/>
      <c r="AA45" s="571">
        <f t="shared" si="30"/>
        <v>0.57686472273521561</v>
      </c>
      <c r="AB45" s="327">
        <f t="shared" si="31"/>
        <v>0.41005760456432339</v>
      </c>
      <c r="AC45" s="327">
        <f t="shared" si="11"/>
        <v>0.42313527726478439</v>
      </c>
      <c r="AD45" s="327">
        <f t="shared" si="12"/>
        <v>1.2992531492575621E-2</v>
      </c>
      <c r="AE45" s="383"/>
      <c r="AF45" s="574">
        <f t="shared" si="1"/>
        <v>0.54401831926733335</v>
      </c>
      <c r="AG45" s="376">
        <f t="shared" si="28"/>
        <v>0.44200275038012005</v>
      </c>
      <c r="AH45" s="376">
        <f t="shared" si="13"/>
        <v>0.45598168073266665</v>
      </c>
      <c r="AI45" s="553">
        <f t="shared" si="14"/>
        <v>1.3881678790645169E-2</v>
      </c>
      <c r="AJ45" s="374"/>
      <c r="AK45" s="577">
        <f t="shared" si="2"/>
        <v>0.5277677262059296</v>
      </c>
      <c r="AL45" s="376">
        <f t="shared" si="15"/>
        <v>0.45788829147652077</v>
      </c>
      <c r="AM45" s="376">
        <f t="shared" si="16"/>
        <v>0.4722322737940704</v>
      </c>
      <c r="AN45" s="553">
        <f t="shared" si="17"/>
        <v>1.4241597523010796E-2</v>
      </c>
      <c r="AO45" s="554"/>
      <c r="AP45" s="580">
        <f t="shared" si="3"/>
        <v>0.59454614059937905</v>
      </c>
      <c r="AQ45" s="376">
        <f t="shared" si="18"/>
        <v>0.39194791010854191</v>
      </c>
      <c r="AR45" s="379">
        <f t="shared" si="19"/>
        <v>0.40545385940062095</v>
      </c>
      <c r="AS45" s="376">
        <f t="shared" si="20"/>
        <v>1.3415153181141504E-2</v>
      </c>
      <c r="AT45" s="384"/>
      <c r="AU45" s="583">
        <f t="shared" si="4"/>
        <v>0.5075439394612089</v>
      </c>
      <c r="AV45" s="381">
        <f t="shared" si="32"/>
        <v>0.65398317381826632</v>
      </c>
      <c r="AW45" s="376">
        <f t="shared" si="6"/>
        <v>0.67817199159491459</v>
      </c>
      <c r="AX45" s="503">
        <f t="shared" si="21"/>
        <v>2.3898612936932295E-2</v>
      </c>
      <c r="AY45" s="376">
        <f t="shared" si="7"/>
        <v>0.74770778383767822</v>
      </c>
      <c r="AZ45" s="381">
        <f t="shared" si="22"/>
        <v>8.2646927600075512E-2</v>
      </c>
      <c r="BA45" s="586">
        <f t="shared" si="23"/>
        <v>0.50072629028080695</v>
      </c>
      <c r="BB45" s="376">
        <f t="shared" si="24"/>
        <v>0.4879751946650388</v>
      </c>
      <c r="BC45" s="376">
        <f t="shared" si="25"/>
        <v>0.49927370971919305</v>
      </c>
      <c r="BD45" s="376">
        <f t="shared" si="26"/>
        <v>1.1234926543503665E-2</v>
      </c>
      <c r="BE45" s="283"/>
      <c r="BF45" s="392">
        <v>5.88</v>
      </c>
      <c r="BG45" s="393">
        <v>0.81</v>
      </c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  <c r="CK45" s="283"/>
      <c r="CL45" s="283"/>
    </row>
    <row r="46" spans="1:90" ht="14.25" customHeight="1" x14ac:dyDescent="0.2">
      <c r="A46" s="3"/>
      <c r="B46" s="334"/>
      <c r="C46" s="335" t="s">
        <v>396</v>
      </c>
      <c r="D46" s="252"/>
      <c r="E46" s="252"/>
      <c r="F46" s="252"/>
      <c r="G46" s="334"/>
      <c r="H46" s="252"/>
      <c r="I46" s="252"/>
      <c r="J46" s="252"/>
      <c r="K46" s="252"/>
      <c r="L46" s="334"/>
      <c r="M46" s="348" t="s">
        <v>182</v>
      </c>
      <c r="N46" s="350">
        <f ca="1">N43</f>
        <v>3.068257690842402</v>
      </c>
      <c r="O46" s="252"/>
      <c r="P46" s="336"/>
      <c r="Q46" s="3"/>
      <c r="R46" s="3"/>
      <c r="S46" s="334"/>
      <c r="T46" s="373">
        <f t="shared" si="33"/>
        <v>20</v>
      </c>
      <c r="U46" s="334"/>
      <c r="V46" s="568">
        <f t="shared" si="27"/>
        <v>0.60664817755587741</v>
      </c>
      <c r="W46" s="328">
        <f t="shared" si="8"/>
        <v>0.37800047590888053</v>
      </c>
      <c r="X46" s="328">
        <f t="shared" si="9"/>
        <v>0.39335182244412259</v>
      </c>
      <c r="Y46" s="328">
        <f t="shared" si="10"/>
        <v>1.5234115267592663E-2</v>
      </c>
      <c r="Z46" s="334"/>
      <c r="AA46" s="571">
        <f t="shared" si="30"/>
        <v>0.56422957427321274</v>
      </c>
      <c r="AB46" s="327">
        <f t="shared" si="31"/>
        <v>0.42313527726478439</v>
      </c>
      <c r="AC46" s="327">
        <f t="shared" si="11"/>
        <v>0.43577042572678726</v>
      </c>
      <c r="AD46" s="327">
        <f t="shared" si="12"/>
        <v>1.2555660108262812E-2</v>
      </c>
      <c r="AE46" s="383"/>
      <c r="AF46" s="574">
        <f t="shared" si="1"/>
        <v>0.530705737623139</v>
      </c>
      <c r="AG46" s="376">
        <f t="shared" si="28"/>
        <v>0.45598168073266665</v>
      </c>
      <c r="AH46" s="376">
        <f t="shared" si="13"/>
        <v>0.469294262376861</v>
      </c>
      <c r="AI46" s="553">
        <f t="shared" si="14"/>
        <v>1.3224361143964192E-2</v>
      </c>
      <c r="AJ46" s="374"/>
      <c r="AK46" s="577">
        <f t="shared" si="2"/>
        <v>0.51411677398521061</v>
      </c>
      <c r="AL46" s="376">
        <f t="shared" si="15"/>
        <v>0.4722322737940704</v>
      </c>
      <c r="AM46" s="376">
        <f t="shared" si="16"/>
        <v>0.48588322601478939</v>
      </c>
      <c r="AN46" s="553">
        <f t="shared" si="17"/>
        <v>1.355820050189116E-2</v>
      </c>
      <c r="AO46" s="554"/>
      <c r="AP46" s="580">
        <f t="shared" si="3"/>
        <v>0.58143906313246374</v>
      </c>
      <c r="AQ46" s="376">
        <f t="shared" si="18"/>
        <v>0.40545385940062095</v>
      </c>
      <c r="AR46" s="379">
        <f t="shared" si="19"/>
        <v>0.41856093686753626</v>
      </c>
      <c r="AS46" s="376">
        <f t="shared" si="20"/>
        <v>1.3021553789976603E-2</v>
      </c>
      <c r="AT46" s="384"/>
      <c r="AU46" s="583">
        <f t="shared" si="4"/>
        <v>0.49589030607421852</v>
      </c>
      <c r="AV46" s="381">
        <f t="shared" si="32"/>
        <v>0.67817199159491459</v>
      </c>
      <c r="AW46" s="376">
        <f t="shared" si="6"/>
        <v>0.70140053382447953</v>
      </c>
      <c r="AX46" s="503">
        <f t="shared" si="21"/>
        <v>2.2960836453611355E-2</v>
      </c>
      <c r="AY46" s="376">
        <f t="shared" si="7"/>
        <v>0.78805333086469753</v>
      </c>
      <c r="AZ46" s="381">
        <f t="shared" si="22"/>
        <v>7.6904754931015895E-2</v>
      </c>
      <c r="BA46" s="586">
        <f t="shared" si="23"/>
        <v>0.49018911279253008</v>
      </c>
      <c r="BB46" s="376">
        <f t="shared" si="24"/>
        <v>0.49927370971919305</v>
      </c>
      <c r="BC46" s="376">
        <f t="shared" si="25"/>
        <v>0.50981088720746992</v>
      </c>
      <c r="BD46" s="376">
        <f t="shared" si="26"/>
        <v>1.0481855915149718E-2</v>
      </c>
      <c r="BE46" s="283"/>
      <c r="BF46" s="392">
        <v>5.92</v>
      </c>
      <c r="BG46" s="393">
        <v>0.80300000000000005</v>
      </c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  <c r="CK46" s="283"/>
      <c r="CL46" s="283"/>
    </row>
    <row r="47" spans="1:90" ht="14.25" customHeight="1" x14ac:dyDescent="0.2">
      <c r="A47" s="3"/>
      <c r="B47" s="341"/>
      <c r="C47" s="351" t="s">
        <v>397</v>
      </c>
      <c r="D47" s="343">
        <v>-501.00209999999998</v>
      </c>
      <c r="E47" s="344"/>
      <c r="F47" s="344"/>
      <c r="G47" s="341"/>
      <c r="H47" s="344"/>
      <c r="I47" s="344"/>
      <c r="J47" s="344"/>
      <c r="K47" s="344"/>
      <c r="L47" s="341"/>
      <c r="M47" s="349" t="s">
        <v>184</v>
      </c>
      <c r="N47" s="329">
        <f ca="1">EXP(N44)</f>
        <v>1.4313336763009514</v>
      </c>
      <c r="O47" s="344"/>
      <c r="P47" s="345"/>
      <c r="Q47" s="3"/>
      <c r="R47" s="3"/>
      <c r="S47" s="334"/>
      <c r="T47" s="373">
        <f t="shared" si="33"/>
        <v>21</v>
      </c>
      <c r="U47" s="334"/>
      <c r="V47" s="568">
        <f t="shared" si="27"/>
        <v>0.59167571208294711</v>
      </c>
      <c r="W47" s="328">
        <f t="shared" si="8"/>
        <v>0.39335182244412259</v>
      </c>
      <c r="X47" s="328">
        <f t="shared" si="9"/>
        <v>0.40832428791705289</v>
      </c>
      <c r="Y47" s="328">
        <f t="shared" si="10"/>
        <v>1.4860935432134847E-2</v>
      </c>
      <c r="Z47" s="334"/>
      <c r="AA47" s="571">
        <f t="shared" si="30"/>
        <v>0.55201135127687884</v>
      </c>
      <c r="AB47" s="327">
        <f t="shared" si="31"/>
        <v>0.43577042572678726</v>
      </c>
      <c r="AC47" s="327">
        <f t="shared" si="11"/>
        <v>0.44798864872312116</v>
      </c>
      <c r="AD47" s="327">
        <f t="shared" si="12"/>
        <v>1.2143883582936277E-2</v>
      </c>
      <c r="AE47" s="383"/>
      <c r="AF47" s="574">
        <f t="shared" si="1"/>
        <v>0.51801064843129452</v>
      </c>
      <c r="AG47" s="376">
        <f t="shared" si="28"/>
        <v>0.469294262376861</v>
      </c>
      <c r="AH47" s="376">
        <f t="shared" si="13"/>
        <v>0.48198935156870548</v>
      </c>
      <c r="AI47" s="553">
        <f t="shared" si="14"/>
        <v>1.2614846468819274E-2</v>
      </c>
      <c r="AJ47" s="374"/>
      <c r="AK47" s="577">
        <f t="shared" si="2"/>
        <v>0.50111210925598315</v>
      </c>
      <c r="AL47" s="376">
        <f t="shared" si="15"/>
        <v>0.48588322601478939</v>
      </c>
      <c r="AM47" s="376">
        <f t="shared" si="16"/>
        <v>0.49888789074401685</v>
      </c>
      <c r="AN47" s="553">
        <f t="shared" si="17"/>
        <v>1.2920469449187677E-2</v>
      </c>
      <c r="AO47" s="554"/>
      <c r="AP47" s="580">
        <f t="shared" si="3"/>
        <v>0.56871077854879037</v>
      </c>
      <c r="AQ47" s="376">
        <f t="shared" si="18"/>
        <v>0.41856093686753626</v>
      </c>
      <c r="AR47" s="379">
        <f t="shared" si="19"/>
        <v>0.43128922145120963</v>
      </c>
      <c r="AS47" s="376">
        <f t="shared" si="20"/>
        <v>1.2647622561866134E-2</v>
      </c>
      <c r="AT47" s="384"/>
      <c r="AU47" s="583">
        <f t="shared" si="4"/>
        <v>0.48495124317624194</v>
      </c>
      <c r="AV47" s="381">
        <f t="shared" si="32"/>
        <v>0.70140053382447953</v>
      </c>
      <c r="AW47" s="376">
        <f t="shared" si="6"/>
        <v>0.72370692263160785</v>
      </c>
      <c r="AX47" s="503">
        <f t="shared" si="21"/>
        <v>2.2059440896469829E-2</v>
      </c>
      <c r="AY47" s="376">
        <f t="shared" si="7"/>
        <v>0.82643000146964862</v>
      </c>
      <c r="AZ47" s="381">
        <f t="shared" si="22"/>
        <v>7.1813456451795474E-2</v>
      </c>
      <c r="BA47" s="586">
        <f t="shared" si="23"/>
        <v>0.48033157918369657</v>
      </c>
      <c r="BB47" s="376">
        <f t="shared" si="24"/>
        <v>0.50981088720746992</v>
      </c>
      <c r="BC47" s="376">
        <f t="shared" si="25"/>
        <v>0.51966842081630338</v>
      </c>
      <c r="BD47" s="376">
        <f t="shared" si="26"/>
        <v>9.8091073761068515E-3</v>
      </c>
      <c r="BE47" s="283"/>
      <c r="BF47" s="392">
        <v>6.24</v>
      </c>
      <c r="BG47" s="393">
        <v>0.79200000000000004</v>
      </c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  <c r="CK47" s="283"/>
      <c r="CL47" s="283"/>
    </row>
    <row r="48" spans="1:90" ht="14.25" customHeight="1" x14ac:dyDescent="0.2">
      <c r="A48" s="3"/>
      <c r="B48" s="252"/>
      <c r="C48" s="3"/>
      <c r="D48" s="3"/>
      <c r="E48" s="3"/>
      <c r="F48" s="3"/>
      <c r="G48" s="252"/>
      <c r="H48" s="3"/>
      <c r="I48" s="3"/>
      <c r="J48" s="3"/>
      <c r="K48" s="3"/>
      <c r="L48" s="252"/>
      <c r="M48" s="3"/>
      <c r="N48" s="3"/>
      <c r="O48" s="3"/>
      <c r="P48" s="3"/>
      <c r="Q48" s="3"/>
      <c r="R48" s="3"/>
      <c r="S48" s="334"/>
      <c r="T48" s="373">
        <f t="shared" si="33"/>
        <v>22</v>
      </c>
      <c r="U48" s="334"/>
      <c r="V48" s="568">
        <f t="shared" si="27"/>
        <v>0.57707277664510448</v>
      </c>
      <c r="W48" s="328">
        <f t="shared" si="8"/>
        <v>0.40832428791705289</v>
      </c>
      <c r="X48" s="328">
        <f t="shared" si="9"/>
        <v>0.42292722335489552</v>
      </c>
      <c r="Y48" s="328">
        <f t="shared" si="10"/>
        <v>1.4496829689178092E-2</v>
      </c>
      <c r="Z48" s="334"/>
      <c r="AA48" s="571">
        <f t="shared" si="30"/>
        <v>0.54018688421684791</v>
      </c>
      <c r="AB48" s="327">
        <f t="shared" si="31"/>
        <v>0.44798864872312116</v>
      </c>
      <c r="AC48" s="327">
        <f t="shared" si="11"/>
        <v>0.45981311578315209</v>
      </c>
      <c r="AD48" s="327">
        <f t="shared" si="12"/>
        <v>1.1754832782379432E-2</v>
      </c>
      <c r="AE48" s="383"/>
      <c r="AF48" s="574">
        <f t="shared" si="1"/>
        <v>0.50588902633466493</v>
      </c>
      <c r="AG48" s="376">
        <f t="shared" si="28"/>
        <v>0.48198935156870548</v>
      </c>
      <c r="AH48" s="376">
        <f t="shared" si="13"/>
        <v>0.49411097366533507</v>
      </c>
      <c r="AI48" s="553">
        <f t="shared" si="14"/>
        <v>1.2048451183958364E-2</v>
      </c>
      <c r="AJ48" s="374"/>
      <c r="AK48" s="577">
        <f t="shared" si="2"/>
        <v>0.48871088048355033</v>
      </c>
      <c r="AL48" s="376">
        <f t="shared" si="15"/>
        <v>0.49888789074401685</v>
      </c>
      <c r="AM48" s="376">
        <f t="shared" si="16"/>
        <v>0.51128911951644973</v>
      </c>
      <c r="AN48" s="553">
        <f t="shared" si="17"/>
        <v>1.2324650417003369E-2</v>
      </c>
      <c r="AO48" s="554"/>
      <c r="AP48" s="580">
        <f t="shared" si="3"/>
        <v>0.55634304467692619</v>
      </c>
      <c r="AQ48" s="376">
        <f t="shared" si="18"/>
        <v>0.43128922145120963</v>
      </c>
      <c r="AR48" s="379">
        <f t="shared" si="19"/>
        <v>0.44365695532307381</v>
      </c>
      <c r="AS48" s="376">
        <f t="shared" si="20"/>
        <v>1.2291567775328138E-2</v>
      </c>
      <c r="AT48" s="384"/>
      <c r="AU48" s="583">
        <f t="shared" si="4"/>
        <v>0.47467364856789102</v>
      </c>
      <c r="AV48" s="381">
        <f t="shared" si="32"/>
        <v>0.72370692263160785</v>
      </c>
      <c r="AW48" s="376">
        <f t="shared" si="6"/>
        <v>0.74512776672493475</v>
      </c>
      <c r="AX48" s="503">
        <f t="shared" si="21"/>
        <v>2.119304724540283E-2</v>
      </c>
      <c r="AY48" s="376">
        <f t="shared" si="7"/>
        <v>0.86302105105820426</v>
      </c>
      <c r="AZ48" s="381">
        <f t="shared" si="22"/>
        <v>6.7273276073780558E-2</v>
      </c>
      <c r="BA48" s="586">
        <f t="shared" si="23"/>
        <v>0.47108365288925919</v>
      </c>
      <c r="BB48" s="376">
        <f t="shared" si="24"/>
        <v>0.51966842081630338</v>
      </c>
      <c r="BC48" s="376">
        <f t="shared" si="25"/>
        <v>0.52891634711074076</v>
      </c>
      <c r="BD48" s="376">
        <f t="shared" si="26"/>
        <v>9.2052957400190483E-3</v>
      </c>
      <c r="BE48" s="283"/>
      <c r="BF48" s="392">
        <v>6.51</v>
      </c>
      <c r="BG48" s="393">
        <v>0.77700000000000002</v>
      </c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  <c r="CK48" s="283"/>
      <c r="CL48" s="283"/>
    </row>
    <row r="49" spans="1:90" ht="14.25" customHeight="1" x14ac:dyDescent="0.2">
      <c r="A49" s="3"/>
      <c r="B49" s="330"/>
      <c r="C49" s="331" t="s">
        <v>409</v>
      </c>
      <c r="D49" s="332"/>
      <c r="E49" s="332"/>
      <c r="F49" s="332"/>
      <c r="G49" s="332"/>
      <c r="H49" s="332"/>
      <c r="I49" s="332"/>
      <c r="J49" s="332"/>
      <c r="K49" s="332"/>
      <c r="L49" s="332"/>
      <c r="M49" s="332"/>
      <c r="N49" s="332"/>
      <c r="O49" s="332"/>
      <c r="P49" s="333"/>
      <c r="Q49" s="3"/>
      <c r="R49" s="3"/>
      <c r="S49" s="334"/>
      <c r="T49" s="373">
        <f t="shared" si="33"/>
        <v>23</v>
      </c>
      <c r="U49" s="334"/>
      <c r="V49" s="568">
        <f t="shared" si="27"/>
        <v>0.56283025100446493</v>
      </c>
      <c r="W49" s="328">
        <f t="shared" si="8"/>
        <v>0.42292722335489552</v>
      </c>
      <c r="X49" s="328">
        <f t="shared" si="9"/>
        <v>0.43716974899553507</v>
      </c>
      <c r="Y49" s="328">
        <f t="shared" si="10"/>
        <v>1.4141580677656695E-2</v>
      </c>
      <c r="Z49" s="334"/>
      <c r="AA49" s="571">
        <f t="shared" si="30"/>
        <v>0.52873510159411174</v>
      </c>
      <c r="AB49" s="327">
        <f t="shared" si="31"/>
        <v>0.45981311578315209</v>
      </c>
      <c r="AC49" s="327">
        <f t="shared" si="11"/>
        <v>0.47126489840588826</v>
      </c>
      <c r="AD49" s="327">
        <f t="shared" si="12"/>
        <v>1.1386460549290156E-2</v>
      </c>
      <c r="AE49" s="383"/>
      <c r="AF49" s="574">
        <f t="shared" si="1"/>
        <v>0.49430108640594561</v>
      </c>
      <c r="AG49" s="376">
        <f t="shared" si="28"/>
        <v>0.49411097366533507</v>
      </c>
      <c r="AH49" s="376">
        <f t="shared" si="13"/>
        <v>0.50569891359405439</v>
      </c>
      <c r="AI49" s="553">
        <f t="shared" si="14"/>
        <v>1.1521058342035873E-2</v>
      </c>
      <c r="AJ49" s="374"/>
      <c r="AK49" s="577">
        <f t="shared" si="2"/>
        <v>0.47687376141162224</v>
      </c>
      <c r="AL49" s="376">
        <f t="shared" si="15"/>
        <v>0.51128911951644973</v>
      </c>
      <c r="AM49" s="376">
        <f t="shared" si="16"/>
        <v>0.5231262385883777</v>
      </c>
      <c r="AN49" s="553">
        <f t="shared" si="17"/>
        <v>1.1767335992896699E-2</v>
      </c>
      <c r="AO49" s="554"/>
      <c r="AP49" s="580">
        <f t="shared" si="3"/>
        <v>0.54431920143841783</v>
      </c>
      <c r="AQ49" s="376">
        <f t="shared" si="18"/>
        <v>0.44365695532307381</v>
      </c>
      <c r="AR49" s="379">
        <f t="shared" si="19"/>
        <v>0.45568079856158217</v>
      </c>
      <c r="AS49" s="376">
        <f t="shared" si="20"/>
        <v>1.1951845686725471E-2</v>
      </c>
      <c r="AT49" s="384"/>
      <c r="AU49" s="583">
        <f t="shared" si="4"/>
        <v>0.46500913823090062</v>
      </c>
      <c r="AV49" s="381">
        <f t="shared" si="32"/>
        <v>0.74512776672493475</v>
      </c>
      <c r="AW49" s="376">
        <f t="shared" si="6"/>
        <v>0.76569822147841726</v>
      </c>
      <c r="AX49" s="503">
        <f t="shared" si="21"/>
        <v>2.0360326228659686E-2</v>
      </c>
      <c r="AY49" s="376">
        <f t="shared" si="7"/>
        <v>0.89798528368645103</v>
      </c>
      <c r="AZ49" s="381">
        <f t="shared" si="22"/>
        <v>6.3203385003355428E-2</v>
      </c>
      <c r="BA49" s="586">
        <f t="shared" si="23"/>
        <v>0.46238492496058764</v>
      </c>
      <c r="BB49" s="376">
        <f t="shared" si="24"/>
        <v>0.52891634711074076</v>
      </c>
      <c r="BC49" s="376">
        <f t="shared" si="25"/>
        <v>0.53761507503941242</v>
      </c>
      <c r="BD49" s="376">
        <f t="shared" si="26"/>
        <v>8.6610034590953733E-3</v>
      </c>
      <c r="BE49" s="283"/>
      <c r="BF49" s="392">
        <v>6.78</v>
      </c>
      <c r="BG49" s="393">
        <v>0.76900000000000002</v>
      </c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  <c r="CK49" s="283"/>
      <c r="CL49" s="283"/>
    </row>
    <row r="50" spans="1:90" ht="14.25" customHeight="1" x14ac:dyDescent="0.2">
      <c r="A50" s="3"/>
      <c r="B50" s="334"/>
      <c r="C50" s="335" t="s">
        <v>391</v>
      </c>
      <c r="D50" s="252"/>
      <c r="E50" s="252"/>
      <c r="F50" s="252"/>
      <c r="G50" s="346"/>
      <c r="H50" s="335" t="s">
        <v>398</v>
      </c>
      <c r="I50" s="252"/>
      <c r="J50" s="252"/>
      <c r="K50" s="252"/>
      <c r="L50" s="352"/>
      <c r="M50" s="335" t="s">
        <v>399</v>
      </c>
      <c r="N50" s="252"/>
      <c r="O50" s="252"/>
      <c r="P50" s="336"/>
      <c r="Q50" s="3"/>
      <c r="R50" s="3"/>
      <c r="S50" s="334"/>
      <c r="T50" s="373">
        <f t="shared" si="33"/>
        <v>24</v>
      </c>
      <c r="U50" s="334"/>
      <c r="V50" s="568">
        <f t="shared" si="27"/>
        <v>0.54893924001645478</v>
      </c>
      <c r="W50" s="328">
        <f t="shared" si="8"/>
        <v>0.43716974899553507</v>
      </c>
      <c r="X50" s="328">
        <f t="shared" si="9"/>
        <v>0.45106075998354522</v>
      </c>
      <c r="Y50" s="328">
        <f t="shared" si="10"/>
        <v>1.3794976083118971E-2</v>
      </c>
      <c r="Z50" s="334"/>
      <c r="AA50" s="571">
        <f t="shared" si="30"/>
        <v>0.51763675686296018</v>
      </c>
      <c r="AB50" s="327">
        <f t="shared" si="31"/>
        <v>0.47126489840588826</v>
      </c>
      <c r="AC50" s="327">
        <f t="shared" si="11"/>
        <v>0.48236324313703982</v>
      </c>
      <c r="AD50" s="327">
        <f t="shared" si="12"/>
        <v>1.1036985309056613E-2</v>
      </c>
      <c r="AE50" s="383"/>
      <c r="AF50" s="574">
        <f t="shared" si="1"/>
        <v>0.4832107772303067</v>
      </c>
      <c r="AG50" s="376">
        <f t="shared" si="28"/>
        <v>0.50569891359405439</v>
      </c>
      <c r="AH50" s="376">
        <f t="shared" si="13"/>
        <v>0.5167892227696933</v>
      </c>
      <c r="AI50" s="553">
        <f t="shared" si="14"/>
        <v>1.1029038409923309E-2</v>
      </c>
      <c r="AJ50" s="374"/>
      <c r="AK50" s="577">
        <f t="shared" si="2"/>
        <v>0.46556462006111671</v>
      </c>
      <c r="AL50" s="376">
        <f t="shared" si="15"/>
        <v>0.5231262385883777</v>
      </c>
      <c r="AM50" s="376">
        <f t="shared" si="16"/>
        <v>0.53443537993888324</v>
      </c>
      <c r="AN50" s="553">
        <f t="shared" si="17"/>
        <v>1.1245433398371474E-2</v>
      </c>
      <c r="AO50" s="554"/>
      <c r="AP50" s="580">
        <f t="shared" si="3"/>
        <v>0.53262396190917716</v>
      </c>
      <c r="AQ50" s="376">
        <f t="shared" si="18"/>
        <v>0.45568079856158217</v>
      </c>
      <c r="AR50" s="379">
        <f t="shared" si="19"/>
        <v>0.46737603809082284</v>
      </c>
      <c r="AS50" s="376">
        <f t="shared" si="20"/>
        <v>1.1627116047523089E-2</v>
      </c>
      <c r="AT50" s="384"/>
      <c r="AU50" s="583">
        <f t="shared" si="4"/>
        <v>0.45591356100884833</v>
      </c>
      <c r="AV50" s="381">
        <f t="shared" si="32"/>
        <v>0.76569822147841726</v>
      </c>
      <c r="AW50" s="376">
        <f t="shared" si="6"/>
        <v>0.78545204662748735</v>
      </c>
      <c r="AX50" s="503">
        <f t="shared" si="21"/>
        <v>1.9559996727496309E-2</v>
      </c>
      <c r="AY50" s="376">
        <f t="shared" si="7"/>
        <v>0.93146121744129473</v>
      </c>
      <c r="AZ50" s="381">
        <f t="shared" si="22"/>
        <v>5.953765735350721E-2</v>
      </c>
      <c r="BA50" s="586">
        <f t="shared" si="23"/>
        <v>0.45418299425519765</v>
      </c>
      <c r="BB50" s="376">
        <f t="shared" si="24"/>
        <v>0.53761507503941242</v>
      </c>
      <c r="BC50" s="376">
        <f t="shared" si="25"/>
        <v>0.54581700574480241</v>
      </c>
      <c r="BD50" s="376">
        <f t="shared" si="26"/>
        <v>8.1683866430816154E-3</v>
      </c>
      <c r="BE50" s="283"/>
      <c r="BF50" s="392">
        <v>6.87</v>
      </c>
      <c r="BG50" s="393">
        <v>0.752</v>
      </c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  <c r="CK50" s="283"/>
      <c r="CL50" s="283"/>
    </row>
    <row r="51" spans="1:90" ht="14.25" customHeight="1" x14ac:dyDescent="0.2">
      <c r="A51" s="3"/>
      <c r="B51" s="334"/>
      <c r="C51" s="252"/>
      <c r="D51" s="337" t="s">
        <v>404</v>
      </c>
      <c r="E51" s="337" t="s">
        <v>407</v>
      </c>
      <c r="F51" s="252"/>
      <c r="G51" s="334"/>
      <c r="H51" s="252"/>
      <c r="I51" s="252"/>
      <c r="J51" s="252"/>
      <c r="K51" s="252"/>
      <c r="L51" s="334"/>
      <c r="M51" s="252"/>
      <c r="N51" s="252"/>
      <c r="O51" s="252"/>
      <c r="P51" s="336"/>
      <c r="Q51" s="3"/>
      <c r="R51" s="3"/>
      <c r="S51" s="334"/>
      <c r="T51" s="373">
        <f t="shared" si="33"/>
        <v>25</v>
      </c>
      <c r="U51" s="334"/>
      <c r="V51" s="568">
        <f t="shared" si="27"/>
        <v>0.5353910680743641</v>
      </c>
      <c r="W51" s="328">
        <f t="shared" si="8"/>
        <v>0.45106075998354522</v>
      </c>
      <c r="X51" s="328">
        <f t="shared" si="9"/>
        <v>0.4646089319256359</v>
      </c>
      <c r="Y51" s="328">
        <f t="shared" si="10"/>
        <v>1.3456808528429787E-2</v>
      </c>
      <c r="Z51" s="334"/>
      <c r="AA51" s="571">
        <f t="shared" si="30"/>
        <v>0.50687420121570159</v>
      </c>
      <c r="AB51" s="327">
        <f t="shared" si="31"/>
        <v>0.48236324313703982</v>
      </c>
      <c r="AC51" s="327">
        <f t="shared" si="11"/>
        <v>0.49312579878429841</v>
      </c>
      <c r="AD51" s="327">
        <f t="shared" si="12"/>
        <v>1.070484656318782E-2</v>
      </c>
      <c r="AE51" s="383"/>
      <c r="AF51" s="574">
        <f t="shared" si="1"/>
        <v>0.47258534466597224</v>
      </c>
      <c r="AG51" s="376">
        <f t="shared" si="28"/>
        <v>0.5167892227696933</v>
      </c>
      <c r="AH51" s="376">
        <f t="shared" si="13"/>
        <v>0.52741465533402776</v>
      </c>
      <c r="AI51" s="553">
        <f t="shared" si="14"/>
        <v>1.0569182060671811E-2</v>
      </c>
      <c r="AJ51" s="374"/>
      <c r="AK51" s="577">
        <f t="shared" si="2"/>
        <v>0.45475022006956251</v>
      </c>
      <c r="AL51" s="376">
        <f t="shared" si="15"/>
        <v>0.53443537993888324</v>
      </c>
      <c r="AM51" s="376">
        <f t="shared" si="16"/>
        <v>0.54524977993043744</v>
      </c>
      <c r="AN51" s="553">
        <f t="shared" si="17"/>
        <v>1.0756134592223909E-2</v>
      </c>
      <c r="AO51" s="554"/>
      <c r="AP51" s="580">
        <f t="shared" si="3"/>
        <v>0.52124323928110416</v>
      </c>
      <c r="AQ51" s="376">
        <f t="shared" si="18"/>
        <v>0.46737603809082284</v>
      </c>
      <c r="AR51" s="379">
        <f t="shared" si="19"/>
        <v>0.47875676071889584</v>
      </c>
      <c r="AS51" s="376">
        <f t="shared" si="20"/>
        <v>1.13162071803804E-2</v>
      </c>
      <c r="AT51" s="384"/>
      <c r="AU51" s="583">
        <f t="shared" si="4"/>
        <v>0.44734656942638878</v>
      </c>
      <c r="AV51" s="381">
        <f t="shared" si="32"/>
        <v>0.78545204662748735</v>
      </c>
      <c r="AW51" s="376">
        <f t="shared" si="6"/>
        <v>0.80442166167471785</v>
      </c>
      <c r="AX51" s="503">
        <f t="shared" si="21"/>
        <v>1.8790824215674573E-2</v>
      </c>
      <c r="AY51" s="376">
        <f t="shared" si="7"/>
        <v>0.96357039894969487</v>
      </c>
      <c r="AZ51" s="381">
        <f t="shared" si="22"/>
        <v>5.622151869949666E-2</v>
      </c>
      <c r="BA51" s="586">
        <f t="shared" si="23"/>
        <v>0.44643216465680735</v>
      </c>
      <c r="BB51" s="376">
        <f t="shared" si="24"/>
        <v>0.54581700574480241</v>
      </c>
      <c r="BC51" s="376">
        <f t="shared" si="25"/>
        <v>0.55356783534319265</v>
      </c>
      <c r="BD51" s="376">
        <f t="shared" si="26"/>
        <v>7.7208693741600554E-3</v>
      </c>
      <c r="BE51" s="283"/>
      <c r="BF51" s="392">
        <v>6.96</v>
      </c>
      <c r="BG51" s="393">
        <v>0.74</v>
      </c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  <c r="CK51" s="283"/>
      <c r="CL51" s="283"/>
    </row>
    <row r="52" spans="1:90" ht="14.25" customHeight="1" x14ac:dyDescent="0.2">
      <c r="A52" s="3"/>
      <c r="B52" s="334"/>
      <c r="C52" s="252" t="s">
        <v>401</v>
      </c>
      <c r="D52" s="325">
        <v>3.0486935900000001</v>
      </c>
      <c r="E52" s="325">
        <v>0.13205215000000001</v>
      </c>
      <c r="F52" s="252"/>
      <c r="G52" s="334"/>
      <c r="H52" s="348" t="s">
        <v>184</v>
      </c>
      <c r="I52" s="350">
        <f>EXP(D52)</f>
        <v>21.087777136443449</v>
      </c>
      <c r="J52" s="252"/>
      <c r="K52" s="252"/>
      <c r="L52" s="334"/>
      <c r="M52" s="252" t="s">
        <v>400</v>
      </c>
      <c r="N52" s="252"/>
      <c r="O52" s="252"/>
      <c r="P52" s="336"/>
      <c r="Q52" s="3"/>
      <c r="R52" s="3"/>
      <c r="S52" s="334"/>
      <c r="T52" s="373">
        <f t="shared" si="33"/>
        <v>26</v>
      </c>
      <c r="U52" s="334"/>
      <c r="V52" s="568">
        <f t="shared" si="27"/>
        <v>0.52217727369101197</v>
      </c>
      <c r="W52" s="328">
        <f t="shared" si="8"/>
        <v>0.4646089319256359</v>
      </c>
      <c r="X52" s="328">
        <f t="shared" si="9"/>
        <v>0.47782272630898803</v>
      </c>
      <c r="Y52" s="328">
        <f t="shared" si="10"/>
        <v>1.3126875466443533E-2</v>
      </c>
      <c r="Z52" s="334"/>
      <c r="AA52" s="571">
        <f t="shared" si="30"/>
        <v>0.49643119294415772</v>
      </c>
      <c r="AB52" s="327">
        <f t="shared" si="31"/>
        <v>0.49312579878429841</v>
      </c>
      <c r="AC52" s="327">
        <f t="shared" si="11"/>
        <v>0.50356880705584228</v>
      </c>
      <c r="AD52" s="327">
        <f t="shared" si="12"/>
        <v>1.0388669378995408E-2</v>
      </c>
      <c r="AE52" s="383"/>
      <c r="AF52" s="574">
        <f t="shared" si="1"/>
        <v>0.46239495539701969</v>
      </c>
      <c r="AG52" s="376">
        <f t="shared" si="28"/>
        <v>0.52741465533402776</v>
      </c>
      <c r="AH52" s="376">
        <f t="shared" si="13"/>
        <v>0.53760504460298031</v>
      </c>
      <c r="AI52" s="553">
        <f t="shared" si="14"/>
        <v>1.013864317234503E-2</v>
      </c>
      <c r="AJ52" s="374"/>
      <c r="AK52" s="577">
        <f t="shared" si="2"/>
        <v>0.44439995169553209</v>
      </c>
      <c r="AL52" s="376">
        <f t="shared" si="15"/>
        <v>0.54524977993043744</v>
      </c>
      <c r="AM52" s="376">
        <f t="shared" si="16"/>
        <v>0.55560004830446785</v>
      </c>
      <c r="AN52" s="553">
        <f t="shared" si="17"/>
        <v>1.0296888669814486E-2</v>
      </c>
      <c r="AO52" s="554"/>
      <c r="AP52" s="580">
        <f t="shared" si="3"/>
        <v>0.51016400231630399</v>
      </c>
      <c r="AQ52" s="376">
        <f t="shared" si="18"/>
        <v>0.47875676071889584</v>
      </c>
      <c r="AR52" s="379">
        <f t="shared" si="19"/>
        <v>0.48983599768369601</v>
      </c>
      <c r="AS52" s="376">
        <f t="shared" si="20"/>
        <v>1.1018088254302061E-2</v>
      </c>
      <c r="AT52" s="384"/>
      <c r="AU52" s="583">
        <f t="shared" si="4"/>
        <v>0.43927123948923658</v>
      </c>
      <c r="AV52" s="381">
        <f t="shared" si="32"/>
        <v>0.80442166167471785</v>
      </c>
      <c r="AW52" s="376">
        <f t="shared" si="6"/>
        <v>0.82263819909592961</v>
      </c>
      <c r="AX52" s="503">
        <f t="shared" si="21"/>
        <v>1.8051619234516147E-2</v>
      </c>
      <c r="AY52" s="376">
        <f t="shared" si="7"/>
        <v>0.99442006742688693</v>
      </c>
      <c r="AZ52" s="381">
        <f t="shared" si="22"/>
        <v>5.3209564543192353E-2</v>
      </c>
      <c r="BA52" s="586">
        <f t="shared" si="23"/>
        <v>0.4390923895522027</v>
      </c>
      <c r="BB52" s="376">
        <f t="shared" si="24"/>
        <v>0.55356783534319265</v>
      </c>
      <c r="BC52" s="376">
        <f t="shared" si="25"/>
        <v>0.56090761044779724</v>
      </c>
      <c r="BD52" s="376">
        <f t="shared" si="26"/>
        <v>7.3129047363220678E-3</v>
      </c>
      <c r="BE52" s="283"/>
      <c r="BF52" s="392">
        <v>7.42</v>
      </c>
      <c r="BG52" s="393">
        <v>0.72499999999999998</v>
      </c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  <c r="CK52" s="283"/>
      <c r="CL52" s="283"/>
    </row>
    <row r="53" spans="1:90" ht="14.25" customHeight="1" x14ac:dyDescent="0.2">
      <c r="A53" s="3"/>
      <c r="B53" s="334"/>
      <c r="C53" s="252" t="s">
        <v>405</v>
      </c>
      <c r="D53" s="325">
        <v>-6.4362130000000004E-2</v>
      </c>
      <c r="E53" s="325">
        <v>7.8341129999999995E-2</v>
      </c>
      <c r="F53" s="252"/>
      <c r="G53" s="334"/>
      <c r="H53" s="340"/>
      <c r="I53" s="252"/>
      <c r="J53" s="252"/>
      <c r="K53" s="252"/>
      <c r="L53" s="334"/>
      <c r="M53" s="252" t="s">
        <v>401</v>
      </c>
      <c r="N53" s="328">
        <f ca="1">_xlfn.NORM.INV(RAND(),0,1)</f>
        <v>0.11977307152230442</v>
      </c>
      <c r="O53" s="252"/>
      <c r="P53" s="336"/>
      <c r="Q53" s="3"/>
      <c r="R53" s="3"/>
      <c r="S53" s="334"/>
      <c r="T53" s="373">
        <f t="shared" si="33"/>
        <v>27</v>
      </c>
      <c r="U53" s="334"/>
      <c r="V53" s="568">
        <f t="shared" si="27"/>
        <v>0.50928960421413894</v>
      </c>
      <c r="W53" s="328">
        <f t="shared" si="8"/>
        <v>0.47782272630898803</v>
      </c>
      <c r="X53" s="328">
        <f t="shared" si="9"/>
        <v>0.49071039578586106</v>
      </c>
      <c r="Y53" s="328">
        <f t="shared" si="10"/>
        <v>1.2804979074635958E-2</v>
      </c>
      <c r="Z53" s="334"/>
      <c r="AA53" s="571">
        <f t="shared" si="30"/>
        <v>0.48629273626540231</v>
      </c>
      <c r="AB53" s="327">
        <f t="shared" si="31"/>
        <v>0.50356880705584228</v>
      </c>
      <c r="AC53" s="327">
        <f t="shared" si="11"/>
        <v>0.51370726373459763</v>
      </c>
      <c r="AD53" s="327">
        <f t="shared" si="12"/>
        <v>1.0087235773300729E-2</v>
      </c>
      <c r="AE53" s="383"/>
      <c r="AF53" s="574">
        <f t="shared" si="1"/>
        <v>0.45261237113048647</v>
      </c>
      <c r="AG53" s="376">
        <f t="shared" si="28"/>
        <v>0.53760504460298031</v>
      </c>
      <c r="AH53" s="376">
        <f t="shared" si="13"/>
        <v>0.54738762886951353</v>
      </c>
      <c r="AI53" s="553">
        <f t="shared" si="14"/>
        <v>9.7348904387324353E-3</v>
      </c>
      <c r="AJ53" s="374"/>
      <c r="AK53" s="577">
        <f t="shared" si="2"/>
        <v>0.43448558978978646</v>
      </c>
      <c r="AL53" s="376">
        <f t="shared" si="15"/>
        <v>0.55560004830446785</v>
      </c>
      <c r="AM53" s="376">
        <f t="shared" si="16"/>
        <v>0.56551441021021354</v>
      </c>
      <c r="AN53" s="553">
        <f t="shared" si="17"/>
        <v>9.865376639294321E-3</v>
      </c>
      <c r="AO53" s="554"/>
      <c r="AP53" s="580">
        <f t="shared" si="3"/>
        <v>0.49937415364534588</v>
      </c>
      <c r="AQ53" s="376">
        <f t="shared" si="18"/>
        <v>0.48983599768369601</v>
      </c>
      <c r="AR53" s="379">
        <f t="shared" si="19"/>
        <v>0.50062584635465412</v>
      </c>
      <c r="AS53" s="376">
        <f t="shared" si="20"/>
        <v>1.073184705079222E-2</v>
      </c>
      <c r="AT53" s="384"/>
      <c r="AU53" s="583">
        <f t="shared" si="4"/>
        <v>0.43165373329938755</v>
      </c>
      <c r="AV53" s="381">
        <f t="shared" si="32"/>
        <v>0.82263819909592961</v>
      </c>
      <c r="AW53" s="376">
        <f t="shared" si="6"/>
        <v>0.84013155543406259</v>
      </c>
      <c r="AX53" s="503">
        <f t="shared" si="21"/>
        <v>1.7341235904053898E-2</v>
      </c>
      <c r="AY53" s="376">
        <f t="shared" si="7"/>
        <v>1.024105315676737</v>
      </c>
      <c r="AZ53" s="381">
        <f t="shared" si="22"/>
        <v>5.0463739223933879E-2</v>
      </c>
      <c r="BA53" s="586">
        <f t="shared" si="23"/>
        <v>0.43212841063476937</v>
      </c>
      <c r="BB53" s="376">
        <f t="shared" si="24"/>
        <v>0.56090761044779724</v>
      </c>
      <c r="BC53" s="376">
        <f t="shared" si="25"/>
        <v>0.56787158936523063</v>
      </c>
      <c r="BD53" s="376">
        <f t="shared" si="26"/>
        <v>6.939786607073839E-3</v>
      </c>
      <c r="BE53" s="283"/>
      <c r="BF53" s="392">
        <v>7.46</v>
      </c>
      <c r="BG53" s="393">
        <v>0.70799999999999996</v>
      </c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  <c r="CK53" s="283"/>
      <c r="CL53" s="283"/>
    </row>
    <row r="54" spans="1:90" ht="14.25" customHeight="1" x14ac:dyDescent="0.2">
      <c r="A54" s="3"/>
      <c r="B54" s="334"/>
      <c r="C54" s="252"/>
      <c r="D54" s="252"/>
      <c r="E54" s="252"/>
      <c r="F54" s="252"/>
      <c r="G54" s="334"/>
      <c r="H54" s="348" t="s">
        <v>186</v>
      </c>
      <c r="I54" s="329">
        <f>1/(EXP(D53))</f>
        <v>1.0664785327129929</v>
      </c>
      <c r="J54" s="252"/>
      <c r="K54" s="252"/>
      <c r="L54" s="334"/>
      <c r="M54" s="252" t="s">
        <v>405</v>
      </c>
      <c r="N54" s="328">
        <f ca="1">_xlfn.NORM.INV(RAND(),0,1)</f>
        <v>0.71284749509833023</v>
      </c>
      <c r="O54" s="252"/>
      <c r="P54" s="336"/>
      <c r="Q54" s="3"/>
      <c r="R54" s="3"/>
      <c r="S54" s="334"/>
      <c r="T54" s="373">
        <f t="shared" si="33"/>
        <v>28</v>
      </c>
      <c r="U54" s="334"/>
      <c r="V54" s="568">
        <f t="shared" si="27"/>
        <v>0.49672001067222782</v>
      </c>
      <c r="W54" s="328">
        <f t="shared" si="8"/>
        <v>0.49071039578586106</v>
      </c>
      <c r="X54" s="328">
        <f t="shared" si="9"/>
        <v>0.50327998932777218</v>
      </c>
      <c r="Y54" s="328">
        <f t="shared" si="10"/>
        <v>1.2490926151674686E-2</v>
      </c>
      <c r="Z54" s="334"/>
      <c r="AA54" s="571">
        <f t="shared" si="30"/>
        <v>0.47644494410044386</v>
      </c>
      <c r="AB54" s="327">
        <f t="shared" si="31"/>
        <v>0.51370726373459763</v>
      </c>
      <c r="AC54" s="327">
        <f t="shared" si="11"/>
        <v>0.52355505589955609</v>
      </c>
      <c r="AD54" s="327">
        <f t="shared" si="12"/>
        <v>9.7994614401182289E-3</v>
      </c>
      <c r="AE54" s="383"/>
      <c r="AF54" s="574">
        <f t="shared" si="1"/>
        <v>0.44321266577258212</v>
      </c>
      <c r="AG54" s="376">
        <f t="shared" si="28"/>
        <v>0.54738762886951353</v>
      </c>
      <c r="AH54" s="376">
        <f t="shared" si="13"/>
        <v>0.55678733422741788</v>
      </c>
      <c r="AI54" s="553">
        <f t="shared" si="14"/>
        <v>9.35566622048567E-3</v>
      </c>
      <c r="AJ54" s="374"/>
      <c r="AK54" s="577">
        <f t="shared" si="2"/>
        <v>0.42498107612935526</v>
      </c>
      <c r="AL54" s="376">
        <f t="shared" si="15"/>
        <v>0.56551441021021354</v>
      </c>
      <c r="AM54" s="376">
        <f t="shared" si="16"/>
        <v>0.57501892387064468</v>
      </c>
      <c r="AN54" s="553">
        <f t="shared" si="17"/>
        <v>9.4594885307017762E-3</v>
      </c>
      <c r="AO54" s="554"/>
      <c r="AP54" s="580">
        <f t="shared" si="3"/>
        <v>0.4888624265521222</v>
      </c>
      <c r="AQ54" s="376">
        <f t="shared" si="18"/>
        <v>0.50062584635465412</v>
      </c>
      <c r="AR54" s="379">
        <f t="shared" si="19"/>
        <v>0.5111375734478778</v>
      </c>
      <c r="AS54" s="376">
        <f t="shared" si="20"/>
        <v>1.0456671967001063E-2</v>
      </c>
      <c r="AT54" s="384"/>
      <c r="AU54" s="583">
        <f t="shared" si="4"/>
        <v>0.42446299916429975</v>
      </c>
      <c r="AV54" s="381">
        <f t="shared" si="32"/>
        <v>0.84013155543406259</v>
      </c>
      <c r="AW54" s="376">
        <f t="shared" si="6"/>
        <v>0.85693044036466215</v>
      </c>
      <c r="AX54" s="503">
        <f t="shared" si="21"/>
        <v>1.665857047065189E-2</v>
      </c>
      <c r="AY54" s="376">
        <f t="shared" si="7"/>
        <v>1.0527108578958004</v>
      </c>
      <c r="AZ54" s="381">
        <f t="shared" si="22"/>
        <v>4.7951928201898683E-2</v>
      </c>
      <c r="BA54" s="586">
        <f t="shared" si="23"/>
        <v>0.42550905057590038</v>
      </c>
      <c r="BB54" s="376">
        <f t="shared" si="24"/>
        <v>0.56787158936523063</v>
      </c>
      <c r="BC54" s="376">
        <f t="shared" si="25"/>
        <v>0.57449094942409962</v>
      </c>
      <c r="BD54" s="376">
        <f t="shared" si="26"/>
        <v>6.5975003540873489E-3</v>
      </c>
      <c r="BE54" s="283"/>
      <c r="BF54" s="392">
        <v>7.78</v>
      </c>
      <c r="BG54" s="393">
        <v>0.70099999999999996</v>
      </c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  <c r="CK54" s="283"/>
      <c r="CL54" s="283"/>
    </row>
    <row r="55" spans="1:90" ht="14.25" customHeight="1" x14ac:dyDescent="0.2">
      <c r="A55" s="3"/>
      <c r="B55" s="334"/>
      <c r="C55" s="335" t="s">
        <v>395</v>
      </c>
      <c r="D55" s="252"/>
      <c r="E55" s="252"/>
      <c r="F55" s="252"/>
      <c r="G55" s="334"/>
      <c r="H55" s="252"/>
      <c r="I55" s="252"/>
      <c r="J55" s="252"/>
      <c r="K55" s="252"/>
      <c r="L55" s="334"/>
      <c r="M55" s="252"/>
      <c r="N55" s="252"/>
      <c r="O55" s="252"/>
      <c r="P55" s="336"/>
      <c r="Q55" s="3"/>
      <c r="R55" s="3"/>
      <c r="S55" s="334"/>
      <c r="T55" s="373">
        <f t="shared" si="33"/>
        <v>29</v>
      </c>
      <c r="U55" s="334"/>
      <c r="V55" s="568">
        <f t="shared" si="27"/>
        <v>0.48446064274753231</v>
      </c>
      <c r="W55" s="328">
        <f t="shared" si="8"/>
        <v>0.50327998932777218</v>
      </c>
      <c r="X55" s="328">
        <f t="shared" si="9"/>
        <v>0.51553935725246769</v>
      </c>
      <c r="Y55" s="328">
        <f t="shared" si="10"/>
        <v>1.2184528015915963E-2</v>
      </c>
      <c r="Z55" s="334"/>
      <c r="AA55" s="571">
        <f t="shared" si="30"/>
        <v>0.4668749204900407</v>
      </c>
      <c r="AB55" s="327">
        <f t="shared" si="31"/>
        <v>0.52355505589955609</v>
      </c>
      <c r="AC55" s="327">
        <f t="shared" si="11"/>
        <v>0.53312507950995935</v>
      </c>
      <c r="AD55" s="327">
        <f t="shared" si="12"/>
        <v>9.524376664621137E-3</v>
      </c>
      <c r="AE55" s="383"/>
      <c r="AF55" s="574">
        <f t="shared" si="1"/>
        <v>0.43417297916658226</v>
      </c>
      <c r="AG55" s="376">
        <f t="shared" si="28"/>
        <v>0.55678733422741788</v>
      </c>
      <c r="AH55" s="376">
        <f t="shared" si="13"/>
        <v>0.56582702083341774</v>
      </c>
      <c r="AI55" s="553">
        <f t="shared" si="14"/>
        <v>8.998951475711392E-3</v>
      </c>
      <c r="AJ55" s="374"/>
      <c r="AK55" s="577">
        <f t="shared" si="2"/>
        <v>0.41586232366922732</v>
      </c>
      <c r="AL55" s="376">
        <f t="shared" si="15"/>
        <v>0.57501892387064468</v>
      </c>
      <c r="AM55" s="376">
        <f t="shared" si="16"/>
        <v>0.58413767633077263</v>
      </c>
      <c r="AN55" s="553">
        <f t="shared" si="17"/>
        <v>9.0773027225599101E-3</v>
      </c>
      <c r="AO55" s="554"/>
      <c r="AP55" s="580">
        <f t="shared" si="3"/>
        <v>0.4786182968478202</v>
      </c>
      <c r="AQ55" s="376">
        <f t="shared" si="18"/>
        <v>0.5111375734478778</v>
      </c>
      <c r="AR55" s="379">
        <f t="shared" si="19"/>
        <v>0.5213817031521798</v>
      </c>
      <c r="AS55" s="376">
        <f t="shared" si="20"/>
        <v>1.0191837323245356E-2</v>
      </c>
      <c r="AT55" s="384"/>
      <c r="AU55" s="583">
        <f t="shared" si="4"/>
        <v>0.41767050459852001</v>
      </c>
      <c r="AV55" s="381">
        <f t="shared" si="32"/>
        <v>0.85693044036466215</v>
      </c>
      <c r="AW55" s="376">
        <f t="shared" si="6"/>
        <v>0.87306242381350785</v>
      </c>
      <c r="AX55" s="503">
        <f t="shared" si="21"/>
        <v>1.6002559891328927E-2</v>
      </c>
      <c r="AY55" s="376">
        <f t="shared" si="7"/>
        <v>1.0803124871261001</v>
      </c>
      <c r="AZ55" s="381">
        <f t="shared" si="22"/>
        <v>4.5646858947182054E-2</v>
      </c>
      <c r="BA55" s="586">
        <f t="shared" si="23"/>
        <v>0.41920662840388062</v>
      </c>
      <c r="BB55" s="376">
        <f t="shared" si="24"/>
        <v>0.57449094942409962</v>
      </c>
      <c r="BC55" s="376">
        <f t="shared" si="25"/>
        <v>0.58079337159611932</v>
      </c>
      <c r="BD55" s="376">
        <f t="shared" si="26"/>
        <v>6.2826035663334778E-3</v>
      </c>
      <c r="BE55" s="283"/>
      <c r="BF55" s="392">
        <v>7.91</v>
      </c>
      <c r="BG55" s="393">
        <v>0.68500000000000005</v>
      </c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  <c r="CK55" s="283"/>
      <c r="CL55" s="283"/>
    </row>
    <row r="56" spans="1:90" ht="14.25" customHeight="1" x14ac:dyDescent="0.2">
      <c r="A56" s="3"/>
      <c r="B56" s="334"/>
      <c r="C56" s="252"/>
      <c r="D56" s="337" t="s">
        <v>401</v>
      </c>
      <c r="E56" s="337" t="s">
        <v>405</v>
      </c>
      <c r="F56" s="252"/>
      <c r="G56" s="334"/>
      <c r="H56" s="252"/>
      <c r="I56" s="252"/>
      <c r="J56" s="252"/>
      <c r="K56" s="252"/>
      <c r="L56" s="334"/>
      <c r="M56" s="252" t="s">
        <v>408</v>
      </c>
      <c r="N56" s="252"/>
      <c r="O56" s="252"/>
      <c r="P56" s="336"/>
      <c r="Q56" s="3"/>
      <c r="R56" s="3"/>
      <c r="S56" s="334"/>
      <c r="T56" s="373">
        <f t="shared" si="33"/>
        <v>30</v>
      </c>
      <c r="U56" s="334"/>
      <c r="V56" s="568">
        <f t="shared" si="27"/>
        <v>0.47250384387317501</v>
      </c>
      <c r="W56" s="328">
        <f t="shared" si="8"/>
        <v>0.51553935725246769</v>
      </c>
      <c r="X56" s="328">
        <f t="shared" si="9"/>
        <v>0.52749615612682499</v>
      </c>
      <c r="Y56" s="328">
        <f t="shared" si="10"/>
        <v>1.1885600405807328E-2</v>
      </c>
      <c r="Z56" s="334"/>
      <c r="AA56" s="571">
        <f t="shared" si="30"/>
        <v>0.45757065923502016</v>
      </c>
      <c r="AB56" s="327">
        <f t="shared" si="31"/>
        <v>0.53312507950995935</v>
      </c>
      <c r="AC56" s="327">
        <f t="shared" si="11"/>
        <v>0.54242934076497984</v>
      </c>
      <c r="AD56" s="327">
        <f t="shared" si="12"/>
        <v>9.2611105484522449E-3</v>
      </c>
      <c r="AE56" s="383"/>
      <c r="AF56" s="574">
        <f t="shared" si="1"/>
        <v>0.42547230201686559</v>
      </c>
      <c r="AG56" s="376">
        <f t="shared" si="28"/>
        <v>0.56582702083341774</v>
      </c>
      <c r="AH56" s="376">
        <f t="shared" si="13"/>
        <v>0.57452769798313441</v>
      </c>
      <c r="AI56" s="553">
        <f t="shared" si="14"/>
        <v>8.6629357960468223E-3</v>
      </c>
      <c r="AJ56" s="374"/>
      <c r="AK56" s="577">
        <f t="shared" si="2"/>
        <v>0.40710704045545698</v>
      </c>
      <c r="AL56" s="376">
        <f t="shared" si="15"/>
        <v>0.58413767633077263</v>
      </c>
      <c r="AM56" s="376">
        <f t="shared" si="16"/>
        <v>0.59289295954454302</v>
      </c>
      <c r="AN56" s="553">
        <f t="shared" si="17"/>
        <v>8.7170673333050175E-3</v>
      </c>
      <c r="AO56" s="554"/>
      <c r="AP56" s="580">
        <f t="shared" si="3"/>
        <v>0.46863190715885428</v>
      </c>
      <c r="AQ56" s="376">
        <f t="shared" si="18"/>
        <v>0.5213817031521798</v>
      </c>
      <c r="AR56" s="379">
        <f t="shared" si="19"/>
        <v>0.53136809284114572</v>
      </c>
      <c r="AS56" s="376">
        <f t="shared" si="20"/>
        <v>9.9366912729562662E-3</v>
      </c>
      <c r="AT56" s="384"/>
      <c r="AU56" s="583">
        <f t="shared" si="4"/>
        <v>0.41124999823114899</v>
      </c>
      <c r="AV56" s="381">
        <f t="shared" si="32"/>
        <v>0.87306242381350785</v>
      </c>
      <c r="AW56" s="376">
        <f t="shared" si="6"/>
        <v>0.88855398120371287</v>
      </c>
      <c r="AX56" s="503">
        <f t="shared" si="21"/>
        <v>1.5372180454884199E-2</v>
      </c>
      <c r="AY56" s="376">
        <f t="shared" si="7"/>
        <v>1.1069782855262922</v>
      </c>
      <c r="AZ56" s="381">
        <f t="shared" si="22"/>
        <v>4.352523480800348E-2</v>
      </c>
      <c r="BA56" s="586">
        <f t="shared" si="23"/>
        <v>0.41319647341291799</v>
      </c>
      <c r="BB56" s="376">
        <f t="shared" si="24"/>
        <v>0.58079337159611932</v>
      </c>
      <c r="BC56" s="376">
        <f t="shared" si="25"/>
        <v>0.58680352658708201</v>
      </c>
      <c r="BD56" s="376">
        <f t="shared" si="26"/>
        <v>5.9921301382531711E-3</v>
      </c>
      <c r="BE56" s="283"/>
      <c r="BF56" s="392">
        <v>8.09</v>
      </c>
      <c r="BG56" s="393">
        <v>0.67600000000000005</v>
      </c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  <c r="CK56" s="283"/>
      <c r="CL56" s="283"/>
    </row>
    <row r="57" spans="1:90" ht="14.25" customHeight="1" x14ac:dyDescent="0.2">
      <c r="A57" s="3"/>
      <c r="B57" s="334"/>
      <c r="C57" s="252" t="s">
        <v>401</v>
      </c>
      <c r="D57" s="325">
        <v>0.13205215000000001</v>
      </c>
      <c r="E57" s="325">
        <v>0</v>
      </c>
      <c r="F57" s="252"/>
      <c r="G57" s="334"/>
      <c r="H57" s="252"/>
      <c r="I57" s="252"/>
      <c r="J57" s="252"/>
      <c r="K57" s="252"/>
      <c r="L57" s="334"/>
      <c r="M57" s="340" t="s">
        <v>392</v>
      </c>
      <c r="N57" s="327" cm="1">
        <f t="array" aca="1" ref="N57:N58" ca="1">D52:D53+MMULT(D57:E58,N53:N54)</f>
        <v>3.0645098816066243</v>
      </c>
      <c r="O57" s="252"/>
      <c r="P57" s="336"/>
      <c r="Q57" s="3"/>
      <c r="R57" s="3"/>
      <c r="S57" s="334"/>
      <c r="T57" s="373">
        <f t="shared" si="33"/>
        <v>31</v>
      </c>
      <c r="U57" s="334"/>
      <c r="V57" s="568">
        <f t="shared" si="27"/>
        <v>0.46084214645125154</v>
      </c>
      <c r="W57" s="328">
        <f t="shared" si="8"/>
        <v>0.52749615612682499</v>
      </c>
      <c r="X57" s="328">
        <f t="shared" si="9"/>
        <v>0.53915785354874846</v>
      </c>
      <c r="Y57" s="328">
        <f t="shared" si="10"/>
        <v>1.1593963382178107E-2</v>
      </c>
      <c r="Z57" s="334"/>
      <c r="AA57" s="571">
        <f t="shared" si="30"/>
        <v>0.44852095603830577</v>
      </c>
      <c r="AB57" s="327">
        <f t="shared" si="31"/>
        <v>0.54242934076497984</v>
      </c>
      <c r="AC57" s="327">
        <f t="shared" si="11"/>
        <v>0.55147904396169423</v>
      </c>
      <c r="AD57" s="327">
        <f t="shared" si="12"/>
        <v>9.0088778778977252E-3</v>
      </c>
      <c r="AE57" s="383"/>
      <c r="AF57" s="574">
        <f t="shared" si="1"/>
        <v>0.41709128748998947</v>
      </c>
      <c r="AG57" s="376">
        <f t="shared" si="28"/>
        <v>0.57452769798313441</v>
      </c>
      <c r="AH57" s="376">
        <f t="shared" si="13"/>
        <v>0.58290871251001053</v>
      </c>
      <c r="AI57" s="553">
        <f t="shared" si="14"/>
        <v>8.3459917350983126E-3</v>
      </c>
      <c r="AJ57" s="374"/>
      <c r="AK57" s="577">
        <f t="shared" si="2"/>
        <v>0.39869457114283713</v>
      </c>
      <c r="AL57" s="376">
        <f t="shared" si="15"/>
        <v>0.59289295954454302</v>
      </c>
      <c r="AM57" s="376">
        <f t="shared" si="16"/>
        <v>0.60130542885716287</v>
      </c>
      <c r="AN57" s="553">
        <f t="shared" si="17"/>
        <v>8.3771835088923829E-3</v>
      </c>
      <c r="AO57" s="554"/>
      <c r="AP57" s="580">
        <f t="shared" si="3"/>
        <v>0.45889400150313753</v>
      </c>
      <c r="AQ57" s="376">
        <f t="shared" si="18"/>
        <v>0.53136809284114572</v>
      </c>
      <c r="AR57" s="379">
        <f t="shared" si="19"/>
        <v>0.54110599849686247</v>
      </c>
      <c r="AS57" s="376">
        <f t="shared" si="20"/>
        <v>9.6906457809096125E-3</v>
      </c>
      <c r="AT57" s="384"/>
      <c r="AU57" s="583">
        <f t="shared" si="4"/>
        <v>0.40517729715889794</v>
      </c>
      <c r="AV57" s="381">
        <f t="shared" si="32"/>
        <v>0.88855398120371287</v>
      </c>
      <c r="AW57" s="376">
        <f t="shared" si="6"/>
        <v>0.90343053690655117</v>
      </c>
      <c r="AX57" s="503">
        <f t="shared" ref="AX57:AX96" si="34">1-EXP(AV57-AW57)</f>
        <v>1.4766446439807179E-2</v>
      </c>
      <c r="AY57" s="376">
        <f t="shared" si="7"/>
        <v>1.1327696361211117</v>
      </c>
      <c r="AZ57" s="381">
        <f t="shared" si="22"/>
        <v>4.1567046592905284E-2</v>
      </c>
      <c r="BA57" s="586">
        <f t="shared" si="23"/>
        <v>0.40745651870780591</v>
      </c>
      <c r="BB57" s="376">
        <f t="shared" si="24"/>
        <v>0.58680352658708201</v>
      </c>
      <c r="BC57" s="376">
        <f t="shared" si="25"/>
        <v>0.59254348129219414</v>
      </c>
      <c r="BD57" s="376">
        <f t="shared" si="26"/>
        <v>5.7235126390505764E-3</v>
      </c>
      <c r="BE57" s="283"/>
      <c r="BF57" s="392">
        <v>8.41</v>
      </c>
      <c r="BG57" s="393">
        <v>0.66500000000000004</v>
      </c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  <c r="CK57" s="283"/>
      <c r="CL57" s="283"/>
    </row>
    <row r="58" spans="1:90" ht="14.25" customHeight="1" x14ac:dyDescent="0.2">
      <c r="A58" s="3"/>
      <c r="B58" s="334"/>
      <c r="C58" s="252" t="s">
        <v>403</v>
      </c>
      <c r="D58" s="325">
        <v>1.453748E-2</v>
      </c>
      <c r="E58" s="325">
        <v>7.6980480000000004E-2</v>
      </c>
      <c r="F58" s="252"/>
      <c r="G58" s="334"/>
      <c r="H58" s="252"/>
      <c r="I58" s="252"/>
      <c r="J58" s="252"/>
      <c r="K58" s="252"/>
      <c r="L58" s="334"/>
      <c r="M58" s="340" t="s">
        <v>405</v>
      </c>
      <c r="N58" s="327">
        <f ca="1"/>
        <v>-7.7455890287388279E-3</v>
      </c>
      <c r="O58" s="252"/>
      <c r="P58" s="336"/>
      <c r="Q58" s="3"/>
      <c r="R58" s="3"/>
      <c r="S58" s="334"/>
      <c r="T58" s="373">
        <f t="shared" si="33"/>
        <v>32</v>
      </c>
      <c r="U58" s="334"/>
      <c r="V58" s="568">
        <f t="shared" si="27"/>
        <v>0.44946826718895555</v>
      </c>
      <c r="W58" s="328">
        <f t="shared" si="8"/>
        <v>0.53915785354874846</v>
      </c>
      <c r="X58" s="328">
        <f t="shared" si="9"/>
        <v>0.55053173281104439</v>
      </c>
      <c r="Y58" s="328">
        <f t="shared" si="10"/>
        <v>1.130944123239741E-2</v>
      </c>
      <c r="Z58" s="334"/>
      <c r="AA58" s="571">
        <f t="shared" si="30"/>
        <v>0.4397153319580917</v>
      </c>
      <c r="AB58" s="327">
        <f t="shared" si="31"/>
        <v>0.55147904396169423</v>
      </c>
      <c r="AC58" s="327">
        <f t="shared" si="11"/>
        <v>0.56028466804190824</v>
      </c>
      <c r="AD58" s="327">
        <f t="shared" si="12"/>
        <v>8.7669681189913584E-3</v>
      </c>
      <c r="AE58" s="383"/>
      <c r="AF58" s="574">
        <f t="shared" si="1"/>
        <v>0.40901208570294523</v>
      </c>
      <c r="AG58" s="376">
        <f t="shared" si="28"/>
        <v>0.58290871251001053</v>
      </c>
      <c r="AH58" s="376">
        <f t="shared" si="13"/>
        <v>0.59098791429705477</v>
      </c>
      <c r="AI58" s="553">
        <f t="shared" si="14"/>
        <v>8.0466527520115516E-3</v>
      </c>
      <c r="AJ58" s="374"/>
      <c r="AK58" s="577">
        <f t="shared" si="2"/>
        <v>0.39060575425757632</v>
      </c>
      <c r="AL58" s="376">
        <f t="shared" si="15"/>
        <v>0.60130542885716287</v>
      </c>
      <c r="AM58" s="376">
        <f t="shared" si="16"/>
        <v>0.60939424574242373</v>
      </c>
      <c r="AN58" s="553">
        <f t="shared" si="17"/>
        <v>8.0561904350187064E-3</v>
      </c>
      <c r="AO58" s="554"/>
      <c r="AP58" s="580">
        <f t="shared" si="3"/>
        <v>0.44939586845142609</v>
      </c>
      <c r="AQ58" s="376">
        <f t="shared" si="18"/>
        <v>0.54110599849686247</v>
      </c>
      <c r="AR58" s="379">
        <f t="shared" si="19"/>
        <v>0.55060413154857391</v>
      </c>
      <c r="AS58" s="376">
        <f t="shared" si="20"/>
        <v>9.4531682591135757E-3</v>
      </c>
      <c r="AT58" s="384"/>
      <c r="AU58" s="583">
        <f t="shared" si="4"/>
        <v>0.3994300967359305</v>
      </c>
      <c r="AV58" s="381">
        <f t="shared" si="32"/>
        <v>0.90343053690655117</v>
      </c>
      <c r="AW58" s="376">
        <f t="shared" si="6"/>
        <v>0.91771650596732346</v>
      </c>
      <c r="AX58" s="503">
        <f t="shared" si="34"/>
        <v>1.4184408808851745E-2</v>
      </c>
      <c r="AY58" s="376">
        <f t="shared" si="7"/>
        <v>1.1577420738674467</v>
      </c>
      <c r="AZ58" s="381">
        <f t="shared" si="22"/>
        <v>3.9755021019507605E-2</v>
      </c>
      <c r="BA58" s="586">
        <f t="shared" si="23"/>
        <v>0.40196695951540062</v>
      </c>
      <c r="BB58" s="376">
        <f t="shared" si="24"/>
        <v>0.59254348129219414</v>
      </c>
      <c r="BC58" s="376">
        <f t="shared" si="25"/>
        <v>0.59803304048459938</v>
      </c>
      <c r="BD58" s="376">
        <f t="shared" si="26"/>
        <v>5.474519096093422E-3</v>
      </c>
      <c r="BE58" s="283"/>
      <c r="BF58" s="392">
        <v>9.23</v>
      </c>
      <c r="BG58" s="393">
        <v>0.65500000000000003</v>
      </c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  <c r="CK58" s="283"/>
      <c r="CL58" s="283"/>
    </row>
    <row r="59" spans="1:90" ht="14.25" customHeight="1" x14ac:dyDescent="0.2">
      <c r="A59" s="3"/>
      <c r="B59" s="334"/>
      <c r="C59" s="252"/>
      <c r="D59" s="252"/>
      <c r="E59" s="252"/>
      <c r="F59" s="252"/>
      <c r="G59" s="334"/>
      <c r="H59" s="252"/>
      <c r="I59" s="252"/>
      <c r="J59" s="252"/>
      <c r="K59" s="252"/>
      <c r="L59" s="334"/>
      <c r="M59" s="252"/>
      <c r="N59" s="252"/>
      <c r="O59" s="252"/>
      <c r="P59" s="336"/>
      <c r="Q59" s="3"/>
      <c r="R59" s="3"/>
      <c r="S59" s="334"/>
      <c r="T59" s="373">
        <f t="shared" si="33"/>
        <v>33</v>
      </c>
      <c r="U59" s="334"/>
      <c r="V59" s="568">
        <f t="shared" si="27"/>
        <v>0.43837510254981088</v>
      </c>
      <c r="W59" s="328">
        <f t="shared" si="8"/>
        <v>0.55053173281104439</v>
      </c>
      <c r="X59" s="328">
        <f t="shared" si="9"/>
        <v>0.56162489745018918</v>
      </c>
      <c r="Y59" s="328">
        <f t="shared" si="10"/>
        <v>1.1031862376380652E-2</v>
      </c>
      <c r="Z59" s="334"/>
      <c r="AA59" s="571">
        <f t="shared" si="30"/>
        <v>0.4311439663961083</v>
      </c>
      <c r="AB59" s="327">
        <f t="shared" si="31"/>
        <v>0.56028466804190824</v>
      </c>
      <c r="AC59" s="327">
        <f t="shared" si="11"/>
        <v>0.5688560336038917</v>
      </c>
      <c r="AD59" s="327">
        <f t="shared" si="12"/>
        <v>8.5347361376237885E-3</v>
      </c>
      <c r="AE59" s="383"/>
      <c r="AF59" s="574">
        <f t="shared" si="1"/>
        <v>0.40121819790568114</v>
      </c>
      <c r="AG59" s="376">
        <f t="shared" si="28"/>
        <v>0.59098791429705477</v>
      </c>
      <c r="AH59" s="376">
        <f t="shared" si="13"/>
        <v>0.59878180209431886</v>
      </c>
      <c r="AI59" s="553">
        <f t="shared" si="14"/>
        <v>7.7635942064712138E-3</v>
      </c>
      <c r="AJ59" s="374"/>
      <c r="AK59" s="577">
        <f t="shared" si="2"/>
        <v>0.38282279353356546</v>
      </c>
      <c r="AL59" s="376">
        <f t="shared" si="15"/>
        <v>0.60939424574242373</v>
      </c>
      <c r="AM59" s="376">
        <f t="shared" si="16"/>
        <v>0.61717720646643448</v>
      </c>
      <c r="AN59" s="553">
        <f t="shared" si="17"/>
        <v>7.7527519073432583E-3</v>
      </c>
      <c r="AO59" s="554"/>
      <c r="AP59" s="580">
        <f t="shared" si="3"/>
        <v>0.44012929149816582</v>
      </c>
      <c r="AQ59" s="376">
        <f t="shared" si="18"/>
        <v>0.55060413154857391</v>
      </c>
      <c r="AR59" s="379">
        <f t="shared" si="19"/>
        <v>0.55987070850183418</v>
      </c>
      <c r="AS59" s="376">
        <f t="shared" si="20"/>
        <v>9.2237745416903216E-3</v>
      </c>
      <c r="AT59" s="384"/>
      <c r="AU59" s="583">
        <f t="shared" si="4"/>
        <v>0.39398780017960894</v>
      </c>
      <c r="AV59" s="381">
        <f t="shared" si="32"/>
        <v>0.91771650596732346</v>
      </c>
      <c r="AW59" s="376">
        <f t="shared" si="6"/>
        <v>0.931435334174743</v>
      </c>
      <c r="AX59" s="503">
        <f t="shared" si="34"/>
        <v>1.3625153940063695E-2</v>
      </c>
      <c r="AY59" s="376">
        <f t="shared" si="7"/>
        <v>1.1819460057197986</v>
      </c>
      <c r="AZ59" s="381">
        <f t="shared" si="22"/>
        <v>3.8074175518034693E-2</v>
      </c>
      <c r="BA59" s="586">
        <f t="shared" si="23"/>
        <v>0.39670996448378609</v>
      </c>
      <c r="BB59" s="376">
        <f t="shared" si="24"/>
        <v>0.59803304048459938</v>
      </c>
      <c r="BC59" s="376">
        <f t="shared" si="25"/>
        <v>0.60329003551621385</v>
      </c>
      <c r="BD59" s="376">
        <f t="shared" si="26"/>
        <v>5.2432012151600871E-3</v>
      </c>
      <c r="BE59" s="283"/>
      <c r="BF59" s="392">
        <v>9.4499999999999993</v>
      </c>
      <c r="BG59" s="393">
        <v>0.64200000000000002</v>
      </c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  <c r="CK59" s="283"/>
      <c r="CL59" s="283"/>
    </row>
    <row r="60" spans="1:90" ht="14.25" customHeight="1" x14ac:dyDescent="0.2">
      <c r="A60" s="3"/>
      <c r="B60" s="334"/>
      <c r="C60" s="335" t="s">
        <v>396</v>
      </c>
      <c r="D60" s="252"/>
      <c r="E60" s="252"/>
      <c r="F60" s="252"/>
      <c r="G60" s="334"/>
      <c r="H60" s="252"/>
      <c r="I60" s="252"/>
      <c r="J60" s="252"/>
      <c r="K60" s="252"/>
      <c r="L60" s="334"/>
      <c r="M60" s="348" t="s">
        <v>184</v>
      </c>
      <c r="N60" s="350">
        <f ca="1">EXP(N57)</f>
        <v>21.423959137139839</v>
      </c>
      <c r="O60" s="252"/>
      <c r="P60" s="336"/>
      <c r="Q60" s="3"/>
      <c r="R60" s="3"/>
      <c r="S60" s="334"/>
      <c r="T60" s="373">
        <f t="shared" si="33"/>
        <v>34</v>
      </c>
      <c r="U60" s="334"/>
      <c r="V60" s="568">
        <f t="shared" si="27"/>
        <v>0.42755572431716998</v>
      </c>
      <c r="W60" s="328">
        <f t="shared" si="8"/>
        <v>0.56162489745018918</v>
      </c>
      <c r="X60" s="328">
        <f t="shared" si="9"/>
        <v>0.57244427568283007</v>
      </c>
      <c r="Y60" s="328">
        <f t="shared" si="10"/>
        <v>1.0761059274421281E-2</v>
      </c>
      <c r="Z60" s="334"/>
      <c r="AA60" s="571">
        <f t="shared" si="30"/>
        <v>0.42279763817057203</v>
      </c>
      <c r="AB60" s="327">
        <f t="shared" si="31"/>
        <v>0.5688560336038917</v>
      </c>
      <c r="AC60" s="327">
        <f t="shared" si="11"/>
        <v>0.57720236182942797</v>
      </c>
      <c r="AD60" s="327">
        <f t="shared" si="12"/>
        <v>8.3115943287868088E-3</v>
      </c>
      <c r="AE60" s="383"/>
      <c r="AF60" s="574">
        <f t="shared" si="1"/>
        <v>0.39369434766083478</v>
      </c>
      <c r="AG60" s="376">
        <f t="shared" si="28"/>
        <v>0.59878180209431886</v>
      </c>
      <c r="AH60" s="376">
        <f t="shared" si="13"/>
        <v>0.60630565233916522</v>
      </c>
      <c r="AI60" s="553">
        <f t="shared" si="14"/>
        <v>7.4956169356962254E-3</v>
      </c>
      <c r="AJ60" s="374"/>
      <c r="AK60" s="577">
        <f t="shared" si="2"/>
        <v>0.3753291418260708</v>
      </c>
      <c r="AL60" s="376">
        <f t="shared" si="15"/>
        <v>0.61717720646643448</v>
      </c>
      <c r="AM60" s="376">
        <f t="shared" si="16"/>
        <v>0.6246708581739292</v>
      </c>
      <c r="AN60" s="553">
        <f t="shared" si="17"/>
        <v>7.465644302450003E-3</v>
      </c>
      <c r="AO60" s="554"/>
      <c r="AP60" s="580">
        <f t="shared" si="3"/>
        <v>0.43108650552276984</v>
      </c>
      <c r="AQ60" s="376">
        <f t="shared" si="18"/>
        <v>0.55987070850183418</v>
      </c>
      <c r="AR60" s="379">
        <f t="shared" si="19"/>
        <v>0.56891349447723016</v>
      </c>
      <c r="AS60" s="376">
        <f t="shared" si="20"/>
        <v>9.002022949272992E-3</v>
      </c>
      <c r="AT60" s="384"/>
      <c r="AU60" s="583">
        <f t="shared" si="4"/>
        <v>0.38883136570522792</v>
      </c>
      <c r="AV60" s="381">
        <f t="shared" si="32"/>
        <v>0.931435334174743</v>
      </c>
      <c r="AW60" s="376">
        <f t="shared" si="6"/>
        <v>0.94460953653959923</v>
      </c>
      <c r="AX60" s="503">
        <f t="shared" si="34"/>
        <v>1.3087802393958126E-2</v>
      </c>
      <c r="AY60" s="376">
        <f t="shared" si="7"/>
        <v>1.2054273231713768</v>
      </c>
      <c r="AZ60" s="381">
        <f t="shared" si="22"/>
        <v>3.6511456372667263E-2</v>
      </c>
      <c r="BA60" s="586">
        <f t="shared" si="23"/>
        <v>0.39166943057778719</v>
      </c>
      <c r="BB60" s="376">
        <f t="shared" si="24"/>
        <v>0.60329003551621385</v>
      </c>
      <c r="BC60" s="376">
        <f t="shared" si="25"/>
        <v>0.60833056942221275</v>
      </c>
      <c r="BD60" s="376">
        <f t="shared" si="26"/>
        <v>5.0278517322265293E-3</v>
      </c>
      <c r="BE60" s="283"/>
      <c r="BF60" s="392">
        <v>10.1</v>
      </c>
      <c r="BG60" s="393">
        <v>0.64100000000000001</v>
      </c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  <c r="CK60" s="283"/>
      <c r="CL60" s="283"/>
    </row>
    <row r="61" spans="1:90" ht="14.25" customHeight="1" x14ac:dyDescent="0.2">
      <c r="A61" s="3"/>
      <c r="B61" s="341"/>
      <c r="C61" s="351" t="s">
        <v>397</v>
      </c>
      <c r="D61" s="343">
        <v>-504.65550000000002</v>
      </c>
      <c r="E61" s="344"/>
      <c r="F61" s="344"/>
      <c r="G61" s="341"/>
      <c r="H61" s="344"/>
      <c r="I61" s="344"/>
      <c r="J61" s="344"/>
      <c r="K61" s="344"/>
      <c r="L61" s="341"/>
      <c r="M61" s="349" t="s">
        <v>186</v>
      </c>
      <c r="N61" s="329">
        <f ca="1">1/(EXP(N58))</f>
        <v>1.0077756637019808</v>
      </c>
      <c r="O61" s="344"/>
      <c r="P61" s="345"/>
      <c r="Q61" s="3"/>
      <c r="R61" s="3"/>
      <c r="S61" s="334"/>
      <c r="T61" s="373">
        <f t="shared" si="33"/>
        <v>35</v>
      </c>
      <c r="U61" s="334"/>
      <c r="V61" s="568">
        <f t="shared" si="27"/>
        <v>0.41700337526720871</v>
      </c>
      <c r="W61" s="328">
        <f t="shared" si="8"/>
        <v>0.57244427568283007</v>
      </c>
      <c r="X61" s="328">
        <f t="shared" si="9"/>
        <v>0.58299662473279135</v>
      </c>
      <c r="Y61" s="328">
        <f t="shared" si="10"/>
        <v>1.0496868336829279E-2</v>
      </c>
      <c r="Z61" s="334"/>
      <c r="AA61" s="571">
        <f t="shared" si="30"/>
        <v>0.41466767348134326</v>
      </c>
      <c r="AB61" s="327">
        <f t="shared" si="31"/>
        <v>0.57720236182942797</v>
      </c>
      <c r="AC61" s="327">
        <f t="shared" si="11"/>
        <v>0.58533232651865674</v>
      </c>
      <c r="AD61" s="327">
        <f t="shared" si="12"/>
        <v>8.0970059047026366E-3</v>
      </c>
      <c r="AE61" s="383"/>
      <c r="AF61" s="574">
        <f t="shared" si="1"/>
        <v>0.38642636673614283</v>
      </c>
      <c r="AG61" s="376">
        <f t="shared" si="28"/>
        <v>0.60630565233916522</v>
      </c>
      <c r="AH61" s="376">
        <f t="shared" si="13"/>
        <v>0.61357363326385717</v>
      </c>
      <c r="AI61" s="553">
        <f t="shared" si="14"/>
        <v>7.2416330219912117E-3</v>
      </c>
      <c r="AJ61" s="374"/>
      <c r="AK61" s="577">
        <f t="shared" si="2"/>
        <v>0.36810939626735878</v>
      </c>
      <c r="AL61" s="376">
        <f t="shared" si="15"/>
        <v>0.6246708581739292</v>
      </c>
      <c r="AM61" s="376">
        <f t="shared" si="16"/>
        <v>0.63189060373264128</v>
      </c>
      <c r="AN61" s="553">
        <f t="shared" si="17"/>
        <v>7.193745803911078E-3</v>
      </c>
      <c r="AO61" s="554"/>
      <c r="AP61" s="580">
        <f t="shared" si="3"/>
        <v>0.42226015842468434</v>
      </c>
      <c r="AQ61" s="376">
        <f t="shared" si="18"/>
        <v>0.56891349447723016</v>
      </c>
      <c r="AR61" s="379">
        <f t="shared" si="19"/>
        <v>0.57773984157531566</v>
      </c>
      <c r="AS61" s="376">
        <f t="shared" si="20"/>
        <v>8.7875092459880344E-3</v>
      </c>
      <c r="AT61" s="384"/>
      <c r="AU61" s="583">
        <f t="shared" si="4"/>
        <v>0.38394316919085314</v>
      </c>
      <c r="AV61" s="381">
        <f t="shared" si="32"/>
        <v>0.94460953653959923</v>
      </c>
      <c r="AW61" s="376">
        <f t="shared" si="6"/>
        <v>0.95726073424585179</v>
      </c>
      <c r="AX61" s="503">
        <f t="shared" si="34"/>
        <v>1.2571507716485297E-2</v>
      </c>
      <c r="AY61" s="376">
        <f t="shared" si="7"/>
        <v>1.2282279259807978</v>
      </c>
      <c r="AZ61" s="381">
        <f t="shared" si="22"/>
        <v>3.5055442677091105E-2</v>
      </c>
      <c r="BA61" s="586">
        <f t="shared" si="23"/>
        <v>0.38683077403729882</v>
      </c>
      <c r="BB61" s="376">
        <f t="shared" si="24"/>
        <v>0.60833056942221275</v>
      </c>
      <c r="BC61" s="376">
        <f t="shared" si="25"/>
        <v>0.61316922596270118</v>
      </c>
      <c r="BD61" s="376">
        <f t="shared" si="26"/>
        <v>4.826969100031886E-3</v>
      </c>
      <c r="BE61" s="283"/>
      <c r="BF61" s="392">
        <v>10.1</v>
      </c>
      <c r="BG61" s="393">
        <v>0.621</v>
      </c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  <c r="CK61" s="283"/>
      <c r="CL61" s="283"/>
    </row>
    <row r="62" spans="1:90" ht="14.25" customHeight="1" x14ac:dyDescent="0.2">
      <c r="A62" s="3"/>
      <c r="B62" s="252"/>
      <c r="C62" s="3"/>
      <c r="D62" s="3"/>
      <c r="E62" s="3"/>
      <c r="F62" s="3"/>
      <c r="G62" s="252"/>
      <c r="H62" s="3"/>
      <c r="I62" s="3"/>
      <c r="J62" s="3"/>
      <c r="K62" s="3"/>
      <c r="L62" s="252"/>
      <c r="M62" s="3"/>
      <c r="N62" s="3"/>
      <c r="O62" s="3"/>
      <c r="P62" s="3"/>
      <c r="Q62" s="3"/>
      <c r="R62" s="3"/>
      <c r="S62" s="334"/>
      <c r="T62" s="373">
        <f t="shared" si="33"/>
        <v>36</v>
      </c>
      <c r="U62" s="334"/>
      <c r="V62" s="568">
        <f t="shared" si="27"/>
        <v>0.40671146494871341</v>
      </c>
      <c r="W62" s="328">
        <f t="shared" si="8"/>
        <v>0.58299662473279135</v>
      </c>
      <c r="X62" s="328">
        <f t="shared" si="9"/>
        <v>0.59328853505128665</v>
      </c>
      <c r="Y62" s="328">
        <f t="shared" si="10"/>
        <v>1.0239129835349914E-2</v>
      </c>
      <c r="Z62" s="334"/>
      <c r="AA62" s="571">
        <f t="shared" si="30"/>
        <v>0.40674589978067127</v>
      </c>
      <c r="AB62" s="327">
        <f t="shared" si="31"/>
        <v>0.58533232651865674</v>
      </c>
      <c r="AC62" s="327">
        <f t="shared" si="11"/>
        <v>0.59325410021932878</v>
      </c>
      <c r="AD62" s="327">
        <f t="shared" si="12"/>
        <v>7.8904791420500997E-3</v>
      </c>
      <c r="AE62" s="383"/>
      <c r="AF62" s="574">
        <f t="shared" si="1"/>
        <v>0.37940109376887998</v>
      </c>
      <c r="AG62" s="376">
        <f t="shared" si="28"/>
        <v>0.61357363326385717</v>
      </c>
      <c r="AH62" s="376">
        <f t="shared" si="13"/>
        <v>0.62059890623112002</v>
      </c>
      <c r="AI62" s="553">
        <f t="shared" si="14"/>
        <v>7.0006534238713503E-3</v>
      </c>
      <c r="AJ62" s="374"/>
      <c r="AK62" s="577">
        <f t="shared" si="2"/>
        <v>0.3611492034744555</v>
      </c>
      <c r="AL62" s="376">
        <f t="shared" si="15"/>
        <v>0.63189060373264128</v>
      </c>
      <c r="AM62" s="376">
        <f t="shared" si="16"/>
        <v>0.63885079652554455</v>
      </c>
      <c r="AN62" s="553">
        <f t="shared" si="17"/>
        <v>6.9360267503224549E-3</v>
      </c>
      <c r="AO62" s="554"/>
      <c r="AP62" s="580">
        <f t="shared" si="3"/>
        <v>0.41364327717658533</v>
      </c>
      <c r="AQ62" s="376">
        <f t="shared" si="18"/>
        <v>0.57773984157531566</v>
      </c>
      <c r="AR62" s="379">
        <f t="shared" si="19"/>
        <v>0.58635672282341467</v>
      </c>
      <c r="AS62" s="376">
        <f t="shared" si="20"/>
        <v>8.5798623323856127E-3</v>
      </c>
      <c r="AT62" s="384"/>
      <c r="AU62" s="583">
        <f t="shared" si="4"/>
        <v>0.37930688062224527</v>
      </c>
      <c r="AV62" s="381">
        <f t="shared" si="32"/>
        <v>0.95726073424585179</v>
      </c>
      <c r="AW62" s="376">
        <f t="shared" si="6"/>
        <v>0.9694096901347985</v>
      </c>
      <c r="AX62" s="503">
        <f t="shared" si="34"/>
        <v>1.2075455277349323E-2</v>
      </c>
      <c r="AY62" s="376">
        <f t="shared" si="7"/>
        <v>1.250386172102889</v>
      </c>
      <c r="AZ62" s="381">
        <f t="shared" si="22"/>
        <v>3.3696102647415661E-2</v>
      </c>
      <c r="BA62" s="586">
        <f t="shared" si="23"/>
        <v>0.38218075131969592</v>
      </c>
      <c r="BB62" s="376">
        <f t="shared" si="24"/>
        <v>0.61316922596270118</v>
      </c>
      <c r="BC62" s="376">
        <f t="shared" si="25"/>
        <v>0.61781924868030402</v>
      </c>
      <c r="BD62" s="376">
        <f t="shared" si="26"/>
        <v>4.6392281001860214E-3</v>
      </c>
      <c r="BE62" s="283"/>
      <c r="BF62" s="392">
        <v>10.4</v>
      </c>
      <c r="BG62" s="393">
        <v>0.61</v>
      </c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  <c r="CK62" s="283"/>
      <c r="CL62" s="283"/>
    </row>
    <row r="63" spans="1:90" ht="14.25" customHeight="1" x14ac:dyDescent="0.2">
      <c r="A63" s="3"/>
      <c r="B63" s="330"/>
      <c r="C63" s="331" t="s">
        <v>410</v>
      </c>
      <c r="D63" s="332"/>
      <c r="E63" s="332"/>
      <c r="F63" s="332"/>
      <c r="G63" s="332"/>
      <c r="H63" s="332"/>
      <c r="I63" s="332"/>
      <c r="J63" s="332"/>
      <c r="K63" s="332"/>
      <c r="L63" s="332"/>
      <c r="M63" s="332"/>
      <c r="N63" s="332"/>
      <c r="O63" s="332"/>
      <c r="P63" s="333"/>
      <c r="Q63" s="3"/>
      <c r="R63" s="3"/>
      <c r="S63" s="334"/>
      <c r="T63" s="373">
        <f t="shared" si="33"/>
        <v>37</v>
      </c>
      <c r="U63" s="334"/>
      <c r="V63" s="568">
        <f t="shared" si="27"/>
        <v>0.39667356556702671</v>
      </c>
      <c r="W63" s="328">
        <f t="shared" si="8"/>
        <v>0.59328853505128665</v>
      </c>
      <c r="X63" s="328">
        <f t="shared" si="9"/>
        <v>0.60332643443297329</v>
      </c>
      <c r="Y63" s="328">
        <f t="shared" si="10"/>
        <v>9.9876878163434046E-3</v>
      </c>
      <c r="Z63" s="334"/>
      <c r="AA63" s="571">
        <f t="shared" si="30"/>
        <v>0.39902460472837636</v>
      </c>
      <c r="AB63" s="327">
        <f t="shared" si="31"/>
        <v>0.59325410021932878</v>
      </c>
      <c r="AC63" s="327">
        <f t="shared" si="11"/>
        <v>0.60097539527162369</v>
      </c>
      <c r="AD63" s="327">
        <f t="shared" si="12"/>
        <v>7.6915624276556738E-3</v>
      </c>
      <c r="AE63" s="383"/>
      <c r="AF63" s="574">
        <f t="shared" si="1"/>
        <v>0.37260628404902441</v>
      </c>
      <c r="AG63" s="376">
        <f t="shared" si="28"/>
        <v>0.62059890623112002</v>
      </c>
      <c r="AH63" s="376">
        <f t="shared" si="13"/>
        <v>0.62739371595097559</v>
      </c>
      <c r="AI63" s="553">
        <f t="shared" si="14"/>
        <v>6.7717771970198237E-3</v>
      </c>
      <c r="AJ63" s="374"/>
      <c r="AK63" s="577">
        <f t="shared" si="2"/>
        <v>0.35443517375033246</v>
      </c>
      <c r="AL63" s="376">
        <f t="shared" si="15"/>
        <v>0.63885079652554455</v>
      </c>
      <c r="AM63" s="376">
        <f t="shared" si="16"/>
        <v>0.6455648262496676</v>
      </c>
      <c r="AN63" s="553">
        <f t="shared" si="17"/>
        <v>6.6915409847235763E-3</v>
      </c>
      <c r="AO63" s="554"/>
      <c r="AP63" s="580">
        <f t="shared" si="3"/>
        <v>0.40522923766901497</v>
      </c>
      <c r="AQ63" s="376">
        <f t="shared" si="18"/>
        <v>0.58635672282341467</v>
      </c>
      <c r="AR63" s="379">
        <f t="shared" si="19"/>
        <v>0.59477076233098503</v>
      </c>
      <c r="AS63" s="376">
        <f t="shared" si="20"/>
        <v>8.3787405488091604E-3</v>
      </c>
      <c r="AT63" s="384"/>
      <c r="AU63" s="583">
        <f t="shared" si="4"/>
        <v>0.37490735278325232</v>
      </c>
      <c r="AV63" s="381">
        <f t="shared" si="32"/>
        <v>0.9694096901347985</v>
      </c>
      <c r="AW63" s="376">
        <f t="shared" si="6"/>
        <v>0.98107634278054956</v>
      </c>
      <c r="AX63" s="503">
        <f t="shared" si="34"/>
        <v>1.1598861143187311E-2</v>
      </c>
      <c r="AY63" s="376">
        <f t="shared" si="7"/>
        <v>1.2719372659602364</v>
      </c>
      <c r="AZ63" s="381">
        <f t="shared" si="22"/>
        <v>3.242459187473426E-2</v>
      </c>
      <c r="BA63" s="586">
        <f t="shared" si="23"/>
        <v>0.37770730509396888</v>
      </c>
      <c r="BB63" s="376">
        <f t="shared" si="24"/>
        <v>0.61781924868030402</v>
      </c>
      <c r="BC63" s="376">
        <f t="shared" si="25"/>
        <v>0.62229269490603112</v>
      </c>
      <c r="BD63" s="376">
        <f t="shared" si="26"/>
        <v>4.4634552687149442E-3</v>
      </c>
      <c r="BE63" s="283"/>
      <c r="BF63" s="392">
        <v>10.8</v>
      </c>
      <c r="BG63" s="393">
        <v>0.6</v>
      </c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  <c r="CK63" s="283"/>
      <c r="CL63" s="283"/>
    </row>
    <row r="64" spans="1:90" ht="14.25" customHeight="1" x14ac:dyDescent="0.2">
      <c r="A64" s="3"/>
      <c r="B64" s="334"/>
      <c r="C64" s="335" t="s">
        <v>391</v>
      </c>
      <c r="D64" s="252"/>
      <c r="E64" s="252"/>
      <c r="F64" s="252"/>
      <c r="G64" s="346"/>
      <c r="H64" s="335" t="s">
        <v>398</v>
      </c>
      <c r="I64" s="252"/>
      <c r="J64" s="252"/>
      <c r="K64" s="252"/>
      <c r="L64" s="352"/>
      <c r="M64" s="335" t="s">
        <v>399</v>
      </c>
      <c r="N64" s="252"/>
      <c r="O64" s="252"/>
      <c r="P64" s="336"/>
      <c r="Q64" s="3"/>
      <c r="R64" s="3"/>
      <c r="S64" s="334"/>
      <c r="T64" s="373">
        <f t="shared" si="33"/>
        <v>38</v>
      </c>
      <c r="U64" s="334"/>
      <c r="V64" s="568">
        <f t="shared" si="27"/>
        <v>0.3868834079695791</v>
      </c>
      <c r="W64" s="328">
        <f t="shared" si="8"/>
        <v>0.60332643443297329</v>
      </c>
      <c r="X64" s="328">
        <f t="shared" si="9"/>
        <v>0.6131165920304209</v>
      </c>
      <c r="Y64" s="328">
        <f t="shared" si="10"/>
        <v>9.7423900157016519E-3</v>
      </c>
      <c r="Z64" s="334"/>
      <c r="AA64" s="571">
        <f t="shared" si="30"/>
        <v>0.39149649954422472</v>
      </c>
      <c r="AB64" s="327">
        <f t="shared" si="31"/>
        <v>0.60097539527162369</v>
      </c>
      <c r="AC64" s="327">
        <f t="shared" si="11"/>
        <v>0.60850350045577528</v>
      </c>
      <c r="AD64" s="327">
        <f t="shared" si="12"/>
        <v>7.4998399726219356E-3</v>
      </c>
      <c r="AE64" s="383"/>
      <c r="AF64" s="574">
        <f t="shared" si="1"/>
        <v>0.36603052900856015</v>
      </c>
      <c r="AG64" s="376">
        <f t="shared" si="28"/>
        <v>0.62739371595097559</v>
      </c>
      <c r="AH64" s="376">
        <f t="shared" si="13"/>
        <v>0.63396947099143985</v>
      </c>
      <c r="AI64" s="553">
        <f t="shared" si="14"/>
        <v>6.5541820753666213E-3</v>
      </c>
      <c r="AJ64" s="374"/>
      <c r="AK64" s="577">
        <f t="shared" si="2"/>
        <v>0.34795480333711165</v>
      </c>
      <c r="AL64" s="376">
        <f t="shared" si="15"/>
        <v>0.6455648262496676</v>
      </c>
      <c r="AM64" s="376">
        <f t="shared" si="16"/>
        <v>0.6520451966628884</v>
      </c>
      <c r="AN64" s="553">
        <f t="shared" si="17"/>
        <v>6.4594180968957637E-3</v>
      </c>
      <c r="AO64" s="554"/>
      <c r="AP64" s="580">
        <f t="shared" si="3"/>
        <v>0.39701173782375887</v>
      </c>
      <c r="AQ64" s="376">
        <f t="shared" si="18"/>
        <v>0.59477076233098503</v>
      </c>
      <c r="AR64" s="379">
        <f t="shared" si="19"/>
        <v>0.60298826217624113</v>
      </c>
      <c r="AS64" s="376">
        <f t="shared" si="20"/>
        <v>8.1838284879851564E-3</v>
      </c>
      <c r="AT64" s="384"/>
      <c r="AU64" s="583">
        <f t="shared" si="4"/>
        <v>0.37073052084380048</v>
      </c>
      <c r="AV64" s="381">
        <f t="shared" si="32"/>
        <v>0.98107634278054956</v>
      </c>
      <c r="AW64" s="376">
        <f t="shared" si="6"/>
        <v>0.99227983921273644</v>
      </c>
      <c r="AX64" s="503">
        <f t="shared" si="34"/>
        <v>1.1140970985081267E-2</v>
      </c>
      <c r="AY64" s="376">
        <f t="shared" si="7"/>
        <v>1.2929135949254247</v>
      </c>
      <c r="AZ64" s="381">
        <f t="shared" si="22"/>
        <v>3.1233085390789173E-2</v>
      </c>
      <c r="BA64" s="586">
        <f t="shared" si="23"/>
        <v>0.373399431262949</v>
      </c>
      <c r="BB64" s="376">
        <f t="shared" si="24"/>
        <v>0.62229269490603112</v>
      </c>
      <c r="BC64" s="376">
        <f t="shared" si="25"/>
        <v>0.62660056873705106</v>
      </c>
      <c r="BD64" s="376">
        <f t="shared" si="26"/>
        <v>4.2986082523043256E-3</v>
      </c>
      <c r="BE64" s="283"/>
      <c r="BF64" s="392">
        <v>11.4</v>
      </c>
      <c r="BG64" s="393">
        <v>0.58499999999999996</v>
      </c>
      <c r="BH64" s="396" t="s">
        <v>414</v>
      </c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  <c r="CK64" s="283"/>
      <c r="CL64" s="283"/>
    </row>
    <row r="65" spans="1:90" ht="14.25" customHeight="1" x14ac:dyDescent="0.2">
      <c r="A65" s="3"/>
      <c r="B65" s="334"/>
      <c r="C65" s="252"/>
      <c r="D65" s="337" t="s">
        <v>404</v>
      </c>
      <c r="E65" s="337" t="s">
        <v>407</v>
      </c>
      <c r="F65" s="252"/>
      <c r="G65" s="334"/>
      <c r="H65" s="252"/>
      <c r="I65" s="252"/>
      <c r="J65" s="252"/>
      <c r="K65" s="252"/>
      <c r="L65" s="334"/>
      <c r="M65" s="252"/>
      <c r="N65" s="252"/>
      <c r="O65" s="252"/>
      <c r="P65" s="336"/>
      <c r="Q65" s="3"/>
      <c r="R65" s="3"/>
      <c r="S65" s="334"/>
      <c r="T65" s="373">
        <f t="shared" si="33"/>
        <v>39</v>
      </c>
      <c r="U65" s="334"/>
      <c r="V65" s="568">
        <f t="shared" si="27"/>
        <v>0.37733487773050067</v>
      </c>
      <c r="W65" s="328">
        <f t="shared" si="8"/>
        <v>0.6131165920304209</v>
      </c>
      <c r="X65" s="328">
        <f t="shared" si="9"/>
        <v>0.62266512226949933</v>
      </c>
      <c r="Y65" s="328">
        <f t="shared" si="10"/>
        <v>9.503087775476371E-3</v>
      </c>
      <c r="Z65" s="334"/>
      <c r="AA65" s="571">
        <f t="shared" si="30"/>
        <v>0.38415468617929382</v>
      </c>
      <c r="AB65" s="327">
        <f t="shared" si="31"/>
        <v>0.60850350045577528</v>
      </c>
      <c r="AC65" s="327">
        <f t="shared" si="11"/>
        <v>0.61584531382070618</v>
      </c>
      <c r="AD65" s="327">
        <f t="shared" si="12"/>
        <v>7.3149280889827084E-3</v>
      </c>
      <c r="AE65" s="383"/>
      <c r="AF65" s="574">
        <f t="shared" si="1"/>
        <v>0.35966318420651966</v>
      </c>
      <c r="AG65" s="376">
        <f t="shared" si="28"/>
        <v>0.63396947099143985</v>
      </c>
      <c r="AH65" s="376">
        <f t="shared" si="13"/>
        <v>0.64033681579348034</v>
      </c>
      <c r="AI65" s="553">
        <f t="shared" si="14"/>
        <v>6.3471162190191777E-3</v>
      </c>
      <c r="AJ65" s="374"/>
      <c r="AK65" s="577">
        <f t="shared" si="2"/>
        <v>0.34169640388442662</v>
      </c>
      <c r="AL65" s="376">
        <f t="shared" si="15"/>
        <v>0.6520451966628884</v>
      </c>
      <c r="AM65" s="376">
        <f t="shared" si="16"/>
        <v>0.65830359611557343</v>
      </c>
      <c r="AN65" s="553">
        <f t="shared" si="17"/>
        <v>6.2388564613660158E-3</v>
      </c>
      <c r="AO65" s="554"/>
      <c r="AP65" s="580">
        <f t="shared" si="3"/>
        <v>0.38898477353768746</v>
      </c>
      <c r="AQ65" s="376">
        <f t="shared" si="18"/>
        <v>0.60298826217624113</v>
      </c>
      <c r="AR65" s="379">
        <f t="shared" si="19"/>
        <v>0.61101522646231254</v>
      </c>
      <c r="AS65" s="376">
        <f t="shared" si="20"/>
        <v>7.9948342346465306E-3</v>
      </c>
      <c r="AT65" s="384"/>
      <c r="AU65" s="583">
        <f t="shared" si="4"/>
        <v>0.36676331165980391</v>
      </c>
      <c r="AV65" s="381">
        <f t="shared" si="32"/>
        <v>0.99227983921273644</v>
      </c>
      <c r="AW65" s="376">
        <f t="shared" si="6"/>
        <v>1.003038566340156</v>
      </c>
      <c r="AX65" s="503">
        <f t="shared" si="34"/>
        <v>1.0701059019815884E-2</v>
      </c>
      <c r="AY65" s="376">
        <f t="shared" si="7"/>
        <v>1.3133450220884813</v>
      </c>
      <c r="AZ65" s="381">
        <f t="shared" si="22"/>
        <v>3.0114637161921858E-2</v>
      </c>
      <c r="BA65" s="586">
        <f t="shared" si="23"/>
        <v>0.36924706371448757</v>
      </c>
      <c r="BB65" s="376">
        <f t="shared" si="24"/>
        <v>0.62660056873705106</v>
      </c>
      <c r="BC65" s="376">
        <f t="shared" si="25"/>
        <v>0.63075293628551243</v>
      </c>
      <c r="BD65" s="376">
        <f t="shared" si="26"/>
        <v>4.143758390584118E-3</v>
      </c>
      <c r="BE65" s="283"/>
      <c r="BF65" s="392">
        <v>11.6</v>
      </c>
      <c r="BG65" s="393">
        <v>0.57499999999999996</v>
      </c>
      <c r="BH65" s="283"/>
      <c r="BI65" s="647" t="s">
        <v>573</v>
      </c>
      <c r="BJ65" s="648"/>
      <c r="BK65" s="648"/>
      <c r="BL65" s="648"/>
      <c r="BM65" s="648"/>
      <c r="BN65" s="648"/>
      <c r="BO65" s="648"/>
      <c r="BP65" s="649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</row>
    <row r="66" spans="1:90" ht="14.25" customHeight="1" x14ac:dyDescent="0.2">
      <c r="A66" s="3"/>
      <c r="B66" s="334"/>
      <c r="C66" s="252" t="s">
        <v>411</v>
      </c>
      <c r="D66" s="325">
        <v>-0.28427980000000003</v>
      </c>
      <c r="E66" s="325">
        <v>0.1116862</v>
      </c>
      <c r="F66" s="252"/>
      <c r="G66" s="334"/>
      <c r="H66" s="348" t="s">
        <v>411</v>
      </c>
      <c r="I66" s="350">
        <f>EXP(D66)</f>
        <v>0.75255605006257198</v>
      </c>
      <c r="J66" s="252"/>
      <c r="K66" s="252"/>
      <c r="L66" s="334"/>
      <c r="M66" s="252" t="s">
        <v>400</v>
      </c>
      <c r="N66" s="252"/>
      <c r="O66" s="252"/>
      <c r="P66" s="336"/>
      <c r="Q66" s="3"/>
      <c r="R66" s="3"/>
      <c r="S66" s="334"/>
      <c r="T66" s="373">
        <f t="shared" si="33"/>
        <v>40</v>
      </c>
      <c r="U66" s="334"/>
      <c r="V66" s="568">
        <f t="shared" si="27"/>
        <v>0.36802201133186729</v>
      </c>
      <c r="W66" s="328">
        <f t="shared" si="8"/>
        <v>0.62266512226949933</v>
      </c>
      <c r="X66" s="328">
        <f t="shared" si="9"/>
        <v>0.63197798866813271</v>
      </c>
      <c r="Y66" s="328">
        <f t="shared" si="10"/>
        <v>9.2696359621976532E-3</v>
      </c>
      <c r="Z66" s="334"/>
      <c r="AA66" s="571">
        <f t="shared" si="30"/>
        <v>0.37699262781745579</v>
      </c>
      <c r="AB66" s="327">
        <f t="shared" si="31"/>
        <v>0.61584531382070618</v>
      </c>
      <c r="AC66" s="327">
        <f t="shared" si="11"/>
        <v>0.62300737218254421</v>
      </c>
      <c r="AD66" s="327">
        <f t="shared" si="12"/>
        <v>7.1364719420990985E-3</v>
      </c>
      <c r="AE66" s="383"/>
      <c r="AF66" s="574">
        <f t="shared" si="1"/>
        <v>0.35349430476967658</v>
      </c>
      <c r="AG66" s="376">
        <f t="shared" si="28"/>
        <v>0.64033681579348034</v>
      </c>
      <c r="AH66" s="376">
        <f t="shared" si="13"/>
        <v>0.64650569523032342</v>
      </c>
      <c r="AI66" s="553">
        <f t="shared" si="14"/>
        <v>6.1498909660164802E-3</v>
      </c>
      <c r="AJ66" s="374"/>
      <c r="AK66" s="577">
        <f t="shared" si="2"/>
        <v>0.33564903838898935</v>
      </c>
      <c r="AL66" s="376">
        <f t="shared" si="15"/>
        <v>0.65830359611557343</v>
      </c>
      <c r="AM66" s="376">
        <f t="shared" si="16"/>
        <v>0.66435096161101059</v>
      </c>
      <c r="AN66" s="553">
        <f t="shared" si="17"/>
        <v>6.0291169843884607E-3</v>
      </c>
      <c r="AO66" s="554"/>
      <c r="AP66" s="580">
        <f t="shared" si="3"/>
        <v>0.38114261708770525</v>
      </c>
      <c r="AQ66" s="376">
        <f t="shared" si="18"/>
        <v>0.61101522646231254</v>
      </c>
      <c r="AR66" s="379">
        <f t="shared" si="19"/>
        <v>0.61885738291229475</v>
      </c>
      <c r="AS66" s="376">
        <f t="shared" si="20"/>
        <v>7.8114869650879326E-3</v>
      </c>
      <c r="AT66" s="384"/>
      <c r="AU66" s="583">
        <f t="shared" si="4"/>
        <v>0.36299356174039782</v>
      </c>
      <c r="AV66" s="381">
        <f t="shared" si="32"/>
        <v>1.003038566340156</v>
      </c>
      <c r="AW66" s="376">
        <f t="shared" si="6"/>
        <v>1.0133701811269231</v>
      </c>
      <c r="AX66" s="503">
        <f t="shared" si="34"/>
        <v>1.0278426984274724E-2</v>
      </c>
      <c r="AY66" s="376">
        <f t="shared" si="7"/>
        <v>1.333259141952444</v>
      </c>
      <c r="AZ66" s="381">
        <f t="shared" si="22"/>
        <v>2.9063061960889397E-2</v>
      </c>
      <c r="BA66" s="586">
        <f t="shared" si="23"/>
        <v>0.36524097408327921</v>
      </c>
      <c r="BB66" s="376">
        <f t="shared" si="24"/>
        <v>0.63075293628551243</v>
      </c>
      <c r="BC66" s="376">
        <f t="shared" si="25"/>
        <v>0.63475902591672084</v>
      </c>
      <c r="BD66" s="376">
        <f t="shared" si="26"/>
        <v>3.9980759588764681E-3</v>
      </c>
      <c r="BE66" s="283"/>
      <c r="BF66" s="392">
        <v>12</v>
      </c>
      <c r="BG66" s="393">
        <v>0.56299999999999994</v>
      </c>
      <c r="BH66" s="283"/>
      <c r="BI66" s="438" t="s">
        <v>444</v>
      </c>
      <c r="BJ66" s="354" t="s">
        <v>253</v>
      </c>
      <c r="BK66" s="354" t="s">
        <v>448</v>
      </c>
      <c r="BL66" s="354" t="s">
        <v>445</v>
      </c>
      <c r="BM66" s="354" t="s">
        <v>446</v>
      </c>
      <c r="BN66" s="354" t="s">
        <v>447</v>
      </c>
      <c r="BO66" s="354" t="s">
        <v>574</v>
      </c>
      <c r="BP66" s="355" t="s">
        <v>575</v>
      </c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  <c r="CK66" s="283"/>
      <c r="CL66" s="283"/>
    </row>
    <row r="67" spans="1:90" ht="14.25" customHeight="1" x14ac:dyDescent="0.2">
      <c r="A67" s="3"/>
      <c r="B67" s="334"/>
      <c r="C67" s="252" t="s">
        <v>412</v>
      </c>
      <c r="D67" s="325">
        <v>-4.0776745999999999</v>
      </c>
      <c r="E67" s="325">
        <v>0.19412260000000001</v>
      </c>
      <c r="F67" s="252"/>
      <c r="G67" s="334"/>
      <c r="H67" s="340"/>
      <c r="I67" s="252"/>
      <c r="J67" s="252"/>
      <c r="K67" s="252"/>
      <c r="L67" s="334"/>
      <c r="M67" s="252" t="s">
        <v>411</v>
      </c>
      <c r="N67" s="328">
        <f ca="1">_xlfn.NORM.INV(RAND(),0,1)</f>
        <v>-0.29291512496184846</v>
      </c>
      <c r="O67" s="252"/>
      <c r="P67" s="336"/>
      <c r="Q67" s="3"/>
      <c r="R67" s="3"/>
      <c r="S67" s="334"/>
      <c r="T67" s="373">
        <f t="shared" si="33"/>
        <v>41</v>
      </c>
      <c r="U67" s="334"/>
      <c r="V67" s="568">
        <f t="shared" si="27"/>
        <v>0.35893899243919586</v>
      </c>
      <c r="W67" s="328">
        <f t="shared" si="8"/>
        <v>0.63197798866813271</v>
      </c>
      <c r="X67" s="328">
        <f t="shared" si="9"/>
        <v>0.64106100756080409</v>
      </c>
      <c r="Y67" s="328">
        <f t="shared" si="10"/>
        <v>9.0418928868564175E-3</v>
      </c>
      <c r="Z67" s="334"/>
      <c r="AA67" s="571">
        <f t="shared" si="30"/>
        <v>0.37000412229169821</v>
      </c>
      <c r="AB67" s="327">
        <f t="shared" si="31"/>
        <v>0.62300737218254421</v>
      </c>
      <c r="AC67" s="327">
        <f t="shared" si="11"/>
        <v>0.62999587770830179</v>
      </c>
      <c r="AD67" s="327">
        <f t="shared" si="12"/>
        <v>6.9641427072826279E-3</v>
      </c>
      <c r="AE67" s="383"/>
      <c r="AF67" s="574">
        <f t="shared" si="1"/>
        <v>0.34751458739265395</v>
      </c>
      <c r="AG67" s="376">
        <f t="shared" si="28"/>
        <v>0.64650569523032342</v>
      </c>
      <c r="AH67" s="376">
        <f t="shared" si="13"/>
        <v>0.65248541260734605</v>
      </c>
      <c r="AI67" s="553">
        <f t="shared" si="14"/>
        <v>5.9618744500037346E-3</v>
      </c>
      <c r="AJ67" s="374"/>
      <c r="AK67" s="577">
        <f t="shared" si="2"/>
        <v>0.32980246294383142</v>
      </c>
      <c r="AL67" s="376">
        <f t="shared" si="15"/>
        <v>0.66435096161101059</v>
      </c>
      <c r="AM67" s="376">
        <f t="shared" si="16"/>
        <v>0.67019753705616858</v>
      </c>
      <c r="AN67" s="553">
        <f t="shared" si="17"/>
        <v>5.8295174826853424E-3</v>
      </c>
      <c r="AO67" s="554"/>
      <c r="AP67" s="580">
        <f t="shared" si="3"/>
        <v>0.3734797976840567</v>
      </c>
      <c r="AQ67" s="376">
        <f t="shared" si="18"/>
        <v>0.61885738291229475</v>
      </c>
      <c r="AR67" s="379">
        <f t="shared" si="19"/>
        <v>0.6265202023159433</v>
      </c>
      <c r="AS67" s="376">
        <f t="shared" si="20"/>
        <v>7.6335348515277346E-3</v>
      </c>
      <c r="AT67" s="384"/>
      <c r="AU67" s="583">
        <f t="shared" si="4"/>
        <v>0.35940994296082684</v>
      </c>
      <c r="AV67" s="381">
        <f t="shared" si="32"/>
        <v>1.0133701811269231</v>
      </c>
      <c r="AW67" s="376">
        <f t="shared" si="6"/>
        <v>1.0232916395706551</v>
      </c>
      <c r="AX67" s="503">
        <f t="shared" si="34"/>
        <v>9.8724031423285119E-3</v>
      </c>
      <c r="AY67" s="376">
        <f t="shared" si="7"/>
        <v>1.3526815045512988</v>
      </c>
      <c r="AZ67" s="381">
        <f t="shared" si="22"/>
        <v>2.8072835596038622E-2</v>
      </c>
      <c r="BA67" s="586">
        <f t="shared" si="23"/>
        <v>0.36137268427308467</v>
      </c>
      <c r="BB67" s="376">
        <f t="shared" si="24"/>
        <v>0.63475902591672084</v>
      </c>
      <c r="BC67" s="376">
        <f t="shared" si="25"/>
        <v>0.63862731572691533</v>
      </c>
      <c r="BD67" s="376">
        <f t="shared" si="26"/>
        <v>3.8608176151436746E-3</v>
      </c>
      <c r="BE67" s="283"/>
      <c r="BF67" s="392">
        <v>12.3</v>
      </c>
      <c r="BG67" s="393">
        <v>0.54300000000000004</v>
      </c>
      <c r="BH67" s="283"/>
      <c r="BI67" s="437" t="s">
        <v>390</v>
      </c>
      <c r="BJ67" s="439">
        <v>53710</v>
      </c>
      <c r="BK67" s="437">
        <v>3.97</v>
      </c>
      <c r="BL67" s="437">
        <v>3.58</v>
      </c>
      <c r="BM67" s="437">
        <v>2.62</v>
      </c>
      <c r="BN67" s="437">
        <v>2.33</v>
      </c>
      <c r="BO67" s="588">
        <v>72185</v>
      </c>
      <c r="BP67" s="588">
        <v>56495</v>
      </c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  <c r="CK67" s="283"/>
      <c r="CL67" s="283"/>
    </row>
    <row r="68" spans="1:90" ht="14.25" customHeight="1" x14ac:dyDescent="0.2">
      <c r="A68" s="3"/>
      <c r="B68" s="334"/>
      <c r="C68" s="252"/>
      <c r="D68" s="252"/>
      <c r="E68" s="252"/>
      <c r="F68" s="252"/>
      <c r="G68" s="334"/>
      <c r="H68" s="348" t="s">
        <v>412</v>
      </c>
      <c r="I68" s="329">
        <f>EXP(D67)</f>
        <v>1.6946828022223501E-2</v>
      </c>
      <c r="J68" s="252"/>
      <c r="K68" s="252"/>
      <c r="L68" s="334"/>
      <c r="M68" s="252" t="s">
        <v>412</v>
      </c>
      <c r="N68" s="328">
        <f ca="1">_xlfn.NORM.INV(RAND(),0,1)</f>
        <v>0.68256480434127276</v>
      </c>
      <c r="O68" s="252"/>
      <c r="P68" s="336"/>
      <c r="Q68" s="3"/>
      <c r="R68" s="3"/>
      <c r="S68" s="334"/>
      <c r="T68" s="373">
        <f t="shared" si="33"/>
        <v>42</v>
      </c>
      <c r="U68" s="334"/>
      <c r="V68" s="568">
        <f t="shared" si="27"/>
        <v>0.35008014826886252</v>
      </c>
      <c r="W68" s="328">
        <f t="shared" si="8"/>
        <v>0.64106100756080409</v>
      </c>
      <c r="X68" s="328">
        <f t="shared" si="9"/>
        <v>0.64991985173113753</v>
      </c>
      <c r="Y68" s="328">
        <f t="shared" si="10"/>
        <v>8.8197202265289931E-3</v>
      </c>
      <c r="Z68" s="334"/>
      <c r="AA68" s="571">
        <f t="shared" si="30"/>
        <v>0.3631832780609478</v>
      </c>
      <c r="AB68" s="327">
        <f t="shared" si="31"/>
        <v>0.62999587770830179</v>
      </c>
      <c r="AC68" s="327">
        <f t="shared" si="11"/>
        <v>0.63681672193905214</v>
      </c>
      <c r="AD68" s="327">
        <f t="shared" si="12"/>
        <v>6.7976350714074041E-3</v>
      </c>
      <c r="AE68" s="383"/>
      <c r="AF68" s="574">
        <f t="shared" si="1"/>
        <v>0.34171531812306122</v>
      </c>
      <c r="AG68" s="376">
        <f t="shared" si="28"/>
        <v>0.65248541260734605</v>
      </c>
      <c r="AH68" s="376">
        <f t="shared" si="13"/>
        <v>0.65828468187693878</v>
      </c>
      <c r="AI68" s="553">
        <f t="shared" si="14"/>
        <v>5.7824859668657025E-3</v>
      </c>
      <c r="AJ68" s="374"/>
      <c r="AK68" s="577">
        <f t="shared" si="2"/>
        <v>0.32414707370870155</v>
      </c>
      <c r="AL68" s="376">
        <f t="shared" si="15"/>
        <v>0.67019753705616858</v>
      </c>
      <c r="AM68" s="376">
        <f t="shared" si="16"/>
        <v>0.67585292629129845</v>
      </c>
      <c r="AN68" s="553">
        <f t="shared" si="17"/>
        <v>5.6394276253103337E-3</v>
      </c>
      <c r="AO68" s="554"/>
      <c r="AP68" s="580">
        <f t="shared" si="3"/>
        <v>0.36599108390596047</v>
      </c>
      <c r="AQ68" s="376">
        <f t="shared" si="18"/>
        <v>0.6265202023159433</v>
      </c>
      <c r="AR68" s="379">
        <f t="shared" si="19"/>
        <v>0.63400891609403953</v>
      </c>
      <c r="AS68" s="376">
        <f t="shared" si="20"/>
        <v>7.4607432257753903E-3</v>
      </c>
      <c r="AT68" s="384"/>
      <c r="AU68" s="583">
        <f t="shared" si="4"/>
        <v>0.3560018952065947</v>
      </c>
      <c r="AV68" s="381">
        <f t="shared" si="32"/>
        <v>1.0232916395706551</v>
      </c>
      <c r="AW68" s="376">
        <f t="shared" si="6"/>
        <v>1.032819224530247</v>
      </c>
      <c r="AX68" s="503">
        <f t="shared" si="34"/>
        <v>9.4823413235499698E-3</v>
      </c>
      <c r="AY68" s="376">
        <f t="shared" si="7"/>
        <v>1.3716358125573951</v>
      </c>
      <c r="AZ68" s="381">
        <f t="shared" si="22"/>
        <v>2.7139010277795226E-2</v>
      </c>
      <c r="BA68" s="586">
        <f t="shared" si="23"/>
        <v>0.35763438986827745</v>
      </c>
      <c r="BB68" s="376">
        <f t="shared" si="24"/>
        <v>0.63862731572691533</v>
      </c>
      <c r="BC68" s="376">
        <f t="shared" si="25"/>
        <v>0.64236561013172255</v>
      </c>
      <c r="BD68" s="376">
        <f t="shared" si="26"/>
        <v>3.7313156811615844E-3</v>
      </c>
      <c r="BE68" s="283"/>
      <c r="BF68" s="392">
        <v>13.6</v>
      </c>
      <c r="BG68" s="393">
        <v>0.54100000000000004</v>
      </c>
      <c r="BH68" s="283"/>
      <c r="BI68" s="437" t="s">
        <v>402</v>
      </c>
      <c r="BJ68" s="439">
        <v>61091</v>
      </c>
      <c r="BK68" s="437">
        <v>4.91</v>
      </c>
      <c r="BL68" s="437">
        <v>4.62</v>
      </c>
      <c r="BM68" s="437">
        <v>3.24</v>
      </c>
      <c r="BN68" s="437">
        <v>3.03</v>
      </c>
      <c r="BO68" s="588">
        <v>84168</v>
      </c>
      <c r="BP68" s="588">
        <v>71154</v>
      </c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  <c r="CK68" s="283"/>
      <c r="CL68" s="283"/>
    </row>
    <row r="69" spans="1:90" ht="14.25" customHeight="1" x14ac:dyDescent="0.2">
      <c r="A69" s="3"/>
      <c r="B69" s="334"/>
      <c r="C69" s="335" t="s">
        <v>395</v>
      </c>
      <c r="D69" s="252"/>
      <c r="E69" s="252"/>
      <c r="F69" s="252"/>
      <c r="G69" s="334"/>
      <c r="H69" s="252"/>
      <c r="I69" s="252"/>
      <c r="J69" s="252"/>
      <c r="K69" s="252"/>
      <c r="L69" s="334"/>
      <c r="M69" s="252"/>
      <c r="N69" s="252"/>
      <c r="O69" s="252"/>
      <c r="P69" s="336"/>
      <c r="Q69" s="3"/>
      <c r="R69" s="3"/>
      <c r="S69" s="334"/>
      <c r="T69" s="373">
        <f t="shared" si="33"/>
        <v>43</v>
      </c>
      <c r="U69" s="334"/>
      <c r="V69" s="568">
        <f t="shared" si="27"/>
        <v>0.34143994604517569</v>
      </c>
      <c r="W69" s="328">
        <f t="shared" si="8"/>
        <v>0.64991985173113753</v>
      </c>
      <c r="X69" s="328">
        <f t="shared" si="9"/>
        <v>0.65856005395482431</v>
      </c>
      <c r="Y69" s="328">
        <f t="shared" si="10"/>
        <v>8.6029829476146347E-3</v>
      </c>
      <c r="Z69" s="334"/>
      <c r="AA69" s="571">
        <f t="shared" si="30"/>
        <v>0.35652449244379675</v>
      </c>
      <c r="AB69" s="327">
        <f t="shared" si="31"/>
        <v>0.63681672193905214</v>
      </c>
      <c r="AC69" s="327">
        <f t="shared" si="11"/>
        <v>0.64347550755620331</v>
      </c>
      <c r="AD69" s="327">
        <f t="shared" si="12"/>
        <v>6.6366650301851182E-3</v>
      </c>
      <c r="AE69" s="383"/>
      <c r="AF69" s="574">
        <f t="shared" si="1"/>
        <v>0.33608832526077614</v>
      </c>
      <c r="AG69" s="376">
        <f t="shared" si="28"/>
        <v>0.65828468187693878</v>
      </c>
      <c r="AH69" s="376">
        <f t="shared" si="13"/>
        <v>0.66391167473922386</v>
      </c>
      <c r="AI69" s="553">
        <f t="shared" si="14"/>
        <v>5.6111909908478363E-3</v>
      </c>
      <c r="AJ69" s="374"/>
      <c r="AK69" s="577">
        <f t="shared" si="2"/>
        <v>0.31867385857773489</v>
      </c>
      <c r="AL69" s="376">
        <f t="shared" si="15"/>
        <v>0.67585292629129845</v>
      </c>
      <c r="AM69" s="376">
        <f t="shared" si="16"/>
        <v>0.68132614142226511</v>
      </c>
      <c r="AN69" s="553">
        <f t="shared" si="17"/>
        <v>5.4582643776975859E-3</v>
      </c>
      <c r="AO69" s="554"/>
      <c r="AP69" s="580">
        <f t="shared" si="3"/>
        <v>0.35867146779233194</v>
      </c>
      <c r="AQ69" s="376">
        <f t="shared" si="18"/>
        <v>0.63400891609403953</v>
      </c>
      <c r="AR69" s="379">
        <f t="shared" si="19"/>
        <v>0.64132853220766806</v>
      </c>
      <c r="AS69" s="376">
        <f t="shared" si="20"/>
        <v>7.2928929644187068E-3</v>
      </c>
      <c r="AT69" s="384"/>
      <c r="AU69" s="583">
        <f t="shared" si="4"/>
        <v>0.35275956522824164</v>
      </c>
      <c r="AV69" s="381">
        <f t="shared" si="32"/>
        <v>1.032819224530247</v>
      </c>
      <c r="AW69" s="376">
        <f t="shared" si="6"/>
        <v>1.0419685724489081</v>
      </c>
      <c r="AX69" s="503">
        <f t="shared" si="34"/>
        <v>9.1076199930661961E-3</v>
      </c>
      <c r="AY69" s="376">
        <f t="shared" si="7"/>
        <v>1.3901440951929231</v>
      </c>
      <c r="AZ69" s="381">
        <f t="shared" si="22"/>
        <v>2.6257142528687553E-2</v>
      </c>
      <c r="BA69" s="586">
        <f t="shared" si="23"/>
        <v>0.35401889287221355</v>
      </c>
      <c r="BB69" s="376">
        <f t="shared" si="24"/>
        <v>0.64236561013172255</v>
      </c>
      <c r="BC69" s="376">
        <f t="shared" si="25"/>
        <v>0.64598110712778645</v>
      </c>
      <c r="BD69" s="376">
        <f t="shared" si="26"/>
        <v>3.6089689565385052E-3</v>
      </c>
      <c r="BE69" s="283"/>
      <c r="BF69" s="392">
        <v>14</v>
      </c>
      <c r="BG69" s="393">
        <v>0.52600000000000002</v>
      </c>
      <c r="BH69" s="283"/>
      <c r="BI69" s="437" t="s">
        <v>449</v>
      </c>
      <c r="BJ69" s="439">
        <v>60614</v>
      </c>
      <c r="BK69" s="437">
        <v>4.95</v>
      </c>
      <c r="BL69" s="437">
        <v>4.67</v>
      </c>
      <c r="BM69" s="437">
        <v>3.27</v>
      </c>
      <c r="BN69" s="437">
        <v>3.06</v>
      </c>
      <c r="BO69" s="588">
        <v>84071</v>
      </c>
      <c r="BP69" s="588">
        <v>71062</v>
      </c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  <c r="CK69" s="283"/>
      <c r="CL69" s="283"/>
    </row>
    <row r="70" spans="1:90" ht="14.25" customHeight="1" x14ac:dyDescent="0.2">
      <c r="A70" s="3"/>
      <c r="B70" s="334"/>
      <c r="C70" s="252"/>
      <c r="D70" s="337" t="s">
        <v>411</v>
      </c>
      <c r="E70" s="337" t="s">
        <v>412</v>
      </c>
      <c r="F70" s="252"/>
      <c r="G70" s="334"/>
      <c r="H70" s="252"/>
      <c r="I70" s="252"/>
      <c r="J70" s="252"/>
      <c r="K70" s="252"/>
      <c r="L70" s="334"/>
      <c r="M70" s="252" t="s">
        <v>408</v>
      </c>
      <c r="N70" s="252"/>
      <c r="O70" s="252"/>
      <c r="P70" s="336"/>
      <c r="Q70" s="3"/>
      <c r="R70" s="3"/>
      <c r="S70" s="334"/>
      <c r="T70" s="373">
        <f t="shared" si="33"/>
        <v>44</v>
      </c>
      <c r="U70" s="334"/>
      <c r="V70" s="568">
        <f t="shared" si="27"/>
        <v>0.33301298954489067</v>
      </c>
      <c r="W70" s="328">
        <f t="shared" si="8"/>
        <v>0.65856005395482431</v>
      </c>
      <c r="X70" s="328">
        <f t="shared" si="9"/>
        <v>0.66698701045510933</v>
      </c>
      <c r="Y70" s="328">
        <f t="shared" si="10"/>
        <v>8.3915492306682049E-3</v>
      </c>
      <c r="Z70" s="334"/>
      <c r="AA70" s="571">
        <f t="shared" si="30"/>
        <v>0.35002243184795773</v>
      </c>
      <c r="AB70" s="327">
        <f t="shared" si="31"/>
        <v>0.64347550755620331</v>
      </c>
      <c r="AC70" s="327">
        <f t="shared" si="11"/>
        <v>0.64997756815204233</v>
      </c>
      <c r="AD70" s="327">
        <f t="shared" si="12"/>
        <v>6.4809679398449838E-3</v>
      </c>
      <c r="AE70" s="383"/>
      <c r="AF70" s="574">
        <f t="shared" si="1"/>
        <v>0.33062593678864916</v>
      </c>
      <c r="AG70" s="376">
        <f t="shared" si="28"/>
        <v>0.66391167473922386</v>
      </c>
      <c r="AH70" s="376">
        <f t="shared" si="13"/>
        <v>0.66937406321135084</v>
      </c>
      <c r="AI70" s="553">
        <f t="shared" si="14"/>
        <v>5.4474967553356235E-3</v>
      </c>
      <c r="AJ70" s="374"/>
      <c r="AK70" s="577">
        <f t="shared" si="2"/>
        <v>0.31337435307770045</v>
      </c>
      <c r="AL70" s="376">
        <f t="shared" si="15"/>
        <v>0.68132614142226511</v>
      </c>
      <c r="AM70" s="376">
        <f t="shared" si="16"/>
        <v>0.68662564692229955</v>
      </c>
      <c r="AN70" s="553">
        <f t="shared" si="17"/>
        <v>5.2854878938207728E-3</v>
      </c>
      <c r="AO70" s="554"/>
      <c r="AP70" s="580">
        <f t="shared" si="3"/>
        <v>0.35151615039267736</v>
      </c>
      <c r="AQ70" s="376">
        <f t="shared" si="18"/>
        <v>0.64132853220766806</v>
      </c>
      <c r="AR70" s="379">
        <f t="shared" si="19"/>
        <v>0.64848384960732264</v>
      </c>
      <c r="AS70" s="376">
        <f t="shared" si="20"/>
        <v>7.1297790640448833E-3</v>
      </c>
      <c r="AT70" s="384"/>
      <c r="AU70" s="583">
        <f t="shared" si="4"/>
        <v>0.34967375106819143</v>
      </c>
      <c r="AV70" s="381">
        <f t="shared" si="32"/>
        <v>1.0419685724489081</v>
      </c>
      <c r="AW70" s="376">
        <f t="shared" si="6"/>
        <v>1.0507546990163161</v>
      </c>
      <c r="AX70" s="503">
        <f t="shared" si="34"/>
        <v>8.7476413518472462E-3</v>
      </c>
      <c r="AY70" s="376">
        <f t="shared" si="7"/>
        <v>1.4082268621459504</v>
      </c>
      <c r="AZ70" s="381">
        <f t="shared" si="22"/>
        <v>2.5423231536178773E-2</v>
      </c>
      <c r="BA70" s="586">
        <f t="shared" si="23"/>
        <v>0.35051954246231726</v>
      </c>
      <c r="BB70" s="376">
        <f t="shared" si="24"/>
        <v>0.64598110712778645</v>
      </c>
      <c r="BC70" s="376">
        <f t="shared" si="25"/>
        <v>0.64948045753768269</v>
      </c>
      <c r="BD70" s="376">
        <f t="shared" si="26"/>
        <v>3.493234818862323E-3</v>
      </c>
      <c r="BE70" s="283"/>
      <c r="BF70" s="392">
        <v>14.2</v>
      </c>
      <c r="BG70" s="393">
        <v>0.50700000000000001</v>
      </c>
      <c r="BH70" s="283"/>
      <c r="BI70" s="437" t="s">
        <v>450</v>
      </c>
      <c r="BJ70" s="439">
        <v>60605</v>
      </c>
      <c r="BK70" s="437">
        <v>4.96</v>
      </c>
      <c r="BL70" s="437">
        <v>4.67</v>
      </c>
      <c r="BM70" s="437">
        <v>3.27</v>
      </c>
      <c r="BN70" s="437">
        <v>3.06</v>
      </c>
      <c r="BO70" s="588">
        <v>84056</v>
      </c>
      <c r="BP70" s="588">
        <v>71049</v>
      </c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  <c r="CK70" s="283"/>
      <c r="CL70" s="283"/>
    </row>
    <row r="71" spans="1:90" ht="14.25" customHeight="1" x14ac:dyDescent="0.2">
      <c r="A71" s="3"/>
      <c r="B71" s="334"/>
      <c r="C71" s="252" t="s">
        <v>411</v>
      </c>
      <c r="D71" s="325">
        <v>0.1116762</v>
      </c>
      <c r="E71" s="325">
        <v>0</v>
      </c>
      <c r="F71" s="252"/>
      <c r="G71" s="334"/>
      <c r="H71" s="252"/>
      <c r="I71" s="252"/>
      <c r="J71" s="252"/>
      <c r="K71" s="252"/>
      <c r="L71" s="334"/>
      <c r="M71" s="340" t="s">
        <v>411</v>
      </c>
      <c r="N71" s="327" cm="1">
        <f t="array" aca="1" ref="N71:N72" ca="1">D66:D67+MMULT(D71:E72,N67:N68)</f>
        <v>-0.3169914480782644</v>
      </c>
      <c r="O71" s="252"/>
      <c r="P71" s="336"/>
      <c r="Q71" s="3"/>
      <c r="R71" s="3"/>
      <c r="S71" s="334"/>
      <c r="T71" s="373">
        <f t="shared" si="33"/>
        <v>45</v>
      </c>
      <c r="U71" s="334"/>
      <c r="V71" s="568">
        <f t="shared" si="27"/>
        <v>0.32479401572700767</v>
      </c>
      <c r="W71" s="328">
        <f t="shared" si="8"/>
        <v>0.66698701045510933</v>
      </c>
      <c r="X71" s="328">
        <f t="shared" si="9"/>
        <v>0.67520598427299228</v>
      </c>
      <c r="Y71" s="328">
        <f t="shared" si="10"/>
        <v>8.1852903967953861E-3</v>
      </c>
      <c r="Z71" s="334"/>
      <c r="AA71" s="571">
        <f t="shared" si="30"/>
        <v>0.34367201376992579</v>
      </c>
      <c r="AB71" s="327">
        <f t="shared" si="31"/>
        <v>0.64997756815204233</v>
      </c>
      <c r="AC71" s="327">
        <f t="shared" si="11"/>
        <v>0.65632798623007416</v>
      </c>
      <c r="AD71" s="327">
        <f t="shared" si="12"/>
        <v>6.3302967885464634E-3</v>
      </c>
      <c r="AE71" s="383"/>
      <c r="AF71" s="574">
        <f t="shared" si="1"/>
        <v>0.32532094182720162</v>
      </c>
      <c r="AG71" s="376">
        <f t="shared" si="28"/>
        <v>0.66937406321135084</v>
      </c>
      <c r="AH71" s="376">
        <f t="shared" si="13"/>
        <v>0.67467905817279838</v>
      </c>
      <c r="AI71" s="553">
        <f t="shared" si="14"/>
        <v>5.2909483257645995E-3</v>
      </c>
      <c r="AJ71" s="374"/>
      <c r="AK71" s="577">
        <f t="shared" si="2"/>
        <v>0.30824060008073939</v>
      </c>
      <c r="AL71" s="376">
        <f t="shared" si="15"/>
        <v>0.68662564692229955</v>
      </c>
      <c r="AM71" s="376">
        <f t="shared" si="16"/>
        <v>0.69175939991926061</v>
      </c>
      <c r="AN71" s="553">
        <f t="shared" si="17"/>
        <v>5.1205978085010484E-3</v>
      </c>
      <c r="AO71" s="554"/>
      <c r="AP71" s="580">
        <f t="shared" si="3"/>
        <v>0.34452052861033911</v>
      </c>
      <c r="AQ71" s="376">
        <f t="shared" si="18"/>
        <v>0.64848384960732264</v>
      </c>
      <c r="AR71" s="379">
        <f t="shared" si="19"/>
        <v>0.65547947138966089</v>
      </c>
      <c r="AS71" s="376">
        <f t="shared" si="20"/>
        <v>6.9712093800927688E-3</v>
      </c>
      <c r="AT71" s="384"/>
      <c r="AU71" s="583">
        <f t="shared" si="4"/>
        <v>0.34673585149305702</v>
      </c>
      <c r="AV71" s="381">
        <f t="shared" si="32"/>
        <v>1.0507546990163161</v>
      </c>
      <c r="AW71" s="376">
        <f t="shared" si="6"/>
        <v>1.0591920238120063</v>
      </c>
      <c r="AX71" s="503">
        <f t="shared" si="34"/>
        <v>8.401830466712501E-3</v>
      </c>
      <c r="AY71" s="376">
        <f t="shared" si="7"/>
        <v>1.4259032401878864</v>
      </c>
      <c r="AZ71" s="381">
        <f t="shared" si="22"/>
        <v>2.4633666238078125E-2</v>
      </c>
      <c r="BA71" s="586">
        <f t="shared" si="23"/>
        <v>0.34713018265902279</v>
      </c>
      <c r="BB71" s="376">
        <f t="shared" si="24"/>
        <v>0.64948045753768269</v>
      </c>
      <c r="BC71" s="376">
        <f t="shared" si="25"/>
        <v>0.65286981734097727</v>
      </c>
      <c r="BD71" s="376">
        <f t="shared" si="26"/>
        <v>3.3836224072201215E-3</v>
      </c>
      <c r="BE71" s="283"/>
      <c r="BF71" s="392">
        <v>14.8</v>
      </c>
      <c r="BG71" s="393">
        <v>0.5</v>
      </c>
      <c r="BH71" s="283"/>
      <c r="BI71" s="437" t="s">
        <v>131</v>
      </c>
      <c r="BJ71" s="439">
        <v>62703</v>
      </c>
      <c r="BK71" s="437">
        <v>4.83</v>
      </c>
      <c r="BL71" s="437">
        <v>4.55</v>
      </c>
      <c r="BM71" s="437">
        <v>3.19</v>
      </c>
      <c r="BN71" s="437">
        <v>2.98</v>
      </c>
      <c r="BO71" s="588">
        <v>83857</v>
      </c>
      <c r="BP71" s="588">
        <v>70660</v>
      </c>
      <c r="BQ71" s="604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  <c r="CK71" s="283"/>
      <c r="CL71" s="283"/>
    </row>
    <row r="72" spans="1:90" ht="14.25" customHeight="1" x14ac:dyDescent="0.2">
      <c r="A72" s="3"/>
      <c r="B72" s="334"/>
      <c r="C72" s="252" t="s">
        <v>412</v>
      </c>
      <c r="D72" s="325">
        <v>0.15756819999999999</v>
      </c>
      <c r="E72" s="325">
        <v>0.1133836</v>
      </c>
      <c r="F72" s="252"/>
      <c r="G72" s="334"/>
      <c r="H72" s="252"/>
      <c r="I72" s="252"/>
      <c r="J72" s="252"/>
      <c r="K72" s="252"/>
      <c r="L72" s="334"/>
      <c r="M72" s="340" t="s">
        <v>412</v>
      </c>
      <c r="N72" s="327">
        <f ca="1"/>
        <v>-4.046437054243504</v>
      </c>
      <c r="O72" s="252"/>
      <c r="P72" s="336"/>
      <c r="Q72" s="3"/>
      <c r="R72" s="3"/>
      <c r="S72" s="334"/>
      <c r="T72" s="373">
        <f t="shared" si="33"/>
        <v>46</v>
      </c>
      <c r="U72" s="334"/>
      <c r="V72" s="568">
        <f t="shared" si="27"/>
        <v>0.31677789144574897</v>
      </c>
      <c r="W72" s="328">
        <f t="shared" si="8"/>
        <v>0.67520598427299228</v>
      </c>
      <c r="X72" s="328">
        <f t="shared" si="9"/>
        <v>0.68322210855425103</v>
      </c>
      <c r="Y72" s="328">
        <f t="shared" si="10"/>
        <v>7.9840808355921E-3</v>
      </c>
      <c r="Z72" s="334"/>
      <c r="AA72" s="571">
        <f t="shared" si="30"/>
        <v>0.33746839036940135</v>
      </c>
      <c r="AB72" s="327">
        <f t="shared" si="31"/>
        <v>0.65632798623007416</v>
      </c>
      <c r="AC72" s="327">
        <f t="shared" si="11"/>
        <v>0.66253160963059865</v>
      </c>
      <c r="AD72" s="327">
        <f t="shared" si="12"/>
        <v>6.1844206582568617E-3</v>
      </c>
      <c r="AE72" s="383"/>
      <c r="AF72" s="574">
        <f t="shared" si="1"/>
        <v>0.32016655567037522</v>
      </c>
      <c r="AG72" s="376">
        <f t="shared" si="28"/>
        <v>0.67467905817279838</v>
      </c>
      <c r="AH72" s="376">
        <f t="shared" si="13"/>
        <v>0.67983344432962478</v>
      </c>
      <c r="AI72" s="553">
        <f t="shared" si="14"/>
        <v>5.1411251024811033E-3</v>
      </c>
      <c r="AJ72" s="374"/>
      <c r="AK72" s="577">
        <f t="shared" si="2"/>
        <v>0.30326511296028874</v>
      </c>
      <c r="AL72" s="376">
        <f t="shared" si="15"/>
        <v>0.69175939991926061</v>
      </c>
      <c r="AM72" s="376">
        <f t="shared" si="16"/>
        <v>0.6967348870397112</v>
      </c>
      <c r="AN72" s="553">
        <f t="shared" si="17"/>
        <v>4.9631298873205054E-3</v>
      </c>
      <c r="AO72" s="554"/>
      <c r="AP72" s="580">
        <f t="shared" si="3"/>
        <v>0.33768018319305115</v>
      </c>
      <c r="AQ72" s="376">
        <f t="shared" si="18"/>
        <v>0.65547947138966089</v>
      </c>
      <c r="AR72" s="379">
        <f t="shared" si="19"/>
        <v>0.66231981680694885</v>
      </c>
      <c r="AS72" s="376">
        <f t="shared" si="20"/>
        <v>6.817003507141095E-3</v>
      </c>
      <c r="AT72" s="384"/>
      <c r="AU72" s="583">
        <f t="shared" si="4"/>
        <v>0.34393781992796413</v>
      </c>
      <c r="AV72" s="381">
        <f t="shared" si="32"/>
        <v>1.0591920238120063</v>
      </c>
      <c r="AW72" s="376">
        <f t="shared" si="6"/>
        <v>1.0672943939704376</v>
      </c>
      <c r="AX72" s="503">
        <f t="shared" si="34"/>
        <v>8.0696344293341715E-3</v>
      </c>
      <c r="AY72" s="376">
        <f t="shared" si="7"/>
        <v>1.4431910947741975</v>
      </c>
      <c r="AZ72" s="381">
        <f t="shared" si="22"/>
        <v>2.3885179741332817E-2</v>
      </c>
      <c r="BA72" s="586">
        <f t="shared" si="23"/>
        <v>0.34384510597673001</v>
      </c>
      <c r="BB72" s="376">
        <f t="shared" si="24"/>
        <v>0.65286981734097727</v>
      </c>
      <c r="BC72" s="376">
        <f t="shared" si="25"/>
        <v>0.65615489402326999</v>
      </c>
      <c r="BD72" s="376">
        <f t="shared" si="26"/>
        <v>3.2796867216484671E-3</v>
      </c>
      <c r="BE72" s="283"/>
      <c r="BF72" s="392">
        <v>15.1</v>
      </c>
      <c r="BG72" s="393">
        <v>0.48599999999999999</v>
      </c>
      <c r="BH72" s="283"/>
      <c r="BI72" s="437" t="s">
        <v>451</v>
      </c>
      <c r="BJ72" s="439">
        <f>(BO72-BP72)/(BM72-BN72)</f>
        <v>57790.909090909037</v>
      </c>
      <c r="BK72" s="437">
        <v>5.37</v>
      </c>
      <c r="BL72" s="437">
        <v>5.07</v>
      </c>
      <c r="BM72" s="437">
        <v>3.54</v>
      </c>
      <c r="BN72" s="437">
        <v>3.32</v>
      </c>
      <c r="BO72" s="588">
        <v>83411</v>
      </c>
      <c r="BP72" s="588">
        <v>70697</v>
      </c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  <c r="CK72" s="283"/>
      <c r="CL72" s="283"/>
    </row>
    <row r="73" spans="1:90" ht="14.25" customHeight="1" x14ac:dyDescent="0.2">
      <c r="A73" s="3"/>
      <c r="B73" s="334"/>
      <c r="C73" s="252"/>
      <c r="D73" s="252"/>
      <c r="E73" s="252"/>
      <c r="F73" s="252"/>
      <c r="G73" s="334"/>
      <c r="H73" s="252"/>
      <c r="I73" s="252"/>
      <c r="J73" s="252"/>
      <c r="K73" s="252"/>
      <c r="L73" s="334"/>
      <c r="M73" s="252"/>
      <c r="N73" s="252"/>
      <c r="O73" s="252"/>
      <c r="P73" s="336"/>
      <c r="Q73" s="3"/>
      <c r="R73" s="3"/>
      <c r="S73" s="334"/>
      <c r="T73" s="373">
        <f t="shared" si="33"/>
        <v>47</v>
      </c>
      <c r="U73" s="334"/>
      <c r="V73" s="568">
        <f t="shared" si="27"/>
        <v>0.30895961024466145</v>
      </c>
      <c r="W73" s="328">
        <f t="shared" si="8"/>
        <v>0.68322210855425103</v>
      </c>
      <c r="X73" s="328">
        <f t="shared" si="9"/>
        <v>0.69104038975533855</v>
      </c>
      <c r="Y73" s="328">
        <f t="shared" si="10"/>
        <v>7.787797934599161E-3</v>
      </c>
      <c r="Z73" s="334"/>
      <c r="AA73" s="571">
        <f t="shared" si="30"/>
        <v>0.33140693344851507</v>
      </c>
      <c r="AB73" s="327">
        <f t="shared" si="31"/>
        <v>0.66253160963059865</v>
      </c>
      <c r="AC73" s="327">
        <f t="shared" si="11"/>
        <v>0.66859306655148498</v>
      </c>
      <c r="AD73" s="327">
        <f t="shared" si="12"/>
        <v>6.0431233523000616E-3</v>
      </c>
      <c r="AE73" s="383"/>
      <c r="AF73" s="574">
        <f t="shared" si="1"/>
        <v>0.31515638801475465</v>
      </c>
      <c r="AG73" s="376">
        <f t="shared" si="28"/>
        <v>0.67983344432962478</v>
      </c>
      <c r="AH73" s="376">
        <f t="shared" si="13"/>
        <v>0.68484361198524535</v>
      </c>
      <c r="AI73" s="553">
        <f t="shared" si="14"/>
        <v>4.9976377001116346E-3</v>
      </c>
      <c r="AJ73" s="374"/>
      <c r="AK73" s="577">
        <f t="shared" si="2"/>
        <v>0.29844084185853131</v>
      </c>
      <c r="AL73" s="376">
        <f t="shared" si="15"/>
        <v>0.6967348870397112</v>
      </c>
      <c r="AM73" s="376">
        <f t="shared" si="16"/>
        <v>0.70155915814146863</v>
      </c>
      <c r="AN73" s="553">
        <f t="shared" si="17"/>
        <v>4.8126529963976594E-3</v>
      </c>
      <c r="AO73" s="554"/>
      <c r="AP73" s="580">
        <f t="shared" si="3"/>
        <v>0.33099086774502062</v>
      </c>
      <c r="AQ73" s="376">
        <f t="shared" si="18"/>
        <v>0.66231981680694885</v>
      </c>
      <c r="AR73" s="379">
        <f t="shared" si="19"/>
        <v>0.66900913225497938</v>
      </c>
      <c r="AS73" s="376">
        <f t="shared" si="20"/>
        <v>6.6669917818658053E-3</v>
      </c>
      <c r="AT73" s="384"/>
      <c r="AU73" s="583">
        <f t="shared" si="4"/>
        <v>0.3412721224449855</v>
      </c>
      <c r="AV73" s="381">
        <f t="shared" si="32"/>
        <v>1.0672943939704376</v>
      </c>
      <c r="AW73" s="376">
        <f t="shared" si="6"/>
        <v>1.0750751069065774</v>
      </c>
      <c r="AX73" s="503">
        <f t="shared" si="34"/>
        <v>7.7505215435073049E-3</v>
      </c>
      <c r="AY73" s="376">
        <f t="shared" si="7"/>
        <v>1.4601071385665747</v>
      </c>
      <c r="AZ73" s="381">
        <f t="shared" si="22"/>
        <v>2.3174809924077947E-2</v>
      </c>
      <c r="BA73" s="586">
        <f t="shared" si="23"/>
        <v>0.34065901226656015</v>
      </c>
      <c r="BB73" s="376">
        <f t="shared" si="24"/>
        <v>0.65615489402326999</v>
      </c>
      <c r="BC73" s="376">
        <f t="shared" si="25"/>
        <v>0.65934098773343985</v>
      </c>
      <c r="BD73" s="376">
        <f t="shared" si="26"/>
        <v>3.1810234997561304E-3</v>
      </c>
      <c r="BE73" s="283"/>
      <c r="BF73" s="392">
        <v>16.2</v>
      </c>
      <c r="BG73" s="393">
        <v>0.48399999999999999</v>
      </c>
      <c r="BH73" s="283"/>
      <c r="BI73" s="436"/>
      <c r="BJ73" s="436"/>
      <c r="BK73" s="436"/>
      <c r="BL73" s="436"/>
      <c r="BM73" s="436"/>
      <c r="BN73" s="436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  <c r="CK73" s="283"/>
      <c r="CL73" s="283"/>
    </row>
    <row r="74" spans="1:90" ht="14.25" customHeight="1" x14ac:dyDescent="0.2">
      <c r="A74" s="3"/>
      <c r="B74" s="334"/>
      <c r="C74" s="335" t="s">
        <v>396</v>
      </c>
      <c r="D74" s="252"/>
      <c r="E74" s="252"/>
      <c r="F74" s="252"/>
      <c r="G74" s="334"/>
      <c r="H74" s="252"/>
      <c r="I74" s="252"/>
      <c r="J74" s="252"/>
      <c r="K74" s="252"/>
      <c r="L74" s="334"/>
      <c r="M74" s="348" t="s">
        <v>411</v>
      </c>
      <c r="N74" s="350">
        <f ca="1">EXP(N71)</f>
        <v>0.7283369837799506</v>
      </c>
      <c r="O74" s="252"/>
      <c r="P74" s="336"/>
      <c r="Q74" s="3"/>
      <c r="R74" s="3"/>
      <c r="S74" s="334"/>
      <c r="T74" s="373">
        <f t="shared" si="33"/>
        <v>48</v>
      </c>
      <c r="U74" s="334"/>
      <c r="V74" s="568">
        <f t="shared" si="27"/>
        <v>0.3013342892298429</v>
      </c>
      <c r="W74" s="328">
        <f t="shared" si="8"/>
        <v>0.69104038975533855</v>
      </c>
      <c r="X74" s="328">
        <f t="shared" si="9"/>
        <v>0.69866571077015704</v>
      </c>
      <c r="Y74" s="328">
        <f t="shared" si="10"/>
        <v>7.5963220102492901E-3</v>
      </c>
      <c r="Z74" s="334"/>
      <c r="AA74" s="571">
        <f t="shared" si="30"/>
        <v>0.32548322068757185</v>
      </c>
      <c r="AB74" s="327">
        <f t="shared" si="31"/>
        <v>0.66859306655148498</v>
      </c>
      <c r="AC74" s="327">
        <f t="shared" si="11"/>
        <v>0.67451677931242815</v>
      </c>
      <c r="AD74" s="327">
        <f t="shared" si="12"/>
        <v>5.9062021674761711E-3</v>
      </c>
      <c r="AE74" s="383"/>
      <c r="AF74" s="574">
        <f t="shared" si="1"/>
        <v>0.31028441404234708</v>
      </c>
      <c r="AG74" s="376">
        <f t="shared" si="28"/>
        <v>0.68484361198524535</v>
      </c>
      <c r="AH74" s="376">
        <f t="shared" si="13"/>
        <v>0.68971558595765292</v>
      </c>
      <c r="AI74" s="553">
        <f t="shared" si="14"/>
        <v>4.8601251573963111E-3</v>
      </c>
      <c r="AJ74" s="374"/>
      <c r="AK74" s="577">
        <f t="shared" si="2"/>
        <v>0.29376114276882992</v>
      </c>
      <c r="AL74" s="376">
        <f t="shared" si="15"/>
        <v>0.70155915814146863</v>
      </c>
      <c r="AM74" s="376">
        <f t="shared" si="16"/>
        <v>0.70623885723117008</v>
      </c>
      <c r="AN74" s="553">
        <f t="shared" si="17"/>
        <v>4.6687663585289751E-3</v>
      </c>
      <c r="AO74" s="554"/>
      <c r="AP74" s="580">
        <f t="shared" si="3"/>
        <v>0.32444849865108605</v>
      </c>
      <c r="AQ74" s="376">
        <f t="shared" si="18"/>
        <v>0.66900913225497938</v>
      </c>
      <c r="AR74" s="379">
        <f t="shared" si="19"/>
        <v>0.67555150134891395</v>
      </c>
      <c r="AS74" s="376">
        <f t="shared" si="20"/>
        <v>6.5210143927451059E-3</v>
      </c>
      <c r="AT74" s="384"/>
      <c r="AU74" s="583">
        <f t="shared" si="4"/>
        <v>0.33873169940667702</v>
      </c>
      <c r="AV74" s="381">
        <f t="shared" si="32"/>
        <v>1.0750751069065774</v>
      </c>
      <c r="AW74" s="376">
        <f t="shared" si="6"/>
        <v>1.0825469321392978</v>
      </c>
      <c r="AX74" s="503">
        <f t="shared" si="34"/>
        <v>7.4439805399517667E-3</v>
      </c>
      <c r="AY74" s="376">
        <f t="shared" si="7"/>
        <v>1.4766670285290413</v>
      </c>
      <c r="AZ74" s="381">
        <f t="shared" si="22"/>
        <v>2.2499865271312744E-2</v>
      </c>
      <c r="BA74" s="586">
        <f t="shared" si="23"/>
        <v>0.33756697207847958</v>
      </c>
      <c r="BB74" s="376">
        <f t="shared" si="24"/>
        <v>0.65934098773343985</v>
      </c>
      <c r="BC74" s="376">
        <f t="shared" si="25"/>
        <v>0.66243302792152048</v>
      </c>
      <c r="BD74" s="376">
        <f t="shared" si="26"/>
        <v>3.0872647550298504E-3</v>
      </c>
      <c r="BE74" s="283"/>
      <c r="BF74" s="392">
        <v>16.7</v>
      </c>
      <c r="BG74" s="393">
        <v>0.48</v>
      </c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  <c r="CK74" s="283"/>
      <c r="CL74" s="283"/>
    </row>
    <row r="75" spans="1:90" ht="14.25" customHeight="1" x14ac:dyDescent="0.2">
      <c r="A75" s="3"/>
      <c r="B75" s="341"/>
      <c r="C75" s="351" t="s">
        <v>397</v>
      </c>
      <c r="D75" s="343">
        <v>-517.03779999999995</v>
      </c>
      <c r="E75" s="344"/>
      <c r="F75" s="344"/>
      <c r="G75" s="341"/>
      <c r="H75" s="344"/>
      <c r="I75" s="344"/>
      <c r="J75" s="344"/>
      <c r="K75" s="344"/>
      <c r="L75" s="341"/>
      <c r="M75" s="349" t="s">
        <v>412</v>
      </c>
      <c r="N75" s="329">
        <f ca="1">EXP(N72)</f>
        <v>1.7484560331622219E-2</v>
      </c>
      <c r="O75" s="344"/>
      <c r="P75" s="345"/>
      <c r="Q75" s="3"/>
      <c r="R75" s="3"/>
      <c r="S75" s="334"/>
      <c r="T75" s="373">
        <f t="shared" si="33"/>
        <v>49</v>
      </c>
      <c r="U75" s="334"/>
      <c r="V75" s="568">
        <f t="shared" si="27"/>
        <v>0.29389716602033944</v>
      </c>
      <c r="W75" s="328">
        <f t="shared" si="8"/>
        <v>0.69866571077015704</v>
      </c>
      <c r="X75" s="328">
        <f t="shared" si="9"/>
        <v>0.70610283397966056</v>
      </c>
      <c r="Y75" s="328">
        <f t="shared" si="10"/>
        <v>7.409536240280401E-3</v>
      </c>
      <c r="Z75" s="334"/>
      <c r="AA75" s="571">
        <f t="shared" si="30"/>
        <v>0.31969302300753849</v>
      </c>
      <c r="AB75" s="327">
        <f t="shared" si="31"/>
        <v>0.67451677931242815</v>
      </c>
      <c r="AC75" s="327">
        <f t="shared" si="11"/>
        <v>0.68030697699246145</v>
      </c>
      <c r="AD75" s="327">
        <f t="shared" si="12"/>
        <v>5.7734667927366035E-3</v>
      </c>
      <c r="AE75" s="383"/>
      <c r="AF75" s="574">
        <f t="shared" si="1"/>
        <v>0.30554494805813359</v>
      </c>
      <c r="AG75" s="376">
        <f t="shared" si="28"/>
        <v>0.68971558595765292</v>
      </c>
      <c r="AH75" s="376">
        <f t="shared" si="13"/>
        <v>0.69445505194186641</v>
      </c>
      <c r="AI75" s="553">
        <f t="shared" si="14"/>
        <v>4.7282524377076918E-3</v>
      </c>
      <c r="AJ75" s="374"/>
      <c r="AK75" s="577">
        <f t="shared" si="2"/>
        <v>0.28921974916772863</v>
      </c>
      <c r="AL75" s="376">
        <f t="shared" si="15"/>
        <v>0.70623885723117008</v>
      </c>
      <c r="AM75" s="376">
        <f t="shared" si="16"/>
        <v>0.71078025083227137</v>
      </c>
      <c r="AN75" s="553">
        <f t="shared" si="17"/>
        <v>4.5310970659512284E-3</v>
      </c>
      <c r="AO75" s="554"/>
      <c r="AP75" s="580">
        <f t="shared" si="3"/>
        <v>0.31804914581739863</v>
      </c>
      <c r="AQ75" s="376">
        <f t="shared" si="18"/>
        <v>0.67555150134891395</v>
      </c>
      <c r="AR75" s="379">
        <f t="shared" si="19"/>
        <v>0.68195085418260137</v>
      </c>
      <c r="AS75" s="376">
        <f t="shared" si="20"/>
        <v>6.378920582968961E-3</v>
      </c>
      <c r="AT75" s="384"/>
      <c r="AU75" s="583">
        <f t="shared" si="4"/>
        <v>0.33630993040881074</v>
      </c>
      <c r="AV75" s="381">
        <f t="shared" si="32"/>
        <v>1.0825469321392978</v>
      </c>
      <c r="AW75" s="376">
        <f t="shared" si="6"/>
        <v>1.089722132248405</v>
      </c>
      <c r="AX75" s="503">
        <f t="shared" si="34"/>
        <v>7.1495198179214459E-3</v>
      </c>
      <c r="AY75" s="376">
        <f t="shared" si="7"/>
        <v>1.4928854530119009</v>
      </c>
      <c r="AZ75" s="381">
        <f t="shared" si="22"/>
        <v>2.1857895156749334E-2</v>
      </c>
      <c r="BA75" s="586">
        <f t="shared" si="23"/>
        <v>0.33456439396869692</v>
      </c>
      <c r="BB75" s="376">
        <f t="shared" si="24"/>
        <v>0.66243302792152048</v>
      </c>
      <c r="BC75" s="376">
        <f t="shared" si="25"/>
        <v>0.66543560603130314</v>
      </c>
      <c r="BD75" s="376">
        <f t="shared" si="26"/>
        <v>2.9980748803568602E-3</v>
      </c>
      <c r="BE75" s="283"/>
      <c r="BF75" s="392">
        <v>17.100000000000001</v>
      </c>
      <c r="BG75" s="393">
        <v>0.47499999999999998</v>
      </c>
      <c r="BH75" s="283"/>
      <c r="BI75" s="283"/>
      <c r="BJ75" s="283"/>
      <c r="BK75" s="283"/>
      <c r="BL75" s="283"/>
      <c r="BM75" s="283"/>
      <c r="BN75" s="283"/>
      <c r="BO75" s="283"/>
      <c r="BP75" s="283"/>
      <c r="BQ75" s="283"/>
      <c r="BR75" s="283"/>
      <c r="BS75" s="283"/>
      <c r="BT75" s="283"/>
      <c r="BU75" s="283"/>
      <c r="BV75" s="283"/>
      <c r="BW75" s="283"/>
      <c r="BX75" s="283"/>
      <c r="BY75" s="283"/>
      <c r="BZ75" s="283"/>
      <c r="CA75" s="283"/>
      <c r="CB75" s="283"/>
      <c r="CC75" s="283"/>
      <c r="CD75" s="283"/>
      <c r="CE75" s="283"/>
      <c r="CF75" s="283"/>
      <c r="CG75" s="283"/>
      <c r="CH75" s="283"/>
      <c r="CI75" s="283"/>
      <c r="CJ75" s="283"/>
      <c r="CK75" s="283"/>
      <c r="CL75" s="283"/>
    </row>
    <row r="76" spans="1:90" ht="14.25" customHeight="1" x14ac:dyDescent="0.2">
      <c r="A76" s="3"/>
      <c r="B76" s="252"/>
      <c r="C76" s="3"/>
      <c r="D76" s="3"/>
      <c r="E76" s="3"/>
      <c r="F76" s="3"/>
      <c r="G76" s="252"/>
      <c r="H76" s="3"/>
      <c r="I76" s="3"/>
      <c r="J76" s="3"/>
      <c r="K76" s="3"/>
      <c r="L76" s="252"/>
      <c r="M76" s="3"/>
      <c r="N76" s="3"/>
      <c r="O76" s="3"/>
      <c r="P76" s="3"/>
      <c r="Q76" s="3"/>
      <c r="R76" s="3"/>
      <c r="S76" s="334"/>
      <c r="T76" s="373">
        <f t="shared" si="33"/>
        <v>50</v>
      </c>
      <c r="U76" s="334"/>
      <c r="V76" s="568">
        <f t="shared" si="27"/>
        <v>0.28664359577380844</v>
      </c>
      <c r="W76" s="328">
        <f t="shared" si="8"/>
        <v>0.70610283397966056</v>
      </c>
      <c r="X76" s="328">
        <f t="shared" si="9"/>
        <v>0.71335640422619151</v>
      </c>
      <c r="Y76" s="328">
        <f t="shared" si="10"/>
        <v>7.227326597590733E-3</v>
      </c>
      <c r="Z76" s="334"/>
      <c r="AA76" s="571">
        <f t="shared" si="30"/>
        <v>0.31403229294535745</v>
      </c>
      <c r="AB76" s="327">
        <f t="shared" si="31"/>
        <v>0.68030697699246145</v>
      </c>
      <c r="AC76" s="327">
        <f t="shared" si="11"/>
        <v>0.68596770705464261</v>
      </c>
      <c r="AD76" s="327">
        <f t="shared" si="12"/>
        <v>5.6447383189721645E-3</v>
      </c>
      <c r="AE76" s="383"/>
      <c r="AF76" s="574">
        <f t="shared" si="1"/>
        <v>0.30093261941918703</v>
      </c>
      <c r="AG76" s="376">
        <f t="shared" si="28"/>
        <v>0.69445505194186641</v>
      </c>
      <c r="AH76" s="376">
        <f t="shared" si="13"/>
        <v>0.69906738058081297</v>
      </c>
      <c r="AI76" s="553">
        <f t="shared" si="14"/>
        <v>4.6017081858238384E-3</v>
      </c>
      <c r="AJ76" s="374"/>
      <c r="AK76" s="577">
        <f t="shared" si="2"/>
        <v>0.28481074595871042</v>
      </c>
      <c r="AL76" s="376">
        <f t="shared" si="15"/>
        <v>0.71078025083227137</v>
      </c>
      <c r="AM76" s="376">
        <f t="shared" si="16"/>
        <v>0.71518925404128963</v>
      </c>
      <c r="AN76" s="553">
        <f t="shared" si="17"/>
        <v>4.3992978233011737E-3</v>
      </c>
      <c r="AO76" s="554"/>
      <c r="AP76" s="580">
        <f t="shared" si="3"/>
        <v>0.31178902414496279</v>
      </c>
      <c r="AQ76" s="376">
        <f t="shared" si="18"/>
        <v>0.68195085418260137</v>
      </c>
      <c r="AR76" s="379">
        <f t="shared" si="19"/>
        <v>0.68821097585503721</v>
      </c>
      <c r="AS76" s="376">
        <f t="shared" si="20"/>
        <v>6.2405679349613052E-3</v>
      </c>
      <c r="AT76" s="384"/>
      <c r="AU76" s="583">
        <f t="shared" si="4"/>
        <v>0.33400060220446293</v>
      </c>
      <c r="AV76" s="381">
        <f t="shared" si="32"/>
        <v>1.089722132248405</v>
      </c>
      <c r="AW76" s="376">
        <f t="shared" si="6"/>
        <v>1.0966124829996879</v>
      </c>
      <c r="AX76" s="503">
        <f t="shared" si="34"/>
        <v>6.8666667128759462E-3</v>
      </c>
      <c r="AY76" s="376">
        <f t="shared" si="7"/>
        <v>1.5087762100374413</v>
      </c>
      <c r="AZ76" s="381">
        <f t="shared" si="22"/>
        <v>2.124666391518255E-2</v>
      </c>
      <c r="BA76" s="586">
        <f t="shared" si="23"/>
        <v>0.33164699526059888</v>
      </c>
      <c r="BB76" s="376">
        <f t="shared" si="24"/>
        <v>0.66543560603130314</v>
      </c>
      <c r="BC76" s="376">
        <f t="shared" si="25"/>
        <v>0.66835300473940107</v>
      </c>
      <c r="BD76" s="376">
        <f t="shared" si="26"/>
        <v>2.9131472359050781E-3</v>
      </c>
      <c r="BE76" s="283"/>
      <c r="BF76" s="392">
        <v>19.7</v>
      </c>
      <c r="BG76" s="393">
        <v>0.47199999999999998</v>
      </c>
      <c r="BH76" s="283"/>
      <c r="BI76" s="283"/>
      <c r="BJ76" s="283"/>
      <c r="BK76" s="283"/>
      <c r="BL76" s="283"/>
      <c r="BM76" s="283"/>
      <c r="BN76" s="283"/>
      <c r="BO76" s="283"/>
      <c r="BP76" s="283"/>
      <c r="BQ76" s="283"/>
      <c r="BR76" s="283"/>
      <c r="BS76" s="283"/>
      <c r="BT76" s="283"/>
      <c r="BU76" s="283"/>
      <c r="BV76" s="283"/>
      <c r="BW76" s="283"/>
      <c r="BX76" s="283"/>
      <c r="BY76" s="283"/>
      <c r="BZ76" s="283"/>
      <c r="CA76" s="283"/>
      <c r="CB76" s="283"/>
      <c r="CC76" s="283"/>
      <c r="CD76" s="283"/>
      <c r="CE76" s="283"/>
      <c r="CF76" s="283"/>
      <c r="CG76" s="283"/>
      <c r="CH76" s="283"/>
      <c r="CI76" s="283"/>
      <c r="CJ76" s="283"/>
      <c r="CK76" s="283"/>
      <c r="CL76" s="283"/>
    </row>
    <row r="77" spans="1:90" ht="14.25" customHeight="1" x14ac:dyDescent="0.2">
      <c r="A77" s="3"/>
      <c r="B77" s="330"/>
      <c r="C77" s="331" t="s">
        <v>413</v>
      </c>
      <c r="D77" s="332"/>
      <c r="E77" s="332"/>
      <c r="F77" s="332"/>
      <c r="G77" s="332"/>
      <c r="H77" s="332"/>
      <c r="I77" s="332"/>
      <c r="J77" s="332"/>
      <c r="K77" s="332"/>
      <c r="L77" s="332"/>
      <c r="M77" s="332"/>
      <c r="N77" s="332"/>
      <c r="O77" s="332"/>
      <c r="P77" s="333"/>
      <c r="Q77" s="3"/>
      <c r="R77" s="3"/>
      <c r="S77" s="334"/>
      <c r="T77" s="373">
        <f t="shared" si="33"/>
        <v>51</v>
      </c>
      <c r="U77" s="334"/>
      <c r="V77" s="568">
        <f t="shared" si="27"/>
        <v>0.27956904828559048</v>
      </c>
      <c r="W77" s="328">
        <f t="shared" si="8"/>
        <v>0.71335640422619151</v>
      </c>
      <c r="X77" s="328">
        <f t="shared" si="9"/>
        <v>0.72043095171440952</v>
      </c>
      <c r="Y77" s="328">
        <f t="shared" si="10"/>
        <v>7.0495817855119602E-3</v>
      </c>
      <c r="Z77" s="334"/>
      <c r="AA77" s="571">
        <f t="shared" si="30"/>
        <v>0.30849715394180077</v>
      </c>
      <c r="AB77" s="327">
        <f t="shared" si="31"/>
        <v>0.68596770705464261</v>
      </c>
      <c r="AC77" s="327">
        <f t="shared" si="11"/>
        <v>0.69150284605819923</v>
      </c>
      <c r="AD77" s="327">
        <f t="shared" si="12"/>
        <v>5.5198483466410986E-3</v>
      </c>
      <c r="AE77" s="383"/>
      <c r="AF77" s="574">
        <f t="shared" si="1"/>
        <v>0.29644235052300716</v>
      </c>
      <c r="AG77" s="376">
        <f t="shared" si="28"/>
        <v>0.69906738058081297</v>
      </c>
      <c r="AH77" s="376">
        <f t="shared" si="13"/>
        <v>0.70355764947699284</v>
      </c>
      <c r="AI77" s="553">
        <f t="shared" si="14"/>
        <v>4.4802027110619758E-3</v>
      </c>
      <c r="AJ77" s="374"/>
      <c r="AK77" s="577">
        <f t="shared" si="2"/>
        <v>0.28052854551440881</v>
      </c>
      <c r="AL77" s="376">
        <f t="shared" si="15"/>
        <v>0.71518925404128963</v>
      </c>
      <c r="AM77" s="376">
        <f t="shared" si="16"/>
        <v>0.71947145448559113</v>
      </c>
      <c r="AN77" s="553">
        <f t="shared" si="17"/>
        <v>4.2730448972703172E-3</v>
      </c>
      <c r="AO77" s="554"/>
      <c r="AP77" s="580">
        <f t="shared" si="3"/>
        <v>0.305664485662557</v>
      </c>
      <c r="AQ77" s="376">
        <f t="shared" si="18"/>
        <v>0.68821097585503721</v>
      </c>
      <c r="AR77" s="379">
        <f t="shared" si="19"/>
        <v>0.694335514337443</v>
      </c>
      <c r="AS77" s="376">
        <f t="shared" si="20"/>
        <v>6.1058217265854697E-3</v>
      </c>
      <c r="AT77" s="384"/>
      <c r="AU77" s="583">
        <f t="shared" si="4"/>
        <v>0.33179787932524962</v>
      </c>
      <c r="AV77" s="381">
        <f t="shared" si="32"/>
        <v>1.0966124829996879</v>
      </c>
      <c r="AW77" s="376">
        <f t="shared" si="6"/>
        <v>1.1032292926710234</v>
      </c>
      <c r="AX77" s="503">
        <f t="shared" si="34"/>
        <v>6.594966789505663E-3</v>
      </c>
      <c r="AY77" s="376">
        <f t="shared" si="7"/>
        <v>1.5243522778329712</v>
      </c>
      <c r="AZ77" s="381">
        <f t="shared" si="22"/>
        <v>2.0664128157329341E-2</v>
      </c>
      <c r="BA77" s="586">
        <f t="shared" si="23"/>
        <v>0.32881077583676721</v>
      </c>
      <c r="BB77" s="376">
        <f t="shared" si="24"/>
        <v>0.66835300473940107</v>
      </c>
      <c r="BC77" s="376">
        <f t="shared" si="25"/>
        <v>0.67118922416323279</v>
      </c>
      <c r="BD77" s="376">
        <f t="shared" si="26"/>
        <v>2.8322011533182812E-3</v>
      </c>
      <c r="BE77" s="283"/>
      <c r="BF77" s="392">
        <v>20.3</v>
      </c>
      <c r="BG77" s="393">
        <v>0.46200000000000002</v>
      </c>
      <c r="BH77" s="283"/>
      <c r="BI77" s="283"/>
      <c r="BJ77" s="283"/>
      <c r="BK77" s="283"/>
      <c r="BL77" s="283"/>
      <c r="BM77" s="283"/>
      <c r="BN77" s="283"/>
      <c r="BO77" s="283"/>
      <c r="BP77" s="283"/>
      <c r="BQ77" s="283"/>
      <c r="BR77" s="283"/>
      <c r="BS77" s="283"/>
      <c r="BT77" s="283"/>
      <c r="BU77" s="283"/>
      <c r="BV77" s="283"/>
      <c r="BW77" s="283"/>
      <c r="BX77" s="283"/>
      <c r="BY77" s="283"/>
      <c r="BZ77" s="283"/>
      <c r="CA77" s="283"/>
      <c r="CB77" s="283"/>
      <c r="CC77" s="283"/>
      <c r="CD77" s="283"/>
      <c r="CE77" s="283"/>
      <c r="CF77" s="283"/>
      <c r="CG77" s="283"/>
      <c r="CH77" s="283"/>
      <c r="CI77" s="283"/>
      <c r="CJ77" s="283"/>
      <c r="CK77" s="283"/>
      <c r="CL77" s="283"/>
    </row>
    <row r="78" spans="1:90" ht="14.25" customHeight="1" x14ac:dyDescent="0.2">
      <c r="A78" s="3"/>
      <c r="B78" s="334"/>
      <c r="C78" s="335" t="s">
        <v>391</v>
      </c>
      <c r="D78" s="252"/>
      <c r="E78" s="252"/>
      <c r="F78" s="252"/>
      <c r="G78" s="346"/>
      <c r="H78" s="335" t="s">
        <v>398</v>
      </c>
      <c r="I78" s="252"/>
      <c r="J78" s="252"/>
      <c r="K78" s="252"/>
      <c r="L78" s="352"/>
      <c r="M78" s="335" t="s">
        <v>399</v>
      </c>
      <c r="N78" s="252"/>
      <c r="O78" s="252"/>
      <c r="P78" s="336"/>
      <c r="Q78" s="3"/>
      <c r="R78" s="3"/>
      <c r="S78" s="334"/>
      <c r="T78" s="373">
        <f t="shared" si="33"/>
        <v>52</v>
      </c>
      <c r="U78" s="334"/>
      <c r="V78" s="568">
        <f t="shared" si="27"/>
        <v>0.27266910515937803</v>
      </c>
      <c r="W78" s="328">
        <f t="shared" si="8"/>
        <v>0.72043095171440952</v>
      </c>
      <c r="X78" s="328">
        <f t="shared" si="9"/>
        <v>0.72733089484062197</v>
      </c>
      <c r="Y78" s="328">
        <f t="shared" si="10"/>
        <v>6.8761931744730775E-3</v>
      </c>
      <c r="Z78" s="334"/>
      <c r="AA78" s="571">
        <f t="shared" si="30"/>
        <v>0.30308389045334067</v>
      </c>
      <c r="AB78" s="327">
        <f t="shared" si="31"/>
        <v>0.69150284605819923</v>
      </c>
      <c r="AC78" s="327">
        <f t="shared" si="11"/>
        <v>0.69691610954665939</v>
      </c>
      <c r="AD78" s="327">
        <f t="shared" si="12"/>
        <v>5.3986381797793692E-3</v>
      </c>
      <c r="AE78" s="383"/>
      <c r="AF78" s="574">
        <f t="shared" si="1"/>
        <v>0.29206933664954038</v>
      </c>
      <c r="AG78" s="376">
        <f t="shared" si="28"/>
        <v>0.70355764947699284</v>
      </c>
      <c r="AH78" s="376">
        <f t="shared" si="13"/>
        <v>0.70793066335045962</v>
      </c>
      <c r="AI78" s="553">
        <f t="shared" si="14"/>
        <v>4.3634661707804279E-3</v>
      </c>
      <c r="AJ78" s="374"/>
      <c r="AK78" s="577">
        <f t="shared" si="2"/>
        <v>0.27636786562574372</v>
      </c>
      <c r="AL78" s="376">
        <f t="shared" si="15"/>
        <v>0.71947145448559113</v>
      </c>
      <c r="AM78" s="376">
        <f t="shared" si="16"/>
        <v>0.72363213437425622</v>
      </c>
      <c r="AN78" s="553">
        <f t="shared" si="17"/>
        <v>4.1520362520540699E-3</v>
      </c>
      <c r="AO78" s="554"/>
      <c r="AP78" s="580">
        <f t="shared" si="3"/>
        <v>0.29967201225431905</v>
      </c>
      <c r="AQ78" s="376">
        <f t="shared" si="18"/>
        <v>0.694335514337443</v>
      </c>
      <c r="AR78" s="379">
        <f t="shared" si="19"/>
        <v>0.70032798774568095</v>
      </c>
      <c r="AS78" s="376">
        <f t="shared" si="20"/>
        <v>5.9745543504897691E-3</v>
      </c>
      <c r="AT78" s="384"/>
      <c r="AU78" s="583">
        <f t="shared" si="4"/>
        <v>0.32969627714528787</v>
      </c>
      <c r="AV78" s="381">
        <f t="shared" si="32"/>
        <v>1.1032292926710234</v>
      </c>
      <c r="AW78" s="376">
        <f t="shared" si="6"/>
        <v>1.1095834206112483</v>
      </c>
      <c r="AX78" s="503">
        <f t="shared" si="34"/>
        <v>6.3339831593727247E-3</v>
      </c>
      <c r="AY78" s="376">
        <f t="shared" si="7"/>
        <v>1.5396258785146335</v>
      </c>
      <c r="AZ78" s="381">
        <f t="shared" si="22"/>
        <v>2.0108416867304284E-2</v>
      </c>
      <c r="BA78" s="586">
        <f t="shared" si="23"/>
        <v>0.32605199459804274</v>
      </c>
      <c r="BB78" s="376">
        <f t="shared" si="24"/>
        <v>0.67118922416323279</v>
      </c>
      <c r="BC78" s="376">
        <f t="shared" si="25"/>
        <v>0.67394800540195732</v>
      </c>
      <c r="BD78" s="376">
        <f t="shared" si="26"/>
        <v>2.7549792988067479E-3</v>
      </c>
      <c r="BE78" s="283"/>
      <c r="BF78" s="392">
        <v>21</v>
      </c>
      <c r="BG78" s="393">
        <v>0.46</v>
      </c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  <c r="CK78" s="283"/>
      <c r="CL78" s="283"/>
    </row>
    <row r="79" spans="1:90" ht="14.25" customHeight="1" x14ac:dyDescent="0.2">
      <c r="A79" s="3"/>
      <c r="B79" s="334"/>
      <c r="C79" s="252"/>
      <c r="D79" s="337" t="s">
        <v>404</v>
      </c>
      <c r="E79" s="337" t="s">
        <v>407</v>
      </c>
      <c r="F79" s="252"/>
      <c r="G79" s="334"/>
      <c r="H79" s="252"/>
      <c r="I79" s="252"/>
      <c r="J79" s="252"/>
      <c r="K79" s="252"/>
      <c r="L79" s="334"/>
      <c r="M79" s="252"/>
      <c r="N79" s="252"/>
      <c r="O79" s="252"/>
      <c r="P79" s="336"/>
      <c r="Q79" s="3"/>
      <c r="R79" s="3"/>
      <c r="S79" s="334"/>
      <c r="T79" s="373">
        <f t="shared" si="33"/>
        <v>53</v>
      </c>
      <c r="U79" s="334"/>
      <c r="V79" s="568">
        <f t="shared" si="27"/>
        <v>0.2659394570477136</v>
      </c>
      <c r="W79" s="328">
        <f t="shared" si="8"/>
        <v>0.72733089484062197</v>
      </c>
      <c r="X79" s="328">
        <f t="shared" si="9"/>
        <v>0.7340605429522864</v>
      </c>
      <c r="Y79" s="328">
        <f t="shared" si="10"/>
        <v>6.7070547400344127E-3</v>
      </c>
      <c r="Z79" s="334"/>
      <c r="AA79" s="571">
        <f t="shared" si="30"/>
        <v>0.29778893880968427</v>
      </c>
      <c r="AB79" s="327">
        <f t="shared" si="31"/>
        <v>0.69691610954665939</v>
      </c>
      <c r="AC79" s="327">
        <f t="shared" si="11"/>
        <v>0.70221106119031573</v>
      </c>
      <c r="AD79" s="327">
        <f t="shared" si="12"/>
        <v>5.2809580964814362E-3</v>
      </c>
      <c r="AE79" s="383"/>
      <c r="AF79" s="574">
        <f t="shared" si="1"/>
        <v>0.28780902747470616</v>
      </c>
      <c r="AG79" s="376">
        <f t="shared" si="28"/>
        <v>0.70793066335045962</v>
      </c>
      <c r="AH79" s="376">
        <f t="shared" si="13"/>
        <v>0.71219097252529384</v>
      </c>
      <c r="AI79" s="553">
        <f t="shared" si="14"/>
        <v>4.2512469315886259E-3</v>
      </c>
      <c r="AJ79" s="374"/>
      <c r="AK79" s="577">
        <f t="shared" si="2"/>
        <v>0.27232370918581872</v>
      </c>
      <c r="AL79" s="376">
        <f t="shared" si="15"/>
        <v>0.72363213437425622</v>
      </c>
      <c r="AM79" s="376">
        <f t="shared" si="16"/>
        <v>0.72767629081418128</v>
      </c>
      <c r="AN79" s="553">
        <f t="shared" si="17"/>
        <v>4.0359898519654047E-3</v>
      </c>
      <c r="AO79" s="554"/>
      <c r="AP79" s="580">
        <f t="shared" si="3"/>
        <v>0.29380820892485704</v>
      </c>
      <c r="AQ79" s="376">
        <f t="shared" si="18"/>
        <v>0.70032798774568095</v>
      </c>
      <c r="AR79" s="379">
        <f t="shared" si="19"/>
        <v>0.70619179107514296</v>
      </c>
      <c r="AS79" s="376">
        <f t="shared" si="20"/>
        <v>5.8466447892024931E-3</v>
      </c>
      <c r="AT79" s="384"/>
      <c r="AU79" s="583">
        <f t="shared" si="4"/>
        <v>0.32769063715984725</v>
      </c>
      <c r="AV79" s="381">
        <f t="shared" si="32"/>
        <v>1.1095834206112483</v>
      </c>
      <c r="AW79" s="376">
        <f t="shared" si="6"/>
        <v>1.1156852950622627</v>
      </c>
      <c r="AX79" s="503">
        <f t="shared" si="34"/>
        <v>6.0832958224664724E-3</v>
      </c>
      <c r="AY79" s="376">
        <f t="shared" si="7"/>
        <v>1.5546085357049368</v>
      </c>
      <c r="AZ79" s="381">
        <f t="shared" si="22"/>
        <v>1.9577813895525494E-2</v>
      </c>
      <c r="BA79" s="586">
        <f t="shared" si="23"/>
        <v>0.32336714827505436</v>
      </c>
      <c r="BB79" s="376">
        <f t="shared" si="24"/>
        <v>0.67394800540195732</v>
      </c>
      <c r="BC79" s="376">
        <f t="shared" si="25"/>
        <v>0.67663285172494558</v>
      </c>
      <c r="BD79" s="376">
        <f t="shared" si="26"/>
        <v>2.6812453465095976E-3</v>
      </c>
      <c r="BE79" s="283"/>
      <c r="BF79" s="392">
        <v>21.5</v>
      </c>
      <c r="BG79" s="393">
        <v>0.45400000000000001</v>
      </c>
      <c r="BH79" s="283"/>
      <c r="BI79" s="283"/>
      <c r="BJ79" s="283"/>
      <c r="BK79" s="283"/>
      <c r="BL79" s="283"/>
      <c r="BM79" s="283"/>
      <c r="BN79" s="283"/>
      <c r="BO79" s="283"/>
      <c r="BP79" s="283"/>
      <c r="BQ79" s="283"/>
      <c r="BR79" s="283"/>
      <c r="BS79" s="283"/>
      <c r="BT79" s="283"/>
      <c r="BU79" s="283"/>
      <c r="BV79" s="283"/>
      <c r="BW79" s="283"/>
      <c r="BX79" s="283"/>
      <c r="BY79" s="283"/>
      <c r="BZ79" s="283"/>
      <c r="CA79" s="283"/>
      <c r="CB79" s="283"/>
      <c r="CC79" s="283"/>
      <c r="CD79" s="283"/>
      <c r="CE79" s="283"/>
      <c r="CF79" s="283"/>
      <c r="CG79" s="283"/>
      <c r="CH79" s="283"/>
      <c r="CI79" s="283"/>
      <c r="CJ79" s="283"/>
      <c r="CK79" s="283"/>
      <c r="CL79" s="283"/>
    </row>
    <row r="80" spans="1:90" ht="14.25" customHeight="1" x14ac:dyDescent="0.2">
      <c r="A80" s="3"/>
      <c r="B80" s="334"/>
      <c r="C80" s="252" t="s">
        <v>411</v>
      </c>
      <c r="D80" s="325">
        <v>-4.0508660000000002E-2</v>
      </c>
      <c r="E80" s="325">
        <v>7.2989509999999997E-3</v>
      </c>
      <c r="F80" s="252"/>
      <c r="G80" s="334"/>
      <c r="H80" s="348" t="s">
        <v>182</v>
      </c>
      <c r="I80" s="350">
        <f>D80</f>
        <v>-4.0508660000000002E-2</v>
      </c>
      <c r="J80" s="252"/>
      <c r="K80" s="252"/>
      <c r="L80" s="334"/>
      <c r="M80" s="252" t="s">
        <v>400</v>
      </c>
      <c r="N80" s="252"/>
      <c r="O80" s="252"/>
      <c r="P80" s="336"/>
      <c r="Q80" s="3"/>
      <c r="R80" s="3"/>
      <c r="S80" s="334"/>
      <c r="T80" s="373">
        <f t="shared" si="33"/>
        <v>54</v>
      </c>
      <c r="U80" s="334"/>
      <c r="V80" s="568">
        <f t="shared" si="27"/>
        <v>0.25937590096059432</v>
      </c>
      <c r="W80" s="328">
        <f t="shared" si="8"/>
        <v>0.7340605429522864</v>
      </c>
      <c r="X80" s="328">
        <f t="shared" si="9"/>
        <v>0.74062409903940574</v>
      </c>
      <c r="Y80" s="328">
        <f t="shared" si="10"/>
        <v>6.542063002263232E-3</v>
      </c>
      <c r="Z80" s="334"/>
      <c r="AA80" s="571">
        <f t="shared" si="30"/>
        <v>0.29260887874745573</v>
      </c>
      <c r="AB80" s="327">
        <f t="shared" si="31"/>
        <v>0.70221106119031573</v>
      </c>
      <c r="AC80" s="327">
        <f t="shared" si="11"/>
        <v>0.70739112125254433</v>
      </c>
      <c r="AD80" s="327">
        <f t="shared" si="12"/>
        <v>5.1666666872461908E-3</v>
      </c>
      <c r="AE80" s="383"/>
      <c r="AF80" s="574">
        <f t="shared" si="1"/>
        <v>0.28365711009365491</v>
      </c>
      <c r="AG80" s="376">
        <f t="shared" si="28"/>
        <v>0.71219097252529384</v>
      </c>
      <c r="AH80" s="376">
        <f t="shared" si="13"/>
        <v>0.71634288990634509</v>
      </c>
      <c r="AI80" s="553">
        <f t="shared" si="14"/>
        <v>4.1433100884580298E-3</v>
      </c>
      <c r="AJ80" s="374"/>
      <c r="AK80" s="577">
        <f t="shared" si="2"/>
        <v>0.26839134545365262</v>
      </c>
      <c r="AL80" s="376">
        <f t="shared" si="15"/>
        <v>0.72767629081418128</v>
      </c>
      <c r="AM80" s="376">
        <f t="shared" si="16"/>
        <v>0.73160865454634738</v>
      </c>
      <c r="AN80" s="553">
        <f t="shared" si="17"/>
        <v>3.9246421146238442E-3</v>
      </c>
      <c r="AO80" s="554"/>
      <c r="AP80" s="580">
        <f t="shared" si="3"/>
        <v>0.28806979755127804</v>
      </c>
      <c r="AQ80" s="376">
        <f t="shared" si="18"/>
        <v>0.70619179107514296</v>
      </c>
      <c r="AR80" s="379">
        <f t="shared" si="19"/>
        <v>0.71193020244872196</v>
      </c>
      <c r="AS80" s="376">
        <f t="shared" si="20"/>
        <v>5.7219781396108393E-3</v>
      </c>
      <c r="AT80" s="384"/>
      <c r="AU80" s="583">
        <f t="shared" si="4"/>
        <v>0.32577610427407805</v>
      </c>
      <c r="AV80" s="381">
        <f t="shared" si="32"/>
        <v>1.1156852950622627</v>
      </c>
      <c r="AW80" s="376">
        <f t="shared" si="6"/>
        <v>1.1215449302736094</v>
      </c>
      <c r="AX80" s="503">
        <f t="shared" si="34"/>
        <v>5.8425010319574922E-3</v>
      </c>
      <c r="AY80" s="376">
        <f t="shared" si="7"/>
        <v>1.5693111267644835</v>
      </c>
      <c r="AZ80" s="381">
        <f t="shared" si="22"/>
        <v>1.9070742519873222E-2</v>
      </c>
      <c r="BA80" s="586">
        <f t="shared" si="23"/>
        <v>0.32075295231962714</v>
      </c>
      <c r="BB80" s="376">
        <f t="shared" si="24"/>
        <v>0.67663285172494558</v>
      </c>
      <c r="BC80" s="376">
        <f t="shared" si="25"/>
        <v>0.67924704768037292</v>
      </c>
      <c r="BD80" s="376">
        <f t="shared" si="26"/>
        <v>2.610781920813765E-3</v>
      </c>
      <c r="BE80" s="283"/>
      <c r="BF80" s="392">
        <v>21.9</v>
      </c>
      <c r="BG80" s="393">
        <v>0.439</v>
      </c>
      <c r="BH80" s="283"/>
      <c r="BI80" s="283"/>
      <c r="BJ80" s="283"/>
      <c r="BK80" s="283"/>
      <c r="BL80" s="283"/>
      <c r="BM80" s="283"/>
      <c r="BN80" s="283"/>
      <c r="BO80" s="283"/>
      <c r="BP80" s="283"/>
      <c r="BQ80" s="283"/>
      <c r="BR80" s="283"/>
      <c r="BS80" s="283"/>
      <c r="BT80" s="283"/>
      <c r="BU80" s="283"/>
      <c r="BV80" s="283"/>
      <c r="BW80" s="283"/>
      <c r="BX80" s="283"/>
      <c r="BY80" s="283"/>
      <c r="BZ80" s="283"/>
      <c r="CA80" s="283"/>
      <c r="CB80" s="283"/>
      <c r="CC80" s="283"/>
      <c r="CD80" s="283"/>
      <c r="CE80" s="283"/>
      <c r="CF80" s="283"/>
      <c r="CG80" s="283"/>
      <c r="CH80" s="283"/>
      <c r="CI80" s="283"/>
      <c r="CJ80" s="283"/>
      <c r="CK80" s="283"/>
      <c r="CL80" s="283"/>
    </row>
    <row r="81" spans="1:90" ht="14.25" customHeight="1" x14ac:dyDescent="0.2">
      <c r="A81" s="3"/>
      <c r="B81" s="334"/>
      <c r="C81" s="252" t="s">
        <v>412</v>
      </c>
      <c r="D81" s="325">
        <v>-2.9725229899999999</v>
      </c>
      <c r="E81" s="325">
        <v>0.13637406199999999</v>
      </c>
      <c r="F81" s="252"/>
      <c r="G81" s="334"/>
      <c r="H81" s="340"/>
      <c r="I81" s="252"/>
      <c r="J81" s="252"/>
      <c r="K81" s="252"/>
      <c r="L81" s="334"/>
      <c r="M81" s="340" t="s">
        <v>411</v>
      </c>
      <c r="N81" s="328">
        <f ca="1">_xlfn.NORM.INV(RAND(),0,1)</f>
        <v>1.1688786638397672</v>
      </c>
      <c r="O81" s="252"/>
      <c r="P81" s="336"/>
      <c r="Q81" s="3"/>
      <c r="R81" s="3"/>
      <c r="S81" s="334"/>
      <c r="T81" s="373">
        <f t="shared" si="33"/>
        <v>55</v>
      </c>
      <c r="U81" s="334"/>
      <c r="V81" s="568">
        <f t="shared" si="27"/>
        <v>0.25297433764050176</v>
      </c>
      <c r="W81" s="328">
        <f t="shared" si="8"/>
        <v>0.74062409903940574</v>
      </c>
      <c r="X81" s="328">
        <f t="shared" si="9"/>
        <v>0.74702566235949819</v>
      </c>
      <c r="Y81" s="328">
        <f t="shared" si="10"/>
        <v>6.3811169664292899E-3</v>
      </c>
      <c r="Z81" s="334"/>
      <c r="AA81" s="571">
        <f t="shared" si="30"/>
        <v>0.28754042555819076</v>
      </c>
      <c r="AB81" s="327">
        <f t="shared" si="31"/>
        <v>0.70739112125254433</v>
      </c>
      <c r="AC81" s="327">
        <f t="shared" si="11"/>
        <v>0.71245957444180918</v>
      </c>
      <c r="AD81" s="327">
        <f t="shared" si="12"/>
        <v>5.0556302536957087E-3</v>
      </c>
      <c r="AE81" s="383"/>
      <c r="AF81" s="574">
        <f t="shared" si="1"/>
        <v>0.27960949340981456</v>
      </c>
      <c r="AG81" s="376">
        <f t="shared" si="28"/>
        <v>0.71634288990634509</v>
      </c>
      <c r="AH81" s="376">
        <f t="shared" si="13"/>
        <v>0.72039050659018544</v>
      </c>
      <c r="AI81" s="553">
        <f t="shared" si="14"/>
        <v>4.0394361244088239E-3</v>
      </c>
      <c r="AJ81" s="374"/>
      <c r="AK81" s="577">
        <f t="shared" si="2"/>
        <v>0.26456629275817989</v>
      </c>
      <c r="AL81" s="376">
        <f t="shared" si="15"/>
        <v>0.73160865454634738</v>
      </c>
      <c r="AM81" s="376">
        <f t="shared" si="16"/>
        <v>0.73543370724182011</v>
      </c>
      <c r="AN81" s="553">
        <f t="shared" si="17"/>
        <v>3.817746499907404E-3</v>
      </c>
      <c r="AO81" s="554"/>
      <c r="AP81" s="580">
        <f t="shared" si="3"/>
        <v>0.28245361107723466</v>
      </c>
      <c r="AQ81" s="376">
        <f t="shared" si="18"/>
        <v>0.71193020244872196</v>
      </c>
      <c r="AR81" s="379">
        <f t="shared" si="19"/>
        <v>0.71754638892276534</v>
      </c>
      <c r="AS81" s="376">
        <f t="shared" si="20"/>
        <v>5.600445181252911E-3</v>
      </c>
      <c r="AT81" s="384"/>
      <c r="AU81" s="583">
        <f t="shared" si="4"/>
        <v>0.32394810591801076</v>
      </c>
      <c r="AV81" s="381">
        <f t="shared" si="32"/>
        <v>1.1215449302736094</v>
      </c>
      <c r="AW81" s="376">
        <f t="shared" si="6"/>
        <v>1.1271719429376184</v>
      </c>
      <c r="AX81" s="503">
        <f t="shared" si="34"/>
        <v>5.6112106814604212E-3</v>
      </c>
      <c r="AY81" s="376">
        <f t="shared" si="7"/>
        <v>1.5837439302309482</v>
      </c>
      <c r="AZ81" s="381">
        <f t="shared" si="22"/>
        <v>1.8585751797727312E-2</v>
      </c>
      <c r="BA81" s="586">
        <f t="shared" si="23"/>
        <v>0.31820632363923518</v>
      </c>
      <c r="BB81" s="376">
        <f t="shared" si="24"/>
        <v>0.67924704768037292</v>
      </c>
      <c r="BC81" s="376">
        <f t="shared" si="25"/>
        <v>0.68179367636076482</v>
      </c>
      <c r="BD81" s="376">
        <f t="shared" si="26"/>
        <v>2.5433887724384263E-3</v>
      </c>
      <c r="BE81" s="283"/>
      <c r="BF81" s="392">
        <v>22.6</v>
      </c>
      <c r="BG81" s="393">
        <v>0.439</v>
      </c>
      <c r="BH81" s="283"/>
      <c r="BI81" s="283"/>
      <c r="BJ81" s="283"/>
      <c r="BK81" s="283"/>
      <c r="BL81" s="283"/>
      <c r="BM81" s="283"/>
      <c r="BN81" s="283"/>
      <c r="BO81" s="283"/>
      <c r="BP81" s="283"/>
      <c r="BQ81" s="283"/>
      <c r="BR81" s="283"/>
      <c r="BS81" s="283"/>
      <c r="BT81" s="283"/>
      <c r="BU81" s="283"/>
      <c r="BV81" s="283"/>
      <c r="BW81" s="283"/>
      <c r="BX81" s="283"/>
      <c r="BY81" s="283"/>
      <c r="BZ81" s="283"/>
      <c r="CA81" s="283"/>
      <c r="CB81" s="283"/>
      <c r="CC81" s="283"/>
      <c r="CD81" s="283"/>
      <c r="CE81" s="283"/>
      <c r="CF81" s="283"/>
      <c r="CG81" s="283"/>
      <c r="CH81" s="283"/>
      <c r="CI81" s="283"/>
      <c r="CJ81" s="283"/>
      <c r="CK81" s="283"/>
      <c r="CL81" s="283"/>
    </row>
    <row r="82" spans="1:90" ht="14.25" customHeight="1" x14ac:dyDescent="0.2">
      <c r="A82" s="3"/>
      <c r="B82" s="334"/>
      <c r="C82" s="252"/>
      <c r="D82" s="252"/>
      <c r="E82" s="252"/>
      <c r="F82" s="252"/>
      <c r="G82" s="334"/>
      <c r="H82" s="348" t="s">
        <v>184</v>
      </c>
      <c r="I82" s="329">
        <f>EXP(D81)</f>
        <v>5.1174035740809656E-2</v>
      </c>
      <c r="J82" s="252"/>
      <c r="K82" s="252"/>
      <c r="L82" s="334"/>
      <c r="M82" s="340" t="s">
        <v>412</v>
      </c>
      <c r="N82" s="328">
        <f ca="1">_xlfn.NORM.INV(RAND(),0,1)</f>
        <v>-0.76867592749640068</v>
      </c>
      <c r="O82" s="252"/>
      <c r="P82" s="336"/>
      <c r="Q82" s="3"/>
      <c r="R82" s="3"/>
      <c r="S82" s="334"/>
      <c r="T82" s="373">
        <f t="shared" si="33"/>
        <v>56</v>
      </c>
      <c r="U82" s="334"/>
      <c r="V82" s="568">
        <f t="shared" si="27"/>
        <v>0.24673076900221813</v>
      </c>
      <c r="W82" s="328">
        <f t="shared" si="8"/>
        <v>0.74702566235949819</v>
      </c>
      <c r="X82" s="328">
        <f t="shared" si="9"/>
        <v>0.75326923099778187</v>
      </c>
      <c r="Y82" s="328">
        <f t="shared" si="10"/>
        <v>6.2241180649960093E-3</v>
      </c>
      <c r="Z82" s="334"/>
      <c r="AA82" s="571">
        <f t="shared" si="30"/>
        <v>0.28258042279552015</v>
      </c>
      <c r="AB82" s="327">
        <f t="shared" si="31"/>
        <v>0.71245957444180918</v>
      </c>
      <c r="AC82" s="327">
        <f t="shared" si="11"/>
        <v>0.7174195772044798</v>
      </c>
      <c r="AD82" s="327">
        <f t="shared" si="12"/>
        <v>4.947722261131049E-3</v>
      </c>
      <c r="AE82" s="383"/>
      <c r="AF82" s="574">
        <f t="shared" si="1"/>
        <v>0.27566229376142837</v>
      </c>
      <c r="AG82" s="376">
        <f t="shared" si="28"/>
        <v>0.72039050659018544</v>
      </c>
      <c r="AH82" s="376">
        <f t="shared" si="13"/>
        <v>0.72433770623857163</v>
      </c>
      <c r="AI82" s="553">
        <f t="shared" si="14"/>
        <v>3.9394196955626626E-3</v>
      </c>
      <c r="AJ82" s="374"/>
      <c r="AK82" s="577">
        <f t="shared" si="2"/>
        <v>0.26084430251665525</v>
      </c>
      <c r="AL82" s="376">
        <f t="shared" si="15"/>
        <v>0.73543370724182011</v>
      </c>
      <c r="AM82" s="376">
        <f t="shared" si="16"/>
        <v>0.73915569748334475</v>
      </c>
      <c r="AN82" s="553">
        <f t="shared" si="17"/>
        <v>3.7150722214415177E-3</v>
      </c>
      <c r="AO82" s="554"/>
      <c r="AP82" s="580">
        <f t="shared" si="3"/>
        <v>0.27695658810902546</v>
      </c>
      <c r="AQ82" s="376">
        <f t="shared" si="18"/>
        <v>0.71754638892276534</v>
      </c>
      <c r="AR82" s="379">
        <f t="shared" si="19"/>
        <v>0.72304341189097454</v>
      </c>
      <c r="AS82" s="376">
        <f t="shared" si="20"/>
        <v>5.481941983612737E-3</v>
      </c>
      <c r="AT82" s="384"/>
      <c r="AU82" s="583">
        <f t="shared" si="4"/>
        <v>0.32220233282252736</v>
      </c>
      <c r="AV82" s="381">
        <f t="shared" si="32"/>
        <v>1.1271719429376184</v>
      </c>
      <c r="AW82" s="376">
        <f t="shared" si="6"/>
        <v>1.1325755679720928</v>
      </c>
      <c r="AX82" s="503">
        <f t="shared" si="34"/>
        <v>5.3890517141200744E-3</v>
      </c>
      <c r="AY82" s="376">
        <f t="shared" si="7"/>
        <v>1.5979166689835476</v>
      </c>
      <c r="AZ82" s="381">
        <f t="shared" si="22"/>
        <v>1.8121504472980828E-2</v>
      </c>
      <c r="BA82" s="586">
        <f t="shared" si="23"/>
        <v>0.31572436496821371</v>
      </c>
      <c r="BB82" s="376">
        <f t="shared" si="24"/>
        <v>0.68179367636076482</v>
      </c>
      <c r="BC82" s="376">
        <f t="shared" si="25"/>
        <v>0.68427563503178623</v>
      </c>
      <c r="BD82" s="376">
        <f t="shared" si="26"/>
        <v>2.4788811582121539E-3</v>
      </c>
      <c r="BE82" s="283"/>
      <c r="BF82" s="392">
        <v>22.9</v>
      </c>
      <c r="BG82" s="393">
        <v>0.433</v>
      </c>
      <c r="BH82" s="283"/>
      <c r="BI82" s="283"/>
      <c r="BJ82" s="283"/>
      <c r="BK82" s="283"/>
      <c r="BL82" s="283"/>
      <c r="BM82" s="283"/>
      <c r="BN82" s="283"/>
      <c r="BO82" s="283"/>
      <c r="BP82" s="283"/>
      <c r="BQ82" s="283"/>
      <c r="BR82" s="283"/>
      <c r="BS82" s="283"/>
      <c r="BT82" s="283"/>
      <c r="BU82" s="283"/>
      <c r="BV82" s="283"/>
      <c r="BW82" s="283"/>
      <c r="BX82" s="283"/>
      <c r="BY82" s="283"/>
      <c r="BZ82" s="283"/>
      <c r="CA82" s="283"/>
      <c r="CB82" s="283"/>
      <c r="CC82" s="283"/>
      <c r="CD82" s="283"/>
      <c r="CE82" s="283"/>
      <c r="CF82" s="283"/>
      <c r="CG82" s="283"/>
      <c r="CH82" s="283"/>
      <c r="CI82" s="283"/>
      <c r="CJ82" s="283"/>
      <c r="CK82" s="283"/>
      <c r="CL82" s="283"/>
    </row>
    <row r="83" spans="1:90" ht="14.25" customHeight="1" x14ac:dyDescent="0.2">
      <c r="A83" s="3"/>
      <c r="B83" s="334"/>
      <c r="C83" s="335" t="s">
        <v>395</v>
      </c>
      <c r="D83" s="252"/>
      <c r="E83" s="252"/>
      <c r="F83" s="252"/>
      <c r="G83" s="334"/>
      <c r="H83" s="252"/>
      <c r="I83" s="252"/>
      <c r="J83" s="252"/>
      <c r="K83" s="252"/>
      <c r="L83" s="334"/>
      <c r="M83" s="252"/>
      <c r="N83" s="252"/>
      <c r="O83" s="252"/>
      <c r="P83" s="336"/>
      <c r="Q83" s="3"/>
      <c r="R83" s="3"/>
      <c r="S83" s="334"/>
      <c r="T83" s="373">
        <f t="shared" si="33"/>
        <v>57</v>
      </c>
      <c r="U83" s="334"/>
      <c r="V83" s="568">
        <f t="shared" si="27"/>
        <v>0.24064129563582862</v>
      </c>
      <c r="W83" s="328">
        <f t="shared" si="8"/>
        <v>0.75326923099778187</v>
      </c>
      <c r="X83" s="328">
        <f t="shared" si="9"/>
        <v>0.75935870436417141</v>
      </c>
      <c r="Y83" s="328">
        <f t="shared" si="10"/>
        <v>6.0709701008818673E-3</v>
      </c>
      <c r="Z83" s="334"/>
      <c r="AA83" s="571">
        <f t="shared" si="30"/>
        <v>0.27772583549228635</v>
      </c>
      <c r="AB83" s="327">
        <f t="shared" si="31"/>
        <v>0.7174195772044798</v>
      </c>
      <c r="AC83" s="327">
        <f t="shared" si="11"/>
        <v>0.72227416450771365</v>
      </c>
      <c r="AD83" s="327">
        <f t="shared" si="12"/>
        <v>4.8428228391963479E-3</v>
      </c>
      <c r="AE83" s="383"/>
      <c r="AF83" s="574">
        <f t="shared" si="1"/>
        <v>0.27181182167102569</v>
      </c>
      <c r="AG83" s="376">
        <f t="shared" si="28"/>
        <v>0.72433770623857163</v>
      </c>
      <c r="AH83" s="376">
        <f t="shared" si="13"/>
        <v>0.72818817832897431</v>
      </c>
      <c r="AI83" s="553">
        <f t="shared" si="14"/>
        <v>3.8430685281947152E-3</v>
      </c>
      <c r="AJ83" s="374"/>
      <c r="AK83" s="577">
        <f t="shared" si="2"/>
        <v>0.25722134445383082</v>
      </c>
      <c r="AL83" s="376">
        <f t="shared" si="15"/>
        <v>0.73915569748334475</v>
      </c>
      <c r="AM83" s="376">
        <f t="shared" si="16"/>
        <v>0.74277865554616918</v>
      </c>
      <c r="AN83" s="553">
        <f t="shared" si="17"/>
        <v>3.6164030688075055E-3</v>
      </c>
      <c r="AO83" s="554"/>
      <c r="AP83" s="580">
        <f t="shared" si="3"/>
        <v>0.27157576787811766</v>
      </c>
      <c r="AQ83" s="376">
        <f t="shared" si="18"/>
        <v>0.72304341189097454</v>
      </c>
      <c r="AR83" s="379">
        <f t="shared" si="19"/>
        <v>0.72842423212188234</v>
      </c>
      <c r="AS83" s="376">
        <f t="shared" si="20"/>
        <v>5.3663695481890317E-3</v>
      </c>
      <c r="AT83" s="384"/>
      <c r="AU83" s="583">
        <f t="shared" si="4"/>
        <v>0.32053472130749355</v>
      </c>
      <c r="AV83" s="381">
        <f t="shared" si="32"/>
        <v>1.1325755679720928</v>
      </c>
      <c r="AW83" s="376">
        <f t="shared" si="6"/>
        <v>1.137764673676432</v>
      </c>
      <c r="AX83" s="503">
        <f t="shared" si="34"/>
        <v>5.1756655528386597E-3</v>
      </c>
      <c r="AY83" s="376">
        <f t="shared" si="7"/>
        <v>1.6118385495870196</v>
      </c>
      <c r="AZ83" s="381">
        <f t="shared" si="22"/>
        <v>1.7676766236781282E-2</v>
      </c>
      <c r="BA83" s="586">
        <f t="shared" si="23"/>
        <v>0.31330435069559592</v>
      </c>
      <c r="BB83" s="376">
        <f t="shared" si="24"/>
        <v>0.68427563503178623</v>
      </c>
      <c r="BC83" s="376">
        <f t="shared" si="25"/>
        <v>0.68669564930440408</v>
      </c>
      <c r="BD83" s="376">
        <f t="shared" si="26"/>
        <v>2.4170883987727487E-3</v>
      </c>
      <c r="BE83" s="283"/>
      <c r="BF83" s="392">
        <v>25.3</v>
      </c>
      <c r="BG83" s="393">
        <v>0.434</v>
      </c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  <c r="CK83" s="283"/>
      <c r="CL83" s="283"/>
    </row>
    <row r="84" spans="1:90" ht="14.25" customHeight="1" x14ac:dyDescent="0.2">
      <c r="A84" s="3"/>
      <c r="B84" s="334"/>
      <c r="C84" s="252"/>
      <c r="D84" s="337" t="s">
        <v>411</v>
      </c>
      <c r="E84" s="337" t="s">
        <v>412</v>
      </c>
      <c r="F84" s="252"/>
      <c r="G84" s="334"/>
      <c r="H84" s="252"/>
      <c r="I84" s="252"/>
      <c r="J84" s="252"/>
      <c r="K84" s="252"/>
      <c r="L84" s="334"/>
      <c r="M84" s="252" t="s">
        <v>408</v>
      </c>
      <c r="N84" s="252"/>
      <c r="O84" s="252"/>
      <c r="P84" s="336"/>
      <c r="Q84" s="3"/>
      <c r="R84" s="3"/>
      <c r="S84" s="334"/>
      <c r="T84" s="373">
        <f t="shared" si="33"/>
        <v>58</v>
      </c>
      <c r="U84" s="334"/>
      <c r="V84" s="568">
        <f t="shared" si="27"/>
        <v>0.23470211437135213</v>
      </c>
      <c r="W84" s="328">
        <f t="shared" si="8"/>
        <v>0.75935870436417141</v>
      </c>
      <c r="X84" s="328">
        <f t="shared" si="9"/>
        <v>0.76529788562864787</v>
      </c>
      <c r="Y84" s="328">
        <f t="shared" si="10"/>
        <v>5.9215791919702276E-3</v>
      </c>
      <c r="Z84" s="334"/>
      <c r="AA84" s="571">
        <f t="shared" si="30"/>
        <v>0.27297374384349204</v>
      </c>
      <c r="AB84" s="327">
        <f t="shared" si="31"/>
        <v>0.72227416450771365</v>
      </c>
      <c r="AC84" s="327">
        <f t="shared" si="11"/>
        <v>0.72702625615650796</v>
      </c>
      <c r="AD84" s="327">
        <f t="shared" si="12"/>
        <v>4.7408183256326675E-3</v>
      </c>
      <c r="AE84" s="383"/>
      <c r="AF84" s="574">
        <f t="shared" si="1"/>
        <v>0.26805456961536012</v>
      </c>
      <c r="AG84" s="376">
        <f t="shared" si="28"/>
        <v>0.72818817832897431</v>
      </c>
      <c r="AH84" s="376">
        <f t="shared" si="13"/>
        <v>0.73194543038463988</v>
      </c>
      <c r="AI84" s="553">
        <f t="shared" si="14"/>
        <v>3.7502024160154246E-3</v>
      </c>
      <c r="AJ84" s="374"/>
      <c r="AK84" s="577">
        <f t="shared" si="2"/>
        <v>0.25369359291921145</v>
      </c>
      <c r="AL84" s="376">
        <f t="shared" si="15"/>
        <v>0.74277865554616918</v>
      </c>
      <c r="AM84" s="376">
        <f t="shared" si="16"/>
        <v>0.74630640708078855</v>
      </c>
      <c r="AN84" s="553">
        <f t="shared" si="17"/>
        <v>3.5215363298883862E-3</v>
      </c>
      <c r="AO84" s="554"/>
      <c r="AP84" s="580">
        <f t="shared" si="3"/>
        <v>0.26630828553824171</v>
      </c>
      <c r="AQ84" s="376">
        <f t="shared" si="18"/>
        <v>0.72842423212188234</v>
      </c>
      <c r="AR84" s="379">
        <f t="shared" si="19"/>
        <v>0.73369171446175829</v>
      </c>
      <c r="AS84" s="376">
        <f t="shared" si="20"/>
        <v>5.2536334816508656E-3</v>
      </c>
      <c r="AT84" s="384"/>
      <c r="AU84" s="583">
        <f t="shared" si="4"/>
        <v>0.31894143694793475</v>
      </c>
      <c r="AV84" s="381">
        <f t="shared" si="32"/>
        <v>1.137764673676432</v>
      </c>
      <c r="AW84" s="376">
        <f t="shared" si="6"/>
        <v>1.1427477762860716</v>
      </c>
      <c r="AX84" s="503">
        <f t="shared" si="34"/>
        <v>4.9707075509936027E-3</v>
      </c>
      <c r="AY84" s="376">
        <f t="shared" si="7"/>
        <v>1.6255182982138463</v>
      </c>
      <c r="AZ84" s="381">
        <f t="shared" si="22"/>
        <v>1.7250396169806843E-2</v>
      </c>
      <c r="BA84" s="586">
        <f t="shared" si="23"/>
        <v>0.31094371399191817</v>
      </c>
      <c r="BB84" s="376">
        <f t="shared" si="24"/>
        <v>0.68669564930440408</v>
      </c>
      <c r="BC84" s="376">
        <f t="shared" si="25"/>
        <v>0.68905628600808178</v>
      </c>
      <c r="BD84" s="376">
        <f t="shared" si="26"/>
        <v>2.3578525920439075E-3</v>
      </c>
      <c r="BE84" s="283"/>
      <c r="BF84" s="392">
        <v>26.3</v>
      </c>
      <c r="BG84" s="393">
        <v>0.42</v>
      </c>
      <c r="BH84" s="283"/>
      <c r="BI84" s="283"/>
      <c r="BJ84" s="283"/>
      <c r="BK84" s="283"/>
      <c r="BL84" s="283"/>
      <c r="BM84" s="283"/>
      <c r="BN84" s="283"/>
      <c r="BO84" s="283"/>
      <c r="BP84" s="283"/>
      <c r="BQ84" s="283"/>
      <c r="BR84" s="283"/>
      <c r="BS84" s="283"/>
      <c r="BT84" s="283"/>
      <c r="BU84" s="283"/>
      <c r="BV84" s="283"/>
      <c r="BW84" s="283"/>
      <c r="BX84" s="283"/>
      <c r="BY84" s="283"/>
      <c r="BZ84" s="283"/>
      <c r="CA84" s="283"/>
      <c r="CB84" s="283"/>
      <c r="CC84" s="283"/>
      <c r="CD84" s="283"/>
      <c r="CE84" s="283"/>
      <c r="CF84" s="283"/>
      <c r="CG84" s="283"/>
      <c r="CH84" s="283"/>
      <c r="CI84" s="283"/>
      <c r="CJ84" s="283"/>
      <c r="CK84" s="283"/>
      <c r="CL84" s="283"/>
    </row>
    <row r="85" spans="1:90" ht="14.25" customHeight="1" x14ac:dyDescent="0.2">
      <c r="A85" s="3"/>
      <c r="B85" s="334"/>
      <c r="C85" s="252" t="s">
        <v>411</v>
      </c>
      <c r="D85" s="325">
        <v>7.2989509999999997E-3</v>
      </c>
      <c r="E85" s="325">
        <v>0</v>
      </c>
      <c r="F85" s="252"/>
      <c r="G85" s="334"/>
      <c r="H85" s="252" t="s">
        <v>414</v>
      </c>
      <c r="I85" s="252"/>
      <c r="J85" s="252"/>
      <c r="K85" s="252"/>
      <c r="L85" s="334"/>
      <c r="M85" s="340" t="s">
        <v>411</v>
      </c>
      <c r="N85" s="327" cm="1">
        <f t="array" aca="1" ref="N85:N86" ca="1">D80:D81+MMULT(D85:E86,N81:N82)</f>
        <v>-3.1977071907688073E-2</v>
      </c>
      <c r="O85" s="252"/>
      <c r="P85" s="336"/>
      <c r="Q85" s="3"/>
      <c r="R85" s="3"/>
      <c r="S85" s="334"/>
      <c r="T85" s="373">
        <f t="shared" si="33"/>
        <v>59</v>
      </c>
      <c r="U85" s="334"/>
      <c r="V85" s="568">
        <f t="shared" si="27"/>
        <v>0.22890951590347799</v>
      </c>
      <c r="W85" s="328">
        <f t="shared" si="8"/>
        <v>0.76529788562864787</v>
      </c>
      <c r="X85" s="328">
        <f t="shared" si="9"/>
        <v>0.77109048409652203</v>
      </c>
      <c r="Y85" s="328">
        <f t="shared" si="10"/>
        <v>5.7758537168433044E-3</v>
      </c>
      <c r="Z85" s="334"/>
      <c r="AA85" s="571">
        <f t="shared" si="30"/>
        <v>0.26832133731550545</v>
      </c>
      <c r="AB85" s="327">
        <f t="shared" si="31"/>
        <v>0.72702625615650796</v>
      </c>
      <c r="AC85" s="327">
        <f t="shared" si="11"/>
        <v>0.73167866268449455</v>
      </c>
      <c r="AD85" s="327">
        <f t="shared" si="12"/>
        <v>4.641600848701577E-3</v>
      </c>
      <c r="AE85" s="383"/>
      <c r="AF85" s="574">
        <f t="shared" si="1"/>
        <v>0.26438720072401245</v>
      </c>
      <c r="AG85" s="376">
        <f t="shared" si="28"/>
        <v>0.73194543038463988</v>
      </c>
      <c r="AH85" s="376">
        <f t="shared" si="13"/>
        <v>0.73561279927598755</v>
      </c>
      <c r="AI85" s="553">
        <f t="shared" si="14"/>
        <v>3.6606523072941766E-3</v>
      </c>
      <c r="AJ85" s="374"/>
      <c r="AK85" s="577">
        <f t="shared" si="2"/>
        <v>0.25025741420947351</v>
      </c>
      <c r="AL85" s="376">
        <f t="shared" si="15"/>
        <v>0.74630640708078855</v>
      </c>
      <c r="AM85" s="376">
        <f t="shared" si="16"/>
        <v>0.74974258579052644</v>
      </c>
      <c r="AN85" s="553">
        <f t="shared" si="17"/>
        <v>3.4302818038830507E-3</v>
      </c>
      <c r="AO85" s="554"/>
      <c r="AP85" s="580">
        <f t="shared" si="3"/>
        <v>0.26115136776853154</v>
      </c>
      <c r="AQ85" s="376">
        <f t="shared" si="18"/>
        <v>0.73369171446175829</v>
      </c>
      <c r="AR85" s="379">
        <f t="shared" si="19"/>
        <v>0.73884863223146846</v>
      </c>
      <c r="AS85" s="376">
        <f t="shared" si="20"/>
        <v>5.1436436968381738E-3</v>
      </c>
      <c r="AT85" s="384"/>
      <c r="AU85" s="583">
        <f t="shared" si="4"/>
        <v>0.31741885949726034</v>
      </c>
      <c r="AV85" s="381">
        <f t="shared" si="32"/>
        <v>1.1427477762860716</v>
      </c>
      <c r="AW85" s="376">
        <f t="shared" si="6"/>
        <v>1.1475330539491255</v>
      </c>
      <c r="AX85" s="503">
        <f t="shared" si="34"/>
        <v>4.7738464629886179E-3</v>
      </c>
      <c r="AY85" s="376">
        <f t="shared" si="7"/>
        <v>1.6389641934957315</v>
      </c>
      <c r="AZ85" s="381">
        <f t="shared" si="22"/>
        <v>1.6841338218325692E-2</v>
      </c>
      <c r="BA85" s="586">
        <f t="shared" si="23"/>
        <v>0.30864003509667731</v>
      </c>
      <c r="BB85" s="376">
        <f t="shared" si="24"/>
        <v>0.68905628600808178</v>
      </c>
      <c r="BC85" s="376">
        <f t="shared" si="25"/>
        <v>0.69135996490332263</v>
      </c>
      <c r="BD85" s="376">
        <f t="shared" si="26"/>
        <v>2.3010274634213124E-3</v>
      </c>
      <c r="BE85" s="283"/>
      <c r="BF85" s="392">
        <v>29</v>
      </c>
      <c r="BG85" s="393">
        <v>0.41499999999999998</v>
      </c>
      <c r="BH85" s="283"/>
      <c r="BI85" s="283"/>
      <c r="BJ85" s="283"/>
      <c r="BK85" s="283"/>
      <c r="BL85" s="283"/>
      <c r="BM85" s="283"/>
      <c r="BN85" s="283"/>
      <c r="BO85" s="283"/>
      <c r="BP85" s="283"/>
      <c r="BQ85" s="283"/>
      <c r="BR85" s="283"/>
      <c r="BS85" s="283"/>
      <c r="BT85" s="283"/>
      <c r="BU85" s="283"/>
      <c r="BV85" s="283"/>
      <c r="BW85" s="283"/>
      <c r="BX85" s="283"/>
      <c r="BY85" s="283"/>
      <c r="BZ85" s="283"/>
      <c r="CA85" s="283"/>
      <c r="CB85" s="283"/>
      <c r="CC85" s="283"/>
      <c r="CD85" s="283"/>
      <c r="CE85" s="283"/>
      <c r="CF85" s="283"/>
      <c r="CG85" s="283"/>
      <c r="CH85" s="283"/>
      <c r="CI85" s="283"/>
      <c r="CJ85" s="283"/>
      <c r="CK85" s="283"/>
      <c r="CL85" s="283"/>
    </row>
    <row r="86" spans="1:90" ht="14.25" customHeight="1" x14ac:dyDescent="0.2">
      <c r="A86" s="3"/>
      <c r="B86" s="334"/>
      <c r="C86" s="252" t="s">
        <v>412</v>
      </c>
      <c r="D86" s="325">
        <v>-9.7924896999999997E-2</v>
      </c>
      <c r="E86" s="325">
        <v>9.4913639999999994E-2</v>
      </c>
      <c r="F86" s="252"/>
      <c r="G86" s="334"/>
      <c r="H86" s="252"/>
      <c r="I86" s="252"/>
      <c r="J86" s="252"/>
      <c r="K86" s="252"/>
      <c r="L86" s="334"/>
      <c r="M86" s="340" t="s">
        <v>412</v>
      </c>
      <c r="N86" s="327">
        <f ca="1"/>
        <v>-3.1599431430210663</v>
      </c>
      <c r="O86" s="252"/>
      <c r="P86" s="336"/>
      <c r="Q86" s="3"/>
      <c r="R86" s="3"/>
      <c r="S86" s="334"/>
      <c r="T86" s="373">
        <f t="shared" si="33"/>
        <v>60</v>
      </c>
      <c r="U86" s="334"/>
      <c r="V86" s="568">
        <f t="shared" si="27"/>
        <v>0.22325988247492573</v>
      </c>
      <c r="W86" s="328">
        <f t="shared" si="8"/>
        <v>0.77109048409652203</v>
      </c>
      <c r="X86" s="328">
        <f t="shared" si="9"/>
        <v>0.77674011752507433</v>
      </c>
      <c r="Y86" s="328">
        <f t="shared" si="10"/>
        <v>5.6337042617160549E-3</v>
      </c>
      <c r="Z86" s="334"/>
      <c r="AA86" s="571">
        <f t="shared" si="30"/>
        <v>0.26376590914594378</v>
      </c>
      <c r="AB86" s="327">
        <f t="shared" si="31"/>
        <v>0.73167866268449455</v>
      </c>
      <c r="AC86" s="327">
        <f t="shared" si="11"/>
        <v>0.73623409085405622</v>
      </c>
      <c r="AD86" s="327">
        <f t="shared" si="12"/>
        <v>4.5450679443818087E-3</v>
      </c>
      <c r="AE86" s="383"/>
      <c r="AF86" s="574">
        <f t="shared" si="1"/>
        <v>0.26080653832428069</v>
      </c>
      <c r="AG86" s="376">
        <f t="shared" si="28"/>
        <v>0.73561279927598755</v>
      </c>
      <c r="AH86" s="376">
        <f t="shared" si="13"/>
        <v>0.73919346167571931</v>
      </c>
      <c r="AI86" s="553">
        <f t="shared" si="14"/>
        <v>3.574259472641228E-3</v>
      </c>
      <c r="AJ86" s="374"/>
      <c r="AK86" s="577">
        <f t="shared" si="2"/>
        <v>0.24690935481190301</v>
      </c>
      <c r="AL86" s="376">
        <f t="shared" si="15"/>
        <v>0.74974258579052644</v>
      </c>
      <c r="AM86" s="376">
        <f t="shared" si="16"/>
        <v>0.75309064518809699</v>
      </c>
      <c r="AN86" s="553">
        <f t="shared" si="17"/>
        <v>3.3424608964865987E-3</v>
      </c>
      <c r="AO86" s="554"/>
      <c r="AP86" s="580">
        <f t="shared" si="3"/>
        <v>0.25610232865710136</v>
      </c>
      <c r="AQ86" s="376">
        <f t="shared" si="18"/>
        <v>0.73884863223146846</v>
      </c>
      <c r="AR86" s="379">
        <f t="shared" si="19"/>
        <v>0.74389767134289864</v>
      </c>
      <c r="AS86" s="376">
        <f t="shared" si="20"/>
        <v>5.0363141387586019E-3</v>
      </c>
      <c r="AT86" s="384"/>
      <c r="AU86" s="583">
        <f t="shared" si="4"/>
        <v>0.31596356895826566</v>
      </c>
      <c r="AV86" s="381">
        <f t="shared" si="32"/>
        <v>1.1475330539491255</v>
      </c>
      <c r="AW86" s="376">
        <f t="shared" si="6"/>
        <v>1.1521283601481638</v>
      </c>
      <c r="AX86" s="503">
        <f t="shared" si="34"/>
        <v>4.5847639340007573E-3</v>
      </c>
      <c r="AY86" s="376">
        <f t="shared" si="7"/>
        <v>1.6521840966140384</v>
      </c>
      <c r="AZ86" s="381">
        <f t="shared" si="22"/>
        <v>1.644861357691027E-2</v>
      </c>
      <c r="BA86" s="586">
        <f t="shared" si="23"/>
        <v>0.30639103064483253</v>
      </c>
      <c r="BB86" s="376">
        <f t="shared" si="24"/>
        <v>0.69135996490332263</v>
      </c>
      <c r="BC86" s="376">
        <f t="shared" si="25"/>
        <v>0.69360896935516747</v>
      </c>
      <c r="BD86" s="376">
        <f t="shared" si="26"/>
        <v>2.2464773361857704E-3</v>
      </c>
      <c r="BE86" s="283"/>
      <c r="BF86" s="392">
        <v>29.8</v>
      </c>
      <c r="BG86" s="393">
        <v>0.40100000000000002</v>
      </c>
      <c r="BH86" s="396"/>
      <c r="BI86" s="396"/>
      <c r="BJ86" s="396"/>
      <c r="BK86" s="396"/>
      <c r="BL86" s="283"/>
      <c r="BM86" s="283"/>
      <c r="BN86" s="283"/>
      <c r="BO86" s="283"/>
      <c r="BP86" s="283"/>
      <c r="BQ86" s="283"/>
      <c r="BR86" s="283"/>
      <c r="BS86" s="283"/>
      <c r="BT86" s="283"/>
      <c r="BU86" s="283"/>
      <c r="BV86" s="283"/>
      <c r="BW86" s="283"/>
      <c r="BX86" s="283"/>
      <c r="BY86" s="283"/>
      <c r="BZ86" s="283"/>
      <c r="CA86" s="283"/>
      <c r="CB86" s="283"/>
      <c r="CC86" s="283"/>
      <c r="CD86" s="283"/>
      <c r="CE86" s="283"/>
      <c r="CF86" s="283"/>
      <c r="CG86" s="283"/>
      <c r="CH86" s="283"/>
      <c r="CI86" s="283"/>
      <c r="CJ86" s="283"/>
      <c r="CK86" s="283"/>
      <c r="CL86" s="283"/>
    </row>
    <row r="87" spans="1:90" ht="14.25" customHeight="1" x14ac:dyDescent="0.2">
      <c r="A87" s="3"/>
      <c r="B87" s="334"/>
      <c r="C87" s="252"/>
      <c r="D87" s="252"/>
      <c r="E87" s="252"/>
      <c r="F87" s="252"/>
      <c r="G87" s="334"/>
      <c r="H87" s="252"/>
      <c r="I87" s="252"/>
      <c r="J87" s="252"/>
      <c r="K87" s="252"/>
      <c r="L87" s="334"/>
      <c r="M87" s="252"/>
      <c r="N87" s="252"/>
      <c r="O87" s="252"/>
      <c r="P87" s="336"/>
      <c r="Q87" s="3"/>
      <c r="R87" s="3"/>
      <c r="S87" s="334"/>
      <c r="T87" s="373">
        <f t="shared" si="33"/>
        <v>61</v>
      </c>
      <c r="U87" s="334"/>
      <c r="V87" s="568">
        <f t="shared" si="27"/>
        <v>0.21774968561698099</v>
      </c>
      <c r="W87" s="328">
        <f t="shared" si="8"/>
        <v>0.77674011752507433</v>
      </c>
      <c r="X87" s="328">
        <f t="shared" si="9"/>
        <v>0.78225031438301906</v>
      </c>
      <c r="Y87" s="328">
        <f t="shared" si="10"/>
        <v>5.4950435685494625E-3</v>
      </c>
      <c r="Z87" s="334"/>
      <c r="AA87" s="571">
        <f t="shared" si="30"/>
        <v>0.25930485120218527</v>
      </c>
      <c r="AB87" s="327">
        <f t="shared" si="31"/>
        <v>0.73623409085405622</v>
      </c>
      <c r="AC87" s="327">
        <f t="shared" si="11"/>
        <v>0.74069514879781473</v>
      </c>
      <c r="AD87" s="327">
        <f t="shared" si="12"/>
        <v>4.4511222048961852E-3</v>
      </c>
      <c r="AE87" s="383"/>
      <c r="AF87" s="574">
        <f t="shared" si="1"/>
        <v>0.2573095562583092</v>
      </c>
      <c r="AG87" s="376">
        <f t="shared" si="28"/>
        <v>0.73919346167571931</v>
      </c>
      <c r="AH87" s="376">
        <f t="shared" si="13"/>
        <v>0.7426904437416908</v>
      </c>
      <c r="AI87" s="553">
        <f t="shared" si="14"/>
        <v>3.4908747453243905E-3</v>
      </c>
      <c r="AJ87" s="374"/>
      <c r="AK87" s="577">
        <f t="shared" si="2"/>
        <v>0.2436461304925609</v>
      </c>
      <c r="AL87" s="376">
        <f t="shared" si="15"/>
        <v>0.75309064518809699</v>
      </c>
      <c r="AM87" s="376">
        <f t="shared" si="16"/>
        <v>0.7563538695074391</v>
      </c>
      <c r="AN87" s="553">
        <f t="shared" si="17"/>
        <v>3.2579057896209296E-3</v>
      </c>
      <c r="AO87" s="554"/>
      <c r="AP87" s="580">
        <f t="shared" si="3"/>
        <v>0.25115856584203411</v>
      </c>
      <c r="AQ87" s="376">
        <f t="shared" si="18"/>
        <v>0.74389767134289864</v>
      </c>
      <c r="AR87" s="379">
        <f t="shared" si="19"/>
        <v>0.74884143415796589</v>
      </c>
      <c r="AS87" s="376">
        <f t="shared" si="20"/>
        <v>4.9315625330618174E-3</v>
      </c>
      <c r="AT87" s="384"/>
      <c r="AU87" s="583">
        <f t="shared" si="4"/>
        <v>0.31457233270312679</v>
      </c>
      <c r="AV87" s="381">
        <f t="shared" si="32"/>
        <v>1.1521283601481638</v>
      </c>
      <c r="AW87" s="376">
        <f t="shared" si="6"/>
        <v>1.156541236589161</v>
      </c>
      <c r="AX87" s="503">
        <f t="shared" si="34"/>
        <v>4.4031540083111498E-3</v>
      </c>
      <c r="AY87" s="376">
        <f t="shared" si="7"/>
        <v>1.66518547890307</v>
      </c>
      <c r="AZ87" s="381">
        <f t="shared" si="22"/>
        <v>1.6071313868132469E-2</v>
      </c>
      <c r="BA87" s="586">
        <f t="shared" si="23"/>
        <v>0.30419454392519413</v>
      </c>
      <c r="BB87" s="376">
        <f t="shared" si="24"/>
        <v>0.69360896935516747</v>
      </c>
      <c r="BC87" s="376">
        <f t="shared" si="25"/>
        <v>0.69580545607480593</v>
      </c>
      <c r="BD87" s="376">
        <f t="shared" si="26"/>
        <v>2.1940762078923592E-3</v>
      </c>
      <c r="BE87" s="283"/>
      <c r="BF87" s="392">
        <v>30.9</v>
      </c>
      <c r="BG87" s="393">
        <v>0.39300000000000002</v>
      </c>
      <c r="BH87" s="283"/>
      <c r="BI87" s="283"/>
      <c r="BJ87" s="283"/>
      <c r="BK87" s="283"/>
      <c r="BL87" s="396"/>
      <c r="BM87" s="283"/>
      <c r="BN87" s="283"/>
      <c r="BO87" s="283"/>
      <c r="BP87" s="283"/>
      <c r="BQ87" s="283"/>
      <c r="BR87" s="283"/>
      <c r="BS87" s="283"/>
      <c r="BT87" s="283"/>
      <c r="BU87" s="283"/>
      <c r="BV87" s="283"/>
      <c r="BW87" s="283"/>
      <c r="BX87" s="283"/>
      <c r="BY87" s="283"/>
      <c r="BZ87" s="283"/>
      <c r="CA87" s="283"/>
      <c r="CB87" s="283"/>
      <c r="CC87" s="283"/>
      <c r="CD87" s="283"/>
      <c r="CE87" s="283"/>
      <c r="CF87" s="283"/>
      <c r="CG87" s="283"/>
      <c r="CH87" s="283"/>
      <c r="CI87" s="283"/>
      <c r="CJ87" s="283"/>
      <c r="CK87" s="283"/>
      <c r="CL87" s="283"/>
    </row>
    <row r="88" spans="1:90" ht="14.25" customHeight="1" x14ac:dyDescent="0.2">
      <c r="A88" s="3"/>
      <c r="B88" s="334"/>
      <c r="C88" s="335" t="s">
        <v>396</v>
      </c>
      <c r="D88" s="252"/>
      <c r="E88" s="252"/>
      <c r="F88" s="252"/>
      <c r="G88" s="334"/>
      <c r="H88" s="252"/>
      <c r="I88" s="252"/>
      <c r="J88" s="252"/>
      <c r="K88" s="252"/>
      <c r="L88" s="334"/>
      <c r="M88" s="348" t="s">
        <v>182</v>
      </c>
      <c r="N88" s="350">
        <f ca="1">N85</f>
        <v>-3.1977071907688073E-2</v>
      </c>
      <c r="O88" s="252"/>
      <c r="P88" s="336"/>
      <c r="Q88" s="3"/>
      <c r="R88" s="3"/>
      <c r="S88" s="334"/>
      <c r="T88" s="373">
        <f t="shared" si="33"/>
        <v>62</v>
      </c>
      <c r="U88" s="334"/>
      <c r="V88" s="568">
        <f t="shared" si="27"/>
        <v>0.21237548394579675</v>
      </c>
      <c r="W88" s="328">
        <f t="shared" si="8"/>
        <v>0.78225031438301906</v>
      </c>
      <c r="X88" s="328">
        <f t="shared" si="9"/>
        <v>0.78762451605420325</v>
      </c>
      <c r="Y88" s="328">
        <f t="shared" si="10"/>
        <v>5.3597864843175635E-3</v>
      </c>
      <c r="Z88" s="334"/>
      <c r="AA88" s="571">
        <f t="shared" si="30"/>
        <v>0.25493564916958394</v>
      </c>
      <c r="AB88" s="327">
        <f t="shared" si="31"/>
        <v>0.74069514879781473</v>
      </c>
      <c r="AC88" s="327">
        <f t="shared" si="11"/>
        <v>0.745064350830416</v>
      </c>
      <c r="AD88" s="327">
        <f t="shared" si="12"/>
        <v>4.3596709555201452E-3</v>
      </c>
      <c r="AE88" s="383"/>
      <c r="AF88" s="574">
        <f t="shared" si="1"/>
        <v>0.25389336990581635</v>
      </c>
      <c r="AG88" s="376">
        <f t="shared" si="28"/>
        <v>0.7426904437416908</v>
      </c>
      <c r="AH88" s="376">
        <f t="shared" si="13"/>
        <v>0.74610663009418365</v>
      </c>
      <c r="AI88" s="553">
        <f t="shared" si="14"/>
        <v>3.4103578268942503E-3</v>
      </c>
      <c r="AJ88" s="374"/>
      <c r="AK88" s="577">
        <f t="shared" si="2"/>
        <v>0.24046461615994102</v>
      </c>
      <c r="AL88" s="376">
        <f t="shared" si="15"/>
        <v>0.7563538695074391</v>
      </c>
      <c r="AM88" s="376">
        <f t="shared" si="16"/>
        <v>0.75953538384005892</v>
      </c>
      <c r="AN88" s="553">
        <f t="shared" si="17"/>
        <v>3.1764586788616267E-3</v>
      </c>
      <c r="AO88" s="554"/>
      <c r="AP88" s="580">
        <f t="shared" si="3"/>
        <v>0.24631755688902457</v>
      </c>
      <c r="AQ88" s="376">
        <f t="shared" si="18"/>
        <v>0.74884143415796589</v>
      </c>
      <c r="AR88" s="379">
        <f t="shared" si="19"/>
        <v>0.75368244311097543</v>
      </c>
      <c r="AS88" s="376">
        <f t="shared" si="20"/>
        <v>4.8293101547769446E-3</v>
      </c>
      <c r="AT88" s="384"/>
      <c r="AU88" s="583">
        <f t="shared" si="4"/>
        <v>0.31324209355300092</v>
      </c>
      <c r="AV88" s="381">
        <f t="shared" si="32"/>
        <v>1.156541236589161</v>
      </c>
      <c r="AW88" s="376">
        <f t="shared" si="6"/>
        <v>1.1607789255787617</v>
      </c>
      <c r="AX88" s="503">
        <f t="shared" si="34"/>
        <v>4.2287226555974833E-3</v>
      </c>
      <c r="AY88" s="376">
        <f t="shared" si="7"/>
        <v>1.6779754472088582</v>
      </c>
      <c r="AZ88" s="381">
        <f t="shared" si="22"/>
        <v>1.5708595024383421E-2</v>
      </c>
      <c r="BA88" s="586">
        <f t="shared" si="23"/>
        <v>0.30204853597609171</v>
      </c>
      <c r="BB88" s="376">
        <f t="shared" si="24"/>
        <v>0.69580545607480593</v>
      </c>
      <c r="BC88" s="376">
        <f t="shared" si="25"/>
        <v>0.69795146402390829</v>
      </c>
      <c r="BD88" s="376">
        <f t="shared" si="26"/>
        <v>2.1437069203464887E-3</v>
      </c>
      <c r="BE88" s="283"/>
      <c r="BF88" s="392">
        <v>35.700000000000003</v>
      </c>
      <c r="BG88" s="393">
        <v>0.39</v>
      </c>
      <c r="BH88" s="283"/>
      <c r="BI88" s="283"/>
      <c r="BJ88" s="283"/>
      <c r="BK88" s="283"/>
      <c r="BL88" s="283"/>
      <c r="BM88" s="283"/>
      <c r="BN88" s="283"/>
      <c r="BO88" s="283"/>
      <c r="BP88" s="283"/>
      <c r="BQ88" s="283"/>
      <c r="BR88" s="283"/>
      <c r="BS88" s="283"/>
      <c r="BT88" s="283"/>
      <c r="BU88" s="283"/>
      <c r="BV88" s="283"/>
      <c r="BW88" s="283"/>
      <c r="BX88" s="283"/>
      <c r="BY88" s="283"/>
      <c r="BZ88" s="283"/>
      <c r="CA88" s="283"/>
      <c r="CB88" s="283"/>
      <c r="CC88" s="283"/>
      <c r="CD88" s="283"/>
      <c r="CE88" s="283"/>
      <c r="CF88" s="283"/>
      <c r="CG88" s="283"/>
      <c r="CH88" s="283"/>
      <c r="CI88" s="283"/>
      <c r="CJ88" s="283"/>
      <c r="CK88" s="283"/>
      <c r="CL88" s="283"/>
    </row>
    <row r="89" spans="1:90" ht="14.25" customHeight="1" x14ac:dyDescent="0.2">
      <c r="A89" s="3"/>
      <c r="B89" s="341"/>
      <c r="C89" s="351" t="s">
        <v>397</v>
      </c>
      <c r="D89" s="343">
        <v>-501.26150000000001</v>
      </c>
      <c r="E89" s="344"/>
      <c r="F89" s="344"/>
      <c r="G89" s="341"/>
      <c r="H89" s="344"/>
      <c r="I89" s="344"/>
      <c r="J89" s="344"/>
      <c r="K89" s="344"/>
      <c r="L89" s="341"/>
      <c r="M89" s="349" t="s">
        <v>184</v>
      </c>
      <c r="N89" s="329">
        <f ca="1">EXP(N86)</f>
        <v>4.2428153348554737E-2</v>
      </c>
      <c r="O89" s="344"/>
      <c r="P89" s="345"/>
      <c r="Q89" s="3"/>
      <c r="R89" s="3"/>
      <c r="S89" s="334"/>
      <c r="T89" s="373">
        <f t="shared" si="33"/>
        <v>63</v>
      </c>
      <c r="U89" s="334"/>
      <c r="V89" s="568">
        <f t="shared" si="27"/>
        <v>0.20713392101308289</v>
      </c>
      <c r="W89" s="328">
        <f t="shared" si="8"/>
        <v>0.78762451605420325</v>
      </c>
      <c r="X89" s="328">
        <f t="shared" si="9"/>
        <v>0.79286607898691708</v>
      </c>
      <c r="Y89" s="328">
        <f t="shared" si="10"/>
        <v>5.2278499114081223E-3</v>
      </c>
      <c r="Z89" s="334"/>
      <c r="AA89" s="571">
        <f t="shared" si="30"/>
        <v>0.25065587804323802</v>
      </c>
      <c r="AB89" s="327">
        <f t="shared" si="31"/>
        <v>0.745064350830416</v>
      </c>
      <c r="AC89" s="327">
        <f t="shared" si="11"/>
        <v>0.74934412195676203</v>
      </c>
      <c r="AD89" s="327">
        <f t="shared" si="12"/>
        <v>4.2706259569613714E-3</v>
      </c>
      <c r="AE89" s="383"/>
      <c r="AF89" s="574">
        <f t="shared" si="1"/>
        <v>0.25055522785232753</v>
      </c>
      <c r="AG89" s="376">
        <f t="shared" si="28"/>
        <v>0.74610663009418365</v>
      </c>
      <c r="AH89" s="376">
        <f t="shared" si="13"/>
        <v>0.74944477214767247</v>
      </c>
      <c r="AI89" s="553">
        <f t="shared" si="14"/>
        <v>3.3325766517270372E-3</v>
      </c>
      <c r="AJ89" s="374"/>
      <c r="AK89" s="577">
        <f t="shared" si="2"/>
        <v>0.23736183644122344</v>
      </c>
      <c r="AL89" s="376">
        <f t="shared" si="15"/>
        <v>0.75953538384005892</v>
      </c>
      <c r="AM89" s="376">
        <f t="shared" si="16"/>
        <v>0.76263816355877656</v>
      </c>
      <c r="AN89" s="553">
        <f t="shared" si="17"/>
        <v>3.0979710724019505E-3</v>
      </c>
      <c r="AO89" s="554"/>
      <c r="AP89" s="580">
        <f t="shared" si="3"/>
        <v>0.24157685588694822</v>
      </c>
      <c r="AQ89" s="376">
        <f t="shared" si="18"/>
        <v>0.75368244311097543</v>
      </c>
      <c r="AR89" s="379">
        <f t="shared" si="19"/>
        <v>0.75842314411305178</v>
      </c>
      <c r="AS89" s="376">
        <f t="shared" si="20"/>
        <v>4.7294816153353736E-3</v>
      </c>
      <c r="AT89" s="384"/>
      <c r="AU89" s="583">
        <f t="shared" si="4"/>
        <v>0.3119699587362631</v>
      </c>
      <c r="AV89" s="381">
        <f t="shared" si="32"/>
        <v>1.1607789255787617</v>
      </c>
      <c r="AW89" s="376">
        <f t="shared" si="6"/>
        <v>1.1648483819101798</v>
      </c>
      <c r="AX89" s="503">
        <f t="shared" si="34"/>
        <v>4.0611873146051414E-3</v>
      </c>
      <c r="AY89" s="376">
        <f t="shared" si="7"/>
        <v>1.6905607672189895</v>
      </c>
      <c r="AZ89" s="381">
        <f t="shared" si="22"/>
        <v>1.5359671789571793E-2</v>
      </c>
      <c r="BA89" s="586">
        <f t="shared" si="23"/>
        <v>0.29995107743461036</v>
      </c>
      <c r="BB89" s="376">
        <f t="shared" si="24"/>
        <v>0.69795146402390829</v>
      </c>
      <c r="BC89" s="376">
        <f t="shared" si="25"/>
        <v>0.70004892256538964</v>
      </c>
      <c r="BD89" s="376">
        <f t="shared" si="26"/>
        <v>2.0952604124114815E-3</v>
      </c>
      <c r="BE89" s="283"/>
      <c r="BF89" s="392">
        <v>35.9</v>
      </c>
      <c r="BG89" s="393">
        <v>0.38</v>
      </c>
      <c r="BH89" s="283"/>
      <c r="BI89" s="283"/>
      <c r="BJ89" s="283"/>
      <c r="BK89" s="283"/>
      <c r="BL89" s="283"/>
      <c r="BM89" s="283"/>
      <c r="BN89" s="283"/>
      <c r="BO89" s="283"/>
      <c r="BP89" s="283"/>
      <c r="BQ89" s="283"/>
      <c r="BR89" s="283"/>
      <c r="BS89" s="283"/>
      <c r="BT89" s="283"/>
      <c r="BU89" s="283"/>
      <c r="BV89" s="283"/>
      <c r="BW89" s="283"/>
      <c r="BX89" s="283"/>
      <c r="BY89" s="283"/>
      <c r="BZ89" s="283"/>
      <c r="CA89" s="283"/>
      <c r="CB89" s="283"/>
      <c r="CC89" s="283"/>
      <c r="CD89" s="283"/>
      <c r="CE89" s="283"/>
      <c r="CF89" s="283"/>
      <c r="CG89" s="283"/>
      <c r="CH89" s="283"/>
      <c r="CI89" s="283"/>
      <c r="CJ89" s="283"/>
      <c r="CK89" s="283"/>
      <c r="CL89" s="283"/>
    </row>
    <row r="90" spans="1:90" ht="14.25" customHeight="1" x14ac:dyDescent="0.2">
      <c r="A90" s="3"/>
      <c r="B90" s="252"/>
      <c r="C90" s="3"/>
      <c r="D90" s="3"/>
      <c r="E90" s="3"/>
      <c r="F90" s="3"/>
      <c r="G90" s="252"/>
      <c r="H90" s="3"/>
      <c r="I90" s="3"/>
      <c r="J90" s="3"/>
      <c r="K90" s="3"/>
      <c r="L90" s="252"/>
      <c r="M90" s="3"/>
      <c r="N90" s="3"/>
      <c r="O90" s="3"/>
      <c r="P90" s="3"/>
      <c r="Q90" s="3"/>
      <c r="R90" s="3"/>
      <c r="S90" s="334"/>
      <c r="T90" s="373">
        <f t="shared" si="33"/>
        <v>64</v>
      </c>
      <c r="U90" s="334"/>
      <c r="V90" s="568">
        <f t="shared" si="27"/>
        <v>0.20202172320984235</v>
      </c>
      <c r="W90" s="328">
        <f t="shared" si="8"/>
        <v>0.79286607898691708</v>
      </c>
      <c r="X90" s="328">
        <f t="shared" si="9"/>
        <v>0.79797827679015765</v>
      </c>
      <c r="Y90" s="328">
        <f t="shared" si="10"/>
        <v>5.0991527591330854E-3</v>
      </c>
      <c r="Z90" s="334"/>
      <c r="AA90" s="571">
        <f t="shared" si="30"/>
        <v>0.24646319789962676</v>
      </c>
      <c r="AB90" s="327">
        <f t="shared" si="31"/>
        <v>0.74934412195676203</v>
      </c>
      <c r="AC90" s="327">
        <f t="shared" si="11"/>
        <v>0.75353680210037322</v>
      </c>
      <c r="AD90" s="327">
        <f t="shared" si="12"/>
        <v>4.1839031309047758E-3</v>
      </c>
      <c r="AE90" s="383"/>
      <c r="AF90" s="574">
        <f t="shared" si="1"/>
        <v>0.2472925041486782</v>
      </c>
      <c r="AG90" s="376">
        <f t="shared" si="28"/>
        <v>0.74944477214767247</v>
      </c>
      <c r="AH90" s="376">
        <f t="shared" si="13"/>
        <v>0.7527074958513218</v>
      </c>
      <c r="AI90" s="553">
        <f t="shared" si="14"/>
        <v>3.257406804762053E-3</v>
      </c>
      <c r="AJ90" s="374"/>
      <c r="AK90" s="577">
        <f t="shared" si="2"/>
        <v>0.23433495691392486</v>
      </c>
      <c r="AL90" s="376">
        <f t="shared" si="15"/>
        <v>0.76263816355877656</v>
      </c>
      <c r="AM90" s="376">
        <f t="shared" si="16"/>
        <v>0.76566504308607519</v>
      </c>
      <c r="AN90" s="553">
        <f t="shared" si="17"/>
        <v>3.0223031460115957E-3</v>
      </c>
      <c r="AO90" s="554"/>
      <c r="AP90" s="580">
        <f t="shared" si="3"/>
        <v>0.23693409024440337</v>
      </c>
      <c r="AQ90" s="376">
        <f t="shared" si="18"/>
        <v>0.75842314411305178</v>
      </c>
      <c r="AR90" s="379">
        <f t="shared" si="19"/>
        <v>0.76306590975559663</v>
      </c>
      <c r="AS90" s="376">
        <f t="shared" si="20"/>
        <v>4.6320046661441072E-3</v>
      </c>
      <c r="AT90" s="384"/>
      <c r="AU90" s="583">
        <f t="shared" si="4"/>
        <v>0.31075318965196952</v>
      </c>
      <c r="AV90" s="381">
        <f t="shared" si="32"/>
        <v>1.1648483819101798</v>
      </c>
      <c r="AW90" s="376">
        <f t="shared" si="6"/>
        <v>1.1687562842772385</v>
      </c>
      <c r="AX90" s="503">
        <f t="shared" si="34"/>
        <v>3.9002764536127943E-3</v>
      </c>
      <c r="AY90" s="376">
        <f t="shared" si="7"/>
        <v>1.7029478849551929</v>
      </c>
      <c r="AZ90" s="381">
        <f t="shared" si="22"/>
        <v>1.5023812769221021E-2</v>
      </c>
      <c r="BA90" s="586">
        <f t="shared" si="23"/>
        <v>0.29790034106519253</v>
      </c>
      <c r="BB90" s="376">
        <f t="shared" si="24"/>
        <v>0.70004892256538964</v>
      </c>
      <c r="BC90" s="376">
        <f t="shared" si="25"/>
        <v>0.70209965893480741</v>
      </c>
      <c r="BD90" s="376">
        <f t="shared" si="26"/>
        <v>2.0486350462547431E-3</v>
      </c>
      <c r="BE90" s="283"/>
      <c r="BF90" s="392">
        <v>40</v>
      </c>
      <c r="BG90" s="393">
        <v>0.379</v>
      </c>
      <c r="BH90" s="283"/>
      <c r="BI90" s="283"/>
      <c r="BJ90" s="283"/>
      <c r="BK90" s="283"/>
      <c r="BL90" s="283"/>
      <c r="BM90" s="283"/>
      <c r="BN90" s="283"/>
      <c r="BO90" s="283"/>
      <c r="BP90" s="283"/>
      <c r="BQ90" s="283"/>
      <c r="BR90" s="283"/>
      <c r="BS90" s="283"/>
      <c r="BT90" s="283"/>
      <c r="BU90" s="283"/>
      <c r="BV90" s="283"/>
      <c r="BW90" s="283"/>
      <c r="BX90" s="283"/>
      <c r="BY90" s="283"/>
      <c r="BZ90" s="283"/>
      <c r="CA90" s="283"/>
      <c r="CB90" s="283"/>
      <c r="CC90" s="283"/>
      <c r="CD90" s="283"/>
      <c r="CE90" s="283"/>
      <c r="CF90" s="283"/>
      <c r="CG90" s="283"/>
      <c r="CH90" s="283"/>
      <c r="CI90" s="283"/>
      <c r="CJ90" s="283"/>
      <c r="CK90" s="283"/>
      <c r="CL90" s="283"/>
    </row>
    <row r="91" spans="1:90" ht="14.25" customHeight="1" x14ac:dyDescent="0.2">
      <c r="A91" s="3"/>
      <c r="B91" s="330"/>
      <c r="C91" s="331" t="s">
        <v>415</v>
      </c>
      <c r="D91" s="332"/>
      <c r="E91" s="332"/>
      <c r="F91" s="332"/>
      <c r="G91" s="332"/>
      <c r="H91" s="332"/>
      <c r="I91" s="332"/>
      <c r="J91" s="332"/>
      <c r="K91" s="332"/>
      <c r="L91" s="332"/>
      <c r="M91" s="332"/>
      <c r="N91" s="332"/>
      <c r="O91" s="332"/>
      <c r="P91" s="333"/>
      <c r="Q91" s="3"/>
      <c r="R91" s="3"/>
      <c r="S91" s="334"/>
      <c r="T91" s="373">
        <f t="shared" si="33"/>
        <v>65</v>
      </c>
      <c r="U91" s="334"/>
      <c r="V91" s="568">
        <f t="shared" si="27"/>
        <v>0.19703569772184418</v>
      </c>
      <c r="W91" s="328">
        <f t="shared" si="8"/>
        <v>0.79797827679015765</v>
      </c>
      <c r="X91" s="328">
        <f t="shared" si="9"/>
        <v>0.80296430227815585</v>
      </c>
      <c r="Y91" s="328">
        <f t="shared" si="10"/>
        <v>4.9736158963282762E-3</v>
      </c>
      <c r="Z91" s="334"/>
      <c r="AA91" s="571">
        <f t="shared" si="30"/>
        <v>0.24235534992663021</v>
      </c>
      <c r="AB91" s="327">
        <f t="shared" si="31"/>
        <v>0.75353680210037322</v>
      </c>
      <c r="AC91" s="327">
        <f t="shared" si="11"/>
        <v>0.75764465007336979</v>
      </c>
      <c r="AD91" s="327">
        <f t="shared" si="12"/>
        <v>4.0994223065791147E-3</v>
      </c>
      <c r="AE91" s="383"/>
      <c r="AF91" s="574">
        <f t="shared" ref="AF91:AF154" si="35">1-_xlfn.NORM.DIST(LN(T91),$AF$21,$AF$22,TRUE)</f>
        <v>0.2441026911127413</v>
      </c>
      <c r="AG91" s="376">
        <f t="shared" si="28"/>
        <v>0.7527074958513218</v>
      </c>
      <c r="AH91" s="376">
        <f t="shared" si="13"/>
        <v>0.7558973088872587</v>
      </c>
      <c r="AI91" s="553">
        <f t="shared" si="14"/>
        <v>3.1847309873658247E-3</v>
      </c>
      <c r="AJ91" s="374"/>
      <c r="AK91" s="577">
        <f t="shared" ref="AK91:AK154" si="36">(1+(T91/$AK$21)^$AK$22)^-1</f>
        <v>0.23138127594088342</v>
      </c>
      <c r="AL91" s="376">
        <f t="shared" si="15"/>
        <v>0.76566504308607519</v>
      </c>
      <c r="AM91" s="376">
        <f t="shared" si="16"/>
        <v>0.76861872405911658</v>
      </c>
      <c r="AN91" s="553">
        <f t="shared" si="17"/>
        <v>2.9493231489926552E-3</v>
      </c>
      <c r="AO91" s="554"/>
      <c r="AP91" s="580">
        <f t="shared" ref="AP91:AP154" si="37">1-_xlfn.GAMMA.DIST(T91,$AP$21,1/$AP$22,TRUE)</f>
        <v>0.23238695767188278</v>
      </c>
      <c r="AQ91" s="376">
        <f t="shared" si="18"/>
        <v>0.76306590975559663</v>
      </c>
      <c r="AR91" s="379">
        <f t="shared" si="19"/>
        <v>0.76761304232811722</v>
      </c>
      <c r="AS91" s="376">
        <f t="shared" si="20"/>
        <v>4.53681001714068E-3</v>
      </c>
      <c r="AT91" s="384"/>
      <c r="AU91" s="583">
        <f t="shared" ref="AU91:AU154" si="38">EXP((-$AU$22/$AU$21)*(EXP($AU$21*T91)-1))</f>
        <v>0.309589192371928</v>
      </c>
      <c r="AV91" s="381">
        <f t="shared" si="32"/>
        <v>1.1687562842772385</v>
      </c>
      <c r="AW91" s="376">
        <f t="shared" ref="AW91:AW154" si="39">($AU$22/$AU$21)*((EXP($AU$21*T91))-1)</f>
        <v>1.1725090462352816</v>
      </c>
      <c r="AX91" s="503">
        <f t="shared" si="34"/>
        <v>3.7457291471252319E-3</v>
      </c>
      <c r="AY91" s="376">
        <f t="shared" ref="AY91:AY154" si="40">(LN(T91)-$AZ$21)/$AZ$22</f>
        <v>1.7151429465996306</v>
      </c>
      <c r="AZ91" s="381">
        <f t="shared" si="22"/>
        <v>1.4700335966696881E-2</v>
      </c>
      <c r="BA91" s="586">
        <f t="shared" si="23"/>
        <v>0.29589459490169845</v>
      </c>
      <c r="BB91" s="376">
        <f t="shared" si="24"/>
        <v>0.70209965893480741</v>
      </c>
      <c r="BC91" s="376">
        <f t="shared" si="25"/>
        <v>0.70410540509830155</v>
      </c>
      <c r="BD91" s="376">
        <f t="shared" si="26"/>
        <v>2.0037359988426262E-3</v>
      </c>
      <c r="BE91" s="283"/>
      <c r="BF91" s="392">
        <v>40.6</v>
      </c>
      <c r="BG91" s="393">
        <v>0.37</v>
      </c>
      <c r="BH91" s="283"/>
      <c r="BI91" s="283"/>
      <c r="BJ91" s="283"/>
      <c r="BK91" s="283"/>
      <c r="BL91" s="283"/>
      <c r="BM91" s="283"/>
      <c r="BN91" s="283"/>
      <c r="BO91" s="283"/>
      <c r="BP91" s="283"/>
      <c r="BQ91" s="283"/>
      <c r="BR91" s="283"/>
      <c r="BS91" s="283"/>
      <c r="BT91" s="283"/>
      <c r="BU91" s="283"/>
      <c r="BV91" s="283"/>
      <c r="BW91" s="283"/>
      <c r="BX91" s="283"/>
      <c r="BY91" s="283"/>
      <c r="BZ91" s="283"/>
      <c r="CA91" s="283"/>
      <c r="CB91" s="283"/>
      <c r="CC91" s="283"/>
      <c r="CD91" s="283"/>
      <c r="CE91" s="283"/>
      <c r="CF91" s="283"/>
      <c r="CG91" s="283"/>
      <c r="CH91" s="283"/>
      <c r="CI91" s="283"/>
      <c r="CJ91" s="283"/>
      <c r="CK91" s="283"/>
      <c r="CL91" s="283"/>
    </row>
    <row r="92" spans="1:90" ht="14.25" customHeight="1" x14ac:dyDescent="0.2">
      <c r="A92" s="3"/>
      <c r="B92" s="334"/>
      <c r="C92" s="335" t="s">
        <v>391</v>
      </c>
      <c r="D92" s="252"/>
      <c r="E92" s="252"/>
      <c r="F92" s="252"/>
      <c r="G92" s="346"/>
      <c r="H92" s="335" t="s">
        <v>398</v>
      </c>
      <c r="I92" s="252"/>
      <c r="J92" s="252"/>
      <c r="K92" s="252"/>
      <c r="L92" s="352"/>
      <c r="M92" s="335" t="s">
        <v>399</v>
      </c>
      <c r="N92" s="252"/>
      <c r="O92" s="252"/>
      <c r="P92" s="336"/>
      <c r="Q92" s="3"/>
      <c r="R92" s="3"/>
      <c r="S92" s="334"/>
      <c r="T92" s="373">
        <f t="shared" si="33"/>
        <v>66</v>
      </c>
      <c r="U92" s="334"/>
      <c r="V92" s="568">
        <f t="shared" si="27"/>
        <v>0.1921727305355572</v>
      </c>
      <c r="W92" s="328">
        <f t="shared" ref="W92:W155" si="41">1-V91</f>
        <v>0.80296430227815585</v>
      </c>
      <c r="X92" s="328">
        <f t="shared" ref="X92:X155" si="42">1-V92</f>
        <v>0.80782726946444283</v>
      </c>
      <c r="Y92" s="328">
        <f t="shared" ref="Y92:Y155" si="43">1-EXP(W92-X92)</f>
        <v>4.8511621050193465E-3</v>
      </c>
      <c r="Z92" s="334"/>
      <c r="AA92" s="571">
        <f t="shared" ref="AA92:AA155" si="44">EXP(-1*(T92/$AA$21)^$AA$22)</f>
        <v>0.2383301526924104</v>
      </c>
      <c r="AB92" s="327">
        <f t="shared" si="31"/>
        <v>0.75764465007336979</v>
      </c>
      <c r="AC92" s="327">
        <f t="shared" ref="AC92:AC155" si="45">1-AA92</f>
        <v>0.76166984730758958</v>
      </c>
      <c r="AD92" s="327">
        <f t="shared" ref="AD92:AD155" si="46">1-EXP(AB92-AC92)</f>
        <v>4.0171069864204378E-3</v>
      </c>
      <c r="AE92" s="383"/>
      <c r="AF92" s="574">
        <f t="shared" si="35"/>
        <v>0.24098339262899171</v>
      </c>
      <c r="AG92" s="376">
        <f t="shared" si="28"/>
        <v>0.7558973088872587</v>
      </c>
      <c r="AH92" s="376">
        <f t="shared" ref="AH92:AH155" si="47">1-AF92</f>
        <v>0.75901660737100829</v>
      </c>
      <c r="AI92" s="553">
        <f t="shared" ref="AI92:AI155" si="48">1-EXP(AG92-AH92)</f>
        <v>3.1144385267662944E-3</v>
      </c>
      <c r="AJ92" s="374"/>
      <c r="AK92" s="577">
        <f t="shared" si="36"/>
        <v>0.22849821706114079</v>
      </c>
      <c r="AL92" s="376">
        <f t="shared" ref="AL92:AL155" si="49">1-AK91</f>
        <v>0.76861872405911658</v>
      </c>
      <c r="AM92" s="376">
        <f t="shared" ref="AM92:AM155" si="50">1-AK92</f>
        <v>0.77150178293885918</v>
      </c>
      <c r="AN92" s="553">
        <f t="shared" ref="AN92:AN155" si="51">1-EXP(AL92-AM92)</f>
        <v>2.87890685662473E-3</v>
      </c>
      <c r="AO92" s="554"/>
      <c r="AP92" s="580">
        <f t="shared" si="37"/>
        <v>0.22793322333563037</v>
      </c>
      <c r="AQ92" s="376">
        <f t="shared" ref="AQ92:AQ155" si="52">1-AP91</f>
        <v>0.76761304232811722</v>
      </c>
      <c r="AR92" s="379">
        <f t="shared" ref="AR92:AR155" si="53">1-AP92</f>
        <v>0.77206677666436963</v>
      </c>
      <c r="AS92" s="376">
        <f t="shared" ref="AS92:AS155" si="54">1-EXP(AQ92-AR92)</f>
        <v>4.4438311689638521E-3</v>
      </c>
      <c r="AT92" s="384"/>
      <c r="AU92" s="583">
        <f t="shared" si="38"/>
        <v>0.30847550882086106</v>
      </c>
      <c r="AV92" s="381">
        <f t="shared" si="32"/>
        <v>1.1725090462352816</v>
      </c>
      <c r="AW92" s="376">
        <f t="shared" si="39"/>
        <v>1.1761128267269458</v>
      </c>
      <c r="AX92" s="503">
        <f t="shared" si="34"/>
        <v>3.5972946682486517E-3</v>
      </c>
      <c r="AY92" s="376">
        <f t="shared" si="40"/>
        <v>1.7271518168075448</v>
      </c>
      <c r="AZ92" s="381">
        <f t="shared" ref="AZ92:AZ155" si="55">$AZ$24*EXP(ABS($AZ$23)*-AY92)</f>
        <v>1.4388604751201732E-2</v>
      </c>
      <c r="BA92" s="586">
        <f t="shared" ref="BA92:BA155" si="56">_xlfn.GAMMA.DIST(AZ92,$AZ$24,1,TRUE)</f>
        <v>0.29393219594428982</v>
      </c>
      <c r="BB92" s="376">
        <f t="shared" ref="BB92:BB155" si="57">1-BA91</f>
        <v>0.70410540509830155</v>
      </c>
      <c r="BC92" s="376">
        <f t="shared" ref="BC92:BC155" si="58">1-BA92</f>
        <v>0.70606780405571024</v>
      </c>
      <c r="BD92" s="376">
        <f t="shared" ref="BD92:BD155" si="59">1-EXP(BB92-BC92)</f>
        <v>1.9604747114931875E-3</v>
      </c>
      <c r="BE92" s="283"/>
      <c r="BF92" s="392">
        <v>40.9</v>
      </c>
      <c r="BG92" s="393">
        <v>0.36199999999999999</v>
      </c>
      <c r="BH92" s="283"/>
      <c r="BI92" s="283"/>
      <c r="BJ92" s="283"/>
      <c r="BK92" s="283"/>
      <c r="BL92" s="283"/>
      <c r="BM92" s="283"/>
      <c r="BN92" s="283"/>
      <c r="BO92" s="283"/>
      <c r="BP92" s="283"/>
      <c r="BQ92" s="283"/>
      <c r="BR92" s="283"/>
      <c r="BS92" s="283"/>
      <c r="BT92" s="283"/>
      <c r="BU92" s="283"/>
      <c r="BV92" s="283"/>
      <c r="BW92" s="283"/>
      <c r="BX92" s="283"/>
      <c r="BY92" s="283"/>
      <c r="BZ92" s="283"/>
      <c r="CA92" s="283"/>
      <c r="CB92" s="283"/>
      <c r="CC92" s="283"/>
      <c r="CD92" s="283"/>
      <c r="CE92" s="283"/>
      <c r="CF92" s="283"/>
      <c r="CG92" s="283"/>
      <c r="CH92" s="283"/>
      <c r="CI92" s="283"/>
      <c r="CJ92" s="283"/>
      <c r="CK92" s="283"/>
      <c r="CL92" s="283"/>
    </row>
    <row r="93" spans="1:90" ht="14.25" customHeight="1" x14ac:dyDescent="0.2">
      <c r="A93" s="3"/>
      <c r="B93" s="334"/>
      <c r="C93" s="252"/>
      <c r="D93" s="337" t="s">
        <v>404</v>
      </c>
      <c r="E93" s="337" t="s">
        <v>407</v>
      </c>
      <c r="F93" s="252"/>
      <c r="G93" s="334"/>
      <c r="H93" s="252"/>
      <c r="I93" s="252"/>
      <c r="J93" s="252"/>
      <c r="K93" s="252"/>
      <c r="L93" s="334"/>
      <c r="M93" s="252"/>
      <c r="N93" s="252"/>
      <c r="O93" s="252"/>
      <c r="P93" s="336"/>
      <c r="Q93" s="3"/>
      <c r="R93" s="3"/>
      <c r="S93" s="334"/>
      <c r="T93" s="373">
        <f t="shared" si="33"/>
        <v>67</v>
      </c>
      <c r="U93" s="334"/>
      <c r="V93" s="568">
        <f t="shared" ref="V93:V156" si="60">EXP(-1*$V$21*T93)</f>
        <v>0.18742978449329806</v>
      </c>
      <c r="W93" s="328">
        <f t="shared" si="41"/>
        <v>0.80782726946444283</v>
      </c>
      <c r="X93" s="328">
        <f t="shared" si="42"/>
        <v>0.81257021550670194</v>
      </c>
      <c r="Y93" s="328">
        <f t="shared" si="43"/>
        <v>4.7317160351336707E-3</v>
      </c>
      <c r="Z93" s="334"/>
      <c r="AA93" s="571">
        <f t="shared" si="44"/>
        <v>0.23438549863538408</v>
      </c>
      <c r="AB93" s="327">
        <f t="shared" si="31"/>
        <v>0.76166984730758958</v>
      </c>
      <c r="AC93" s="327">
        <f t="shared" si="45"/>
        <v>0.76561450136461595</v>
      </c>
      <c r="AD93" s="327">
        <f t="shared" si="46"/>
        <v>3.936884129128293E-3</v>
      </c>
      <c r="AE93" s="383"/>
      <c r="AF93" s="574">
        <f t="shared" si="35"/>
        <v>0.2379323179056555</v>
      </c>
      <c r="AG93" s="376">
        <f t="shared" ref="AG93:AG156" si="61">1-AF92</f>
        <v>0.75901660737100829</v>
      </c>
      <c r="AH93" s="376">
        <f t="shared" si="47"/>
        <v>0.7620676820943445</v>
      </c>
      <c r="AI93" s="553">
        <f t="shared" si="48"/>
        <v>3.0464249250153896E-3</v>
      </c>
      <c r="AJ93" s="374"/>
      <c r="AK93" s="577">
        <f t="shared" si="36"/>
        <v>0.22568332189345683</v>
      </c>
      <c r="AL93" s="376">
        <f t="shared" si="49"/>
        <v>0.77150178293885918</v>
      </c>
      <c r="AM93" s="376">
        <f t="shared" si="50"/>
        <v>0.77431667810654314</v>
      </c>
      <c r="AN93" s="553">
        <f t="shared" si="51"/>
        <v>2.8109370650337695E-3</v>
      </c>
      <c r="AO93" s="554"/>
      <c r="AP93" s="580">
        <f t="shared" si="37"/>
        <v>0.2235707171705279</v>
      </c>
      <c r="AQ93" s="376">
        <f t="shared" si="52"/>
        <v>0.77206677666436963</v>
      </c>
      <c r="AR93" s="379">
        <f t="shared" si="53"/>
        <v>0.7764292828294721</v>
      </c>
      <c r="AS93" s="376">
        <f t="shared" si="54"/>
        <v>4.3530042574807526E-3</v>
      </c>
      <c r="AT93" s="384"/>
      <c r="AU93" s="583">
        <f t="shared" si="38"/>
        <v>0.30740980857964306</v>
      </c>
      <c r="AV93" s="381">
        <f t="shared" si="32"/>
        <v>1.1761128267269458</v>
      </c>
      <c r="AW93" s="376">
        <f t="shared" si="39"/>
        <v>1.1795735401900704</v>
      </c>
      <c r="AX93" s="503">
        <f t="shared" si="34"/>
        <v>3.4547320962093897E-3</v>
      </c>
      <c r="AY93" s="376">
        <f t="shared" si="40"/>
        <v>1.7389800956428554</v>
      </c>
      <c r="AZ93" s="381">
        <f t="shared" si="55"/>
        <v>1.408802420996897E-2</v>
      </c>
      <c r="BA93" s="586">
        <f t="shared" si="56"/>
        <v>0.2920115843588616</v>
      </c>
      <c r="BB93" s="376">
        <f t="shared" si="57"/>
        <v>0.70606780405571024</v>
      </c>
      <c r="BC93" s="376">
        <f t="shared" si="58"/>
        <v>0.70798841564113846</v>
      </c>
      <c r="BD93" s="376">
        <f t="shared" si="59"/>
        <v>1.9187683912060827E-3</v>
      </c>
      <c r="BE93" s="283"/>
      <c r="BF93" s="392">
        <v>41.4</v>
      </c>
      <c r="BG93" s="393">
        <v>0.36099999999999999</v>
      </c>
      <c r="BH93" s="283"/>
      <c r="BI93" s="283"/>
      <c r="BJ93" s="283"/>
      <c r="BK93" s="283"/>
      <c r="BL93" s="283"/>
      <c r="BM93" s="283"/>
      <c r="BN93" s="283"/>
      <c r="BO93" s="283"/>
      <c r="BP93" s="283"/>
      <c r="BQ93" s="283"/>
      <c r="BR93" s="283"/>
      <c r="BS93" s="283"/>
      <c r="BT93" s="283"/>
      <c r="BU93" s="283"/>
      <c r="BV93" s="283"/>
      <c r="BW93" s="283"/>
      <c r="BX93" s="283"/>
      <c r="BY93" s="283"/>
      <c r="BZ93" s="283"/>
      <c r="CA93" s="283"/>
      <c r="CB93" s="283"/>
      <c r="CC93" s="283"/>
      <c r="CD93" s="283"/>
      <c r="CE93" s="283"/>
      <c r="CF93" s="283"/>
      <c r="CG93" s="283"/>
      <c r="CH93" s="283"/>
      <c r="CI93" s="283"/>
      <c r="CJ93" s="283"/>
      <c r="CK93" s="283"/>
      <c r="CL93" s="283"/>
    </row>
    <row r="94" spans="1:90" ht="14.25" customHeight="1" x14ac:dyDescent="0.2">
      <c r="A94" s="3"/>
      <c r="B94" s="334"/>
      <c r="C94" s="340" t="s">
        <v>416</v>
      </c>
      <c r="D94" s="325">
        <v>1.993841</v>
      </c>
      <c r="E94" s="325">
        <v>0.22154599999999999</v>
      </c>
      <c r="F94" s="252"/>
      <c r="G94" s="334"/>
      <c r="H94" s="348" t="s">
        <v>416</v>
      </c>
      <c r="I94" s="350">
        <f>D94</f>
        <v>1.993841</v>
      </c>
      <c r="J94" s="252"/>
      <c r="K94" s="252"/>
      <c r="L94" s="334"/>
      <c r="M94" s="252" t="s">
        <v>400</v>
      </c>
      <c r="N94" s="252"/>
      <c r="O94" s="252"/>
      <c r="P94" s="336"/>
      <c r="Q94" s="3"/>
      <c r="R94" s="3"/>
      <c r="S94" s="334"/>
      <c r="T94" s="373">
        <f t="shared" si="33"/>
        <v>68</v>
      </c>
      <c r="U94" s="334"/>
      <c r="V94" s="568">
        <f t="shared" si="60"/>
        <v>0.18280389739637987</v>
      </c>
      <c r="W94" s="328">
        <f t="shared" si="41"/>
        <v>0.81257021550670194</v>
      </c>
      <c r="X94" s="328">
        <f t="shared" si="42"/>
        <v>0.81719610260362008</v>
      </c>
      <c r="Y94" s="328">
        <f t="shared" si="43"/>
        <v>4.615204160235864E-3</v>
      </c>
      <c r="Z94" s="334"/>
      <c r="AA94" s="571">
        <f t="shared" si="44"/>
        <v>0.23051935075909533</v>
      </c>
      <c r="AB94" s="327">
        <f t="shared" si="31"/>
        <v>0.76561450136461595</v>
      </c>
      <c r="AC94" s="327">
        <f t="shared" si="45"/>
        <v>0.76948064924090465</v>
      </c>
      <c r="AD94" s="327">
        <f t="shared" si="46"/>
        <v>3.8586839485690305E-3</v>
      </c>
      <c r="AE94" s="383"/>
      <c r="AF94" s="574">
        <f t="shared" si="35"/>
        <v>0.23494727565292262</v>
      </c>
      <c r="AG94" s="376">
        <f t="shared" si="61"/>
        <v>0.7620676820943445</v>
      </c>
      <c r="AH94" s="376">
        <f t="shared" si="47"/>
        <v>0.76505272434707738</v>
      </c>
      <c r="AI94" s="553">
        <f t="shared" si="48"/>
        <v>2.9805914438265635E-3</v>
      </c>
      <c r="AJ94" s="374"/>
      <c r="AK94" s="577">
        <f t="shared" si="36"/>
        <v>0.22293424351296479</v>
      </c>
      <c r="AL94" s="376">
        <f t="shared" si="49"/>
        <v>0.77431667810654314</v>
      </c>
      <c r="AM94" s="376">
        <f t="shared" si="50"/>
        <v>0.77706575648703524</v>
      </c>
      <c r="AN94" s="553">
        <f t="shared" si="51"/>
        <v>2.7453031248046988E-3</v>
      </c>
      <c r="AO94" s="554"/>
      <c r="AP94" s="580">
        <f t="shared" si="37"/>
        <v>0.21929733134047114</v>
      </c>
      <c r="AQ94" s="376">
        <f t="shared" si="52"/>
        <v>0.7764292828294721</v>
      </c>
      <c r="AR94" s="379">
        <f t="shared" si="53"/>
        <v>0.78070266865952886</v>
      </c>
      <c r="AS94" s="376">
        <f t="shared" si="54"/>
        <v>4.2642679095851177E-3</v>
      </c>
      <c r="AT94" s="384"/>
      <c r="AU94" s="583">
        <f t="shared" si="38"/>
        <v>0.30638988126154793</v>
      </c>
      <c r="AV94" s="381">
        <f t="shared" si="32"/>
        <v>1.1795735401900704</v>
      </c>
      <c r="AW94" s="376">
        <f t="shared" si="39"/>
        <v>1.1828968662643282</v>
      </c>
      <c r="AX94" s="503">
        <f t="shared" si="34"/>
        <v>3.3178099384910675E-3</v>
      </c>
      <c r="AY94" s="376">
        <f t="shared" si="40"/>
        <v>1.7506331342591235</v>
      </c>
      <c r="AZ94" s="381">
        <f t="shared" si="55"/>
        <v>1.3798037842952407E-2</v>
      </c>
      <c r="BA94" s="586">
        <f t="shared" si="56"/>
        <v>0.29013127813235096</v>
      </c>
      <c r="BB94" s="376">
        <f t="shared" si="57"/>
        <v>0.70798841564113846</v>
      </c>
      <c r="BC94" s="376">
        <f t="shared" si="58"/>
        <v>0.70986872186764904</v>
      </c>
      <c r="BD94" s="376">
        <f t="shared" si="59"/>
        <v>1.8785395582238129E-3</v>
      </c>
      <c r="BE94" s="283"/>
      <c r="BF94" s="392">
        <v>41.7</v>
      </c>
      <c r="BG94" s="393">
        <v>0.35199999999999998</v>
      </c>
      <c r="BH94" s="283"/>
      <c r="BI94" s="283"/>
      <c r="BJ94" s="283"/>
      <c r="BK94" s="283"/>
      <c r="BL94" s="283"/>
      <c r="BM94" s="283"/>
      <c r="BN94" s="283"/>
      <c r="BO94" s="283"/>
      <c r="BP94" s="283"/>
      <c r="BQ94" s="283"/>
      <c r="BR94" s="283"/>
      <c r="BS94" s="283"/>
      <c r="BT94" s="283"/>
      <c r="BU94" s="283"/>
      <c r="BV94" s="283"/>
      <c r="BW94" s="283"/>
      <c r="BX94" s="283"/>
      <c r="BY94" s="283"/>
      <c r="BZ94" s="283"/>
      <c r="CA94" s="283"/>
      <c r="CB94" s="283"/>
      <c r="CC94" s="283"/>
      <c r="CD94" s="283"/>
      <c r="CE94" s="283"/>
      <c r="CF94" s="283"/>
      <c r="CG94" s="283"/>
      <c r="CH94" s="283"/>
      <c r="CI94" s="283"/>
      <c r="CJ94" s="283"/>
      <c r="CK94" s="283"/>
      <c r="CL94" s="283"/>
    </row>
    <row r="95" spans="1:90" ht="14.25" customHeight="1" x14ac:dyDescent="0.2">
      <c r="A95" s="3"/>
      <c r="B95" s="334"/>
      <c r="C95" s="340" t="s">
        <v>417</v>
      </c>
      <c r="D95" s="325">
        <v>0.24007899999999999</v>
      </c>
      <c r="E95" s="325">
        <v>9.8072160000000005E-2</v>
      </c>
      <c r="F95" s="252"/>
      <c r="G95" s="334"/>
      <c r="H95" s="340"/>
      <c r="I95" s="252"/>
      <c r="J95" s="252"/>
      <c r="K95" s="252"/>
      <c r="L95" s="334"/>
      <c r="M95" s="340" t="s">
        <v>416</v>
      </c>
      <c r="N95" s="328">
        <f ca="1">_xlfn.NORM.INV(RAND(),0,1)</f>
        <v>0.50022226881675769</v>
      </c>
      <c r="O95" s="252"/>
      <c r="P95" s="336"/>
      <c r="Q95" s="3"/>
      <c r="R95" s="3"/>
      <c r="S95" s="334"/>
      <c r="T95" s="373">
        <f t="shared" si="33"/>
        <v>69</v>
      </c>
      <c r="U95" s="334"/>
      <c r="V95" s="568">
        <f t="shared" si="60"/>
        <v>0.17829218015507606</v>
      </c>
      <c r="W95" s="328">
        <f t="shared" si="41"/>
        <v>0.81719610260362008</v>
      </c>
      <c r="X95" s="328">
        <f t="shared" si="42"/>
        <v>0.82170781984492391</v>
      </c>
      <c r="Y95" s="328">
        <f t="shared" si="43"/>
        <v>4.501554734268276E-3</v>
      </c>
      <c r="Z95" s="334"/>
      <c r="AA95" s="571">
        <f t="shared" si="44"/>
        <v>0.22672973951720313</v>
      </c>
      <c r="AB95" s="327">
        <f t="shared" si="31"/>
        <v>0.76948064924090465</v>
      </c>
      <c r="AC95" s="327">
        <f t="shared" si="45"/>
        <v>0.7732702604827969</v>
      </c>
      <c r="AD95" s="327">
        <f t="shared" si="46"/>
        <v>3.7824397271543075E-3</v>
      </c>
      <c r="AE95" s="383"/>
      <c r="AF95" s="574">
        <f t="shared" si="35"/>
        <v>0.23202616864902403</v>
      </c>
      <c r="AG95" s="376">
        <f t="shared" si="61"/>
        <v>0.76505272434707738</v>
      </c>
      <c r="AH95" s="376">
        <f t="shared" si="47"/>
        <v>0.76797383135097597</v>
      </c>
      <c r="AI95" s="553">
        <f t="shared" si="48"/>
        <v>2.9168447220383475E-3</v>
      </c>
      <c r="AJ95" s="374"/>
      <c r="AK95" s="577">
        <f t="shared" si="36"/>
        <v>0.22024874026488156</v>
      </c>
      <c r="AL95" s="376">
        <f t="shared" si="49"/>
        <v>0.77706575648703524</v>
      </c>
      <c r="AM95" s="376">
        <f t="shared" si="50"/>
        <v>0.77975125973511838</v>
      </c>
      <c r="AN95" s="553">
        <f t="shared" si="51"/>
        <v>2.6819005100119364E-3</v>
      </c>
      <c r="AO95" s="554"/>
      <c r="AP95" s="580">
        <f t="shared" si="37"/>
        <v>0.21511101783571518</v>
      </c>
      <c r="AQ95" s="376">
        <f t="shared" si="52"/>
        <v>0.78070266865952886</v>
      </c>
      <c r="AR95" s="379">
        <f t="shared" si="53"/>
        <v>0.78488898216428482</v>
      </c>
      <c r="AS95" s="376">
        <f t="shared" si="54"/>
        <v>4.1775631092674237E-3</v>
      </c>
      <c r="AT95" s="384"/>
      <c r="AU95" s="583">
        <f t="shared" si="38"/>
        <v>0.30541362941590433</v>
      </c>
      <c r="AV95" s="381">
        <f t="shared" si="32"/>
        <v>1.1828968662643282</v>
      </c>
      <c r="AW95" s="376">
        <f t="shared" si="39"/>
        <v>1.1860882591125164</v>
      </c>
      <c r="AX95" s="503">
        <f t="shared" si="34"/>
        <v>3.1863057670961092E-3</v>
      </c>
      <c r="AY95" s="376">
        <f t="shared" si="40"/>
        <v>1.7621160494357921</v>
      </c>
      <c r="AZ95" s="381">
        <f t="shared" si="55"/>
        <v>1.3518124563369508E-2</v>
      </c>
      <c r="BA95" s="586">
        <f t="shared" si="56"/>
        <v>0.2882898681421866</v>
      </c>
      <c r="BB95" s="376">
        <f t="shared" si="57"/>
        <v>0.70986872186764904</v>
      </c>
      <c r="BC95" s="376">
        <f t="shared" si="58"/>
        <v>0.7117101318578134</v>
      </c>
      <c r="BD95" s="376">
        <f t="shared" si="59"/>
        <v>1.8397156349488908E-3</v>
      </c>
      <c r="BE95" s="283"/>
      <c r="BF95" s="392">
        <v>45.5</v>
      </c>
      <c r="BG95" s="393">
        <v>0.35</v>
      </c>
      <c r="BH95" s="283"/>
      <c r="BI95" s="283"/>
      <c r="BJ95" s="283"/>
      <c r="BK95" s="283"/>
      <c r="BL95" s="283"/>
      <c r="BM95" s="283"/>
      <c r="BN95" s="283"/>
      <c r="BO95" s="283"/>
      <c r="BP95" s="283"/>
      <c r="BQ95" s="283"/>
      <c r="BR95" s="283"/>
      <c r="BS95" s="283"/>
      <c r="BT95" s="283"/>
      <c r="BU95" s="283"/>
      <c r="BV95" s="283"/>
      <c r="BW95" s="283"/>
      <c r="BX95" s="283"/>
      <c r="BY95" s="283"/>
      <c r="BZ95" s="283"/>
      <c r="CA95" s="283"/>
      <c r="CB95" s="283"/>
      <c r="CC95" s="283"/>
      <c r="CD95" s="283"/>
      <c r="CE95" s="283"/>
      <c r="CF95" s="283"/>
      <c r="CG95" s="283"/>
      <c r="CH95" s="283"/>
      <c r="CI95" s="283"/>
      <c r="CJ95" s="283"/>
      <c r="CK95" s="283"/>
      <c r="CL95" s="283"/>
    </row>
    <row r="96" spans="1:90" ht="14.25" customHeight="1" x14ac:dyDescent="0.2">
      <c r="A96" s="3"/>
      <c r="B96" s="334"/>
      <c r="C96" s="340" t="s">
        <v>418</v>
      </c>
      <c r="D96" s="325">
        <v>-1.7848299999999999</v>
      </c>
      <c r="E96" s="325">
        <v>0.36753464000000002</v>
      </c>
      <c r="F96" s="252"/>
      <c r="G96" s="334"/>
      <c r="H96" s="348" t="s">
        <v>417</v>
      </c>
      <c r="I96" s="329">
        <f>EXP(D95)</f>
        <v>1.2713495829713175</v>
      </c>
      <c r="J96" s="252"/>
      <c r="K96" s="252"/>
      <c r="L96" s="334"/>
      <c r="M96" s="340" t="s">
        <v>417</v>
      </c>
      <c r="N96" s="328">
        <f ca="1">_xlfn.NORM.INV(RAND(),0,1)</f>
        <v>-3.849782785482575E-2</v>
      </c>
      <c r="O96" s="252"/>
      <c r="P96" s="336"/>
      <c r="Q96" s="3"/>
      <c r="R96" s="3"/>
      <c r="S96" s="334"/>
      <c r="T96" s="373">
        <f t="shared" si="33"/>
        <v>70</v>
      </c>
      <c r="U96" s="334"/>
      <c r="V96" s="568">
        <f t="shared" si="60"/>
        <v>0.1738918149842445</v>
      </c>
      <c r="W96" s="328">
        <f t="shared" si="41"/>
        <v>0.82170781984492391</v>
      </c>
      <c r="X96" s="328">
        <f t="shared" si="42"/>
        <v>0.82610818501575545</v>
      </c>
      <c r="Y96" s="328">
        <f t="shared" si="43"/>
        <v>4.3906977492731425E-3</v>
      </c>
      <c r="Z96" s="334"/>
      <c r="AA96" s="571">
        <f t="shared" si="44"/>
        <v>0.22301475987507466</v>
      </c>
      <c r="AB96" s="327">
        <f t="shared" si="31"/>
        <v>0.7732702604827969</v>
      </c>
      <c r="AC96" s="327">
        <f t="shared" si="45"/>
        <v>0.77698524012492531</v>
      </c>
      <c r="AD96" s="327">
        <f t="shared" si="46"/>
        <v>3.7080876424453457E-3</v>
      </c>
      <c r="AE96" s="383"/>
      <c r="AF96" s="574">
        <f t="shared" si="35"/>
        <v>0.22916698866396323</v>
      </c>
      <c r="AG96" s="376">
        <f t="shared" si="61"/>
        <v>0.76797383135097597</v>
      </c>
      <c r="AH96" s="376">
        <f t="shared" si="47"/>
        <v>0.77083301133603677</v>
      </c>
      <c r="AI96" s="553">
        <f t="shared" si="48"/>
        <v>2.8550964227742615E-3</v>
      </c>
      <c r="AJ96" s="374"/>
      <c r="AK96" s="577">
        <f t="shared" si="36"/>
        <v>0.2176246699822702</v>
      </c>
      <c r="AL96" s="376">
        <f t="shared" si="49"/>
        <v>0.77975125973511838</v>
      </c>
      <c r="AM96" s="376">
        <f t="shared" si="50"/>
        <v>0.78237533001772985</v>
      </c>
      <c r="AN96" s="553">
        <f t="shared" si="51"/>
        <v>2.62063041965932E-3</v>
      </c>
      <c r="AO96" s="554"/>
      <c r="AP96" s="580">
        <f t="shared" si="37"/>
        <v>0.21100978619759225</v>
      </c>
      <c r="AQ96" s="376">
        <f t="shared" si="52"/>
        <v>0.78488898216428482</v>
      </c>
      <c r="AR96" s="379">
        <f t="shared" si="53"/>
        <v>0.78899021380240775</v>
      </c>
      <c r="AS96" s="376">
        <f t="shared" si="54"/>
        <v>4.0928330730580775E-3</v>
      </c>
      <c r="AT96" s="384"/>
      <c r="AU96" s="583">
        <f t="shared" si="38"/>
        <v>0.30447906191759616</v>
      </c>
      <c r="AV96" s="381">
        <f t="shared" si="32"/>
        <v>1.1860882591125164</v>
      </c>
      <c r="AW96" s="376">
        <f t="shared" si="39"/>
        <v>1.1891529563717942</v>
      </c>
      <c r="AX96" s="503">
        <f t="shared" si="34"/>
        <v>3.0600058684202569E-3</v>
      </c>
      <c r="AY96" s="376">
        <f t="shared" si="40"/>
        <v>1.7734337370685449</v>
      </c>
      <c r="AZ96" s="381">
        <f t="shared" si="55"/>
        <v>1.3247795971843239E-2</v>
      </c>
      <c r="BA96" s="586">
        <f t="shared" si="56"/>
        <v>0.28648601360247</v>
      </c>
      <c r="BB96" s="376">
        <f t="shared" si="57"/>
        <v>0.7117101318578134</v>
      </c>
      <c r="BC96" s="376">
        <f t="shared" si="58"/>
        <v>0.71351398639752994</v>
      </c>
      <c r="BD96" s="376">
        <f t="shared" si="59"/>
        <v>1.8022285719330178E-3</v>
      </c>
      <c r="BE96" s="283"/>
      <c r="BF96" s="392">
        <v>45.7</v>
      </c>
      <c r="BG96" s="393">
        <v>0.34599999999999997</v>
      </c>
      <c r="BH96" s="283"/>
      <c r="BI96" s="283"/>
      <c r="BJ96" s="283"/>
      <c r="BK96" s="283"/>
      <c r="BL96" s="283"/>
      <c r="BM96" s="283"/>
      <c r="BN96" s="283"/>
      <c r="BO96" s="283"/>
      <c r="BP96" s="283"/>
      <c r="BQ96" s="283"/>
      <c r="BR96" s="283"/>
      <c r="BS96" s="283"/>
      <c r="BT96" s="283"/>
      <c r="BU96" s="283"/>
      <c r="BV96" s="283"/>
      <c r="BW96" s="283"/>
      <c r="BX96" s="283"/>
      <c r="BY96" s="283"/>
      <c r="BZ96" s="283"/>
      <c r="CA96" s="283"/>
      <c r="CB96" s="283"/>
      <c r="CC96" s="283"/>
      <c r="CD96" s="283"/>
      <c r="CE96" s="283"/>
      <c r="CF96" s="283"/>
      <c r="CG96" s="283"/>
      <c r="CH96" s="283"/>
      <c r="CI96" s="283"/>
      <c r="CJ96" s="283"/>
      <c r="CK96" s="283"/>
      <c r="CL96" s="283"/>
    </row>
    <row r="97" spans="1:90" ht="14.25" customHeight="1" x14ac:dyDescent="0.2">
      <c r="A97" s="252"/>
      <c r="B97" s="334"/>
      <c r="C97" s="252"/>
      <c r="D97" s="252"/>
      <c r="E97" s="252"/>
      <c r="F97" s="252"/>
      <c r="G97" s="334"/>
      <c r="H97" s="348"/>
      <c r="I97" s="252"/>
      <c r="J97" s="252"/>
      <c r="K97" s="252"/>
      <c r="L97" s="334"/>
      <c r="M97" s="340" t="s">
        <v>418</v>
      </c>
      <c r="N97" s="328">
        <f ca="1">_xlfn.NORM.INV(RAND(),0,1)</f>
        <v>1.0008382778408311</v>
      </c>
      <c r="O97" s="252"/>
      <c r="P97" s="336"/>
      <c r="Q97" s="252"/>
      <c r="R97" s="252"/>
      <c r="S97" s="334"/>
      <c r="T97" s="373">
        <f t="shared" si="33"/>
        <v>71</v>
      </c>
      <c r="U97" s="334"/>
      <c r="V97" s="568">
        <f t="shared" si="60"/>
        <v>0.16960005364348452</v>
      </c>
      <c r="W97" s="328">
        <f t="shared" si="41"/>
        <v>0.82610818501575545</v>
      </c>
      <c r="X97" s="328">
        <f t="shared" si="42"/>
        <v>0.83039994635651548</v>
      </c>
      <c r="Y97" s="328">
        <f t="shared" si="43"/>
        <v>4.2825648940790773E-3</v>
      </c>
      <c r="Z97" s="334"/>
      <c r="AA97" s="571">
        <f t="shared" si="44"/>
        <v>0.21937256853561238</v>
      </c>
      <c r="AB97" s="327">
        <f t="shared" si="31"/>
        <v>0.77698524012492531</v>
      </c>
      <c r="AC97" s="327">
        <f t="shared" si="45"/>
        <v>0.78062743146438762</v>
      </c>
      <c r="AD97" s="327">
        <f t="shared" si="46"/>
        <v>3.6355666058752734E-3</v>
      </c>
      <c r="AE97" s="383"/>
      <c r="AF97" s="574">
        <f t="shared" si="35"/>
        <v>0.2263678117133856</v>
      </c>
      <c r="AG97" s="376">
        <f t="shared" si="61"/>
        <v>0.77083301133603677</v>
      </c>
      <c r="AH97" s="376">
        <f t="shared" si="47"/>
        <v>0.7736321882866144</v>
      </c>
      <c r="AI97" s="553">
        <f t="shared" si="48"/>
        <v>2.7952629076619662E-3</v>
      </c>
      <c r="AJ97" s="374"/>
      <c r="AK97" s="577">
        <f t="shared" si="36"/>
        <v>0.21505998457764844</v>
      </c>
      <c r="AL97" s="376">
        <f t="shared" si="49"/>
        <v>0.78237533001772985</v>
      </c>
      <c r="AM97" s="376">
        <f t="shared" si="50"/>
        <v>0.78494001542235159</v>
      </c>
      <c r="AN97" s="553">
        <f t="shared" si="51"/>
        <v>2.5613994087915204E-3</v>
      </c>
      <c r="AO97" s="554"/>
      <c r="AP97" s="580">
        <f t="shared" si="37"/>
        <v>0.20699170136180722</v>
      </c>
      <c r="AQ97" s="376">
        <f t="shared" si="52"/>
        <v>0.78899021380240775</v>
      </c>
      <c r="AR97" s="379">
        <f t="shared" si="53"/>
        <v>0.79300829863819278</v>
      </c>
      <c r="AS97" s="376">
        <f t="shared" si="54"/>
        <v>4.0100231340595149E-3</v>
      </c>
      <c r="AT97" s="384"/>
      <c r="AU97" s="583">
        <f t="shared" si="38"/>
        <v>0.30358428780447799</v>
      </c>
      <c r="AV97" s="381">
        <f t="shared" si="32"/>
        <v>1.1891529563717942</v>
      </c>
      <c r="AW97" s="376">
        <f t="shared" si="39"/>
        <v>1.1920959877495696</v>
      </c>
      <c r="AX97" s="503">
        <f t="shared" ref="AX97:AX160" si="62">1-EXP(AV97-AW97)</f>
        <v>2.9387049062846726E-3</v>
      </c>
      <c r="AY97" s="376">
        <f t="shared" si="40"/>
        <v>1.7845908847027971</v>
      </c>
      <c r="AZ97" s="381">
        <f t="shared" si="55"/>
        <v>1.2986593875694431E-2</v>
      </c>
      <c r="BA97" s="586">
        <f t="shared" si="56"/>
        <v>0.28471843785334799</v>
      </c>
      <c r="BB97" s="376">
        <f t="shared" si="57"/>
        <v>0.71351398639752994</v>
      </c>
      <c r="BC97" s="376">
        <f t="shared" si="58"/>
        <v>0.71528156214665195</v>
      </c>
      <c r="BD97" s="376">
        <f t="shared" si="59"/>
        <v>1.7660145071142219E-3</v>
      </c>
      <c r="BE97" s="283"/>
      <c r="BF97" s="392">
        <v>48</v>
      </c>
      <c r="BG97" s="393">
        <v>0.34699999999999998</v>
      </c>
      <c r="BH97" s="283"/>
      <c r="BI97" s="283"/>
      <c r="BJ97" s="283"/>
      <c r="BK97" s="283"/>
      <c r="BL97" s="283"/>
      <c r="BM97" s="283"/>
      <c r="BN97" s="283"/>
      <c r="BO97" s="283"/>
      <c r="BP97" s="283"/>
      <c r="BQ97" s="283"/>
      <c r="BR97" s="283"/>
      <c r="BS97" s="283"/>
      <c r="BT97" s="283"/>
      <c r="BU97" s="283"/>
      <c r="BV97" s="283"/>
      <c r="BW97" s="283"/>
      <c r="BX97" s="283"/>
      <c r="BY97" s="283"/>
      <c r="BZ97" s="283"/>
      <c r="CA97" s="283"/>
      <c r="CB97" s="283"/>
      <c r="CC97" s="283"/>
      <c r="CD97" s="283"/>
      <c r="CE97" s="283"/>
      <c r="CF97" s="283"/>
      <c r="CG97" s="283"/>
      <c r="CH97" s="283"/>
      <c r="CI97" s="283"/>
      <c r="CJ97" s="283"/>
      <c r="CK97" s="283"/>
      <c r="CL97" s="283"/>
    </row>
    <row r="98" spans="1:90" ht="14.25" customHeight="1" x14ac:dyDescent="0.2">
      <c r="A98" s="3"/>
      <c r="B98" s="334"/>
      <c r="C98" s="335" t="s">
        <v>395</v>
      </c>
      <c r="D98" s="252"/>
      <c r="E98" s="252"/>
      <c r="F98" s="252"/>
      <c r="G98" s="334"/>
      <c r="H98" s="348" t="s">
        <v>418</v>
      </c>
      <c r="I98" s="350">
        <f>D96</f>
        <v>-1.7848299999999999</v>
      </c>
      <c r="J98" s="252"/>
      <c r="K98" s="252"/>
      <c r="L98" s="334"/>
      <c r="M98" s="252"/>
      <c r="N98" s="252"/>
      <c r="O98" s="252"/>
      <c r="P98" s="336"/>
      <c r="Q98" s="3"/>
      <c r="R98" s="3"/>
      <c r="S98" s="334"/>
      <c r="T98" s="373">
        <f t="shared" si="33"/>
        <v>72</v>
      </c>
      <c r="U98" s="334"/>
      <c r="V98" s="568">
        <f t="shared" si="60"/>
        <v>0.16541421572072854</v>
      </c>
      <c r="W98" s="328">
        <f t="shared" si="41"/>
        <v>0.83039994635651548</v>
      </c>
      <c r="X98" s="328">
        <f t="shared" si="42"/>
        <v>0.83458578427927144</v>
      </c>
      <c r="Y98" s="328">
        <f t="shared" si="43"/>
        <v>4.1770895139285891E-3</v>
      </c>
      <c r="Z98" s="334"/>
      <c r="AA98" s="571">
        <f t="shared" si="44"/>
        <v>0.21580138131798107</v>
      </c>
      <c r="AB98" s="327">
        <f t="shared" si="31"/>
        <v>0.78062743146438762</v>
      </c>
      <c r="AC98" s="327">
        <f t="shared" si="45"/>
        <v>0.7841986186820189</v>
      </c>
      <c r="AD98" s="327">
        <f t="shared" si="46"/>
        <v>3.5648181125709222E-3</v>
      </c>
      <c r="AE98" s="383"/>
      <c r="AF98" s="574">
        <f t="shared" si="35"/>
        <v>0.22362679361748428</v>
      </c>
      <c r="AG98" s="376">
        <f t="shared" si="61"/>
        <v>0.7736321882866144</v>
      </c>
      <c r="AH98" s="376">
        <f t="shared" si="47"/>
        <v>0.77637320638251572</v>
      </c>
      <c r="AI98" s="553">
        <f t="shared" si="48"/>
        <v>2.7372649357434442E-3</v>
      </c>
      <c r="AJ98" s="374"/>
      <c r="AK98" s="577">
        <f t="shared" si="36"/>
        <v>0.21255272498076566</v>
      </c>
      <c r="AL98" s="376">
        <f t="shared" si="49"/>
        <v>0.78494001542235159</v>
      </c>
      <c r="AM98" s="376">
        <f t="shared" si="50"/>
        <v>0.78744727501923428</v>
      </c>
      <c r="AN98" s="553">
        <f t="shared" si="51"/>
        <v>2.5041190468126917E-3</v>
      </c>
      <c r="AO98" s="554"/>
      <c r="AP98" s="580">
        <f t="shared" si="37"/>
        <v>0.20305488161226615</v>
      </c>
      <c r="AQ98" s="376">
        <f t="shared" si="52"/>
        <v>0.79300829863819278</v>
      </c>
      <c r="AR98" s="379">
        <f t="shared" si="53"/>
        <v>0.79694511838773385</v>
      </c>
      <c r="AS98" s="376">
        <f t="shared" si="54"/>
        <v>3.929080633836346E-3</v>
      </c>
      <c r="AT98" s="384"/>
      <c r="AU98" s="583">
        <f t="shared" si="38"/>
        <v>0.3027275105280805</v>
      </c>
      <c r="AV98" s="381">
        <f t="shared" si="32"/>
        <v>1.1920959877495696</v>
      </c>
      <c r="AW98" s="376">
        <f t="shared" si="39"/>
        <v>1.1949221832781327</v>
      </c>
      <c r="AX98" s="503">
        <f t="shared" si="62"/>
        <v>2.8222055976403482E-3</v>
      </c>
      <c r="AY98" s="376">
        <f t="shared" si="40"/>
        <v>1.7955919831906357</v>
      </c>
      <c r="AZ98" s="381">
        <f t="shared" si="55"/>
        <v>1.2734088028247145E-2</v>
      </c>
      <c r="BA98" s="586">
        <f t="shared" si="56"/>
        <v>0.28298592446341259</v>
      </c>
      <c r="BB98" s="376">
        <f t="shared" si="57"/>
        <v>0.71528156214665195</v>
      </c>
      <c r="BC98" s="376">
        <f t="shared" si="58"/>
        <v>0.71701407553658747</v>
      </c>
      <c r="BD98" s="376">
        <f t="shared" si="59"/>
        <v>1.7310134549565204E-3</v>
      </c>
      <c r="BE98" s="283"/>
      <c r="BF98" s="392">
        <v>48.4</v>
      </c>
      <c r="BG98" s="393">
        <v>0.34100000000000003</v>
      </c>
      <c r="BH98" s="283"/>
      <c r="BI98" s="283"/>
      <c r="BJ98" s="283"/>
      <c r="BK98" s="283"/>
      <c r="BL98" s="283"/>
      <c r="BM98" s="283"/>
      <c r="BN98" s="283"/>
      <c r="BO98" s="283"/>
      <c r="BP98" s="283"/>
      <c r="BQ98" s="283"/>
      <c r="BR98" s="283"/>
      <c r="BS98" s="283"/>
      <c r="BT98" s="283"/>
      <c r="BU98" s="283"/>
      <c r="BV98" s="283"/>
      <c r="BW98" s="283"/>
      <c r="BX98" s="283"/>
      <c r="BY98" s="283"/>
      <c r="BZ98" s="283"/>
      <c r="CA98" s="283"/>
      <c r="CB98" s="283"/>
      <c r="CC98" s="283"/>
      <c r="CD98" s="283"/>
      <c r="CE98" s="283"/>
      <c r="CF98" s="283"/>
      <c r="CG98" s="283"/>
      <c r="CH98" s="283"/>
      <c r="CI98" s="283"/>
      <c r="CJ98" s="283"/>
      <c r="CK98" s="283"/>
      <c r="CL98" s="283"/>
    </row>
    <row r="99" spans="1:90" ht="14.25" customHeight="1" x14ac:dyDescent="0.2">
      <c r="A99" s="3"/>
      <c r="B99" s="334"/>
      <c r="C99" s="252"/>
      <c r="D99" s="337" t="s">
        <v>416</v>
      </c>
      <c r="E99" s="337" t="s">
        <v>417</v>
      </c>
      <c r="F99" s="337" t="s">
        <v>418</v>
      </c>
      <c r="G99" s="334"/>
      <c r="H99" s="252"/>
      <c r="I99" s="252"/>
      <c r="J99" s="252"/>
      <c r="K99" s="252"/>
      <c r="L99" s="334"/>
      <c r="M99" s="252" t="s">
        <v>408</v>
      </c>
      <c r="N99" s="252"/>
      <c r="O99" s="252"/>
      <c r="P99" s="336"/>
      <c r="Q99" s="3"/>
      <c r="R99" s="3"/>
      <c r="S99" s="334"/>
      <c r="T99" s="373">
        <f t="shared" si="33"/>
        <v>73</v>
      </c>
      <c r="U99" s="334"/>
      <c r="V99" s="568">
        <f t="shared" si="60"/>
        <v>0.16133168695819497</v>
      </c>
      <c r="W99" s="328">
        <f t="shared" si="41"/>
        <v>0.83458578427927144</v>
      </c>
      <c r="X99" s="328">
        <f t="shared" si="42"/>
        <v>0.838668313041805</v>
      </c>
      <c r="Y99" s="328">
        <f t="shared" si="43"/>
        <v>4.0742065710324127E-3</v>
      </c>
      <c r="Z99" s="334"/>
      <c r="AA99" s="571">
        <f t="shared" si="44"/>
        <v>0.21229947067882707</v>
      </c>
      <c r="AB99" s="327">
        <f t="shared" ref="AB99:AB162" si="63">1-AA98</f>
        <v>0.7841986186820189</v>
      </c>
      <c r="AC99" s="327">
        <f t="shared" si="45"/>
        <v>0.78770052932117296</v>
      </c>
      <c r="AD99" s="327">
        <f t="shared" si="46"/>
        <v>3.4957861013722447E-3</v>
      </c>
      <c r="AE99" s="383"/>
      <c r="AF99" s="574">
        <f t="shared" si="35"/>
        <v>0.2209421658420242</v>
      </c>
      <c r="AG99" s="376">
        <f t="shared" si="61"/>
        <v>0.77637320638251572</v>
      </c>
      <c r="AH99" s="376">
        <f t="shared" si="47"/>
        <v>0.7790578341579758</v>
      </c>
      <c r="AI99" s="553">
        <f t="shared" si="48"/>
        <v>2.6810273849371402E-3</v>
      </c>
      <c r="AJ99" s="374"/>
      <c r="AK99" s="577">
        <f t="shared" si="36"/>
        <v>0.21010101639717249</v>
      </c>
      <c r="AL99" s="376">
        <f t="shared" si="49"/>
        <v>0.78744727501923428</v>
      </c>
      <c r="AM99" s="376">
        <f t="shared" si="50"/>
        <v>0.78989898360282751</v>
      </c>
      <c r="AN99" s="553">
        <f t="shared" si="51"/>
        <v>2.4487056007513885E-3</v>
      </c>
      <c r="AO99" s="554"/>
      <c r="AP99" s="580">
        <f t="shared" si="37"/>
        <v>0.1991974966380603</v>
      </c>
      <c r="AQ99" s="376">
        <f t="shared" si="52"/>
        <v>0.79694511838773385</v>
      </c>
      <c r="AR99" s="379">
        <f t="shared" si="53"/>
        <v>0.8008025033619397</v>
      </c>
      <c r="AS99" s="376">
        <f t="shared" si="54"/>
        <v>3.8499548215096269E-3</v>
      </c>
      <c r="AT99" s="384"/>
      <c r="AU99" s="583">
        <f t="shared" si="38"/>
        <v>0.3019070225859552</v>
      </c>
      <c r="AV99" s="381">
        <f t="shared" si="32"/>
        <v>1.1949221832781327</v>
      </c>
      <c r="AW99" s="376">
        <f t="shared" si="39"/>
        <v>1.197636181241589</v>
      </c>
      <c r="AX99" s="503">
        <f t="shared" si="62"/>
        <v>2.7103184005116132E-3</v>
      </c>
      <c r="AY99" s="376">
        <f t="shared" si="40"/>
        <v>1.8064413375437465</v>
      </c>
      <c r="AZ99" s="381">
        <f t="shared" si="55"/>
        <v>1.2489874065895697E-2</v>
      </c>
      <c r="BA99" s="586">
        <f t="shared" si="56"/>
        <v>0.28128731361799325</v>
      </c>
      <c r="BB99" s="376">
        <f t="shared" si="57"/>
        <v>0.71701407553658747</v>
      </c>
      <c r="BC99" s="376">
        <f t="shared" si="58"/>
        <v>0.7187126863820068</v>
      </c>
      <c r="BD99" s="376">
        <f t="shared" si="59"/>
        <v>1.6971690224981684E-3</v>
      </c>
      <c r="BE99" s="283"/>
      <c r="BF99" s="392">
        <v>50.4</v>
      </c>
      <c r="BG99" s="393">
        <v>0.33900000000000002</v>
      </c>
      <c r="BH99" s="283"/>
      <c r="BI99" s="283"/>
      <c r="BJ99" s="283"/>
      <c r="BK99" s="283"/>
      <c r="BL99" s="283"/>
      <c r="BM99" s="283"/>
      <c r="BN99" s="283"/>
      <c r="BO99" s="283"/>
      <c r="BP99" s="283"/>
      <c r="BQ99" s="283"/>
      <c r="BR99" s="283"/>
      <c r="BS99" s="283"/>
      <c r="BT99" s="283"/>
      <c r="BU99" s="283"/>
      <c r="BV99" s="283"/>
      <c r="BW99" s="283"/>
      <c r="BX99" s="283"/>
      <c r="BY99" s="283"/>
      <c r="BZ99" s="283"/>
      <c r="CA99" s="283"/>
      <c r="CB99" s="283"/>
      <c r="CC99" s="283"/>
      <c r="CD99" s="283"/>
      <c r="CE99" s="283"/>
      <c r="CF99" s="283"/>
      <c r="CG99" s="283"/>
      <c r="CH99" s="283"/>
      <c r="CI99" s="283"/>
      <c r="CJ99" s="283"/>
      <c r="CK99" s="283"/>
      <c r="CL99" s="283"/>
    </row>
    <row r="100" spans="1:90" ht="14.25" customHeight="1" x14ac:dyDescent="0.2">
      <c r="A100" s="3"/>
      <c r="B100" s="334"/>
      <c r="C100" s="340" t="s">
        <v>416</v>
      </c>
      <c r="D100" s="325">
        <v>0.22154599999999999</v>
      </c>
      <c r="E100" s="325">
        <v>0</v>
      </c>
      <c r="F100" s="325">
        <v>0</v>
      </c>
      <c r="G100" s="334"/>
      <c r="H100" s="252" t="s">
        <v>414</v>
      </c>
      <c r="I100" s="252"/>
      <c r="J100" s="252"/>
      <c r="K100" s="252"/>
      <c r="L100" s="334"/>
      <c r="M100" s="340" t="s">
        <v>416</v>
      </c>
      <c r="N100" s="327" cm="1">
        <f t="array" aca="1" ref="N100:N102" ca="1">D94:D96+MMULT(D100:F102,N95:N97)</f>
        <v>2.1046632427672773</v>
      </c>
      <c r="O100" s="252"/>
      <c r="P100" s="336"/>
      <c r="Q100" s="3"/>
      <c r="R100" s="3"/>
      <c r="S100" s="334"/>
      <c r="T100" s="373">
        <f t="shared" si="33"/>
        <v>74</v>
      </c>
      <c r="U100" s="334"/>
      <c r="V100" s="568">
        <f t="shared" si="60"/>
        <v>0.15734991761965825</v>
      </c>
      <c r="W100" s="328">
        <f t="shared" si="41"/>
        <v>0.838668313041805</v>
      </c>
      <c r="X100" s="328">
        <f t="shared" si="42"/>
        <v>0.84265008238034178</v>
      </c>
      <c r="Y100" s="328">
        <f t="shared" si="43"/>
        <v>3.9738526060240087E-3</v>
      </c>
      <c r="Z100" s="334"/>
      <c r="AA100" s="571">
        <f t="shared" si="44"/>
        <v>0.20886516336643124</v>
      </c>
      <c r="AB100" s="327">
        <f t="shared" si="63"/>
        <v>0.78770052932117296</v>
      </c>
      <c r="AC100" s="327">
        <f t="shared" si="45"/>
        <v>0.79113483663356876</v>
      </c>
      <c r="AD100" s="327">
        <f t="shared" si="46"/>
        <v>3.4284168242161295E-3</v>
      </c>
      <c r="AE100" s="383"/>
      <c r="AF100" s="574">
        <f t="shared" si="35"/>
        <v>0.21831223160052882</v>
      </c>
      <c r="AG100" s="376">
        <f t="shared" si="61"/>
        <v>0.7790578341579758</v>
      </c>
      <c r="AH100" s="376">
        <f t="shared" si="47"/>
        <v>0.78168776839947118</v>
      </c>
      <c r="AI100" s="553">
        <f t="shared" si="48"/>
        <v>2.626478994126269E-3</v>
      </c>
      <c r="AJ100" s="374"/>
      <c r="AK100" s="577">
        <f t="shared" si="36"/>
        <v>0.20770306386429235</v>
      </c>
      <c r="AL100" s="376">
        <f t="shared" si="49"/>
        <v>0.78989898360282751</v>
      </c>
      <c r="AM100" s="376">
        <f t="shared" si="50"/>
        <v>0.79229693613570762</v>
      </c>
      <c r="AN100" s="553">
        <f t="shared" si="51"/>
        <v>2.3950797414363789E-3</v>
      </c>
      <c r="AO100" s="554"/>
      <c r="AP100" s="580">
        <f t="shared" si="37"/>
        <v>0.19541776568681546</v>
      </c>
      <c r="AQ100" s="376">
        <f t="shared" si="52"/>
        <v>0.8008025033619397</v>
      </c>
      <c r="AR100" s="379">
        <f t="shared" si="53"/>
        <v>0.80458223431318454</v>
      </c>
      <c r="AS100" s="376">
        <f t="shared" si="54"/>
        <v>3.7725967594851584E-3</v>
      </c>
      <c r="AT100" s="384"/>
      <c r="AU100" s="583">
        <f t="shared" si="38"/>
        <v>0.30112120050671265</v>
      </c>
      <c r="AV100" s="381">
        <f t="shared" ref="AV100:AV163" si="64">($AU$22/$AU$21)*((EXP($AU$21*T99))-1)</f>
        <v>1.197636181241589</v>
      </c>
      <c r="AW100" s="376">
        <f t="shared" si="39"/>
        <v>1.2002424357880992</v>
      </c>
      <c r="AX100" s="503">
        <f t="shared" si="62"/>
        <v>2.6028612137327656E-3</v>
      </c>
      <c r="AY100" s="376">
        <f t="shared" si="40"/>
        <v>1.8171430770479835</v>
      </c>
      <c r="AZ100" s="381">
        <f t="shared" si="55"/>
        <v>1.225357162320136E-2</v>
      </c>
      <c r="BA100" s="586">
        <f t="shared" si="56"/>
        <v>0.27962149876888287</v>
      </c>
      <c r="BB100" s="376">
        <f t="shared" si="57"/>
        <v>0.7187126863820068</v>
      </c>
      <c r="BC100" s="376">
        <f t="shared" si="58"/>
        <v>0.72037850123111713</v>
      </c>
      <c r="BD100" s="376">
        <f t="shared" si="59"/>
        <v>1.6644281496562829E-3</v>
      </c>
      <c r="BE100" s="283"/>
      <c r="BF100" s="392">
        <v>50.8</v>
      </c>
      <c r="BG100" s="393">
        <v>0.33200000000000002</v>
      </c>
      <c r="BH100" s="283"/>
      <c r="BI100" s="283"/>
      <c r="BJ100" s="283"/>
      <c r="BK100" s="283"/>
      <c r="BL100" s="283"/>
      <c r="BM100" s="283"/>
      <c r="BN100" s="283"/>
      <c r="BO100" s="283"/>
      <c r="BP100" s="283"/>
      <c r="BQ100" s="283"/>
      <c r="BR100" s="283"/>
      <c r="BS100" s="283"/>
      <c r="BT100" s="283"/>
      <c r="BU100" s="283"/>
      <c r="BV100" s="283"/>
      <c r="BW100" s="283"/>
      <c r="BX100" s="283"/>
      <c r="BY100" s="283"/>
      <c r="BZ100" s="283"/>
      <c r="CA100" s="283"/>
      <c r="CB100" s="283"/>
      <c r="CC100" s="283"/>
      <c r="CD100" s="283"/>
      <c r="CE100" s="283"/>
      <c r="CF100" s="283"/>
      <c r="CG100" s="283"/>
      <c r="CH100" s="283"/>
      <c r="CI100" s="283"/>
      <c r="CJ100" s="283"/>
      <c r="CK100" s="283"/>
      <c r="CL100" s="283"/>
    </row>
    <row r="101" spans="1:90" ht="14.25" customHeight="1" x14ac:dyDescent="0.2">
      <c r="A101" s="3"/>
      <c r="B101" s="334"/>
      <c r="C101" s="340" t="s">
        <v>417</v>
      </c>
      <c r="D101" s="325">
        <v>7.1929560000000003E-2</v>
      </c>
      <c r="E101" s="325">
        <v>6.6654820000000004E-2</v>
      </c>
      <c r="F101" s="325">
        <v>0</v>
      </c>
      <c r="G101" s="334"/>
      <c r="H101" s="252"/>
      <c r="I101" s="252"/>
      <c r="J101" s="252"/>
      <c r="K101" s="252"/>
      <c r="L101" s="334"/>
      <c r="M101" s="340" t="s">
        <v>417</v>
      </c>
      <c r="N101" s="327">
        <f ca="1"/>
        <v>0.27349370191213668</v>
      </c>
      <c r="O101" s="252"/>
      <c r="P101" s="336"/>
      <c r="Q101" s="3"/>
      <c r="R101" s="3"/>
      <c r="S101" s="334"/>
      <c r="T101" s="373">
        <f t="shared" si="33"/>
        <v>75</v>
      </c>
      <c r="U101" s="334"/>
      <c r="V101" s="568">
        <f t="shared" si="60"/>
        <v>0.15346642089801557</v>
      </c>
      <c r="W101" s="328">
        <f t="shared" si="41"/>
        <v>0.84265008238034178</v>
      </c>
      <c r="X101" s="328">
        <f t="shared" si="42"/>
        <v>0.84653357910198446</v>
      </c>
      <c r="Y101" s="328">
        <f t="shared" si="43"/>
        <v>3.8759657003022419E-3</v>
      </c>
      <c r="Z101" s="334"/>
      <c r="AA101" s="571">
        <f t="shared" si="44"/>
        <v>0.20549683819899611</v>
      </c>
      <c r="AB101" s="327">
        <f t="shared" si="63"/>
        <v>0.79113483663356876</v>
      </c>
      <c r="AC101" s="327">
        <f t="shared" si="45"/>
        <v>0.79450316180100389</v>
      </c>
      <c r="AD101" s="327">
        <f t="shared" si="46"/>
        <v>3.3626587241449846E-3</v>
      </c>
      <c r="AE101" s="383"/>
      <c r="AF101" s="574">
        <f t="shared" si="35"/>
        <v>0.21573536219846301</v>
      </c>
      <c r="AG101" s="376">
        <f t="shared" si="61"/>
        <v>0.78168776839947118</v>
      </c>
      <c r="AH101" s="376">
        <f t="shared" si="47"/>
        <v>0.78426463780153699</v>
      </c>
      <c r="AI101" s="553">
        <f t="shared" si="48"/>
        <v>2.573552124117251E-3</v>
      </c>
      <c r="AJ101" s="374"/>
      <c r="AK101" s="577">
        <f t="shared" si="36"/>
        <v>0.20535714808360273</v>
      </c>
      <c r="AL101" s="376">
        <f t="shared" si="49"/>
        <v>0.79229693613570762</v>
      </c>
      <c r="AM101" s="376">
        <f t="shared" si="50"/>
        <v>0.79464285191639727</v>
      </c>
      <c r="AN101" s="553">
        <f t="shared" si="51"/>
        <v>2.343166270724506E-3</v>
      </c>
      <c r="AO101" s="554"/>
      <c r="AP101" s="580">
        <f t="shared" si="37"/>
        <v>0.19171395580818706</v>
      </c>
      <c r="AQ101" s="376">
        <f t="shared" si="52"/>
        <v>0.80458223431318454</v>
      </c>
      <c r="AR101" s="379">
        <f t="shared" si="53"/>
        <v>0.80828604419181294</v>
      </c>
      <c r="AS101" s="376">
        <f t="shared" si="54"/>
        <v>3.6969592352565916E-3</v>
      </c>
      <c r="AT101" s="384"/>
      <c r="AU101" s="583">
        <f t="shared" si="38"/>
        <v>0.30036850016125843</v>
      </c>
      <c r="AV101" s="381">
        <f t="shared" si="64"/>
        <v>1.2002424357880992</v>
      </c>
      <c r="AW101" s="376">
        <f t="shared" si="39"/>
        <v>1.2027452242399206</v>
      </c>
      <c r="AX101" s="503">
        <f t="shared" si="62"/>
        <v>2.4996590880603797E-3</v>
      </c>
      <c r="AY101" s="376">
        <f t="shared" si="40"/>
        <v>1.8277011646990358</v>
      </c>
      <c r="AZ101" s="381">
        <f t="shared" si="55"/>
        <v>1.2024822608492504E-2</v>
      </c>
      <c r="BA101" s="586">
        <f t="shared" si="56"/>
        <v>0.27798742352341815</v>
      </c>
      <c r="BB101" s="376">
        <f t="shared" si="57"/>
        <v>0.72037850123111713</v>
      </c>
      <c r="BC101" s="376">
        <f t="shared" si="58"/>
        <v>0.7220125764765819</v>
      </c>
      <c r="BD101" s="376">
        <f t="shared" si="59"/>
        <v>1.6327408714323921E-3</v>
      </c>
      <c r="BE101" s="283"/>
      <c r="BF101" s="392">
        <v>59.6</v>
      </c>
      <c r="BG101" s="393">
        <v>0.33100000000000002</v>
      </c>
      <c r="BH101" s="283"/>
      <c r="BI101" s="283"/>
      <c r="BJ101" s="283"/>
      <c r="BK101" s="283"/>
      <c r="BL101" s="283"/>
      <c r="BM101" s="283"/>
      <c r="BN101" s="283"/>
      <c r="BO101" s="283"/>
      <c r="BP101" s="283"/>
      <c r="BQ101" s="283"/>
      <c r="BR101" s="283"/>
      <c r="BS101" s="283"/>
      <c r="BT101" s="283"/>
      <c r="BU101" s="283"/>
      <c r="BV101" s="283"/>
      <c r="BW101" s="283"/>
      <c r="BX101" s="283"/>
      <c r="BY101" s="283"/>
      <c r="BZ101" s="283"/>
      <c r="CA101" s="283"/>
      <c r="CB101" s="283"/>
      <c r="CC101" s="283"/>
      <c r="CD101" s="283"/>
      <c r="CE101" s="283"/>
      <c r="CF101" s="283"/>
      <c r="CG101" s="283"/>
      <c r="CH101" s="283"/>
      <c r="CI101" s="283"/>
      <c r="CJ101" s="283"/>
      <c r="CK101" s="283"/>
      <c r="CL101" s="283"/>
    </row>
    <row r="102" spans="1:90" ht="14.25" customHeight="1" thickBot="1" x14ac:dyDescent="0.25">
      <c r="A102" s="252"/>
      <c r="B102" s="334"/>
      <c r="C102" s="340" t="s">
        <v>418</v>
      </c>
      <c r="D102" s="325">
        <v>0.31664898000000002</v>
      </c>
      <c r="E102" s="325">
        <v>-4.7759919999999997E-3</v>
      </c>
      <c r="F102" s="325">
        <v>0.186527</v>
      </c>
      <c r="G102" s="334"/>
      <c r="H102" s="252"/>
      <c r="I102" s="252"/>
      <c r="J102" s="252"/>
      <c r="K102" s="252"/>
      <c r="L102" s="334"/>
      <c r="M102" s="340" t="s">
        <v>418</v>
      </c>
      <c r="N102" s="327">
        <f ca="1"/>
        <v>-1.439567902037219</v>
      </c>
      <c r="O102" s="252"/>
      <c r="P102" s="336"/>
      <c r="Q102" s="252"/>
      <c r="R102" s="252"/>
      <c r="S102" s="334"/>
      <c r="T102" s="373">
        <f t="shared" ref="T102:T165" si="65">T101+1</f>
        <v>76</v>
      </c>
      <c r="U102" s="334"/>
      <c r="V102" s="568">
        <f t="shared" si="60"/>
        <v>0.14967877136215577</v>
      </c>
      <c r="W102" s="328">
        <f t="shared" si="41"/>
        <v>0.84653357910198446</v>
      </c>
      <c r="X102" s="328">
        <f t="shared" si="42"/>
        <v>0.85032122863784421</v>
      </c>
      <c r="Y102" s="328">
        <f t="shared" si="43"/>
        <v>3.7804854392398113E-3</v>
      </c>
      <c r="Z102" s="334"/>
      <c r="AA102" s="571">
        <f t="shared" si="44"/>
        <v>0.20219292395896576</v>
      </c>
      <c r="AB102" s="327">
        <f t="shared" si="63"/>
        <v>0.79450316180100389</v>
      </c>
      <c r="AC102" s="327">
        <f t="shared" si="45"/>
        <v>0.79780707604103429</v>
      </c>
      <c r="AD102" s="327">
        <f t="shared" si="46"/>
        <v>3.298462321254414E-3</v>
      </c>
      <c r="AE102" s="383"/>
      <c r="AF102" s="574">
        <f t="shared" si="35"/>
        <v>0.21320999360183801</v>
      </c>
      <c r="AG102" s="376">
        <f t="shared" si="61"/>
        <v>0.78426463780153699</v>
      </c>
      <c r="AH102" s="376">
        <f t="shared" si="47"/>
        <v>0.78679000639816199</v>
      </c>
      <c r="AI102" s="553">
        <f t="shared" si="48"/>
        <v>2.5221825359075245E-3</v>
      </c>
      <c r="AJ102" s="374"/>
      <c r="AK102" s="577">
        <f t="shared" si="36"/>
        <v>0.20306162150926305</v>
      </c>
      <c r="AL102" s="376">
        <f t="shared" si="49"/>
        <v>0.79464285191639727</v>
      </c>
      <c r="AM102" s="376">
        <f t="shared" si="50"/>
        <v>0.7969383784907369</v>
      </c>
      <c r="AN102" s="553">
        <f t="shared" si="51"/>
        <v>2.2928938680805144E-3</v>
      </c>
      <c r="AO102" s="554"/>
      <c r="AP102" s="580">
        <f t="shared" si="37"/>
        <v>0.18808438018174278</v>
      </c>
      <c r="AQ102" s="376">
        <f t="shared" si="52"/>
        <v>0.80828604419181294</v>
      </c>
      <c r="AR102" s="379">
        <f t="shared" si="53"/>
        <v>0.81191561981825722</v>
      </c>
      <c r="AS102" s="376">
        <f t="shared" si="54"/>
        <v>3.6229966788331458E-3</v>
      </c>
      <c r="AT102" s="384"/>
      <c r="AU102" s="583">
        <f t="shared" si="38"/>
        <v>0.29964745237595164</v>
      </c>
      <c r="AV102" s="381">
        <f t="shared" si="64"/>
        <v>1.2027452242399206</v>
      </c>
      <c r="AW102" s="376">
        <f t="shared" si="39"/>
        <v>1.2051486541132452</v>
      </c>
      <c r="AX102" s="503">
        <f t="shared" si="62"/>
        <v>2.4005439482491786E-3</v>
      </c>
      <c r="AY102" s="376">
        <f t="shared" si="40"/>
        <v>1.8381194060131714</v>
      </c>
      <c r="AZ102" s="381">
        <f t="shared" si="55"/>
        <v>1.1803289624373603E-2</v>
      </c>
      <c r="BA102" s="586">
        <f t="shared" si="56"/>
        <v>0.27638407875295917</v>
      </c>
      <c r="BB102" s="376">
        <f t="shared" si="57"/>
        <v>0.7220125764765819</v>
      </c>
      <c r="BC102" s="376">
        <f t="shared" si="58"/>
        <v>0.72361592124704077</v>
      </c>
      <c r="BD102" s="376">
        <f t="shared" si="59"/>
        <v>1.6020600999140377E-3</v>
      </c>
      <c r="BE102" s="283"/>
      <c r="BF102" s="394">
        <v>59.9</v>
      </c>
      <c r="BG102" s="395">
        <v>0.318</v>
      </c>
      <c r="BH102" s="283"/>
      <c r="BI102" s="283"/>
      <c r="BJ102" s="283"/>
      <c r="BK102" s="283"/>
      <c r="BL102" s="283"/>
      <c r="BM102" s="283"/>
      <c r="BN102" s="283"/>
      <c r="BO102" s="283"/>
      <c r="BP102" s="283"/>
      <c r="BQ102" s="283"/>
      <c r="BR102" s="283"/>
      <c r="BS102" s="283"/>
      <c r="BT102" s="283"/>
      <c r="BU102" s="283"/>
      <c r="BV102" s="283"/>
      <c r="BW102" s="283"/>
      <c r="BX102" s="283"/>
      <c r="BY102" s="283"/>
      <c r="BZ102" s="283"/>
      <c r="CA102" s="283"/>
      <c r="CB102" s="283"/>
      <c r="CC102" s="283"/>
      <c r="CD102" s="283"/>
      <c r="CE102" s="283"/>
      <c r="CF102" s="283"/>
      <c r="CG102" s="283"/>
      <c r="CH102" s="283"/>
      <c r="CI102" s="283"/>
      <c r="CJ102" s="283"/>
      <c r="CK102" s="283"/>
      <c r="CL102" s="283"/>
    </row>
    <row r="103" spans="1:90" ht="14.25" customHeight="1" x14ac:dyDescent="0.2">
      <c r="A103" s="3"/>
      <c r="B103" s="334"/>
      <c r="C103" s="340"/>
      <c r="D103" s="252"/>
      <c r="E103" s="252"/>
      <c r="F103" s="252"/>
      <c r="G103" s="334"/>
      <c r="H103" s="252"/>
      <c r="I103" s="252"/>
      <c r="J103" s="252"/>
      <c r="K103" s="252"/>
      <c r="L103" s="334"/>
      <c r="M103" s="252"/>
      <c r="N103" s="252"/>
      <c r="O103" s="252"/>
      <c r="P103" s="336"/>
      <c r="Q103" s="3"/>
      <c r="R103" s="3"/>
      <c r="S103" s="334"/>
      <c r="T103" s="373">
        <f t="shared" si="65"/>
        <v>77</v>
      </c>
      <c r="U103" s="334"/>
      <c r="V103" s="568">
        <f t="shared" si="60"/>
        <v>0.14598460344216052</v>
      </c>
      <c r="W103" s="328">
        <f t="shared" si="41"/>
        <v>0.85032122863784421</v>
      </c>
      <c r="X103" s="328">
        <f t="shared" si="42"/>
        <v>0.85401539655783942</v>
      </c>
      <c r="Y103" s="328">
        <f t="shared" si="43"/>
        <v>3.687352876239447E-3</v>
      </c>
      <c r="Z103" s="334"/>
      <c r="AA103" s="571">
        <f t="shared" si="44"/>
        <v>0.19895189739590396</v>
      </c>
      <c r="AB103" s="327">
        <f t="shared" si="63"/>
        <v>0.79780707604103429</v>
      </c>
      <c r="AC103" s="327">
        <f t="shared" si="45"/>
        <v>0.80104810260409609</v>
      </c>
      <c r="AD103" s="327">
        <f t="shared" si="46"/>
        <v>3.235780105970032E-3</v>
      </c>
      <c r="AE103" s="383"/>
      <c r="AF103" s="574">
        <f t="shared" si="35"/>
        <v>0.21073462321414183</v>
      </c>
      <c r="AG103" s="376">
        <f t="shared" si="61"/>
        <v>0.78679000639816199</v>
      </c>
      <c r="AH103" s="376">
        <f t="shared" si="47"/>
        <v>0.78926537678585817</v>
      </c>
      <c r="AI103" s="553">
        <f t="shared" si="48"/>
        <v>2.4723091848093404E-3</v>
      </c>
      <c r="AJ103" s="374"/>
      <c r="AK103" s="577">
        <f t="shared" si="36"/>
        <v>0.20081490467509533</v>
      </c>
      <c r="AL103" s="376">
        <f t="shared" si="49"/>
        <v>0.7969383784907369</v>
      </c>
      <c r="AM103" s="376">
        <f t="shared" si="50"/>
        <v>0.79918509532490467</v>
      </c>
      <c r="AN103" s="553">
        <f t="shared" si="51"/>
        <v>2.2441948549792867E-3</v>
      </c>
      <c r="AO103" s="554"/>
      <c r="AP103" s="580">
        <f t="shared" si="37"/>
        <v>0.18452739652395656</v>
      </c>
      <c r="AQ103" s="376">
        <f t="shared" si="52"/>
        <v>0.81191561981825722</v>
      </c>
      <c r="AR103" s="379">
        <f t="shared" si="53"/>
        <v>0.81547260347604344</v>
      </c>
      <c r="AS103" s="376">
        <f t="shared" si="54"/>
        <v>3.5506650853217581E-3</v>
      </c>
      <c r="AT103" s="384"/>
      <c r="AU103" s="583">
        <f t="shared" si="38"/>
        <v>0.29895665882543287</v>
      </c>
      <c r="AV103" s="381">
        <f t="shared" si="64"/>
        <v>1.2051486541132452</v>
      </c>
      <c r="AW103" s="376">
        <f t="shared" si="39"/>
        <v>1.2074566698593565</v>
      </c>
      <c r="AX103" s="503">
        <f t="shared" si="62"/>
        <v>2.3053543256963405E-3</v>
      </c>
      <c r="AY103" s="376">
        <f t="shared" si="40"/>
        <v>1.8484014572620513</v>
      </c>
      <c r="AZ103" s="381">
        <f t="shared" si="55"/>
        <v>1.1588654519247373E-2</v>
      </c>
      <c r="BA103" s="586">
        <f t="shared" si="56"/>
        <v>0.27481049990271295</v>
      </c>
      <c r="BB103" s="376">
        <f t="shared" si="57"/>
        <v>0.72361592124704077</v>
      </c>
      <c r="BC103" s="376">
        <f t="shared" si="58"/>
        <v>0.725189500097287</v>
      </c>
      <c r="BD103" s="376">
        <f t="shared" si="59"/>
        <v>1.572341424194823E-3</v>
      </c>
      <c r="BE103" s="283"/>
      <c r="BF103" s="283"/>
      <c r="BG103" s="283"/>
      <c r="BH103" s="283"/>
      <c r="BI103" s="283"/>
      <c r="BJ103" s="283"/>
      <c r="BK103" s="283"/>
      <c r="BL103" s="283"/>
      <c r="BM103" s="283"/>
      <c r="BN103" s="283"/>
      <c r="BO103" s="283"/>
      <c r="BP103" s="283"/>
      <c r="BQ103" s="283"/>
      <c r="BR103" s="283"/>
      <c r="BS103" s="283"/>
      <c r="BT103" s="283"/>
      <c r="BU103" s="283"/>
      <c r="BV103" s="283"/>
      <c r="BW103" s="283"/>
      <c r="BX103" s="283"/>
      <c r="BY103" s="283"/>
      <c r="BZ103" s="283"/>
      <c r="CA103" s="283"/>
      <c r="CB103" s="283"/>
      <c r="CC103" s="283"/>
      <c r="CD103" s="283"/>
      <c r="CE103" s="283"/>
      <c r="CF103" s="283"/>
      <c r="CG103" s="283"/>
      <c r="CH103" s="283"/>
      <c r="CI103" s="283"/>
      <c r="CJ103" s="283"/>
      <c r="CK103" s="283"/>
      <c r="CL103" s="283"/>
    </row>
    <row r="104" spans="1:90" ht="14.25" customHeight="1" x14ac:dyDescent="0.2">
      <c r="A104" s="3"/>
      <c r="B104" s="334"/>
      <c r="C104" s="335" t="s">
        <v>396</v>
      </c>
      <c r="D104" s="252"/>
      <c r="E104" s="252"/>
      <c r="F104" s="252"/>
      <c r="G104" s="334"/>
      <c r="H104" s="252"/>
      <c r="I104" s="252"/>
      <c r="J104" s="252"/>
      <c r="K104" s="252"/>
      <c r="L104" s="334"/>
      <c r="M104" s="348" t="s">
        <v>416</v>
      </c>
      <c r="N104" s="350">
        <f ca="1">N100</f>
        <v>2.1046632427672773</v>
      </c>
      <c r="O104" s="252"/>
      <c r="P104" s="336"/>
      <c r="Q104" s="3"/>
      <c r="R104" s="3"/>
      <c r="S104" s="334"/>
      <c r="T104" s="373">
        <f t="shared" si="65"/>
        <v>78</v>
      </c>
      <c r="U104" s="334"/>
      <c r="V104" s="568">
        <f t="shared" si="60"/>
        <v>0.14238160995189186</v>
      </c>
      <c r="W104" s="328">
        <f t="shared" si="41"/>
        <v>0.85401539655783942</v>
      </c>
      <c r="X104" s="328">
        <f t="shared" si="42"/>
        <v>0.85761839004810814</v>
      </c>
      <c r="Y104" s="328">
        <f t="shared" si="43"/>
        <v>3.5965104976205531E-3</v>
      </c>
      <c r="Z104" s="334"/>
      <c r="AA104" s="571">
        <f t="shared" si="44"/>
        <v>0.19577228133103167</v>
      </c>
      <c r="AB104" s="327">
        <f t="shared" si="63"/>
        <v>0.80104810260409609</v>
      </c>
      <c r="AC104" s="327">
        <f t="shared" si="45"/>
        <v>0.80422771866896836</v>
      </c>
      <c r="AD104" s="327">
        <f t="shared" si="46"/>
        <v>3.1745664390872008E-3</v>
      </c>
      <c r="AE104" s="383"/>
      <c r="AF104" s="574">
        <f t="shared" si="35"/>
        <v>0.20830780684679928</v>
      </c>
      <c r="AG104" s="376">
        <f t="shared" si="61"/>
        <v>0.78926537678585817</v>
      </c>
      <c r="AH104" s="376">
        <f t="shared" si="47"/>
        <v>0.79169219315320072</v>
      </c>
      <c r="AI104" s="553">
        <f t="shared" si="48"/>
        <v>2.4238740291548933E-3</v>
      </c>
      <c r="AJ104" s="374"/>
      <c r="AK104" s="577">
        <f t="shared" si="36"/>
        <v>0.19861548274326057</v>
      </c>
      <c r="AL104" s="376">
        <f t="shared" si="49"/>
        <v>0.79918509532490467</v>
      </c>
      <c r="AM104" s="376">
        <f t="shared" si="50"/>
        <v>0.80138451725673943</v>
      </c>
      <c r="AN104" s="553">
        <f t="shared" si="51"/>
        <v>2.1970049757111809E-3</v>
      </c>
      <c r="AO104" s="554"/>
      <c r="AP104" s="580">
        <f t="shared" si="37"/>
        <v>0.18104140556941117</v>
      </c>
      <c r="AQ104" s="376">
        <f t="shared" si="52"/>
        <v>0.81547260347604344</v>
      </c>
      <c r="AR104" s="379">
        <f t="shared" si="53"/>
        <v>0.81895859443058883</v>
      </c>
      <c r="AS104" s="376">
        <f t="shared" si="54"/>
        <v>3.4799219422998462E-3</v>
      </c>
      <c r="AT104" s="384"/>
      <c r="AU104" s="583">
        <f t="shared" si="38"/>
        <v>0.29829478818470057</v>
      </c>
      <c r="AV104" s="381">
        <f t="shared" si="64"/>
        <v>1.2074566698593565</v>
      </c>
      <c r="AW104" s="376">
        <f t="shared" si="39"/>
        <v>1.2096730593381679</v>
      </c>
      <c r="AX104" s="503">
        <f t="shared" si="62"/>
        <v>2.2139351012708808E-3</v>
      </c>
      <c r="AY104" s="376">
        <f t="shared" si="40"/>
        <v>1.8585508331762279</v>
      </c>
      <c r="AZ104" s="381">
        <f t="shared" si="55"/>
        <v>1.138061705744617E-2</v>
      </c>
      <c r="BA104" s="586">
        <f t="shared" si="56"/>
        <v>0.27326576448653056</v>
      </c>
      <c r="BB104" s="376">
        <f t="shared" si="57"/>
        <v>0.725189500097287</v>
      </c>
      <c r="BC104" s="376">
        <f t="shared" si="58"/>
        <v>0.72673423551346938</v>
      </c>
      <c r="BD104" s="376">
        <f t="shared" si="59"/>
        <v>1.5435429265354683E-3</v>
      </c>
      <c r="BE104" s="283"/>
      <c r="BF104" s="283"/>
      <c r="BG104" s="283"/>
      <c r="BH104" s="283"/>
      <c r="BI104" s="283"/>
      <c r="BJ104" s="283"/>
      <c r="BK104" s="283"/>
      <c r="BL104" s="283"/>
      <c r="BM104" s="283"/>
      <c r="BN104" s="283"/>
      <c r="BO104" s="283"/>
      <c r="BP104" s="283"/>
      <c r="BQ104" s="283"/>
      <c r="BR104" s="283"/>
      <c r="BS104" s="283"/>
      <c r="BT104" s="283"/>
      <c r="BU104" s="283"/>
      <c r="BV104" s="283"/>
      <c r="BW104" s="283"/>
      <c r="BX104" s="283"/>
      <c r="BY104" s="283"/>
      <c r="BZ104" s="283"/>
      <c r="CA104" s="283"/>
      <c r="CB104" s="283"/>
      <c r="CC104" s="283"/>
      <c r="CD104" s="283"/>
      <c r="CE104" s="283"/>
      <c r="CF104" s="283"/>
      <c r="CG104" s="283"/>
      <c r="CH104" s="283"/>
      <c r="CI104" s="283"/>
      <c r="CJ104" s="283"/>
      <c r="CK104" s="283"/>
      <c r="CL104" s="283"/>
    </row>
    <row r="105" spans="1:90" ht="14.25" customHeight="1" x14ac:dyDescent="0.2">
      <c r="A105" s="3"/>
      <c r="B105" s="341"/>
      <c r="C105" s="351" t="s">
        <v>397</v>
      </c>
      <c r="D105" s="343">
        <v>-489.5</v>
      </c>
      <c r="E105" s="344"/>
      <c r="F105" s="344"/>
      <c r="G105" s="341"/>
      <c r="H105" s="344"/>
      <c r="I105" s="344"/>
      <c r="J105" s="344"/>
      <c r="K105" s="344"/>
      <c r="L105" s="341"/>
      <c r="M105" s="349" t="s">
        <v>417</v>
      </c>
      <c r="N105" s="329">
        <f ca="1">EXP(N101)</f>
        <v>1.3145490800403803</v>
      </c>
      <c r="O105" s="349" t="s">
        <v>418</v>
      </c>
      <c r="P105" s="350">
        <f ca="1">N102</f>
        <v>-1.439567902037219</v>
      </c>
      <c r="Q105" s="3"/>
      <c r="R105" s="3"/>
      <c r="S105" s="334"/>
      <c r="T105" s="373">
        <f t="shared" si="65"/>
        <v>79</v>
      </c>
      <c r="U105" s="334"/>
      <c r="V105" s="568">
        <f t="shared" si="60"/>
        <v>0.13886754064804308</v>
      </c>
      <c r="W105" s="328">
        <f t="shared" si="41"/>
        <v>0.85761839004810814</v>
      </c>
      <c r="X105" s="328">
        <f t="shared" si="42"/>
        <v>0.86113245935195692</v>
      </c>
      <c r="Y105" s="328">
        <f t="shared" si="43"/>
        <v>3.5079021883180905E-3</v>
      </c>
      <c r="Z105" s="334"/>
      <c r="AA105" s="571">
        <f t="shared" si="44"/>
        <v>0.19265264285704686</v>
      </c>
      <c r="AB105" s="327">
        <f t="shared" si="63"/>
        <v>0.80422771866896836</v>
      </c>
      <c r="AC105" s="327">
        <f t="shared" si="45"/>
        <v>0.80734735714295314</v>
      </c>
      <c r="AD105" s="327">
        <f t="shared" si="46"/>
        <v>3.1147774580652099E-3</v>
      </c>
      <c r="AE105" s="383"/>
      <c r="AF105" s="574">
        <f t="shared" si="35"/>
        <v>0.20592815586958135</v>
      </c>
      <c r="AG105" s="376">
        <f t="shared" si="61"/>
        <v>0.79169219315320072</v>
      </c>
      <c r="AH105" s="376">
        <f t="shared" si="47"/>
        <v>0.79407184413041865</v>
      </c>
      <c r="AI105" s="553">
        <f t="shared" si="48"/>
        <v>2.3768218523860796E-3</v>
      </c>
      <c r="AJ105" s="374"/>
      <c r="AK105" s="577">
        <f t="shared" si="36"/>
        <v>0.19646190225928198</v>
      </c>
      <c r="AL105" s="376">
        <f t="shared" si="49"/>
        <v>0.80138451725673943</v>
      </c>
      <c r="AM105" s="376">
        <f t="shared" si="50"/>
        <v>0.80353809774071805</v>
      </c>
      <c r="AN105" s="553">
        <f t="shared" si="51"/>
        <v>2.1512631933172655E-3</v>
      </c>
      <c r="AO105" s="554"/>
      <c r="AP105" s="580">
        <f t="shared" si="37"/>
        <v>0.1776248496217111</v>
      </c>
      <c r="AQ105" s="376">
        <f t="shared" si="52"/>
        <v>0.81895859443058883</v>
      </c>
      <c r="AR105" s="379">
        <f t="shared" si="53"/>
        <v>0.8223751503782889</v>
      </c>
      <c r="AS105" s="376">
        <f t="shared" si="54"/>
        <v>3.4107261615815565E-3</v>
      </c>
      <c r="AT105" s="384"/>
      <c r="AU105" s="583">
        <f t="shared" si="38"/>
        <v>0.29766057252168687</v>
      </c>
      <c r="AV105" s="381">
        <f t="shared" si="64"/>
        <v>1.2096730593381679</v>
      </c>
      <c r="AW105" s="376">
        <f t="shared" si="39"/>
        <v>1.2118014600347673</v>
      </c>
      <c r="AX105" s="503">
        <f t="shared" si="62"/>
        <v>2.1261372579562954E-3</v>
      </c>
      <c r="AY105" s="376">
        <f t="shared" si="40"/>
        <v>1.8685709141579332</v>
      </c>
      <c r="AZ105" s="381">
        <f t="shared" si="55"/>
        <v>1.1178893696885715E-2</v>
      </c>
      <c r="BA105" s="586">
        <f t="shared" si="56"/>
        <v>0.27174898975183104</v>
      </c>
      <c r="BB105" s="376">
        <f t="shared" si="57"/>
        <v>0.72673423551346938</v>
      </c>
      <c r="BC105" s="376">
        <f t="shared" si="58"/>
        <v>0.72825101024816896</v>
      </c>
      <c r="BD105" s="376">
        <f t="shared" si="59"/>
        <v>1.5156250132646321E-3</v>
      </c>
      <c r="BE105" s="283"/>
      <c r="BF105" s="283"/>
      <c r="BG105" s="283"/>
      <c r="BH105" s="283"/>
      <c r="BI105" s="283"/>
      <c r="BJ105" s="283"/>
      <c r="BK105" s="283"/>
      <c r="BL105" s="283"/>
      <c r="BM105" s="283"/>
      <c r="BN105" s="283"/>
      <c r="BO105" s="283"/>
      <c r="BP105" s="283"/>
      <c r="BQ105" s="283"/>
      <c r="BR105" s="283"/>
      <c r="BS105" s="283"/>
      <c r="BT105" s="283"/>
      <c r="BU105" s="283"/>
      <c r="BV105" s="283"/>
      <c r="BW105" s="283"/>
      <c r="BX105" s="283"/>
      <c r="BY105" s="283"/>
      <c r="BZ105" s="283"/>
      <c r="CA105" s="283"/>
      <c r="CB105" s="283"/>
      <c r="CC105" s="283"/>
      <c r="CD105" s="283"/>
      <c r="CE105" s="283"/>
      <c r="CF105" s="283"/>
      <c r="CG105" s="283"/>
      <c r="CH105" s="283"/>
      <c r="CI105" s="283"/>
      <c r="CJ105" s="283"/>
      <c r="CK105" s="283"/>
      <c r="CL105" s="283"/>
    </row>
    <row r="106" spans="1:90" ht="14.25" customHeight="1" x14ac:dyDescent="0.2">
      <c r="A106" s="3"/>
      <c r="B106" s="252"/>
      <c r="C106" s="3"/>
      <c r="D106" s="3"/>
      <c r="E106" s="3"/>
      <c r="F106" s="3"/>
      <c r="G106" s="252"/>
      <c r="H106" s="3"/>
      <c r="I106" s="3"/>
      <c r="J106" s="3"/>
      <c r="K106" s="3"/>
      <c r="L106" s="252"/>
      <c r="M106" s="3"/>
      <c r="N106" s="3"/>
      <c r="O106" s="3"/>
      <c r="P106" s="3"/>
      <c r="Q106" s="3"/>
      <c r="R106" s="3"/>
      <c r="S106" s="334"/>
      <c r="T106" s="373">
        <f t="shared" si="65"/>
        <v>80</v>
      </c>
      <c r="U106" s="334"/>
      <c r="V106" s="568">
        <f t="shared" si="60"/>
        <v>0.13544020082475305</v>
      </c>
      <c r="W106" s="328">
        <f t="shared" si="41"/>
        <v>0.86113245935195692</v>
      </c>
      <c r="X106" s="328">
        <f t="shared" si="42"/>
        <v>0.86455979917524695</v>
      </c>
      <c r="Y106" s="328">
        <f t="shared" si="43"/>
        <v>3.4214731983773783E-3</v>
      </c>
      <c r="Z106" s="334"/>
      <c r="AA106" s="571">
        <f t="shared" si="44"/>
        <v>0.18959159162732564</v>
      </c>
      <c r="AB106" s="327">
        <f t="shared" si="63"/>
        <v>0.80734735714295314</v>
      </c>
      <c r="AC106" s="327">
        <f t="shared" si="45"/>
        <v>0.81040840837267436</v>
      </c>
      <c r="AD106" s="327">
        <f t="shared" si="46"/>
        <v>3.0563709891090474E-3</v>
      </c>
      <c r="AE106" s="383"/>
      <c r="AF106" s="574">
        <f t="shared" si="35"/>
        <v>0.2035943345284652</v>
      </c>
      <c r="AG106" s="376">
        <f t="shared" si="61"/>
        <v>0.79407184413041865</v>
      </c>
      <c r="AH106" s="376">
        <f t="shared" si="47"/>
        <v>0.7964056654715348</v>
      </c>
      <c r="AI106" s="553">
        <f t="shared" si="48"/>
        <v>2.3311000974671758E-3</v>
      </c>
      <c r="AJ106" s="374"/>
      <c r="AK106" s="577">
        <f t="shared" si="36"/>
        <v>0.19435276809925797</v>
      </c>
      <c r="AL106" s="376">
        <f t="shared" si="49"/>
        <v>0.80353809774071805</v>
      </c>
      <c r="AM106" s="376">
        <f t="shared" si="50"/>
        <v>0.80564723190074206</v>
      </c>
      <c r="AN106" s="553">
        <f t="shared" si="51"/>
        <v>2.1069114994758387E-3</v>
      </c>
      <c r="AO106" s="554"/>
      <c r="AP106" s="580">
        <f t="shared" si="37"/>
        <v>0.17427621116991143</v>
      </c>
      <c r="AQ106" s="376">
        <f t="shared" si="52"/>
        <v>0.8223751503782889</v>
      </c>
      <c r="AR106" s="379">
        <f t="shared" si="53"/>
        <v>0.82572378883008857</v>
      </c>
      <c r="AS106" s="376">
        <f t="shared" si="54"/>
        <v>3.3430380150825112E-3</v>
      </c>
      <c r="AT106" s="384"/>
      <c r="AU106" s="583">
        <f t="shared" si="38"/>
        <v>0.29705280391310213</v>
      </c>
      <c r="AV106" s="381">
        <f t="shared" si="64"/>
        <v>1.2118014600347673</v>
      </c>
      <c r="AW106" s="376">
        <f t="shared" si="39"/>
        <v>1.2138453650291701</v>
      </c>
      <c r="AX106" s="503">
        <f t="shared" si="62"/>
        <v>2.0418176429478629E-3</v>
      </c>
      <c r="AY106" s="376">
        <f t="shared" si="40"/>
        <v>1.8784649530401902</v>
      </c>
      <c r="AZ106" s="381">
        <f t="shared" si="55"/>
        <v>1.0983216464315684E-2</v>
      </c>
      <c r="BA106" s="586">
        <f t="shared" si="56"/>
        <v>0.27025933050115952</v>
      </c>
      <c r="BB106" s="376">
        <f t="shared" si="57"/>
        <v>0.72825101024816896</v>
      </c>
      <c r="BC106" s="376">
        <f t="shared" si="58"/>
        <v>0.72974066949884042</v>
      </c>
      <c r="BD106" s="376">
        <f t="shared" si="59"/>
        <v>1.4885502590714639E-3</v>
      </c>
      <c r="BE106" s="283"/>
      <c r="BF106" s="283"/>
      <c r="BG106" s="283"/>
      <c r="BH106" s="283"/>
      <c r="BI106" s="283"/>
      <c r="BJ106" s="283"/>
      <c r="BK106" s="283"/>
      <c r="BL106" s="283"/>
      <c r="BM106" s="283"/>
      <c r="BN106" s="283"/>
      <c r="BO106" s="283"/>
      <c r="BP106" s="283"/>
      <c r="BQ106" s="283"/>
      <c r="BR106" s="283"/>
      <c r="BS106" s="283"/>
      <c r="BT106" s="283"/>
      <c r="BU106" s="283"/>
      <c r="BV106" s="283"/>
      <c r="BW106" s="283"/>
      <c r="BX106" s="283"/>
      <c r="BY106" s="283"/>
      <c r="BZ106" s="283"/>
      <c r="CA106" s="283"/>
      <c r="CB106" s="283"/>
      <c r="CC106" s="283"/>
      <c r="CD106" s="283"/>
      <c r="CE106" s="283"/>
      <c r="CF106" s="283"/>
      <c r="CG106" s="283"/>
      <c r="CH106" s="283"/>
      <c r="CI106" s="283"/>
      <c r="CJ106" s="283"/>
      <c r="CK106" s="283"/>
      <c r="CL106" s="283"/>
    </row>
    <row r="107" spans="1:90" ht="14.25" customHeight="1" x14ac:dyDescent="0.2">
      <c r="A107" s="3"/>
      <c r="B107" s="252"/>
      <c r="C107" s="3"/>
      <c r="D107" s="3"/>
      <c r="E107" s="3"/>
      <c r="F107" s="3"/>
      <c r="G107" s="252"/>
      <c r="H107" s="3"/>
      <c r="I107" s="3"/>
      <c r="J107" s="3"/>
      <c r="K107" s="3"/>
      <c r="L107" s="252"/>
      <c r="M107" s="3"/>
      <c r="N107" s="3"/>
      <c r="O107" s="3"/>
      <c r="P107" s="3"/>
      <c r="Q107" s="3"/>
      <c r="R107" s="3"/>
      <c r="S107" s="334"/>
      <c r="T107" s="373">
        <f t="shared" si="65"/>
        <v>81</v>
      </c>
      <c r="U107" s="334"/>
      <c r="V107" s="568">
        <f t="shared" si="60"/>
        <v>0.13209744994290679</v>
      </c>
      <c r="W107" s="328">
        <f t="shared" si="41"/>
        <v>0.86455979917524695</v>
      </c>
      <c r="X107" s="328">
        <f t="shared" si="42"/>
        <v>0.86790255005709316</v>
      </c>
      <c r="Y107" s="328">
        <f t="shared" si="43"/>
        <v>3.3371701102253848E-3</v>
      </c>
      <c r="Z107" s="334"/>
      <c r="AA107" s="571">
        <f t="shared" si="44"/>
        <v>0.18658777822904027</v>
      </c>
      <c r="AB107" s="327">
        <f t="shared" si="63"/>
        <v>0.81040840837267436</v>
      </c>
      <c r="AC107" s="327">
        <f t="shared" si="45"/>
        <v>0.81341222177095973</v>
      </c>
      <c r="AD107" s="327">
        <f t="shared" si="46"/>
        <v>2.9993064646114398E-3</v>
      </c>
      <c r="AE107" s="383"/>
      <c r="AF107" s="574">
        <f t="shared" si="35"/>
        <v>0.20130505741944171</v>
      </c>
      <c r="AG107" s="376">
        <f t="shared" si="61"/>
        <v>0.7964056654715348</v>
      </c>
      <c r="AH107" s="376">
        <f t="shared" si="47"/>
        <v>0.79869494258055829</v>
      </c>
      <c r="AI107" s="553">
        <f t="shared" si="48"/>
        <v>2.2866587126419979E-3</v>
      </c>
      <c r="AJ107" s="374"/>
      <c r="AK107" s="577">
        <f t="shared" si="36"/>
        <v>0.19228674059620379</v>
      </c>
      <c r="AL107" s="376">
        <f t="shared" si="49"/>
        <v>0.80564723190074206</v>
      </c>
      <c r="AM107" s="376">
        <f t="shared" si="50"/>
        <v>0.80771325940379624</v>
      </c>
      <c r="AN107" s="553">
        <f t="shared" si="51"/>
        <v>2.0638947372696448E-3</v>
      </c>
      <c r="AO107" s="554"/>
      <c r="AP107" s="580">
        <f t="shared" si="37"/>
        <v>0.17099401156660599</v>
      </c>
      <c r="AQ107" s="376">
        <f t="shared" si="52"/>
        <v>0.82572378883008857</v>
      </c>
      <c r="AR107" s="379">
        <f t="shared" si="53"/>
        <v>0.82900598843339401</v>
      </c>
      <c r="AS107" s="376">
        <f t="shared" si="54"/>
        <v>3.2768190744537629E-3</v>
      </c>
      <c r="AT107" s="384"/>
      <c r="AU107" s="583">
        <f t="shared" si="38"/>
        <v>0.29647033126770284</v>
      </c>
      <c r="AV107" s="381">
        <f t="shared" si="64"/>
        <v>1.2138453650291701</v>
      </c>
      <c r="AW107" s="376">
        <f t="shared" si="39"/>
        <v>1.2158081287290787</v>
      </c>
      <c r="AX107" s="503">
        <f t="shared" si="62"/>
        <v>1.9608387388583282E-3</v>
      </c>
      <c r="AY107" s="376">
        <f t="shared" si="40"/>
        <v>1.8882360814260783</v>
      </c>
      <c r="AZ107" s="381">
        <f t="shared" si="55"/>
        <v>1.0793331919268526E-2</v>
      </c>
      <c r="BA107" s="586">
        <f t="shared" si="56"/>
        <v>0.26879597705810654</v>
      </c>
      <c r="BB107" s="376">
        <f t="shared" si="57"/>
        <v>0.72974066949884042</v>
      </c>
      <c r="BC107" s="376">
        <f t="shared" si="58"/>
        <v>0.73120402294189346</v>
      </c>
      <c r="BD107" s="376">
        <f t="shared" si="59"/>
        <v>1.4622832634840766E-3</v>
      </c>
      <c r="BE107" s="283"/>
      <c r="BF107" s="283"/>
      <c r="BG107" s="283"/>
      <c r="BH107" s="283"/>
      <c r="BI107" s="283"/>
      <c r="BJ107" s="283"/>
      <c r="BK107" s="283"/>
      <c r="BL107" s="283"/>
      <c r="BM107" s="283"/>
      <c r="BN107" s="283"/>
      <c r="BO107" s="283"/>
      <c r="BP107" s="283"/>
      <c r="BQ107" s="283"/>
      <c r="BR107" s="283"/>
      <c r="BS107" s="283"/>
      <c r="BT107" s="283"/>
      <c r="BU107" s="283"/>
      <c r="BV107" s="283"/>
      <c r="BW107" s="283"/>
      <c r="BX107" s="283"/>
      <c r="BY107" s="283"/>
      <c r="BZ107" s="283"/>
      <c r="CA107" s="283"/>
      <c r="CB107" s="283"/>
      <c r="CC107" s="283"/>
      <c r="CD107" s="283"/>
      <c r="CE107" s="283"/>
      <c r="CF107" s="283"/>
      <c r="CG107" s="283"/>
      <c r="CH107" s="283"/>
      <c r="CI107" s="283"/>
      <c r="CJ107" s="283"/>
      <c r="CK107" s="283"/>
      <c r="CL107" s="283"/>
    </row>
    <row r="108" spans="1:90" ht="14.25" customHeight="1" x14ac:dyDescent="0.2">
      <c r="A108" s="3"/>
      <c r="B108" s="252"/>
      <c r="C108" s="3"/>
      <c r="D108" s="3"/>
      <c r="E108" s="3"/>
      <c r="F108" s="3"/>
      <c r="G108" s="252"/>
      <c r="H108" s="3"/>
      <c r="I108" s="3"/>
      <c r="J108" s="3"/>
      <c r="K108" s="3"/>
      <c r="L108" s="252"/>
      <c r="M108" s="3"/>
      <c r="N108" s="3"/>
      <c r="O108" s="3"/>
      <c r="P108" s="3"/>
      <c r="Q108" s="3"/>
      <c r="R108" s="3"/>
      <c r="S108" s="334"/>
      <c r="T108" s="373">
        <f t="shared" si="65"/>
        <v>82</v>
      </c>
      <c r="U108" s="334"/>
      <c r="V108" s="568">
        <f t="shared" si="60"/>
        <v>0.12883720029326512</v>
      </c>
      <c r="W108" s="328">
        <f t="shared" si="41"/>
        <v>0.86790255005709316</v>
      </c>
      <c r="X108" s="328">
        <f t="shared" si="42"/>
        <v>0.87116279970673483</v>
      </c>
      <c r="Y108" s="328">
        <f t="shared" si="43"/>
        <v>3.2549408067042984E-3</v>
      </c>
      <c r="Z108" s="334"/>
      <c r="AA108" s="571">
        <f t="shared" si="44"/>
        <v>0.18363989263512714</v>
      </c>
      <c r="AB108" s="327">
        <f t="shared" si="63"/>
        <v>0.81341222177095973</v>
      </c>
      <c r="AC108" s="327">
        <f t="shared" si="45"/>
        <v>0.81636010736487286</v>
      </c>
      <c r="AD108" s="327">
        <f t="shared" si="46"/>
        <v>2.9435448455664703E-3</v>
      </c>
      <c r="AE108" s="383"/>
      <c r="AF108" s="574">
        <f t="shared" si="35"/>
        <v>0.1990590871076694</v>
      </c>
      <c r="AG108" s="376">
        <f t="shared" si="61"/>
        <v>0.79869494258055829</v>
      </c>
      <c r="AH108" s="376">
        <f t="shared" si="47"/>
        <v>0.8009409128923306</v>
      </c>
      <c r="AI108" s="553">
        <f t="shared" si="48"/>
        <v>2.2434500076474739E-3</v>
      </c>
      <c r="AJ108" s="374"/>
      <c r="AK108" s="577">
        <f t="shared" si="36"/>
        <v>0.19026253283345501</v>
      </c>
      <c r="AL108" s="376">
        <f t="shared" si="49"/>
        <v>0.80771325940379624</v>
      </c>
      <c r="AM108" s="376">
        <f t="shared" si="50"/>
        <v>0.80973746716654493</v>
      </c>
      <c r="AN108" s="553">
        <f t="shared" si="51"/>
        <v>2.0221604358533485E-3</v>
      </c>
      <c r="AO108" s="554"/>
      <c r="AP108" s="580">
        <f t="shared" si="37"/>
        <v>0.16777680976407872</v>
      </c>
      <c r="AQ108" s="376">
        <f t="shared" si="52"/>
        <v>0.82900598843339401</v>
      </c>
      <c r="AR108" s="379">
        <f t="shared" si="53"/>
        <v>0.83222319023592128</v>
      </c>
      <c r="AS108" s="376">
        <f t="shared" si="54"/>
        <v>3.2120321542281616E-3</v>
      </c>
      <c r="AT108" s="384"/>
      <c r="AU108" s="583">
        <f t="shared" si="38"/>
        <v>0.29591205734240161</v>
      </c>
      <c r="AV108" s="381">
        <f t="shared" si="64"/>
        <v>1.2158081287290787</v>
      </c>
      <c r="AW108" s="376">
        <f t="shared" si="39"/>
        <v>1.2176929723750545</v>
      </c>
      <c r="AX108" s="503">
        <f t="shared" si="62"/>
        <v>1.8830684436922374E-3</v>
      </c>
      <c r="AY108" s="376">
        <f t="shared" si="40"/>
        <v>1.8978873156390454</v>
      </c>
      <c r="AZ108" s="381">
        <f t="shared" si="55"/>
        <v>1.0609000198718323E-2</v>
      </c>
      <c r="BA108" s="586">
        <f t="shared" si="56"/>
        <v>0.26735815336641716</v>
      </c>
      <c r="BB108" s="376">
        <f t="shared" si="57"/>
        <v>0.73120402294189346</v>
      </c>
      <c r="BC108" s="376">
        <f t="shared" si="58"/>
        <v>0.73264184663358289</v>
      </c>
      <c r="BD108" s="376">
        <f t="shared" si="59"/>
        <v>1.4367905184382579E-3</v>
      </c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  <c r="CK108" s="283"/>
      <c r="CL108" s="283"/>
    </row>
    <row r="109" spans="1:90" ht="14.25" customHeight="1" x14ac:dyDescent="0.2">
      <c r="A109" s="3"/>
      <c r="B109" s="252"/>
      <c r="C109" s="3"/>
      <c r="D109" s="3"/>
      <c r="E109" s="3"/>
      <c r="F109" s="3"/>
      <c r="G109" s="252"/>
      <c r="H109" s="3"/>
      <c r="I109" s="3"/>
      <c r="J109" s="3"/>
      <c r="K109" s="3"/>
      <c r="L109" s="252"/>
      <c r="M109" s="3"/>
      <c r="N109" s="3"/>
      <c r="O109" s="3"/>
      <c r="P109" s="3"/>
      <c r="Q109" s="3"/>
      <c r="R109" s="3"/>
      <c r="S109" s="334"/>
      <c r="T109" s="373">
        <f t="shared" si="65"/>
        <v>83</v>
      </c>
      <c r="U109" s="334"/>
      <c r="V109" s="568">
        <f t="shared" si="60"/>
        <v>0.12565741569258981</v>
      </c>
      <c r="W109" s="328">
        <f t="shared" si="41"/>
        <v>0.87116279970673483</v>
      </c>
      <c r="X109" s="328">
        <f t="shared" si="42"/>
        <v>0.87434258430741019</v>
      </c>
      <c r="Y109" s="328">
        <f t="shared" si="43"/>
        <v>3.1747344398479482E-3</v>
      </c>
      <c r="Z109" s="334"/>
      <c r="AA109" s="571">
        <f t="shared" si="44"/>
        <v>0.18074666273040219</v>
      </c>
      <c r="AB109" s="327">
        <f t="shared" si="63"/>
        <v>0.81636010736487286</v>
      </c>
      <c r="AC109" s="327">
        <f t="shared" si="45"/>
        <v>0.81925333726959781</v>
      </c>
      <c r="AD109" s="327">
        <f t="shared" si="46"/>
        <v>2.889048548597728E-3</v>
      </c>
      <c r="AE109" s="383"/>
      <c r="AF109" s="574">
        <f t="shared" si="35"/>
        <v>0.19685523188219767</v>
      </c>
      <c r="AG109" s="376">
        <f t="shared" si="61"/>
        <v>0.8009409128923306</v>
      </c>
      <c r="AH109" s="376">
        <f t="shared" si="47"/>
        <v>0.80314476811780233</v>
      </c>
      <c r="AI109" s="553">
        <f t="shared" si="48"/>
        <v>2.2014285195744998E-3</v>
      </c>
      <c r="AJ109" s="374"/>
      <c r="AK109" s="577">
        <f t="shared" si="36"/>
        <v>0.18827890809398312</v>
      </c>
      <c r="AL109" s="376">
        <f t="shared" si="49"/>
        <v>0.80973746716654493</v>
      </c>
      <c r="AM109" s="376">
        <f t="shared" si="50"/>
        <v>0.81172109190601693</v>
      </c>
      <c r="AN109" s="553">
        <f t="shared" si="51"/>
        <v>1.9816586561238747E-3</v>
      </c>
      <c r="AO109" s="554"/>
      <c r="AP109" s="580">
        <f t="shared" si="37"/>
        <v>0.16462320110519091</v>
      </c>
      <c r="AQ109" s="376">
        <f t="shared" si="52"/>
        <v>0.83222319023592128</v>
      </c>
      <c r="AR109" s="379">
        <f t="shared" si="53"/>
        <v>0.83537679889480909</v>
      </c>
      <c r="AS109" s="376">
        <f t="shared" si="54"/>
        <v>3.1486412582190093E-3</v>
      </c>
      <c r="AT109" s="384"/>
      <c r="AU109" s="583">
        <f t="shared" si="38"/>
        <v>0.29537693593778713</v>
      </c>
      <c r="AV109" s="381">
        <f t="shared" si="64"/>
        <v>1.2176929723750545</v>
      </c>
      <c r="AW109" s="376">
        <f t="shared" si="39"/>
        <v>1.2195029893271416</v>
      </c>
      <c r="AX109" s="503">
        <f t="shared" si="62"/>
        <v>1.8083798592746225E-3</v>
      </c>
      <c r="AY109" s="376">
        <f t="shared" si="40"/>
        <v>1.9074215623125808</v>
      </c>
      <c r="AZ109" s="381">
        <f t="shared" si="55"/>
        <v>1.0429994135267245E-2</v>
      </c>
      <c r="BA109" s="586">
        <f t="shared" si="56"/>
        <v>0.26594511521209618</v>
      </c>
      <c r="BB109" s="376">
        <f t="shared" si="57"/>
        <v>0.73264184663358289</v>
      </c>
      <c r="BC109" s="376">
        <f t="shared" si="58"/>
        <v>0.73405488478790382</v>
      </c>
      <c r="BD109" s="376">
        <f t="shared" si="59"/>
        <v>1.4120402859721937E-3</v>
      </c>
      <c r="BE109" s="283"/>
      <c r="BF109" s="283"/>
      <c r="BG109" s="283"/>
      <c r="BH109" s="283"/>
      <c r="BI109" s="283"/>
      <c r="BJ109" s="283"/>
      <c r="BK109" s="283"/>
      <c r="BL109" s="283"/>
      <c r="BM109" s="283"/>
      <c r="BN109" s="283"/>
      <c r="BO109" s="283"/>
      <c r="BP109" s="283"/>
      <c r="BQ109" s="283"/>
      <c r="BR109" s="283"/>
      <c r="BS109" s="283"/>
      <c r="BT109" s="283"/>
      <c r="BU109" s="283"/>
      <c r="BV109" s="283"/>
      <c r="BW109" s="283"/>
      <c r="BX109" s="283"/>
      <c r="BY109" s="283"/>
      <c r="BZ109" s="283"/>
      <c r="CA109" s="283"/>
      <c r="CB109" s="283"/>
      <c r="CC109" s="283"/>
      <c r="CD109" s="283"/>
      <c r="CE109" s="283"/>
      <c r="CF109" s="283"/>
      <c r="CG109" s="283"/>
      <c r="CH109" s="283"/>
      <c r="CI109" s="283"/>
      <c r="CJ109" s="283"/>
      <c r="CK109" s="283"/>
      <c r="CL109" s="283"/>
    </row>
    <row r="110" spans="1:90" ht="14.25" customHeight="1" x14ac:dyDescent="0.2">
      <c r="A110" s="3"/>
      <c r="B110" s="252"/>
      <c r="C110" s="3"/>
      <c r="D110" s="3"/>
      <c r="E110" s="3"/>
      <c r="F110" s="3"/>
      <c r="G110" s="252"/>
      <c r="H110" s="3"/>
      <c r="I110" s="3"/>
      <c r="J110" s="3"/>
      <c r="K110" s="3"/>
      <c r="L110" s="252"/>
      <c r="M110" s="3"/>
      <c r="N110" s="3"/>
      <c r="O110" s="3"/>
      <c r="P110" s="3"/>
      <c r="Q110" s="3"/>
      <c r="R110" s="3"/>
      <c r="S110" s="334"/>
      <c r="T110" s="373">
        <f t="shared" si="65"/>
        <v>84</v>
      </c>
      <c r="U110" s="334"/>
      <c r="V110" s="568">
        <f t="shared" si="60"/>
        <v>0.12255611021194876</v>
      </c>
      <c r="W110" s="328">
        <f t="shared" si="41"/>
        <v>0.87434258430741019</v>
      </c>
      <c r="X110" s="328">
        <f t="shared" si="42"/>
        <v>0.87744388978805121</v>
      </c>
      <c r="Y110" s="328">
        <f t="shared" si="43"/>
        <v>3.0965014003889735E-3</v>
      </c>
      <c r="Z110" s="334"/>
      <c r="AA110" s="571">
        <f t="shared" si="44"/>
        <v>0.17790685290745578</v>
      </c>
      <c r="AB110" s="327">
        <f t="shared" si="63"/>
        <v>0.81925333726959781</v>
      </c>
      <c r="AC110" s="327">
        <f t="shared" si="45"/>
        <v>0.82209314709254422</v>
      </c>
      <c r="AD110" s="327">
        <f t="shared" si="46"/>
        <v>2.8357813772732499E-3</v>
      </c>
      <c r="AE110" s="383"/>
      <c r="AF110" s="574">
        <f t="shared" si="35"/>
        <v>0.19469234363723631</v>
      </c>
      <c r="AG110" s="376">
        <f t="shared" si="61"/>
        <v>0.80314476811780233</v>
      </c>
      <c r="AH110" s="376">
        <f t="shared" si="47"/>
        <v>0.80530765636276369</v>
      </c>
      <c r="AI110" s="553">
        <f t="shared" si="48"/>
        <v>2.1605508876325619E-3</v>
      </c>
      <c r="AJ110" s="374"/>
      <c r="AK110" s="577">
        <f t="shared" si="36"/>
        <v>0.18633467745530977</v>
      </c>
      <c r="AL110" s="376">
        <f t="shared" si="49"/>
        <v>0.81172109190601693</v>
      </c>
      <c r="AM110" s="376">
        <f t="shared" si="50"/>
        <v>0.81366532254469026</v>
      </c>
      <c r="AN110" s="553">
        <f t="shared" si="51"/>
        <v>1.9423418465659426E-3</v>
      </c>
      <c r="AO110" s="554"/>
      <c r="AP110" s="580">
        <f t="shared" si="37"/>
        <v>0.16153181616590628</v>
      </c>
      <c r="AQ110" s="376">
        <f t="shared" si="52"/>
        <v>0.83537679889480909</v>
      </c>
      <c r="AR110" s="379">
        <f t="shared" si="53"/>
        <v>0.83846818383409372</v>
      </c>
      <c r="AS110" s="376">
        <f t="shared" si="54"/>
        <v>3.0866115289464036E-3</v>
      </c>
      <c r="AT110" s="384"/>
      <c r="AU110" s="583">
        <f t="shared" si="38"/>
        <v>0.29486396926067787</v>
      </c>
      <c r="AV110" s="381">
        <f t="shared" si="64"/>
        <v>1.2195029893271416</v>
      </c>
      <c r="AW110" s="376">
        <f t="shared" si="39"/>
        <v>1.2212411501416138</v>
      </c>
      <c r="AX110" s="503">
        <f t="shared" si="62"/>
        <v>1.7366510878062957E-3</v>
      </c>
      <c r="AY110" s="376">
        <f t="shared" si="40"/>
        <v>1.9168416236451413</v>
      </c>
      <c r="AZ110" s="381">
        <f t="shared" si="55"/>
        <v>1.0256098442395205E-2</v>
      </c>
      <c r="BA110" s="586">
        <f t="shared" si="56"/>
        <v>0.26455614855921111</v>
      </c>
      <c r="BB110" s="376">
        <f t="shared" si="57"/>
        <v>0.73405488478790382</v>
      </c>
      <c r="BC110" s="376">
        <f t="shared" si="58"/>
        <v>0.73544385144078883</v>
      </c>
      <c r="BD110" s="376">
        <f t="shared" si="59"/>
        <v>1.3880024851542494E-3</v>
      </c>
      <c r="BE110" s="283"/>
      <c r="BF110" s="283"/>
      <c r="BG110" s="283"/>
      <c r="BH110" s="283"/>
      <c r="BI110" s="283"/>
      <c r="BJ110" s="283"/>
      <c r="BK110" s="283"/>
      <c r="BL110" s="283"/>
      <c r="BM110" s="283"/>
      <c r="BN110" s="283"/>
      <c r="BO110" s="283"/>
      <c r="BP110" s="283"/>
      <c r="BQ110" s="283"/>
      <c r="BR110" s="283"/>
      <c r="BS110" s="283"/>
      <c r="BT110" s="283"/>
      <c r="BU110" s="283"/>
      <c r="BV110" s="283"/>
      <c r="BW110" s="283"/>
      <c r="BX110" s="283"/>
      <c r="BY110" s="283"/>
      <c r="BZ110" s="283"/>
      <c r="CA110" s="283"/>
      <c r="CB110" s="283"/>
      <c r="CC110" s="283"/>
      <c r="CD110" s="283"/>
      <c r="CE110" s="283"/>
      <c r="CF110" s="283"/>
      <c r="CG110" s="283"/>
      <c r="CH110" s="283"/>
      <c r="CI110" s="283"/>
      <c r="CJ110" s="283"/>
      <c r="CK110" s="283"/>
      <c r="CL110" s="283"/>
    </row>
    <row r="111" spans="1:90" ht="14.25" customHeight="1" x14ac:dyDescent="0.2">
      <c r="A111" s="3"/>
      <c r="B111" s="252"/>
      <c r="C111" s="3"/>
      <c r="D111" s="3"/>
      <c r="E111" s="3"/>
      <c r="F111" s="3"/>
      <c r="G111" s="252"/>
      <c r="H111" s="3"/>
      <c r="I111" s="3"/>
      <c r="J111" s="3"/>
      <c r="K111" s="3"/>
      <c r="L111" s="252"/>
      <c r="M111" s="3"/>
      <c r="N111" s="3"/>
      <c r="O111" s="3"/>
      <c r="P111" s="3"/>
      <c r="Q111" s="3"/>
      <c r="R111" s="3"/>
      <c r="S111" s="334"/>
      <c r="T111" s="373">
        <f t="shared" si="65"/>
        <v>85</v>
      </c>
      <c r="U111" s="334"/>
      <c r="V111" s="568">
        <f t="shared" si="60"/>
        <v>0.11953134693640752</v>
      </c>
      <c r="W111" s="328">
        <f t="shared" si="41"/>
        <v>0.87744388978805121</v>
      </c>
      <c r="X111" s="328">
        <f t="shared" si="42"/>
        <v>0.88046865306359245</v>
      </c>
      <c r="Y111" s="328">
        <f t="shared" si="43"/>
        <v>3.0201932879760918E-3</v>
      </c>
      <c r="Z111" s="334"/>
      <c r="AA111" s="571">
        <f t="shared" si="44"/>
        <v>0.17511926272826581</v>
      </c>
      <c r="AB111" s="327">
        <f t="shared" si="63"/>
        <v>0.82209314709254422</v>
      </c>
      <c r="AC111" s="327">
        <f t="shared" si="45"/>
        <v>0.82488073727173417</v>
      </c>
      <c r="AD111" s="327">
        <f t="shared" si="46"/>
        <v>2.7837084574072746E-3</v>
      </c>
      <c r="AE111" s="383"/>
      <c r="AF111" s="574">
        <f t="shared" si="35"/>
        <v>0.19256931587163051</v>
      </c>
      <c r="AG111" s="376">
        <f t="shared" si="61"/>
        <v>0.80530765636276369</v>
      </c>
      <c r="AH111" s="376">
        <f t="shared" si="47"/>
        <v>0.80743068412836949</v>
      </c>
      <c r="AI111" s="553">
        <f t="shared" si="48"/>
        <v>2.1207757361479951E-3</v>
      </c>
      <c r="AJ111" s="374"/>
      <c r="AK111" s="577">
        <f t="shared" si="36"/>
        <v>0.18442869752047297</v>
      </c>
      <c r="AL111" s="376">
        <f t="shared" si="49"/>
        <v>0.81366532254469026</v>
      </c>
      <c r="AM111" s="376">
        <f t="shared" si="50"/>
        <v>0.81557130247952703</v>
      </c>
      <c r="AN111" s="553">
        <f t="shared" si="51"/>
        <v>1.904164708525613E-3</v>
      </c>
      <c r="AO111" s="554"/>
      <c r="AP111" s="580">
        <f t="shared" si="37"/>
        <v>0.15850131964658176</v>
      </c>
      <c r="AQ111" s="376">
        <f t="shared" si="52"/>
        <v>0.83846818383409372</v>
      </c>
      <c r="AR111" s="379">
        <f t="shared" si="53"/>
        <v>0.84149868035341824</v>
      </c>
      <c r="AS111" s="376">
        <f t="shared" si="54"/>
        <v>3.0259091998695586E-3</v>
      </c>
      <c r="AT111" s="384"/>
      <c r="AU111" s="583">
        <f t="shared" si="38"/>
        <v>0.29437220544229203</v>
      </c>
      <c r="AV111" s="381">
        <f t="shared" si="64"/>
        <v>1.2212411501416138</v>
      </c>
      <c r="AW111" s="376">
        <f t="shared" si="39"/>
        <v>1.2229103074461816</v>
      </c>
      <c r="AX111" s="503">
        <f t="shared" si="62"/>
        <v>1.6677650362600938E-3</v>
      </c>
      <c r="AY111" s="376">
        <f t="shared" si="40"/>
        <v>1.9261502023441208</v>
      </c>
      <c r="AZ111" s="381">
        <f t="shared" si="55"/>
        <v>1.0087108960944762E-2</v>
      </c>
      <c r="BA111" s="586">
        <f t="shared" si="56"/>
        <v>0.26319056799089507</v>
      </c>
      <c r="BB111" s="376">
        <f t="shared" si="57"/>
        <v>0.73544385144078883</v>
      </c>
      <c r="BC111" s="376">
        <f t="shared" si="58"/>
        <v>0.73680943200910498</v>
      </c>
      <c r="BD111" s="376">
        <f t="shared" si="59"/>
        <v>1.3646485874517778E-3</v>
      </c>
      <c r="BE111" s="283"/>
      <c r="BF111" s="283"/>
      <c r="BG111" s="283"/>
      <c r="BH111" s="283"/>
      <c r="BI111" s="283"/>
      <c r="BJ111" s="283"/>
      <c r="BK111" s="283"/>
      <c r="BL111" s="283"/>
      <c r="BM111" s="283"/>
      <c r="BN111" s="283"/>
      <c r="BO111" s="283"/>
      <c r="BP111" s="283"/>
      <c r="BQ111" s="283"/>
      <c r="BR111" s="283"/>
      <c r="BS111" s="283"/>
      <c r="BT111" s="283"/>
      <c r="BU111" s="283"/>
      <c r="BV111" s="283"/>
      <c r="BW111" s="283"/>
      <c r="BX111" s="283"/>
      <c r="BY111" s="283"/>
      <c r="BZ111" s="283"/>
      <c r="CA111" s="283"/>
      <c r="CB111" s="283"/>
      <c r="CC111" s="283"/>
      <c r="CD111" s="283"/>
      <c r="CE111" s="283"/>
      <c r="CF111" s="283"/>
      <c r="CG111" s="283"/>
      <c r="CH111" s="283"/>
      <c r="CI111" s="283"/>
      <c r="CJ111" s="283"/>
      <c r="CK111" s="283"/>
      <c r="CL111" s="283"/>
    </row>
    <row r="112" spans="1:90" ht="14.25" customHeight="1" x14ac:dyDescent="0.2">
      <c r="A112" s="3"/>
      <c r="B112" s="252"/>
      <c r="C112" s="3"/>
      <c r="D112" s="3"/>
      <c r="E112" s="3"/>
      <c r="F112" s="3"/>
      <c r="G112" s="252"/>
      <c r="H112" s="3"/>
      <c r="I112" s="3"/>
      <c r="J112" s="3"/>
      <c r="K112" s="3"/>
      <c r="L112" s="252"/>
      <c r="M112" s="3"/>
      <c r="N112" s="3"/>
      <c r="O112" s="3"/>
      <c r="P112" s="3"/>
      <c r="Q112" s="3"/>
      <c r="R112" s="3"/>
      <c r="S112" s="334"/>
      <c r="T112" s="373">
        <f t="shared" si="65"/>
        <v>86</v>
      </c>
      <c r="U112" s="334"/>
      <c r="V112" s="568">
        <f t="shared" si="60"/>
        <v>0.11658123675533248</v>
      </c>
      <c r="W112" s="328">
        <f t="shared" si="41"/>
        <v>0.88046865306359245</v>
      </c>
      <c r="X112" s="328">
        <f t="shared" si="42"/>
        <v>0.8834187632446675</v>
      </c>
      <c r="Y112" s="328">
        <f t="shared" si="43"/>
        <v>2.9457628820892534E-3</v>
      </c>
      <c r="Z112" s="334"/>
      <c r="AA112" s="571">
        <f t="shared" si="44"/>
        <v>0.17238272564774862</v>
      </c>
      <c r="AB112" s="327">
        <f t="shared" si="63"/>
        <v>0.82488073727173417</v>
      </c>
      <c r="AC112" s="327">
        <f t="shared" si="45"/>
        <v>0.82761727435225141</v>
      </c>
      <c r="AD112" s="327">
        <f t="shared" si="46"/>
        <v>2.7327961760733599E-3</v>
      </c>
      <c r="AE112" s="383"/>
      <c r="AF112" s="574">
        <f t="shared" si="35"/>
        <v>0.19048508179883483</v>
      </c>
      <c r="AG112" s="376">
        <f t="shared" si="61"/>
        <v>0.80743068412836949</v>
      </c>
      <c r="AH112" s="376">
        <f t="shared" si="47"/>
        <v>0.80951491820116517</v>
      </c>
      <c r="AI112" s="553">
        <f t="shared" si="48"/>
        <v>2.082063565171044E-3</v>
      </c>
      <c r="AJ112" s="374"/>
      <c r="AK112" s="577">
        <f t="shared" si="36"/>
        <v>0.18255986827620518</v>
      </c>
      <c r="AL112" s="376">
        <f t="shared" si="49"/>
        <v>0.81557130247952703</v>
      </c>
      <c r="AM112" s="376">
        <f t="shared" si="50"/>
        <v>0.81744013172379482</v>
      </c>
      <c r="AN112" s="553">
        <f t="shared" si="51"/>
        <v>1.8670840702090796E-3</v>
      </c>
      <c r="AO112" s="554"/>
      <c r="AP112" s="580">
        <f t="shared" si="37"/>
        <v>0.15553040930932993</v>
      </c>
      <c r="AQ112" s="376">
        <f t="shared" si="52"/>
        <v>0.84149868035341824</v>
      </c>
      <c r="AR112" s="379">
        <f t="shared" si="53"/>
        <v>0.84446959069067007</v>
      </c>
      <c r="AS112" s="376">
        <f t="shared" si="54"/>
        <v>2.9665015502534642E-3</v>
      </c>
      <c r="AT112" s="384"/>
      <c r="AU112" s="583">
        <f t="shared" si="38"/>
        <v>0.29390073620149826</v>
      </c>
      <c r="AV112" s="381">
        <f t="shared" si="64"/>
        <v>1.2229103074461816</v>
      </c>
      <c r="AW112" s="376">
        <f t="shared" si="39"/>
        <v>1.2245132006216539</v>
      </c>
      <c r="AX112" s="503">
        <f t="shared" si="62"/>
        <v>1.6016092283079875E-3</v>
      </c>
      <c r="AY112" s="376">
        <f t="shared" si="40"/>
        <v>1.9353499062806696</v>
      </c>
      <c r="AZ112" s="381">
        <f t="shared" si="55"/>
        <v>9.9228319615824543E-3</v>
      </c>
      <c r="BA112" s="586">
        <f t="shared" si="56"/>
        <v>0.261847715247778</v>
      </c>
      <c r="BB112" s="376">
        <f t="shared" si="57"/>
        <v>0.73680943200910498</v>
      </c>
      <c r="BC112" s="376">
        <f t="shared" si="58"/>
        <v>0.73815228475222194</v>
      </c>
      <c r="BD112" s="376">
        <f t="shared" si="59"/>
        <v>1.3419515198206389E-3</v>
      </c>
      <c r="BE112" s="283"/>
      <c r="BF112" s="283"/>
      <c r="BG112" s="283"/>
      <c r="BH112" s="283"/>
      <c r="BI112" s="283"/>
      <c r="BJ112" s="283"/>
      <c r="BK112" s="283"/>
      <c r="BL112" s="283"/>
      <c r="BM112" s="283"/>
      <c r="BN112" s="283"/>
      <c r="BO112" s="283"/>
      <c r="BP112" s="283"/>
      <c r="BQ112" s="283"/>
      <c r="BR112" s="283"/>
      <c r="BS112" s="283"/>
      <c r="BT112" s="283"/>
      <c r="BU112" s="283"/>
      <c r="BV112" s="283"/>
      <c r="BW112" s="283"/>
      <c r="BX112" s="283"/>
      <c r="BY112" s="283"/>
      <c r="BZ112" s="283"/>
      <c r="CA112" s="283"/>
      <c r="CB112" s="283"/>
      <c r="CC112" s="283"/>
      <c r="CD112" s="283"/>
      <c r="CE112" s="283"/>
      <c r="CF112" s="283"/>
      <c r="CG112" s="283"/>
      <c r="CH112" s="283"/>
      <c r="CI112" s="283"/>
      <c r="CJ112" s="283"/>
      <c r="CK112" s="283"/>
      <c r="CL112" s="283"/>
    </row>
    <row r="113" spans="1:90" ht="14.25" customHeight="1" x14ac:dyDescent="0.2">
      <c r="A113" s="3"/>
      <c r="B113" s="252"/>
      <c r="C113" s="3"/>
      <c r="D113" s="3"/>
      <c r="E113" s="3"/>
      <c r="F113" s="3"/>
      <c r="G113" s="252"/>
      <c r="H113" s="3"/>
      <c r="I113" s="3"/>
      <c r="J113" s="3"/>
      <c r="K113" s="3"/>
      <c r="L113" s="252"/>
      <c r="M113" s="3"/>
      <c r="N113" s="3"/>
      <c r="O113" s="3"/>
      <c r="P113" s="3"/>
      <c r="Q113" s="3"/>
      <c r="R113" s="3"/>
      <c r="S113" s="334"/>
      <c r="T113" s="373">
        <f t="shared" si="65"/>
        <v>87</v>
      </c>
      <c r="U113" s="334"/>
      <c r="V113" s="568">
        <f t="shared" si="60"/>
        <v>0.11370393718255012</v>
      </c>
      <c r="W113" s="328">
        <f t="shared" si="41"/>
        <v>0.8834187632446675</v>
      </c>
      <c r="X113" s="328">
        <f t="shared" si="42"/>
        <v>0.88629606281744988</v>
      </c>
      <c r="Y113" s="328">
        <f t="shared" si="43"/>
        <v>2.8731641136356956E-3</v>
      </c>
      <c r="Z113" s="334"/>
      <c r="AA113" s="571">
        <f t="shared" si="44"/>
        <v>0.16969610779572741</v>
      </c>
      <c r="AB113" s="327">
        <f t="shared" si="63"/>
        <v>0.82761727435225141</v>
      </c>
      <c r="AC113" s="327">
        <f t="shared" si="45"/>
        <v>0.83030389220427259</v>
      </c>
      <c r="AD113" s="327">
        <f t="shared" si="46"/>
        <v>2.6830121240736249E-3</v>
      </c>
      <c r="AE113" s="383"/>
      <c r="AF113" s="574">
        <f t="shared" si="35"/>
        <v>0.1884386125602473</v>
      </c>
      <c r="AG113" s="376">
        <f t="shared" si="61"/>
        <v>0.80951491820116517</v>
      </c>
      <c r="AH113" s="376">
        <f t="shared" si="47"/>
        <v>0.8115613874397527</v>
      </c>
      <c r="AI113" s="553">
        <f t="shared" si="48"/>
        <v>2.0443766481327286E-3</v>
      </c>
      <c r="AJ113" s="374"/>
      <c r="AK113" s="577">
        <f t="shared" si="36"/>
        <v>0.18072713107012797</v>
      </c>
      <c r="AL113" s="376">
        <f t="shared" si="49"/>
        <v>0.81744013172379482</v>
      </c>
      <c r="AM113" s="376">
        <f t="shared" si="50"/>
        <v>0.81927286892987206</v>
      </c>
      <c r="AN113" s="553">
        <f t="shared" si="51"/>
        <v>1.8310587687787594E-3</v>
      </c>
      <c r="AO113" s="554"/>
      <c r="AP113" s="580">
        <f t="shared" si="37"/>
        <v>0.15261781495897364</v>
      </c>
      <c r="AQ113" s="376">
        <f t="shared" si="52"/>
        <v>0.84446959069067007</v>
      </c>
      <c r="AR113" s="379">
        <f t="shared" si="53"/>
        <v>0.84738218504102636</v>
      </c>
      <c r="AS113" s="376">
        <f t="shared" si="54"/>
        <v>2.9083568624574951E-3</v>
      </c>
      <c r="AT113" s="384"/>
      <c r="AU113" s="583">
        <f t="shared" si="38"/>
        <v>0.29344869464341317</v>
      </c>
      <c r="AV113" s="381">
        <f t="shared" si="64"/>
        <v>1.2245132006216539</v>
      </c>
      <c r="AW113" s="376">
        <f t="shared" si="39"/>
        <v>1.2260524602977463</v>
      </c>
      <c r="AX113" s="503">
        <f t="shared" si="62"/>
        <v>1.5380756235164883E-3</v>
      </c>
      <c r="AY113" s="376">
        <f t="shared" si="40"/>
        <v>1.944443252875441</v>
      </c>
      <c r="AZ113" s="381">
        <f t="shared" si="55"/>
        <v>9.7630834984836004E-3</v>
      </c>
      <c r="BA113" s="586">
        <f t="shared" si="56"/>
        <v>0.26052695785672192</v>
      </c>
      <c r="BB113" s="376">
        <f t="shared" si="57"/>
        <v>0.73815228475222194</v>
      </c>
      <c r="BC113" s="376">
        <f t="shared" si="58"/>
        <v>0.73947304214327803</v>
      </c>
      <c r="BD113" s="376">
        <f t="shared" si="59"/>
        <v>1.319885574874502E-3</v>
      </c>
      <c r="BE113" s="283"/>
      <c r="BF113" s="283"/>
      <c r="BG113" s="283"/>
      <c r="BH113" s="283"/>
      <c r="BI113" s="283"/>
      <c r="BJ113" s="283"/>
      <c r="BK113" s="283"/>
      <c r="BL113" s="283"/>
      <c r="BM113" s="283"/>
      <c r="BN113" s="283"/>
      <c r="BO113" s="283"/>
      <c r="BP113" s="283"/>
      <c r="BQ113" s="283"/>
      <c r="BR113" s="283"/>
      <c r="BS113" s="283"/>
      <c r="BT113" s="283"/>
      <c r="BU113" s="283"/>
      <c r="BV113" s="283"/>
      <c r="BW113" s="283"/>
      <c r="BX113" s="283"/>
      <c r="BY113" s="283"/>
      <c r="BZ113" s="283"/>
      <c r="CA113" s="283"/>
      <c r="CB113" s="283"/>
      <c r="CC113" s="283"/>
      <c r="CD113" s="283"/>
      <c r="CE113" s="283"/>
      <c r="CF113" s="283"/>
      <c r="CG113" s="283"/>
      <c r="CH113" s="283"/>
      <c r="CI113" s="283"/>
      <c r="CJ113" s="283"/>
      <c r="CK113" s="283"/>
      <c r="CL113" s="283"/>
    </row>
    <row r="114" spans="1:90" ht="14.25" customHeight="1" x14ac:dyDescent="0.2">
      <c r="A114" s="3"/>
      <c r="B114" s="252"/>
      <c r="C114" s="3"/>
      <c r="D114" s="3"/>
      <c r="E114" s="3"/>
      <c r="F114" s="3"/>
      <c r="G114" s="252"/>
      <c r="H114" s="3"/>
      <c r="I114" s="3"/>
      <c r="J114" s="3"/>
      <c r="K114" s="3"/>
      <c r="L114" s="252"/>
      <c r="M114" s="3"/>
      <c r="N114" s="3"/>
      <c r="O114" s="3"/>
      <c r="P114" s="3"/>
      <c r="Q114" s="3"/>
      <c r="R114" s="3"/>
      <c r="S114" s="334"/>
      <c r="T114" s="373">
        <f t="shared" si="65"/>
        <v>88</v>
      </c>
      <c r="U114" s="334"/>
      <c r="V114" s="568">
        <f t="shared" si="60"/>
        <v>0.11089765120562546</v>
      </c>
      <c r="W114" s="328">
        <f t="shared" si="41"/>
        <v>0.88629606281744988</v>
      </c>
      <c r="X114" s="328">
        <f t="shared" si="42"/>
        <v>0.88910234879437455</v>
      </c>
      <c r="Y114" s="328">
        <f t="shared" si="43"/>
        <v>2.8023520372129074E-3</v>
      </c>
      <c r="Z114" s="334"/>
      <c r="AA114" s="571">
        <f t="shared" si="44"/>
        <v>0.1670583068140353</v>
      </c>
      <c r="AB114" s="327">
        <f t="shared" si="63"/>
        <v>0.83030389220427259</v>
      </c>
      <c r="AC114" s="327">
        <f t="shared" si="45"/>
        <v>0.83294169318596467</v>
      </c>
      <c r="AD114" s="327">
        <f t="shared" si="46"/>
        <v>2.6343250416336339E-3</v>
      </c>
      <c r="AE114" s="383"/>
      <c r="AF114" s="574">
        <f t="shared" si="35"/>
        <v>0.18642891553530039</v>
      </c>
      <c r="AG114" s="376">
        <f t="shared" si="61"/>
        <v>0.8115613874397527</v>
      </c>
      <c r="AH114" s="376">
        <f t="shared" si="47"/>
        <v>0.81357108446469961</v>
      </c>
      <c r="AI114" s="553">
        <f t="shared" si="48"/>
        <v>2.0076789360230496E-3</v>
      </c>
      <c r="AJ114" s="374"/>
      <c r="AK114" s="577">
        <f t="shared" si="36"/>
        <v>0.17892946669936288</v>
      </c>
      <c r="AL114" s="376">
        <f t="shared" si="49"/>
        <v>0.81927286892987206</v>
      </c>
      <c r="AM114" s="376">
        <f t="shared" si="50"/>
        <v>0.82107053330063717</v>
      </c>
      <c r="AN114" s="553">
        <f t="shared" si="51"/>
        <v>1.7960495399563792E-3</v>
      </c>
      <c r="AO114" s="554"/>
      <c r="AP114" s="580">
        <f t="shared" si="37"/>
        <v>0.14976229746524072</v>
      </c>
      <c r="AQ114" s="376">
        <f t="shared" si="52"/>
        <v>0.84738218504102636</v>
      </c>
      <c r="AR114" s="379">
        <f t="shared" si="53"/>
        <v>0.85023770253475928</v>
      </c>
      <c r="AS114" s="376">
        <f t="shared" si="54"/>
        <v>2.851444381524515E-3</v>
      </c>
      <c r="AT114" s="384"/>
      <c r="AU114" s="583">
        <f t="shared" si="38"/>
        <v>0.29301525318435284</v>
      </c>
      <c r="AV114" s="381">
        <f t="shared" si="64"/>
        <v>1.2260524602977463</v>
      </c>
      <c r="AW114" s="376">
        <f t="shared" si="39"/>
        <v>1.2275306126704058</v>
      </c>
      <c r="AX114" s="503">
        <f t="shared" si="62"/>
        <v>1.4770604435199175E-3</v>
      </c>
      <c r="AY114" s="376">
        <f t="shared" si="40"/>
        <v>1.9534326732336973</v>
      </c>
      <c r="AZ114" s="381">
        <f t="shared" si="55"/>
        <v>9.6076888099413116E-3</v>
      </c>
      <c r="BA114" s="586">
        <f t="shared" si="56"/>
        <v>0.25922768784334471</v>
      </c>
      <c r="BB114" s="376">
        <f t="shared" si="57"/>
        <v>0.73947304214327803</v>
      </c>
      <c r="BC114" s="376">
        <f t="shared" si="58"/>
        <v>0.74077231215665529</v>
      </c>
      <c r="BD114" s="376">
        <f t="shared" si="59"/>
        <v>1.2984263275248598E-3</v>
      </c>
      <c r="BE114" s="283"/>
      <c r="BF114" s="283"/>
      <c r="BG114" s="283"/>
      <c r="BH114" s="283"/>
      <c r="BI114" s="283"/>
      <c r="BJ114" s="283"/>
      <c r="BK114" s="283"/>
      <c r="BL114" s="283"/>
      <c r="BM114" s="283"/>
      <c r="BN114" s="283"/>
      <c r="BO114" s="283"/>
      <c r="BP114" s="283"/>
      <c r="BQ114" s="283"/>
      <c r="BR114" s="283"/>
      <c r="BS114" s="283"/>
      <c r="BT114" s="283"/>
      <c r="BU114" s="283"/>
      <c r="BV114" s="283"/>
      <c r="BW114" s="283"/>
      <c r="BX114" s="283"/>
      <c r="BY114" s="283"/>
      <c r="BZ114" s="283"/>
      <c r="CA114" s="283"/>
      <c r="CB114" s="283"/>
      <c r="CC114" s="283"/>
      <c r="CD114" s="283"/>
      <c r="CE114" s="283"/>
      <c r="CF114" s="283"/>
      <c r="CG114" s="283"/>
      <c r="CH114" s="283"/>
      <c r="CI114" s="283"/>
      <c r="CJ114" s="283"/>
      <c r="CK114" s="283"/>
      <c r="CL114" s="283"/>
    </row>
    <row r="115" spans="1:90" ht="14.25" customHeight="1" x14ac:dyDescent="0.2">
      <c r="A115" s="3"/>
      <c r="B115" s="252"/>
      <c r="C115" s="3"/>
      <c r="D115" s="3"/>
      <c r="E115" s="3"/>
      <c r="F115" s="3"/>
      <c r="G115" s="252"/>
      <c r="H115" s="3"/>
      <c r="I115" s="3"/>
      <c r="J115" s="3"/>
      <c r="K115" s="3"/>
      <c r="L115" s="252"/>
      <c r="M115" s="3"/>
      <c r="N115" s="3"/>
      <c r="O115" s="3"/>
      <c r="P115" s="3"/>
      <c r="Q115" s="3"/>
      <c r="R115" s="3"/>
      <c r="S115" s="334"/>
      <c r="T115" s="373">
        <f t="shared" si="65"/>
        <v>89</v>
      </c>
      <c r="U115" s="334"/>
      <c r="V115" s="568">
        <f t="shared" si="60"/>
        <v>0.10816062616354108</v>
      </c>
      <c r="W115" s="328">
        <f t="shared" si="41"/>
        <v>0.88910234879437455</v>
      </c>
      <c r="X115" s="328">
        <f t="shared" si="42"/>
        <v>0.89183937383645895</v>
      </c>
      <c r="Y115" s="328">
        <f t="shared" si="43"/>
        <v>2.7332828040222967E-3</v>
      </c>
      <c r="Z115" s="334"/>
      <c r="AA115" s="571">
        <f t="shared" si="44"/>
        <v>0.16446825074569116</v>
      </c>
      <c r="AB115" s="327">
        <f t="shared" si="63"/>
        <v>0.83294169318596467</v>
      </c>
      <c r="AC115" s="327">
        <f t="shared" si="45"/>
        <v>0.83553174925430884</v>
      </c>
      <c r="AD115" s="327">
        <f t="shared" si="46"/>
        <v>2.5867047671026544E-3</v>
      </c>
      <c r="AE115" s="383"/>
      <c r="AF115" s="574">
        <f t="shared" si="35"/>
        <v>0.18445503274217945</v>
      </c>
      <c r="AG115" s="376">
        <f t="shared" si="61"/>
        <v>0.81357108446469961</v>
      </c>
      <c r="AH115" s="376">
        <f t="shared" si="47"/>
        <v>0.81554496725782055</v>
      </c>
      <c r="AI115" s="553">
        <f t="shared" si="48"/>
        <v>1.9719359676262371E-3</v>
      </c>
      <c r="AJ115" s="374"/>
      <c r="AK115" s="577">
        <f t="shared" si="36"/>
        <v>0.17716589360350571</v>
      </c>
      <c r="AL115" s="376">
        <f t="shared" si="49"/>
        <v>0.82107053330063717</v>
      </c>
      <c r="AM115" s="376">
        <f t="shared" si="50"/>
        <v>0.82283410639649435</v>
      </c>
      <c r="AN115" s="553">
        <f t="shared" si="51"/>
        <v>1.762018914596597E-3</v>
      </c>
      <c r="AO115" s="554"/>
      <c r="AP115" s="580">
        <f t="shared" si="37"/>
        <v>0.14696264782404478</v>
      </c>
      <c r="AQ115" s="376">
        <f t="shared" si="52"/>
        <v>0.85023770253475928</v>
      </c>
      <c r="AR115" s="379">
        <f t="shared" si="53"/>
        <v>0.85303735217595522</v>
      </c>
      <c r="AS115" s="376">
        <f t="shared" si="54"/>
        <v>2.7957342768742954E-3</v>
      </c>
      <c r="AT115" s="384"/>
      <c r="AU115" s="583">
        <f t="shared" si="38"/>
        <v>0.29259962159481773</v>
      </c>
      <c r="AV115" s="381">
        <f t="shared" si="64"/>
        <v>1.2275306126704058</v>
      </c>
      <c r="AW115" s="376">
        <f t="shared" si="39"/>
        <v>1.2289500836477432</v>
      </c>
      <c r="AX115" s="503">
        <f t="shared" si="62"/>
        <v>1.4184640049220709E-3</v>
      </c>
      <c r="AY115" s="376">
        <f t="shared" si="40"/>
        <v>1.9623205160467845</v>
      </c>
      <c r="AZ115" s="381">
        <f t="shared" si="55"/>
        <v>9.4564817620048282E-3</v>
      </c>
      <c r="BA115" s="586">
        <f t="shared" si="56"/>
        <v>0.25794932052233754</v>
      </c>
      <c r="BB115" s="376">
        <f t="shared" si="57"/>
        <v>0.74077231215665529</v>
      </c>
      <c r="BC115" s="376">
        <f t="shared" si="58"/>
        <v>0.74205067947766246</v>
      </c>
      <c r="BD115" s="376">
        <f t="shared" si="59"/>
        <v>1.2775505575817192E-3</v>
      </c>
      <c r="BE115" s="283"/>
      <c r="BF115" s="283"/>
      <c r="BG115" s="283"/>
      <c r="BH115" s="283"/>
      <c r="BI115" s="283"/>
      <c r="BJ115" s="283"/>
      <c r="BK115" s="283"/>
      <c r="BL115" s="283"/>
      <c r="BM115" s="283"/>
      <c r="BN115" s="283"/>
      <c r="BO115" s="283"/>
      <c r="BP115" s="283"/>
      <c r="BQ115" s="283"/>
      <c r="BR115" s="283"/>
      <c r="BS115" s="283"/>
      <c r="BT115" s="283"/>
      <c r="BU115" s="283"/>
      <c r="BV115" s="283"/>
      <c r="BW115" s="283"/>
      <c r="BX115" s="283"/>
      <c r="BY115" s="283"/>
      <c r="BZ115" s="283"/>
      <c r="CA115" s="283"/>
      <c r="CB115" s="283"/>
      <c r="CC115" s="283"/>
      <c r="CD115" s="283"/>
      <c r="CE115" s="283"/>
      <c r="CF115" s="283"/>
      <c r="CG115" s="283"/>
      <c r="CH115" s="283"/>
      <c r="CI115" s="283"/>
      <c r="CJ115" s="283"/>
      <c r="CK115" s="283"/>
      <c r="CL115" s="283"/>
    </row>
    <row r="116" spans="1:90" ht="14.25" customHeight="1" x14ac:dyDescent="0.2">
      <c r="A116" s="3"/>
      <c r="B116" s="252"/>
      <c r="C116" s="3"/>
      <c r="D116" s="3"/>
      <c r="E116" s="3"/>
      <c r="F116" s="3"/>
      <c r="G116" s="252"/>
      <c r="H116" s="3"/>
      <c r="I116" s="3"/>
      <c r="J116" s="3"/>
      <c r="K116" s="3"/>
      <c r="L116" s="252"/>
      <c r="M116" s="3"/>
      <c r="N116" s="3"/>
      <c r="O116" s="3"/>
      <c r="P116" s="3"/>
      <c r="Q116" s="3"/>
      <c r="R116" s="3"/>
      <c r="S116" s="334"/>
      <c r="T116" s="373">
        <f t="shared" si="65"/>
        <v>90</v>
      </c>
      <c r="U116" s="334"/>
      <c r="V116" s="568">
        <f t="shared" si="60"/>
        <v>0.10549115265207569</v>
      </c>
      <c r="W116" s="328">
        <f t="shared" si="41"/>
        <v>0.89183937383645895</v>
      </c>
      <c r="X116" s="328">
        <f t="shared" si="42"/>
        <v>0.89450884734792435</v>
      </c>
      <c r="Y116" s="328">
        <f t="shared" si="43"/>
        <v>2.6659136354206803E-3</v>
      </c>
      <c r="Z116" s="334"/>
      <c r="AA116" s="571">
        <f t="shared" si="44"/>
        <v>0.16192489697328685</v>
      </c>
      <c r="AB116" s="327">
        <f t="shared" si="63"/>
        <v>0.83553174925430884</v>
      </c>
      <c r="AC116" s="327">
        <f t="shared" si="45"/>
        <v>0.83807510302671318</v>
      </c>
      <c r="AD116" s="327">
        <f t="shared" si="46"/>
        <v>2.5401221884662206E-3</v>
      </c>
      <c r="AE116" s="383"/>
      <c r="AF116" s="574">
        <f t="shared" si="35"/>
        <v>0.18251603932348937</v>
      </c>
      <c r="AG116" s="376">
        <f t="shared" si="61"/>
        <v>0.81554496725782055</v>
      </c>
      <c r="AH116" s="376">
        <f t="shared" si="47"/>
        <v>0.81748396067651063</v>
      </c>
      <c r="AI116" s="553">
        <f t="shared" si="48"/>
        <v>1.9371147853666226E-3</v>
      </c>
      <c r="AJ116" s="374"/>
      <c r="AK116" s="577">
        <f t="shared" si="36"/>
        <v>0.17543546615541308</v>
      </c>
      <c r="AL116" s="376">
        <f t="shared" si="49"/>
        <v>0.82283410639649435</v>
      </c>
      <c r="AM116" s="376">
        <f t="shared" si="50"/>
        <v>0.82456453384458694</v>
      </c>
      <c r="AN116" s="553">
        <f t="shared" si="51"/>
        <v>1.7289311217352221E-3</v>
      </c>
      <c r="AO116" s="554"/>
      <c r="AP116" s="580">
        <f t="shared" si="37"/>
        <v>0.14421768625579823</v>
      </c>
      <c r="AQ116" s="376">
        <f t="shared" si="52"/>
        <v>0.85303735217595522</v>
      </c>
      <c r="AR116" s="379">
        <f t="shared" si="53"/>
        <v>0.85578231374420177</v>
      </c>
      <c r="AS116" s="376">
        <f t="shared" si="54"/>
        <v>2.7411976060058851E-3</v>
      </c>
      <c r="AT116" s="384"/>
      <c r="AU116" s="583">
        <f t="shared" si="38"/>
        <v>0.29220104515281164</v>
      </c>
      <c r="AV116" s="381">
        <f t="shared" si="64"/>
        <v>1.2289500836477432</v>
      </c>
      <c r="AW116" s="376">
        <f t="shared" si="39"/>
        <v>1.2303132028313748</v>
      </c>
      <c r="AX116" s="503">
        <f t="shared" si="62"/>
        <v>1.3621905586673755E-3</v>
      </c>
      <c r="AY116" s="376">
        <f t="shared" si="40"/>
        <v>1.9711090512756331</v>
      </c>
      <c r="AZ116" s="381">
        <f t="shared" si="55"/>
        <v>9.3093043316154825E-3</v>
      </c>
      <c r="BA116" s="586">
        <f t="shared" si="56"/>
        <v>0.25669129336008278</v>
      </c>
      <c r="BB116" s="376">
        <f t="shared" si="57"/>
        <v>0.74205067947766246</v>
      </c>
      <c r="BC116" s="376">
        <f t="shared" si="58"/>
        <v>0.74330870663991722</v>
      </c>
      <c r="BD116" s="376">
        <f t="shared" si="59"/>
        <v>1.2572361778123708E-3</v>
      </c>
      <c r="BE116" s="283"/>
      <c r="BF116" s="283"/>
      <c r="BG116" s="283"/>
      <c r="BH116" s="283"/>
      <c r="BI116" s="283"/>
      <c r="BJ116" s="283"/>
      <c r="BK116" s="283"/>
      <c r="BL116" s="283"/>
      <c r="BM116" s="283"/>
      <c r="BN116" s="283"/>
      <c r="BO116" s="283"/>
      <c r="BP116" s="283"/>
      <c r="BQ116" s="283"/>
      <c r="BR116" s="283"/>
      <c r="BS116" s="283"/>
      <c r="BT116" s="283"/>
      <c r="BU116" s="283"/>
      <c r="BV116" s="283"/>
      <c r="BW116" s="283"/>
      <c r="BX116" s="283"/>
      <c r="BY116" s="283"/>
      <c r="BZ116" s="283"/>
      <c r="CA116" s="283"/>
      <c r="CB116" s="283"/>
      <c r="CC116" s="283"/>
      <c r="CD116" s="283"/>
      <c r="CE116" s="283"/>
      <c r="CF116" s="283"/>
      <c r="CG116" s="283"/>
      <c r="CH116" s="283"/>
      <c r="CI116" s="283"/>
      <c r="CJ116" s="283"/>
      <c r="CK116" s="283"/>
      <c r="CL116" s="283"/>
    </row>
    <row r="117" spans="1:90" ht="14.25" customHeight="1" x14ac:dyDescent="0.2">
      <c r="A117" s="3"/>
      <c r="B117" s="252"/>
      <c r="C117" s="3"/>
      <c r="D117" s="3"/>
      <c r="E117" s="3"/>
      <c r="F117" s="3"/>
      <c r="G117" s="252"/>
      <c r="H117" s="3"/>
      <c r="I117" s="3"/>
      <c r="J117" s="3"/>
      <c r="K117" s="3"/>
      <c r="L117" s="252"/>
      <c r="M117" s="3"/>
      <c r="N117" s="3"/>
      <c r="O117" s="3"/>
      <c r="P117" s="3"/>
      <c r="Q117" s="3"/>
      <c r="R117" s="3"/>
      <c r="S117" s="334"/>
      <c r="T117" s="373">
        <f t="shared" si="65"/>
        <v>91</v>
      </c>
      <c r="U117" s="334"/>
      <c r="V117" s="568">
        <f t="shared" si="60"/>
        <v>0.10288756345619891</v>
      </c>
      <c r="W117" s="328">
        <f t="shared" si="41"/>
        <v>0.89450884734792435</v>
      </c>
      <c r="X117" s="328">
        <f t="shared" si="42"/>
        <v>0.89711243654380113</v>
      </c>
      <c r="Y117" s="328">
        <f t="shared" si="43"/>
        <v>2.6002027970942754E-3</v>
      </c>
      <c r="Z117" s="334"/>
      <c r="AA117" s="571">
        <f t="shared" si="44"/>
        <v>0.15942723120391436</v>
      </c>
      <c r="AB117" s="327">
        <f t="shared" si="63"/>
        <v>0.83807510302671318</v>
      </c>
      <c r="AC117" s="327">
        <f t="shared" si="45"/>
        <v>0.84057276879608567</v>
      </c>
      <c r="AD117" s="327">
        <f t="shared" si="46"/>
        <v>2.4945491974830425E-3</v>
      </c>
      <c r="AE117" s="383"/>
      <c r="AF117" s="574">
        <f t="shared" si="35"/>
        <v>0.18061104211159507</v>
      </c>
      <c r="AG117" s="376">
        <f t="shared" si="61"/>
        <v>0.81748396067651063</v>
      </c>
      <c r="AH117" s="376">
        <f t="shared" si="47"/>
        <v>0.81938895788840493</v>
      </c>
      <c r="AI117" s="553">
        <f t="shared" si="48"/>
        <v>1.9031838563674519E-3</v>
      </c>
      <c r="AJ117" s="374"/>
      <c r="AK117" s="577">
        <f t="shared" si="36"/>
        <v>0.17373727304371364</v>
      </c>
      <c r="AL117" s="376">
        <f t="shared" si="49"/>
        <v>0.82456453384458694</v>
      </c>
      <c r="AM117" s="376">
        <f t="shared" si="50"/>
        <v>0.82626272695628633</v>
      </c>
      <c r="AN117" s="553">
        <f t="shared" si="51"/>
        <v>1.6967519976558432E-3</v>
      </c>
      <c r="AO117" s="554"/>
      <c r="AP117" s="580">
        <f t="shared" si="37"/>
        <v>0.14152626133887036</v>
      </c>
      <c r="AQ117" s="376">
        <f t="shared" si="52"/>
        <v>0.85578231374420177</v>
      </c>
      <c r="AR117" s="379">
        <f t="shared" si="53"/>
        <v>0.85847373866112964</v>
      </c>
      <c r="AS117" s="376">
        <f t="shared" si="54"/>
        <v>2.6878062800439473E-3</v>
      </c>
      <c r="AT117" s="384"/>
      <c r="AU117" s="583">
        <f t="shared" si="38"/>
        <v>0.29181880290036316</v>
      </c>
      <c r="AV117" s="381">
        <f t="shared" si="64"/>
        <v>1.2303132028313748</v>
      </c>
      <c r="AW117" s="376">
        <f t="shared" si="39"/>
        <v>1.2316222073397094</v>
      </c>
      <c r="AX117" s="503">
        <f t="shared" si="62"/>
        <v>1.3081481356391755E-3</v>
      </c>
      <c r="AY117" s="376">
        <f t="shared" si="40"/>
        <v>1.9798004736307335</v>
      </c>
      <c r="AZ117" s="381">
        <f t="shared" si="55"/>
        <v>9.1660061260340313E-3</v>
      </c>
      <c r="BA117" s="586">
        <f t="shared" si="56"/>
        <v>0.25545306490451514</v>
      </c>
      <c r="BB117" s="376">
        <f t="shared" si="57"/>
        <v>0.74330870663991722</v>
      </c>
      <c r="BC117" s="376">
        <f t="shared" si="58"/>
        <v>0.74454693509548486</v>
      </c>
      <c r="BD117" s="376">
        <f t="shared" si="59"/>
        <v>1.2374621670262487E-3</v>
      </c>
      <c r="BE117" s="283"/>
      <c r="BF117" s="283"/>
      <c r="BG117" s="283"/>
      <c r="BH117" s="283"/>
      <c r="BI117" s="283"/>
      <c r="BJ117" s="283"/>
      <c r="BK117" s="283"/>
      <c r="BL117" s="283"/>
      <c r="BM117" s="283"/>
      <c r="BN117" s="283"/>
      <c r="BO117" s="283"/>
      <c r="BP117" s="283"/>
      <c r="BQ117" s="283"/>
      <c r="BR117" s="283"/>
      <c r="BS117" s="283"/>
      <c r="BT117" s="283"/>
      <c r="BU117" s="283"/>
      <c r="BV117" s="283"/>
      <c r="BW117" s="283"/>
      <c r="BX117" s="283"/>
      <c r="BY117" s="283"/>
      <c r="BZ117" s="283"/>
      <c r="CA117" s="283"/>
      <c r="CB117" s="283"/>
      <c r="CC117" s="283"/>
      <c r="CD117" s="283"/>
      <c r="CE117" s="283"/>
      <c r="CF117" s="283"/>
      <c r="CG117" s="283"/>
      <c r="CH117" s="283"/>
      <c r="CI117" s="283"/>
      <c r="CJ117" s="283"/>
      <c r="CK117" s="283"/>
      <c r="CL117" s="283"/>
    </row>
    <row r="118" spans="1:90" ht="14.25" customHeight="1" x14ac:dyDescent="0.2">
      <c r="A118" s="3"/>
      <c r="B118" s="252"/>
      <c r="C118" s="3"/>
      <c r="D118" s="3"/>
      <c r="E118" s="3"/>
      <c r="F118" s="3"/>
      <c r="G118" s="252"/>
      <c r="H118" s="3"/>
      <c r="I118" s="3"/>
      <c r="J118" s="3"/>
      <c r="K118" s="3"/>
      <c r="L118" s="252"/>
      <c r="M118" s="3"/>
      <c r="N118" s="3"/>
      <c r="O118" s="3"/>
      <c r="P118" s="3"/>
      <c r="Q118" s="3"/>
      <c r="R118" s="3"/>
      <c r="S118" s="334"/>
      <c r="T118" s="373">
        <f t="shared" si="65"/>
        <v>92</v>
      </c>
      <c r="U118" s="334"/>
      <c r="V118" s="568">
        <f t="shared" si="60"/>
        <v>0.10034823250881472</v>
      </c>
      <c r="W118" s="328">
        <f t="shared" si="41"/>
        <v>0.89711243654380113</v>
      </c>
      <c r="X118" s="328">
        <f t="shared" si="42"/>
        <v>0.89965176749118525</v>
      </c>
      <c r="Y118" s="328">
        <f t="shared" si="43"/>
        <v>2.5361095738419825E-3</v>
      </c>
      <c r="Z118" s="334"/>
      <c r="AA118" s="571">
        <f t="shared" si="44"/>
        <v>0.1569742664981317</v>
      </c>
      <c r="AB118" s="327">
        <f t="shared" si="63"/>
        <v>0.84057276879608567</v>
      </c>
      <c r="AC118" s="327">
        <f t="shared" si="45"/>
        <v>0.84302573350186827</v>
      </c>
      <c r="AD118" s="327">
        <f t="shared" si="46"/>
        <v>2.4499586462802814E-3</v>
      </c>
      <c r="AE118" s="383"/>
      <c r="AF118" s="574">
        <f t="shared" si="35"/>
        <v>0.1787391782687342</v>
      </c>
      <c r="AG118" s="376">
        <f t="shared" si="61"/>
        <v>0.81938895788840493</v>
      </c>
      <c r="AH118" s="376">
        <f t="shared" si="47"/>
        <v>0.8212608217312658</v>
      </c>
      <c r="AI118" s="553">
        <f t="shared" si="48"/>
        <v>1.8701129983557108E-3</v>
      </c>
      <c r="AJ118" s="374"/>
      <c r="AK118" s="577">
        <f t="shared" si="36"/>
        <v>0.17207043574138403</v>
      </c>
      <c r="AL118" s="376">
        <f t="shared" si="49"/>
        <v>0.82626272695628633</v>
      </c>
      <c r="AM118" s="376">
        <f t="shared" si="50"/>
        <v>0.82792956425861597</v>
      </c>
      <c r="AN118" s="553">
        <f t="shared" si="51"/>
        <v>1.6654489005538675E-3</v>
      </c>
      <c r="AO118" s="554"/>
      <c r="AP118" s="580">
        <f t="shared" si="37"/>
        <v>0.13888724917639839</v>
      </c>
      <c r="AQ118" s="376">
        <f t="shared" si="52"/>
        <v>0.85847373866112964</v>
      </c>
      <c r="AR118" s="379">
        <f t="shared" si="53"/>
        <v>0.86111275082360161</v>
      </c>
      <c r="AS118" s="376">
        <f t="shared" si="54"/>
        <v>2.6355330310381397E-3</v>
      </c>
      <c r="AT118" s="384"/>
      <c r="AU118" s="583">
        <f t="shared" si="38"/>
        <v>0.29145220599664112</v>
      </c>
      <c r="AV118" s="381">
        <f t="shared" si="64"/>
        <v>1.2316222073397094</v>
      </c>
      <c r="AW118" s="376">
        <f t="shared" si="39"/>
        <v>1.2328792454794528</v>
      </c>
      <c r="AX118" s="503">
        <f t="shared" si="62"/>
        <v>1.2562483982474504E-3</v>
      </c>
      <c r="AY118" s="376">
        <f t="shared" si="40"/>
        <v>1.9883969058619442</v>
      </c>
      <c r="AZ118" s="381">
        <f t="shared" si="55"/>
        <v>9.026443935645027E-3</v>
      </c>
      <c r="BA118" s="586">
        <f t="shared" si="56"/>
        <v>0.25423411377757726</v>
      </c>
      <c r="BB118" s="376">
        <f t="shared" si="57"/>
        <v>0.74454693509548486</v>
      </c>
      <c r="BC118" s="376">
        <f t="shared" si="58"/>
        <v>0.74576588622242279</v>
      </c>
      <c r="BD118" s="376">
        <f t="shared" si="59"/>
        <v>1.2182085077824256E-3</v>
      </c>
      <c r="BE118" s="283"/>
      <c r="BF118" s="283"/>
      <c r="BG118" s="283"/>
      <c r="BH118" s="283"/>
      <c r="BI118" s="283"/>
      <c r="BJ118" s="283"/>
      <c r="BK118" s="283"/>
      <c r="BL118" s="283"/>
      <c r="BM118" s="283"/>
      <c r="BN118" s="283"/>
      <c r="BO118" s="283"/>
      <c r="BP118" s="283"/>
      <c r="BQ118" s="283"/>
      <c r="BR118" s="283"/>
      <c r="BS118" s="283"/>
      <c r="BT118" s="283"/>
      <c r="BU118" s="283"/>
      <c r="BV118" s="283"/>
      <c r="BW118" s="283"/>
      <c r="BX118" s="283"/>
      <c r="BY118" s="283"/>
      <c r="BZ118" s="283"/>
      <c r="CA118" s="283"/>
      <c r="CB118" s="283"/>
      <c r="CC118" s="283"/>
      <c r="CD118" s="283"/>
      <c r="CE118" s="283"/>
      <c r="CF118" s="283"/>
      <c r="CG118" s="283"/>
      <c r="CH118" s="283"/>
      <c r="CI118" s="283"/>
      <c r="CJ118" s="283"/>
      <c r="CK118" s="283"/>
      <c r="CL118" s="283"/>
    </row>
    <row r="119" spans="1:90" ht="14.25" customHeight="1" x14ac:dyDescent="0.2">
      <c r="A119" s="3"/>
      <c r="B119" s="252"/>
      <c r="C119" s="3"/>
      <c r="D119" s="3"/>
      <c r="E119" s="3"/>
      <c r="F119" s="3"/>
      <c r="G119" s="252"/>
      <c r="H119" s="3"/>
      <c r="I119" s="3"/>
      <c r="J119" s="3"/>
      <c r="K119" s="3"/>
      <c r="L119" s="252"/>
      <c r="M119" s="3"/>
      <c r="N119" s="3"/>
      <c r="O119" s="3"/>
      <c r="P119" s="3"/>
      <c r="Q119" s="3"/>
      <c r="R119" s="3"/>
      <c r="S119" s="334"/>
      <c r="T119" s="373">
        <f t="shared" si="65"/>
        <v>93</v>
      </c>
      <c r="U119" s="334"/>
      <c r="V119" s="568">
        <f t="shared" si="60"/>
        <v>9.7871573875204274E-2</v>
      </c>
      <c r="W119" s="328">
        <f t="shared" si="41"/>
        <v>0.89965176749118525</v>
      </c>
      <c r="X119" s="328">
        <f t="shared" si="42"/>
        <v>0.90212842612479571</v>
      </c>
      <c r="Y119" s="328">
        <f t="shared" si="43"/>
        <v>2.4735942449536363E-3</v>
      </c>
      <c r="Z119" s="334"/>
      <c r="AA119" s="571">
        <f t="shared" si="44"/>
        <v>0.15456504234062812</v>
      </c>
      <c r="AB119" s="327">
        <f t="shared" si="63"/>
        <v>0.84302573350186827</v>
      </c>
      <c r="AC119" s="327">
        <f t="shared" si="45"/>
        <v>0.84543495765937182</v>
      </c>
      <c r="AD119" s="327">
        <f t="shared" si="46"/>
        <v>2.4063243062477646E-3</v>
      </c>
      <c r="AE119" s="383"/>
      <c r="AF119" s="574">
        <f t="shared" si="35"/>
        <v>0.17689961399735044</v>
      </c>
      <c r="AG119" s="376">
        <f t="shared" si="61"/>
        <v>0.8212608217312658</v>
      </c>
      <c r="AH119" s="376">
        <f t="shared" si="47"/>
        <v>0.82310038600264956</v>
      </c>
      <c r="AI119" s="553">
        <f t="shared" si="48"/>
        <v>1.8378733100657962E-3</v>
      </c>
      <c r="AJ119" s="374"/>
      <c r="AK119" s="577">
        <f t="shared" si="36"/>
        <v>0.17043410705512252</v>
      </c>
      <c r="AL119" s="376">
        <f t="shared" si="49"/>
        <v>0.82792956425861597</v>
      </c>
      <c r="AM119" s="376">
        <f t="shared" si="50"/>
        <v>0.82956589294487748</v>
      </c>
      <c r="AN119" s="553">
        <f t="shared" si="51"/>
        <v>1.6349906304093942E-3</v>
      </c>
      <c r="AO119" s="554"/>
      <c r="AP119" s="580">
        <f t="shared" si="37"/>
        <v>0.13629955259479143</v>
      </c>
      <c r="AQ119" s="376">
        <f t="shared" si="52"/>
        <v>0.86111275082360161</v>
      </c>
      <c r="AR119" s="379">
        <f t="shared" si="53"/>
        <v>0.86370044740520857</v>
      </c>
      <c r="AS119" s="376">
        <f t="shared" si="54"/>
        <v>2.5843513808846419E-3</v>
      </c>
      <c r="AT119" s="384"/>
      <c r="AU119" s="583">
        <f t="shared" si="38"/>
        <v>0.29110059616153466</v>
      </c>
      <c r="AV119" s="381">
        <f t="shared" si="64"/>
        <v>1.2328792454794528</v>
      </c>
      <c r="AW119" s="376">
        <f t="shared" si="39"/>
        <v>1.2340863802713558</v>
      </c>
      <c r="AX119" s="503">
        <f t="shared" si="62"/>
        <v>1.2064064977792555E-3</v>
      </c>
      <c r="AY119" s="376">
        <f t="shared" si="40"/>
        <v>1.9969004018704528</v>
      </c>
      <c r="AZ119" s="381">
        <f t="shared" si="55"/>
        <v>8.890481317487136E-3</v>
      </c>
      <c r="BA119" s="586">
        <f t="shared" si="56"/>
        <v>0.25303393772598243</v>
      </c>
      <c r="BB119" s="376">
        <f t="shared" si="57"/>
        <v>0.74576588622242279</v>
      </c>
      <c r="BC119" s="376">
        <f t="shared" si="58"/>
        <v>0.74696606227401752</v>
      </c>
      <c r="BD119" s="376">
        <f t="shared" si="59"/>
        <v>1.199456128357701E-3</v>
      </c>
      <c r="BE119" s="283"/>
      <c r="BF119" s="283"/>
      <c r="BG119" s="283"/>
      <c r="BH119" s="283"/>
      <c r="BI119" s="283"/>
      <c r="BJ119" s="283"/>
      <c r="BK119" s="283"/>
      <c r="BL119" s="283"/>
      <c r="BM119" s="283"/>
      <c r="BN119" s="283"/>
      <c r="BO119" s="283"/>
      <c r="BP119" s="283"/>
      <c r="BQ119" s="283"/>
      <c r="BR119" s="283"/>
      <c r="BS119" s="283"/>
      <c r="BT119" s="283"/>
      <c r="BU119" s="283"/>
      <c r="BV119" s="283"/>
      <c r="BW119" s="283"/>
      <c r="BX119" s="283"/>
      <c r="BY119" s="283"/>
      <c r="BZ119" s="283"/>
      <c r="CD119" s="283"/>
      <c r="CE119" s="283"/>
      <c r="CF119" s="283"/>
      <c r="CG119" s="283"/>
      <c r="CH119" s="283"/>
      <c r="CI119" s="283"/>
      <c r="CJ119" s="283"/>
      <c r="CK119" s="283"/>
      <c r="CL119" s="283"/>
    </row>
    <row r="120" spans="1:90" ht="14.25" customHeight="1" x14ac:dyDescent="0.2">
      <c r="A120" s="3"/>
      <c r="B120" s="252"/>
      <c r="C120" s="3"/>
      <c r="D120" s="3"/>
      <c r="E120" s="3"/>
      <c r="F120" s="3"/>
      <c r="G120" s="252"/>
      <c r="H120" s="3"/>
      <c r="I120" s="3"/>
      <c r="J120" s="3"/>
      <c r="K120" s="3"/>
      <c r="L120" s="252"/>
      <c r="M120" s="3"/>
      <c r="N120" s="3"/>
      <c r="O120" s="3"/>
      <c r="P120" s="3"/>
      <c r="Q120" s="3"/>
      <c r="R120" s="3"/>
      <c r="S120" s="334"/>
      <c r="T120" s="373">
        <f t="shared" si="65"/>
        <v>94</v>
      </c>
      <c r="U120" s="334"/>
      <c r="V120" s="568">
        <f t="shared" si="60"/>
        <v>9.5456040762533112E-2</v>
      </c>
      <c r="W120" s="328">
        <f t="shared" si="41"/>
        <v>0.90212842612479571</v>
      </c>
      <c r="X120" s="328">
        <f t="shared" si="42"/>
        <v>0.90454395923746689</v>
      </c>
      <c r="Y120" s="328">
        <f t="shared" si="43"/>
        <v>2.4126180601696801E-3</v>
      </c>
      <c r="Z120" s="334"/>
      <c r="AA120" s="571">
        <f t="shared" si="44"/>
        <v>0.15219862375039631</v>
      </c>
      <c r="AB120" s="327">
        <f t="shared" si="63"/>
        <v>0.84543495765937182</v>
      </c>
      <c r="AC120" s="327">
        <f t="shared" si="45"/>
        <v>0.84780137624960372</v>
      </c>
      <c r="AD120" s="327">
        <f t="shared" si="46"/>
        <v>2.3636208290862548E-3</v>
      </c>
      <c r="AE120" s="383"/>
      <c r="AF120" s="574">
        <f t="shared" si="35"/>
        <v>0.17509154331640442</v>
      </c>
      <c r="AG120" s="376">
        <f t="shared" si="61"/>
        <v>0.82310038600264956</v>
      </c>
      <c r="AH120" s="376">
        <f t="shared" si="47"/>
        <v>0.82490845668359558</v>
      </c>
      <c r="AI120" s="553">
        <f t="shared" si="48"/>
        <v>1.8064371058404971E-3</v>
      </c>
      <c r="AJ120" s="374"/>
      <c r="AK120" s="577">
        <f t="shared" si="36"/>
        <v>0.16882746975061652</v>
      </c>
      <c r="AL120" s="376">
        <f t="shared" si="49"/>
        <v>0.82956589294487748</v>
      </c>
      <c r="AM120" s="376">
        <f t="shared" si="50"/>
        <v>0.83117253024938353</v>
      </c>
      <c r="AN120" s="553">
        <f t="shared" si="51"/>
        <v>1.6053473537120944E-3</v>
      </c>
      <c r="AO120" s="554"/>
      <c r="AP120" s="580">
        <f t="shared" si="37"/>
        <v>0.13376210037235436</v>
      </c>
      <c r="AQ120" s="376">
        <f t="shared" si="52"/>
        <v>0.86370044740520857</v>
      </c>
      <c r="AR120" s="379">
        <f t="shared" si="53"/>
        <v>0.86623789962764564</v>
      </c>
      <c r="AS120" s="376">
        <f t="shared" si="54"/>
        <v>2.5342356117870057E-3</v>
      </c>
      <c r="AT120" s="384"/>
      <c r="AU120" s="583">
        <f t="shared" si="38"/>
        <v>0.29076334420400884</v>
      </c>
      <c r="AV120" s="381">
        <f t="shared" si="64"/>
        <v>1.2340863802713558</v>
      </c>
      <c r="AW120" s="376">
        <f t="shared" si="39"/>
        <v>1.2352455928359969</v>
      </c>
      <c r="AX120" s="503">
        <f t="shared" si="62"/>
        <v>1.1585409373008337E-3</v>
      </c>
      <c r="AY120" s="376">
        <f t="shared" si="40"/>
        <v>2.0053129496543214</v>
      </c>
      <c r="AZ120" s="381">
        <f t="shared" si="55"/>
        <v>8.7579882070942632E-3</v>
      </c>
      <c r="BA120" s="586">
        <f t="shared" si="56"/>
        <v>0.25185205272633909</v>
      </c>
      <c r="BB120" s="376">
        <f t="shared" si="57"/>
        <v>0.74696606227401752</v>
      </c>
      <c r="BC120" s="376">
        <f t="shared" si="58"/>
        <v>0.74814794727366096</v>
      </c>
      <c r="BD120" s="376">
        <f t="shared" si="59"/>
        <v>1.1811868486391042E-3</v>
      </c>
      <c r="BE120" s="283"/>
      <c r="BF120" s="283"/>
      <c r="BG120" s="283"/>
      <c r="BH120" s="283"/>
      <c r="BI120" s="283"/>
      <c r="BJ120" s="283"/>
      <c r="BK120" s="283"/>
      <c r="BL120" s="283"/>
      <c r="BM120" s="283"/>
      <c r="BN120" s="283"/>
      <c r="BO120" s="283"/>
      <c r="BP120" s="283"/>
      <c r="BQ120" s="283"/>
      <c r="BR120" s="283"/>
      <c r="BS120" s="283"/>
      <c r="BT120" s="283"/>
      <c r="BU120" s="283"/>
      <c r="BV120" s="283"/>
      <c r="BW120" s="283"/>
      <c r="BX120" s="283"/>
      <c r="BY120" s="283"/>
      <c r="BZ120" s="283"/>
      <c r="CD120" s="283"/>
      <c r="CE120" s="283"/>
      <c r="CF120" s="283"/>
      <c r="CG120" s="283"/>
      <c r="CH120" s="283"/>
      <c r="CI120" s="283"/>
      <c r="CJ120" s="283"/>
      <c r="CK120" s="283"/>
      <c r="CL120" s="283"/>
    </row>
    <row r="121" spans="1:90" ht="14.25" customHeight="1" x14ac:dyDescent="0.2">
      <c r="A121" s="3"/>
      <c r="B121" s="252"/>
      <c r="C121" s="3"/>
      <c r="D121" s="3"/>
      <c r="E121" s="3"/>
      <c r="F121" s="3"/>
      <c r="G121" s="252"/>
      <c r="H121" s="3"/>
      <c r="I121" s="3"/>
      <c r="J121" s="3"/>
      <c r="K121" s="3"/>
      <c r="L121" s="252"/>
      <c r="M121" s="3"/>
      <c r="N121" s="3"/>
      <c r="O121" s="3"/>
      <c r="P121" s="3"/>
      <c r="Q121" s="3"/>
      <c r="R121" s="3"/>
      <c r="S121" s="334"/>
      <c r="T121" s="373">
        <f t="shared" si="65"/>
        <v>95</v>
      </c>
      <c r="U121" s="334"/>
      <c r="V121" s="568">
        <f t="shared" si="60"/>
        <v>9.3100124553804356E-2</v>
      </c>
      <c r="W121" s="328">
        <f t="shared" si="41"/>
        <v>0.90454395923746689</v>
      </c>
      <c r="X121" s="328">
        <f t="shared" si="42"/>
        <v>0.90689987544619566</v>
      </c>
      <c r="Y121" s="328">
        <f t="shared" si="43"/>
        <v>2.35314321621094E-3</v>
      </c>
      <c r="Z121" s="334"/>
      <c r="AA121" s="571">
        <f t="shared" si="44"/>
        <v>0.14987410042835642</v>
      </c>
      <c r="AB121" s="327">
        <f t="shared" si="63"/>
        <v>0.84780137624960372</v>
      </c>
      <c r="AC121" s="327">
        <f t="shared" si="45"/>
        <v>0.85012589957164364</v>
      </c>
      <c r="AD121" s="327">
        <f t="shared" si="46"/>
        <v>2.3218237098782124E-3</v>
      </c>
      <c r="AE121" s="383"/>
      <c r="AF121" s="574">
        <f t="shared" si="35"/>
        <v>0.17331418689972089</v>
      </c>
      <c r="AG121" s="376">
        <f t="shared" si="61"/>
        <v>0.82490845668359558</v>
      </c>
      <c r="AH121" s="376">
        <f t="shared" si="47"/>
        <v>0.82668581310027911</v>
      </c>
      <c r="AI121" s="553">
        <f t="shared" si="48"/>
        <v>1.7757778541288571E-3</v>
      </c>
      <c r="AJ121" s="374"/>
      <c r="AK121" s="577">
        <f t="shared" si="36"/>
        <v>0.16724973524913614</v>
      </c>
      <c r="AL121" s="376">
        <f t="shared" si="49"/>
        <v>0.83117253024938353</v>
      </c>
      <c r="AM121" s="376">
        <f t="shared" si="50"/>
        <v>0.83275026475086389</v>
      </c>
      <c r="AN121" s="553">
        <f t="shared" si="51"/>
        <v>1.5764905327052547E-3</v>
      </c>
      <c r="AO121" s="554"/>
      <c r="AP121" s="580">
        <f t="shared" si="37"/>
        <v>0.13127384649656992</v>
      </c>
      <c r="AQ121" s="376">
        <f t="shared" si="52"/>
        <v>0.86623789962764564</v>
      </c>
      <c r="AR121" s="379">
        <f t="shared" si="53"/>
        <v>0.86872615350343008</v>
      </c>
      <c r="AS121" s="376">
        <f t="shared" si="54"/>
        <v>2.4851607381450869E-3</v>
      </c>
      <c r="AT121" s="384"/>
      <c r="AU121" s="583">
        <f t="shared" si="38"/>
        <v>0.29043984862995625</v>
      </c>
      <c r="AV121" s="381">
        <f t="shared" si="64"/>
        <v>1.2352455928359969</v>
      </c>
      <c r="AW121" s="376">
        <f t="shared" si="39"/>
        <v>1.2363587856451468</v>
      </c>
      <c r="AX121" s="503">
        <f t="shared" si="62"/>
        <v>1.1125734398818032E-3</v>
      </c>
      <c r="AY121" s="376">
        <f t="shared" si="40"/>
        <v>2.0136364740981687</v>
      </c>
      <c r="AZ121" s="381">
        <f t="shared" si="55"/>
        <v>8.6288405564460633E-3</v>
      </c>
      <c r="BA121" s="586">
        <f t="shared" si="56"/>
        <v>0.25068799214099136</v>
      </c>
      <c r="BB121" s="376">
        <f t="shared" si="57"/>
        <v>0.74814794727366096</v>
      </c>
      <c r="BC121" s="376">
        <f t="shared" si="58"/>
        <v>0.74931200785900864</v>
      </c>
      <c r="BD121" s="376">
        <f t="shared" si="59"/>
        <v>1.1633833296388341E-3</v>
      </c>
      <c r="BE121" s="283"/>
      <c r="BF121" s="283"/>
      <c r="BG121" s="283"/>
      <c r="BH121" s="283"/>
      <c r="BI121" s="283"/>
      <c r="BJ121" s="283"/>
      <c r="BK121" s="283"/>
      <c r="BL121" s="283"/>
      <c r="BM121" s="283"/>
      <c r="BN121" s="283"/>
      <c r="BO121" s="283"/>
      <c r="BP121" s="283"/>
      <c r="BQ121" s="283"/>
      <c r="BR121" s="283"/>
      <c r="BS121" s="283"/>
      <c r="BT121" s="283"/>
      <c r="BU121" s="283"/>
      <c r="BV121" s="283"/>
      <c r="BW121" s="283"/>
      <c r="BX121" s="283"/>
      <c r="BY121" s="283"/>
      <c r="BZ121" s="283"/>
      <c r="CD121" s="283"/>
      <c r="CE121" s="283"/>
      <c r="CF121" s="283"/>
      <c r="CG121" s="283"/>
      <c r="CH121" s="283"/>
      <c r="CI121" s="283"/>
      <c r="CJ121" s="283"/>
      <c r="CK121" s="283"/>
      <c r="CL121" s="283"/>
    </row>
    <row r="122" spans="1:90" ht="14.25" customHeight="1" x14ac:dyDescent="0.2">
      <c r="A122" s="3"/>
      <c r="B122" s="252"/>
      <c r="C122" s="3"/>
      <c r="D122" s="3"/>
      <c r="E122" s="3"/>
      <c r="F122" s="3"/>
      <c r="G122" s="252"/>
      <c r="H122" s="3"/>
      <c r="I122" s="3"/>
      <c r="J122" s="3"/>
      <c r="K122" s="3"/>
      <c r="L122" s="252"/>
      <c r="M122" s="3"/>
      <c r="N122" s="3"/>
      <c r="O122" s="3"/>
      <c r="P122" s="3"/>
      <c r="Q122" s="3"/>
      <c r="R122" s="3"/>
      <c r="S122" s="334"/>
      <c r="T122" s="373">
        <f t="shared" si="65"/>
        <v>96</v>
      </c>
      <c r="U122" s="334"/>
      <c r="V122" s="568">
        <f t="shared" si="60"/>
        <v>9.0802353865654634E-2</v>
      </c>
      <c r="W122" s="328">
        <f t="shared" si="41"/>
        <v>0.90689987544619566</v>
      </c>
      <c r="X122" s="328">
        <f t="shared" si="42"/>
        <v>0.90919764613434539</v>
      </c>
      <c r="Y122" s="328">
        <f t="shared" si="43"/>
        <v>2.2951328338636223E-3</v>
      </c>
      <c r="Z122" s="334"/>
      <c r="AA122" s="571">
        <f t="shared" si="44"/>
        <v>0.14759058594050467</v>
      </c>
      <c r="AB122" s="327">
        <f t="shared" si="63"/>
        <v>0.85012589957164364</v>
      </c>
      <c r="AC122" s="327">
        <f t="shared" si="45"/>
        <v>0.85240941405949533</v>
      </c>
      <c r="AD122" s="327">
        <f t="shared" si="46"/>
        <v>2.2809092520521546E-3</v>
      </c>
      <c r="AE122" s="383"/>
      <c r="AF122" s="574">
        <f t="shared" si="35"/>
        <v>0.17156679097269556</v>
      </c>
      <c r="AG122" s="376">
        <f t="shared" si="61"/>
        <v>0.82668581310027911</v>
      </c>
      <c r="AH122" s="376">
        <f t="shared" si="47"/>
        <v>0.82843320902730444</v>
      </c>
      <c r="AI122" s="553">
        <f t="shared" si="48"/>
        <v>1.7458701196216841E-3</v>
      </c>
      <c r="AJ122" s="374"/>
      <c r="AK122" s="577">
        <f t="shared" si="36"/>
        <v>0.16570014239119579</v>
      </c>
      <c r="AL122" s="376">
        <f t="shared" si="49"/>
        <v>0.83275026475086389</v>
      </c>
      <c r="AM122" s="376">
        <f t="shared" si="50"/>
        <v>0.83429985760880421</v>
      </c>
      <c r="AN122" s="553">
        <f t="shared" si="51"/>
        <v>1.5483928588443385E-3</v>
      </c>
      <c r="AO122" s="554"/>
      <c r="AP122" s="580">
        <f t="shared" si="37"/>
        <v>0.12883376944865454</v>
      </c>
      <c r="AQ122" s="376">
        <f t="shared" si="52"/>
        <v>0.86872615350343008</v>
      </c>
      <c r="AR122" s="379">
        <f t="shared" si="53"/>
        <v>0.87116623055134546</v>
      </c>
      <c r="AS122" s="376">
        <f t="shared" si="54"/>
        <v>2.4371024797992247E-3</v>
      </c>
      <c r="AT122" s="384"/>
      <c r="AU122" s="583">
        <f t="shared" si="38"/>
        <v>0.29012953432463329</v>
      </c>
      <c r="AV122" s="381">
        <f t="shared" si="64"/>
        <v>1.2363587856451468</v>
      </c>
      <c r="AW122" s="376">
        <f t="shared" si="39"/>
        <v>1.2374277856440616</v>
      </c>
      <c r="AX122" s="503">
        <f t="shared" si="62"/>
        <v>1.0684288219635629E-3</v>
      </c>
      <c r="AY122" s="376">
        <f t="shared" si="40"/>
        <v>2.0218728396167873</v>
      </c>
      <c r="AZ122" s="381">
        <f t="shared" si="55"/>
        <v>8.5029199960183523E-3</v>
      </c>
      <c r="BA122" s="586">
        <f t="shared" si="56"/>
        <v>0.24954130592121182</v>
      </c>
      <c r="BB122" s="376">
        <f t="shared" si="57"/>
        <v>0.74931200785900864</v>
      </c>
      <c r="BC122" s="376">
        <f t="shared" si="58"/>
        <v>0.75045869407878818</v>
      </c>
      <c r="BD122" s="376">
        <f t="shared" si="59"/>
        <v>1.1460290263584083E-3</v>
      </c>
      <c r="BE122" s="283"/>
      <c r="BF122" s="283"/>
      <c r="BG122" s="283"/>
      <c r="BH122" s="283"/>
      <c r="BI122" s="283"/>
      <c r="BJ122" s="283"/>
      <c r="BK122" s="283"/>
      <c r="BL122" s="283"/>
      <c r="BM122" s="283"/>
      <c r="BN122" s="283"/>
      <c r="BO122" s="283"/>
      <c r="BP122" s="283"/>
      <c r="BQ122" s="283"/>
      <c r="BR122" s="283"/>
      <c r="BS122" s="283"/>
      <c r="BT122" s="283"/>
      <c r="BU122" s="283"/>
      <c r="BV122" s="283"/>
      <c r="BW122" s="283"/>
      <c r="BX122" s="283"/>
      <c r="BY122" s="283"/>
      <c r="BZ122" s="283"/>
      <c r="CD122" s="283"/>
      <c r="CE122" s="283"/>
      <c r="CF122" s="283"/>
      <c r="CG122" s="283"/>
      <c r="CH122" s="283"/>
      <c r="CI122" s="283"/>
      <c r="CJ122" s="283"/>
      <c r="CK122" s="283"/>
      <c r="CL122" s="283"/>
    </row>
    <row r="123" spans="1:90" ht="14.25" customHeight="1" x14ac:dyDescent="0.2">
      <c r="A123" s="3"/>
      <c r="B123" s="252"/>
      <c r="C123" s="3"/>
      <c r="D123" s="3"/>
      <c r="E123" s="3"/>
      <c r="F123" s="3"/>
      <c r="G123" s="252"/>
      <c r="H123" s="3"/>
      <c r="I123" s="3"/>
      <c r="J123" s="3"/>
      <c r="K123" s="3"/>
      <c r="L123" s="252"/>
      <c r="M123" s="3"/>
      <c r="N123" s="3"/>
      <c r="O123" s="3"/>
      <c r="P123" s="3"/>
      <c r="Q123" s="3"/>
      <c r="R123" s="3"/>
      <c r="S123" s="334"/>
      <c r="T123" s="373">
        <f t="shared" si="65"/>
        <v>97</v>
      </c>
      <c r="U123" s="334"/>
      <c r="V123" s="568">
        <f t="shared" si="60"/>
        <v>8.8561293629404125E-2</v>
      </c>
      <c r="W123" s="328">
        <f t="shared" si="41"/>
        <v>0.90919764613434539</v>
      </c>
      <c r="X123" s="328">
        <f t="shared" si="42"/>
        <v>0.91143870637059587</v>
      </c>
      <c r="Y123" s="328">
        <f t="shared" si="43"/>
        <v>2.2385509356072086E-3</v>
      </c>
      <c r="Z123" s="334"/>
      <c r="AA123" s="571">
        <f t="shared" si="44"/>
        <v>0.14534721693477728</v>
      </c>
      <c r="AB123" s="327">
        <f t="shared" si="63"/>
        <v>0.85240941405949533</v>
      </c>
      <c r="AC123" s="327">
        <f t="shared" si="45"/>
        <v>0.85465278306522274</v>
      </c>
      <c r="AD123" s="327">
        <f t="shared" si="46"/>
        <v>2.2408545341268127E-3</v>
      </c>
      <c r="AE123" s="383"/>
      <c r="AF123" s="574">
        <f t="shared" si="35"/>
        <v>0.16984862626393349</v>
      </c>
      <c r="AG123" s="376">
        <f t="shared" si="61"/>
        <v>0.82843320902730444</v>
      </c>
      <c r="AH123" s="376">
        <f t="shared" si="47"/>
        <v>0.83015137373606651</v>
      </c>
      <c r="AI123" s="553">
        <f t="shared" si="48"/>
        <v>1.7166895087786793E-3</v>
      </c>
      <c r="AJ123" s="374"/>
      <c r="AK123" s="577">
        <f t="shared" si="36"/>
        <v>0.1641779562633123</v>
      </c>
      <c r="AL123" s="376">
        <f t="shared" si="49"/>
        <v>0.83429985760880421</v>
      </c>
      <c r="AM123" s="376">
        <f t="shared" si="50"/>
        <v>0.83582204373668767</v>
      </c>
      <c r="AN123" s="553">
        <f t="shared" si="51"/>
        <v>1.521028190186291E-3</v>
      </c>
      <c r="AO123" s="554"/>
      <c r="AP123" s="580">
        <f t="shared" si="37"/>
        <v>0.12644087151409011</v>
      </c>
      <c r="AQ123" s="376">
        <f t="shared" si="52"/>
        <v>0.87116623055134546</v>
      </c>
      <c r="AR123" s="379">
        <f t="shared" si="53"/>
        <v>0.87355912848590989</v>
      </c>
      <c r="AS123" s="376">
        <f t="shared" si="54"/>
        <v>2.3900372365428524E-3</v>
      </c>
      <c r="AT123" s="384"/>
      <c r="AU123" s="583">
        <f t="shared" si="38"/>
        <v>0.28983185130512051</v>
      </c>
      <c r="AV123" s="381">
        <f t="shared" si="64"/>
        <v>1.2374277856440616</v>
      </c>
      <c r="AW123" s="376">
        <f t="shared" si="39"/>
        <v>1.2384543472498202</v>
      </c>
      <c r="AX123" s="503">
        <f t="shared" si="62"/>
        <v>1.0260348716504275E-3</v>
      </c>
      <c r="AY123" s="376">
        <f t="shared" si="40"/>
        <v>2.0300238526617815</v>
      </c>
      <c r="AZ123" s="381">
        <f t="shared" si="55"/>
        <v>8.3801135190977472E-3</v>
      </c>
      <c r="BA123" s="586">
        <f t="shared" si="56"/>
        <v>0.24841155985463775</v>
      </c>
      <c r="BB123" s="376">
        <f t="shared" si="57"/>
        <v>0.75045869407878818</v>
      </c>
      <c r="BC123" s="376">
        <f t="shared" si="58"/>
        <v>0.7515884401453623</v>
      </c>
      <c r="BD123" s="376">
        <f t="shared" si="59"/>
        <v>1.1291081437395656E-3</v>
      </c>
      <c r="BE123" s="283"/>
      <c r="BF123" s="283"/>
      <c r="BG123" s="283"/>
      <c r="BH123" s="283"/>
      <c r="BI123" s="283"/>
      <c r="BJ123" s="283"/>
      <c r="BK123" s="283"/>
      <c r="BL123" s="283"/>
      <c r="BM123" s="283"/>
      <c r="BN123" s="283"/>
      <c r="BO123" s="283"/>
      <c r="BP123" s="283"/>
      <c r="BQ123" s="283"/>
      <c r="BR123" s="283"/>
      <c r="BS123" s="283"/>
      <c r="BT123" s="283"/>
      <c r="BU123" s="283"/>
      <c r="BV123" s="283"/>
      <c r="BW123" s="283"/>
      <c r="BX123" s="283"/>
      <c r="BY123" s="283"/>
      <c r="BZ123" s="283"/>
      <c r="CD123" s="283"/>
      <c r="CE123" s="283"/>
      <c r="CF123" s="283"/>
      <c r="CG123" s="283"/>
      <c r="CH123" s="283"/>
      <c r="CI123" s="283"/>
      <c r="CJ123" s="283"/>
      <c r="CK123" s="283"/>
      <c r="CL123" s="283"/>
    </row>
    <row r="124" spans="1:90" ht="14.25" customHeight="1" x14ac:dyDescent="0.2">
      <c r="A124" s="3"/>
      <c r="B124" s="252"/>
      <c r="C124" s="3"/>
      <c r="D124" s="3"/>
      <c r="E124" s="3"/>
      <c r="F124" s="3"/>
      <c r="G124" s="252"/>
      <c r="H124" s="3"/>
      <c r="I124" s="3"/>
      <c r="J124" s="3"/>
      <c r="K124" s="3"/>
      <c r="L124" s="252"/>
      <c r="M124" s="3"/>
      <c r="N124" s="3"/>
      <c r="O124" s="3"/>
      <c r="P124" s="3"/>
      <c r="Q124" s="3"/>
      <c r="R124" s="3"/>
      <c r="S124" s="334"/>
      <c r="T124" s="373">
        <f t="shared" si="65"/>
        <v>98</v>
      </c>
      <c r="U124" s="334"/>
      <c r="V124" s="568">
        <f t="shared" si="60"/>
        <v>8.6375544194786963E-2</v>
      </c>
      <c r="W124" s="328">
        <f t="shared" si="41"/>
        <v>0.91143870637059587</v>
      </c>
      <c r="X124" s="328">
        <f t="shared" si="42"/>
        <v>0.91362445580521301</v>
      </c>
      <c r="Y124" s="328">
        <f t="shared" si="43"/>
        <v>2.1833624237742599E-3</v>
      </c>
      <c r="Z124" s="334"/>
      <c r="AA124" s="571">
        <f t="shared" si="44"/>
        <v>0.14314315238992847</v>
      </c>
      <c r="AB124" s="327">
        <f t="shared" si="63"/>
        <v>0.85465278306522274</v>
      </c>
      <c r="AC124" s="327">
        <f t="shared" si="45"/>
        <v>0.85685684761007153</v>
      </c>
      <c r="AD124" s="327">
        <f t="shared" si="46"/>
        <v>2.2016373781280629E-3</v>
      </c>
      <c r="AE124" s="383"/>
      <c r="AF124" s="574">
        <f t="shared" si="35"/>
        <v>0.16815898700862442</v>
      </c>
      <c r="AG124" s="376">
        <f t="shared" si="61"/>
        <v>0.83015137373606651</v>
      </c>
      <c r="AH124" s="376">
        <f t="shared" si="47"/>
        <v>0.83184101299137558</v>
      </c>
      <c r="AI124" s="553">
        <f t="shared" si="48"/>
        <v>1.6882126185161495E-3</v>
      </c>
      <c r="AJ124" s="374"/>
      <c r="AK124" s="577">
        <f t="shared" si="36"/>
        <v>0.16268246708415357</v>
      </c>
      <c r="AL124" s="376">
        <f t="shared" si="49"/>
        <v>0.83582204373668767</v>
      </c>
      <c r="AM124" s="376">
        <f t="shared" si="50"/>
        <v>0.83731753291584643</v>
      </c>
      <c r="AN124" s="553">
        <f t="shared" si="51"/>
        <v>1.4943714924484652E-3</v>
      </c>
      <c r="AO124" s="554"/>
      <c r="AP124" s="580">
        <f t="shared" si="37"/>
        <v>0.12409417811791668</v>
      </c>
      <c r="AQ124" s="376">
        <f t="shared" si="52"/>
        <v>0.87355912848590989</v>
      </c>
      <c r="AR124" s="379">
        <f t="shared" si="53"/>
        <v>0.87590582188208332</v>
      </c>
      <c r="AS124" s="376">
        <f t="shared" si="54"/>
        <v>2.343942063824267E-3</v>
      </c>
      <c r="AT124" s="384"/>
      <c r="AU124" s="583">
        <f t="shared" si="38"/>
        <v>0.28954627353855866</v>
      </c>
      <c r="AV124" s="381">
        <f t="shared" si="64"/>
        <v>1.2384543472498202</v>
      </c>
      <c r="AW124" s="376">
        <f t="shared" si="39"/>
        <v>1.2394401552306318</v>
      </c>
      <c r="AX124" s="503">
        <f t="shared" si="62"/>
        <v>9.8532223175562539E-4</v>
      </c>
      <c r="AY124" s="376">
        <f t="shared" si="40"/>
        <v>2.0380912640996476</v>
      </c>
      <c r="AZ124" s="381">
        <f t="shared" si="55"/>
        <v>8.2603131866821507E-3</v>
      </c>
      <c r="BA124" s="586">
        <f t="shared" si="56"/>
        <v>0.24729833485407238</v>
      </c>
      <c r="BB124" s="376">
        <f t="shared" si="57"/>
        <v>0.7515884401453623</v>
      </c>
      <c r="BC124" s="376">
        <f t="shared" si="58"/>
        <v>0.75270166514592762</v>
      </c>
      <c r="BD124" s="376">
        <f t="shared" si="59"/>
        <v>1.1126055954814307E-3</v>
      </c>
      <c r="BE124" s="283"/>
      <c r="BF124" s="283"/>
      <c r="BG124" s="283"/>
      <c r="BH124" s="283"/>
      <c r="BI124" s="283"/>
      <c r="BJ124" s="283"/>
      <c r="BK124" s="283"/>
      <c r="BL124" s="283"/>
      <c r="BM124" s="283"/>
      <c r="BN124" s="283"/>
      <c r="BO124" s="283"/>
      <c r="BP124" s="283"/>
      <c r="BQ124" s="283"/>
      <c r="BR124" s="283"/>
      <c r="BS124" s="283"/>
      <c r="BT124" s="283"/>
      <c r="BU124" s="283"/>
      <c r="BV124" s="283"/>
      <c r="BW124" s="283"/>
      <c r="BX124" s="283"/>
      <c r="BY124" s="283"/>
      <c r="BZ124" s="283"/>
      <c r="CD124" s="283"/>
      <c r="CE124" s="283"/>
      <c r="CF124" s="283"/>
      <c r="CG124" s="283"/>
      <c r="CH124" s="283"/>
      <c r="CI124" s="283"/>
      <c r="CJ124" s="283"/>
      <c r="CK124" s="283"/>
      <c r="CL124" s="283"/>
    </row>
    <row r="125" spans="1:90" ht="14.25" customHeight="1" x14ac:dyDescent="0.2">
      <c r="A125" s="3"/>
      <c r="B125" s="252"/>
      <c r="C125" s="3"/>
      <c r="D125" s="3"/>
      <c r="E125" s="3"/>
      <c r="F125" s="3"/>
      <c r="G125" s="252"/>
      <c r="H125" s="3"/>
      <c r="I125" s="3"/>
      <c r="J125" s="3"/>
      <c r="K125" s="3"/>
      <c r="L125" s="252"/>
      <c r="M125" s="3"/>
      <c r="N125" s="3"/>
      <c r="O125" s="3"/>
      <c r="P125" s="3"/>
      <c r="Q125" s="3"/>
      <c r="R125" s="3"/>
      <c r="S125" s="334"/>
      <c r="T125" s="373">
        <f t="shared" si="65"/>
        <v>99</v>
      </c>
      <c r="U125" s="334"/>
      <c r="V125" s="568">
        <f t="shared" si="60"/>
        <v>8.4243740455802046E-2</v>
      </c>
      <c r="W125" s="328">
        <f t="shared" si="41"/>
        <v>0.91362445580521301</v>
      </c>
      <c r="X125" s="328">
        <f t="shared" si="42"/>
        <v>0.91575625954419793</v>
      </c>
      <c r="Y125" s="328">
        <f t="shared" si="43"/>
        <v>2.1295330592285833E-3</v>
      </c>
      <c r="Z125" s="334"/>
      <c r="AA125" s="571">
        <f t="shared" si="44"/>
        <v>0.14097757289482635</v>
      </c>
      <c r="AB125" s="327">
        <f t="shared" si="63"/>
        <v>0.85685684761007153</v>
      </c>
      <c r="AC125" s="327">
        <f t="shared" si="45"/>
        <v>0.85902242710517362</v>
      </c>
      <c r="AD125" s="327">
        <f t="shared" si="46"/>
        <v>2.1632363195768223E-3</v>
      </c>
      <c r="AE125" s="383"/>
      <c r="AF125" s="574">
        <f t="shared" si="35"/>
        <v>0.16649719000067009</v>
      </c>
      <c r="AG125" s="376">
        <f t="shared" si="61"/>
        <v>0.83184101299137558</v>
      </c>
      <c r="AH125" s="376">
        <f t="shared" si="47"/>
        <v>0.83350280999932991</v>
      </c>
      <c r="AI125" s="553">
        <f t="shared" si="48"/>
        <v>1.6604169878501329E-3</v>
      </c>
      <c r="AJ125" s="374"/>
      <c r="AK125" s="577">
        <f t="shared" si="36"/>
        <v>0.16121298914661641</v>
      </c>
      <c r="AL125" s="376">
        <f t="shared" si="49"/>
        <v>0.83731753291584643</v>
      </c>
      <c r="AM125" s="376">
        <f t="shared" si="50"/>
        <v>0.83878701085338359</v>
      </c>
      <c r="AN125" s="553">
        <f t="shared" si="51"/>
        <v>1.4683987834951395E-3</v>
      </c>
      <c r="AO125" s="554"/>
      <c r="AP125" s="580">
        <f t="shared" si="37"/>
        <v>0.12179273718363359</v>
      </c>
      <c r="AQ125" s="376">
        <f t="shared" si="52"/>
        <v>0.87590582188208332</v>
      </c>
      <c r="AR125" s="379">
        <f t="shared" si="53"/>
        <v>0.87820726281636641</v>
      </c>
      <c r="AS125" s="376">
        <f t="shared" si="54"/>
        <v>2.2987946495747202E-3</v>
      </c>
      <c r="AT125" s="384"/>
      <c r="AU125" s="583">
        <f t="shared" si="38"/>
        <v>0.28927229782220876</v>
      </c>
      <c r="AV125" s="381">
        <f t="shared" si="64"/>
        <v>1.2394401552306318</v>
      </c>
      <c r="AW125" s="376">
        <f t="shared" si="39"/>
        <v>1.2403868274708365</v>
      </c>
      <c r="AX125" s="503">
        <f t="shared" si="62"/>
        <v>9.4622428740553932E-4</v>
      </c>
      <c r="AY125" s="376">
        <f t="shared" si="40"/>
        <v>2.0460767714691395</v>
      </c>
      <c r="AZ125" s="381">
        <f t="shared" si="55"/>
        <v>8.1434158514304619E-3</v>
      </c>
      <c r="BA125" s="586">
        <f t="shared" si="56"/>
        <v>0.24620122628499208</v>
      </c>
      <c r="BB125" s="376">
        <f t="shared" si="57"/>
        <v>0.75270166514592762</v>
      </c>
      <c r="BC125" s="376">
        <f t="shared" si="58"/>
        <v>0.75379877371500792</v>
      </c>
      <c r="BD125" s="376">
        <f t="shared" si="59"/>
        <v>1.0965069655023418E-3</v>
      </c>
      <c r="BE125" s="283"/>
      <c r="BF125" s="283"/>
      <c r="BG125" s="283"/>
      <c r="BH125" s="283"/>
      <c r="BI125" s="283"/>
      <c r="BJ125" s="283"/>
      <c r="BK125" s="283"/>
      <c r="BL125" s="283"/>
      <c r="BM125" s="283"/>
      <c r="BN125" s="283"/>
      <c r="BO125" s="283"/>
      <c r="BP125" s="283"/>
      <c r="BQ125" s="283"/>
      <c r="BR125" s="283"/>
      <c r="BS125" s="283"/>
      <c r="BT125" s="283"/>
      <c r="BU125" s="283"/>
      <c r="BV125" s="283"/>
      <c r="BW125" s="283"/>
      <c r="BX125" s="283"/>
      <c r="BY125" s="283"/>
      <c r="BZ125" s="283"/>
      <c r="CD125" s="283"/>
      <c r="CE125" s="283"/>
      <c r="CF125" s="283"/>
      <c r="CG125" s="283"/>
      <c r="CH125" s="283"/>
      <c r="CI125" s="283"/>
      <c r="CJ125" s="283"/>
      <c r="CK125" s="283"/>
      <c r="CL125" s="283"/>
    </row>
    <row r="126" spans="1:90" ht="14.25" customHeight="1" x14ac:dyDescent="0.2">
      <c r="A126" s="3"/>
      <c r="B126" s="252"/>
      <c r="C126" s="3"/>
      <c r="D126" s="3"/>
      <c r="E126" s="3"/>
      <c r="F126" s="3"/>
      <c r="G126" s="252"/>
      <c r="H126" s="3"/>
      <c r="I126" s="3"/>
      <c r="J126" s="3"/>
      <c r="K126" s="3"/>
      <c r="L126" s="252"/>
      <c r="M126" s="3"/>
      <c r="N126" s="3"/>
      <c r="O126" s="3"/>
      <c r="P126" s="3"/>
      <c r="Q126" s="3"/>
      <c r="R126" s="3"/>
      <c r="S126" s="334"/>
      <c r="T126" s="373">
        <f t="shared" si="65"/>
        <v>100</v>
      </c>
      <c r="U126" s="334"/>
      <c r="V126" s="568">
        <f t="shared" si="60"/>
        <v>8.2164550998138478E-2</v>
      </c>
      <c r="W126" s="328">
        <f t="shared" si="41"/>
        <v>0.91575625954419793</v>
      </c>
      <c r="X126" s="328">
        <f t="shared" si="42"/>
        <v>0.91783544900186154</v>
      </c>
      <c r="Y126" s="328">
        <f t="shared" si="43"/>
        <v>2.0770294405507705E-3</v>
      </c>
      <c r="Z126" s="334"/>
      <c r="AA126" s="571">
        <f t="shared" si="44"/>
        <v>0.13884967995666203</v>
      </c>
      <c r="AB126" s="327">
        <f t="shared" si="63"/>
        <v>0.85902242710517362</v>
      </c>
      <c r="AC126" s="327">
        <f t="shared" si="45"/>
        <v>0.86115032004333791</v>
      </c>
      <c r="AD126" s="327">
        <f t="shared" si="46"/>
        <v>2.1256305789567609E-3</v>
      </c>
      <c r="AE126" s="383"/>
      <c r="AF126" s="574">
        <f t="shared" si="35"/>
        <v>0.16486257369077661</v>
      </c>
      <c r="AG126" s="376">
        <f t="shared" si="61"/>
        <v>0.83350280999932991</v>
      </c>
      <c r="AH126" s="376">
        <f t="shared" si="47"/>
        <v>0.83513742630922339</v>
      </c>
      <c r="AI126" s="553">
        <f t="shared" si="48"/>
        <v>1.6332810522968755E-3</v>
      </c>
      <c r="AJ126" s="374"/>
      <c r="AK126" s="577">
        <f t="shared" si="36"/>
        <v>0.159768859812602</v>
      </c>
      <c r="AL126" s="376">
        <f t="shared" si="49"/>
        <v>0.83878701085338359</v>
      </c>
      <c r="AM126" s="376">
        <f t="shared" si="50"/>
        <v>0.84023114018739797</v>
      </c>
      <c r="AN126" s="553">
        <f t="shared" si="51"/>
        <v>1.4430870810241414E-3</v>
      </c>
      <c r="AO126" s="554"/>
      <c r="AP126" s="580">
        <f t="shared" si="37"/>
        <v>0.11953561851462757</v>
      </c>
      <c r="AQ126" s="376">
        <f t="shared" si="52"/>
        <v>0.87820726281636641</v>
      </c>
      <c r="AR126" s="379">
        <f t="shared" si="53"/>
        <v>0.88046438148537243</v>
      </c>
      <c r="AS126" s="376">
        <f t="shared" si="54"/>
        <v>2.254573292095774E-3</v>
      </c>
      <c r="AT126" s="384"/>
      <c r="AU126" s="583">
        <f t="shared" si="38"/>
        <v>0.28900944272165197</v>
      </c>
      <c r="AV126" s="381">
        <f t="shared" si="64"/>
        <v>1.2403868274708365</v>
      </c>
      <c r="AW126" s="376">
        <f t="shared" si="39"/>
        <v>1.2412959176261387</v>
      </c>
      <c r="AX126" s="503">
        <f t="shared" si="62"/>
        <v>9.0867705803732157E-4</v>
      </c>
      <c r="AY126" s="376">
        <f t="shared" si="40"/>
        <v>2.0539820211251882</v>
      </c>
      <c r="AZ126" s="381">
        <f t="shared" si="55"/>
        <v>8.0293228992542598E-3</v>
      </c>
      <c r="BA126" s="586">
        <f t="shared" si="56"/>
        <v>0.24511984332928891</v>
      </c>
      <c r="BB126" s="376">
        <f t="shared" si="57"/>
        <v>0.75379877371500792</v>
      </c>
      <c r="BC126" s="376">
        <f t="shared" si="58"/>
        <v>0.75488015667071107</v>
      </c>
      <c r="BD126" s="376">
        <f t="shared" si="59"/>
        <v>1.0807984718572694E-3</v>
      </c>
      <c r="BE126" s="283"/>
      <c r="BF126" s="283"/>
      <c r="BG126" s="283"/>
      <c r="BH126" s="283"/>
      <c r="BI126" s="283"/>
      <c r="BJ126" s="283"/>
      <c r="BK126" s="283"/>
      <c r="BL126" s="283"/>
      <c r="BM126" s="283"/>
      <c r="BN126" s="283"/>
      <c r="BO126" s="283"/>
      <c r="BP126" s="283"/>
      <c r="BQ126" s="283"/>
      <c r="BR126" s="283"/>
      <c r="BS126" s="283"/>
      <c r="BT126" s="283"/>
      <c r="BU126" s="283"/>
      <c r="BV126" s="283"/>
      <c r="BW126" s="283"/>
      <c r="BX126" s="283"/>
      <c r="BY126" s="283"/>
      <c r="BZ126" s="283"/>
      <c r="CD126" s="283"/>
      <c r="CE126" s="283"/>
      <c r="CF126" s="283"/>
      <c r="CG126" s="283"/>
      <c r="CH126" s="283"/>
      <c r="CI126" s="283"/>
      <c r="CJ126" s="283"/>
      <c r="CK126" s="283"/>
      <c r="CL126" s="283"/>
    </row>
    <row r="127" spans="1:90" ht="14.25" customHeight="1" x14ac:dyDescent="0.2">
      <c r="A127" s="3"/>
      <c r="B127" s="252"/>
      <c r="C127" s="3"/>
      <c r="D127" s="3"/>
      <c r="E127" s="3"/>
      <c r="F127" s="3"/>
      <c r="G127" s="252"/>
      <c r="H127" s="3"/>
      <c r="I127" s="3"/>
      <c r="J127" s="3"/>
      <c r="K127" s="3"/>
      <c r="L127" s="252"/>
      <c r="M127" s="3"/>
      <c r="N127" s="3"/>
      <c r="O127" s="3"/>
      <c r="P127" s="3"/>
      <c r="Q127" s="3"/>
      <c r="R127" s="3"/>
      <c r="S127" s="334"/>
      <c r="T127" s="373">
        <f t="shared" si="65"/>
        <v>101</v>
      </c>
      <c r="U127" s="334"/>
      <c r="V127" s="568">
        <f t="shared" si="60"/>
        <v>8.0136677267643119E-2</v>
      </c>
      <c r="W127" s="328">
        <f t="shared" si="41"/>
        <v>0.91783544900186154</v>
      </c>
      <c r="X127" s="328">
        <f t="shared" si="42"/>
        <v>0.91986332273235694</v>
      </c>
      <c r="Y127" s="328">
        <f t="shared" si="43"/>
        <v>2.0258189837190077E-3</v>
      </c>
      <c r="Z127" s="334"/>
      <c r="AA127" s="571">
        <f t="shared" si="44"/>
        <v>0.13675869533665899</v>
      </c>
      <c r="AB127" s="327">
        <f t="shared" si="63"/>
        <v>0.86115032004333791</v>
      </c>
      <c r="AC127" s="327">
        <f t="shared" si="45"/>
        <v>0.86324130466334104</v>
      </c>
      <c r="AD127" s="327">
        <f t="shared" si="46"/>
        <v>2.0888000345726798E-3</v>
      </c>
      <c r="AE127" s="383"/>
      <c r="AF127" s="574">
        <f t="shared" si="35"/>
        <v>0.16325449732790864</v>
      </c>
      <c r="AG127" s="376">
        <f t="shared" si="61"/>
        <v>0.83513742630922339</v>
      </c>
      <c r="AH127" s="376">
        <f t="shared" si="47"/>
        <v>0.83674550267209136</v>
      </c>
      <c r="AI127" s="553">
        <f t="shared" si="48"/>
        <v>1.6067841008516881E-3</v>
      </c>
      <c r="AJ127" s="374"/>
      <c r="AK127" s="577">
        <f t="shared" si="36"/>
        <v>0.15834943855746456</v>
      </c>
      <c r="AL127" s="376">
        <f t="shared" si="49"/>
        <v>0.84023114018739797</v>
      </c>
      <c r="AM127" s="376">
        <f t="shared" si="50"/>
        <v>0.84165056144253547</v>
      </c>
      <c r="AN127" s="553">
        <f t="shared" si="51"/>
        <v>1.4184143532500748E-3</v>
      </c>
      <c r="AO127" s="554"/>
      <c r="AP127" s="580">
        <f t="shared" si="37"/>
        <v>0.11732191319710639</v>
      </c>
      <c r="AQ127" s="376">
        <f t="shared" si="52"/>
        <v>0.88046438148537243</v>
      </c>
      <c r="AR127" s="379">
        <f t="shared" si="53"/>
        <v>0.88267808680289361</v>
      </c>
      <c r="AS127" s="376">
        <f t="shared" si="54"/>
        <v>2.2112568789451892E-3</v>
      </c>
      <c r="AT127" s="384"/>
      <c r="AU127" s="583">
        <f t="shared" si="38"/>
        <v>0.28875724756369803</v>
      </c>
      <c r="AV127" s="381">
        <f t="shared" si="64"/>
        <v>1.2412959176261387</v>
      </c>
      <c r="AW127" s="376">
        <f t="shared" si="39"/>
        <v>1.2421689176734294</v>
      </c>
      <c r="AX127" s="503">
        <f t="shared" si="62"/>
        <v>8.7261909361502354E-4</v>
      </c>
      <c r="AY127" s="376">
        <f t="shared" si="40"/>
        <v>2.0618086102761537</v>
      </c>
      <c r="AZ127" s="381">
        <f t="shared" si="55"/>
        <v>7.9179400072606956E-3</v>
      </c>
      <c r="BA127" s="586">
        <f t="shared" si="56"/>
        <v>0.24405380838296581</v>
      </c>
      <c r="BB127" s="376">
        <f t="shared" si="57"/>
        <v>0.75488015667071107</v>
      </c>
      <c r="BC127" s="376">
        <f t="shared" si="58"/>
        <v>0.75594619161703425</v>
      </c>
      <c r="BD127" s="376">
        <f t="shared" si="59"/>
        <v>1.0654669329284161E-3</v>
      </c>
      <c r="BE127" s="283"/>
      <c r="BF127" s="283"/>
      <c r="BG127" s="283"/>
      <c r="BH127" s="283"/>
      <c r="BI127" s="283"/>
      <c r="BJ127" s="283"/>
      <c r="BK127" s="283"/>
      <c r="BL127" s="283"/>
      <c r="BM127" s="283"/>
      <c r="BN127" s="283"/>
      <c r="BO127" s="283"/>
      <c r="BP127" s="283"/>
      <c r="BQ127" s="283"/>
      <c r="BR127" s="283"/>
      <c r="BS127" s="283"/>
      <c r="BT127" s="283"/>
      <c r="BU127" s="283"/>
      <c r="BV127" s="283"/>
      <c r="BW127" s="283"/>
      <c r="BX127" s="283"/>
      <c r="BY127" s="283"/>
      <c r="BZ127" s="283"/>
      <c r="CD127" s="283"/>
      <c r="CE127" s="283"/>
      <c r="CF127" s="283"/>
      <c r="CG127" s="283"/>
      <c r="CH127" s="283"/>
      <c r="CI127" s="283"/>
      <c r="CJ127" s="283"/>
      <c r="CK127" s="283"/>
      <c r="CL127" s="283"/>
    </row>
    <row r="128" spans="1:90" ht="14.25" customHeight="1" x14ac:dyDescent="0.2">
      <c r="A128" s="3"/>
      <c r="B128" s="252"/>
      <c r="C128" s="3"/>
      <c r="D128" s="3"/>
      <c r="E128" s="3"/>
      <c r="F128" s="3"/>
      <c r="G128" s="252"/>
      <c r="H128" s="3"/>
      <c r="I128" s="3"/>
      <c r="J128" s="3"/>
      <c r="K128" s="3"/>
      <c r="L128" s="252"/>
      <c r="M128" s="3"/>
      <c r="N128" s="3"/>
      <c r="O128" s="3"/>
      <c r="P128" s="3"/>
      <c r="Q128" s="3"/>
      <c r="R128" s="3"/>
      <c r="S128" s="334"/>
      <c r="T128" s="373">
        <f t="shared" si="65"/>
        <v>102</v>
      </c>
      <c r="U128" s="334"/>
      <c r="V128" s="568">
        <f t="shared" si="60"/>
        <v>7.815885275931081E-2</v>
      </c>
      <c r="W128" s="328">
        <f t="shared" si="41"/>
        <v>0.91986332273235694</v>
      </c>
      <c r="X128" s="328">
        <f t="shared" si="42"/>
        <v>0.92184114724068922</v>
      </c>
      <c r="Y128" s="328">
        <f t="shared" si="43"/>
        <v>1.9758699022743853E-3</v>
      </c>
      <c r="Z128" s="334"/>
      <c r="AA128" s="571">
        <f t="shared" si="44"/>
        <v>0.13470386041194854</v>
      </c>
      <c r="AB128" s="327">
        <f t="shared" si="63"/>
        <v>0.86324130466334104</v>
      </c>
      <c r="AC128" s="327">
        <f t="shared" si="45"/>
        <v>0.86529613958805141</v>
      </c>
      <c r="AD128" s="327">
        <f t="shared" si="46"/>
        <v>2.0527251967215054E-3</v>
      </c>
      <c r="AE128" s="383"/>
      <c r="AF128" s="574">
        <f t="shared" si="35"/>
        <v>0.16167234014166643</v>
      </c>
      <c r="AG128" s="376">
        <f t="shared" si="61"/>
        <v>0.83674550267209136</v>
      </c>
      <c r="AH128" s="376">
        <f t="shared" si="47"/>
        <v>0.83832765985833357</v>
      </c>
      <c r="AI128" s="553">
        <f t="shared" si="48"/>
        <v>1.5809062353818737E-3</v>
      </c>
      <c r="AJ128" s="374"/>
      <c r="AK128" s="577">
        <f t="shared" si="36"/>
        <v>0.15695410606130863</v>
      </c>
      <c r="AL128" s="376">
        <f t="shared" si="49"/>
        <v>0.84165056144253547</v>
      </c>
      <c r="AM128" s="376">
        <f t="shared" si="50"/>
        <v>0.84304589393869134</v>
      </c>
      <c r="AN128" s="553">
        <f t="shared" si="51"/>
        <v>1.3943594723849762E-3</v>
      </c>
      <c r="AO128" s="554"/>
      <c r="AP128" s="580">
        <f t="shared" si="37"/>
        <v>0.11515073302357792</v>
      </c>
      <c r="AQ128" s="376">
        <f t="shared" si="52"/>
        <v>0.88267808680289361</v>
      </c>
      <c r="AR128" s="379">
        <f t="shared" si="53"/>
        <v>0.88484926697642208</v>
      </c>
      <c r="AS128" s="376">
        <f t="shared" si="54"/>
        <v>2.1688248667622867E-3</v>
      </c>
      <c r="AT128" s="384"/>
      <c r="AU128" s="583">
        <f t="shared" si="38"/>
        <v>0.28851527148079881</v>
      </c>
      <c r="AV128" s="381">
        <f t="shared" si="64"/>
        <v>1.2421689176734294</v>
      </c>
      <c r="AW128" s="376">
        <f t="shared" si="39"/>
        <v>1.2430072603593825</v>
      </c>
      <c r="AX128" s="503">
        <f t="shared" si="62"/>
        <v>8.379913749033685E-4</v>
      </c>
      <c r="AY128" s="376">
        <f t="shared" si="40"/>
        <v>2.0695580889207172</v>
      </c>
      <c r="AZ128" s="381">
        <f t="shared" si="55"/>
        <v>7.8091769168620465E-3</v>
      </c>
      <c r="BA128" s="586">
        <f t="shared" si="56"/>
        <v>0.24300275648565775</v>
      </c>
      <c r="BB128" s="376">
        <f t="shared" si="57"/>
        <v>0.75594619161703425</v>
      </c>
      <c r="BC128" s="376">
        <f t="shared" si="58"/>
        <v>0.75699724351434228</v>
      </c>
      <c r="BD128" s="376">
        <f t="shared" si="59"/>
        <v>1.0504997357296819E-3</v>
      </c>
      <c r="BE128" s="283"/>
      <c r="BF128" s="283"/>
      <c r="BG128" s="283"/>
      <c r="BH128" s="283"/>
      <c r="BI128" s="283"/>
      <c r="BJ128" s="283"/>
      <c r="BK128" s="283"/>
      <c r="BL128" s="283"/>
      <c r="BM128" s="283"/>
      <c r="BN128" s="283"/>
      <c r="BO128" s="283"/>
      <c r="BP128" s="283"/>
      <c r="BQ128" s="283"/>
      <c r="BR128" s="283"/>
      <c r="BS128" s="283"/>
      <c r="BT128" s="283"/>
      <c r="BU128" s="283"/>
      <c r="BV128" s="283"/>
      <c r="BW128" s="283"/>
      <c r="BX128" s="283"/>
      <c r="BY128" s="283"/>
      <c r="BZ128" s="283"/>
      <c r="CD128" s="283"/>
      <c r="CE128" s="283"/>
      <c r="CF128" s="283"/>
      <c r="CG128" s="283"/>
      <c r="CH128" s="283"/>
      <c r="CI128" s="283"/>
      <c r="CJ128" s="283"/>
      <c r="CK128" s="283"/>
      <c r="CL128" s="283"/>
    </row>
    <row r="129" spans="1:90" ht="14.25" customHeight="1" x14ac:dyDescent="0.2">
      <c r="A129" s="3"/>
      <c r="B129" s="252"/>
      <c r="C129" s="3"/>
      <c r="D129" s="3"/>
      <c r="E129" s="3"/>
      <c r="F129" s="3"/>
      <c r="G129" s="252"/>
      <c r="H129" s="3"/>
      <c r="I129" s="3"/>
      <c r="J129" s="3"/>
      <c r="K129" s="3"/>
      <c r="L129" s="252"/>
      <c r="M129" s="3"/>
      <c r="N129" s="3"/>
      <c r="O129" s="3"/>
      <c r="P129" s="3"/>
      <c r="Q129" s="3"/>
      <c r="R129" s="3"/>
      <c r="S129" s="334"/>
      <c r="T129" s="373">
        <f t="shared" si="65"/>
        <v>103</v>
      </c>
      <c r="U129" s="334"/>
      <c r="V129" s="568">
        <f t="shared" si="60"/>
        <v>7.6229842226290909E-2</v>
      </c>
      <c r="W129" s="328">
        <f t="shared" si="41"/>
        <v>0.92184114724068922</v>
      </c>
      <c r="X129" s="328">
        <f t="shared" si="42"/>
        <v>0.92377015777370908</v>
      </c>
      <c r="Y129" s="328">
        <f t="shared" si="43"/>
        <v>1.9271511879591641E-3</v>
      </c>
      <c r="Z129" s="334"/>
      <c r="AA129" s="571">
        <f t="shared" si="44"/>
        <v>0.13268443556235671</v>
      </c>
      <c r="AB129" s="327">
        <f t="shared" si="63"/>
        <v>0.86529613958805141</v>
      </c>
      <c r="AC129" s="327">
        <f t="shared" si="45"/>
        <v>0.86731556443764335</v>
      </c>
      <c r="AD129" s="327">
        <f t="shared" si="46"/>
        <v>2.0173871830992951E-3</v>
      </c>
      <c r="AE129" s="383"/>
      <c r="AF129" s="574">
        <f t="shared" si="35"/>
        <v>0.16011550056330826</v>
      </c>
      <c r="AG129" s="376">
        <f t="shared" si="61"/>
        <v>0.83832765985833357</v>
      </c>
      <c r="AH129" s="376">
        <f t="shared" si="47"/>
        <v>0.83988449943669174</v>
      </c>
      <c r="AI129" s="553">
        <f t="shared" si="48"/>
        <v>1.555628332275294E-3</v>
      </c>
      <c r="AJ129" s="374"/>
      <c r="AK129" s="577">
        <f t="shared" si="36"/>
        <v>0.15558226334448838</v>
      </c>
      <c r="AL129" s="376">
        <f t="shared" si="49"/>
        <v>0.84304589393869134</v>
      </c>
      <c r="AM129" s="376">
        <f t="shared" si="50"/>
        <v>0.84441773665551167</v>
      </c>
      <c r="AN129" s="553">
        <f t="shared" si="51"/>
        <v>1.3709021707434266E-3</v>
      </c>
      <c r="AO129" s="554"/>
      <c r="AP129" s="580">
        <f t="shared" si="37"/>
        <v>0.11302120993596465</v>
      </c>
      <c r="AQ129" s="376">
        <f t="shared" si="52"/>
        <v>0.88484926697642208</v>
      </c>
      <c r="AR129" s="379">
        <f t="shared" si="53"/>
        <v>0.88697879006403535</v>
      </c>
      <c r="AS129" s="376">
        <f t="shared" si="54"/>
        <v>2.1272572619842611E-3</v>
      </c>
      <c r="AT129" s="384"/>
      <c r="AU129" s="583">
        <f t="shared" si="38"/>
        <v>0.2882830925039791</v>
      </c>
      <c r="AV129" s="381">
        <f t="shared" si="64"/>
        <v>1.2430072603593825</v>
      </c>
      <c r="AW129" s="376">
        <f t="shared" si="39"/>
        <v>1.2438123215518442</v>
      </c>
      <c r="AX129" s="503">
        <f t="shared" si="62"/>
        <v>8.0473721764562356E-4</v>
      </c>
      <c r="AY129" s="376">
        <f t="shared" si="40"/>
        <v>2.0772319616902855</v>
      </c>
      <c r="AZ129" s="381">
        <f t="shared" si="55"/>
        <v>7.7029472209639883E-3</v>
      </c>
      <c r="BA129" s="586">
        <f t="shared" si="56"/>
        <v>0.24196633478001367</v>
      </c>
      <c r="BB129" s="376">
        <f t="shared" si="57"/>
        <v>0.75699724351434228</v>
      </c>
      <c r="BC129" s="376">
        <f t="shared" si="58"/>
        <v>0.75803366521998639</v>
      </c>
      <c r="BD129" s="376">
        <f t="shared" si="59"/>
        <v>1.0358848061688963E-3</v>
      </c>
      <c r="BE129" s="283"/>
      <c r="BF129" s="283"/>
      <c r="BG129" s="283"/>
      <c r="BH129" s="283"/>
      <c r="BI129" s="283"/>
      <c r="BJ129" s="283"/>
      <c r="BK129" s="283"/>
      <c r="BL129" s="283"/>
      <c r="BM129" s="283"/>
      <c r="BN129" s="283"/>
      <c r="BO129" s="283"/>
      <c r="BP129" s="283"/>
      <c r="BQ129" s="283"/>
      <c r="BR129" s="283"/>
      <c r="BS129" s="283"/>
      <c r="BT129" s="283"/>
      <c r="BU129" s="283"/>
      <c r="BV129" s="283"/>
      <c r="BW129" s="283"/>
      <c r="BX129" s="283"/>
      <c r="BY129" s="283"/>
      <c r="BZ129" s="283"/>
      <c r="CD129" s="283"/>
      <c r="CE129" s="283"/>
      <c r="CF129" s="283"/>
      <c r="CG129" s="283"/>
      <c r="CH129" s="283"/>
      <c r="CI129" s="283"/>
      <c r="CJ129" s="283"/>
      <c r="CK129" s="283"/>
      <c r="CL129" s="283"/>
    </row>
    <row r="130" spans="1:90" ht="14.25" customHeight="1" x14ac:dyDescent="0.25">
      <c r="A130" s="3"/>
      <c r="B130" s="252"/>
      <c r="C130" s="3"/>
      <c r="D130" s="3"/>
      <c r="E130" s="3"/>
      <c r="F130" s="3"/>
      <c r="G130" s="252"/>
      <c r="H130" s="3"/>
      <c r="I130" s="3"/>
      <c r="J130" s="3"/>
      <c r="K130" s="3"/>
      <c r="L130" s="252"/>
      <c r="M130" s="3"/>
      <c r="N130" s="3"/>
      <c r="O130" s="3"/>
      <c r="P130" s="3"/>
      <c r="Q130" s="3"/>
      <c r="R130" s="3"/>
      <c r="S130" s="334"/>
      <c r="T130" s="543">
        <f t="shared" si="65"/>
        <v>104</v>
      </c>
      <c r="U130" s="544"/>
      <c r="V130" s="569">
        <f t="shared" si="60"/>
        <v>7.4348440908415955E-2</v>
      </c>
      <c r="W130" s="546">
        <f t="shared" si="41"/>
        <v>0.92377015777370908</v>
      </c>
      <c r="X130" s="546">
        <f t="shared" si="42"/>
        <v>0.92565155909158403</v>
      </c>
      <c r="Y130" s="545">
        <f t="shared" si="43"/>
        <v>1.8796325918172263E-3</v>
      </c>
      <c r="Z130" s="544"/>
      <c r="AA130" s="572">
        <f t="shared" si="44"/>
        <v>0.13069969958091868</v>
      </c>
      <c r="AB130" s="547">
        <f t="shared" si="63"/>
        <v>0.86731556443764335</v>
      </c>
      <c r="AC130" s="547">
        <f t="shared" si="45"/>
        <v>0.86930030041908135</v>
      </c>
      <c r="AD130" s="547">
        <f t="shared" si="46"/>
        <v>1.9827676953714235E-3</v>
      </c>
      <c r="AE130" s="548"/>
      <c r="AF130" s="575">
        <f t="shared" si="35"/>
        <v>0.15858339548328559</v>
      </c>
      <c r="AG130" s="376">
        <f t="shared" si="61"/>
        <v>0.83988449943669174</v>
      </c>
      <c r="AH130" s="376">
        <f t="shared" si="47"/>
        <v>0.84141660451671441</v>
      </c>
      <c r="AI130" s="553">
        <f t="shared" si="48"/>
        <v>1.5309320062018017E-3</v>
      </c>
      <c r="AJ130" s="544"/>
      <c r="AK130" s="578">
        <f t="shared" si="36"/>
        <v>0.15423333094483294</v>
      </c>
      <c r="AL130" s="376">
        <f t="shared" si="49"/>
        <v>0.84441773665551167</v>
      </c>
      <c r="AM130" s="376">
        <f t="shared" si="50"/>
        <v>0.84576666905516706</v>
      </c>
      <c r="AN130" s="553">
        <f t="shared" si="51"/>
        <v>1.3480229992984816E-3</v>
      </c>
      <c r="AO130" s="556"/>
      <c r="AP130" s="581">
        <f t="shared" si="37"/>
        <v>0.11093249548749429</v>
      </c>
      <c r="AQ130" s="376">
        <f t="shared" si="52"/>
        <v>0.88697879006403535</v>
      </c>
      <c r="AR130" s="379">
        <f t="shared" si="53"/>
        <v>0.88906750451250571</v>
      </c>
      <c r="AS130" s="376">
        <f t="shared" si="54"/>
        <v>2.0865346024028231E-3</v>
      </c>
      <c r="AT130" s="549"/>
      <c r="AU130" s="584">
        <f t="shared" si="38"/>
        <v>0.28806030670149335</v>
      </c>
      <c r="AV130" s="550">
        <f t="shared" si="64"/>
        <v>1.2438123215518442</v>
      </c>
      <c r="AW130" s="545">
        <f t="shared" si="39"/>
        <v>1.2445854224978745</v>
      </c>
      <c r="AX130" s="551">
        <f t="shared" si="62"/>
        <v>7.7280218049091687E-4</v>
      </c>
      <c r="AY130" s="545">
        <f t="shared" si="40"/>
        <v>2.0848316896023795</v>
      </c>
      <c r="AZ130" s="550">
        <f t="shared" si="55"/>
        <v>7.5991681642322362E-3</v>
      </c>
      <c r="BA130" s="587">
        <f t="shared" si="56"/>
        <v>0.24094420199910324</v>
      </c>
      <c r="BB130" s="376">
        <f t="shared" si="57"/>
        <v>0.75803366521998639</v>
      </c>
      <c r="BC130" s="376">
        <f t="shared" si="58"/>
        <v>0.75905579800089673</v>
      </c>
      <c r="BD130" s="376">
        <f t="shared" si="59"/>
        <v>1.0216105811338139E-3</v>
      </c>
      <c r="BE130" s="283"/>
      <c r="BF130" s="283"/>
      <c r="BG130" s="283"/>
      <c r="BH130" s="283"/>
      <c r="BI130" s="283"/>
      <c r="BJ130" s="283"/>
      <c r="BK130" s="283"/>
      <c r="BL130" s="283"/>
      <c r="BM130" s="283"/>
      <c r="BN130" s="283"/>
      <c r="BO130" s="283"/>
      <c r="BP130" s="283"/>
      <c r="BQ130" s="283"/>
      <c r="BR130" s="283"/>
      <c r="BS130" s="283"/>
      <c r="BT130" s="283"/>
      <c r="BU130" s="283"/>
      <c r="BV130" s="283"/>
      <c r="BW130" s="283"/>
      <c r="BX130" s="283"/>
      <c r="BY130" s="283"/>
      <c r="BZ130" s="283"/>
      <c r="CD130" s="283"/>
      <c r="CE130" s="283"/>
      <c r="CF130" s="283"/>
      <c r="CG130" s="283"/>
      <c r="CH130" s="283"/>
      <c r="CI130" s="283"/>
      <c r="CJ130" s="283"/>
      <c r="CK130" s="283"/>
      <c r="CL130" s="283"/>
    </row>
    <row r="131" spans="1:90" ht="14.25" customHeight="1" x14ac:dyDescent="0.2">
      <c r="A131" s="3"/>
      <c r="B131" s="252"/>
      <c r="C131" s="3"/>
      <c r="D131" s="3"/>
      <c r="E131" s="3"/>
      <c r="F131" s="3"/>
      <c r="G131" s="252"/>
      <c r="H131" s="3"/>
      <c r="I131" s="3"/>
      <c r="J131" s="3"/>
      <c r="K131" s="3"/>
      <c r="L131" s="252"/>
      <c r="M131" s="3"/>
      <c r="N131" s="3"/>
      <c r="O131" s="3"/>
      <c r="P131" s="3"/>
      <c r="Q131" s="3"/>
      <c r="R131" s="3"/>
      <c r="S131" s="334"/>
      <c r="T131" s="373">
        <f t="shared" si="65"/>
        <v>105</v>
      </c>
      <c r="U131" s="334"/>
      <c r="V131" s="568">
        <f t="shared" si="60"/>
        <v>7.2513473779770923E-2</v>
      </c>
      <c r="W131" s="328">
        <f t="shared" si="41"/>
        <v>0.92565155909158403</v>
      </c>
      <c r="X131" s="328">
        <f t="shared" si="42"/>
        <v>0.92748652622022909</v>
      </c>
      <c r="Y131" s="328">
        <f t="shared" si="43"/>
        <v>1.8332846057454999E-3</v>
      </c>
      <c r="Z131" s="334"/>
      <c r="AA131" s="571">
        <f t="shared" si="44"/>
        <v>0.12874894910700305</v>
      </c>
      <c r="AB131" s="327">
        <f t="shared" si="63"/>
        <v>0.86930030041908135</v>
      </c>
      <c r="AC131" s="327">
        <f t="shared" si="45"/>
        <v>0.87125105089299693</v>
      </c>
      <c r="AD131" s="327">
        <f t="shared" si="46"/>
        <v>1.9488489968465528E-3</v>
      </c>
      <c r="AE131" s="383"/>
      <c r="AF131" s="574">
        <f t="shared" si="35"/>
        <v>0.15707545954328628</v>
      </c>
      <c r="AG131" s="376">
        <f t="shared" si="61"/>
        <v>0.84141660451671441</v>
      </c>
      <c r="AH131" s="376">
        <f t="shared" si="47"/>
        <v>0.84292454045671372</v>
      </c>
      <c r="AI131" s="553">
        <f t="shared" si="48"/>
        <v>1.5067995758596409E-3</v>
      </c>
      <c r="AJ131" s="374"/>
      <c r="AK131" s="577">
        <f t="shared" si="36"/>
        <v>0.15290674813427813</v>
      </c>
      <c r="AL131" s="376">
        <f t="shared" si="49"/>
        <v>0.84576666905516706</v>
      </c>
      <c r="AM131" s="376">
        <f t="shared" si="50"/>
        <v>0.84709325186572193</v>
      </c>
      <c r="AN131" s="553">
        <f t="shared" si="51"/>
        <v>1.3257032885408693E-3</v>
      </c>
      <c r="AO131" s="554"/>
      <c r="AP131" s="580">
        <f t="shared" si="37"/>
        <v>0.10888376032255387</v>
      </c>
      <c r="AQ131" s="376">
        <f t="shared" si="52"/>
        <v>0.88906750451250571</v>
      </c>
      <c r="AR131" s="379">
        <f t="shared" si="53"/>
        <v>0.89111623967744613</v>
      </c>
      <c r="AS131" s="376">
        <f t="shared" si="54"/>
        <v>2.046637939516649E-3</v>
      </c>
      <c r="AT131" s="384"/>
      <c r="AU131" s="583">
        <f t="shared" si="38"/>
        <v>0.28784652736060073</v>
      </c>
      <c r="AV131" s="381">
        <f t="shared" si="64"/>
        <v>1.2445854224978745</v>
      </c>
      <c r="AW131" s="376">
        <f t="shared" si="39"/>
        <v>1.2453278319921457</v>
      </c>
      <c r="AX131" s="503">
        <f t="shared" si="62"/>
        <v>7.421339765291135E-4</v>
      </c>
      <c r="AY131" s="376">
        <f t="shared" si="40"/>
        <v>2.0923586917301389</v>
      </c>
      <c r="AZ131" s="381">
        <f t="shared" si="55"/>
        <v>7.4977604555170425E-3</v>
      </c>
      <c r="BA131" s="586">
        <f t="shared" si="56"/>
        <v>0.23993602798014968</v>
      </c>
      <c r="BB131" s="376">
        <f t="shared" si="57"/>
        <v>0.75905579800089673</v>
      </c>
      <c r="BC131" s="376">
        <f t="shared" si="58"/>
        <v>0.76006397201985032</v>
      </c>
      <c r="BD131" s="376">
        <f t="shared" si="59"/>
        <v>1.0076659822715328E-3</v>
      </c>
      <c r="BE131" s="283"/>
      <c r="BF131" s="283"/>
      <c r="BG131" s="283"/>
      <c r="BH131" s="283"/>
      <c r="BI131" s="283"/>
      <c r="BJ131" s="283"/>
      <c r="BK131" s="283"/>
      <c r="BL131" s="283"/>
      <c r="BM131" s="283"/>
      <c r="BN131" s="283"/>
      <c r="BO131" s="283"/>
      <c r="BP131" s="283"/>
      <c r="BQ131" s="283"/>
      <c r="BR131" s="283"/>
      <c r="BS131" s="283"/>
      <c r="BT131" s="283"/>
      <c r="BU131" s="283"/>
      <c r="BV131" s="283"/>
      <c r="BW131" s="283"/>
      <c r="BX131" s="283"/>
      <c r="BY131" s="283"/>
      <c r="BZ131" s="283"/>
      <c r="CD131" s="283"/>
      <c r="CE131" s="283"/>
      <c r="CF131" s="283"/>
      <c r="CG131" s="283"/>
      <c r="CH131" s="283"/>
      <c r="CI131" s="283"/>
      <c r="CJ131" s="283"/>
      <c r="CK131" s="283"/>
      <c r="CL131" s="283"/>
    </row>
    <row r="132" spans="1:90" ht="14.25" customHeight="1" x14ac:dyDescent="0.2">
      <c r="A132" s="3"/>
      <c r="B132" s="252"/>
      <c r="C132" s="3"/>
      <c r="D132" s="3"/>
      <c r="E132" s="3"/>
      <c r="F132" s="3"/>
      <c r="G132" s="252"/>
      <c r="H132" s="3"/>
      <c r="I132" s="3"/>
      <c r="J132" s="3"/>
      <c r="K132" s="3"/>
      <c r="L132" s="252"/>
      <c r="M132" s="3"/>
      <c r="N132" s="3"/>
      <c r="O132" s="3"/>
      <c r="P132" s="3"/>
      <c r="Q132" s="3"/>
      <c r="R132" s="3"/>
      <c r="S132" s="334"/>
      <c r="T132" s="373">
        <f t="shared" si="65"/>
        <v>106</v>
      </c>
      <c r="U132" s="334"/>
      <c r="V132" s="568">
        <f t="shared" si="60"/>
        <v>7.0723794814832708E-2</v>
      </c>
      <c r="W132" s="328">
        <f t="shared" si="41"/>
        <v>0.92748652622022909</v>
      </c>
      <c r="X132" s="328">
        <f t="shared" si="42"/>
        <v>0.92927620518516729</v>
      </c>
      <c r="Y132" s="328">
        <f t="shared" si="43"/>
        <v>1.7880784444876952E-3</v>
      </c>
      <c r="Z132" s="334"/>
      <c r="AA132" s="571">
        <f t="shared" si="44"/>
        <v>0.12683149808099159</v>
      </c>
      <c r="AB132" s="327">
        <f t="shared" si="63"/>
        <v>0.87125105089299693</v>
      </c>
      <c r="AC132" s="327">
        <f t="shared" si="45"/>
        <v>0.87316850191900841</v>
      </c>
      <c r="AD132" s="327">
        <f t="shared" si="46"/>
        <v>1.9156138911858855E-3</v>
      </c>
      <c r="AE132" s="383"/>
      <c r="AF132" s="574">
        <f t="shared" si="35"/>
        <v>0.15559114446091693</v>
      </c>
      <c r="AG132" s="376">
        <f t="shared" si="61"/>
        <v>0.84292454045671372</v>
      </c>
      <c r="AH132" s="376">
        <f t="shared" si="47"/>
        <v>0.84440885553908307</v>
      </c>
      <c r="AI132" s="553">
        <f t="shared" si="48"/>
        <v>1.4832140315735876E-3</v>
      </c>
      <c r="AJ132" s="374"/>
      <c r="AK132" s="577">
        <f t="shared" si="36"/>
        <v>0.15160197217272936</v>
      </c>
      <c r="AL132" s="376">
        <f t="shared" si="49"/>
        <v>0.84709325186572193</v>
      </c>
      <c r="AM132" s="376">
        <f t="shared" si="50"/>
        <v>0.8483980278272707</v>
      </c>
      <c r="AN132" s="553">
        <f t="shared" si="51"/>
        <v>1.3039251114903561E-3</v>
      </c>
      <c r="AO132" s="554"/>
      <c r="AP132" s="580">
        <f t="shared" si="37"/>
        <v>0.10687419367374473</v>
      </c>
      <c r="AQ132" s="376">
        <f t="shared" si="52"/>
        <v>0.89111623967744613</v>
      </c>
      <c r="AR132" s="379">
        <f t="shared" si="53"/>
        <v>0.89312580632625527</v>
      </c>
      <c r="AS132" s="376">
        <f t="shared" si="54"/>
        <v>2.007548821630234E-3</v>
      </c>
      <c r="AT132" s="384"/>
      <c r="AU132" s="583">
        <f t="shared" si="38"/>
        <v>0.28764138421001934</v>
      </c>
      <c r="AV132" s="381">
        <f t="shared" si="64"/>
        <v>1.2453278319921457</v>
      </c>
      <c r="AW132" s="376">
        <f t="shared" si="39"/>
        <v>1.2460407684592583</v>
      </c>
      <c r="AX132" s="503">
        <f t="shared" si="62"/>
        <v>7.1268238829380604E-4</v>
      </c>
      <c r="AY132" s="376">
        <f t="shared" si="40"/>
        <v>2.0998143467926833</v>
      </c>
      <c r="AZ132" s="381">
        <f t="shared" si="55"/>
        <v>7.3986480915881978E-3</v>
      </c>
      <c r="BA132" s="586">
        <f t="shared" si="56"/>
        <v>0.23894149320300312</v>
      </c>
      <c r="BB132" s="376">
        <f t="shared" si="57"/>
        <v>0.76006397201985032</v>
      </c>
      <c r="BC132" s="376">
        <f t="shared" si="58"/>
        <v>0.76105850679699683</v>
      </c>
      <c r="BD132" s="376">
        <f t="shared" si="59"/>
        <v>9.9404039134320943E-4</v>
      </c>
      <c r="BE132" s="283"/>
      <c r="BF132" s="283"/>
      <c r="BG132" s="283"/>
      <c r="BH132" s="283"/>
      <c r="BI132" s="283"/>
      <c r="BJ132" s="283"/>
      <c r="BK132" s="283"/>
      <c r="BL132" s="283"/>
      <c r="BM132" s="283"/>
      <c r="BN132" s="283"/>
      <c r="BO132" s="283"/>
      <c r="BP132" s="283"/>
      <c r="BQ132" s="283"/>
      <c r="BR132" s="283"/>
      <c r="BS132" s="283"/>
      <c r="BT132" s="283"/>
      <c r="BU132" s="283"/>
      <c r="BV132" s="283"/>
      <c r="BW132" s="283"/>
      <c r="BX132" s="283"/>
      <c r="BY132" s="283"/>
      <c r="BZ132" s="283"/>
      <c r="CD132" s="283"/>
      <c r="CE132" s="283"/>
      <c r="CF132" s="283"/>
      <c r="CG132" s="283"/>
      <c r="CH132" s="283"/>
      <c r="CI132" s="283"/>
      <c r="CJ132" s="283"/>
      <c r="CK132" s="283"/>
      <c r="CL132" s="283"/>
    </row>
    <row r="133" spans="1:90" ht="14.25" customHeight="1" x14ac:dyDescent="0.2">
      <c r="A133" s="3"/>
      <c r="B133" s="252"/>
      <c r="C133" s="3"/>
      <c r="D133" s="3"/>
      <c r="E133" s="3"/>
      <c r="F133" s="3"/>
      <c r="G133" s="252"/>
      <c r="H133" s="3"/>
      <c r="I133" s="3"/>
      <c r="J133" s="3"/>
      <c r="K133" s="3"/>
      <c r="L133" s="252"/>
      <c r="M133" s="3"/>
      <c r="N133" s="3"/>
      <c r="O133" s="3"/>
      <c r="P133" s="3"/>
      <c r="Q133" s="3"/>
      <c r="R133" s="3"/>
      <c r="S133" s="334"/>
      <c r="T133" s="373">
        <f t="shared" si="65"/>
        <v>107</v>
      </c>
      <c r="U133" s="334"/>
      <c r="V133" s="568">
        <f t="shared" si="60"/>
        <v>6.8978286272721984E-2</v>
      </c>
      <c r="W133" s="328">
        <f t="shared" si="41"/>
        <v>0.92927620518516729</v>
      </c>
      <c r="X133" s="328">
        <f t="shared" si="42"/>
        <v>0.93102171372727804</v>
      </c>
      <c r="Y133" s="328">
        <f t="shared" si="43"/>
        <v>1.743986028058031E-3</v>
      </c>
      <c r="Z133" s="334"/>
      <c r="AA133" s="571">
        <f t="shared" si="44"/>
        <v>0.12494667721951838</v>
      </c>
      <c r="AB133" s="327">
        <f t="shared" si="63"/>
        <v>0.87316850191900841</v>
      </c>
      <c r="AC133" s="327">
        <f t="shared" si="45"/>
        <v>0.87505332278048165</v>
      </c>
      <c r="AD133" s="327">
        <f t="shared" si="46"/>
        <v>1.8830457020942992E-3</v>
      </c>
      <c r="AE133" s="383"/>
      <c r="AF133" s="574">
        <f t="shared" si="35"/>
        <v>0.15412991838526391</v>
      </c>
      <c r="AG133" s="376">
        <f t="shared" si="61"/>
        <v>0.84440885553908307</v>
      </c>
      <c r="AH133" s="376">
        <f t="shared" si="47"/>
        <v>0.84587008161473609</v>
      </c>
      <c r="AI133" s="553">
        <f t="shared" si="48"/>
        <v>1.4601590046382507E-3</v>
      </c>
      <c r="AJ133" s="374"/>
      <c r="AK133" s="577">
        <f t="shared" si="36"/>
        <v>0.15031847759711811</v>
      </c>
      <c r="AL133" s="376">
        <f t="shared" si="49"/>
        <v>0.8483980278272707</v>
      </c>
      <c r="AM133" s="376">
        <f t="shared" si="50"/>
        <v>0.84968152240288186</v>
      </c>
      <c r="AN133" s="553">
        <f t="shared" si="51"/>
        <v>1.2826712487312708E-3</v>
      </c>
      <c r="AO133" s="554"/>
      <c r="AP133" s="580">
        <f t="shared" si="37"/>
        <v>0.10490300287540411</v>
      </c>
      <c r="AQ133" s="376">
        <f t="shared" si="52"/>
        <v>0.89312580632625527</v>
      </c>
      <c r="AR133" s="379">
        <f t="shared" si="53"/>
        <v>0.89509699712459589</v>
      </c>
      <c r="AS133" s="376">
        <f t="shared" si="54"/>
        <v>1.969249277670948E-3</v>
      </c>
      <c r="AT133" s="384"/>
      <c r="AU133" s="583">
        <f t="shared" si="38"/>
        <v>0.28744452268077875</v>
      </c>
      <c r="AV133" s="381">
        <f t="shared" si="64"/>
        <v>1.2460407684592583</v>
      </c>
      <c r="AW133" s="376">
        <f t="shared" si="39"/>
        <v>1.2467254019533891</v>
      </c>
      <c r="AX133" s="503">
        <f t="shared" si="62"/>
        <v>6.8439918609497497E-4</v>
      </c>
      <c r="AY133" s="376">
        <f t="shared" si="40"/>
        <v>2.1071999946708173</v>
      </c>
      <c r="AZ133" s="381">
        <f t="shared" si="55"/>
        <v>7.301758191399191E-3</v>
      </c>
      <c r="BA133" s="586">
        <f t="shared" si="56"/>
        <v>0.23796028835187885</v>
      </c>
      <c r="BB133" s="376">
        <f t="shared" si="57"/>
        <v>0.76105850679699683</v>
      </c>
      <c r="BC133" s="376">
        <f t="shared" si="58"/>
        <v>0.76203971164812112</v>
      </c>
      <c r="BD133" s="376">
        <f t="shared" si="59"/>
        <v>9.8072362705037275E-4</v>
      </c>
      <c r="BE133" s="283"/>
      <c r="BF133" s="283"/>
      <c r="BG133" s="283"/>
      <c r="BH133" s="283"/>
      <c r="BI133" s="283"/>
      <c r="BJ133" s="283"/>
      <c r="BK133" s="283"/>
      <c r="BL133" s="283"/>
      <c r="BM133" s="283"/>
      <c r="BN133" s="283"/>
      <c r="BO133" s="283"/>
      <c r="BP133" s="283"/>
      <c r="BQ133" s="283"/>
      <c r="BR133" s="283"/>
      <c r="BS133" s="283"/>
      <c r="BT133" s="283"/>
      <c r="BU133" s="283"/>
      <c r="BV133" s="283"/>
      <c r="BW133" s="283"/>
      <c r="BX133" s="283"/>
      <c r="BY133" s="283"/>
      <c r="BZ133" s="283"/>
      <c r="CD133" s="283"/>
      <c r="CE133" s="283"/>
      <c r="CF133" s="283"/>
      <c r="CG133" s="283"/>
      <c r="CH133" s="283"/>
      <c r="CI133" s="283"/>
      <c r="CJ133" s="283"/>
      <c r="CK133" s="283"/>
      <c r="CL133" s="283"/>
    </row>
    <row r="134" spans="1:90" ht="14.25" customHeight="1" x14ac:dyDescent="0.25">
      <c r="A134" s="3"/>
      <c r="B134" s="252"/>
      <c r="C134" s="3"/>
      <c r="D134" s="3"/>
      <c r="E134" s="3"/>
      <c r="F134" s="3"/>
      <c r="G134" s="252"/>
      <c r="H134" s="3"/>
      <c r="I134" s="3"/>
      <c r="J134" s="3"/>
      <c r="K134" s="3"/>
      <c r="L134" s="252"/>
      <c r="M134" s="3"/>
      <c r="N134" s="3"/>
      <c r="O134" s="3"/>
      <c r="P134" s="3"/>
      <c r="Q134" s="3"/>
      <c r="R134" s="3"/>
      <c r="S134" s="334"/>
      <c r="T134" s="532">
        <f t="shared" si="65"/>
        <v>108</v>
      </c>
      <c r="U134" s="533"/>
      <c r="V134" s="534">
        <f t="shared" si="60"/>
        <v>6.7275857999120017E-2</v>
      </c>
      <c r="W134" s="534">
        <f t="shared" si="41"/>
        <v>0.93102171372727804</v>
      </c>
      <c r="X134" s="534">
        <f t="shared" si="42"/>
        <v>0.93272414200087994</v>
      </c>
      <c r="Y134" s="534">
        <f t="shared" si="43"/>
        <v>1.700979964585847E-3</v>
      </c>
      <c r="Z134" s="533"/>
      <c r="AA134" s="534">
        <f t="shared" si="44"/>
        <v>0.12309383351032643</v>
      </c>
      <c r="AB134" s="538">
        <f t="shared" si="63"/>
        <v>0.87505332278048165</v>
      </c>
      <c r="AC134" s="538">
        <f t="shared" si="45"/>
        <v>0.87690616648967357</v>
      </c>
      <c r="AD134" s="538">
        <f t="shared" si="46"/>
        <v>1.8511282539402929E-3</v>
      </c>
      <c r="AE134" s="535"/>
      <c r="AF134" s="534">
        <f t="shared" si="35"/>
        <v>0.15269126528168331</v>
      </c>
      <c r="AG134" s="534">
        <f t="shared" si="61"/>
        <v>0.84587008161473609</v>
      </c>
      <c r="AH134" s="534">
        <f t="shared" si="47"/>
        <v>0.84730873471831669</v>
      </c>
      <c r="AI134" s="532">
        <f t="shared" si="48"/>
        <v>1.4376187382947325E-3</v>
      </c>
      <c r="AJ134" s="533"/>
      <c r="AK134" s="534">
        <f t="shared" si="36"/>
        <v>0.1490557555437379</v>
      </c>
      <c r="AL134" s="534">
        <f t="shared" si="49"/>
        <v>0.84968152240288186</v>
      </c>
      <c r="AM134" s="534">
        <f t="shared" si="50"/>
        <v>0.85094424445626204</v>
      </c>
      <c r="AN134" s="532">
        <f t="shared" si="51"/>
        <v>1.2619251553436239E-3</v>
      </c>
      <c r="AO134" s="555"/>
      <c r="AP134" s="537">
        <f t="shared" si="37"/>
        <v>0.10296941289290906</v>
      </c>
      <c r="AQ134" s="534">
        <f t="shared" si="52"/>
        <v>0.89509699712459589</v>
      </c>
      <c r="AR134" s="537">
        <f t="shared" si="53"/>
        <v>0.89703058710709094</v>
      </c>
      <c r="AS134" s="534">
        <f t="shared" si="54"/>
        <v>1.931721801677444E-3</v>
      </c>
      <c r="AT134" s="536"/>
      <c r="AU134" s="534">
        <f t="shared" si="38"/>
        <v>0.28725560320333526</v>
      </c>
      <c r="AV134" s="538">
        <f t="shared" si="64"/>
        <v>1.2467254019533891</v>
      </c>
      <c r="AW134" s="534">
        <f t="shared" si="39"/>
        <v>1.2473828560785569</v>
      </c>
      <c r="AX134" s="539">
        <f t="shared" si="62"/>
        <v>6.5723804956030474E-4</v>
      </c>
      <c r="AY134" s="534">
        <f t="shared" si="40"/>
        <v>2.1145169378522302</v>
      </c>
      <c r="AZ134" s="538">
        <f t="shared" si="55"/>
        <v>7.2070208401601834E-3</v>
      </c>
      <c r="BA134" s="534">
        <f t="shared" si="56"/>
        <v>0.23699211389898625</v>
      </c>
      <c r="BB134" s="534">
        <f t="shared" si="57"/>
        <v>0.76203971164812112</v>
      </c>
      <c r="BC134" s="534">
        <f t="shared" si="58"/>
        <v>0.76300788610101378</v>
      </c>
      <c r="BD134" s="534">
        <f t="shared" si="59"/>
        <v>9.6770592322537041E-4</v>
      </c>
      <c r="BE134" s="283"/>
      <c r="BF134" s="283"/>
      <c r="BG134" s="283"/>
      <c r="BH134" s="283"/>
      <c r="BI134" s="283"/>
      <c r="BJ134" s="283"/>
      <c r="BK134" s="283"/>
      <c r="BL134" s="283"/>
      <c r="BM134" s="283"/>
      <c r="BN134" s="283"/>
      <c r="BO134" s="283"/>
      <c r="BP134" s="283"/>
      <c r="BQ134" s="283"/>
      <c r="BR134" s="283"/>
      <c r="BS134" s="283"/>
      <c r="BT134" s="283"/>
      <c r="BU134" s="283"/>
      <c r="BV134" s="283"/>
      <c r="BW134" s="283"/>
      <c r="BX134" s="283"/>
      <c r="BY134" s="283"/>
      <c r="BZ134" s="283"/>
      <c r="CD134" s="283"/>
      <c r="CE134" s="283"/>
      <c r="CF134" s="283"/>
      <c r="CG134" s="283"/>
      <c r="CH134" s="283"/>
      <c r="CI134" s="283"/>
      <c r="CJ134" s="283"/>
      <c r="CK134" s="283"/>
      <c r="CL134" s="283"/>
    </row>
    <row r="135" spans="1:90" ht="14.25" customHeight="1" x14ac:dyDescent="0.2">
      <c r="A135" s="3"/>
      <c r="B135" s="252"/>
      <c r="C135" s="3"/>
      <c r="D135" s="3"/>
      <c r="E135" s="3"/>
      <c r="F135" s="3"/>
      <c r="G135" s="252"/>
      <c r="H135" s="3"/>
      <c r="I135" s="3"/>
      <c r="J135" s="3"/>
      <c r="K135" s="3"/>
      <c r="L135" s="252"/>
      <c r="M135" s="3"/>
      <c r="N135" s="3"/>
      <c r="O135" s="3"/>
      <c r="P135" s="3"/>
      <c r="Q135" s="3"/>
      <c r="R135" s="3"/>
      <c r="S135" s="334"/>
      <c r="T135" s="373">
        <f t="shared" si="65"/>
        <v>109</v>
      </c>
      <c r="U135" s="334"/>
      <c r="V135" s="568">
        <f t="shared" si="60"/>
        <v>6.5615446745414738E-2</v>
      </c>
      <c r="W135" s="328">
        <f t="shared" si="41"/>
        <v>0.93272414200087994</v>
      </c>
      <c r="X135" s="328">
        <f t="shared" si="42"/>
        <v>0.93438455325458525</v>
      </c>
      <c r="Y135" s="328">
        <f t="shared" si="43"/>
        <v>1.6590335335724404E-3</v>
      </c>
      <c r="Z135" s="334"/>
      <c r="AA135" s="571">
        <f t="shared" si="44"/>
        <v>0.12127232972585211</v>
      </c>
      <c r="AB135" s="327">
        <f t="shared" si="63"/>
        <v>0.87690616648967357</v>
      </c>
      <c r="AC135" s="327">
        <f t="shared" si="45"/>
        <v>0.87872767027414789</v>
      </c>
      <c r="AD135" s="327">
        <f t="shared" si="46"/>
        <v>1.8198458532513451E-3</v>
      </c>
      <c r="AE135" s="383"/>
      <c r="AF135" s="574">
        <f t="shared" si="35"/>
        <v>0.15127468434427249</v>
      </c>
      <c r="AG135" s="376">
        <f t="shared" si="61"/>
        <v>0.84730873471831669</v>
      </c>
      <c r="AH135" s="376">
        <f t="shared" si="47"/>
        <v>0.84872531565572751</v>
      </c>
      <c r="AI135" s="553">
        <f t="shared" si="48"/>
        <v>1.4155780602428392E-3</v>
      </c>
      <c r="AJ135" s="374"/>
      <c r="AK135" s="577">
        <f t="shared" si="36"/>
        <v>0.14781331310206547</v>
      </c>
      <c r="AL135" s="376">
        <f t="shared" si="49"/>
        <v>0.85094424445626204</v>
      </c>
      <c r="AM135" s="376">
        <f t="shared" si="50"/>
        <v>0.85218668689793453</v>
      </c>
      <c r="AN135" s="553">
        <f t="shared" si="51"/>
        <v>1.2416709296149131E-3</v>
      </c>
      <c r="AO135" s="554"/>
      <c r="AP135" s="580">
        <f t="shared" si="37"/>
        <v>0.10107266586711228</v>
      </c>
      <c r="AQ135" s="376">
        <f t="shared" si="52"/>
        <v>0.89703058710709094</v>
      </c>
      <c r="AR135" s="379">
        <f t="shared" si="53"/>
        <v>0.89892733413288772</v>
      </c>
      <c r="AS135" s="376">
        <f t="shared" si="54"/>
        <v>1.894949337922891E-3</v>
      </c>
      <c r="AT135" s="384"/>
      <c r="AU135" s="583">
        <f t="shared" si="38"/>
        <v>0.28707430053894861</v>
      </c>
      <c r="AV135" s="381">
        <f t="shared" si="64"/>
        <v>1.2473828560785569</v>
      </c>
      <c r="AW135" s="376">
        <f t="shared" si="39"/>
        <v>1.2480142098326543</v>
      </c>
      <c r="AX135" s="503">
        <f t="shared" si="62"/>
        <v>6.3115449225314979E-4</v>
      </c>
      <c r="AY135" s="376">
        <f t="shared" si="40"/>
        <v>2.12176644281009</v>
      </c>
      <c r="AZ135" s="381">
        <f t="shared" si="55"/>
        <v>7.1143689425547992E-3</v>
      </c>
      <c r="BA135" s="586">
        <f t="shared" si="56"/>
        <v>0.23603667970876771</v>
      </c>
      <c r="BB135" s="376">
        <f t="shared" si="57"/>
        <v>0.76300788610101378</v>
      </c>
      <c r="BC135" s="376">
        <f t="shared" si="58"/>
        <v>0.76396332029123226</v>
      </c>
      <c r="BD135" s="376">
        <f t="shared" si="59"/>
        <v>9.5497790829990326E-4</v>
      </c>
      <c r="BE135" s="283"/>
      <c r="BF135" s="283"/>
      <c r="BG135" s="283"/>
      <c r="BH135" s="283"/>
      <c r="BI135" s="283"/>
      <c r="BJ135" s="283"/>
      <c r="BK135" s="283"/>
      <c r="BL135" s="283"/>
      <c r="BM135" s="283"/>
      <c r="BN135" s="283"/>
      <c r="BO135" s="283"/>
      <c r="BP135" s="283"/>
      <c r="BQ135" s="283"/>
      <c r="BR135" s="283"/>
      <c r="BS135" s="283"/>
      <c r="BT135" s="283"/>
      <c r="BU135" s="283"/>
      <c r="BV135" s="283"/>
      <c r="BW135" s="283"/>
      <c r="BX135" s="283"/>
      <c r="BY135" s="283"/>
      <c r="BZ135" s="283"/>
      <c r="CD135" s="283"/>
      <c r="CE135" s="283"/>
      <c r="CF135" s="283"/>
      <c r="CG135" s="283"/>
      <c r="CH135" s="283"/>
      <c r="CI135" s="283"/>
      <c r="CJ135" s="283"/>
      <c r="CK135" s="283"/>
      <c r="CL135" s="283"/>
    </row>
    <row r="136" spans="1:90" ht="14.25" customHeight="1" x14ac:dyDescent="0.2">
      <c r="A136" s="3"/>
      <c r="B136" s="252"/>
      <c r="C136" s="3"/>
      <c r="D136" s="3"/>
      <c r="E136" s="3"/>
      <c r="F136" s="3"/>
      <c r="G136" s="252"/>
      <c r="H136" s="3"/>
      <c r="I136" s="3"/>
      <c r="J136" s="3"/>
      <c r="K136" s="3"/>
      <c r="L136" s="252"/>
      <c r="M136" s="3"/>
      <c r="N136" s="3"/>
      <c r="O136" s="3"/>
      <c r="P136" s="3"/>
      <c r="Q136" s="3"/>
      <c r="R136" s="3"/>
      <c r="S136" s="334"/>
      <c r="T136" s="373">
        <f t="shared" si="65"/>
        <v>110</v>
      </c>
      <c r="U136" s="334"/>
      <c r="V136" s="568">
        <f t="shared" si="60"/>
        <v>6.3996015504650602E-2</v>
      </c>
      <c r="W136" s="328">
        <f t="shared" si="41"/>
        <v>0.93438455325458525</v>
      </c>
      <c r="X136" s="328">
        <f t="shared" si="42"/>
        <v>0.93600398449534938</v>
      </c>
      <c r="Y136" s="328">
        <f t="shared" si="43"/>
        <v>1.6181206695478068E-3</v>
      </c>
      <c r="Z136" s="334"/>
      <c r="AA136" s="571">
        <f t="shared" si="44"/>
        <v>0.11948154395469417</v>
      </c>
      <c r="AB136" s="327">
        <f t="shared" si="63"/>
        <v>0.87872767027414789</v>
      </c>
      <c r="AC136" s="327">
        <f t="shared" si="45"/>
        <v>0.88051845604530588</v>
      </c>
      <c r="AD136" s="327">
        <f t="shared" si="46"/>
        <v>1.7891832710397182E-3</v>
      </c>
      <c r="AE136" s="383"/>
      <c r="AF136" s="574">
        <f t="shared" si="35"/>
        <v>0.14987968943456542</v>
      </c>
      <c r="AG136" s="376">
        <f t="shared" si="61"/>
        <v>0.84872531565572751</v>
      </c>
      <c r="AH136" s="376">
        <f t="shared" si="47"/>
        <v>0.85012031056543458</v>
      </c>
      <c r="AI136" s="553">
        <f t="shared" si="48"/>
        <v>1.3940223565961363E-3</v>
      </c>
      <c r="AJ136" s="374"/>
      <c r="AK136" s="577">
        <f t="shared" si="36"/>
        <v>0.14659067269838064</v>
      </c>
      <c r="AL136" s="376">
        <f t="shared" si="49"/>
        <v>0.85218668689793453</v>
      </c>
      <c r="AM136" s="376">
        <f t="shared" si="50"/>
        <v>0.85340932730161934</v>
      </c>
      <c r="AN136" s="553">
        <f t="shared" si="51"/>
        <v>1.2218932834239249E-3</v>
      </c>
      <c r="AO136" s="554"/>
      <c r="AP136" s="580">
        <f t="shared" si="37"/>
        <v>9.9212020673283607E-2</v>
      </c>
      <c r="AQ136" s="376">
        <f t="shared" si="52"/>
        <v>0.89892733413288772</v>
      </c>
      <c r="AR136" s="379">
        <f t="shared" si="53"/>
        <v>0.90078797932671639</v>
      </c>
      <c r="AS136" s="376">
        <f t="shared" si="54"/>
        <v>1.8589152666532716E-3</v>
      </c>
      <c r="AT136" s="384"/>
      <c r="AU136" s="583">
        <f t="shared" si="38"/>
        <v>0.28690030314344711</v>
      </c>
      <c r="AV136" s="381">
        <f t="shared" si="64"/>
        <v>1.2480142098326543</v>
      </c>
      <c r="AW136" s="376">
        <f t="shared" si="39"/>
        <v>1.2486204993782724</v>
      </c>
      <c r="AX136" s="503">
        <f t="shared" si="62"/>
        <v>6.061057892499111E-4</v>
      </c>
      <c r="AY136" s="376">
        <f t="shared" si="40"/>
        <v>2.1289497413186949</v>
      </c>
      <c r="AZ136" s="381">
        <f t="shared" si="55"/>
        <v>7.0237380844862772E-3</v>
      </c>
      <c r="BA136" s="586">
        <f t="shared" si="56"/>
        <v>0.23509370466154875</v>
      </c>
      <c r="BB136" s="376">
        <f t="shared" si="57"/>
        <v>0.76396332029123226</v>
      </c>
      <c r="BC136" s="376">
        <f t="shared" si="58"/>
        <v>0.76490629533845123</v>
      </c>
      <c r="BD136" s="376">
        <f t="shared" si="59"/>
        <v>9.425305859653843E-4</v>
      </c>
      <c r="BE136" s="283"/>
      <c r="BF136" s="283"/>
      <c r="BG136" s="283"/>
      <c r="BH136" s="283"/>
      <c r="BI136" s="283"/>
      <c r="BJ136" s="283"/>
      <c r="BK136" s="283"/>
      <c r="BL136" s="283"/>
      <c r="BM136" s="283"/>
      <c r="BN136" s="283"/>
      <c r="BO136" s="283"/>
      <c r="BP136" s="283"/>
      <c r="BQ136" s="283"/>
      <c r="BR136" s="283"/>
      <c r="BS136" s="283"/>
      <c r="BT136" s="283"/>
      <c r="BU136" s="283"/>
      <c r="BV136" s="283"/>
      <c r="BW136" s="283"/>
      <c r="BX136" s="283"/>
      <c r="BY136" s="283"/>
      <c r="BZ136" s="283"/>
      <c r="CD136" s="283"/>
      <c r="CE136" s="283"/>
      <c r="CF136" s="283"/>
      <c r="CG136" s="283"/>
      <c r="CH136" s="283"/>
      <c r="CI136" s="283"/>
      <c r="CJ136" s="283"/>
      <c r="CK136" s="283"/>
      <c r="CL136" s="283"/>
    </row>
    <row r="137" spans="1:90" ht="14.25" customHeight="1" x14ac:dyDescent="0.2">
      <c r="A137" s="3"/>
      <c r="B137" s="252"/>
      <c r="C137" s="3"/>
      <c r="D137" s="3"/>
      <c r="E137" s="3"/>
      <c r="F137" s="3"/>
      <c r="G137" s="252"/>
      <c r="H137" s="3"/>
      <c r="I137" s="3"/>
      <c r="J137" s="3"/>
      <c r="K137" s="3"/>
      <c r="L137" s="252"/>
      <c r="M137" s="3"/>
      <c r="N137" s="3"/>
      <c r="O137" s="3"/>
      <c r="P137" s="3"/>
      <c r="Q137" s="3"/>
      <c r="R137" s="3"/>
      <c r="S137" s="334"/>
      <c r="T137" s="373">
        <f t="shared" si="65"/>
        <v>111</v>
      </c>
      <c r="U137" s="334"/>
      <c r="V137" s="568">
        <f t="shared" si="60"/>
        <v>6.2416552863867776E-2</v>
      </c>
      <c r="W137" s="328">
        <f t="shared" si="41"/>
        <v>0.93600398449534938</v>
      </c>
      <c r="X137" s="328">
        <f t="shared" si="42"/>
        <v>0.93758344713613218</v>
      </c>
      <c r="Y137" s="328">
        <f t="shared" si="43"/>
        <v>1.5782159461216194E-3</v>
      </c>
      <c r="Z137" s="334"/>
      <c r="AA137" s="571">
        <f t="shared" si="44"/>
        <v>0.11772086915017081</v>
      </c>
      <c r="AB137" s="327">
        <f t="shared" si="63"/>
        <v>0.88051845604530588</v>
      </c>
      <c r="AC137" s="327">
        <f t="shared" si="45"/>
        <v>0.88227913084982923</v>
      </c>
      <c r="AD137" s="327">
        <f t="shared" si="46"/>
        <v>1.7591257259143012E-3</v>
      </c>
      <c r="AE137" s="383"/>
      <c r="AF137" s="574">
        <f t="shared" si="35"/>
        <v>0.14850580854508955</v>
      </c>
      <c r="AG137" s="376">
        <f t="shared" si="61"/>
        <v>0.85012031056543458</v>
      </c>
      <c r="AH137" s="376">
        <f t="shared" si="47"/>
        <v>0.85149419145491045</v>
      </c>
      <c r="AI137" s="553">
        <f t="shared" si="48"/>
        <v>1.3729375471893679E-3</v>
      </c>
      <c r="AJ137" s="374"/>
      <c r="AK137" s="577">
        <f t="shared" si="36"/>
        <v>0.14538737150760087</v>
      </c>
      <c r="AL137" s="376">
        <f t="shared" si="49"/>
        <v>0.85340932730161934</v>
      </c>
      <c r="AM137" s="376">
        <f t="shared" si="50"/>
        <v>0.85461262849239916</v>
      </c>
      <c r="AN137" s="553">
        <f t="shared" si="51"/>
        <v>1.2025775141980555E-3</v>
      </c>
      <c r="AO137" s="554"/>
      <c r="AP137" s="580">
        <f t="shared" si="37"/>
        <v>9.7386752493979767E-2</v>
      </c>
      <c r="AQ137" s="376">
        <f t="shared" si="52"/>
        <v>0.90078797932671639</v>
      </c>
      <c r="AR137" s="379">
        <f t="shared" si="53"/>
        <v>0.90261324750602023</v>
      </c>
      <c r="AS137" s="376">
        <f t="shared" si="54"/>
        <v>1.8236033903901161E-3</v>
      </c>
      <c r="AT137" s="384"/>
      <c r="AU137" s="583">
        <f t="shared" si="38"/>
        <v>0.28673331256162132</v>
      </c>
      <c r="AV137" s="381">
        <f t="shared" si="64"/>
        <v>1.2486204993782724</v>
      </c>
      <c r="AW137" s="376">
        <f t="shared" si="39"/>
        <v>1.2492027197432267</v>
      </c>
      <c r="AX137" s="503">
        <f t="shared" si="62"/>
        <v>5.8205090756646705E-4</v>
      </c>
      <c r="AY137" s="376">
        <f t="shared" si="40"/>
        <v>2.1360680317095775</v>
      </c>
      <c r="AZ137" s="381">
        <f t="shared" si="55"/>
        <v>6.9350664027853339E-3</v>
      </c>
      <c r="BA137" s="586">
        <f t="shared" si="56"/>
        <v>0.23416291629548888</v>
      </c>
      <c r="BB137" s="376">
        <f t="shared" si="57"/>
        <v>0.76490629533845123</v>
      </c>
      <c r="BC137" s="376">
        <f t="shared" si="58"/>
        <v>0.76583708370451109</v>
      </c>
      <c r="BD137" s="376">
        <f t="shared" si="59"/>
        <v>9.3035531693808071E-4</v>
      </c>
      <c r="BE137" s="283"/>
      <c r="BF137" s="283"/>
      <c r="BG137" s="283"/>
      <c r="BH137" s="283"/>
      <c r="BI137" s="283"/>
      <c r="BJ137" s="283"/>
      <c r="BK137" s="283"/>
      <c r="BL137" s="283"/>
      <c r="BM137" s="283"/>
      <c r="BN137" s="283"/>
      <c r="BO137" s="283"/>
      <c r="BP137" s="283"/>
      <c r="BQ137" s="283"/>
      <c r="BR137" s="283"/>
      <c r="BS137" s="283"/>
      <c r="BT137" s="283"/>
      <c r="BU137" s="283"/>
      <c r="BV137" s="283"/>
      <c r="BW137" s="283"/>
      <c r="BX137" s="283"/>
      <c r="BY137" s="283"/>
      <c r="BZ137" s="283"/>
      <c r="CD137" s="283"/>
      <c r="CE137" s="283"/>
      <c r="CF137" s="283"/>
      <c r="CG137" s="283"/>
      <c r="CH137" s="283"/>
      <c r="CI137" s="283"/>
      <c r="CJ137" s="283"/>
      <c r="CK137" s="283"/>
      <c r="CL137" s="283"/>
    </row>
    <row r="138" spans="1:90" ht="14.25" customHeight="1" x14ac:dyDescent="0.2">
      <c r="A138" s="3"/>
      <c r="B138" s="252"/>
      <c r="C138" s="3"/>
      <c r="D138" s="3"/>
      <c r="E138" s="3"/>
      <c r="F138" s="3"/>
      <c r="G138" s="252"/>
      <c r="H138" s="3"/>
      <c r="I138" s="3"/>
      <c r="J138" s="3"/>
      <c r="K138" s="3"/>
      <c r="L138" s="252"/>
      <c r="M138" s="3"/>
      <c r="N138" s="3"/>
      <c r="O138" s="3"/>
      <c r="P138" s="3"/>
      <c r="Q138" s="3"/>
      <c r="R138" s="3"/>
      <c r="S138" s="334"/>
      <c r="T138" s="373">
        <f t="shared" si="65"/>
        <v>112</v>
      </c>
      <c r="U138" s="334"/>
      <c r="V138" s="568">
        <f t="shared" si="60"/>
        <v>6.087607237242592E-2</v>
      </c>
      <c r="W138" s="328">
        <f t="shared" si="41"/>
        <v>0.93758344713613218</v>
      </c>
      <c r="X138" s="328">
        <f t="shared" si="42"/>
        <v>0.93912392762757413</v>
      </c>
      <c r="Y138" s="328">
        <f t="shared" si="43"/>
        <v>1.5392945604156827E-3</v>
      </c>
      <c r="Z138" s="334"/>
      <c r="AA138" s="571">
        <f t="shared" si="44"/>
        <v>0.11598971269520882</v>
      </c>
      <c r="AB138" s="327">
        <f t="shared" si="63"/>
        <v>0.88227913084982923</v>
      </c>
      <c r="AC138" s="327">
        <f t="shared" si="45"/>
        <v>0.88401028730479114</v>
      </c>
      <c r="AD138" s="327">
        <f t="shared" si="46"/>
        <v>1.7296588679366343E-3</v>
      </c>
      <c r="AE138" s="383"/>
      <c r="AF138" s="574">
        <f t="shared" si="35"/>
        <v>0.14715258328649028</v>
      </c>
      <c r="AG138" s="376">
        <f t="shared" si="61"/>
        <v>0.85149419145491045</v>
      </c>
      <c r="AH138" s="376">
        <f t="shared" si="47"/>
        <v>0.85284741671350972</v>
      </c>
      <c r="AI138" s="553">
        <f t="shared" si="48"/>
        <v>1.3523100621678497E-3</v>
      </c>
      <c r="AJ138" s="374"/>
      <c r="AK138" s="577">
        <f t="shared" si="36"/>
        <v>0.14420296089184209</v>
      </c>
      <c r="AL138" s="376">
        <f t="shared" si="49"/>
        <v>0.85461262849239916</v>
      </c>
      <c r="AM138" s="376">
        <f t="shared" si="50"/>
        <v>0.85579703910815796</v>
      </c>
      <c r="AN138" s="553">
        <f t="shared" si="51"/>
        <v>1.1837094783443414E-3</v>
      </c>
      <c r="AO138" s="554"/>
      <c r="AP138" s="580">
        <f t="shared" si="37"/>
        <v>9.5596152405276302E-2</v>
      </c>
      <c r="AQ138" s="376">
        <f t="shared" si="52"/>
        <v>0.90261324750602023</v>
      </c>
      <c r="AR138" s="379">
        <f t="shared" si="53"/>
        <v>0.9044038475947237</v>
      </c>
      <c r="AS138" s="376">
        <f t="shared" si="54"/>
        <v>1.7889979207880158E-3</v>
      </c>
      <c r="AT138" s="384"/>
      <c r="AU138" s="583">
        <f t="shared" si="38"/>
        <v>0.28657304285059892</v>
      </c>
      <c r="AV138" s="381">
        <f t="shared" si="64"/>
        <v>1.2492027197432267</v>
      </c>
      <c r="AW138" s="376">
        <f t="shared" si="39"/>
        <v>1.2497618264535726</v>
      </c>
      <c r="AX138" s="503">
        <f t="shared" si="62"/>
        <v>5.589504393145317E-4</v>
      </c>
      <c r="AY138" s="376">
        <f t="shared" si="40"/>
        <v>2.1431224800712934</v>
      </c>
      <c r="AZ138" s="381">
        <f t="shared" si="55"/>
        <v>6.8482944623541172E-3</v>
      </c>
      <c r="BA138" s="586">
        <f t="shared" si="56"/>
        <v>0.23324405046578103</v>
      </c>
      <c r="BB138" s="376">
        <f t="shared" si="57"/>
        <v>0.76583708370451109</v>
      </c>
      <c r="BC138" s="376">
        <f t="shared" si="58"/>
        <v>0.76675594953421899</v>
      </c>
      <c r="BD138" s="376">
        <f t="shared" si="59"/>
        <v>9.1844380177363849E-4</v>
      </c>
      <c r="BE138" s="283"/>
      <c r="BF138" s="283"/>
      <c r="BG138" s="283"/>
      <c r="BH138" s="283"/>
      <c r="BI138" s="283"/>
      <c r="BJ138" s="283"/>
      <c r="BK138" s="283"/>
      <c r="BL138" s="283"/>
      <c r="BM138" s="283"/>
      <c r="BN138" s="283"/>
      <c r="BO138" s="283"/>
      <c r="BP138" s="283"/>
      <c r="BQ138" s="283"/>
      <c r="BR138" s="283"/>
      <c r="BS138" s="283"/>
      <c r="BT138" s="283"/>
      <c r="BU138" s="283"/>
      <c r="BV138" s="283"/>
      <c r="BW138" s="283"/>
      <c r="BX138" s="283"/>
      <c r="BY138" s="283"/>
      <c r="BZ138" s="283"/>
      <c r="CD138" s="283"/>
      <c r="CE138" s="283"/>
      <c r="CF138" s="283"/>
      <c r="CG138" s="283"/>
      <c r="CH138" s="283"/>
      <c r="CI138" s="283"/>
      <c r="CJ138" s="283"/>
      <c r="CK138" s="283"/>
      <c r="CL138" s="283"/>
    </row>
    <row r="139" spans="1:90" ht="14.25" customHeight="1" x14ac:dyDescent="0.2">
      <c r="A139" s="3"/>
      <c r="B139" s="252"/>
      <c r="C139" s="3"/>
      <c r="D139" s="3"/>
      <c r="E139" s="3"/>
      <c r="F139" s="3"/>
      <c r="G139" s="252"/>
      <c r="H139" s="3"/>
      <c r="I139" s="3"/>
      <c r="J139" s="3"/>
      <c r="K139" s="3"/>
      <c r="L139" s="252"/>
      <c r="M139" s="3"/>
      <c r="N139" s="3"/>
      <c r="O139" s="3"/>
      <c r="P139" s="3"/>
      <c r="Q139" s="3"/>
      <c r="R139" s="3"/>
      <c r="S139" s="334"/>
      <c r="T139" s="373">
        <f t="shared" si="65"/>
        <v>113</v>
      </c>
      <c r="U139" s="334"/>
      <c r="V139" s="568">
        <f t="shared" si="60"/>
        <v>5.9373611925918113E-2</v>
      </c>
      <c r="W139" s="328">
        <f t="shared" si="41"/>
        <v>0.93912392762757413</v>
      </c>
      <c r="X139" s="328">
        <f t="shared" si="42"/>
        <v>0.94062638807408194</v>
      </c>
      <c r="Y139" s="328">
        <f t="shared" si="43"/>
        <v>1.5013323178714177E-3</v>
      </c>
      <c r="Z139" s="334"/>
      <c r="AA139" s="571">
        <f t="shared" si="44"/>
        <v>0.11428749598285004</v>
      </c>
      <c r="AB139" s="327">
        <f t="shared" si="63"/>
        <v>0.88401028730479114</v>
      </c>
      <c r="AC139" s="327">
        <f t="shared" si="45"/>
        <v>0.88571250401714996</v>
      </c>
      <c r="AD139" s="327">
        <f t="shared" si="46"/>
        <v>1.7007687631818147E-3</v>
      </c>
      <c r="AE139" s="383"/>
      <c r="AF139" s="574">
        <f t="shared" si="35"/>
        <v>0.14581956839702215</v>
      </c>
      <c r="AG139" s="376">
        <f t="shared" si="61"/>
        <v>0.85284741671350972</v>
      </c>
      <c r="AH139" s="376">
        <f t="shared" si="47"/>
        <v>0.85418043160297785</v>
      </c>
      <c r="AI139" s="553">
        <f t="shared" si="48"/>
        <v>1.3321268197675762E-3</v>
      </c>
      <c r="AJ139" s="374"/>
      <c r="AK139" s="577">
        <f t="shared" si="36"/>
        <v>0.14303700586430515</v>
      </c>
      <c r="AL139" s="376">
        <f t="shared" si="49"/>
        <v>0.85579703910815796</v>
      </c>
      <c r="AM139" s="376">
        <f t="shared" si="50"/>
        <v>0.85696299413569488</v>
      </c>
      <c r="AN139" s="553">
        <f t="shared" si="51"/>
        <v>1.165275566073265E-3</v>
      </c>
      <c r="AO139" s="554"/>
      <c r="AP139" s="580">
        <f t="shared" si="37"/>
        <v>9.3839526975838305E-2</v>
      </c>
      <c r="AQ139" s="376">
        <f t="shared" si="52"/>
        <v>0.9044038475947237</v>
      </c>
      <c r="AR139" s="379">
        <f t="shared" si="53"/>
        <v>0.90616047302416169</v>
      </c>
      <c r="AS139" s="376">
        <f t="shared" si="54"/>
        <v>1.7550834660045034E-3</v>
      </c>
      <c r="AT139" s="384"/>
      <c r="AU139" s="583">
        <f t="shared" si="38"/>
        <v>0.28641922003065023</v>
      </c>
      <c r="AV139" s="381">
        <f t="shared" si="64"/>
        <v>1.2497618264535726</v>
      </c>
      <c r="AW139" s="376">
        <f t="shared" si="39"/>
        <v>1.2502987371017913</v>
      </c>
      <c r="AX139" s="503">
        <f t="shared" si="62"/>
        <v>5.3676653748935266E-4</v>
      </c>
      <c r="AY139" s="376">
        <f t="shared" si="40"/>
        <v>2.1501142213958722</v>
      </c>
      <c r="AZ139" s="381">
        <f t="shared" si="55"/>
        <v>6.7633651402601441E-3</v>
      </c>
      <c r="BA139" s="586">
        <f t="shared" si="56"/>
        <v>0.23233685102013521</v>
      </c>
      <c r="BB139" s="376">
        <f t="shared" si="57"/>
        <v>0.76675594953421899</v>
      </c>
      <c r="BC139" s="376">
        <f t="shared" si="58"/>
        <v>0.76766314897986476</v>
      </c>
      <c r="BD139" s="376">
        <f t="shared" si="59"/>
        <v>9.067880646396187E-4</v>
      </c>
      <c r="BE139" s="283"/>
      <c r="BF139" s="283"/>
      <c r="BG139" s="283"/>
      <c r="BH139" s="283"/>
      <c r="BI139" s="283"/>
      <c r="BJ139" s="283"/>
      <c r="BK139" s="283"/>
      <c r="BL139" s="283"/>
      <c r="BM139" s="283"/>
      <c r="BN139" s="283"/>
      <c r="BO139" s="283"/>
      <c r="BP139" s="283"/>
      <c r="BQ139" s="283"/>
      <c r="BR139" s="283"/>
      <c r="BS139" s="283"/>
      <c r="BT139" s="283"/>
      <c r="BU139" s="283"/>
      <c r="BV139" s="283"/>
      <c r="BW139" s="283"/>
      <c r="BX139" s="283"/>
      <c r="BY139" s="283"/>
      <c r="BZ139" s="283"/>
      <c r="CD139" s="283"/>
      <c r="CE139" s="283"/>
      <c r="CF139" s="283"/>
      <c r="CG139" s="283"/>
      <c r="CH139" s="283"/>
      <c r="CI139" s="283"/>
      <c r="CJ139" s="283"/>
      <c r="CK139" s="283"/>
      <c r="CL139" s="283"/>
    </row>
    <row r="140" spans="1:90" ht="14.25" customHeight="1" x14ac:dyDescent="0.2">
      <c r="A140" s="3"/>
      <c r="B140" s="252"/>
      <c r="C140" s="3"/>
      <c r="D140" s="3"/>
      <c r="E140" s="3"/>
      <c r="F140" s="3"/>
      <c r="G140" s="252"/>
      <c r="H140" s="3"/>
      <c r="I140" s="3"/>
      <c r="J140" s="3"/>
      <c r="K140" s="3"/>
      <c r="L140" s="252"/>
      <c r="M140" s="3"/>
      <c r="N140" s="3"/>
      <c r="O140" s="3"/>
      <c r="P140" s="3"/>
      <c r="Q140" s="3"/>
      <c r="R140" s="3"/>
      <c r="S140" s="334"/>
      <c r="T140" s="373">
        <f t="shared" si="65"/>
        <v>114</v>
      </c>
      <c r="U140" s="334"/>
      <c r="V140" s="568">
        <f t="shared" si="60"/>
        <v>5.7908233165290271E-2</v>
      </c>
      <c r="W140" s="328">
        <f t="shared" si="41"/>
        <v>0.94062638807408194</v>
      </c>
      <c r="X140" s="328">
        <f t="shared" si="42"/>
        <v>0.94209176683470974</v>
      </c>
      <c r="Y140" s="328">
        <f t="shared" si="43"/>
        <v>1.4643056174228342E-3</v>
      </c>
      <c r="Z140" s="334"/>
      <c r="AA140" s="571">
        <f t="shared" si="44"/>
        <v>0.11261365401169583</v>
      </c>
      <c r="AB140" s="327">
        <f t="shared" si="63"/>
        <v>0.88571250401714996</v>
      </c>
      <c r="AC140" s="327">
        <f t="shared" si="45"/>
        <v>0.88738634598830413</v>
      </c>
      <c r="AD140" s="327">
        <f t="shared" si="46"/>
        <v>1.6724418789686446E-3</v>
      </c>
      <c r="AE140" s="383"/>
      <c r="AF140" s="574">
        <f t="shared" si="35"/>
        <v>0.14450633127326062</v>
      </c>
      <c r="AG140" s="376">
        <f t="shared" si="61"/>
        <v>0.85418043160297785</v>
      </c>
      <c r="AH140" s="376">
        <f t="shared" si="47"/>
        <v>0.85549366872673938</v>
      </c>
      <c r="AI140" s="553">
        <f t="shared" si="48"/>
        <v>1.3123752052323079E-3</v>
      </c>
      <c r="AJ140" s="374"/>
      <c r="AK140" s="577">
        <f t="shared" si="36"/>
        <v>0.14188908457717089</v>
      </c>
      <c r="AL140" s="376">
        <f t="shared" si="49"/>
        <v>0.85696299413569488</v>
      </c>
      <c r="AM140" s="376">
        <f t="shared" si="50"/>
        <v>0.85811091542282913</v>
      </c>
      <c r="AN140" s="553">
        <f t="shared" si="51"/>
        <v>1.1472626775282935E-3</v>
      </c>
      <c r="AO140" s="554"/>
      <c r="AP140" s="580">
        <f t="shared" si="37"/>
        <v>9.2116197878321371E-2</v>
      </c>
      <c r="AQ140" s="376">
        <f t="shared" si="52"/>
        <v>0.90616047302416169</v>
      </c>
      <c r="AR140" s="379">
        <f t="shared" si="53"/>
        <v>0.90788380212167863</v>
      </c>
      <c r="AS140" s="376">
        <f t="shared" si="54"/>
        <v>1.7218450185689793E-3</v>
      </c>
      <c r="AT140" s="384"/>
      <c r="AU140" s="583">
        <f t="shared" si="38"/>
        <v>0.28627158156197219</v>
      </c>
      <c r="AV140" s="381">
        <f t="shared" si="64"/>
        <v>1.2502987371017913</v>
      </c>
      <c r="AW140" s="376">
        <f t="shared" si="39"/>
        <v>1.2508143328527206</v>
      </c>
      <c r="AX140" s="503">
        <f t="shared" si="62"/>
        <v>5.1546285428138994E-4</v>
      </c>
      <c r="AY140" s="376">
        <f t="shared" si="40"/>
        <v>2.157044360674766</v>
      </c>
      <c r="AZ140" s="381">
        <f t="shared" si="55"/>
        <v>6.6802235163295337E-3</v>
      </c>
      <c r="BA140" s="586">
        <f t="shared" si="56"/>
        <v>0.23144106948962503</v>
      </c>
      <c r="BB140" s="376">
        <f t="shared" si="57"/>
        <v>0.76766314897986476</v>
      </c>
      <c r="BC140" s="376">
        <f t="shared" si="58"/>
        <v>0.76855893051037494</v>
      </c>
      <c r="BD140" s="376">
        <f t="shared" si="59"/>
        <v>8.9538043800763134E-4</v>
      </c>
      <c r="BE140" s="283"/>
      <c r="BF140" s="283"/>
      <c r="BG140" s="283"/>
      <c r="BH140" s="283"/>
      <c r="BI140" s="283"/>
      <c r="BJ140" s="283"/>
      <c r="BK140" s="283"/>
      <c r="BL140" s="283"/>
      <c r="BM140" s="283"/>
      <c r="BN140" s="283"/>
      <c r="BO140" s="283"/>
      <c r="BP140" s="283"/>
      <c r="BQ140" s="283"/>
      <c r="BR140" s="283"/>
      <c r="BS140" s="283"/>
      <c r="BT140" s="283"/>
      <c r="BU140" s="283"/>
      <c r="BV140" s="283"/>
      <c r="BW140" s="283"/>
      <c r="BX140" s="283"/>
      <c r="BY140" s="283"/>
      <c r="BZ140" s="283"/>
      <c r="CD140" s="283"/>
      <c r="CE140" s="283"/>
      <c r="CF140" s="283"/>
      <c r="CG140" s="283"/>
      <c r="CH140" s="283"/>
      <c r="CI140" s="283"/>
      <c r="CJ140" s="283"/>
      <c r="CK140" s="283"/>
      <c r="CL140" s="283"/>
    </row>
    <row r="141" spans="1:90" ht="14.25" customHeight="1" x14ac:dyDescent="0.2">
      <c r="A141" s="3"/>
      <c r="B141" s="252"/>
      <c r="C141" s="3"/>
      <c r="D141" s="3"/>
      <c r="E141" s="3"/>
      <c r="F141" s="3"/>
      <c r="G141" s="252"/>
      <c r="H141" s="3"/>
      <c r="I141" s="3"/>
      <c r="J141" s="3"/>
      <c r="K141" s="3"/>
      <c r="L141" s="252"/>
      <c r="M141" s="3"/>
      <c r="N141" s="3"/>
      <c r="O141" s="3"/>
      <c r="P141" s="3"/>
      <c r="Q141" s="3"/>
      <c r="R141" s="3"/>
      <c r="S141" s="334"/>
      <c r="T141" s="373">
        <f t="shared" si="65"/>
        <v>115</v>
      </c>
      <c r="U141" s="334"/>
      <c r="V141" s="568">
        <f t="shared" si="60"/>
        <v>5.647902089079062E-2</v>
      </c>
      <c r="W141" s="328">
        <f t="shared" si="41"/>
        <v>0.94209176683470974</v>
      </c>
      <c r="X141" s="328">
        <f t="shared" si="42"/>
        <v>0.9435209791092094</v>
      </c>
      <c r="Y141" s="328">
        <f t="shared" si="43"/>
        <v>1.428191437025883E-3</v>
      </c>
      <c r="Z141" s="334"/>
      <c r="AA141" s="571">
        <f t="shared" si="44"/>
        <v>0.11096763499564687</v>
      </c>
      <c r="AB141" s="327">
        <f t="shared" si="63"/>
        <v>0.88738634598830413</v>
      </c>
      <c r="AC141" s="327">
        <f t="shared" si="45"/>
        <v>0.88903236500435312</v>
      </c>
      <c r="AD141" s="327">
        <f t="shared" si="46"/>
        <v>1.6446650697240495E-3</v>
      </c>
      <c r="AE141" s="383"/>
      <c r="AF141" s="574">
        <f t="shared" si="35"/>
        <v>0.14321245152096518</v>
      </c>
      <c r="AG141" s="376">
        <f t="shared" si="61"/>
        <v>0.85549366872673938</v>
      </c>
      <c r="AH141" s="376">
        <f t="shared" si="47"/>
        <v>0.85678754847903482</v>
      </c>
      <c r="AI141" s="553">
        <f t="shared" si="48"/>
        <v>1.2930430507913648E-3</v>
      </c>
      <c r="AJ141" s="374"/>
      <c r="AK141" s="577">
        <f t="shared" si="36"/>
        <v>0.14075878783226459</v>
      </c>
      <c r="AL141" s="376">
        <f t="shared" si="49"/>
        <v>0.85811091542282913</v>
      </c>
      <c r="AM141" s="376">
        <f t="shared" si="50"/>
        <v>0.85924121216773541</v>
      </c>
      <c r="AN141" s="553">
        <f t="shared" si="51"/>
        <v>1.1296582001448785E-3</v>
      </c>
      <c r="AO141" s="554"/>
      <c r="AP141" s="580">
        <f t="shared" si="37"/>
        <v>9.0425501512628514E-2</v>
      </c>
      <c r="AQ141" s="376">
        <f t="shared" si="52"/>
        <v>0.90788380212167863</v>
      </c>
      <c r="AR141" s="379">
        <f t="shared" si="53"/>
        <v>0.90957449848737149</v>
      </c>
      <c r="AS141" s="376">
        <f t="shared" si="54"/>
        <v>1.6892679437150449E-3</v>
      </c>
      <c r="AT141" s="384"/>
      <c r="AU141" s="583">
        <f t="shared" si="38"/>
        <v>0.28612987584608174</v>
      </c>
      <c r="AV141" s="381">
        <f t="shared" si="64"/>
        <v>1.2508143328527206</v>
      </c>
      <c r="AW141" s="376">
        <f t="shared" si="39"/>
        <v>1.2513094598897028</v>
      </c>
      <c r="AX141" s="503">
        <f t="shared" si="62"/>
        <v>4.9500448181838408E-4</v>
      </c>
      <c r="AY141" s="376">
        <f t="shared" si="40"/>
        <v>2.1639139739469413</v>
      </c>
      <c r="AZ141" s="381">
        <f t="shared" si="55"/>
        <v>6.598816769821823E-3</v>
      </c>
      <c r="BA141" s="586">
        <f t="shared" si="56"/>
        <v>0.23055646479405134</v>
      </c>
      <c r="BB141" s="376">
        <f t="shared" si="57"/>
        <v>0.76855893051037494</v>
      </c>
      <c r="BC141" s="376">
        <f t="shared" si="58"/>
        <v>0.76944353520594866</v>
      </c>
      <c r="BD141" s="376">
        <f t="shared" si="59"/>
        <v>8.8421354818546405E-4</v>
      </c>
      <c r="BE141" s="283"/>
      <c r="BF141" s="283"/>
      <c r="BG141" s="283"/>
      <c r="BH141" s="283"/>
      <c r="BI141" s="283"/>
      <c r="BJ141" s="283"/>
      <c r="BK141" s="283"/>
      <c r="BL141" s="283"/>
      <c r="BM141" s="283"/>
      <c r="BN141" s="283"/>
      <c r="BO141" s="283"/>
      <c r="BP141" s="283"/>
      <c r="BQ141" s="283"/>
      <c r="BR141" s="283"/>
      <c r="BS141" s="283"/>
      <c r="BT141" s="283"/>
      <c r="BU141" s="283"/>
      <c r="BV141" s="283"/>
      <c r="BW141" s="283"/>
      <c r="BX141" s="283"/>
      <c r="BY141" s="283"/>
      <c r="BZ141" s="283"/>
      <c r="CD141" s="283"/>
      <c r="CE141" s="283"/>
      <c r="CF141" s="283"/>
      <c r="CG141" s="283"/>
      <c r="CH141" s="283"/>
      <c r="CI141" s="283"/>
      <c r="CJ141" s="283"/>
      <c r="CK141" s="283"/>
      <c r="CL141" s="283"/>
    </row>
    <row r="142" spans="1:90" ht="14.25" customHeight="1" x14ac:dyDescent="0.2">
      <c r="A142" s="3"/>
      <c r="B142" s="252"/>
      <c r="C142" s="3"/>
      <c r="D142" s="3"/>
      <c r="E142" s="3"/>
      <c r="F142" s="3"/>
      <c r="G142" s="252"/>
      <c r="H142" s="3"/>
      <c r="I142" s="3"/>
      <c r="J142" s="3"/>
      <c r="K142" s="3"/>
      <c r="L142" s="252"/>
      <c r="M142" s="3"/>
      <c r="N142" s="3"/>
      <c r="O142" s="3"/>
      <c r="P142" s="3"/>
      <c r="Q142" s="3"/>
      <c r="R142" s="3"/>
      <c r="S142" s="334"/>
      <c r="T142" s="373">
        <f t="shared" si="65"/>
        <v>116</v>
      </c>
      <c r="U142" s="334"/>
      <c r="V142" s="568">
        <f t="shared" si="60"/>
        <v>5.5085082490383248E-2</v>
      </c>
      <c r="W142" s="328">
        <f t="shared" si="41"/>
        <v>0.9435209791092094</v>
      </c>
      <c r="X142" s="328">
        <f t="shared" si="42"/>
        <v>0.94491491750961676</v>
      </c>
      <c r="Y142" s="328">
        <f t="shared" si="43"/>
        <v>1.3929673195366421E-3</v>
      </c>
      <c r="Z142" s="334"/>
      <c r="AA142" s="571">
        <f t="shared" si="44"/>
        <v>0.10934889998732657</v>
      </c>
      <c r="AB142" s="327">
        <f t="shared" si="63"/>
        <v>0.88903236500435312</v>
      </c>
      <c r="AC142" s="327">
        <f t="shared" si="45"/>
        <v>0.89065110001267345</v>
      </c>
      <c r="AD142" s="327">
        <f t="shared" si="46"/>
        <v>1.6174255634501256E-3</v>
      </c>
      <c r="AE142" s="383"/>
      <c r="AF142" s="574">
        <f t="shared" si="35"/>
        <v>0.14193752052508368</v>
      </c>
      <c r="AG142" s="376">
        <f t="shared" si="61"/>
        <v>0.85678754847903482</v>
      </c>
      <c r="AH142" s="376">
        <f t="shared" si="47"/>
        <v>0.85806247947491632</v>
      </c>
      <c r="AI142" s="553">
        <f t="shared" si="48"/>
        <v>1.2741186166385088E-3</v>
      </c>
      <c r="AJ142" s="374"/>
      <c r="AK142" s="577">
        <f t="shared" si="36"/>
        <v>0.13964571861332095</v>
      </c>
      <c r="AL142" s="376">
        <f t="shared" si="49"/>
        <v>0.85924121216773541</v>
      </c>
      <c r="AM142" s="376">
        <f t="shared" si="50"/>
        <v>0.86035428138667902</v>
      </c>
      <c r="AN142" s="553">
        <f t="shared" si="51"/>
        <v>1.1124499871710825E-3</v>
      </c>
      <c r="AO142" s="554"/>
      <c r="AP142" s="580">
        <f t="shared" si="37"/>
        <v>8.8766788640567085E-2</v>
      </c>
      <c r="AQ142" s="376">
        <f t="shared" si="52"/>
        <v>0.90957449848737149</v>
      </c>
      <c r="AR142" s="379">
        <f t="shared" si="53"/>
        <v>0.91123321135943292</v>
      </c>
      <c r="AS142" s="376">
        <f t="shared" si="54"/>
        <v>1.6573379681608102E-3</v>
      </c>
      <c r="AT142" s="384"/>
      <c r="AU142" s="583">
        <f t="shared" si="38"/>
        <v>0.28599386175053615</v>
      </c>
      <c r="AV142" s="381">
        <f t="shared" si="64"/>
        <v>1.2513094598897028</v>
      </c>
      <c r="AW142" s="376">
        <f t="shared" si="39"/>
        <v>1.251784930803318</v>
      </c>
      <c r="AX142" s="503">
        <f t="shared" si="62"/>
        <v>4.7535789523345251E-4</v>
      </c>
      <c r="AY142" s="376">
        <f t="shared" si="40"/>
        <v>2.170724109301593</v>
      </c>
      <c r="AZ142" s="381">
        <f t="shared" si="55"/>
        <v>6.5190940817989622E-3</v>
      </c>
      <c r="BA142" s="586">
        <f t="shared" si="56"/>
        <v>0.22968280296101759</v>
      </c>
      <c r="BB142" s="376">
        <f t="shared" si="57"/>
        <v>0.76944353520594866</v>
      </c>
      <c r="BC142" s="376">
        <f t="shared" si="58"/>
        <v>0.77031719703898238</v>
      </c>
      <c r="BD142" s="376">
        <f t="shared" si="59"/>
        <v>8.7328030165234605E-4</v>
      </c>
      <c r="BE142" s="283"/>
      <c r="BF142" s="283"/>
      <c r="BG142" s="283"/>
      <c r="BH142" s="283"/>
      <c r="BI142" s="283"/>
      <c r="BJ142" s="283"/>
      <c r="BK142" s="283"/>
      <c r="BL142" s="283"/>
      <c r="BM142" s="283"/>
      <c r="BN142" s="283"/>
      <c r="BO142" s="283"/>
      <c r="BP142" s="283"/>
      <c r="BQ142" s="283"/>
      <c r="BR142" s="283"/>
      <c r="BS142" s="283"/>
      <c r="BT142" s="283"/>
      <c r="BU142" s="283"/>
      <c r="BV142" s="283"/>
      <c r="BW142" s="283"/>
      <c r="BX142" s="283"/>
      <c r="BY142" s="283"/>
      <c r="BZ142" s="283"/>
      <c r="CD142" s="283"/>
      <c r="CE142" s="283"/>
      <c r="CF142" s="283"/>
      <c r="CG142" s="283"/>
      <c r="CH142" s="283"/>
      <c r="CI142" s="283"/>
      <c r="CJ142" s="283"/>
      <c r="CK142" s="283"/>
      <c r="CL142" s="283"/>
    </row>
    <row r="143" spans="1:90" ht="14.25" customHeight="1" x14ac:dyDescent="0.2">
      <c r="A143" s="3"/>
      <c r="B143" s="252"/>
      <c r="C143" s="3"/>
      <c r="D143" s="3"/>
      <c r="E143" s="3"/>
      <c r="F143" s="3"/>
      <c r="G143" s="252"/>
      <c r="H143" s="3"/>
      <c r="I143" s="3"/>
      <c r="J143" s="3"/>
      <c r="K143" s="3"/>
      <c r="L143" s="252"/>
      <c r="M143" s="3"/>
      <c r="N143" s="3"/>
      <c r="O143" s="3"/>
      <c r="P143" s="3"/>
      <c r="Q143" s="3"/>
      <c r="R143" s="3"/>
      <c r="S143" s="334"/>
      <c r="T143" s="373">
        <f t="shared" si="65"/>
        <v>117</v>
      </c>
      <c r="U143" s="334"/>
      <c r="V143" s="568">
        <f t="shared" si="60"/>
        <v>5.3725547382268944E-2</v>
      </c>
      <c r="W143" s="328">
        <f t="shared" si="41"/>
        <v>0.94491491750961676</v>
      </c>
      <c r="X143" s="328">
        <f t="shared" si="42"/>
        <v>0.94627445261773102</v>
      </c>
      <c r="Y143" s="328">
        <f t="shared" si="43"/>
        <v>1.3586113589297844E-3</v>
      </c>
      <c r="Z143" s="334"/>
      <c r="AA143" s="571">
        <f t="shared" si="44"/>
        <v>0.10775692251461023</v>
      </c>
      <c r="AB143" s="327">
        <f t="shared" si="63"/>
        <v>0.89065110001267345</v>
      </c>
      <c r="AC143" s="327">
        <f t="shared" si="45"/>
        <v>0.89224307748538978</v>
      </c>
      <c r="AD143" s="327">
        <f t="shared" si="46"/>
        <v>1.5907109487611759E-3</v>
      </c>
      <c r="AE143" s="383"/>
      <c r="AF143" s="574">
        <f t="shared" si="35"/>
        <v>0.14068114103794271</v>
      </c>
      <c r="AG143" s="376">
        <f t="shared" si="61"/>
        <v>0.85806247947491632</v>
      </c>
      <c r="AH143" s="376">
        <f t="shared" si="47"/>
        <v>0.85931885896205729</v>
      </c>
      <c r="AI143" s="553">
        <f t="shared" si="48"/>
        <v>1.2555905728596217E-3</v>
      </c>
      <c r="AJ143" s="374"/>
      <c r="AK143" s="577">
        <f t="shared" si="36"/>
        <v>0.13854949163875169</v>
      </c>
      <c r="AL143" s="376">
        <f t="shared" si="49"/>
        <v>0.86035428138667902</v>
      </c>
      <c r="AM143" s="376">
        <f t="shared" si="50"/>
        <v>0.86145050836124826</v>
      </c>
      <c r="AN143" s="553">
        <f t="shared" si="51"/>
        <v>1.0956263372776665E-3</v>
      </c>
      <c r="AO143" s="554"/>
      <c r="AP143" s="580">
        <f t="shared" si="37"/>
        <v>8.7139424031465462E-2</v>
      </c>
      <c r="AQ143" s="376">
        <f t="shared" si="52"/>
        <v>0.91123321135943292</v>
      </c>
      <c r="AR143" s="379">
        <f t="shared" si="53"/>
        <v>0.91286057596853454</v>
      </c>
      <c r="AS143" s="376">
        <f t="shared" si="54"/>
        <v>1.6260411693198584E-3</v>
      </c>
      <c r="AT143" s="384"/>
      <c r="AU143" s="583">
        <f t="shared" si="38"/>
        <v>0.28586330815576794</v>
      </c>
      <c r="AV143" s="381">
        <f t="shared" si="64"/>
        <v>1.251784930803318</v>
      </c>
      <c r="AW143" s="376">
        <f t="shared" si="39"/>
        <v>1.2522415259249906</v>
      </c>
      <c r="AX143" s="503">
        <f t="shared" si="62"/>
        <v>4.5649089798338593E-4</v>
      </c>
      <c r="AY143" s="376">
        <f t="shared" si="40"/>
        <v>2.1774757878378224</v>
      </c>
      <c r="AZ143" s="381">
        <f t="shared" si="55"/>
        <v>6.4410065428287403E-3</v>
      </c>
      <c r="BA143" s="586">
        <f t="shared" si="56"/>
        <v>0.22881985685797182</v>
      </c>
      <c r="BB143" s="376">
        <f t="shared" si="57"/>
        <v>0.77031719703898238</v>
      </c>
      <c r="BC143" s="376">
        <f t="shared" si="58"/>
        <v>0.77118014314202821</v>
      </c>
      <c r="BD143" s="376">
        <f t="shared" si="59"/>
        <v>8.6257387213684034E-4</v>
      </c>
      <c r="BE143" s="283"/>
      <c r="BF143" s="283"/>
      <c r="BG143" s="283"/>
      <c r="BH143" s="283"/>
      <c r="BI143" s="283"/>
      <c r="BJ143" s="283"/>
      <c r="BK143" s="283"/>
      <c r="BL143" s="283"/>
      <c r="BM143" s="283"/>
      <c r="BN143" s="283"/>
      <c r="BO143" s="283"/>
      <c r="BP143" s="283"/>
      <c r="BQ143" s="283"/>
      <c r="BR143" s="283"/>
      <c r="BS143" s="283"/>
      <c r="BT143" s="283"/>
      <c r="BU143" s="283"/>
      <c r="BV143" s="283"/>
      <c r="BW143" s="283"/>
      <c r="BX143" s="283"/>
      <c r="BY143" s="283"/>
      <c r="BZ143" s="283"/>
      <c r="CD143" s="283"/>
      <c r="CE143" s="283"/>
      <c r="CF143" s="283"/>
      <c r="CG143" s="283"/>
      <c r="CH143" s="283"/>
      <c r="CI143" s="283"/>
      <c r="CJ143" s="283"/>
      <c r="CK143" s="283"/>
      <c r="CL143" s="283"/>
    </row>
    <row r="144" spans="1:90" ht="14.25" customHeight="1" x14ac:dyDescent="0.2">
      <c r="A144" s="3"/>
      <c r="B144" s="252"/>
      <c r="C144" s="3"/>
      <c r="D144" s="3"/>
      <c r="E144" s="3"/>
      <c r="F144" s="3"/>
      <c r="G144" s="252"/>
      <c r="H144" s="3"/>
      <c r="I144" s="3"/>
      <c r="J144" s="3"/>
      <c r="K144" s="3"/>
      <c r="L144" s="252"/>
      <c r="M144" s="3"/>
      <c r="N144" s="3"/>
      <c r="O144" s="3"/>
      <c r="P144" s="3"/>
      <c r="Q144" s="3"/>
      <c r="R144" s="3"/>
      <c r="S144" s="334"/>
      <c r="T144" s="373">
        <f t="shared" si="65"/>
        <v>118</v>
      </c>
      <c r="U144" s="334"/>
      <c r="V144" s="568">
        <f t="shared" si="60"/>
        <v>5.2399566471164651E-2</v>
      </c>
      <c r="W144" s="328">
        <f t="shared" si="41"/>
        <v>0.94627445261773102</v>
      </c>
      <c r="X144" s="328">
        <f t="shared" si="42"/>
        <v>0.94760043352883538</v>
      </c>
      <c r="Y144" s="328">
        <f t="shared" si="43"/>
        <v>1.3251021868494472E-3</v>
      </c>
      <c r="Z144" s="334"/>
      <c r="AA144" s="571">
        <f t="shared" si="44"/>
        <v>0.10619118822970669</v>
      </c>
      <c r="AB144" s="327">
        <f t="shared" si="63"/>
        <v>0.89224307748538978</v>
      </c>
      <c r="AC144" s="327">
        <f t="shared" si="45"/>
        <v>0.89380881177029337</v>
      </c>
      <c r="AD144" s="327">
        <f t="shared" si="46"/>
        <v>1.564509162466976E-3</v>
      </c>
      <c r="AE144" s="383"/>
      <c r="AF144" s="574">
        <f t="shared" si="35"/>
        <v>0.13944292678472892</v>
      </c>
      <c r="AG144" s="376">
        <f t="shared" si="61"/>
        <v>0.85931885896205729</v>
      </c>
      <c r="AH144" s="376">
        <f t="shared" si="47"/>
        <v>0.86055707321527108</v>
      </c>
      <c r="AI144" s="553">
        <f t="shared" si="48"/>
        <v>1.2374479822472306E-3</v>
      </c>
      <c r="AJ144" s="374"/>
      <c r="AK144" s="577">
        <f t="shared" si="36"/>
        <v>0.13746973293387751</v>
      </c>
      <c r="AL144" s="376">
        <f t="shared" si="49"/>
        <v>0.86145050836124826</v>
      </c>
      <c r="AM144" s="376">
        <f t="shared" si="50"/>
        <v>0.86253026706612246</v>
      </c>
      <c r="AN144" s="553">
        <f t="shared" si="51"/>
        <v>1.0791759751984653E-3</v>
      </c>
      <c r="AO144" s="554"/>
      <c r="AP144" s="580">
        <f t="shared" si="37"/>
        <v>8.554278611834909E-2</v>
      </c>
      <c r="AQ144" s="376">
        <f t="shared" si="52"/>
        <v>0.91286057596853454</v>
      </c>
      <c r="AR144" s="379">
        <f t="shared" si="53"/>
        <v>0.91445721388165091</v>
      </c>
      <c r="AS144" s="376">
        <f t="shared" si="54"/>
        <v>1.5953639649051166E-3</v>
      </c>
      <c r="AT144" s="384"/>
      <c r="AU144" s="583">
        <f t="shared" si="38"/>
        <v>0.28573799352289936</v>
      </c>
      <c r="AV144" s="381">
        <f t="shared" si="64"/>
        <v>1.2522415259249906</v>
      </c>
      <c r="AW144" s="376">
        <f t="shared" si="39"/>
        <v>1.2526799946076486</v>
      </c>
      <c r="AX144" s="503">
        <f t="shared" si="62"/>
        <v>4.3837256931322788E-4</v>
      </c>
      <c r="AY144" s="376">
        <f t="shared" si="40"/>
        <v>2.184170004583478</v>
      </c>
      <c r="AZ144" s="381">
        <f t="shared" si="55"/>
        <v>6.3645070656885138E-3</v>
      </c>
      <c r="BA144" s="586">
        <f t="shared" si="56"/>
        <v>0.22796740593651466</v>
      </c>
      <c r="BB144" s="376">
        <f t="shared" si="57"/>
        <v>0.77118014314202821</v>
      </c>
      <c r="BC144" s="376">
        <f t="shared" si="58"/>
        <v>0.77203259406348534</v>
      </c>
      <c r="BD144" s="376">
        <f t="shared" si="59"/>
        <v>8.5208768839051263E-4</v>
      </c>
      <c r="BE144" s="283"/>
      <c r="BF144" s="283"/>
      <c r="BG144" s="283"/>
      <c r="BH144" s="283"/>
      <c r="BI144" s="283"/>
      <c r="BJ144" s="283"/>
      <c r="BK144" s="283"/>
      <c r="BL144" s="283"/>
      <c r="BM144" s="283"/>
      <c r="BN144" s="283"/>
      <c r="BO144" s="283"/>
      <c r="BP144" s="283"/>
      <c r="BQ144" s="283"/>
      <c r="BR144" s="283"/>
      <c r="BS144" s="283"/>
      <c r="BT144" s="283"/>
      <c r="BU144" s="283"/>
      <c r="BV144" s="283"/>
      <c r="BW144" s="283"/>
      <c r="BX144" s="283"/>
      <c r="BY144" s="283"/>
      <c r="BZ144" s="283"/>
      <c r="CD144" s="283"/>
      <c r="CE144" s="283"/>
      <c r="CF144" s="283"/>
      <c r="CG144" s="283"/>
      <c r="CH144" s="283"/>
      <c r="CI144" s="283"/>
      <c r="CJ144" s="283"/>
      <c r="CK144" s="283"/>
      <c r="CL144" s="283"/>
    </row>
    <row r="145" spans="1:90" ht="14.25" customHeight="1" x14ac:dyDescent="0.2">
      <c r="A145" s="3"/>
      <c r="B145" s="252"/>
      <c r="C145" s="3"/>
      <c r="D145" s="3"/>
      <c r="E145" s="3"/>
      <c r="F145" s="3"/>
      <c r="G145" s="252"/>
      <c r="H145" s="3"/>
      <c r="I145" s="3"/>
      <c r="J145" s="3"/>
      <c r="K145" s="3"/>
      <c r="L145" s="252"/>
      <c r="M145" s="3"/>
      <c r="N145" s="3"/>
      <c r="O145" s="3"/>
      <c r="P145" s="3"/>
      <c r="Q145" s="3"/>
      <c r="R145" s="3"/>
      <c r="S145" s="334"/>
      <c r="T145" s="373">
        <f t="shared" si="65"/>
        <v>119</v>
      </c>
      <c r="U145" s="334"/>
      <c r="V145" s="568">
        <f t="shared" si="60"/>
        <v>5.1106311618002637E-2</v>
      </c>
      <c r="W145" s="328">
        <f t="shared" si="41"/>
        <v>0.94760043352883538</v>
      </c>
      <c r="X145" s="328">
        <f t="shared" si="42"/>
        <v>0.94889368838199739</v>
      </c>
      <c r="Y145" s="328">
        <f t="shared" si="43"/>
        <v>1.2924189594843982E-3</v>
      </c>
      <c r="Z145" s="334"/>
      <c r="AA145" s="571">
        <f t="shared" si="44"/>
        <v>0.10465119457027242</v>
      </c>
      <c r="AB145" s="327">
        <f t="shared" si="63"/>
        <v>0.89380881177029337</v>
      </c>
      <c r="AC145" s="327">
        <f t="shared" si="45"/>
        <v>0.89534880542972761</v>
      </c>
      <c r="AD145" s="327">
        <f t="shared" si="46"/>
        <v>1.5388084776675193E-3</v>
      </c>
      <c r="AE145" s="383"/>
      <c r="AF145" s="574">
        <f t="shared" si="35"/>
        <v>0.13822250208540998</v>
      </c>
      <c r="AG145" s="376">
        <f t="shared" si="61"/>
        <v>0.86055707321527108</v>
      </c>
      <c r="AH145" s="376">
        <f t="shared" si="47"/>
        <v>0.86177749791459002</v>
      </c>
      <c r="AI145" s="553">
        <f t="shared" si="48"/>
        <v>1.2196802839606891E-3</v>
      </c>
      <c r="AJ145" s="374"/>
      <c r="AK145" s="577">
        <f t="shared" si="36"/>
        <v>0.13640607942164837</v>
      </c>
      <c r="AL145" s="376">
        <f t="shared" si="49"/>
        <v>0.86253026706612246</v>
      </c>
      <c r="AM145" s="376">
        <f t="shared" si="50"/>
        <v>0.8635939205783516</v>
      </c>
      <c r="AN145" s="553">
        <f t="shared" si="51"/>
        <v>1.0630880333410975E-3</v>
      </c>
      <c r="AO145" s="554"/>
      <c r="AP145" s="580">
        <f t="shared" si="37"/>
        <v>8.3976266664267385E-2</v>
      </c>
      <c r="AQ145" s="376">
        <f t="shared" si="52"/>
        <v>0.91445721388165091</v>
      </c>
      <c r="AR145" s="379">
        <f t="shared" si="53"/>
        <v>0.91602373333573262</v>
      </c>
      <c r="AS145" s="376">
        <f t="shared" si="54"/>
        <v>1.5652931029329631E-3</v>
      </c>
      <c r="AT145" s="384"/>
      <c r="AU145" s="583">
        <f t="shared" si="38"/>
        <v>0.28561770548146209</v>
      </c>
      <c r="AV145" s="381">
        <f t="shared" si="64"/>
        <v>1.2526799946076486</v>
      </c>
      <c r="AW145" s="376">
        <f t="shared" si="39"/>
        <v>1.2531010564555449</v>
      </c>
      <c r="AX145" s="503">
        <f t="shared" si="62"/>
        <v>4.209732137970823E-4</v>
      </c>
      <c r="AY145" s="376">
        <f t="shared" si="40"/>
        <v>2.1908077293752237</v>
      </c>
      <c r="AZ145" s="381">
        <f t="shared" si="55"/>
        <v>6.289550302758665E-3</v>
      </c>
      <c r="BA145" s="586">
        <f t="shared" si="56"/>
        <v>0.22712523598830786</v>
      </c>
      <c r="BB145" s="376">
        <f t="shared" si="57"/>
        <v>0.77203259406348534</v>
      </c>
      <c r="BC145" s="376">
        <f t="shared" si="58"/>
        <v>0.77287476401169219</v>
      </c>
      <c r="BD145" s="376">
        <f t="shared" si="59"/>
        <v>8.418154226266239E-4</v>
      </c>
      <c r="BE145" s="283"/>
      <c r="BF145" s="283"/>
      <c r="BG145" s="283"/>
      <c r="BH145" s="283"/>
      <c r="BI145" s="283"/>
      <c r="BJ145" s="283"/>
      <c r="BK145" s="283"/>
      <c r="BL145" s="283"/>
      <c r="BM145" s="283"/>
      <c r="BN145" s="283"/>
      <c r="BO145" s="283"/>
      <c r="BP145" s="283"/>
      <c r="BQ145" s="283"/>
      <c r="BR145" s="283"/>
      <c r="BS145" s="283"/>
      <c r="BT145" s="283"/>
      <c r="BU145" s="283"/>
      <c r="BV145" s="283"/>
      <c r="BW145" s="283"/>
      <c r="BX145" s="283"/>
      <c r="BY145" s="283"/>
      <c r="BZ145" s="283"/>
      <c r="CD145" s="283"/>
      <c r="CE145" s="283"/>
      <c r="CF145" s="283"/>
      <c r="CG145" s="283"/>
      <c r="CH145" s="283"/>
      <c r="CI145" s="283"/>
      <c r="CJ145" s="283"/>
      <c r="CK145" s="283"/>
      <c r="CL145" s="283"/>
    </row>
    <row r="146" spans="1:90" ht="14.25" customHeight="1" x14ac:dyDescent="0.2">
      <c r="A146" s="3"/>
      <c r="B146" s="252"/>
      <c r="C146" s="3"/>
      <c r="D146" s="3"/>
      <c r="E146" s="3"/>
      <c r="F146" s="3"/>
      <c r="G146" s="252"/>
      <c r="H146" s="3"/>
      <c r="I146" s="3"/>
      <c r="J146" s="3"/>
      <c r="K146" s="3"/>
      <c r="L146" s="252"/>
      <c r="M146" s="3"/>
      <c r="N146" s="3"/>
      <c r="O146" s="3"/>
      <c r="P146" s="3"/>
      <c r="Q146" s="3"/>
      <c r="R146" s="3"/>
      <c r="S146" s="334"/>
      <c r="T146" s="373">
        <f t="shared" si="65"/>
        <v>120</v>
      </c>
      <c r="U146" s="334"/>
      <c r="V146" s="568">
        <f t="shared" si="60"/>
        <v>4.9844975122717648E-2</v>
      </c>
      <c r="W146" s="328">
        <f t="shared" si="41"/>
        <v>0.94889368838199739</v>
      </c>
      <c r="X146" s="328">
        <f t="shared" si="42"/>
        <v>0.95015502487728232</v>
      </c>
      <c r="Y146" s="328">
        <f t="shared" si="43"/>
        <v>1.2605413447603908E-3</v>
      </c>
      <c r="Z146" s="334"/>
      <c r="AA146" s="571">
        <f t="shared" si="44"/>
        <v>0.10313645043205735</v>
      </c>
      <c r="AB146" s="327">
        <f t="shared" si="63"/>
        <v>0.89534880542972761</v>
      </c>
      <c r="AC146" s="327">
        <f t="shared" si="45"/>
        <v>0.89686354956794268</v>
      </c>
      <c r="AD146" s="327">
        <f t="shared" si="46"/>
        <v>1.5135974923443651E-3</v>
      </c>
      <c r="AE146" s="383"/>
      <c r="AF146" s="574">
        <f t="shared" si="35"/>
        <v>0.13701950149229791</v>
      </c>
      <c r="AG146" s="376">
        <f t="shared" si="61"/>
        <v>0.86177749791459002</v>
      </c>
      <c r="AH146" s="376">
        <f t="shared" si="47"/>
        <v>0.86298049850770209</v>
      </c>
      <c r="AI146" s="553">
        <f t="shared" si="48"/>
        <v>1.2022772779771707E-3</v>
      </c>
      <c r="AJ146" s="374"/>
      <c r="AK146" s="577">
        <f t="shared" si="36"/>
        <v>0.13535817853092971</v>
      </c>
      <c r="AL146" s="376">
        <f t="shared" si="49"/>
        <v>0.8635939205783516</v>
      </c>
      <c r="AM146" s="376">
        <f t="shared" si="50"/>
        <v>0.86464182146907032</v>
      </c>
      <c r="AN146" s="553">
        <f t="shared" si="51"/>
        <v>1.0473520343127207E-3</v>
      </c>
      <c r="AO146" s="554"/>
      <c r="AP146" s="580">
        <f t="shared" si="37"/>
        <v>8.2439270438410484E-2</v>
      </c>
      <c r="AQ146" s="376">
        <f t="shared" si="52"/>
        <v>0.91602373333573262</v>
      </c>
      <c r="AR146" s="379">
        <f t="shared" si="53"/>
        <v>0.91756072956158952</v>
      </c>
      <c r="AS146" s="376">
        <f t="shared" si="54"/>
        <v>1.5358156520810518E-3</v>
      </c>
      <c r="AT146" s="384"/>
      <c r="AU146" s="583">
        <f t="shared" si="38"/>
        <v>0.2855022404360143</v>
      </c>
      <c r="AV146" s="381">
        <f t="shared" si="64"/>
        <v>1.2531010564555449</v>
      </c>
      <c r="AW146" s="376">
        <f t="shared" si="39"/>
        <v>1.2535054025052541</v>
      </c>
      <c r="AX146" s="503">
        <f t="shared" si="62"/>
        <v>4.0426431286222364E-4</v>
      </c>
      <c r="AY146" s="376">
        <f t="shared" si="40"/>
        <v>2.1973899077017847</v>
      </c>
      <c r="AZ146" s="381">
        <f t="shared" si="55"/>
        <v>6.2160925678169249E-3</v>
      </c>
      <c r="BA146" s="586">
        <f t="shared" si="56"/>
        <v>0.22629313891197431</v>
      </c>
      <c r="BB146" s="376">
        <f t="shared" si="57"/>
        <v>0.77287476401169219</v>
      </c>
      <c r="BC146" s="376">
        <f t="shared" si="58"/>
        <v>0.77370686108802567</v>
      </c>
      <c r="BD146" s="376">
        <f t="shared" si="59"/>
        <v>8.317509795632283E-4</v>
      </c>
      <c r="BE146" s="283"/>
      <c r="BF146" s="283"/>
      <c r="BG146" s="283"/>
      <c r="BH146" s="283"/>
      <c r="BI146" s="283"/>
      <c r="BJ146" s="283"/>
      <c r="BK146" s="283"/>
      <c r="BL146" s="283"/>
      <c r="BM146" s="283"/>
      <c r="BN146" s="283"/>
      <c r="BO146" s="283"/>
      <c r="BP146" s="283"/>
      <c r="BQ146" s="283"/>
      <c r="BR146" s="283"/>
      <c r="BS146" s="283"/>
      <c r="BT146" s="283"/>
      <c r="BU146" s="283"/>
      <c r="BV146" s="283"/>
      <c r="BW146" s="283"/>
      <c r="BX146" s="283"/>
      <c r="BY146" s="283"/>
      <c r="BZ146" s="283"/>
      <c r="CD146" s="283"/>
      <c r="CE146" s="283"/>
      <c r="CF146" s="283"/>
      <c r="CG146" s="283"/>
      <c r="CH146" s="283"/>
      <c r="CI146" s="283"/>
      <c r="CJ146" s="283"/>
      <c r="CK146" s="283"/>
      <c r="CL146" s="283"/>
    </row>
    <row r="147" spans="1:90" ht="14.25" customHeight="1" x14ac:dyDescent="0.2">
      <c r="A147" s="3"/>
      <c r="B147" s="252"/>
      <c r="C147" s="3"/>
      <c r="D147" s="3"/>
      <c r="E147" s="3"/>
      <c r="F147" s="3"/>
      <c r="G147" s="252"/>
      <c r="H147" s="3"/>
      <c r="I147" s="3"/>
      <c r="J147" s="3"/>
      <c r="K147" s="3"/>
      <c r="L147" s="252"/>
      <c r="M147" s="3"/>
      <c r="N147" s="3"/>
      <c r="O147" s="3"/>
      <c r="P147" s="3"/>
      <c r="Q147" s="3"/>
      <c r="R147" s="3"/>
      <c r="S147" s="334"/>
      <c r="T147" s="373">
        <f t="shared" si="65"/>
        <v>121</v>
      </c>
      <c r="U147" s="334"/>
      <c r="V147" s="568">
        <f t="shared" si="60"/>
        <v>4.8614769219799202E-2</v>
      </c>
      <c r="W147" s="328">
        <f t="shared" si="41"/>
        <v>0.95015502487728232</v>
      </c>
      <c r="X147" s="328">
        <f t="shared" si="42"/>
        <v>0.95138523078020076</v>
      </c>
      <c r="Y147" s="328">
        <f t="shared" si="43"/>
        <v>1.2294495098414959E-3</v>
      </c>
      <c r="Z147" s="334"/>
      <c r="AA147" s="571">
        <f t="shared" si="44"/>
        <v>0.10164647585261206</v>
      </c>
      <c r="AB147" s="327">
        <f t="shared" si="63"/>
        <v>0.89686354956794268</v>
      </c>
      <c r="AC147" s="327">
        <f t="shared" si="45"/>
        <v>0.89835352414738789</v>
      </c>
      <c r="AD147" s="327">
        <f t="shared" si="46"/>
        <v>1.488865118412841E-3</v>
      </c>
      <c r="AE147" s="383"/>
      <c r="AF147" s="574">
        <f t="shared" si="35"/>
        <v>0.13583356944249858</v>
      </c>
      <c r="AG147" s="376">
        <f t="shared" si="61"/>
        <v>0.86298049850770209</v>
      </c>
      <c r="AH147" s="376">
        <f t="shared" si="47"/>
        <v>0.86416643055750142</v>
      </c>
      <c r="AI147" s="553">
        <f t="shared" si="48"/>
        <v>1.1852291102929513E-3</v>
      </c>
      <c r="AJ147" s="374"/>
      <c r="AK147" s="577">
        <f t="shared" si="36"/>
        <v>0.1343256878214851</v>
      </c>
      <c r="AL147" s="376">
        <f t="shared" si="49"/>
        <v>0.86464182146907032</v>
      </c>
      <c r="AM147" s="376">
        <f t="shared" si="50"/>
        <v>0.86567431217851487</v>
      </c>
      <c r="AN147" s="553">
        <f t="shared" si="51"/>
        <v>1.0319578743102076E-3</v>
      </c>
      <c r="AO147" s="554"/>
      <c r="AP147" s="580">
        <f t="shared" si="37"/>
        <v>8.0931214901644455E-2</v>
      </c>
      <c r="AQ147" s="376">
        <f t="shared" si="52"/>
        <v>0.91756072956158952</v>
      </c>
      <c r="AR147" s="379">
        <f t="shared" si="53"/>
        <v>0.91906878509835555</v>
      </c>
      <c r="AS147" s="376">
        <f t="shared" si="54"/>
        <v>1.5069189924108439E-3</v>
      </c>
      <c r="AT147" s="384"/>
      <c r="AU147" s="583">
        <f t="shared" si="38"/>
        <v>0.28539140319070155</v>
      </c>
      <c r="AV147" s="381">
        <f t="shared" si="64"/>
        <v>1.2535054025052541</v>
      </c>
      <c r="AW147" s="376">
        <f t="shared" si="39"/>
        <v>1.2538936963597844</v>
      </c>
      <c r="AX147" s="503">
        <f t="shared" si="62"/>
        <v>3.8821847822800848E-4</v>
      </c>
      <c r="AY147" s="376">
        <f t="shared" si="40"/>
        <v>2.203917461512201</v>
      </c>
      <c r="AZ147" s="381">
        <f t="shared" si="55"/>
        <v>6.1440917619647447E-3</v>
      </c>
      <c r="BA147" s="586">
        <f t="shared" si="56"/>
        <v>0.2254709124904036</v>
      </c>
      <c r="BB147" s="376">
        <f t="shared" si="57"/>
        <v>0.77370686108802567</v>
      </c>
      <c r="BC147" s="376">
        <f t="shared" si="58"/>
        <v>0.77452908750959637</v>
      </c>
      <c r="BD147" s="376">
        <f t="shared" si="59"/>
        <v>8.2188848605269094E-4</v>
      </c>
      <c r="BE147" s="283"/>
      <c r="BF147" s="283"/>
      <c r="BG147" s="283"/>
      <c r="BH147" s="283"/>
      <c r="BI147" s="283"/>
      <c r="BJ147" s="283"/>
      <c r="BK147" s="283"/>
      <c r="BL147" s="283"/>
      <c r="BM147" s="283"/>
      <c r="BN147" s="283"/>
      <c r="BO147" s="283"/>
      <c r="BP147" s="283"/>
      <c r="BQ147" s="283"/>
      <c r="BR147" s="283"/>
      <c r="BS147" s="283"/>
      <c r="BT147" s="283"/>
      <c r="BU147" s="283"/>
      <c r="BV147" s="283"/>
      <c r="BW147" s="283"/>
      <c r="BX147" s="283"/>
      <c r="BY147" s="283"/>
      <c r="BZ147" s="283"/>
      <c r="CD147" s="283"/>
      <c r="CE147" s="283"/>
      <c r="CF147" s="283"/>
      <c r="CG147" s="283"/>
      <c r="CH147" s="283"/>
      <c r="CI147" s="283"/>
      <c r="CJ147" s="283"/>
      <c r="CK147" s="283"/>
      <c r="CL147" s="283"/>
    </row>
    <row r="148" spans="1:90" ht="14.25" customHeight="1" x14ac:dyDescent="0.2">
      <c r="A148" s="3"/>
      <c r="B148" s="252"/>
      <c r="C148" s="3"/>
      <c r="D148" s="3"/>
      <c r="E148" s="3"/>
      <c r="F148" s="3"/>
      <c r="G148" s="252"/>
      <c r="H148" s="3"/>
      <c r="I148" s="3"/>
      <c r="J148" s="3"/>
      <c r="K148" s="3"/>
      <c r="L148" s="252"/>
      <c r="M148" s="3"/>
      <c r="N148" s="3"/>
      <c r="O148" s="3"/>
      <c r="P148" s="3"/>
      <c r="Q148" s="3"/>
      <c r="R148" s="3"/>
      <c r="S148" s="334"/>
      <c r="T148" s="373">
        <f t="shared" si="65"/>
        <v>122</v>
      </c>
      <c r="U148" s="334"/>
      <c r="V148" s="568">
        <f t="shared" si="60"/>
        <v>4.7414925586294059E-2</v>
      </c>
      <c r="W148" s="328">
        <f t="shared" si="41"/>
        <v>0.95138523078020076</v>
      </c>
      <c r="X148" s="328">
        <f t="shared" si="42"/>
        <v>0.95258507441370599</v>
      </c>
      <c r="Y148" s="328">
        <f t="shared" si="43"/>
        <v>1.1991241089338578E-3</v>
      </c>
      <c r="Z148" s="334"/>
      <c r="AA148" s="571">
        <f t="shared" si="44"/>
        <v>0.1001808017056047</v>
      </c>
      <c r="AB148" s="327">
        <f t="shared" si="63"/>
        <v>0.89835352414738789</v>
      </c>
      <c r="AC148" s="327">
        <f t="shared" si="45"/>
        <v>0.89981919829439527</v>
      </c>
      <c r="AD148" s="327">
        <f t="shared" si="46"/>
        <v>1.4646005712228849E-3</v>
      </c>
      <c r="AE148" s="383"/>
      <c r="AF148" s="574">
        <f t="shared" si="35"/>
        <v>0.13466435992453196</v>
      </c>
      <c r="AG148" s="376">
        <f t="shared" si="61"/>
        <v>0.86416643055750142</v>
      </c>
      <c r="AH148" s="376">
        <f t="shared" si="47"/>
        <v>0.86533564007546804</v>
      </c>
      <c r="AI148" s="553">
        <f t="shared" si="48"/>
        <v>1.1685262588351231E-3</v>
      </c>
      <c r="AJ148" s="374"/>
      <c r="AK148" s="577">
        <f t="shared" si="36"/>
        <v>0.1333082746248338</v>
      </c>
      <c r="AL148" s="376">
        <f t="shared" si="49"/>
        <v>0.86567431217851487</v>
      </c>
      <c r="AM148" s="376">
        <f t="shared" si="50"/>
        <v>0.86669172537516626</v>
      </c>
      <c r="AN148" s="553">
        <f t="shared" si="51"/>
        <v>1.0168958073261125E-3</v>
      </c>
      <c r="AO148" s="554"/>
      <c r="AP148" s="580">
        <f t="shared" si="37"/>
        <v>7.9451529901135243E-2</v>
      </c>
      <c r="AQ148" s="376">
        <f t="shared" si="52"/>
        <v>0.91906878509835555</v>
      </c>
      <c r="AR148" s="379">
        <f t="shared" si="53"/>
        <v>0.92054847009886476</v>
      </c>
      <c r="AS148" s="376">
        <f t="shared" si="54"/>
        <v>1.4785908064128828E-3</v>
      </c>
      <c r="AT148" s="384"/>
      <c r="AU148" s="583">
        <f t="shared" si="38"/>
        <v>0.28528500659086387</v>
      </c>
      <c r="AV148" s="381">
        <f t="shared" si="64"/>
        <v>1.2538936963597844</v>
      </c>
      <c r="AW148" s="376">
        <f t="shared" si="39"/>
        <v>1.2542665752776678</v>
      </c>
      <c r="AX148" s="503">
        <f t="shared" si="62"/>
        <v>3.7280940717965283E-4</v>
      </c>
      <c r="AY148" s="376">
        <f t="shared" si="40"/>
        <v>2.2103912899908162</v>
      </c>
      <c r="AZ148" s="381">
        <f t="shared" si="55"/>
        <v>6.0735073034354084E-3</v>
      </c>
      <c r="BA148" s="586">
        <f t="shared" si="56"/>
        <v>0.22465836017791796</v>
      </c>
      <c r="BB148" s="376">
        <f t="shared" si="57"/>
        <v>0.77452908750959637</v>
      </c>
      <c r="BC148" s="376">
        <f t="shared" si="58"/>
        <v>0.77534163982208204</v>
      </c>
      <c r="BD148" s="376">
        <f t="shared" si="59"/>
        <v>8.1222228125066298E-4</v>
      </c>
      <c r="BE148" s="283"/>
      <c r="BF148" s="283"/>
      <c r="BG148" s="283"/>
      <c r="BH148" s="283"/>
      <c r="BI148" s="283"/>
      <c r="BJ148" s="283"/>
      <c r="BK148" s="283"/>
      <c r="BL148" s="283"/>
      <c r="BM148" s="283"/>
      <c r="BN148" s="283"/>
      <c r="BO148" s="283"/>
      <c r="BP148" s="283"/>
      <c r="BQ148" s="283"/>
      <c r="BR148" s="283"/>
      <c r="BS148" s="283"/>
      <c r="BT148" s="283"/>
      <c r="BU148" s="283"/>
      <c r="BV148" s="283"/>
      <c r="BW148" s="283"/>
      <c r="BX148" s="283"/>
      <c r="BY148" s="283"/>
      <c r="BZ148" s="283"/>
      <c r="CD148" s="283"/>
      <c r="CE148" s="283"/>
      <c r="CF148" s="283"/>
      <c r="CG148" s="283"/>
      <c r="CH148" s="283"/>
      <c r="CI148" s="283"/>
      <c r="CJ148" s="283"/>
      <c r="CK148" s="283"/>
      <c r="CL148" s="283"/>
    </row>
    <row r="149" spans="1:90" ht="14.25" customHeight="1" x14ac:dyDescent="0.2">
      <c r="A149" s="3"/>
      <c r="B149" s="252"/>
      <c r="C149" s="3"/>
      <c r="D149" s="3"/>
      <c r="E149" s="3"/>
      <c r="F149" s="3"/>
      <c r="G149" s="252"/>
      <c r="H149" s="3"/>
      <c r="I149" s="3"/>
      <c r="J149" s="3"/>
      <c r="K149" s="3"/>
      <c r="L149" s="252"/>
      <c r="M149" s="3"/>
      <c r="N149" s="3"/>
      <c r="O149" s="3"/>
      <c r="P149" s="3"/>
      <c r="Q149" s="3"/>
      <c r="R149" s="3"/>
      <c r="S149" s="334"/>
      <c r="T149" s="373">
        <f t="shared" si="65"/>
        <v>123</v>
      </c>
      <c r="U149" s="334"/>
      <c r="V149" s="568">
        <f t="shared" si="60"/>
        <v>4.6244694861951437E-2</v>
      </c>
      <c r="W149" s="328">
        <f t="shared" si="41"/>
        <v>0.95258507441370599</v>
      </c>
      <c r="X149" s="328">
        <f t="shared" si="42"/>
        <v>0.95375530513804851</v>
      </c>
      <c r="Y149" s="328">
        <f t="shared" si="43"/>
        <v>1.1695462713837701E-3</v>
      </c>
      <c r="Z149" s="334"/>
      <c r="AA149" s="571">
        <f t="shared" si="44"/>
        <v>9.8738969405320051E-2</v>
      </c>
      <c r="AB149" s="327">
        <f t="shared" si="63"/>
        <v>0.89981919829439527</v>
      </c>
      <c r="AC149" s="327">
        <f t="shared" si="45"/>
        <v>0.90126103059467999</v>
      </c>
      <c r="AD149" s="327">
        <f t="shared" si="46"/>
        <v>1.440793359479775E-3</v>
      </c>
      <c r="AE149" s="383"/>
      <c r="AF149" s="574">
        <f t="shared" si="35"/>
        <v>0.13351153615844991</v>
      </c>
      <c r="AG149" s="376">
        <f t="shared" si="61"/>
        <v>0.86533564007546804</v>
      </c>
      <c r="AH149" s="376">
        <f t="shared" si="47"/>
        <v>0.86648846384155009</v>
      </c>
      <c r="AI149" s="553">
        <f t="shared" si="48"/>
        <v>1.1521595200416623E-3</v>
      </c>
      <c r="AJ149" s="374"/>
      <c r="AK149" s="577">
        <f t="shared" si="36"/>
        <v>0.13230561570020838</v>
      </c>
      <c r="AL149" s="376">
        <f t="shared" si="49"/>
        <v>0.86669172537516626</v>
      </c>
      <c r="AM149" s="376">
        <f t="shared" si="50"/>
        <v>0.86769438429979162</v>
      </c>
      <c r="AN149" s="553">
        <f t="shared" si="51"/>
        <v>1.0021564301233576E-3</v>
      </c>
      <c r="AO149" s="554"/>
      <c r="AP149" s="580">
        <f t="shared" si="37"/>
        <v>7.7999657373726272E-2</v>
      </c>
      <c r="AQ149" s="376">
        <f t="shared" si="52"/>
        <v>0.92054847009886476</v>
      </c>
      <c r="AR149" s="379">
        <f t="shared" si="53"/>
        <v>0.92200034262627373</v>
      </c>
      <c r="AS149" s="376">
        <f t="shared" si="54"/>
        <v>1.4508190703811374E-3</v>
      </c>
      <c r="AT149" s="384"/>
      <c r="AU149" s="583">
        <f t="shared" si="38"/>
        <v>0.28518287118084196</v>
      </c>
      <c r="AV149" s="381">
        <f t="shared" si="64"/>
        <v>1.2542665752776678</v>
      </c>
      <c r="AW149" s="376">
        <f t="shared" si="39"/>
        <v>1.2546246512188135</v>
      </c>
      <c r="AX149" s="503">
        <f t="shared" si="62"/>
        <v>3.5801183960715299E-4</v>
      </c>
      <c r="AY149" s="376">
        <f t="shared" si="40"/>
        <v>2.2168122703006392</v>
      </c>
      <c r="AZ149" s="381">
        <f t="shared" si="55"/>
        <v>6.0043000610504813E-3</v>
      </c>
      <c r="BA149" s="586">
        <f t="shared" si="56"/>
        <v>0.22385529089679035</v>
      </c>
      <c r="BB149" s="376">
        <f t="shared" si="57"/>
        <v>0.77534163982208204</v>
      </c>
      <c r="BC149" s="376">
        <f t="shared" si="58"/>
        <v>0.77614470910320965</v>
      </c>
      <c r="BD149" s="376">
        <f t="shared" si="59"/>
        <v>8.027469072944271E-4</v>
      </c>
      <c r="BE149" s="283"/>
      <c r="BF149" s="283"/>
      <c r="BG149" s="283"/>
      <c r="BH149" s="283"/>
      <c r="BI149" s="283"/>
      <c r="BJ149" s="283"/>
      <c r="BK149" s="283"/>
      <c r="BL149" s="283"/>
      <c r="BM149" s="283"/>
      <c r="BN149" s="283"/>
      <c r="BO149" s="283"/>
      <c r="BP149" s="283"/>
      <c r="BQ149" s="283"/>
      <c r="BR149" s="283"/>
      <c r="BS149" s="283"/>
      <c r="BT149" s="283"/>
      <c r="BU149" s="283"/>
      <c r="BV149" s="283"/>
      <c r="BW149" s="283"/>
      <c r="BX149" s="283"/>
      <c r="BY149" s="283"/>
      <c r="BZ149" s="283"/>
      <c r="CD149" s="283"/>
      <c r="CE149" s="283"/>
      <c r="CF149" s="283"/>
      <c r="CG149" s="283"/>
      <c r="CH149" s="283"/>
      <c r="CI149" s="283"/>
      <c r="CJ149" s="283"/>
      <c r="CK149" s="283"/>
      <c r="CL149" s="283"/>
    </row>
    <row r="150" spans="1:90" ht="14.25" customHeight="1" x14ac:dyDescent="0.2">
      <c r="A150" s="3"/>
      <c r="B150" s="252"/>
      <c r="C150" s="3"/>
      <c r="D150" s="3"/>
      <c r="E150" s="3"/>
      <c r="F150" s="3"/>
      <c r="G150" s="252"/>
      <c r="H150" s="3"/>
      <c r="I150" s="3"/>
      <c r="J150" s="3"/>
      <c r="K150" s="3"/>
      <c r="L150" s="252"/>
      <c r="M150" s="3"/>
      <c r="N150" s="3"/>
      <c r="O150" s="3"/>
      <c r="P150" s="3"/>
      <c r="Q150" s="3"/>
      <c r="R150" s="3"/>
      <c r="S150" s="334"/>
      <c r="T150" s="373">
        <f t="shared" si="65"/>
        <v>124</v>
      </c>
      <c r="U150" s="334"/>
      <c r="V150" s="568">
        <f t="shared" si="60"/>
        <v>4.5103346181211375E-2</v>
      </c>
      <c r="W150" s="328">
        <f t="shared" si="41"/>
        <v>0.95375530513804851</v>
      </c>
      <c r="X150" s="328">
        <f t="shared" si="42"/>
        <v>0.95489665381878863</v>
      </c>
      <c r="Y150" s="328">
        <f t="shared" si="43"/>
        <v>1.1406975900652983E-3</v>
      </c>
      <c r="Z150" s="334"/>
      <c r="AA150" s="571">
        <f t="shared" si="44"/>
        <v>9.7320530620931531E-2</v>
      </c>
      <c r="AB150" s="327">
        <f t="shared" si="63"/>
        <v>0.90126103059467999</v>
      </c>
      <c r="AC150" s="327">
        <f t="shared" si="45"/>
        <v>0.90267946937906851</v>
      </c>
      <c r="AD150" s="327">
        <f t="shared" si="46"/>
        <v>1.4174332755697572E-3</v>
      </c>
      <c r="AE150" s="383"/>
      <c r="AF150" s="574">
        <f t="shared" si="35"/>
        <v>0.13237477028881317</v>
      </c>
      <c r="AG150" s="376">
        <f t="shared" si="61"/>
        <v>0.86648846384155009</v>
      </c>
      <c r="AH150" s="376">
        <f t="shared" si="47"/>
        <v>0.86762522971118683</v>
      </c>
      <c r="AI150" s="553">
        <f t="shared" si="48"/>
        <v>1.1361199960744361E-3</v>
      </c>
      <c r="AJ150" s="374"/>
      <c r="AK150" s="577">
        <f t="shared" si="36"/>
        <v>0.13131739690487906</v>
      </c>
      <c r="AL150" s="376">
        <f t="shared" si="49"/>
        <v>0.86769438429979162</v>
      </c>
      <c r="AM150" s="376">
        <f t="shared" si="50"/>
        <v>0.86868260309512091</v>
      </c>
      <c r="AN150" s="553">
        <f t="shared" si="51"/>
        <v>9.8773066794100028E-4</v>
      </c>
      <c r="AO150" s="554"/>
      <c r="AP150" s="580">
        <f t="shared" si="37"/>
        <v>7.6575051057762522E-2</v>
      </c>
      <c r="AQ150" s="376">
        <f t="shared" si="52"/>
        <v>0.92200034262627373</v>
      </c>
      <c r="AR150" s="379">
        <f t="shared" si="53"/>
        <v>0.92342494894223748</v>
      </c>
      <c r="AS150" s="376">
        <f t="shared" si="54"/>
        <v>1.4235920460882179E-3</v>
      </c>
      <c r="AT150" s="384"/>
      <c r="AU150" s="583">
        <f t="shared" si="38"/>
        <v>0.28508482487718273</v>
      </c>
      <c r="AV150" s="381">
        <f t="shared" si="64"/>
        <v>1.2546246512188135</v>
      </c>
      <c r="AW150" s="376">
        <f t="shared" si="39"/>
        <v>1.2549685118488405</v>
      </c>
      <c r="AX150" s="503">
        <f t="shared" si="62"/>
        <v>3.4380151673629733E-4</v>
      </c>
      <c r="AY150" s="376">
        <f t="shared" si="40"/>
        <v>2.2231812582966048</v>
      </c>
      <c r="AZ150" s="381">
        <f t="shared" si="55"/>
        <v>5.9364322911072704E-3</v>
      </c>
      <c r="BA150" s="586">
        <f t="shared" si="56"/>
        <v>0.22306151884262651</v>
      </c>
      <c r="BB150" s="376">
        <f t="shared" si="57"/>
        <v>0.77614470910320965</v>
      </c>
      <c r="BC150" s="376">
        <f t="shared" si="58"/>
        <v>0.77693848115737352</v>
      </c>
      <c r="BD150" s="376">
        <f t="shared" si="59"/>
        <v>7.9345710046618834E-4</v>
      </c>
      <c r="BE150" s="283"/>
      <c r="BF150" s="283"/>
      <c r="BG150" s="283"/>
      <c r="BH150" s="283"/>
      <c r="BI150" s="283"/>
      <c r="BJ150" s="283"/>
      <c r="BK150" s="283"/>
      <c r="BL150" s="283"/>
      <c r="BM150" s="283"/>
      <c r="BN150" s="283"/>
      <c r="BO150" s="283"/>
      <c r="BP150" s="283"/>
      <c r="BQ150" s="283"/>
      <c r="BR150" s="283"/>
      <c r="BS150" s="283"/>
      <c r="BT150" s="283"/>
      <c r="BU150" s="283"/>
      <c r="BV150" s="283"/>
      <c r="BW150" s="283"/>
      <c r="BX150" s="283"/>
      <c r="BY150" s="283"/>
      <c r="BZ150" s="283"/>
      <c r="CA150" s="283"/>
      <c r="CB150" s="283"/>
      <c r="CC150" s="283"/>
      <c r="CD150" s="283"/>
      <c r="CE150" s="283"/>
      <c r="CF150" s="283"/>
      <c r="CG150" s="283"/>
      <c r="CH150" s="283"/>
      <c r="CI150" s="283"/>
      <c r="CJ150" s="283"/>
      <c r="CK150" s="283"/>
      <c r="CL150" s="283"/>
    </row>
    <row r="151" spans="1:90" ht="14.25" customHeight="1" x14ac:dyDescent="0.2">
      <c r="A151" s="3"/>
      <c r="B151" s="252"/>
      <c r="C151" s="3"/>
      <c r="D151" s="3"/>
      <c r="E151" s="3"/>
      <c r="F151" s="3"/>
      <c r="G151" s="252"/>
      <c r="H151" s="3"/>
      <c r="I151" s="3"/>
      <c r="J151" s="3"/>
      <c r="K151" s="3"/>
      <c r="L151" s="252"/>
      <c r="M151" s="3"/>
      <c r="N151" s="3"/>
      <c r="O151" s="3"/>
      <c r="P151" s="3"/>
      <c r="Q151" s="3"/>
      <c r="R151" s="3"/>
      <c r="S151" s="334"/>
      <c r="T151" s="373">
        <f t="shared" si="65"/>
        <v>125</v>
      </c>
      <c r="U151" s="334"/>
      <c r="V151" s="568">
        <f t="shared" si="60"/>
        <v>4.3990166716743918E-2</v>
      </c>
      <c r="W151" s="328">
        <f t="shared" si="41"/>
        <v>0.95489665381878863</v>
      </c>
      <c r="X151" s="328">
        <f t="shared" si="42"/>
        <v>0.95600983328325606</v>
      </c>
      <c r="Y151" s="328">
        <f t="shared" si="43"/>
        <v>1.1125601100462346E-3</v>
      </c>
      <c r="Z151" s="334"/>
      <c r="AA151" s="571">
        <f t="shared" si="44"/>
        <v>9.59250470001594E-2</v>
      </c>
      <c r="AB151" s="327">
        <f t="shared" si="63"/>
        <v>0.90267946937906851</v>
      </c>
      <c r="AC151" s="327">
        <f t="shared" si="45"/>
        <v>0.90407495299984064</v>
      </c>
      <c r="AD151" s="327">
        <f t="shared" si="46"/>
        <v>1.394510386267811E-3</v>
      </c>
      <c r="AE151" s="383"/>
      <c r="AF151" s="574">
        <f t="shared" si="35"/>
        <v>0.13125374308992377</v>
      </c>
      <c r="AG151" s="376">
        <f t="shared" si="61"/>
        <v>0.86762522971118683</v>
      </c>
      <c r="AH151" s="376">
        <f t="shared" si="47"/>
        <v>0.86874625691007623</v>
      </c>
      <c r="AI151" s="553">
        <f t="shared" si="48"/>
        <v>1.1203990826328392E-3</v>
      </c>
      <c r="AJ151" s="374"/>
      <c r="AK151" s="577">
        <f t="shared" si="36"/>
        <v>0.13034331287815315</v>
      </c>
      <c r="AL151" s="376">
        <f t="shared" si="49"/>
        <v>0.86868260309512091</v>
      </c>
      <c r="AM151" s="376">
        <f t="shared" si="50"/>
        <v>0.86965668712184685</v>
      </c>
      <c r="AN151" s="553">
        <f t="shared" si="51"/>
        <v>9.7360976088445295E-4</v>
      </c>
      <c r="AO151" s="554"/>
      <c r="AP151" s="580">
        <f t="shared" si="37"/>
        <v>7.5177176213061303E-2</v>
      </c>
      <c r="AQ151" s="376">
        <f t="shared" si="52"/>
        <v>0.92342494894223748</v>
      </c>
      <c r="AR151" s="379">
        <f t="shared" si="53"/>
        <v>0.9248228237869387</v>
      </c>
      <c r="AS151" s="376">
        <f t="shared" si="54"/>
        <v>1.3968982727552426E-3</v>
      </c>
      <c r="AT151" s="384"/>
      <c r="AU151" s="583">
        <f t="shared" si="38"/>
        <v>0.28499070265648757</v>
      </c>
      <c r="AV151" s="381">
        <f t="shared" si="64"/>
        <v>1.2549685118488405</v>
      </c>
      <c r="AW151" s="376">
        <f t="shared" si="39"/>
        <v>1.2552987215035423</v>
      </c>
      <c r="AX151" s="503">
        <f t="shared" si="62"/>
        <v>3.3015514149414837E-4</v>
      </c>
      <c r="AY151" s="376">
        <f t="shared" si="40"/>
        <v>2.2294990892101856</v>
      </c>
      <c r="AZ151" s="381">
        <f t="shared" si="55"/>
        <v>5.8698675774943665E-3</v>
      </c>
      <c r="BA151" s="586">
        <f t="shared" si="56"/>
        <v>0.22227686329816385</v>
      </c>
      <c r="BB151" s="376">
        <f t="shared" si="57"/>
        <v>0.77693848115737352</v>
      </c>
      <c r="BC151" s="376">
        <f t="shared" si="58"/>
        <v>0.77772313670183613</v>
      </c>
      <c r="BD151" s="376">
        <f t="shared" si="59"/>
        <v>7.8434778280178641E-4</v>
      </c>
      <c r="BE151" s="283"/>
      <c r="BF151" s="283"/>
      <c r="BG151" s="283"/>
      <c r="BH151" s="283"/>
      <c r="BI151" s="283"/>
      <c r="BJ151" s="283"/>
      <c r="BK151" s="283"/>
      <c r="BL151" s="283"/>
      <c r="BM151" s="283"/>
      <c r="BN151" s="283"/>
      <c r="BO151" s="283"/>
      <c r="BP151" s="283"/>
      <c r="BQ151" s="283"/>
      <c r="BR151" s="283"/>
      <c r="BS151" s="283"/>
      <c r="BT151" s="283"/>
      <c r="BU151" s="283"/>
      <c r="BV151" s="283"/>
      <c r="BW151" s="283"/>
      <c r="BX151" s="283"/>
      <c r="BY151" s="283"/>
      <c r="BZ151" s="283"/>
      <c r="CA151" s="283"/>
      <c r="CB151" s="283"/>
      <c r="CC151" s="283"/>
      <c r="CD151" s="283"/>
      <c r="CE151" s="283"/>
      <c r="CF151" s="283"/>
      <c r="CG151" s="283"/>
      <c r="CH151" s="283"/>
      <c r="CI151" s="283"/>
      <c r="CJ151" s="283"/>
      <c r="CK151" s="283"/>
      <c r="CL151" s="283"/>
    </row>
    <row r="152" spans="1:90" ht="14.25" customHeight="1" x14ac:dyDescent="0.2">
      <c r="A152" s="3"/>
      <c r="B152" s="252"/>
      <c r="C152" s="3"/>
      <c r="D152" s="3"/>
      <c r="E152" s="3"/>
      <c r="F152" s="3"/>
      <c r="G152" s="252"/>
      <c r="H152" s="3"/>
      <c r="I152" s="3"/>
      <c r="J152" s="3"/>
      <c r="K152" s="3"/>
      <c r="L152" s="252"/>
      <c r="M152" s="3"/>
      <c r="N152" s="3"/>
      <c r="O152" s="3"/>
      <c r="P152" s="3"/>
      <c r="Q152" s="3"/>
      <c r="R152" s="3"/>
      <c r="S152" s="334"/>
      <c r="T152" s="373">
        <f t="shared" si="65"/>
        <v>126</v>
      </c>
      <c r="U152" s="334"/>
      <c r="V152" s="568">
        <f t="shared" si="60"/>
        <v>4.2904461234254065E-2</v>
      </c>
      <c r="W152" s="328">
        <f t="shared" si="41"/>
        <v>0.95600983328325606</v>
      </c>
      <c r="X152" s="328">
        <f t="shared" si="42"/>
        <v>0.95709553876574593</v>
      </c>
      <c r="Y152" s="328">
        <f t="shared" si="43"/>
        <v>1.0851163175317202E-3</v>
      </c>
      <c r="Z152" s="334"/>
      <c r="AA152" s="571">
        <f t="shared" si="44"/>
        <v>9.4552089901943234E-2</v>
      </c>
      <c r="AB152" s="327">
        <f t="shared" si="63"/>
        <v>0.90407495299984064</v>
      </c>
      <c r="AC152" s="327">
        <f t="shared" si="45"/>
        <v>0.90544791009805681</v>
      </c>
      <c r="AD152" s="327">
        <f t="shared" si="46"/>
        <v>1.372015023811346E-3</v>
      </c>
      <c r="AE152" s="383"/>
      <c r="AF152" s="574">
        <f t="shared" si="35"/>
        <v>0.13014814368274208</v>
      </c>
      <c r="AG152" s="376">
        <f t="shared" si="61"/>
        <v>0.86874625691007623</v>
      </c>
      <c r="AH152" s="376">
        <f t="shared" si="47"/>
        <v>0.86985185631725792</v>
      </c>
      <c r="AI152" s="553">
        <f t="shared" si="48"/>
        <v>1.1049884573330893E-3</v>
      </c>
      <c r="AJ152" s="374"/>
      <c r="AK152" s="577">
        <f t="shared" si="36"/>
        <v>0.12938306673839411</v>
      </c>
      <c r="AL152" s="376">
        <f t="shared" si="49"/>
        <v>0.86965668712184685</v>
      </c>
      <c r="AM152" s="376">
        <f t="shared" si="50"/>
        <v>0.87061693326160583</v>
      </c>
      <c r="AN152" s="553">
        <f t="shared" si="51"/>
        <v>9.5978525096851453E-4</v>
      </c>
      <c r="AO152" s="554"/>
      <c r="AP152" s="580">
        <f t="shared" si="37"/>
        <v>7.3805509348745968E-2</v>
      </c>
      <c r="AQ152" s="376">
        <f t="shared" si="52"/>
        <v>0.9248228237869387</v>
      </c>
      <c r="AR152" s="379">
        <f t="shared" si="53"/>
        <v>0.92619449065125403</v>
      </c>
      <c r="AS152" s="376">
        <f t="shared" si="54"/>
        <v>1.3707265592995954E-3</v>
      </c>
      <c r="AT152" s="384"/>
      <c r="AU152" s="583">
        <f t="shared" si="38"/>
        <v>0.28490034625719041</v>
      </c>
      <c r="AV152" s="381">
        <f t="shared" si="64"/>
        <v>1.2552987215035423</v>
      </c>
      <c r="AW152" s="376">
        <f t="shared" si="39"/>
        <v>1.2556158221150593</v>
      </c>
      <c r="AX152" s="503">
        <f t="shared" si="62"/>
        <v>3.170503404319458E-4</v>
      </c>
      <c r="AY152" s="376">
        <f t="shared" si="40"/>
        <v>2.2357665783067358</v>
      </c>
      <c r="AZ152" s="381">
        <f t="shared" si="55"/>
        <v>5.804570774845759E-3</v>
      </c>
      <c r="BA152" s="586">
        <f t="shared" si="56"/>
        <v>0.22150114845505442</v>
      </c>
      <c r="BB152" s="376">
        <f t="shared" si="57"/>
        <v>0.77772313670183613</v>
      </c>
      <c r="BC152" s="376">
        <f t="shared" si="58"/>
        <v>0.77849885154494558</v>
      </c>
      <c r="BD152" s="376">
        <f t="shared" si="59"/>
        <v>7.7541405413106279E-4</v>
      </c>
      <c r="BE152" s="283"/>
      <c r="BF152" s="283"/>
      <c r="BG152" s="283"/>
      <c r="BH152" s="283"/>
      <c r="BI152" s="283"/>
      <c r="BJ152" s="283"/>
      <c r="BK152" s="283"/>
      <c r="BL152" s="283"/>
      <c r="BM152" s="283"/>
      <c r="BN152" s="283"/>
      <c r="BO152" s="283"/>
      <c r="BP152" s="283"/>
      <c r="BQ152" s="283"/>
      <c r="BR152" s="283"/>
      <c r="BS152" s="283"/>
      <c r="BT152" s="283"/>
      <c r="BU152" s="283"/>
      <c r="BV152" s="283"/>
      <c r="BW152" s="283"/>
      <c r="BX152" s="283"/>
      <c r="BY152" s="283"/>
      <c r="BZ152" s="283"/>
      <c r="CA152" s="283"/>
      <c r="CB152" s="283"/>
      <c r="CC152" s="283"/>
      <c r="CD152" s="283"/>
      <c r="CE152" s="283"/>
      <c r="CF152" s="283"/>
      <c r="CG152" s="283"/>
      <c r="CH152" s="283"/>
      <c r="CI152" s="283"/>
      <c r="CJ152" s="283"/>
      <c r="CK152" s="283"/>
      <c r="CL152" s="283"/>
    </row>
    <row r="153" spans="1:90" ht="14.25" customHeight="1" x14ac:dyDescent="0.2">
      <c r="A153" s="3"/>
      <c r="B153" s="252"/>
      <c r="C153" s="3"/>
      <c r="D153" s="3"/>
      <c r="E153" s="3"/>
      <c r="F153" s="3"/>
      <c r="G153" s="252"/>
      <c r="H153" s="3"/>
      <c r="I153" s="3"/>
      <c r="J153" s="3"/>
      <c r="K153" s="3"/>
      <c r="L153" s="252"/>
      <c r="M153" s="3"/>
      <c r="N153" s="3"/>
      <c r="O153" s="3"/>
      <c r="P153" s="3"/>
      <c r="Q153" s="3"/>
      <c r="R153" s="3"/>
      <c r="S153" s="334"/>
      <c r="T153" s="373">
        <f t="shared" si="65"/>
        <v>127</v>
      </c>
      <c r="U153" s="334"/>
      <c r="V153" s="568">
        <f t="shared" si="60"/>
        <v>4.1845551658274381E-2</v>
      </c>
      <c r="W153" s="328">
        <f t="shared" si="41"/>
        <v>0.95709553876574593</v>
      </c>
      <c r="X153" s="328">
        <f t="shared" si="42"/>
        <v>0.95815444834172558</v>
      </c>
      <c r="Y153" s="328">
        <f t="shared" si="43"/>
        <v>1.0583491290728775E-3</v>
      </c>
      <c r="Z153" s="334"/>
      <c r="AA153" s="571">
        <f t="shared" si="44"/>
        <v>9.3201240137775768E-2</v>
      </c>
      <c r="AB153" s="327">
        <f t="shared" si="63"/>
        <v>0.90544791009805681</v>
      </c>
      <c r="AC153" s="327">
        <f t="shared" si="45"/>
        <v>0.90679875986222425</v>
      </c>
      <c r="AD153" s="327">
        <f t="shared" si="46"/>
        <v>1.3499377773233956E-3</v>
      </c>
      <c r="AE153" s="383"/>
      <c r="AF153" s="574">
        <f t="shared" si="35"/>
        <v>0.12905766926294682</v>
      </c>
      <c r="AG153" s="376">
        <f t="shared" si="61"/>
        <v>0.86985185631725792</v>
      </c>
      <c r="AH153" s="376">
        <f t="shared" si="47"/>
        <v>0.87094233073705318</v>
      </c>
      <c r="AI153" s="553">
        <f t="shared" si="48"/>
        <v>1.0898800686263144E-3</v>
      </c>
      <c r="AJ153" s="374"/>
      <c r="AK153" s="577">
        <f t="shared" si="36"/>
        <v>0.12843636979244177</v>
      </c>
      <c r="AL153" s="376">
        <f t="shared" si="49"/>
        <v>0.87061693326160583</v>
      </c>
      <c r="AM153" s="376">
        <f t="shared" si="50"/>
        <v>0.87156363020755823</v>
      </c>
      <c r="AN153" s="553">
        <f t="shared" si="51"/>
        <v>9.4624896977568707E-4</v>
      </c>
      <c r="AO153" s="554"/>
      <c r="AP153" s="580">
        <f t="shared" si="37"/>
        <v>7.2459537958670772E-2</v>
      </c>
      <c r="AQ153" s="376">
        <f t="shared" si="52"/>
        <v>0.92619449065125403</v>
      </c>
      <c r="AR153" s="379">
        <f t="shared" si="53"/>
        <v>0.92754046204132923</v>
      </c>
      <c r="AS153" s="376">
        <f t="shared" si="54"/>
        <v>1.3450659768493578E-3</v>
      </c>
      <c r="AT153" s="384"/>
      <c r="AU153" s="583">
        <f t="shared" si="38"/>
        <v>0.28481360389458976</v>
      </c>
      <c r="AV153" s="381">
        <f t="shared" si="64"/>
        <v>1.2556158221150593</v>
      </c>
      <c r="AW153" s="376">
        <f t="shared" si="39"/>
        <v>1.2559203341012861</v>
      </c>
      <c r="AX153" s="503">
        <f t="shared" si="62"/>
        <v>3.0446562715769065E-4</v>
      </c>
      <c r="AY153" s="376">
        <f t="shared" si="40"/>
        <v>2.2419845215168466</v>
      </c>
      <c r="AZ153" s="381">
        <f t="shared" si="55"/>
        <v>5.7405079545568699E-3</v>
      </c>
      <c r="BA153" s="586">
        <f t="shared" si="56"/>
        <v>0.22073420324323456</v>
      </c>
      <c r="BB153" s="376">
        <f t="shared" si="57"/>
        <v>0.77849885154494558</v>
      </c>
      <c r="BC153" s="376">
        <f t="shared" si="58"/>
        <v>0.77926579675676544</v>
      </c>
      <c r="BD153" s="376">
        <f t="shared" si="59"/>
        <v>7.6665118451335612E-4</v>
      </c>
      <c r="BE153" s="283"/>
      <c r="BF153" s="283"/>
      <c r="BG153" s="283"/>
      <c r="BH153" s="283"/>
      <c r="BI153" s="283"/>
      <c r="BJ153" s="283"/>
      <c r="BK153" s="283"/>
      <c r="BL153" s="283"/>
      <c r="BM153" s="283"/>
      <c r="BN153" s="283"/>
      <c r="BO153" s="283"/>
      <c r="BP153" s="283"/>
      <c r="BQ153" s="283"/>
      <c r="BR153" s="283"/>
      <c r="BS153" s="283"/>
      <c r="BT153" s="283"/>
      <c r="BU153" s="283"/>
      <c r="BV153" s="283"/>
      <c r="BW153" s="283"/>
      <c r="BX153" s="283"/>
      <c r="BY153" s="283"/>
      <c r="BZ153" s="283"/>
      <c r="CA153" s="283"/>
      <c r="CB153" s="283"/>
      <c r="CC153" s="283"/>
      <c r="CD153" s="283"/>
      <c r="CE153" s="283"/>
      <c r="CF153" s="283"/>
      <c r="CG153" s="283"/>
      <c r="CH153" s="283"/>
      <c r="CI153" s="283"/>
      <c r="CJ153" s="283"/>
      <c r="CK153" s="283"/>
      <c r="CL153" s="283"/>
    </row>
    <row r="154" spans="1:90" ht="14.25" customHeight="1" x14ac:dyDescent="0.2">
      <c r="A154" s="3"/>
      <c r="B154" s="252"/>
      <c r="C154" s="3"/>
      <c r="D154" s="3"/>
      <c r="E154" s="3"/>
      <c r="F154" s="3"/>
      <c r="G154" s="252"/>
      <c r="H154" s="3"/>
      <c r="I154" s="3"/>
      <c r="J154" s="3"/>
      <c r="K154" s="3"/>
      <c r="L154" s="252"/>
      <c r="M154" s="3"/>
      <c r="N154" s="3"/>
      <c r="O154" s="3"/>
      <c r="P154" s="3"/>
      <c r="Q154" s="3"/>
      <c r="R154" s="3"/>
      <c r="S154" s="334"/>
      <c r="T154" s="373">
        <f t="shared" si="65"/>
        <v>128</v>
      </c>
      <c r="U154" s="334"/>
      <c r="V154" s="568">
        <f t="shared" si="60"/>
        <v>4.0812776648674151E-2</v>
      </c>
      <c r="W154" s="328">
        <f t="shared" si="41"/>
        <v>0.95815444834172558</v>
      </c>
      <c r="X154" s="328">
        <f t="shared" si="42"/>
        <v>0.95918722335132589</v>
      </c>
      <c r="Y154" s="328">
        <f t="shared" si="43"/>
        <v>1.032241881039786E-3</v>
      </c>
      <c r="Z154" s="334"/>
      <c r="AA154" s="571">
        <f t="shared" si="44"/>
        <v>9.1872087721361934E-2</v>
      </c>
      <c r="AB154" s="327">
        <f t="shared" si="63"/>
        <v>0.90679875986222425</v>
      </c>
      <c r="AC154" s="327">
        <f t="shared" si="45"/>
        <v>0.90812791227863809</v>
      </c>
      <c r="AD154" s="327">
        <f t="shared" si="46"/>
        <v>1.3282694845677678E-3</v>
      </c>
      <c r="AE154" s="383"/>
      <c r="AF154" s="574">
        <f t="shared" si="35"/>
        <v>0.12798202483962717</v>
      </c>
      <c r="AG154" s="376">
        <f t="shared" si="61"/>
        <v>0.87094233073705318</v>
      </c>
      <c r="AH154" s="376">
        <f t="shared" si="47"/>
        <v>0.87201797516037283</v>
      </c>
      <c r="AI154" s="553">
        <f t="shared" si="48"/>
        <v>1.0750661252232341E-3</v>
      </c>
      <c r="AJ154" s="374"/>
      <c r="AK154" s="577">
        <f t="shared" si="36"/>
        <v>0.12750294125684727</v>
      </c>
      <c r="AL154" s="376">
        <f t="shared" si="49"/>
        <v>0.87156363020755823</v>
      </c>
      <c r="AM154" s="376">
        <f t="shared" si="50"/>
        <v>0.87249705874315275</v>
      </c>
      <c r="AN154" s="553">
        <f t="shared" si="51"/>
        <v>9.3299302669502815E-4</v>
      </c>
      <c r="AO154" s="554"/>
      <c r="AP154" s="580">
        <f t="shared" si="37"/>
        <v>7.1138760264173095E-2</v>
      </c>
      <c r="AQ154" s="376">
        <f t="shared" si="52"/>
        <v>0.92754046204132923</v>
      </c>
      <c r="AR154" s="379">
        <f t="shared" si="53"/>
        <v>0.9288612397358269</v>
      </c>
      <c r="AS154" s="376">
        <f t="shared" si="54"/>
        <v>1.3199058515176443E-3</v>
      </c>
      <c r="AT154" s="384"/>
      <c r="AU154" s="583">
        <f t="shared" si="38"/>
        <v>0.2847303299884969</v>
      </c>
      <c r="AV154" s="381">
        <f t="shared" si="64"/>
        <v>1.2559203341012861</v>
      </c>
      <c r="AW154" s="376">
        <f t="shared" si="39"/>
        <v>1.2562127572199682</v>
      </c>
      <c r="AX154" s="503">
        <f t="shared" si="62"/>
        <v>2.9238036720913296E-4</v>
      </c>
      <c r="AY154" s="376">
        <f t="shared" si="40"/>
        <v>2.2481536960429396</v>
      </c>
      <c r="AZ154" s="381">
        <f t="shared" si="55"/>
        <v>5.6776463534971124E-3</v>
      </c>
      <c r="BA154" s="586">
        <f t="shared" si="56"/>
        <v>0.21997586116749918</v>
      </c>
      <c r="BB154" s="376">
        <f t="shared" si="57"/>
        <v>0.77926579675676544</v>
      </c>
      <c r="BC154" s="376">
        <f t="shared" si="58"/>
        <v>0.78002413883250088</v>
      </c>
      <c r="BD154" s="376">
        <f t="shared" si="59"/>
        <v>7.580546070546923E-4</v>
      </c>
      <c r="BE154" s="283"/>
      <c r="BF154" s="283"/>
      <c r="BG154" s="283"/>
      <c r="BH154" s="283"/>
      <c r="BI154" s="283"/>
      <c r="BJ154" s="283"/>
      <c r="BK154" s="283"/>
      <c r="BL154" s="283"/>
      <c r="BM154" s="283"/>
      <c r="BN154" s="283"/>
      <c r="BO154" s="283"/>
      <c r="BP154" s="283"/>
      <c r="BQ154" s="283"/>
      <c r="BR154" s="283"/>
      <c r="BS154" s="283"/>
      <c r="BT154" s="283"/>
      <c r="BU154" s="283"/>
      <c r="BV154" s="283"/>
      <c r="BW154" s="283"/>
      <c r="BX154" s="283"/>
      <c r="BY154" s="283"/>
      <c r="BZ154" s="283"/>
      <c r="CA154" s="283"/>
      <c r="CB154" s="283"/>
      <c r="CC154" s="283"/>
      <c r="CD154" s="283"/>
      <c r="CE154" s="283"/>
      <c r="CF154" s="283"/>
      <c r="CG154" s="283"/>
      <c r="CH154" s="283"/>
      <c r="CI154" s="283"/>
      <c r="CJ154" s="283"/>
      <c r="CK154" s="283"/>
      <c r="CL154" s="283"/>
    </row>
    <row r="155" spans="1:90" ht="14.25" customHeight="1" x14ac:dyDescent="0.2">
      <c r="A155" s="3"/>
      <c r="B155" s="252"/>
      <c r="C155" s="3"/>
      <c r="D155" s="3"/>
      <c r="E155" s="3"/>
      <c r="F155" s="3"/>
      <c r="G155" s="252"/>
      <c r="H155" s="3"/>
      <c r="I155" s="3"/>
      <c r="J155" s="3"/>
      <c r="K155" s="3"/>
      <c r="L155" s="252"/>
      <c r="M155" s="3"/>
      <c r="N155" s="3"/>
      <c r="O155" s="3"/>
      <c r="P155" s="3"/>
      <c r="Q155" s="3"/>
      <c r="R155" s="3"/>
      <c r="S155" s="334"/>
      <c r="T155" s="373">
        <f t="shared" si="65"/>
        <v>129</v>
      </c>
      <c r="U155" s="334"/>
      <c r="V155" s="568">
        <f t="shared" si="60"/>
        <v>3.980549118762057E-2</v>
      </c>
      <c r="W155" s="328">
        <f t="shared" si="41"/>
        <v>0.95918722335132589</v>
      </c>
      <c r="X155" s="328">
        <f t="shared" si="42"/>
        <v>0.96019450881237944</v>
      </c>
      <c r="Y155" s="328">
        <f t="shared" si="43"/>
        <v>1.0067783193465907E-3</v>
      </c>
      <c r="Z155" s="334"/>
      <c r="AA155" s="571">
        <f t="shared" si="44"/>
        <v>9.0564231626281619E-2</v>
      </c>
      <c r="AB155" s="327">
        <f t="shared" si="63"/>
        <v>0.90812791227863809</v>
      </c>
      <c r="AC155" s="327">
        <f t="shared" si="45"/>
        <v>0.90943576837371842</v>
      </c>
      <c r="AD155" s="327">
        <f t="shared" si="46"/>
        <v>1.3070012240210538E-3</v>
      </c>
      <c r="AE155" s="383"/>
      <c r="AF155" s="574">
        <f t="shared" ref="AF155:AF218" si="66">1-_xlfn.NORM.DIST(LN(T155),$AF$21,$AF$22,TRUE)</f>
        <v>0.1269209229841215</v>
      </c>
      <c r="AG155" s="376">
        <f t="shared" si="61"/>
        <v>0.87201797516037283</v>
      </c>
      <c r="AH155" s="376">
        <f t="shared" si="47"/>
        <v>0.8730790770158785</v>
      </c>
      <c r="AI155" s="553">
        <f t="shared" si="48"/>
        <v>1.0605390860013442E-3</v>
      </c>
      <c r="AJ155" s="374"/>
      <c r="AK155" s="577">
        <f t="shared" ref="AK155:AK218" si="67">(1+(T155/$AK$21)^$AK$22)^-1</f>
        <v>0.12658250799036838</v>
      </c>
      <c r="AL155" s="376">
        <f t="shared" si="49"/>
        <v>0.87249705874315275</v>
      </c>
      <c r="AM155" s="376">
        <f t="shared" si="50"/>
        <v>0.87341749200963159</v>
      </c>
      <c r="AN155" s="553">
        <f t="shared" si="51"/>
        <v>9.2000979771467151E-4</v>
      </c>
      <c r="AO155" s="554"/>
      <c r="AP155" s="580">
        <f t="shared" ref="AP155:AP218" si="68">1-_xlfn.GAMMA.DIST(T155,$AP$21,1/$AP$22,TRUE)</f>
        <v>6.9842684963906776E-2</v>
      </c>
      <c r="AQ155" s="376">
        <f t="shared" si="52"/>
        <v>0.9288612397358269</v>
      </c>
      <c r="AR155" s="379">
        <f t="shared" si="53"/>
        <v>0.93015731503609322</v>
      </c>
      <c r="AS155" s="376">
        <f t="shared" si="54"/>
        <v>1.2952357574170792E-3</v>
      </c>
      <c r="AT155" s="384"/>
      <c r="AU155" s="583">
        <f t="shared" ref="AU155:AU218" si="69">EXP((-$AU$22/$AU$21)*(EXP($AU$21*T155)-1))</f>
        <v>0.28465038490289551</v>
      </c>
      <c r="AV155" s="381">
        <f t="shared" si="64"/>
        <v>1.2562127572199682</v>
      </c>
      <c r="AW155" s="376">
        <f t="shared" ref="AW155:AW218" si="70">($AU$22/$AU$21)*((EXP($AU$21*T155))-1)</f>
        <v>1.2564935713888921</v>
      </c>
      <c r="AX155" s="503">
        <f t="shared" si="62"/>
        <v>2.8077474431553728E-4</v>
      </c>
      <c r="AY155" s="376">
        <f t="shared" ref="AY155:AY218" si="71">(LN(T155)-$AZ$21)/$AZ$22</f>
        <v>2.2542748609422643</v>
      </c>
      <c r="AZ155" s="381">
        <f t="shared" si="55"/>
        <v>5.6159543252644077E-3</v>
      </c>
      <c r="BA155" s="586">
        <f t="shared" si="56"/>
        <v>0.21922596015092533</v>
      </c>
      <c r="BB155" s="376">
        <f t="shared" si="57"/>
        <v>0.78002413883250088</v>
      </c>
      <c r="BC155" s="376">
        <f t="shared" si="58"/>
        <v>0.78077403984907467</v>
      </c>
      <c r="BD155" s="376">
        <f t="shared" si="59"/>
        <v>7.4961991107791448E-4</v>
      </c>
      <c r="BE155" s="283"/>
      <c r="BF155" s="283"/>
      <c r="BG155" s="283"/>
      <c r="BH155" s="283"/>
      <c r="BI155" s="283"/>
      <c r="BJ155" s="283"/>
      <c r="BK155" s="283"/>
      <c r="BL155" s="283"/>
      <c r="BM155" s="283"/>
      <c r="BN155" s="283"/>
      <c r="BO155" s="283"/>
      <c r="BP155" s="283"/>
      <c r="BQ155" s="283"/>
      <c r="BR155" s="283"/>
      <c r="BS155" s="283"/>
      <c r="BT155" s="283"/>
      <c r="BU155" s="283"/>
      <c r="BV155" s="283"/>
      <c r="BW155" s="283"/>
      <c r="BX155" s="283"/>
      <c r="BY155" s="283"/>
      <c r="BZ155" s="283"/>
      <c r="CA155" s="283"/>
      <c r="CB155" s="283"/>
      <c r="CC155" s="283"/>
      <c r="CD155" s="283"/>
      <c r="CE155" s="283"/>
      <c r="CF155" s="283"/>
      <c r="CG155" s="283"/>
      <c r="CH155" s="283"/>
      <c r="CI155" s="283"/>
      <c r="CJ155" s="283"/>
      <c r="CK155" s="283"/>
      <c r="CL155" s="283"/>
    </row>
    <row r="156" spans="1:90" ht="14.25" customHeight="1" x14ac:dyDescent="0.2">
      <c r="A156" s="3"/>
      <c r="B156" s="252"/>
      <c r="C156" s="3"/>
      <c r="D156" s="3"/>
      <c r="E156" s="3"/>
      <c r="F156" s="3"/>
      <c r="G156" s="252"/>
      <c r="H156" s="3"/>
      <c r="I156" s="3"/>
      <c r="J156" s="3"/>
      <c r="K156" s="3"/>
      <c r="L156" s="252"/>
      <c r="M156" s="3"/>
      <c r="N156" s="3"/>
      <c r="O156" s="3"/>
      <c r="P156" s="3"/>
      <c r="Q156" s="3"/>
      <c r="R156" s="3"/>
      <c r="S156" s="334"/>
      <c r="T156" s="373">
        <f t="shared" si="65"/>
        <v>130</v>
      </c>
      <c r="U156" s="334"/>
      <c r="V156" s="568">
        <f t="shared" si="60"/>
        <v>3.882306617673395E-2</v>
      </c>
      <c r="W156" s="328">
        <f t="shared" ref="W156:W219" si="72">1-V155</f>
        <v>0.96019450881237944</v>
      </c>
      <c r="X156" s="328">
        <f t="shared" ref="X156:X219" si="73">1-V156</f>
        <v>0.96117693382326608</v>
      </c>
      <c r="Y156" s="328">
        <f t="shared" ref="Y156:Y219" si="74">1-EXP(W156-X156)</f>
        <v>9.8194258942951862E-4</v>
      </c>
      <c r="Z156" s="334"/>
      <c r="AA156" s="571">
        <f t="shared" ref="AA156:AA219" si="75">EXP(-1*(T156/$AA$21)^$AA$22)</f>
        <v>8.9277279551348981E-2</v>
      </c>
      <c r="AB156" s="327">
        <f t="shared" si="63"/>
        <v>0.90943576837371842</v>
      </c>
      <c r="AC156" s="327">
        <f t="shared" ref="AC156:AC219" si="76">1-AA156</f>
        <v>0.91072272044865099</v>
      </c>
      <c r="AD156" s="327">
        <f t="shared" ref="AD156:AD219" si="77">1-EXP(AB156-AC156)</f>
        <v>1.286124307248171E-3</v>
      </c>
      <c r="AE156" s="383"/>
      <c r="AF156" s="574">
        <f t="shared" si="66"/>
        <v>0.12587408358854191</v>
      </c>
      <c r="AG156" s="376">
        <f t="shared" si="61"/>
        <v>0.8730790770158785</v>
      </c>
      <c r="AH156" s="376">
        <f t="shared" ref="AH156:AH219" si="78">1-AF156</f>
        <v>0.87412591641145809</v>
      </c>
      <c r="AI156" s="553">
        <f t="shared" ref="AI156:AI219" si="79">1-EXP(AG156-AH156)</f>
        <v>1.0462916503699571E-3</v>
      </c>
      <c r="AJ156" s="374"/>
      <c r="AK156" s="577">
        <f t="shared" si="67"/>
        <v>0.12567480423720007</v>
      </c>
      <c r="AL156" s="376">
        <f t="shared" ref="AL156:AL219" si="80">1-AK155</f>
        <v>0.87341749200963159</v>
      </c>
      <c r="AM156" s="376">
        <f t="shared" ref="AM156:AM219" si="81">1-AK156</f>
        <v>0.87432519576279999</v>
      </c>
      <c r="AN156" s="553">
        <f t="shared" ref="AN156:AN219" si="82">1-EXP(AL156-AM156)</f>
        <v>9.0729191473515325E-4</v>
      </c>
      <c r="AO156" s="554"/>
      <c r="AP156" s="580">
        <f t="shared" si="68"/>
        <v>6.8570830990516307E-2</v>
      </c>
      <c r="AQ156" s="376">
        <f t="shared" ref="AQ156:AQ219" si="83">1-AP155</f>
        <v>0.93015731503609322</v>
      </c>
      <c r="AR156" s="379">
        <f t="shared" ref="AR156:AR219" si="84">1-AP156</f>
        <v>0.93142916900948369</v>
      </c>
      <c r="AS156" s="376">
        <f t="shared" ref="AS156:AS219" si="85">1-EXP(AQ156-AR156)</f>
        <v>1.271045509911195E-3</v>
      </c>
      <c r="AT156" s="384"/>
      <c r="AU156" s="583">
        <f t="shared" si="69"/>
        <v>0.28457363469704089</v>
      </c>
      <c r="AV156" s="381">
        <f t="shared" si="64"/>
        <v>1.2564935713888921</v>
      </c>
      <c r="AW156" s="376">
        <f t="shared" si="70"/>
        <v>1.256763237473516</v>
      </c>
      <c r="AX156" s="503">
        <f t="shared" si="62"/>
        <v>2.6962972799349227E-4</v>
      </c>
      <c r="AY156" s="376">
        <f t="shared" si="71"/>
        <v>2.2603487576873769</v>
      </c>
      <c r="AZ156" s="381">
        <f t="shared" ref="AZ156:AZ219" si="86">$AZ$24*EXP(ABS($AZ$23)*-AY156)</f>
        <v>5.555401293837252E-3</v>
      </c>
      <c r="BA156" s="586">
        <f t="shared" ref="BA156:BA219" si="87">_xlfn.GAMMA.DIST(AZ156,$AZ$24,1,TRUE)</f>
        <v>0.2184843423848058</v>
      </c>
      <c r="BB156" s="376">
        <f t="shared" ref="BB156:BB219" si="88">1-BA155</f>
        <v>0.78077403984907467</v>
      </c>
      <c r="BC156" s="376">
        <f t="shared" ref="BC156:BC219" si="89">1-BA156</f>
        <v>0.78151565761519426</v>
      </c>
      <c r="BD156" s="376">
        <f t="shared" ref="BD156:BD219" si="90">1-EXP(BB156-BC156)</f>
        <v>7.4134283563276338E-4</v>
      </c>
      <c r="BE156" s="283"/>
      <c r="BF156" s="283"/>
      <c r="BG156" s="283"/>
      <c r="BH156" s="283"/>
      <c r="BI156" s="283"/>
      <c r="BJ156" s="283"/>
      <c r="BK156" s="283"/>
      <c r="BL156" s="283"/>
      <c r="BM156" s="283"/>
      <c r="BN156" s="283"/>
      <c r="BO156" s="283"/>
      <c r="BP156" s="283"/>
      <c r="BQ156" s="283"/>
      <c r="BR156" s="283"/>
      <c r="BS156" s="283"/>
      <c r="BT156" s="283"/>
      <c r="BU156" s="283"/>
      <c r="BV156" s="283"/>
      <c r="BW156" s="283"/>
      <c r="BX156" s="283"/>
      <c r="BY156" s="283"/>
      <c r="BZ156" s="283"/>
      <c r="CA156" s="283"/>
      <c r="CB156" s="283"/>
      <c r="CC156" s="283"/>
      <c r="CD156" s="283"/>
      <c r="CE156" s="283"/>
      <c r="CF156" s="283"/>
      <c r="CG156" s="283"/>
      <c r="CH156" s="283"/>
      <c r="CI156" s="283"/>
      <c r="CJ156" s="283"/>
      <c r="CK156" s="283"/>
      <c r="CL156" s="283"/>
    </row>
    <row r="157" spans="1:90" ht="14.25" customHeight="1" x14ac:dyDescent="0.2">
      <c r="A157" s="3"/>
      <c r="B157" s="252"/>
      <c r="C157" s="3"/>
      <c r="D157" s="3"/>
      <c r="E157" s="3"/>
      <c r="F157" s="3"/>
      <c r="G157" s="252"/>
      <c r="H157" s="3"/>
      <c r="I157" s="3"/>
      <c r="J157" s="3"/>
      <c r="K157" s="3"/>
      <c r="L157" s="252"/>
      <c r="M157" s="3"/>
      <c r="N157" s="3"/>
      <c r="O157" s="3"/>
      <c r="P157" s="3"/>
      <c r="Q157" s="3"/>
      <c r="R157" s="3"/>
      <c r="S157" s="334"/>
      <c r="T157" s="373">
        <f t="shared" si="65"/>
        <v>131</v>
      </c>
      <c r="U157" s="334"/>
      <c r="V157" s="568">
        <f t="shared" ref="V157:V220" si="91">EXP(-1*$V$21*T157)</f>
        <v>3.786488804418546E-2</v>
      </c>
      <c r="W157" s="328">
        <f t="shared" si="72"/>
        <v>0.96117693382326608</v>
      </c>
      <c r="X157" s="328">
        <f t="shared" si="73"/>
        <v>0.96213511195581458</v>
      </c>
      <c r="Y157" s="328">
        <f t="shared" si="74"/>
        <v>9.5771922646459284E-4</v>
      </c>
      <c r="Z157" s="334"/>
      <c r="AA157" s="571">
        <f t="shared" si="75"/>
        <v>8.8010847693375985E-2</v>
      </c>
      <c r="AB157" s="327">
        <f t="shared" si="63"/>
        <v>0.91072272044865099</v>
      </c>
      <c r="AC157" s="327">
        <f t="shared" si="76"/>
        <v>0.91198915230662403</v>
      </c>
      <c r="AD157" s="327">
        <f t="shared" si="77"/>
        <v>1.2656302715681189E-3</v>
      </c>
      <c r="AE157" s="383"/>
      <c r="AF157" s="574">
        <f t="shared" si="66"/>
        <v>0.12484123363354993</v>
      </c>
      <c r="AG157" s="376">
        <f t="shared" ref="AG157:AG220" si="92">1-AF156</f>
        <v>0.87412591641145809</v>
      </c>
      <c r="AH157" s="376">
        <f t="shared" si="78"/>
        <v>0.87515876636645007</v>
      </c>
      <c r="AI157" s="553">
        <f t="shared" si="79"/>
        <v>1.0323167490668972E-3</v>
      </c>
      <c r="AJ157" s="374"/>
      <c r="AK157" s="577">
        <f t="shared" si="67"/>
        <v>0.12477957138044286</v>
      </c>
      <c r="AL157" s="376">
        <f t="shared" si="80"/>
        <v>0.87432519576279999</v>
      </c>
      <c r="AM157" s="376">
        <f t="shared" si="81"/>
        <v>0.87522042861955718</v>
      </c>
      <c r="AN157" s="553">
        <f t="shared" si="82"/>
        <v>8.9483225537601019E-4</v>
      </c>
      <c r="AO157" s="554"/>
      <c r="AP157" s="580">
        <f t="shared" si="68"/>
        <v>6.732272727392119E-2</v>
      </c>
      <c r="AQ157" s="376">
        <f t="shared" si="83"/>
        <v>0.93142916900948369</v>
      </c>
      <c r="AR157" s="379">
        <f t="shared" si="84"/>
        <v>0.93267727272607881</v>
      </c>
      <c r="AS157" s="376">
        <f t="shared" si="85"/>
        <v>1.2473251590919832E-3</v>
      </c>
      <c r="AT157" s="384"/>
      <c r="AU157" s="583">
        <f t="shared" si="69"/>
        <v>0.28449995088745805</v>
      </c>
      <c r="AV157" s="381">
        <f t="shared" si="64"/>
        <v>1.256763237473516</v>
      </c>
      <c r="AW157" s="376">
        <f t="shared" si="70"/>
        <v>1.2570221980433303</v>
      </c>
      <c r="AX157" s="503">
        <f t="shared" si="62"/>
        <v>2.5892704242003184E-4</v>
      </c>
      <c r="AY157" s="376">
        <f t="shared" si="71"/>
        <v>2.2663761107051519</v>
      </c>
      <c r="AZ157" s="381">
        <f t="shared" si="86"/>
        <v>5.4959577094888974E-3</v>
      </c>
      <c r="BA157" s="586">
        <f t="shared" si="87"/>
        <v>0.21775085418477769</v>
      </c>
      <c r="BB157" s="376">
        <f t="shared" si="88"/>
        <v>0.78151565761519426</v>
      </c>
      <c r="BC157" s="376">
        <f t="shared" si="89"/>
        <v>0.78224914581522231</v>
      </c>
      <c r="BD157" s="376">
        <f t="shared" si="90"/>
        <v>7.3321926331626486E-4</v>
      </c>
      <c r="BE157" s="283"/>
      <c r="BF157" s="283"/>
      <c r="BG157" s="283"/>
      <c r="BH157" s="283"/>
      <c r="BI157" s="283"/>
      <c r="BJ157" s="283"/>
      <c r="BK157" s="283"/>
      <c r="BL157" s="283"/>
      <c r="BM157" s="283"/>
      <c r="BN157" s="283"/>
      <c r="BO157" s="283"/>
      <c r="BP157" s="283"/>
      <c r="BQ157" s="283"/>
      <c r="BR157" s="283"/>
      <c r="BS157" s="283"/>
      <c r="BT157" s="283"/>
      <c r="BU157" s="283"/>
      <c r="BV157" s="283"/>
      <c r="BW157" s="283"/>
      <c r="BX157" s="283"/>
      <c r="BY157" s="283"/>
      <c r="BZ157" s="283"/>
      <c r="CA157" s="283"/>
      <c r="CB157" s="283"/>
      <c r="CC157" s="283"/>
      <c r="CD157" s="283"/>
      <c r="CE157" s="283"/>
      <c r="CF157" s="283"/>
      <c r="CG157" s="283"/>
      <c r="CH157" s="283"/>
      <c r="CI157" s="283"/>
      <c r="CJ157" s="283"/>
      <c r="CK157" s="283"/>
      <c r="CL157" s="283"/>
    </row>
    <row r="158" spans="1:90" ht="14.25" customHeight="1" x14ac:dyDescent="0.2">
      <c r="A158" s="3"/>
      <c r="B158" s="252"/>
      <c r="C158" s="3"/>
      <c r="D158" s="3"/>
      <c r="E158" s="3"/>
      <c r="F158" s="3"/>
      <c r="G158" s="252"/>
      <c r="H158" s="3"/>
      <c r="I158" s="3"/>
      <c r="J158" s="3"/>
      <c r="K158" s="3"/>
      <c r="L158" s="252"/>
      <c r="M158" s="3"/>
      <c r="N158" s="3"/>
      <c r="O158" s="3"/>
      <c r="P158" s="3"/>
      <c r="Q158" s="3"/>
      <c r="R158" s="3"/>
      <c r="S158" s="334"/>
      <c r="T158" s="373">
        <f t="shared" si="65"/>
        <v>132</v>
      </c>
      <c r="U158" s="334"/>
      <c r="V158" s="568">
        <f t="shared" si="91"/>
        <v>3.6930358361491875E-2</v>
      </c>
      <c r="W158" s="328">
        <f t="shared" si="72"/>
        <v>0.96213511195581458</v>
      </c>
      <c r="X158" s="328">
        <f t="shared" si="73"/>
        <v>0.96306964163850817</v>
      </c>
      <c r="Y158" s="328">
        <f t="shared" si="74"/>
        <v>9.3409314582582059E-4</v>
      </c>
      <c r="Z158" s="334"/>
      <c r="AA158" s="571">
        <f t="shared" si="75"/>
        <v>8.6764560527060428E-2</v>
      </c>
      <c r="AB158" s="327">
        <f t="shared" si="63"/>
        <v>0.91198915230662403</v>
      </c>
      <c r="AC158" s="327">
        <f t="shared" si="76"/>
        <v>0.91323543947293961</v>
      </c>
      <c r="AD158" s="327">
        <f t="shared" si="77"/>
        <v>1.245510872993405E-3</v>
      </c>
      <c r="AE158" s="383"/>
      <c r="AF158" s="574">
        <f t="shared" si="66"/>
        <v>0.12382210696496809</v>
      </c>
      <c r="AG158" s="376">
        <f t="shared" si="92"/>
        <v>0.87515876636645007</v>
      </c>
      <c r="AH158" s="376">
        <f t="shared" si="78"/>
        <v>0.87617789303503191</v>
      </c>
      <c r="AI158" s="553">
        <f t="shared" si="79"/>
        <v>1.0186075353676438E-3</v>
      </c>
      <c r="AJ158" s="374"/>
      <c r="AK158" s="577">
        <f t="shared" si="67"/>
        <v>0.12389655770533774</v>
      </c>
      <c r="AL158" s="376">
        <f t="shared" si="80"/>
        <v>0.87522042861955718</v>
      </c>
      <c r="AM158" s="376">
        <f t="shared" si="81"/>
        <v>0.8761034422946623</v>
      </c>
      <c r="AN158" s="553">
        <f t="shared" si="82"/>
        <v>8.8262393325411193E-4</v>
      </c>
      <c r="AO158" s="554"/>
      <c r="AP158" s="580">
        <f t="shared" si="68"/>
        <v>6.6097912510994172E-2</v>
      </c>
      <c r="AQ158" s="376">
        <f t="shared" si="83"/>
        <v>0.93267727272607881</v>
      </c>
      <c r="AR158" s="379">
        <f t="shared" si="84"/>
        <v>0.93390208748900583</v>
      </c>
      <c r="AS158" s="376">
        <f t="shared" si="85"/>
        <v>1.2240649834701633E-3</v>
      </c>
      <c r="AT158" s="384"/>
      <c r="AU158" s="583">
        <f t="shared" si="69"/>
        <v>0.28442921022032452</v>
      </c>
      <c r="AV158" s="381">
        <f t="shared" si="64"/>
        <v>1.2570221980433303</v>
      </c>
      <c r="AW158" s="376">
        <f t="shared" si="70"/>
        <v>1.2572708780981912</v>
      </c>
      <c r="AX158" s="503">
        <f t="shared" si="62"/>
        <v>2.4864913653899201E-4</v>
      </c>
      <c r="AY158" s="376">
        <f t="shared" si="71"/>
        <v>2.2723576278952913</v>
      </c>
      <c r="AZ158" s="381">
        <f t="shared" si="86"/>
        <v>5.4375950068371081E-3</v>
      </c>
      <c r="BA158" s="586">
        <f t="shared" si="87"/>
        <v>0.21702534585284441</v>
      </c>
      <c r="BB158" s="376">
        <f t="shared" si="88"/>
        <v>0.78224914581522231</v>
      </c>
      <c r="BC158" s="376">
        <f t="shared" si="89"/>
        <v>0.78297465414715561</v>
      </c>
      <c r="BD158" s="376">
        <f t="shared" si="90"/>
        <v>7.2524521439865097E-4</v>
      </c>
      <c r="BE158" s="283"/>
      <c r="BF158" s="283"/>
      <c r="BG158" s="283"/>
      <c r="BH158" s="283"/>
      <c r="BI158" s="283"/>
      <c r="BJ158" s="283"/>
      <c r="BK158" s="283"/>
      <c r="BL158" s="283"/>
      <c r="BM158" s="283"/>
      <c r="BN158" s="283"/>
      <c r="BO158" s="283"/>
      <c r="BP158" s="283"/>
      <c r="BQ158" s="283"/>
      <c r="BR158" s="283"/>
      <c r="BS158" s="283"/>
      <c r="BT158" s="283"/>
      <c r="BU158" s="283"/>
      <c r="BV158" s="283"/>
      <c r="BW158" s="283"/>
      <c r="BX158" s="283"/>
      <c r="BY158" s="283"/>
      <c r="BZ158" s="283"/>
      <c r="CA158" s="283"/>
      <c r="CB158" s="283"/>
      <c r="CC158" s="283"/>
      <c r="CD158" s="283"/>
      <c r="CE158" s="283"/>
      <c r="CF158" s="283"/>
      <c r="CG158" s="283"/>
      <c r="CH158" s="283"/>
      <c r="CI158" s="283"/>
      <c r="CJ158" s="283"/>
      <c r="CK158" s="283"/>
      <c r="CL158" s="283"/>
    </row>
    <row r="159" spans="1:90" ht="14.25" customHeight="1" x14ac:dyDescent="0.2">
      <c r="A159" s="3"/>
      <c r="B159" s="252"/>
      <c r="C159" s="3"/>
      <c r="D159" s="3"/>
      <c r="E159" s="3"/>
      <c r="F159" s="3"/>
      <c r="G159" s="252"/>
      <c r="H159" s="3"/>
      <c r="I159" s="3"/>
      <c r="J159" s="3"/>
      <c r="K159" s="3"/>
      <c r="L159" s="252"/>
      <c r="M159" s="3"/>
      <c r="N159" s="3"/>
      <c r="O159" s="3"/>
      <c r="P159" s="3"/>
      <c r="Q159" s="3"/>
      <c r="R159" s="3"/>
      <c r="S159" s="334"/>
      <c r="T159" s="373">
        <f t="shared" si="65"/>
        <v>133</v>
      </c>
      <c r="U159" s="334"/>
      <c r="V159" s="568">
        <f t="shared" si="91"/>
        <v>3.6018893469768123E-2</v>
      </c>
      <c r="W159" s="328">
        <f t="shared" si="72"/>
        <v>0.96306964163850817</v>
      </c>
      <c r="X159" s="328">
        <f t="shared" si="73"/>
        <v>0.96398110653023183</v>
      </c>
      <c r="Y159" s="328">
        <f t="shared" si="74"/>
        <v>9.110496337731977E-4</v>
      </c>
      <c r="Z159" s="334"/>
      <c r="AA159" s="571">
        <f t="shared" si="75"/>
        <v>8.5538050591730794E-2</v>
      </c>
      <c r="AB159" s="327">
        <f t="shared" si="63"/>
        <v>0.91323543947293961</v>
      </c>
      <c r="AC159" s="327">
        <f t="shared" si="76"/>
        <v>0.91446194940826919</v>
      </c>
      <c r="AD159" s="327">
        <f t="shared" si="77"/>
        <v>1.2257580794364786E-3</v>
      </c>
      <c r="AE159" s="383"/>
      <c r="AF159" s="574">
        <f t="shared" si="66"/>
        <v>0.12281644407883674</v>
      </c>
      <c r="AG159" s="376">
        <f t="shared" si="92"/>
        <v>0.87617789303503191</v>
      </c>
      <c r="AH159" s="376">
        <f t="shared" si="78"/>
        <v>0.87718355592116326</v>
      </c>
      <c r="AI159" s="553">
        <f t="shared" si="79"/>
        <v>1.0051573766826083E-3</v>
      </c>
      <c r="AJ159" s="374"/>
      <c r="AK159" s="577">
        <f t="shared" si="67"/>
        <v>0.12302551817182064</v>
      </c>
      <c r="AL159" s="376">
        <f t="shared" si="80"/>
        <v>0.8761034422946623</v>
      </c>
      <c r="AM159" s="376">
        <f t="shared" si="81"/>
        <v>0.87697448182817939</v>
      </c>
      <c r="AN159" s="553">
        <f t="shared" si="82"/>
        <v>8.7066028870297352E-4</v>
      </c>
      <c r="AO159" s="554"/>
      <c r="AP159" s="580">
        <f t="shared" si="68"/>
        <v>6.4895934941419875E-2</v>
      </c>
      <c r="AQ159" s="376">
        <f t="shared" si="83"/>
        <v>0.93390208748900583</v>
      </c>
      <c r="AR159" s="379">
        <f t="shared" si="84"/>
        <v>0.93510406505858013</v>
      </c>
      <c r="AS159" s="376">
        <f t="shared" si="85"/>
        <v>1.2012554838746192E-3</v>
      </c>
      <c r="AT159" s="384"/>
      <c r="AU159" s="583">
        <f t="shared" si="69"/>
        <v>0.28436129445375136</v>
      </c>
      <c r="AV159" s="381">
        <f t="shared" si="64"/>
        <v>1.2572708780981912</v>
      </c>
      <c r="AW159" s="376">
        <f t="shared" si="70"/>
        <v>1.2575096857658221</v>
      </c>
      <c r="AX159" s="503">
        <f t="shared" si="62"/>
        <v>2.3877915534964433E-4</v>
      </c>
      <c r="AY159" s="376">
        <f t="shared" si="71"/>
        <v>2.2782940011292716</v>
      </c>
      <c r="AZ159" s="381">
        <f t="shared" si="86"/>
        <v>5.3802855649106116E-3</v>
      </c>
      <c r="BA159" s="586">
        <f t="shared" si="87"/>
        <v>0.21630767154500666</v>
      </c>
      <c r="BB159" s="376">
        <f t="shared" si="88"/>
        <v>0.78297465414715561</v>
      </c>
      <c r="BC159" s="376">
        <f t="shared" si="89"/>
        <v>0.78369232845499337</v>
      </c>
      <c r="BD159" s="376">
        <f t="shared" si="90"/>
        <v>7.1741684122772487E-4</v>
      </c>
      <c r="BE159" s="283"/>
      <c r="BF159" s="283"/>
      <c r="BG159" s="283"/>
      <c r="BH159" s="283"/>
      <c r="BI159" s="283"/>
      <c r="BJ159" s="283"/>
      <c r="BK159" s="283"/>
      <c r="BL159" s="283"/>
      <c r="BM159" s="283"/>
      <c r="BN159" s="283"/>
      <c r="BO159" s="283"/>
      <c r="BP159" s="283"/>
      <c r="BQ159" s="283"/>
      <c r="BR159" s="283"/>
      <c r="BS159" s="283"/>
      <c r="BT159" s="283"/>
      <c r="BU159" s="283"/>
      <c r="BV159" s="283"/>
      <c r="BW159" s="283"/>
      <c r="BX159" s="283"/>
      <c r="BY159" s="283"/>
      <c r="BZ159" s="283"/>
      <c r="CA159" s="283"/>
      <c r="CB159" s="283"/>
      <c r="CC159" s="283"/>
      <c r="CD159" s="283"/>
      <c r="CE159" s="283"/>
      <c r="CF159" s="283"/>
      <c r="CG159" s="283"/>
      <c r="CH159" s="283"/>
      <c r="CI159" s="283"/>
      <c r="CJ159" s="283"/>
      <c r="CK159" s="283"/>
      <c r="CL159" s="283"/>
    </row>
    <row r="160" spans="1:90" ht="14.25" customHeight="1" x14ac:dyDescent="0.2">
      <c r="A160" s="3"/>
      <c r="B160" s="252"/>
      <c r="C160" s="3"/>
      <c r="D160" s="3"/>
      <c r="E160" s="3"/>
      <c r="F160" s="3"/>
      <c r="G160" s="252"/>
      <c r="H160" s="3"/>
      <c r="I160" s="3"/>
      <c r="J160" s="3"/>
      <c r="K160" s="3"/>
      <c r="L160" s="252"/>
      <c r="M160" s="3"/>
      <c r="N160" s="3"/>
      <c r="O160" s="3"/>
      <c r="P160" s="3"/>
      <c r="Q160" s="3"/>
      <c r="R160" s="3"/>
      <c r="S160" s="334"/>
      <c r="T160" s="373">
        <f t="shared" si="65"/>
        <v>134</v>
      </c>
      <c r="U160" s="334"/>
      <c r="V160" s="568">
        <f t="shared" si="91"/>
        <v>3.5129924115204152E-2</v>
      </c>
      <c r="W160" s="328">
        <f t="shared" si="72"/>
        <v>0.96398110653023183</v>
      </c>
      <c r="X160" s="328">
        <f t="shared" si="73"/>
        <v>0.9648700758847959</v>
      </c>
      <c r="Y160" s="328">
        <f t="shared" si="74"/>
        <v>8.8857433836853073E-4</v>
      </c>
      <c r="Z160" s="334"/>
      <c r="AA160" s="571">
        <f t="shared" si="75"/>
        <v>8.4330958284693683E-2</v>
      </c>
      <c r="AB160" s="327">
        <f t="shared" si="63"/>
        <v>0.91446194940826919</v>
      </c>
      <c r="AC160" s="327">
        <f t="shared" si="76"/>
        <v>0.91566904171530628</v>
      </c>
      <c r="AD160" s="327">
        <f t="shared" si="77"/>
        <v>1.2063640641665208E-3</v>
      </c>
      <c r="AE160" s="383"/>
      <c r="AF160" s="574">
        <f t="shared" si="66"/>
        <v>0.1218239919145423</v>
      </c>
      <c r="AG160" s="376">
        <f t="shared" si="92"/>
        <v>0.87718355592116326</v>
      </c>
      <c r="AH160" s="376">
        <f t="shared" si="78"/>
        <v>0.8781760080854577</v>
      </c>
      <c r="AI160" s="553">
        <f t="shared" si="79"/>
        <v>9.9195984652600266E-4</v>
      </c>
      <c r="AJ160" s="374"/>
      <c r="AK160" s="577">
        <f t="shared" si="67"/>
        <v>0.1221662141959729</v>
      </c>
      <c r="AL160" s="376">
        <f t="shared" si="80"/>
        <v>0.87697448182817939</v>
      </c>
      <c r="AM160" s="376">
        <f t="shared" si="81"/>
        <v>0.87783378580402704</v>
      </c>
      <c r="AN160" s="553">
        <f t="shared" si="82"/>
        <v>8.5893487991561823E-4</v>
      </c>
      <c r="AO160" s="554"/>
      <c r="AP160" s="580">
        <f t="shared" si="68"/>
        <v>6.3716352129533194E-2</v>
      </c>
      <c r="AQ160" s="376">
        <f t="shared" si="83"/>
        <v>0.93510406505858013</v>
      </c>
      <c r="AR160" s="379">
        <f t="shared" si="84"/>
        <v>0.93628364787046681</v>
      </c>
      <c r="AS160" s="376">
        <f t="shared" si="85"/>
        <v>1.1788873775493425E-3</v>
      </c>
      <c r="AT160" s="384"/>
      <c r="AU160" s="583">
        <f t="shared" si="69"/>
        <v>0.28429609014950297</v>
      </c>
      <c r="AV160" s="381">
        <f t="shared" si="64"/>
        <v>1.2575096857658221</v>
      </c>
      <c r="AW160" s="376">
        <f t="shared" si="70"/>
        <v>1.2577390129716215</v>
      </c>
      <c r="AX160" s="503">
        <f t="shared" si="62"/>
        <v>2.2930091232564731E-4</v>
      </c>
      <c r="AY160" s="376">
        <f t="shared" si="71"/>
        <v>2.2841859067306016</v>
      </c>
      <c r="AZ160" s="381">
        <f t="shared" si="86"/>
        <v>5.3240026691211704E-3</v>
      </c>
      <c r="BA160" s="586">
        <f t="shared" si="87"/>
        <v>0.21559768914423577</v>
      </c>
      <c r="BB160" s="376">
        <f t="shared" si="88"/>
        <v>0.78369232845499337</v>
      </c>
      <c r="BC160" s="376">
        <f t="shared" si="89"/>
        <v>0.78440231085576428</v>
      </c>
      <c r="BD160" s="376">
        <f t="shared" si="90"/>
        <v>7.0973042290300992E-4</v>
      </c>
      <c r="BE160" s="283"/>
      <c r="BF160" s="283"/>
      <c r="BG160" s="283"/>
      <c r="BH160" s="283"/>
      <c r="BI160" s="283"/>
      <c r="BJ160" s="283"/>
      <c r="BK160" s="283"/>
      <c r="BL160" s="283"/>
      <c r="BM160" s="283"/>
      <c r="BN160" s="283"/>
      <c r="BO160" s="283"/>
      <c r="BP160" s="283"/>
      <c r="BQ160" s="283"/>
      <c r="BR160" s="283"/>
      <c r="BS160" s="283"/>
      <c r="BT160" s="283"/>
      <c r="BU160" s="283"/>
      <c r="BV160" s="283"/>
      <c r="BW160" s="283"/>
      <c r="BX160" s="283"/>
      <c r="BY160" s="283"/>
      <c r="BZ160" s="283"/>
      <c r="CA160" s="283"/>
      <c r="CB160" s="283"/>
      <c r="CC160" s="283"/>
      <c r="CD160" s="283"/>
      <c r="CE160" s="283"/>
      <c r="CF160" s="283"/>
      <c r="CG160" s="283"/>
      <c r="CH160" s="283"/>
      <c r="CI160" s="283"/>
      <c r="CJ160" s="283"/>
      <c r="CK160" s="283"/>
      <c r="CL160" s="283"/>
    </row>
    <row r="161" spans="1:90" ht="14.25" customHeight="1" x14ac:dyDescent="0.2">
      <c r="A161" s="3"/>
      <c r="B161" s="252"/>
      <c r="C161" s="3"/>
      <c r="D161" s="3"/>
      <c r="E161" s="3"/>
      <c r="F161" s="3"/>
      <c r="G161" s="252"/>
      <c r="H161" s="3"/>
      <c r="I161" s="3"/>
      <c r="J161" s="3"/>
      <c r="K161" s="3"/>
      <c r="L161" s="252"/>
      <c r="M161" s="3"/>
      <c r="N161" s="3"/>
      <c r="O161" s="3"/>
      <c r="P161" s="3"/>
      <c r="Q161" s="3"/>
      <c r="R161" s="3"/>
      <c r="S161" s="334"/>
      <c r="T161" s="373">
        <f t="shared" si="65"/>
        <v>135</v>
      </c>
      <c r="U161" s="334"/>
      <c r="V161" s="568">
        <f t="shared" si="91"/>
        <v>3.4262895093538449E-2</v>
      </c>
      <c r="W161" s="328">
        <f t="shared" si="72"/>
        <v>0.9648700758847959</v>
      </c>
      <c r="X161" s="328">
        <f t="shared" si="73"/>
        <v>0.96573710490646159</v>
      </c>
      <c r="Y161" s="328">
        <f t="shared" si="74"/>
        <v>8.6665326060986203E-4</v>
      </c>
      <c r="Z161" s="334"/>
      <c r="AA161" s="571">
        <f t="shared" si="75"/>
        <v>8.3142931660937988E-2</v>
      </c>
      <c r="AB161" s="327">
        <f t="shared" si="63"/>
        <v>0.91566904171530628</v>
      </c>
      <c r="AC161" s="327">
        <f t="shared" si="76"/>
        <v>0.916857068339062</v>
      </c>
      <c r="AD161" s="327">
        <f t="shared" si="77"/>
        <v>1.1873211995082622E-3</v>
      </c>
      <c r="AE161" s="383"/>
      <c r="AF161" s="574">
        <f t="shared" si="66"/>
        <v>0.12084450365566279</v>
      </c>
      <c r="AG161" s="376">
        <f t="shared" si="92"/>
        <v>0.8781760080854577</v>
      </c>
      <c r="AH161" s="376">
        <f t="shared" si="78"/>
        <v>0.87915549634433721</v>
      </c>
      <c r="AI161" s="553">
        <f t="shared" si="79"/>
        <v>9.7900871683620494E-4</v>
      </c>
      <c r="AJ161" s="374"/>
      <c r="AK161" s="577">
        <f t="shared" si="67"/>
        <v>0.12131841343996629</v>
      </c>
      <c r="AL161" s="376">
        <f t="shared" si="80"/>
        <v>0.87783378580402704</v>
      </c>
      <c r="AM161" s="376">
        <f t="shared" si="81"/>
        <v>0.8786815865600337</v>
      </c>
      <c r="AN161" s="553">
        <f t="shared" si="82"/>
        <v>8.4744147448589935E-4</v>
      </c>
      <c r="AO161" s="554"/>
      <c r="AP161" s="580">
        <f t="shared" si="68"/>
        <v>6.2558730751943292E-2</v>
      </c>
      <c r="AQ161" s="376">
        <f t="shared" si="83"/>
        <v>0.93628364787046681</v>
      </c>
      <c r="AR161" s="379">
        <f t="shared" si="84"/>
        <v>0.93744126924805671</v>
      </c>
      <c r="AS161" s="376">
        <f t="shared" si="85"/>
        <v>1.1569515924404472E-3</v>
      </c>
      <c r="AT161" s="384"/>
      <c r="AU161" s="583">
        <f t="shared" si="69"/>
        <v>0.28423348847371621</v>
      </c>
      <c r="AV161" s="381">
        <f t="shared" si="64"/>
        <v>1.2577390129716215</v>
      </c>
      <c r="AW161" s="376">
        <f t="shared" si="70"/>
        <v>1.2579592360818821</v>
      </c>
      <c r="AX161" s="503">
        <f t="shared" ref="AX161:AX224" si="93">1-EXP(AV161-AW161)</f>
        <v>2.201988629314533E-4</v>
      </c>
      <c r="AY161" s="376">
        <f t="shared" si="71"/>
        <v>2.2900340059372275</v>
      </c>
      <c r="AZ161" s="381">
        <f t="shared" si="86"/>
        <v>5.2687204750367584E-3</v>
      </c>
      <c r="BA161" s="586">
        <f t="shared" si="87"/>
        <v>0.21489526013853583</v>
      </c>
      <c r="BB161" s="376">
        <f t="shared" si="88"/>
        <v>0.78440231085576428</v>
      </c>
      <c r="BC161" s="376">
        <f t="shared" si="89"/>
        <v>0.78510473986146412</v>
      </c>
      <c r="BD161" s="376">
        <f t="shared" si="90"/>
        <v>7.02182360199477E-4</v>
      </c>
      <c r="BE161" s="283"/>
      <c r="BF161" s="283"/>
      <c r="BG161" s="283"/>
      <c r="BH161" s="283"/>
      <c r="BI161" s="283"/>
      <c r="BJ161" s="283"/>
      <c r="BK161" s="283"/>
      <c r="BL161" s="283"/>
      <c r="BM161" s="283"/>
      <c r="BN161" s="283"/>
      <c r="BO161" s="283"/>
      <c r="BP161" s="283"/>
      <c r="BQ161" s="283"/>
      <c r="BR161" s="283"/>
      <c r="BS161" s="283"/>
      <c r="BT161" s="283"/>
      <c r="BU161" s="283"/>
      <c r="BV161" s="283"/>
      <c r="BW161" s="283"/>
      <c r="BX161" s="283"/>
      <c r="BY161" s="283"/>
      <c r="BZ161" s="283"/>
      <c r="CA161" s="283"/>
      <c r="CB161" s="283"/>
      <c r="CC161" s="283"/>
      <c r="CD161" s="283"/>
      <c r="CE161" s="283"/>
      <c r="CF161" s="283"/>
      <c r="CG161" s="283"/>
      <c r="CH161" s="283"/>
      <c r="CI161" s="283"/>
      <c r="CJ161" s="283"/>
      <c r="CK161" s="283"/>
      <c r="CL161" s="283"/>
    </row>
    <row r="162" spans="1:90" ht="14.25" customHeight="1" x14ac:dyDescent="0.2">
      <c r="A162" s="3"/>
      <c r="B162" s="252"/>
      <c r="C162" s="3"/>
      <c r="D162" s="3"/>
      <c r="E162" s="3"/>
      <c r="F162" s="3"/>
      <c r="G162" s="252"/>
      <c r="H162" s="3"/>
      <c r="I162" s="3"/>
      <c r="J162" s="3"/>
      <c r="K162" s="3"/>
      <c r="L162" s="252"/>
      <c r="M162" s="3"/>
      <c r="N162" s="3"/>
      <c r="O162" s="3"/>
      <c r="P162" s="3"/>
      <c r="Q162" s="3"/>
      <c r="R162" s="3"/>
      <c r="S162" s="334"/>
      <c r="T162" s="373">
        <f t="shared" si="65"/>
        <v>136</v>
      </c>
      <c r="U162" s="334"/>
      <c r="V162" s="568">
        <f t="shared" si="91"/>
        <v>3.3417264903306182E-2</v>
      </c>
      <c r="W162" s="328">
        <f t="shared" si="72"/>
        <v>0.96573710490646159</v>
      </c>
      <c r="X162" s="328">
        <f t="shared" si="73"/>
        <v>0.96658273509669379</v>
      </c>
      <c r="Y162" s="328">
        <f t="shared" si="74"/>
        <v>8.4527274578527489E-4</v>
      </c>
      <c r="Z162" s="334"/>
      <c r="AA162" s="571">
        <f t="shared" si="75"/>
        <v>8.1973626238963579E-2</v>
      </c>
      <c r="AB162" s="327">
        <f t="shared" si="63"/>
        <v>0.916857068339062</v>
      </c>
      <c r="AC162" s="327">
        <f t="shared" si="76"/>
        <v>0.91802637376103646</v>
      </c>
      <c r="AD162" s="327">
        <f t="shared" si="77"/>
        <v>1.1686220507720613E-3</v>
      </c>
      <c r="AE162" s="383"/>
      <c r="AF162" s="574">
        <f t="shared" si="66"/>
        <v>0.11987773853819739</v>
      </c>
      <c r="AG162" s="376">
        <f t="shared" si="92"/>
        <v>0.87915549634433721</v>
      </c>
      <c r="AH162" s="376">
        <f t="shared" si="78"/>
        <v>0.88012226146180261</v>
      </c>
      <c r="AI162" s="553">
        <f t="shared" si="79"/>
        <v>9.6629795062819213E-4</v>
      </c>
      <c r="AJ162" s="374"/>
      <c r="AK162" s="577">
        <f t="shared" si="67"/>
        <v>0.12048188961012059</v>
      </c>
      <c r="AL162" s="376">
        <f t="shared" si="80"/>
        <v>0.8786815865600337</v>
      </c>
      <c r="AM162" s="376">
        <f t="shared" si="81"/>
        <v>0.87951811038987937</v>
      </c>
      <c r="AN162" s="553">
        <f t="shared" si="82"/>
        <v>8.3617404132896311E-4</v>
      </c>
      <c r="AO162" s="554"/>
      <c r="AP162" s="580">
        <f t="shared" si="68"/>
        <v>6.1422646390757896E-2</v>
      </c>
      <c r="AQ162" s="376">
        <f t="shared" si="83"/>
        <v>0.93744126924805671</v>
      </c>
      <c r="AR162" s="379">
        <f t="shared" si="84"/>
        <v>0.9385773536092421</v>
      </c>
      <c r="AS162" s="376">
        <f t="shared" si="85"/>
        <v>1.1354392616664821E-3</v>
      </c>
      <c r="AT162" s="384"/>
      <c r="AU162" s="583">
        <f t="shared" si="69"/>
        <v>0.28417338500620493</v>
      </c>
      <c r="AV162" s="381">
        <f t="shared" si="64"/>
        <v>1.2579592360818821</v>
      </c>
      <c r="AW162" s="376">
        <f t="shared" si="70"/>
        <v>1.2581707165214739</v>
      </c>
      <c r="AX162" s="503">
        <f t="shared" si="93"/>
        <v>2.114580791799936E-4</v>
      </c>
      <c r="AY162" s="376">
        <f t="shared" si="71"/>
        <v>2.2958389453468699</v>
      </c>
      <c r="AZ162" s="381">
        <f t="shared" si="86"/>
        <v>5.2144139738581055E-3</v>
      </c>
      <c r="BA162" s="586">
        <f t="shared" si="87"/>
        <v>0.21420024950385641</v>
      </c>
      <c r="BB162" s="376">
        <f t="shared" si="88"/>
        <v>0.78510473986146412</v>
      </c>
      <c r="BC162" s="376">
        <f t="shared" si="89"/>
        <v>0.78579975049614359</v>
      </c>
      <c r="BD162" s="376">
        <f t="shared" si="90"/>
        <v>6.94769170731524E-4</v>
      </c>
      <c r="BE162" s="283"/>
      <c r="BF162" s="283"/>
      <c r="BG162" s="283"/>
      <c r="BH162" s="283"/>
      <c r="BI162" s="283"/>
      <c r="BJ162" s="283"/>
      <c r="BK162" s="283"/>
      <c r="BL162" s="283"/>
      <c r="BM162" s="283"/>
      <c r="BN162" s="283"/>
      <c r="BO162" s="283"/>
      <c r="BP162" s="283"/>
      <c r="BQ162" s="283"/>
      <c r="BR162" s="283"/>
      <c r="BS162" s="283"/>
      <c r="BT162" s="283"/>
      <c r="BU162" s="283"/>
      <c r="BV162" s="283"/>
      <c r="BW162" s="283"/>
      <c r="BX162" s="283"/>
      <c r="BY162" s="283"/>
      <c r="BZ162" s="283"/>
      <c r="CA162" s="283"/>
      <c r="CB162" s="283"/>
      <c r="CC162" s="283"/>
      <c r="CD162" s="283"/>
      <c r="CE162" s="283"/>
      <c r="CF162" s="283"/>
      <c r="CG162" s="283"/>
      <c r="CH162" s="283"/>
      <c r="CI162" s="283"/>
      <c r="CJ162" s="283"/>
      <c r="CK162" s="283"/>
      <c r="CL162" s="283"/>
    </row>
    <row r="163" spans="1:90" ht="14.25" customHeight="1" x14ac:dyDescent="0.2">
      <c r="A163" s="3"/>
      <c r="B163" s="252"/>
      <c r="C163" s="3"/>
      <c r="D163" s="3"/>
      <c r="E163" s="3"/>
      <c r="F163" s="3"/>
      <c r="G163" s="252"/>
      <c r="H163" s="3"/>
      <c r="I163" s="3"/>
      <c r="J163" s="3"/>
      <c r="K163" s="3"/>
      <c r="L163" s="252"/>
      <c r="M163" s="3"/>
      <c r="N163" s="3"/>
      <c r="O163" s="3"/>
      <c r="P163" s="3"/>
      <c r="Q163" s="3"/>
      <c r="R163" s="3"/>
      <c r="S163" s="334"/>
      <c r="T163" s="373">
        <f t="shared" si="65"/>
        <v>137</v>
      </c>
      <c r="U163" s="334"/>
      <c r="V163" s="568">
        <f t="shared" si="91"/>
        <v>3.2592505407645404E-2</v>
      </c>
      <c r="W163" s="328">
        <f t="shared" si="72"/>
        <v>0.96658273509669379</v>
      </c>
      <c r="X163" s="328">
        <f t="shared" si="73"/>
        <v>0.96740749459235464</v>
      </c>
      <c r="Y163" s="328">
        <f t="shared" si="74"/>
        <v>8.2441947503286706E-4</v>
      </c>
      <c r="Z163" s="334"/>
      <c r="AA163" s="571">
        <f t="shared" si="75"/>
        <v>8.0822704812510915E-2</v>
      </c>
      <c r="AB163" s="327">
        <f t="shared" ref="AB163:AB226" si="94">1-AA162</f>
        <v>0.91802637376103646</v>
      </c>
      <c r="AC163" s="327">
        <f t="shared" si="76"/>
        <v>0.91917729518748903</v>
      </c>
      <c r="AD163" s="327">
        <f t="shared" si="77"/>
        <v>1.1502593704034725E-3</v>
      </c>
      <c r="AE163" s="383"/>
      <c r="AF163" s="574">
        <f t="shared" si="66"/>
        <v>0.11892346166585588</v>
      </c>
      <c r="AG163" s="376">
        <f t="shared" si="92"/>
        <v>0.88012226146180261</v>
      </c>
      <c r="AH163" s="376">
        <f t="shared" si="78"/>
        <v>0.88107653833414412</v>
      </c>
      <c r="AI163" s="553">
        <f t="shared" si="79"/>
        <v>9.5382169496693869E-4</v>
      </c>
      <c r="AJ163" s="374"/>
      <c r="AK163" s="577">
        <f t="shared" si="67"/>
        <v>0.11965642226271207</v>
      </c>
      <c r="AL163" s="376">
        <f t="shared" si="80"/>
        <v>0.87951811038987937</v>
      </c>
      <c r="AM163" s="376">
        <f t="shared" si="81"/>
        <v>0.88034357773728789</v>
      </c>
      <c r="AN163" s="553">
        <f t="shared" si="82"/>
        <v>8.2512674296342237E-4</v>
      </c>
      <c r="AO163" s="554"/>
      <c r="AP163" s="580">
        <f t="shared" si="68"/>
        <v>6.0307683332226913E-2</v>
      </c>
      <c r="AQ163" s="376">
        <f t="shared" si="83"/>
        <v>0.9385773536092421</v>
      </c>
      <c r="AR163" s="379">
        <f t="shared" si="84"/>
        <v>0.93969231666777309</v>
      </c>
      <c r="AS163" s="376">
        <f t="shared" si="85"/>
        <v>1.1143417181653792E-3</v>
      </c>
      <c r="AT163" s="384"/>
      <c r="AU163" s="583">
        <f t="shared" si="69"/>
        <v>0.28411567955795591</v>
      </c>
      <c r="AV163" s="381">
        <f t="shared" si="64"/>
        <v>1.2581707165214739</v>
      </c>
      <c r="AW163" s="376">
        <f t="shared" si="70"/>
        <v>1.2583738013670063</v>
      </c>
      <c r="AX163" s="503">
        <f t="shared" si="93"/>
        <v>2.0306422520099954E-4</v>
      </c>
      <c r="AY163" s="376">
        <f t="shared" si="71"/>
        <v>2.3016013573460552</v>
      </c>
      <c r="AZ163" s="381">
        <f t="shared" si="86"/>
        <v>5.1610589595064808E-3</v>
      </c>
      <c r="BA163" s="586">
        <f t="shared" si="87"/>
        <v>0.21351252559162592</v>
      </c>
      <c r="BB163" s="376">
        <f t="shared" si="88"/>
        <v>0.78579975049614359</v>
      </c>
      <c r="BC163" s="376">
        <f t="shared" si="89"/>
        <v>0.78648747440837408</v>
      </c>
      <c r="BD163" s="376">
        <f t="shared" si="90"/>
        <v>6.8748748434288576E-4</v>
      </c>
      <c r="BE163" s="283"/>
      <c r="BF163" s="283"/>
      <c r="BG163" s="283"/>
      <c r="BH163" s="283"/>
      <c r="BI163" s="283"/>
      <c r="BJ163" s="283"/>
      <c r="BK163" s="283"/>
      <c r="BL163" s="283"/>
      <c r="BM163" s="283"/>
      <c r="BN163" s="283"/>
      <c r="BO163" s="283"/>
      <c r="BP163" s="283"/>
      <c r="BQ163" s="283"/>
      <c r="BR163" s="283"/>
      <c r="BS163" s="283"/>
      <c r="BT163" s="283"/>
      <c r="BU163" s="283"/>
      <c r="BV163" s="283"/>
      <c r="BW163" s="283"/>
      <c r="BX163" s="283"/>
      <c r="BY163" s="283"/>
      <c r="BZ163" s="283"/>
      <c r="CA163" s="283"/>
      <c r="CB163" s="283"/>
      <c r="CC163" s="283"/>
      <c r="CD163" s="283"/>
      <c r="CE163" s="283"/>
      <c r="CF163" s="283"/>
      <c r="CG163" s="283"/>
      <c r="CH163" s="283"/>
      <c r="CI163" s="283"/>
      <c r="CJ163" s="283"/>
      <c r="CK163" s="283"/>
      <c r="CL163" s="283"/>
    </row>
    <row r="164" spans="1:90" ht="14.25" customHeight="1" x14ac:dyDescent="0.2">
      <c r="A164" s="3"/>
      <c r="B164" s="252"/>
      <c r="C164" s="3"/>
      <c r="D164" s="3"/>
      <c r="E164" s="3"/>
      <c r="F164" s="3"/>
      <c r="G164" s="252"/>
      <c r="H164" s="3"/>
      <c r="I164" s="3"/>
      <c r="J164" s="3"/>
      <c r="K164" s="3"/>
      <c r="L164" s="252"/>
      <c r="M164" s="3"/>
      <c r="N164" s="3"/>
      <c r="O164" s="3"/>
      <c r="P164" s="3"/>
      <c r="Q164" s="3"/>
      <c r="R164" s="3"/>
      <c r="S164" s="334"/>
      <c r="T164" s="373">
        <f t="shared" si="65"/>
        <v>138</v>
      </c>
      <c r="U164" s="334"/>
      <c r="V164" s="568">
        <f t="shared" si="91"/>
        <v>3.1788101504450099E-2</v>
      </c>
      <c r="W164" s="328">
        <f t="shared" si="72"/>
        <v>0.96740749459235464</v>
      </c>
      <c r="X164" s="328">
        <f t="shared" si="73"/>
        <v>0.96821189849554989</v>
      </c>
      <c r="Y164" s="328">
        <f t="shared" si="74"/>
        <v>8.04080457108447E-4</v>
      </c>
      <c r="Z164" s="334"/>
      <c r="AA164" s="571">
        <f t="shared" si="75"/>
        <v>7.9689837267976626E-2</v>
      </c>
      <c r="AB164" s="327">
        <f t="shared" si="94"/>
        <v>0.91917729518748903</v>
      </c>
      <c r="AC164" s="327">
        <f t="shared" si="76"/>
        <v>0.92031016273202337</v>
      </c>
      <c r="AD164" s="327">
        <f t="shared" si="77"/>
        <v>1.1322260923473104E-3</v>
      </c>
      <c r="AE164" s="383"/>
      <c r="AF164" s="574">
        <f t="shared" si="66"/>
        <v>0.1179814438321094</v>
      </c>
      <c r="AG164" s="376">
        <f t="shared" si="92"/>
        <v>0.88107653833414412</v>
      </c>
      <c r="AH164" s="376">
        <f t="shared" si="78"/>
        <v>0.8820185561678906</v>
      </c>
      <c r="AI164" s="553">
        <f t="shared" si="79"/>
        <v>9.4157427423813278E-4</v>
      </c>
      <c r="AJ164" s="374"/>
      <c r="AK164" s="577">
        <f t="shared" si="67"/>
        <v>0.11884179661718997</v>
      </c>
      <c r="AL164" s="376">
        <f t="shared" si="80"/>
        <v>0.88034357773728789</v>
      </c>
      <c r="AM164" s="376">
        <f t="shared" si="81"/>
        <v>0.88115820338281003</v>
      </c>
      <c r="AN164" s="553">
        <f t="shared" si="82"/>
        <v>8.142939281322592E-4</v>
      </c>
      <c r="AO164" s="554"/>
      <c r="AP164" s="580">
        <f t="shared" si="68"/>
        <v>5.9213434370638085E-2</v>
      </c>
      <c r="AQ164" s="376">
        <f t="shared" si="83"/>
        <v>0.93969231666777309</v>
      </c>
      <c r="AR164" s="379">
        <f t="shared" si="84"/>
        <v>0.94078656562936191</v>
      </c>
      <c r="AS164" s="376">
        <f t="shared" si="85"/>
        <v>1.0936504895062704E-3</v>
      </c>
      <c r="AT164" s="384"/>
      <c r="AU164" s="583">
        <f t="shared" si="69"/>
        <v>0.2840602759964414</v>
      </c>
      <c r="AV164" s="381">
        <f t="shared" ref="AV164:AV227" si="95">($AU$22/$AU$21)*((EXP($AU$21*T163))-1)</f>
        <v>1.2583738013670063</v>
      </c>
      <c r="AW164" s="376">
        <f t="shared" si="70"/>
        <v>1.2585688239164419</v>
      </c>
      <c r="AX164" s="503">
        <f t="shared" si="93"/>
        <v>1.9500353377432944E-4</v>
      </c>
      <c r="AY164" s="376">
        <f t="shared" si="71"/>
        <v>2.3073218605235386</v>
      </c>
      <c r="AZ164" s="381">
        <f t="shared" si="86"/>
        <v>5.1086319972366255E-3</v>
      </c>
      <c r="BA164" s="586">
        <f t="shared" si="87"/>
        <v>0.21283196002069543</v>
      </c>
      <c r="BB164" s="376">
        <f t="shared" si="88"/>
        <v>0.78648747440837408</v>
      </c>
      <c r="BC164" s="376">
        <f t="shared" si="89"/>
        <v>0.78716803997930462</v>
      </c>
      <c r="BD164" s="376">
        <f t="shared" si="90"/>
        <v>6.8033403870959575E-4</v>
      </c>
      <c r="BE164" s="283"/>
      <c r="BF164" s="283"/>
      <c r="BG164" s="283"/>
      <c r="BH164" s="283"/>
      <c r="BI164" s="283"/>
      <c r="BJ164" s="283"/>
      <c r="BK164" s="283"/>
      <c r="BL164" s="283"/>
      <c r="BM164" s="283"/>
      <c r="BN164" s="283"/>
      <c r="BO164" s="283"/>
      <c r="BP164" s="283"/>
      <c r="BQ164" s="283"/>
      <c r="BR164" s="283"/>
      <c r="BS164" s="283"/>
      <c r="BT164" s="283"/>
      <c r="BU164" s="283"/>
      <c r="BV164" s="283"/>
      <c r="BW164" s="283"/>
      <c r="BX164" s="283"/>
      <c r="BY164" s="283"/>
      <c r="BZ164" s="283"/>
      <c r="CA164" s="283"/>
      <c r="CB164" s="283"/>
      <c r="CC164" s="283"/>
      <c r="CD164" s="283"/>
      <c r="CE164" s="283"/>
      <c r="CF164" s="283"/>
      <c r="CG164" s="283"/>
      <c r="CH164" s="283"/>
      <c r="CI164" s="283"/>
      <c r="CJ164" s="283"/>
      <c r="CK164" s="283"/>
      <c r="CL164" s="283"/>
    </row>
    <row r="165" spans="1:90" ht="14.25" customHeight="1" x14ac:dyDescent="0.2">
      <c r="A165" s="3"/>
      <c r="B165" s="252"/>
      <c r="C165" s="3"/>
      <c r="D165" s="3"/>
      <c r="E165" s="3"/>
      <c r="F165" s="3"/>
      <c r="G165" s="252"/>
      <c r="H165" s="3"/>
      <c r="I165" s="3"/>
      <c r="J165" s="3"/>
      <c r="K165" s="3"/>
      <c r="L165" s="252"/>
      <c r="M165" s="3"/>
      <c r="N165" s="3"/>
      <c r="O165" s="3"/>
      <c r="P165" s="3"/>
      <c r="Q165" s="3"/>
      <c r="R165" s="3"/>
      <c r="S165" s="334"/>
      <c r="T165" s="373">
        <f t="shared" si="65"/>
        <v>139</v>
      </c>
      <c r="U165" s="334"/>
      <c r="V165" s="568">
        <f t="shared" si="91"/>
        <v>3.1003550804664073E-2</v>
      </c>
      <c r="W165" s="328">
        <f t="shared" si="72"/>
        <v>0.96821189849554989</v>
      </c>
      <c r="X165" s="328">
        <f t="shared" si="73"/>
        <v>0.9689964491953359</v>
      </c>
      <c r="Y165" s="328">
        <f t="shared" si="74"/>
        <v>7.8424302035440263E-4</v>
      </c>
      <c r="Z165" s="334"/>
      <c r="AA165" s="571">
        <f t="shared" si="75"/>
        <v>7.8574700407312098E-2</v>
      </c>
      <c r="AB165" s="327">
        <f t="shared" si="94"/>
        <v>0.92031016273202337</v>
      </c>
      <c r="AC165" s="327">
        <f t="shared" si="76"/>
        <v>0.92142529959268793</v>
      </c>
      <c r="AD165" s="327">
        <f t="shared" si="77"/>
        <v>1.1145153266088892E-3</v>
      </c>
      <c r="AE165" s="383"/>
      <c r="AF165" s="574">
        <f t="shared" si="66"/>
        <v>0.11705146134871136</v>
      </c>
      <c r="AG165" s="376">
        <f t="shared" si="92"/>
        <v>0.8820185561678906</v>
      </c>
      <c r="AH165" s="376">
        <f t="shared" si="78"/>
        <v>0.88294853865128864</v>
      </c>
      <c r="AI165" s="553">
        <f t="shared" si="79"/>
        <v>9.2955018370910469E-4</v>
      </c>
      <c r="AJ165" s="374"/>
      <c r="AK165" s="577">
        <f t="shared" si="67"/>
        <v>0.11803780337647286</v>
      </c>
      <c r="AL165" s="376">
        <f t="shared" si="80"/>
        <v>0.88115820338281003</v>
      </c>
      <c r="AM165" s="376">
        <f t="shared" si="81"/>
        <v>0.88196219662352715</v>
      </c>
      <c r="AN165" s="553">
        <f t="shared" si="82"/>
        <v>8.0367012475168753E-4</v>
      </c>
      <c r="AO165" s="554"/>
      <c r="AP165" s="580">
        <f t="shared" si="68"/>
        <v>5.8139500617292672E-2</v>
      </c>
      <c r="AQ165" s="376">
        <f t="shared" si="83"/>
        <v>0.94078656562936191</v>
      </c>
      <c r="AR165" s="379">
        <f t="shared" si="84"/>
        <v>0.94186049938270733</v>
      </c>
      <c r="AS165" s="376">
        <f t="shared" si="85"/>
        <v>1.0733572928707247E-3</v>
      </c>
      <c r="AT165" s="384"/>
      <c r="AU165" s="583">
        <f t="shared" si="69"/>
        <v>0.28400708207839387</v>
      </c>
      <c r="AV165" s="381">
        <f t="shared" si="95"/>
        <v>1.2585688239164419</v>
      </c>
      <c r="AW165" s="376">
        <f t="shared" si="70"/>
        <v>1.2587561042360971</v>
      </c>
      <c r="AX165" s="503">
        <f t="shared" si="93"/>
        <v>1.872627837908869E-4</v>
      </c>
      <c r="AY165" s="376">
        <f t="shared" si="71"/>
        <v>2.3130010600688058</v>
      </c>
      <c r="AZ165" s="381">
        <f t="shared" si="86"/>
        <v>5.0571103936935258E-3</v>
      </c>
      <c r="BA165" s="586">
        <f t="shared" si="87"/>
        <v>0.21215842757348646</v>
      </c>
      <c r="BB165" s="376">
        <f t="shared" si="88"/>
        <v>0.78716803997930462</v>
      </c>
      <c r="BC165" s="376">
        <f t="shared" si="89"/>
        <v>0.78784157242651354</v>
      </c>
      <c r="BD165" s="376">
        <f t="shared" si="90"/>
        <v>6.7330567514578554E-4</v>
      </c>
      <c r="BE165" s="283"/>
      <c r="BF165" s="283"/>
      <c r="BG165" s="283"/>
      <c r="BH165" s="283"/>
      <c r="BI165" s="283"/>
      <c r="BJ165" s="283"/>
      <c r="BK165" s="283"/>
      <c r="BL165" s="283"/>
      <c r="BM165" s="283"/>
      <c r="BN165" s="283"/>
      <c r="BO165" s="283"/>
      <c r="BP165" s="283"/>
      <c r="BQ165" s="283"/>
      <c r="BR165" s="283"/>
      <c r="BS165" s="283"/>
      <c r="BT165" s="283"/>
      <c r="BU165" s="283"/>
      <c r="BV165" s="283"/>
      <c r="BW165" s="283"/>
      <c r="BX165" s="283"/>
      <c r="BY165" s="283"/>
      <c r="BZ165" s="283"/>
      <c r="CA165" s="283"/>
      <c r="CB165" s="283"/>
      <c r="CC165" s="283"/>
      <c r="CD165" s="283"/>
      <c r="CE165" s="283"/>
      <c r="CF165" s="283"/>
      <c r="CG165" s="283"/>
      <c r="CH165" s="283"/>
      <c r="CI165" s="283"/>
      <c r="CJ165" s="283"/>
      <c r="CK165" s="283"/>
      <c r="CL165" s="283"/>
    </row>
    <row r="166" spans="1:90" ht="14.25" customHeight="1" x14ac:dyDescent="0.2">
      <c r="A166" s="3"/>
      <c r="B166" s="252"/>
      <c r="C166" s="3"/>
      <c r="D166" s="3"/>
      <c r="E166" s="3"/>
      <c r="F166" s="3"/>
      <c r="G166" s="252"/>
      <c r="H166" s="3"/>
      <c r="I166" s="3"/>
      <c r="J166" s="3"/>
      <c r="K166" s="3"/>
      <c r="L166" s="252"/>
      <c r="M166" s="3"/>
      <c r="N166" s="3"/>
      <c r="O166" s="3"/>
      <c r="P166" s="3"/>
      <c r="Q166" s="3"/>
      <c r="R166" s="3"/>
      <c r="S166" s="334"/>
      <c r="T166" s="373">
        <f t="shared" ref="T166:T229" si="96">T165+1</f>
        <v>140</v>
      </c>
      <c r="U166" s="334"/>
      <c r="V166" s="568">
        <f t="shared" si="91"/>
        <v>3.0238363318514715E-2</v>
      </c>
      <c r="W166" s="328">
        <f t="shared" si="72"/>
        <v>0.9689964491953359</v>
      </c>
      <c r="X166" s="328">
        <f t="shared" si="73"/>
        <v>0.9697616366814853</v>
      </c>
      <c r="Y166" s="328">
        <f t="shared" si="74"/>
        <v>7.6489480486174877E-4</v>
      </c>
      <c r="Z166" s="334"/>
      <c r="AA166" s="571">
        <f t="shared" si="75"/>
        <v>7.7476977776207032E-2</v>
      </c>
      <c r="AB166" s="327">
        <f t="shared" si="94"/>
        <v>0.92142529959268793</v>
      </c>
      <c r="AC166" s="327">
        <f t="shared" si="76"/>
        <v>0.92252302222379301</v>
      </c>
      <c r="AD166" s="327">
        <f t="shared" si="77"/>
        <v>1.0971203540155461E-3</v>
      </c>
      <c r="AE166" s="383"/>
      <c r="AF166" s="574">
        <f t="shared" si="66"/>
        <v>0.11613329588041299</v>
      </c>
      <c r="AG166" s="376">
        <f t="shared" si="92"/>
        <v>0.88294853865128864</v>
      </c>
      <c r="AH166" s="376">
        <f t="shared" si="78"/>
        <v>0.88386670411958701</v>
      </c>
      <c r="AI166" s="553">
        <f t="shared" si="79"/>
        <v>9.1774408336164903E-4</v>
      </c>
      <c r="AJ166" s="374"/>
      <c r="AK166" s="577">
        <f t="shared" si="67"/>
        <v>0.11724423855401682</v>
      </c>
      <c r="AL166" s="376">
        <f t="shared" si="80"/>
        <v>0.88196219662352715</v>
      </c>
      <c r="AM166" s="376">
        <f t="shared" si="81"/>
        <v>0.88275576144598322</v>
      </c>
      <c r="AN166" s="553">
        <f t="shared" si="82"/>
        <v>7.9325003316643716E-4</v>
      </c>
      <c r="AO166" s="554"/>
      <c r="AP166" s="580">
        <f t="shared" si="68"/>
        <v>5.7085491314411207E-2</v>
      </c>
      <c r="AQ166" s="376">
        <f t="shared" si="83"/>
        <v>0.94186049938270733</v>
      </c>
      <c r="AR166" s="379">
        <f t="shared" si="84"/>
        <v>0.94291450868558879</v>
      </c>
      <c r="AS166" s="376">
        <f t="shared" si="85"/>
        <v>1.053454030180867E-3</v>
      </c>
      <c r="AT166" s="384"/>
      <c r="AU166" s="583">
        <f t="shared" si="69"/>
        <v>0.28395600928970494</v>
      </c>
      <c r="AV166" s="381">
        <f t="shared" si="95"/>
        <v>1.2587561042360971</v>
      </c>
      <c r="AW166" s="376">
        <f t="shared" si="70"/>
        <v>1.2589359496859258</v>
      </c>
      <c r="AX166" s="503">
        <f t="shared" si="93"/>
        <v>1.798292786052702E-4</v>
      </c>
      <c r="AY166" s="376">
        <f t="shared" si="71"/>
        <v>2.3186395481562907</v>
      </c>
      <c r="AZ166" s="381">
        <f t="shared" si="86"/>
        <v>5.0064721683369031E-3</v>
      </c>
      <c r="BA166" s="586">
        <f t="shared" si="87"/>
        <v>0.21149180609615376</v>
      </c>
      <c r="BB166" s="376">
        <f t="shared" si="88"/>
        <v>0.78784157242651354</v>
      </c>
      <c r="BC166" s="376">
        <f t="shared" si="89"/>
        <v>0.7885081939038463</v>
      </c>
      <c r="BD166" s="376">
        <f t="shared" si="90"/>
        <v>6.6639933460022061E-4</v>
      </c>
      <c r="BE166" s="283"/>
      <c r="BF166" s="283"/>
      <c r="BG166" s="283"/>
      <c r="BH166" s="283"/>
      <c r="BI166" s="283"/>
      <c r="BJ166" s="283"/>
      <c r="BK166" s="283"/>
      <c r="BL166" s="283"/>
      <c r="BM166" s="283"/>
      <c r="BN166" s="283"/>
      <c r="BO166" s="283"/>
      <c r="BP166" s="283"/>
      <c r="BQ166" s="283"/>
      <c r="BR166" s="283"/>
      <c r="BS166" s="283"/>
      <c r="BT166" s="283"/>
      <c r="BU166" s="283"/>
      <c r="BV166" s="283"/>
      <c r="BW166" s="283"/>
      <c r="BX166" s="283"/>
      <c r="BY166" s="283"/>
      <c r="BZ166" s="283"/>
      <c r="CA166" s="283"/>
      <c r="CB166" s="283"/>
      <c r="CC166" s="283"/>
      <c r="CD166" s="283"/>
      <c r="CE166" s="283"/>
      <c r="CF166" s="283"/>
      <c r="CG166" s="283"/>
      <c r="CH166" s="283"/>
      <c r="CI166" s="283"/>
      <c r="CJ166" s="283"/>
      <c r="CK166" s="283"/>
      <c r="CL166" s="283"/>
    </row>
    <row r="167" spans="1:90" ht="14.25" customHeight="1" x14ac:dyDescent="0.2">
      <c r="A167" s="3"/>
      <c r="B167" s="252"/>
      <c r="C167" s="3"/>
      <c r="D167" s="3"/>
      <c r="E167" s="3"/>
      <c r="F167" s="3"/>
      <c r="G167" s="252"/>
      <c r="H167" s="3"/>
      <c r="I167" s="3"/>
      <c r="J167" s="3"/>
      <c r="K167" s="3"/>
      <c r="L167" s="252"/>
      <c r="M167" s="3"/>
      <c r="N167" s="3"/>
      <c r="O167" s="3"/>
      <c r="P167" s="3"/>
      <c r="Q167" s="3"/>
      <c r="R167" s="3"/>
      <c r="S167" s="334"/>
      <c r="T167" s="373">
        <f t="shared" si="96"/>
        <v>141</v>
      </c>
      <c r="U167" s="334"/>
      <c r="V167" s="568">
        <f t="shared" si="91"/>
        <v>2.9492061149490743E-2</v>
      </c>
      <c r="W167" s="328">
        <f t="shared" si="72"/>
        <v>0.9697616366814853</v>
      </c>
      <c r="X167" s="328">
        <f t="shared" si="73"/>
        <v>0.97050793885050923</v>
      </c>
      <c r="Y167" s="328">
        <f t="shared" si="74"/>
        <v>7.4602375482490935E-4</v>
      </c>
      <c r="Z167" s="334"/>
      <c r="AA167" s="571">
        <f t="shared" si="75"/>
        <v>7.6396359497372363E-2</v>
      </c>
      <c r="AB167" s="327">
        <f t="shared" si="94"/>
        <v>0.92252302222379301</v>
      </c>
      <c r="AC167" s="327">
        <f t="shared" si="76"/>
        <v>0.92360364050262767</v>
      </c>
      <c r="AD167" s="327">
        <f t="shared" si="77"/>
        <v>1.0800346211583545E-3</v>
      </c>
      <c r="AE167" s="383"/>
      <c r="AF167" s="574">
        <f t="shared" si="66"/>
        <v>0.1152267342856157</v>
      </c>
      <c r="AG167" s="376">
        <f t="shared" si="92"/>
        <v>0.88386670411958701</v>
      </c>
      <c r="AH167" s="376">
        <f t="shared" si="78"/>
        <v>0.8847732657143843</v>
      </c>
      <c r="AI167" s="553">
        <f t="shared" si="79"/>
        <v>9.0615079198341775E-4</v>
      </c>
      <c r="AJ167" s="374"/>
      <c r="AK167" s="577">
        <f t="shared" si="67"/>
        <v>0.11646090330735903</v>
      </c>
      <c r="AL167" s="376">
        <f t="shared" si="80"/>
        <v>0.88275576144598322</v>
      </c>
      <c r="AM167" s="376">
        <f t="shared" si="81"/>
        <v>0.88353909669264097</v>
      </c>
      <c r="AN167" s="553">
        <f t="shared" si="82"/>
        <v>7.8302851969869192E-4</v>
      </c>
      <c r="AO167" s="554"/>
      <c r="AP167" s="580">
        <f t="shared" si="68"/>
        <v>5.6051023653809873E-2</v>
      </c>
      <c r="AQ167" s="376">
        <f t="shared" si="83"/>
        <v>0.94291450868558879</v>
      </c>
      <c r="AR167" s="379">
        <f t="shared" si="84"/>
        <v>0.94394897634619013</v>
      </c>
      <c r="AS167" s="376">
        <f t="shared" si="85"/>
        <v>1.0339327833845946E-3</v>
      </c>
      <c r="AT167" s="384"/>
      <c r="AU167" s="583">
        <f t="shared" si="69"/>
        <v>0.28390697269212584</v>
      </c>
      <c r="AV167" s="381">
        <f t="shared" si="95"/>
        <v>1.2589359496859258</v>
      </c>
      <c r="AW167" s="376">
        <f t="shared" si="70"/>
        <v>1.2591086554239539</v>
      </c>
      <c r="AX167" s="503">
        <f t="shared" si="93"/>
        <v>1.7269082525062096E-4</v>
      </c>
      <c r="AY167" s="376">
        <f t="shared" si="71"/>
        <v>2.324237904315916</v>
      </c>
      <c r="AZ167" s="381">
        <f t="shared" si="86"/>
        <v>4.9566960261616614E-3</v>
      </c>
      <c r="BA167" s="586">
        <f t="shared" si="87"/>
        <v>0.21083197640257689</v>
      </c>
      <c r="BB167" s="376">
        <f t="shared" si="88"/>
        <v>0.7885081939038463</v>
      </c>
      <c r="BC167" s="376">
        <f t="shared" si="89"/>
        <v>0.78916802359742311</v>
      </c>
      <c r="BD167" s="376">
        <f t="shared" si="90"/>
        <v>6.5961205383557875E-4</v>
      </c>
      <c r="BE167" s="283"/>
      <c r="BF167" s="283"/>
      <c r="BG167" s="283"/>
      <c r="BH167" s="283"/>
      <c r="BI167" s="283"/>
      <c r="BJ167" s="283"/>
      <c r="BK167" s="283"/>
      <c r="BL167" s="283"/>
      <c r="BM167" s="283"/>
      <c r="BN167" s="283"/>
      <c r="BO167" s="283"/>
      <c r="BP167" s="283"/>
      <c r="BQ167" s="283"/>
      <c r="BR167" s="283"/>
      <c r="BS167" s="283"/>
      <c r="BT167" s="283"/>
      <c r="BU167" s="283"/>
      <c r="BV167" s="283"/>
      <c r="BW167" s="283"/>
      <c r="BX167" s="283"/>
      <c r="BY167" s="283"/>
      <c r="BZ167" s="283"/>
      <c r="CA167" s="283"/>
      <c r="CB167" s="283"/>
      <c r="CC167" s="283"/>
      <c r="CD167" s="283"/>
      <c r="CE167" s="283"/>
      <c r="CF167" s="283"/>
      <c r="CG167" s="283"/>
      <c r="CH167" s="283"/>
      <c r="CI167" s="283"/>
      <c r="CJ167" s="283"/>
      <c r="CK167" s="283"/>
      <c r="CL167" s="283"/>
    </row>
    <row r="168" spans="1:90" ht="14.25" customHeight="1" x14ac:dyDescent="0.2">
      <c r="A168" s="3"/>
      <c r="B168" s="252"/>
      <c r="C168" s="3"/>
      <c r="D168" s="3"/>
      <c r="E168" s="3"/>
      <c r="F168" s="3"/>
      <c r="G168" s="252"/>
      <c r="H168" s="3"/>
      <c r="I168" s="3"/>
      <c r="J168" s="3"/>
      <c r="K168" s="3"/>
      <c r="L168" s="252"/>
      <c r="M168" s="3"/>
      <c r="N168" s="3"/>
      <c r="O168" s="3"/>
      <c r="P168" s="3"/>
      <c r="Q168" s="3"/>
      <c r="R168" s="3"/>
      <c r="S168" s="334"/>
      <c r="T168" s="373">
        <f t="shared" si="96"/>
        <v>142</v>
      </c>
      <c r="U168" s="334"/>
      <c r="V168" s="568">
        <f t="shared" si="91"/>
        <v>2.8764178195872826E-2</v>
      </c>
      <c r="W168" s="328">
        <f t="shared" si="72"/>
        <v>0.97050793885050923</v>
      </c>
      <c r="X168" s="328">
        <f t="shared" si="73"/>
        <v>0.97123582180412715</v>
      </c>
      <c r="Y168" s="328">
        <f t="shared" si="74"/>
        <v>7.2761811108290608E-4</v>
      </c>
      <c r="Z168" s="334"/>
      <c r="AA168" s="571">
        <f t="shared" si="75"/>
        <v>7.5332542108740561E-2</v>
      </c>
      <c r="AB168" s="327">
        <f t="shared" si="94"/>
        <v>0.92360364050262767</v>
      </c>
      <c r="AC168" s="327">
        <f t="shared" si="76"/>
        <v>0.92466745789125948</v>
      </c>
      <c r="AD168" s="327">
        <f t="shared" si="77"/>
        <v>1.0632517355152471E-3</v>
      </c>
      <c r="AE168" s="383"/>
      <c r="AF168" s="574">
        <f t="shared" si="66"/>
        <v>0.11433156846270809</v>
      </c>
      <c r="AG168" s="376">
        <f t="shared" si="92"/>
        <v>0.8847732657143843</v>
      </c>
      <c r="AH168" s="376">
        <f t="shared" si="78"/>
        <v>0.88566843153729191</v>
      </c>
      <c r="AI168" s="553">
        <f t="shared" si="79"/>
        <v>8.9476528150822521E-4</v>
      </c>
      <c r="AJ168" s="374"/>
      <c r="AK168" s="577">
        <f t="shared" si="67"/>
        <v>0.11568760377785765</v>
      </c>
      <c r="AL168" s="376">
        <f t="shared" si="80"/>
        <v>0.88353909669264097</v>
      </c>
      <c r="AM168" s="376">
        <f t="shared" si="81"/>
        <v>0.88431239622214231</v>
      </c>
      <c r="AN168" s="553">
        <f t="shared" si="82"/>
        <v>7.7300061047647084E-4</v>
      </c>
      <c r="AO168" s="554"/>
      <c r="AP168" s="580">
        <f t="shared" si="68"/>
        <v>5.503572260020273E-2</v>
      </c>
      <c r="AQ168" s="376">
        <f t="shared" si="83"/>
        <v>0.94394897634619013</v>
      </c>
      <c r="AR168" s="379">
        <f t="shared" si="84"/>
        <v>0.94496427739979727</v>
      </c>
      <c r="AS168" s="376">
        <f t="shared" si="85"/>
        <v>1.014785809883012E-3</v>
      </c>
      <c r="AT168" s="384"/>
      <c r="AU168" s="583">
        <f t="shared" si="69"/>
        <v>0.28385989077646723</v>
      </c>
      <c r="AV168" s="381">
        <f t="shared" si="95"/>
        <v>1.2591086554239539</v>
      </c>
      <c r="AW168" s="376">
        <f t="shared" si="70"/>
        <v>1.2592745048906835</v>
      </c>
      <c r="AX168" s="503">
        <f t="shared" si="93"/>
        <v>1.6583571446704415E-4</v>
      </c>
      <c r="AY168" s="376">
        <f t="shared" si="71"/>
        <v>2.3297966957905438</v>
      </c>
      <c r="AZ168" s="381">
        <f t="shared" si="86"/>
        <v>4.9077613316468056E-3</v>
      </c>
      <c r="BA168" s="586">
        <f t="shared" si="87"/>
        <v>0.21017882218201175</v>
      </c>
      <c r="BB168" s="376">
        <f t="shared" si="88"/>
        <v>0.78916802359742311</v>
      </c>
      <c r="BC168" s="376">
        <f t="shared" si="89"/>
        <v>0.78982117781798822</v>
      </c>
      <c r="BD168" s="376">
        <f t="shared" si="90"/>
        <v>6.5294096178003524E-4</v>
      </c>
      <c r="BE168" s="283"/>
      <c r="BF168" s="283"/>
      <c r="BG168" s="283"/>
      <c r="BH168" s="283"/>
      <c r="BI168" s="283"/>
      <c r="BJ168" s="283"/>
      <c r="BK168" s="283"/>
      <c r="BL168" s="283"/>
      <c r="BM168" s="283"/>
      <c r="BN168" s="283"/>
      <c r="BO168" s="283"/>
      <c r="BP168" s="283"/>
      <c r="BQ168" s="283"/>
      <c r="BR168" s="283"/>
      <c r="BS168" s="283"/>
      <c r="BT168" s="283"/>
      <c r="BU168" s="283"/>
      <c r="BV168" s="283"/>
      <c r="BW168" s="283"/>
      <c r="BX168" s="283"/>
      <c r="BY168" s="283"/>
      <c r="BZ168" s="283"/>
      <c r="CA168" s="283"/>
      <c r="CB168" s="283"/>
      <c r="CC168" s="283"/>
      <c r="CD168" s="283"/>
      <c r="CE168" s="283"/>
      <c r="CF168" s="283"/>
      <c r="CG168" s="283"/>
      <c r="CH168" s="283"/>
      <c r="CI168" s="283"/>
      <c r="CJ168" s="283"/>
      <c r="CK168" s="283"/>
      <c r="CL168" s="283"/>
    </row>
    <row r="169" spans="1:90" ht="14.25" customHeight="1" x14ac:dyDescent="0.2">
      <c r="A169" s="3"/>
      <c r="B169" s="252"/>
      <c r="C169" s="3"/>
      <c r="D169" s="3"/>
      <c r="E169" s="3"/>
      <c r="F169" s="3"/>
      <c r="G169" s="252"/>
      <c r="H169" s="3"/>
      <c r="I169" s="3"/>
      <c r="J169" s="3"/>
      <c r="K169" s="3"/>
      <c r="L169" s="252"/>
      <c r="M169" s="3"/>
      <c r="N169" s="3"/>
      <c r="O169" s="3"/>
      <c r="P169" s="3"/>
      <c r="Q169" s="3"/>
      <c r="R169" s="3"/>
      <c r="S169" s="334"/>
      <c r="T169" s="373">
        <f t="shared" si="96"/>
        <v>143</v>
      </c>
      <c r="U169" s="334"/>
      <c r="V169" s="568">
        <f t="shared" si="91"/>
        <v>2.8054259859630483E-2</v>
      </c>
      <c r="W169" s="328">
        <f t="shared" si="72"/>
        <v>0.97123582180412715</v>
      </c>
      <c r="X169" s="328">
        <f t="shared" si="73"/>
        <v>0.9719457401403695</v>
      </c>
      <c r="Y169" s="328">
        <f t="shared" si="74"/>
        <v>7.0966640384095836E-4</v>
      </c>
      <c r="Z169" s="334"/>
      <c r="AA169" s="571">
        <f t="shared" si="75"/>
        <v>7.4285228406411705E-2</v>
      </c>
      <c r="AB169" s="327">
        <f t="shared" si="94"/>
        <v>0.92466745789125948</v>
      </c>
      <c r="AC169" s="327">
        <f t="shared" si="76"/>
        <v>0.92571477159358828</v>
      </c>
      <c r="AD169" s="327">
        <f t="shared" si="77"/>
        <v>1.0467654607435595E-3</v>
      </c>
      <c r="AE169" s="383"/>
      <c r="AF169" s="574">
        <f t="shared" si="66"/>
        <v>0.11344759520185321</v>
      </c>
      <c r="AG169" s="376">
        <f t="shared" si="92"/>
        <v>0.88566843153729191</v>
      </c>
      <c r="AH169" s="376">
        <f t="shared" si="78"/>
        <v>0.88655240479814679</v>
      </c>
      <c r="AI169" s="553">
        <f t="shared" si="79"/>
        <v>8.8358267159061032E-4</v>
      </c>
      <c r="AJ169" s="374"/>
      <c r="AK169" s="577">
        <f t="shared" si="67"/>
        <v>0.11492415093636077</v>
      </c>
      <c r="AL169" s="376">
        <f t="shared" si="80"/>
        <v>0.88431239622214231</v>
      </c>
      <c r="AM169" s="376">
        <f t="shared" si="81"/>
        <v>0.88507584906363923</v>
      </c>
      <c r="AN169" s="553">
        <f t="shared" si="82"/>
        <v>7.6316148552657559E-4</v>
      </c>
      <c r="AO169" s="554"/>
      <c r="AP169" s="580">
        <f t="shared" si="68"/>
        <v>5.403922071899081E-2</v>
      </c>
      <c r="AQ169" s="376">
        <f t="shared" si="83"/>
        <v>0.94496427739979727</v>
      </c>
      <c r="AR169" s="379">
        <f t="shared" si="84"/>
        <v>0.94596077928100919</v>
      </c>
      <c r="AS169" s="376">
        <f t="shared" si="85"/>
        <v>9.9600553809497949E-4</v>
      </c>
      <c r="AT169" s="384"/>
      <c r="AU169" s="583">
        <f t="shared" si="69"/>
        <v>0.28381468532200577</v>
      </c>
      <c r="AV169" s="381">
        <f t="shared" si="95"/>
        <v>1.2592745048906835</v>
      </c>
      <c r="AW169" s="376">
        <f t="shared" si="70"/>
        <v>1.2594337702742691</v>
      </c>
      <c r="AX169" s="503">
        <f t="shared" si="93"/>
        <v>1.5925270152761239E-4</v>
      </c>
      <c r="AY169" s="376">
        <f t="shared" si="71"/>
        <v>2.3353164778808835</v>
      </c>
      <c r="AZ169" s="381">
        <f t="shared" si="86"/>
        <v>4.8596480838693197E-3</v>
      </c>
      <c r="BA169" s="586">
        <f t="shared" si="87"/>
        <v>0.20953222991023576</v>
      </c>
      <c r="BB169" s="376">
        <f t="shared" si="88"/>
        <v>0.78982117781798822</v>
      </c>
      <c r="BC169" s="376">
        <f t="shared" si="89"/>
        <v>0.79046777008976421</v>
      </c>
      <c r="BD169" s="376">
        <f t="shared" si="90"/>
        <v>6.4638327604049639E-4</v>
      </c>
      <c r="BE169" s="283"/>
      <c r="BF169" s="283"/>
      <c r="BG169" s="283"/>
      <c r="BH169" s="283"/>
      <c r="BI169" s="283"/>
      <c r="BJ169" s="283"/>
      <c r="BK169" s="283"/>
      <c r="BL169" s="283"/>
      <c r="BM169" s="283"/>
      <c r="BN169" s="283"/>
      <c r="BO169" s="283"/>
      <c r="BP169" s="283"/>
      <c r="BQ169" s="283"/>
      <c r="BR169" s="283"/>
      <c r="BS169" s="283"/>
      <c r="BT169" s="283"/>
      <c r="BU169" s="283"/>
      <c r="BV169" s="283"/>
      <c r="BW169" s="283"/>
      <c r="BX169" s="283"/>
      <c r="BY169" s="283"/>
      <c r="BZ169" s="283"/>
      <c r="CA169" s="283"/>
      <c r="CB169" s="283"/>
      <c r="CC169" s="283"/>
      <c r="CD169" s="283"/>
      <c r="CE169" s="283"/>
      <c r="CF169" s="283"/>
      <c r="CG169" s="283"/>
      <c r="CH169" s="283"/>
      <c r="CI169" s="283"/>
      <c r="CJ169" s="283"/>
      <c r="CK169" s="283"/>
      <c r="CL169" s="283"/>
    </row>
    <row r="170" spans="1:90" ht="14.25" customHeight="1" x14ac:dyDescent="0.2">
      <c r="A170" s="3"/>
      <c r="B170" s="252"/>
      <c r="C170" s="3"/>
      <c r="D170" s="3"/>
      <c r="E170" s="3"/>
      <c r="F170" s="3"/>
      <c r="G170" s="252"/>
      <c r="H170" s="3"/>
      <c r="I170" s="3"/>
      <c r="J170" s="3"/>
      <c r="K170" s="3"/>
      <c r="L170" s="252"/>
      <c r="M170" s="3"/>
      <c r="N170" s="3"/>
      <c r="O170" s="3"/>
      <c r="P170" s="3"/>
      <c r="Q170" s="3"/>
      <c r="R170" s="3"/>
      <c r="S170" s="334"/>
      <c r="T170" s="373">
        <f t="shared" si="96"/>
        <v>144</v>
      </c>
      <c r="U170" s="334"/>
      <c r="V170" s="568">
        <f t="shared" si="91"/>
        <v>2.7361862762503717E-2</v>
      </c>
      <c r="W170" s="328">
        <f t="shared" si="72"/>
        <v>0.9719457401403695</v>
      </c>
      <c r="X170" s="328">
        <f t="shared" si="73"/>
        <v>0.97263813723749626</v>
      </c>
      <c r="Y170" s="328">
        <f t="shared" si="74"/>
        <v>6.9215744557127312E-4</v>
      </c>
      <c r="Z170" s="334"/>
      <c r="AA170" s="571">
        <f t="shared" si="75"/>
        <v>7.3254127292180213E-2</v>
      </c>
      <c r="AB170" s="327">
        <f t="shared" si="94"/>
        <v>0.92571477159358828</v>
      </c>
      <c r="AC170" s="327">
        <f t="shared" si="76"/>
        <v>0.92674587270781983</v>
      </c>
      <c r="AD170" s="327">
        <f t="shared" si="77"/>
        <v>1.0305697121364421E-3</v>
      </c>
      <c r="AE170" s="383"/>
      <c r="AF170" s="574">
        <f t="shared" si="66"/>
        <v>0.11257461604199881</v>
      </c>
      <c r="AG170" s="376">
        <f t="shared" si="92"/>
        <v>0.88655240479814679</v>
      </c>
      <c r="AH170" s="376">
        <f t="shared" si="78"/>
        <v>0.88742538395800119</v>
      </c>
      <c r="AI170" s="553">
        <f t="shared" si="79"/>
        <v>8.7259822440521884E-4</v>
      </c>
      <c r="AJ170" s="374"/>
      <c r="AK170" s="577">
        <f t="shared" si="67"/>
        <v>0.11417036043455152</v>
      </c>
      <c r="AL170" s="376">
        <f t="shared" si="80"/>
        <v>0.88507584906363923</v>
      </c>
      <c r="AM170" s="376">
        <f t="shared" si="81"/>
        <v>0.88582963956544847</v>
      </c>
      <c r="AN170" s="553">
        <f t="shared" si="82"/>
        <v>7.5350647311944741E-4</v>
      </c>
      <c r="AO170" s="554"/>
      <c r="AP170" s="580">
        <f t="shared" si="68"/>
        <v>5.3061158008399278E-2</v>
      </c>
      <c r="AQ170" s="376">
        <f t="shared" si="83"/>
        <v>0.94596077928100919</v>
      </c>
      <c r="AR170" s="379">
        <f t="shared" si="84"/>
        <v>0.94693884199160072</v>
      </c>
      <c r="AS170" s="376">
        <f t="shared" si="85"/>
        <v>9.7758456315732989E-4</v>
      </c>
      <c r="AT170" s="384"/>
      <c r="AU170" s="583">
        <f t="shared" si="69"/>
        <v>0.28377128126182127</v>
      </c>
      <c r="AV170" s="381">
        <f t="shared" si="95"/>
        <v>1.2594337702742691</v>
      </c>
      <c r="AW170" s="376">
        <f t="shared" si="70"/>
        <v>1.2595867129572262</v>
      </c>
      <c r="AX170" s="503">
        <f t="shared" si="93"/>
        <v>1.5293098782132031E-4</v>
      </c>
      <c r="AY170" s="376">
        <f t="shared" si="71"/>
        <v>2.340797794278382</v>
      </c>
      <c r="AZ170" s="381">
        <f t="shared" si="86"/>
        <v>4.8123368927232343E-3</v>
      </c>
      <c r="BA170" s="586">
        <f t="shared" si="87"/>
        <v>0.20889208876403254</v>
      </c>
      <c r="BB170" s="376">
        <f t="shared" si="88"/>
        <v>0.79046777008976421</v>
      </c>
      <c r="BC170" s="376">
        <f t="shared" si="89"/>
        <v>0.79110791123596746</v>
      </c>
      <c r="BD170" s="376">
        <f t="shared" si="90"/>
        <v>6.399362995722635E-4</v>
      </c>
      <c r="BE170" s="283"/>
      <c r="BF170" s="283"/>
      <c r="BG170" s="283"/>
      <c r="BH170" s="283"/>
      <c r="BI170" s="283"/>
      <c r="BJ170" s="283"/>
      <c r="BK170" s="283"/>
      <c r="BL170" s="283"/>
      <c r="BM170" s="283"/>
      <c r="BN170" s="283"/>
      <c r="BO170" s="283"/>
      <c r="BP170" s="283"/>
      <c r="BQ170" s="283"/>
      <c r="BR170" s="283"/>
      <c r="BS170" s="283"/>
      <c r="BT170" s="283"/>
      <c r="BU170" s="283"/>
      <c r="BV170" s="283"/>
      <c r="BW170" s="283"/>
      <c r="BX170" s="283"/>
      <c r="BY170" s="283"/>
      <c r="BZ170" s="283"/>
      <c r="CA170" s="283"/>
      <c r="CB170" s="283"/>
      <c r="CC170" s="283"/>
      <c r="CD170" s="283"/>
      <c r="CE170" s="283"/>
      <c r="CF170" s="283"/>
      <c r="CG170" s="283"/>
      <c r="CH170" s="283"/>
      <c r="CI170" s="283"/>
      <c r="CJ170" s="283"/>
      <c r="CK170" s="283"/>
      <c r="CL170" s="283"/>
    </row>
    <row r="171" spans="1:90" ht="14.25" customHeight="1" x14ac:dyDescent="0.2">
      <c r="A171" s="3"/>
      <c r="B171" s="252"/>
      <c r="C171" s="3"/>
      <c r="D171" s="3"/>
      <c r="E171" s="3"/>
      <c r="F171" s="3"/>
      <c r="G171" s="252"/>
      <c r="H171" s="3"/>
      <c r="I171" s="3"/>
      <c r="J171" s="3"/>
      <c r="K171" s="3"/>
      <c r="L171" s="252"/>
      <c r="M171" s="3"/>
      <c r="N171" s="3"/>
      <c r="O171" s="3"/>
      <c r="P171" s="3"/>
      <c r="Q171" s="3"/>
      <c r="R171" s="3"/>
      <c r="S171" s="334"/>
      <c r="T171" s="373">
        <f t="shared" si="96"/>
        <v>145</v>
      </c>
      <c r="U171" s="334"/>
      <c r="V171" s="568">
        <f t="shared" si="91"/>
        <v>2.6686554469091909E-2</v>
      </c>
      <c r="W171" s="328">
        <f t="shared" si="72"/>
        <v>0.97263813723749626</v>
      </c>
      <c r="X171" s="328">
        <f t="shared" si="73"/>
        <v>0.97331344553090804</v>
      </c>
      <c r="Y171" s="328">
        <f t="shared" si="74"/>
        <v>6.7508032408558627E-4</v>
      </c>
      <c r="Z171" s="334"/>
      <c r="AA171" s="571">
        <f t="shared" si="75"/>
        <v>7.2238953625483507E-2</v>
      </c>
      <c r="AB171" s="327">
        <f t="shared" si="94"/>
        <v>0.92674587270781983</v>
      </c>
      <c r="AC171" s="327">
        <f t="shared" si="76"/>
        <v>0.92776104637451651</v>
      </c>
      <c r="AD171" s="327">
        <f t="shared" si="77"/>
        <v>1.014658552234815E-3</v>
      </c>
      <c r="AE171" s="383"/>
      <c r="AF171" s="574">
        <f t="shared" si="66"/>
        <v>0.11171243713289869</v>
      </c>
      <c r="AG171" s="376">
        <f t="shared" si="92"/>
        <v>0.88742538395800119</v>
      </c>
      <c r="AH171" s="376">
        <f t="shared" si="78"/>
        <v>0.88828756286710131</v>
      </c>
      <c r="AI171" s="553">
        <f t="shared" si="79"/>
        <v>8.6180733965857126E-4</v>
      </c>
      <c r="AJ171" s="374"/>
      <c r="AK171" s="577">
        <f t="shared" si="67"/>
        <v>0.11342605246172778</v>
      </c>
      <c r="AL171" s="376">
        <f t="shared" si="80"/>
        <v>0.88582963956544847</v>
      </c>
      <c r="AM171" s="376">
        <f t="shared" si="81"/>
        <v>0.88657394753827223</v>
      </c>
      <c r="AN171" s="553">
        <f t="shared" si="82"/>
        <v>7.4403104435549761E-4</v>
      </c>
      <c r="AO171" s="554"/>
      <c r="AP171" s="580">
        <f t="shared" si="68"/>
        <v>5.2101181735833224E-2</v>
      </c>
      <c r="AQ171" s="376">
        <f t="shared" si="83"/>
        <v>0.94693884199160072</v>
      </c>
      <c r="AR171" s="379">
        <f t="shared" si="84"/>
        <v>0.94789881826416678</v>
      </c>
      <c r="AS171" s="376">
        <f t="shared" si="85"/>
        <v>9.59515642753761E-4</v>
      </c>
      <c r="AT171" s="384"/>
      <c r="AU171" s="583">
        <f t="shared" si="69"/>
        <v>0.28372960655380275</v>
      </c>
      <c r="AV171" s="381">
        <f t="shared" si="95"/>
        <v>1.2595867129572262</v>
      </c>
      <c r="AW171" s="376">
        <f t="shared" si="70"/>
        <v>1.2597335839454069</v>
      </c>
      <c r="AX171" s="503">
        <f t="shared" si="93"/>
        <v>1.4686020316512227E-4</v>
      </c>
      <c r="AY171" s="376">
        <f t="shared" si="71"/>
        <v>2.3462411773865903</v>
      </c>
      <c r="AZ171" s="381">
        <f t="shared" si="86"/>
        <v>4.7658089561874728E-3</v>
      </c>
      <c r="BA171" s="586">
        <f t="shared" si="87"/>
        <v>0.20825829053886782</v>
      </c>
      <c r="BB171" s="376">
        <f t="shared" si="88"/>
        <v>0.79110791123596746</v>
      </c>
      <c r="BC171" s="376">
        <f t="shared" si="89"/>
        <v>0.7917417094611322</v>
      </c>
      <c r="BD171" s="376">
        <f t="shared" si="90"/>
        <v>6.3359741749569043E-4</v>
      </c>
      <c r="BE171" s="283"/>
      <c r="BF171" s="283"/>
      <c r="BG171" s="283"/>
      <c r="BH171" s="283"/>
      <c r="BI171" s="283"/>
      <c r="BJ171" s="283"/>
      <c r="BK171" s="283"/>
      <c r="BL171" s="283"/>
      <c r="BM171" s="283"/>
      <c r="BN171" s="283"/>
      <c r="BO171" s="283"/>
      <c r="BP171" s="283"/>
      <c r="BQ171" s="283"/>
      <c r="BR171" s="283"/>
      <c r="BS171" s="283"/>
      <c r="BT171" s="283"/>
      <c r="BU171" s="283"/>
      <c r="BV171" s="283"/>
      <c r="BW171" s="283"/>
      <c r="BX171" s="283"/>
      <c r="BY171" s="283"/>
      <c r="BZ171" s="283"/>
      <c r="CA171" s="283"/>
      <c r="CB171" s="283"/>
      <c r="CC171" s="283"/>
      <c r="CD171" s="283"/>
      <c r="CE171" s="283"/>
      <c r="CF171" s="283"/>
      <c r="CG171" s="283"/>
      <c r="CH171" s="283"/>
      <c r="CI171" s="283"/>
      <c r="CJ171" s="283"/>
      <c r="CK171" s="283"/>
      <c r="CL171" s="283"/>
    </row>
    <row r="172" spans="1:90" ht="14.25" customHeight="1" x14ac:dyDescent="0.2">
      <c r="A172" s="3"/>
      <c r="B172" s="252"/>
      <c r="C172" s="3"/>
      <c r="D172" s="3"/>
      <c r="E172" s="3"/>
      <c r="F172" s="3"/>
      <c r="G172" s="252"/>
      <c r="H172" s="3"/>
      <c r="I172" s="3"/>
      <c r="J172" s="3"/>
      <c r="K172" s="3"/>
      <c r="L172" s="252"/>
      <c r="M172" s="3"/>
      <c r="N172" s="3"/>
      <c r="O172" s="3"/>
      <c r="P172" s="3"/>
      <c r="Q172" s="3"/>
      <c r="R172" s="3"/>
      <c r="S172" s="334"/>
      <c r="T172" s="373">
        <f t="shared" si="96"/>
        <v>146</v>
      </c>
      <c r="U172" s="334"/>
      <c r="V172" s="568">
        <f t="shared" si="91"/>
        <v>2.6027913216777016E-2</v>
      </c>
      <c r="W172" s="328">
        <f t="shared" si="72"/>
        <v>0.97331344553090804</v>
      </c>
      <c r="X172" s="328">
        <f t="shared" si="73"/>
        <v>0.973972086783223</v>
      </c>
      <c r="Y172" s="328">
        <f t="shared" si="74"/>
        <v>6.5842439577812328E-4</v>
      </c>
      <c r="Z172" s="334"/>
      <c r="AA172" s="571">
        <f t="shared" si="75"/>
        <v>7.1239428079619221E-2</v>
      </c>
      <c r="AB172" s="327">
        <f t="shared" si="94"/>
        <v>0.92776104637451651</v>
      </c>
      <c r="AC172" s="327">
        <f t="shared" si="76"/>
        <v>0.92876057192038075</v>
      </c>
      <c r="AD172" s="327">
        <f t="shared" si="77"/>
        <v>9.9902618659375442E-4</v>
      </c>
      <c r="AE172" s="383"/>
      <c r="AF172" s="574">
        <f t="shared" si="66"/>
        <v>0.11086086910193582</v>
      </c>
      <c r="AG172" s="376">
        <f t="shared" si="92"/>
        <v>0.88828756286710131</v>
      </c>
      <c r="AH172" s="376">
        <f t="shared" si="78"/>
        <v>0.88913913089806418</v>
      </c>
      <c r="AI172" s="553">
        <f t="shared" si="79"/>
        <v>8.5120554980699925E-4</v>
      </c>
      <c r="AJ172" s="374"/>
      <c r="AK172" s="577">
        <f t="shared" si="67"/>
        <v>0.1126910516067867</v>
      </c>
      <c r="AL172" s="376">
        <f t="shared" si="80"/>
        <v>0.88657394753827223</v>
      </c>
      <c r="AM172" s="376">
        <f t="shared" si="81"/>
        <v>0.88730894839321328</v>
      </c>
      <c r="AN172" s="553">
        <f t="shared" si="82"/>
        <v>7.3473080797825663E-4</v>
      </c>
      <c r="AO172" s="554"/>
      <c r="AP172" s="580">
        <f t="shared" si="68"/>
        <v>5.1158946278324624E-2</v>
      </c>
      <c r="AQ172" s="376">
        <f t="shared" si="83"/>
        <v>0.94789881826416678</v>
      </c>
      <c r="AR172" s="379">
        <f t="shared" si="84"/>
        <v>0.94884105372167538</v>
      </c>
      <c r="AS172" s="376">
        <f t="shared" si="85"/>
        <v>9.4179169306773947E-4</v>
      </c>
      <c r="AT172" s="384"/>
      <c r="AU172" s="583">
        <f t="shared" si="69"/>
        <v>0.283689592057072</v>
      </c>
      <c r="AV172" s="381">
        <f t="shared" si="95"/>
        <v>1.2597335839454069</v>
      </c>
      <c r="AW172" s="376">
        <f t="shared" si="70"/>
        <v>1.2598746242799428</v>
      </c>
      <c r="AX172" s="503">
        <f t="shared" si="93"/>
        <v>1.4103038881552177E-4</v>
      </c>
      <c r="AY172" s="376">
        <f t="shared" si="71"/>
        <v>2.3516471486314932</v>
      </c>
      <c r="AZ172" s="381">
        <f t="shared" si="86"/>
        <v>4.720046038589421E-3</v>
      </c>
      <c r="BA172" s="586">
        <f t="shared" si="87"/>
        <v>0.20763072956961764</v>
      </c>
      <c r="BB172" s="376">
        <f t="shared" si="88"/>
        <v>0.7917417094611322</v>
      </c>
      <c r="BC172" s="376">
        <f t="shared" si="89"/>
        <v>0.79236927043038241</v>
      </c>
      <c r="BD172" s="376">
        <f t="shared" si="90"/>
        <v>6.2736409405106386E-4</v>
      </c>
      <c r="BE172" s="283"/>
      <c r="BF172" s="283"/>
      <c r="BG172" s="283"/>
      <c r="BH172" s="283"/>
      <c r="BI172" s="283"/>
      <c r="BJ172" s="283"/>
      <c r="BK172" s="283"/>
      <c r="BL172" s="283"/>
      <c r="BM172" s="283"/>
      <c r="BN172" s="283"/>
      <c r="BO172" s="283"/>
      <c r="BP172" s="283"/>
      <c r="BQ172" s="283"/>
      <c r="BR172" s="283"/>
      <c r="BS172" s="283"/>
      <c r="BT172" s="283"/>
      <c r="BU172" s="283"/>
      <c r="BV172" s="283"/>
      <c r="BW172" s="283"/>
      <c r="BX172" s="283"/>
      <c r="BY172" s="283"/>
      <c r="BZ172" s="283"/>
      <c r="CA172" s="283"/>
      <c r="CB172" s="283"/>
      <c r="CC172" s="283"/>
      <c r="CD172" s="283"/>
      <c r="CE172" s="283"/>
      <c r="CF172" s="283"/>
      <c r="CG172" s="283"/>
      <c r="CH172" s="283"/>
      <c r="CI172" s="283"/>
      <c r="CJ172" s="283"/>
      <c r="CK172" s="283"/>
      <c r="CL172" s="283"/>
    </row>
    <row r="173" spans="1:90" ht="14.25" customHeight="1" x14ac:dyDescent="0.2">
      <c r="A173" s="3"/>
      <c r="B173" s="252"/>
      <c r="C173" s="3"/>
      <c r="D173" s="3"/>
      <c r="E173" s="3"/>
      <c r="F173" s="3"/>
      <c r="G173" s="252"/>
      <c r="H173" s="3"/>
      <c r="I173" s="3"/>
      <c r="J173" s="3"/>
      <c r="K173" s="3"/>
      <c r="L173" s="252"/>
      <c r="M173" s="3"/>
      <c r="N173" s="3"/>
      <c r="O173" s="3"/>
      <c r="P173" s="3"/>
      <c r="Q173" s="3"/>
      <c r="R173" s="3"/>
      <c r="S173" s="334"/>
      <c r="T173" s="373">
        <f t="shared" si="96"/>
        <v>147</v>
      </c>
      <c r="U173" s="334"/>
      <c r="V173" s="568">
        <f t="shared" si="91"/>
        <v>2.5385527652312473E-2</v>
      </c>
      <c r="W173" s="328">
        <f t="shared" si="72"/>
        <v>0.973972086783223</v>
      </c>
      <c r="X173" s="328">
        <f t="shared" si="73"/>
        <v>0.9746144723476875</v>
      </c>
      <c r="Y173" s="328">
        <f t="shared" si="74"/>
        <v>6.4217927903176264E-4</v>
      </c>
      <c r="Z173" s="334"/>
      <c r="AA173" s="571">
        <f t="shared" si="75"/>
        <v>7.0255277002087169E-2</v>
      </c>
      <c r="AB173" s="327">
        <f t="shared" si="94"/>
        <v>0.92876057192038075</v>
      </c>
      <c r="AC173" s="327">
        <f t="shared" si="76"/>
        <v>0.92974472299791278</v>
      </c>
      <c r="AD173" s="327">
        <f t="shared" si="77"/>
        <v>9.8366695968832296E-4</v>
      </c>
      <c r="AE173" s="383"/>
      <c r="AF173" s="574">
        <f t="shared" si="66"/>
        <v>0.11001972692555773</v>
      </c>
      <c r="AG173" s="376">
        <f t="shared" si="92"/>
        <v>0.88913913089806418</v>
      </c>
      <c r="AH173" s="376">
        <f t="shared" si="78"/>
        <v>0.88998027307444227</v>
      </c>
      <c r="AI173" s="553">
        <f t="shared" si="79"/>
        <v>8.407885154643191E-4</v>
      </c>
      <c r="AJ173" s="374"/>
      <c r="AK173" s="577">
        <f t="shared" si="67"/>
        <v>0.11196518672519616</v>
      </c>
      <c r="AL173" s="376">
        <f t="shared" si="80"/>
        <v>0.88730894839321328</v>
      </c>
      <c r="AM173" s="376">
        <f t="shared" si="81"/>
        <v>0.88803481327480382</v>
      </c>
      <c r="AN173" s="553">
        <f t="shared" si="82"/>
        <v>7.2560150540645907E-4</v>
      </c>
      <c r="AO173" s="554"/>
      <c r="AP173" s="580">
        <f t="shared" si="68"/>
        <v>5.0234112966951683E-2</v>
      </c>
      <c r="AQ173" s="376">
        <f t="shared" si="83"/>
        <v>0.94884105372167538</v>
      </c>
      <c r="AR173" s="379">
        <f t="shared" si="84"/>
        <v>0.94976588703304832</v>
      </c>
      <c r="AS173" s="376">
        <f t="shared" si="85"/>
        <v>9.2440578485308844E-4</v>
      </c>
      <c r="AT173" s="384"/>
      <c r="AU173" s="583">
        <f t="shared" si="69"/>
        <v>0.28365117141358626</v>
      </c>
      <c r="AV173" s="381">
        <f t="shared" si="95"/>
        <v>1.2598746242799428</v>
      </c>
      <c r="AW173" s="376">
        <f t="shared" si="70"/>
        <v>1.2600100654328381</v>
      </c>
      <c r="AX173" s="503">
        <f t="shared" si="93"/>
        <v>1.3543198115650856E-4</v>
      </c>
      <c r="AY173" s="376">
        <f t="shared" si="71"/>
        <v>2.3570162187612418</v>
      </c>
      <c r="AZ173" s="381">
        <f t="shared" si="86"/>
        <v>4.6750304498140733E-3</v>
      </c>
      <c r="BA173" s="586">
        <f t="shared" si="87"/>
        <v>0.20700930265421472</v>
      </c>
      <c r="BB173" s="376">
        <f t="shared" si="88"/>
        <v>0.79236927043038241</v>
      </c>
      <c r="BC173" s="376">
        <f t="shared" si="89"/>
        <v>0.79299069734578531</v>
      </c>
      <c r="BD173" s="376">
        <f t="shared" si="90"/>
        <v>6.2123386968726546E-4</v>
      </c>
      <c r="BE173" s="283"/>
      <c r="BF173" s="283"/>
      <c r="BG173" s="283"/>
      <c r="BH173" s="283"/>
      <c r="BI173" s="283"/>
      <c r="BJ173" s="283"/>
      <c r="BK173" s="283"/>
      <c r="BL173" s="283"/>
      <c r="BM173" s="283"/>
      <c r="BN173" s="283"/>
      <c r="BO173" s="283"/>
      <c r="BP173" s="283"/>
      <c r="BQ173" s="283"/>
      <c r="BR173" s="283"/>
      <c r="BS173" s="283"/>
      <c r="BT173" s="283"/>
      <c r="BU173" s="283"/>
      <c r="BV173" s="283"/>
      <c r="BW173" s="283"/>
      <c r="BX173" s="283"/>
      <c r="BY173" s="283"/>
      <c r="BZ173" s="283"/>
      <c r="CA173" s="283"/>
      <c r="CB173" s="283"/>
      <c r="CC173" s="283"/>
      <c r="CD173" s="283"/>
      <c r="CE173" s="283"/>
      <c r="CF173" s="283"/>
      <c r="CG173" s="283"/>
      <c r="CH173" s="283"/>
      <c r="CI173" s="283"/>
      <c r="CJ173" s="283"/>
      <c r="CK173" s="283"/>
      <c r="CL173" s="283"/>
    </row>
    <row r="174" spans="1:90" ht="14.25" customHeight="1" x14ac:dyDescent="0.2">
      <c r="A174" s="3"/>
      <c r="B174" s="252"/>
      <c r="C174" s="3"/>
      <c r="D174" s="3"/>
      <c r="E174" s="3"/>
      <c r="F174" s="3"/>
      <c r="G174" s="252"/>
      <c r="H174" s="3"/>
      <c r="I174" s="3"/>
      <c r="J174" s="3"/>
      <c r="K174" s="3"/>
      <c r="L174" s="252"/>
      <c r="M174" s="3"/>
      <c r="N174" s="3"/>
      <c r="O174" s="3"/>
      <c r="P174" s="3"/>
      <c r="Q174" s="3"/>
      <c r="R174" s="3"/>
      <c r="S174" s="334"/>
      <c r="T174" s="373">
        <f t="shared" si="96"/>
        <v>148</v>
      </c>
      <c r="U174" s="334"/>
      <c r="V174" s="568">
        <f t="shared" si="91"/>
        <v>2.475899657491324E-2</v>
      </c>
      <c r="W174" s="328">
        <f t="shared" si="72"/>
        <v>0.9746144723476875</v>
      </c>
      <c r="X174" s="328">
        <f t="shared" si="73"/>
        <v>0.97524100342508679</v>
      </c>
      <c r="Y174" s="328">
        <f t="shared" si="74"/>
        <v>6.2633484778729098E-4</v>
      </c>
      <c r="Z174" s="334"/>
      <c r="AA174" s="571">
        <f t="shared" si="75"/>
        <v>6.9286232278913631E-2</v>
      </c>
      <c r="AB174" s="327">
        <f t="shared" si="94"/>
        <v>0.92974472299791278</v>
      </c>
      <c r="AC174" s="327">
        <f t="shared" si="76"/>
        <v>0.93071376772108638</v>
      </c>
      <c r="AD174" s="327">
        <f t="shared" si="77"/>
        <v>9.6857535096228631E-4</v>
      </c>
      <c r="AE174" s="383"/>
      <c r="AF174" s="574">
        <f t="shared" si="66"/>
        <v>0.10918882980513256</v>
      </c>
      <c r="AG174" s="376">
        <f t="shared" si="92"/>
        <v>0.88998027307444227</v>
      </c>
      <c r="AH174" s="376">
        <f t="shared" si="78"/>
        <v>0.89081117019486744</v>
      </c>
      <c r="AI174" s="553">
        <f t="shared" si="79"/>
        <v>8.3055202100013048E-4</v>
      </c>
      <c r="AJ174" s="374"/>
      <c r="AK174" s="577">
        <f t="shared" si="67"/>
        <v>0.11124829081074396</v>
      </c>
      <c r="AL174" s="376">
        <f t="shared" si="80"/>
        <v>0.88803481327480382</v>
      </c>
      <c r="AM174" s="376">
        <f t="shared" si="81"/>
        <v>0.88875170918925606</v>
      </c>
      <c r="AN174" s="553">
        <f t="shared" si="82"/>
        <v>7.1663900597207508E-4</v>
      </c>
      <c r="AO174" s="554"/>
      <c r="AP174" s="580">
        <f t="shared" si="68"/>
        <v>4.9326349935110092E-2</v>
      </c>
      <c r="AQ174" s="376">
        <f t="shared" si="83"/>
        <v>0.94976588703304832</v>
      </c>
      <c r="AR174" s="379">
        <f t="shared" si="84"/>
        <v>0.95067365006488991</v>
      </c>
      <c r="AS174" s="376">
        <f t="shared" si="85"/>
        <v>9.0735113962359115E-4</v>
      </c>
      <c r="AT174" s="384"/>
      <c r="AU174" s="583">
        <f t="shared" si="69"/>
        <v>0.28361428093469387</v>
      </c>
      <c r="AV174" s="381">
        <f t="shared" si="95"/>
        <v>1.2600100654328381</v>
      </c>
      <c r="AW174" s="376">
        <f t="shared" si="70"/>
        <v>1.2601401296868542</v>
      </c>
      <c r="AX174" s="503">
        <f t="shared" si="93"/>
        <v>1.3005579602765049E-4</v>
      </c>
      <c r="AY174" s="376">
        <f t="shared" si="71"/>
        <v>2.3623488881357293</v>
      </c>
      <c r="AZ174" s="381">
        <f t="shared" si="86"/>
        <v>4.6307450254115682E-3</v>
      </c>
      <c r="BA174" s="586">
        <f t="shared" si="87"/>
        <v>0.206393908980087</v>
      </c>
      <c r="BB174" s="376">
        <f t="shared" si="88"/>
        <v>0.79299069734578531</v>
      </c>
      <c r="BC174" s="376">
        <f t="shared" si="89"/>
        <v>0.79360609101991297</v>
      </c>
      <c r="BD174" s="376">
        <f t="shared" si="90"/>
        <v>6.1520435827722153E-4</v>
      </c>
      <c r="BE174" s="283"/>
      <c r="BF174" s="283"/>
      <c r="BG174" s="283"/>
      <c r="BH174" s="283"/>
      <c r="BI174" s="283"/>
      <c r="BJ174" s="283"/>
      <c r="BK174" s="283"/>
      <c r="BL174" s="283"/>
      <c r="BM174" s="283"/>
      <c r="BN174" s="283"/>
      <c r="BO174" s="283"/>
      <c r="BP174" s="283"/>
      <c r="BQ174" s="283"/>
      <c r="BR174" s="283"/>
      <c r="BS174" s="283"/>
      <c r="BT174" s="283"/>
      <c r="BU174" s="283"/>
      <c r="BV174" s="283"/>
      <c r="BW174" s="283"/>
      <c r="BX174" s="283"/>
      <c r="BY174" s="283"/>
      <c r="BZ174" s="283"/>
      <c r="CA174" s="283"/>
      <c r="CB174" s="283"/>
      <c r="CC174" s="283"/>
      <c r="CD174" s="283"/>
      <c r="CE174" s="283"/>
      <c r="CF174" s="283"/>
      <c r="CG174" s="283"/>
      <c r="CH174" s="283"/>
      <c r="CI174" s="283"/>
      <c r="CJ174" s="283"/>
      <c r="CK174" s="283"/>
      <c r="CL174" s="283"/>
    </row>
    <row r="175" spans="1:90" ht="14.25" customHeight="1" x14ac:dyDescent="0.2">
      <c r="A175" s="3"/>
      <c r="B175" s="252"/>
      <c r="C175" s="3"/>
      <c r="D175" s="3"/>
      <c r="E175" s="3"/>
      <c r="F175" s="3"/>
      <c r="G175" s="252"/>
      <c r="H175" s="3"/>
      <c r="I175" s="3"/>
      <c r="J175" s="3"/>
      <c r="K175" s="3"/>
      <c r="L175" s="252"/>
      <c r="M175" s="3"/>
      <c r="N175" s="3"/>
      <c r="O175" s="3"/>
      <c r="P175" s="3"/>
      <c r="Q175" s="3"/>
      <c r="R175" s="3"/>
      <c r="S175" s="334"/>
      <c r="T175" s="373">
        <f t="shared" si="96"/>
        <v>149</v>
      </c>
      <c r="U175" s="334"/>
      <c r="V175" s="568">
        <f t="shared" si="91"/>
        <v>2.4147928685686552E-2</v>
      </c>
      <c r="W175" s="328">
        <f t="shared" si="72"/>
        <v>0.97524100342508679</v>
      </c>
      <c r="X175" s="328">
        <f t="shared" si="73"/>
        <v>0.9758520713143134</v>
      </c>
      <c r="Y175" s="328">
        <f t="shared" si="74"/>
        <v>6.1088122526731237E-4</v>
      </c>
      <c r="Z175" s="334"/>
      <c r="AA175" s="571">
        <f t="shared" si="75"/>
        <v>6.8332031202825036E-2</v>
      </c>
      <c r="AB175" s="327">
        <f t="shared" si="94"/>
        <v>0.93071376772108638</v>
      </c>
      <c r="AC175" s="327">
        <f t="shared" si="76"/>
        <v>0.93166796879717495</v>
      </c>
      <c r="AD175" s="327">
        <f t="shared" si="77"/>
        <v>9.537459710071694E-4</v>
      </c>
      <c r="AE175" s="383"/>
      <c r="AF175" s="574">
        <f t="shared" si="66"/>
        <v>0.10836800104705246</v>
      </c>
      <c r="AG175" s="376">
        <f t="shared" si="92"/>
        <v>0.89081117019486744</v>
      </c>
      <c r="AH175" s="376">
        <f t="shared" si="78"/>
        <v>0.89163199895294754</v>
      </c>
      <c r="AI175" s="553">
        <f t="shared" si="79"/>
        <v>8.2049197030975574E-4</v>
      </c>
      <c r="AJ175" s="374"/>
      <c r="AK175" s="577">
        <f t="shared" si="67"/>
        <v>0.1105402008718671</v>
      </c>
      <c r="AL175" s="376">
        <f t="shared" si="80"/>
        <v>0.88875170918925606</v>
      </c>
      <c r="AM175" s="376">
        <f t="shared" si="81"/>
        <v>0.88945979912813289</v>
      </c>
      <c r="AN175" s="553">
        <f t="shared" si="82"/>
        <v>7.0783930235729375E-4</v>
      </c>
      <c r="AO175" s="554"/>
      <c r="AP175" s="580">
        <f t="shared" si="68"/>
        <v>4.8435331970525297E-2</v>
      </c>
      <c r="AQ175" s="376">
        <f t="shared" si="83"/>
        <v>0.95067365006488991</v>
      </c>
      <c r="AR175" s="379">
        <f t="shared" si="84"/>
        <v>0.9515646680294747</v>
      </c>
      <c r="AS175" s="376">
        <f t="shared" si="85"/>
        <v>8.9062112595039711E-4</v>
      </c>
      <c r="AT175" s="384"/>
      <c r="AU175" s="583">
        <f t="shared" si="69"/>
        <v>0.28357885949242545</v>
      </c>
      <c r="AV175" s="381">
        <f t="shared" si="95"/>
        <v>1.2601401296868542</v>
      </c>
      <c r="AW175" s="376">
        <f t="shared" si="70"/>
        <v>1.2602650305003154</v>
      </c>
      <c r="AX175" s="503">
        <f t="shared" si="93"/>
        <v>1.2489301367935024E-4</v>
      </c>
      <c r="AY175" s="376">
        <f t="shared" si="71"/>
        <v>2.3676456470064138</v>
      </c>
      <c r="AZ175" s="381">
        <f t="shared" si="86"/>
        <v>4.5871731075585219E-3</v>
      </c>
      <c r="BA175" s="586">
        <f t="shared" si="87"/>
        <v>0.2057844500532694</v>
      </c>
      <c r="BB175" s="376">
        <f t="shared" si="88"/>
        <v>0.79360609101991297</v>
      </c>
      <c r="BC175" s="376">
        <f t="shared" si="89"/>
        <v>0.7942155499467306</v>
      </c>
      <c r="BD175" s="376">
        <f t="shared" si="90"/>
        <v>6.0927324444970399E-4</v>
      </c>
      <c r="BE175" s="283"/>
      <c r="BF175" s="283"/>
      <c r="BG175" s="283"/>
      <c r="BH175" s="283"/>
      <c r="BI175" s="283"/>
      <c r="BJ175" s="283"/>
      <c r="BK175" s="283"/>
      <c r="BL175" s="283"/>
      <c r="BM175" s="283"/>
      <c r="BN175" s="283"/>
      <c r="BO175" s="283"/>
      <c r="BP175" s="283"/>
      <c r="BQ175" s="283"/>
      <c r="BR175" s="283"/>
      <c r="BS175" s="283"/>
      <c r="BT175" s="283"/>
      <c r="BU175" s="283"/>
      <c r="BV175" s="283"/>
      <c r="BW175" s="283"/>
      <c r="BX175" s="283"/>
      <c r="BY175" s="283"/>
      <c r="BZ175" s="283"/>
      <c r="CA175" s="283"/>
      <c r="CB175" s="283"/>
      <c r="CC175" s="283"/>
      <c r="CD175" s="283"/>
      <c r="CE175" s="283"/>
      <c r="CF175" s="283"/>
      <c r="CG175" s="283"/>
      <c r="CH175" s="283"/>
      <c r="CI175" s="283"/>
      <c r="CJ175" s="283"/>
      <c r="CK175" s="283"/>
      <c r="CL175" s="283"/>
    </row>
    <row r="176" spans="1:90" ht="14.25" customHeight="1" x14ac:dyDescent="0.2">
      <c r="A176" s="3"/>
      <c r="B176" s="252"/>
      <c r="C176" s="3"/>
      <c r="D176" s="3"/>
      <c r="E176" s="3"/>
      <c r="F176" s="3"/>
      <c r="G176" s="252"/>
      <c r="H176" s="3"/>
      <c r="I176" s="3"/>
      <c r="J176" s="3"/>
      <c r="K176" s="3"/>
      <c r="L176" s="252"/>
      <c r="M176" s="3"/>
      <c r="N176" s="3"/>
      <c r="O176" s="3"/>
      <c r="P176" s="3"/>
      <c r="Q176" s="3"/>
      <c r="R176" s="3"/>
      <c r="S176" s="334"/>
      <c r="T176" s="373">
        <f t="shared" si="96"/>
        <v>150</v>
      </c>
      <c r="U176" s="334"/>
      <c r="V176" s="568">
        <f t="shared" si="91"/>
        <v>2.3551942343246871E-2</v>
      </c>
      <c r="W176" s="328">
        <f t="shared" si="72"/>
        <v>0.9758520713143134</v>
      </c>
      <c r="X176" s="328">
        <f t="shared" si="73"/>
        <v>0.97644805765675313</v>
      </c>
      <c r="Y176" s="328">
        <f t="shared" si="74"/>
        <v>5.9580877785669895E-4</v>
      </c>
      <c r="Z176" s="334"/>
      <c r="AA176" s="571">
        <f t="shared" si="75"/>
        <v>6.7392416345140788E-2</v>
      </c>
      <c r="AB176" s="327">
        <f t="shared" si="94"/>
        <v>0.93166796879717495</v>
      </c>
      <c r="AC176" s="327">
        <f t="shared" si="76"/>
        <v>0.93260758365485918</v>
      </c>
      <c r="AD176" s="327">
        <f t="shared" si="77"/>
        <v>9.391735578719862E-4</v>
      </c>
      <c r="AE176" s="383"/>
      <c r="AF176" s="574">
        <f t="shared" si="66"/>
        <v>0.10755706794691311</v>
      </c>
      <c r="AG176" s="376">
        <f t="shared" si="92"/>
        <v>0.89163199895294754</v>
      </c>
      <c r="AH176" s="376">
        <f t="shared" si="78"/>
        <v>0.89244293205308689</v>
      </c>
      <c r="AI176" s="553">
        <f t="shared" si="79"/>
        <v>8.1060438275482039E-4</v>
      </c>
      <c r="AJ176" s="374"/>
      <c r="AK176" s="577">
        <f t="shared" si="67"/>
        <v>0.10984075781237165</v>
      </c>
      <c r="AL176" s="376">
        <f t="shared" si="80"/>
        <v>0.88945979912813289</v>
      </c>
      <c r="AM176" s="376">
        <f t="shared" si="81"/>
        <v>0.89015924218762832</v>
      </c>
      <c r="AN176" s="553">
        <f t="shared" si="82"/>
        <v>6.9919850621902313E-4</v>
      </c>
      <c r="AO176" s="554"/>
      <c r="AP176" s="580">
        <f t="shared" si="68"/>
        <v>4.7560740370897303E-2</v>
      </c>
      <c r="AQ176" s="376">
        <f t="shared" si="83"/>
        <v>0.9515646680294747</v>
      </c>
      <c r="AR176" s="379">
        <f t="shared" si="84"/>
        <v>0.9524392596291027</v>
      </c>
      <c r="AS176" s="376">
        <f t="shared" si="85"/>
        <v>8.7420925586789711E-4</v>
      </c>
      <c r="AT176" s="384"/>
      <c r="AU176" s="583">
        <f t="shared" si="69"/>
        <v>0.28354484841531474</v>
      </c>
      <c r="AV176" s="381">
        <f t="shared" si="95"/>
        <v>1.2602650305003154</v>
      </c>
      <c r="AW176" s="376">
        <f t="shared" si="70"/>
        <v>1.2603849728574317</v>
      </c>
      <c r="AX176" s="503">
        <f t="shared" si="93"/>
        <v>1.1993516431940687E-4</v>
      </c>
      <c r="AY176" s="376">
        <f t="shared" si="71"/>
        <v>2.372906975786782</v>
      </c>
      <c r="AZ176" s="381">
        <f t="shared" si="86"/>
        <v>4.5442985268310879E-3</v>
      </c>
      <c r="BA176" s="586">
        <f t="shared" si="87"/>
        <v>0.20518082963007345</v>
      </c>
      <c r="BB176" s="376">
        <f t="shared" si="88"/>
        <v>0.7942155499467306</v>
      </c>
      <c r="BC176" s="376">
        <f t="shared" si="89"/>
        <v>0.79481917036992655</v>
      </c>
      <c r="BD176" s="376">
        <f t="shared" si="90"/>
        <v>6.0343828103837094E-4</v>
      </c>
      <c r="BE176" s="283"/>
      <c r="BF176" s="283"/>
      <c r="BG176" s="283"/>
      <c r="BH176" s="283"/>
      <c r="BI176" s="283"/>
      <c r="BJ176" s="283"/>
      <c r="BK176" s="283"/>
      <c r="BL176" s="283"/>
      <c r="BM176" s="283"/>
      <c r="BN176" s="283"/>
      <c r="BO176" s="283"/>
      <c r="BP176" s="283"/>
      <c r="BQ176" s="283"/>
      <c r="BR176" s="283"/>
      <c r="BS176" s="283"/>
      <c r="BT176" s="283"/>
      <c r="BU176" s="283"/>
      <c r="BV176" s="283"/>
      <c r="BW176" s="283"/>
      <c r="BX176" s="283"/>
      <c r="BY176" s="283"/>
      <c r="BZ176" s="283"/>
      <c r="CA176" s="283"/>
      <c r="CB176" s="283"/>
      <c r="CC176" s="283"/>
      <c r="CD176" s="283"/>
      <c r="CE176" s="283"/>
      <c r="CF176" s="283"/>
      <c r="CG176" s="283"/>
      <c r="CH176" s="283"/>
      <c r="CI176" s="283"/>
      <c r="CJ176" s="283"/>
      <c r="CK176" s="283"/>
      <c r="CL176" s="283"/>
    </row>
    <row r="177" spans="1:90" ht="14.25" customHeight="1" x14ac:dyDescent="0.2">
      <c r="A177" s="3"/>
      <c r="B177" s="252"/>
      <c r="C177" s="3"/>
      <c r="D177" s="3"/>
      <c r="E177" s="3"/>
      <c r="F177" s="3"/>
      <c r="G177" s="252"/>
      <c r="H177" s="3"/>
      <c r="I177" s="3"/>
      <c r="J177" s="3"/>
      <c r="K177" s="3"/>
      <c r="L177" s="252"/>
      <c r="M177" s="3"/>
      <c r="N177" s="3"/>
      <c r="O177" s="3"/>
      <c r="P177" s="3"/>
      <c r="Q177" s="3"/>
      <c r="R177" s="3"/>
      <c r="S177" s="334"/>
      <c r="T177" s="373">
        <f t="shared" si="96"/>
        <v>151</v>
      </c>
      <c r="U177" s="334"/>
      <c r="V177" s="568">
        <f t="shared" si="91"/>
        <v>2.2970665325362436E-2</v>
      </c>
      <c r="W177" s="328">
        <f t="shared" si="72"/>
        <v>0.97644805765675313</v>
      </c>
      <c r="X177" s="328">
        <f t="shared" si="73"/>
        <v>0.9770293346746376</v>
      </c>
      <c r="Y177" s="328">
        <f t="shared" si="74"/>
        <v>5.8110810912792576E-4</v>
      </c>
      <c r="Z177" s="334"/>
      <c r="AA177" s="571">
        <f t="shared" si="75"/>
        <v>6.6467135431261648E-2</v>
      </c>
      <c r="AB177" s="327">
        <f t="shared" si="94"/>
        <v>0.93260758365485918</v>
      </c>
      <c r="AC177" s="327">
        <f t="shared" si="76"/>
        <v>0.93353286456873841</v>
      </c>
      <c r="AD177" s="327">
        <f t="shared" si="77"/>
        <v>9.2485297349298445E-4</v>
      </c>
      <c r="AE177" s="383"/>
      <c r="AF177" s="574">
        <f t="shared" si="66"/>
        <v>0.10675586167760742</v>
      </c>
      <c r="AG177" s="376">
        <f t="shared" si="92"/>
        <v>0.89244293205308689</v>
      </c>
      <c r="AH177" s="376">
        <f t="shared" si="78"/>
        <v>0.89324413832239258</v>
      </c>
      <c r="AI177" s="553">
        <f t="shared" si="79"/>
        <v>8.0088538926548214E-4</v>
      </c>
      <c r="AJ177" s="374"/>
      <c r="AK177" s="577">
        <f t="shared" si="67"/>
        <v>0.10914980631636362</v>
      </c>
      <c r="AL177" s="376">
        <f t="shared" si="80"/>
        <v>0.89015924218762832</v>
      </c>
      <c r="AM177" s="376">
        <f t="shared" si="81"/>
        <v>0.89085019368363638</v>
      </c>
      <c r="AN177" s="553">
        <f t="shared" si="82"/>
        <v>6.9071284399191413E-4</v>
      </c>
      <c r="AO177" s="554"/>
      <c r="AP177" s="580">
        <f t="shared" si="68"/>
        <v>4.6702262803070549E-2</v>
      </c>
      <c r="AQ177" s="376">
        <f t="shared" si="83"/>
        <v>0.9524392596291027</v>
      </c>
      <c r="AR177" s="379">
        <f t="shared" si="84"/>
        <v>0.95329773719692945</v>
      </c>
      <c r="AS177" s="376">
        <f t="shared" si="85"/>
        <v>8.5810918138418124E-4</v>
      </c>
      <c r="AT177" s="384"/>
      <c r="AU177" s="583">
        <f t="shared" si="69"/>
        <v>0.28351219138855266</v>
      </c>
      <c r="AV177" s="381">
        <f t="shared" si="95"/>
        <v>1.2603849728574317</v>
      </c>
      <c r="AW177" s="376">
        <f t="shared" si="70"/>
        <v>1.260500153604714</v>
      </c>
      <c r="AX177" s="503">
        <f t="shared" si="93"/>
        <v>1.1517411423478396E-4</v>
      </c>
      <c r="AY177" s="376">
        <f t="shared" si="71"/>
        <v>2.3781333453138318</v>
      </c>
      <c r="AZ177" s="381">
        <f t="shared" si="86"/>
        <v>4.5021055847499058E-3</v>
      </c>
      <c r="BA177" s="586">
        <f t="shared" si="87"/>
        <v>0.20458295365120616</v>
      </c>
      <c r="BB177" s="376">
        <f t="shared" si="88"/>
        <v>0.79481917036992655</v>
      </c>
      <c r="BC177" s="376">
        <f t="shared" si="89"/>
        <v>0.79541704634879384</v>
      </c>
      <c r="BD177" s="376">
        <f t="shared" si="90"/>
        <v>5.9769728663794375E-4</v>
      </c>
      <c r="BE177" s="283"/>
      <c r="BF177" s="283"/>
      <c r="BG177" s="283"/>
      <c r="BH177" s="283"/>
      <c r="BI177" s="283"/>
      <c r="BJ177" s="283"/>
      <c r="BK177" s="283"/>
      <c r="BL177" s="283"/>
      <c r="BM177" s="283"/>
      <c r="BN177" s="283"/>
      <c r="BO177" s="283"/>
      <c r="BP177" s="283"/>
      <c r="BQ177" s="283"/>
      <c r="BR177" s="283"/>
      <c r="BS177" s="283"/>
      <c r="BT177" s="283"/>
      <c r="BU177" s="283"/>
      <c r="BV177" s="283"/>
      <c r="BW177" s="283"/>
      <c r="BX177" s="283"/>
      <c r="BY177" s="283"/>
      <c r="BZ177" s="283"/>
      <c r="CA177" s="283"/>
      <c r="CB177" s="283"/>
      <c r="CC177" s="283"/>
      <c r="CD177" s="283"/>
      <c r="CE177" s="283"/>
      <c r="CF177" s="283"/>
      <c r="CG177" s="283"/>
      <c r="CH177" s="283"/>
      <c r="CI177" s="283"/>
      <c r="CJ177" s="283"/>
      <c r="CK177" s="283"/>
      <c r="CL177" s="283"/>
    </row>
    <row r="178" spans="1:90" ht="14.25" customHeight="1" x14ac:dyDescent="0.2">
      <c r="A178" s="3"/>
      <c r="B178" s="252"/>
      <c r="C178" s="3"/>
      <c r="D178" s="3"/>
      <c r="E178" s="3"/>
      <c r="F178" s="3"/>
      <c r="G178" s="252"/>
      <c r="H178" s="3"/>
      <c r="I178" s="3"/>
      <c r="J178" s="3"/>
      <c r="K178" s="3"/>
      <c r="L178" s="252"/>
      <c r="M178" s="3"/>
      <c r="N178" s="3"/>
      <c r="O178" s="3"/>
      <c r="P178" s="3"/>
      <c r="Q178" s="3"/>
      <c r="R178" s="3"/>
      <c r="S178" s="334"/>
      <c r="T178" s="373">
        <f t="shared" si="96"/>
        <v>152</v>
      </c>
      <c r="U178" s="334"/>
      <c r="V178" s="568">
        <f t="shared" si="91"/>
        <v>2.2403734596484499E-2</v>
      </c>
      <c r="W178" s="328">
        <f t="shared" si="72"/>
        <v>0.9770293346746376</v>
      </c>
      <c r="X178" s="328">
        <f t="shared" si="73"/>
        <v>0.97759626540351552</v>
      </c>
      <c r="Y178" s="328">
        <f t="shared" si="74"/>
        <v>5.6677005401750691E-4</v>
      </c>
      <c r="Z178" s="334"/>
      <c r="AA178" s="571">
        <f t="shared" si="75"/>
        <v>6.5555941219633942E-2</v>
      </c>
      <c r="AB178" s="327">
        <f t="shared" si="94"/>
        <v>0.93353286456873841</v>
      </c>
      <c r="AC178" s="327">
        <f t="shared" si="76"/>
        <v>0.93444405878036607</v>
      </c>
      <c r="AD178" s="327">
        <f t="shared" si="77"/>
        <v>9.1077920024362768E-4</v>
      </c>
      <c r="AE178" s="383"/>
      <c r="AF178" s="574">
        <f t="shared" si="66"/>
        <v>0.10596421718117965</v>
      </c>
      <c r="AG178" s="376">
        <f t="shared" si="92"/>
        <v>0.89324413832239258</v>
      </c>
      <c r="AH178" s="376">
        <f t="shared" si="78"/>
        <v>0.89403578281882035</v>
      </c>
      <c r="AI178" s="553">
        <f t="shared" si="79"/>
        <v>7.9133122859442739E-4</v>
      </c>
      <c r="AJ178" s="374"/>
      <c r="AK178" s="577">
        <f t="shared" si="67"/>
        <v>0.10846719473721812</v>
      </c>
      <c r="AL178" s="376">
        <f t="shared" si="80"/>
        <v>0.89085019368363638</v>
      </c>
      <c r="AM178" s="376">
        <f t="shared" si="81"/>
        <v>0.89153280526278189</v>
      </c>
      <c r="AN178" s="553">
        <f t="shared" si="82"/>
        <v>6.8237865286391308E-4</v>
      </c>
      <c r="AO178" s="554"/>
      <c r="AP178" s="580">
        <f t="shared" si="68"/>
        <v>4.5859593165631374E-2</v>
      </c>
      <c r="AQ178" s="376">
        <f t="shared" si="83"/>
        <v>0.95329773719692945</v>
      </c>
      <c r="AR178" s="379">
        <f t="shared" si="84"/>
        <v>0.95414040683436863</v>
      </c>
      <c r="AS178" s="376">
        <f t="shared" si="85"/>
        <v>8.4231469108808632E-4</v>
      </c>
      <c r="AT178" s="384"/>
      <c r="AU178" s="583">
        <f t="shared" si="69"/>
        <v>0.28348083435828719</v>
      </c>
      <c r="AV178" s="381">
        <f t="shared" si="95"/>
        <v>1.260500153604714</v>
      </c>
      <c r="AW178" s="376">
        <f t="shared" si="70"/>
        <v>1.2606107617740336</v>
      </c>
      <c r="AX178" s="503">
        <f t="shared" si="93"/>
        <v>1.1060205246160582E-4</v>
      </c>
      <c r="AY178" s="376">
        <f t="shared" si="71"/>
        <v>2.3833252171009178</v>
      </c>
      <c r="AZ178" s="381">
        <f t="shared" si="86"/>
        <v>4.4605790370595682E-3</v>
      </c>
      <c r="BA178" s="586">
        <f t="shared" si="87"/>
        <v>0.20399073017823666</v>
      </c>
      <c r="BB178" s="376">
        <f t="shared" si="88"/>
        <v>0.79541704634879384</v>
      </c>
      <c r="BC178" s="376">
        <f t="shared" si="89"/>
        <v>0.79600926982176334</v>
      </c>
      <c r="BD178" s="376">
        <f t="shared" si="90"/>
        <v>5.9204814326174748E-4</v>
      </c>
      <c r="BE178" s="283"/>
      <c r="BF178" s="283"/>
      <c r="BG178" s="283"/>
      <c r="BH178" s="283"/>
      <c r="BI178" s="283"/>
      <c r="BJ178" s="283"/>
      <c r="BK178" s="283"/>
      <c r="BL178" s="283"/>
      <c r="BM178" s="283"/>
      <c r="BN178" s="283"/>
      <c r="BO178" s="283"/>
      <c r="BP178" s="283"/>
      <c r="BQ178" s="283"/>
      <c r="BR178" s="283"/>
      <c r="BS178" s="283"/>
      <c r="BT178" s="283"/>
      <c r="BU178" s="283"/>
      <c r="BV178" s="283"/>
      <c r="BW178" s="283"/>
      <c r="BX178" s="283"/>
      <c r="BY178" s="283"/>
      <c r="BZ178" s="283"/>
      <c r="CA178" s="283"/>
      <c r="CB178" s="283"/>
      <c r="CC178" s="283"/>
      <c r="CD178" s="283"/>
      <c r="CE178" s="283"/>
      <c r="CF178" s="283"/>
      <c r="CG178" s="283"/>
      <c r="CH178" s="283"/>
      <c r="CI178" s="283"/>
      <c r="CJ178" s="283"/>
      <c r="CK178" s="283"/>
      <c r="CL178" s="283"/>
    </row>
    <row r="179" spans="1:90" ht="14.25" customHeight="1" x14ac:dyDescent="0.2">
      <c r="A179" s="3"/>
      <c r="B179" s="252"/>
      <c r="C179" s="3"/>
      <c r="D179" s="3"/>
      <c r="E179" s="3"/>
      <c r="F179" s="3"/>
      <c r="G179" s="252"/>
      <c r="H179" s="3"/>
      <c r="I179" s="3"/>
      <c r="J179" s="3"/>
      <c r="K179" s="3"/>
      <c r="L179" s="252"/>
      <c r="M179" s="3"/>
      <c r="N179" s="3"/>
      <c r="O179" s="3"/>
      <c r="P179" s="3"/>
      <c r="Q179" s="3"/>
      <c r="R179" s="3"/>
      <c r="S179" s="334"/>
      <c r="T179" s="373">
        <f t="shared" si="96"/>
        <v>153</v>
      </c>
      <c r="U179" s="334"/>
      <c r="V179" s="568">
        <f t="shared" si="91"/>
        <v>2.1850796081014121E-2</v>
      </c>
      <c r="W179" s="328">
        <f t="shared" si="72"/>
        <v>0.97759626540351552</v>
      </c>
      <c r="X179" s="328">
        <f t="shared" si="73"/>
        <v>0.97814920391898585</v>
      </c>
      <c r="Y179" s="328">
        <f t="shared" si="74"/>
        <v>5.5278567314154259E-4</v>
      </c>
      <c r="Z179" s="334"/>
      <c r="AA179" s="571">
        <f t="shared" si="75"/>
        <v>6.4658591384075259E-2</v>
      </c>
      <c r="AB179" s="327">
        <f t="shared" si="94"/>
        <v>0.93444405878036607</v>
      </c>
      <c r="AC179" s="327">
        <f t="shared" si="76"/>
        <v>0.93534140861592474</v>
      </c>
      <c r="AD179" s="327">
        <f t="shared" si="77"/>
        <v>8.9694733759781986E-4</v>
      </c>
      <c r="AE179" s="383"/>
      <c r="AF179" s="574">
        <f t="shared" si="66"/>
        <v>0.105181973064294</v>
      </c>
      <c r="AG179" s="376">
        <f t="shared" si="92"/>
        <v>0.89403578281882035</v>
      </c>
      <c r="AH179" s="376">
        <f t="shared" si="78"/>
        <v>0.894818026935706</v>
      </c>
      <c r="AI179" s="553">
        <f t="shared" si="79"/>
        <v>7.8193824371752818E-4</v>
      </c>
      <c r="AJ179" s="374"/>
      <c r="AK179" s="577">
        <f t="shared" si="67"/>
        <v>0.10779277499042356</v>
      </c>
      <c r="AL179" s="376">
        <f t="shared" si="80"/>
        <v>0.89153280526278189</v>
      </c>
      <c r="AM179" s="376">
        <f t="shared" si="81"/>
        <v>0.8922072250095765</v>
      </c>
      <c r="AN179" s="553">
        <f t="shared" si="82"/>
        <v>6.7419237691423994E-4</v>
      </c>
      <c r="AO179" s="554"/>
      <c r="AP179" s="580">
        <f t="shared" si="68"/>
        <v>4.5032431454829602E-2</v>
      </c>
      <c r="AQ179" s="376">
        <f t="shared" si="83"/>
        <v>0.95414040683436863</v>
      </c>
      <c r="AR179" s="379">
        <f t="shared" si="84"/>
        <v>0.9549675685451704</v>
      </c>
      <c r="AS179" s="376">
        <f t="shared" si="85"/>
        <v>8.2681970685793971E-4</v>
      </c>
      <c r="AT179" s="384"/>
      <c r="AU179" s="583">
        <f t="shared" si="69"/>
        <v>0.28345072543988964</v>
      </c>
      <c r="AV179" s="381">
        <f t="shared" si="95"/>
        <v>1.2606107617740336</v>
      </c>
      <c r="AW179" s="376">
        <f t="shared" si="70"/>
        <v>1.2607169788928569</v>
      </c>
      <c r="AX179" s="503">
        <f t="shared" si="93"/>
        <v>1.062114779848411E-4</v>
      </c>
      <c r="AY179" s="376">
        <f t="shared" si="71"/>
        <v>2.3884830435823119</v>
      </c>
      <c r="AZ179" s="381">
        <f t="shared" si="86"/>
        <v>4.4197040777069051E-3</v>
      </c>
      <c r="BA179" s="586">
        <f t="shared" si="87"/>
        <v>0.2034040693323089</v>
      </c>
      <c r="BB179" s="376">
        <f t="shared" si="88"/>
        <v>0.79600926982176334</v>
      </c>
      <c r="BC179" s="376">
        <f t="shared" si="89"/>
        <v>0.79659593066769108</v>
      </c>
      <c r="BD179" s="376">
        <f t="shared" si="90"/>
        <v>5.8648879410061472E-4</v>
      </c>
      <c r="BE179" s="283"/>
      <c r="BF179" s="283"/>
      <c r="BG179" s="283"/>
      <c r="BH179" s="283"/>
      <c r="BI179" s="283"/>
      <c r="BJ179" s="283"/>
      <c r="BK179" s="283"/>
      <c r="BL179" s="283"/>
      <c r="BM179" s="283"/>
      <c r="BN179" s="283"/>
      <c r="BO179" s="283"/>
      <c r="BP179" s="283"/>
      <c r="BQ179" s="283"/>
      <c r="BR179" s="283"/>
      <c r="BS179" s="283"/>
      <c r="BT179" s="283"/>
      <c r="BU179" s="283"/>
      <c r="BV179" s="283"/>
      <c r="BW179" s="283"/>
      <c r="BX179" s="283"/>
      <c r="BY179" s="283"/>
      <c r="BZ179" s="283"/>
      <c r="CA179" s="283"/>
      <c r="CB179" s="283"/>
      <c r="CC179" s="283"/>
      <c r="CD179" s="283"/>
      <c r="CE179" s="283"/>
      <c r="CF179" s="283"/>
      <c r="CG179" s="283"/>
      <c r="CH179" s="283"/>
      <c r="CI179" s="283"/>
      <c r="CJ179" s="283"/>
      <c r="CK179" s="283"/>
      <c r="CL179" s="283"/>
    </row>
    <row r="180" spans="1:90" ht="14.25" customHeight="1" x14ac:dyDescent="0.2">
      <c r="A180" s="3"/>
      <c r="B180" s="252"/>
      <c r="C180" s="3"/>
      <c r="D180" s="3"/>
      <c r="E180" s="3"/>
      <c r="F180" s="3"/>
      <c r="G180" s="252"/>
      <c r="H180" s="3"/>
      <c r="I180" s="3"/>
      <c r="J180" s="3"/>
      <c r="K180" s="3"/>
      <c r="L180" s="252"/>
      <c r="M180" s="3"/>
      <c r="N180" s="3"/>
      <c r="O180" s="3"/>
      <c r="P180" s="3"/>
      <c r="Q180" s="3"/>
      <c r="R180" s="3"/>
      <c r="S180" s="334"/>
      <c r="T180" s="373">
        <f t="shared" si="96"/>
        <v>154</v>
      </c>
      <c r="U180" s="334"/>
      <c r="V180" s="568">
        <f t="shared" si="91"/>
        <v>2.1311504442164866E-2</v>
      </c>
      <c r="W180" s="328">
        <f t="shared" si="72"/>
        <v>0.97814920391898585</v>
      </c>
      <c r="X180" s="328">
        <f t="shared" si="73"/>
        <v>0.9786884955578351</v>
      </c>
      <c r="Y180" s="328">
        <f t="shared" si="74"/>
        <v>5.3914624725071025E-4</v>
      </c>
      <c r="Z180" s="334"/>
      <c r="AA180" s="571">
        <f t="shared" si="75"/>
        <v>6.3774848399351186E-2</v>
      </c>
      <c r="AB180" s="327">
        <f t="shared" si="94"/>
        <v>0.93534140861592474</v>
      </c>
      <c r="AC180" s="327">
        <f t="shared" si="76"/>
        <v>0.93622515160064879</v>
      </c>
      <c r="AD180" s="327">
        <f t="shared" si="77"/>
        <v>8.8335259890126583E-4</v>
      </c>
      <c r="AE180" s="383"/>
      <c r="AF180" s="574">
        <f t="shared" si="66"/>
        <v>0.10440897149717365</v>
      </c>
      <c r="AG180" s="376">
        <f t="shared" si="92"/>
        <v>0.894818026935706</v>
      </c>
      <c r="AH180" s="376">
        <f t="shared" si="78"/>
        <v>0.89559102850282635</v>
      </c>
      <c r="AI180" s="553">
        <f t="shared" si="79"/>
        <v>7.7270287837616358E-4</v>
      </c>
      <c r="AJ180" s="374"/>
      <c r="AK180" s="577">
        <f t="shared" si="67"/>
        <v>0.10712640245014458</v>
      </c>
      <c r="AL180" s="376">
        <f t="shared" si="80"/>
        <v>0.8922072250095765</v>
      </c>
      <c r="AM180" s="376">
        <f t="shared" si="81"/>
        <v>0.8928735975498554</v>
      </c>
      <c r="AN180" s="553">
        <f t="shared" si="82"/>
        <v>6.6615056340679768E-4</v>
      </c>
      <c r="AO180" s="554"/>
      <c r="AP180" s="580">
        <f t="shared" si="68"/>
        <v>4.4220483633737206E-2</v>
      </c>
      <c r="AQ180" s="376">
        <f t="shared" si="83"/>
        <v>0.9549675685451704</v>
      </c>
      <c r="AR180" s="379">
        <f t="shared" si="84"/>
        <v>0.95577951636626279</v>
      </c>
      <c r="AS180" s="376">
        <f t="shared" si="85"/>
        <v>8.1161828065623443E-4</v>
      </c>
      <c r="AT180" s="384"/>
      <c r="AU180" s="583">
        <f t="shared" si="69"/>
        <v>0.28342181483001733</v>
      </c>
      <c r="AV180" s="381">
        <f t="shared" si="95"/>
        <v>1.2607169788928569</v>
      </c>
      <c r="AW180" s="376">
        <f t="shared" si="70"/>
        <v>1.2608189792821636</v>
      </c>
      <c r="AX180" s="503">
        <f t="shared" si="93"/>
        <v>1.0199518744380409E-4</v>
      </c>
      <c r="AY180" s="376">
        <f t="shared" si="71"/>
        <v>2.3936072683497978</v>
      </c>
      <c r="AZ180" s="381">
        <f t="shared" si="86"/>
        <v>4.3794663234846881E-3</v>
      </c>
      <c r="BA180" s="586">
        <f t="shared" si="87"/>
        <v>0.20282288323501202</v>
      </c>
      <c r="BB180" s="376">
        <f t="shared" si="88"/>
        <v>0.79659593066769108</v>
      </c>
      <c r="BC180" s="376">
        <f t="shared" si="89"/>
        <v>0.79717711676498793</v>
      </c>
      <c r="BD180" s="376">
        <f t="shared" si="90"/>
        <v>5.8101724137082922E-4</v>
      </c>
      <c r="BE180" s="283"/>
      <c r="BF180" s="283"/>
      <c r="BG180" s="283"/>
      <c r="BH180" s="283"/>
      <c r="BI180" s="283"/>
      <c r="BJ180" s="283"/>
      <c r="BK180" s="283"/>
      <c r="BL180" s="283"/>
      <c r="BM180" s="283"/>
      <c r="BN180" s="283"/>
      <c r="BO180" s="283"/>
      <c r="BP180" s="283"/>
      <c r="BQ180" s="283"/>
      <c r="BR180" s="283"/>
      <c r="BS180" s="283"/>
      <c r="BT180" s="283"/>
      <c r="BU180" s="283"/>
      <c r="BV180" s="283"/>
      <c r="BW180" s="283"/>
      <c r="BX180" s="283"/>
      <c r="BY180" s="283"/>
      <c r="BZ180" s="283"/>
      <c r="CA180" s="283"/>
      <c r="CB180" s="283"/>
      <c r="CC180" s="283"/>
      <c r="CD180" s="283"/>
      <c r="CE180" s="283"/>
      <c r="CF180" s="283"/>
      <c r="CG180" s="283"/>
      <c r="CH180" s="283"/>
      <c r="CI180" s="283"/>
      <c r="CJ180" s="283"/>
      <c r="CK180" s="283"/>
      <c r="CL180" s="283"/>
    </row>
    <row r="181" spans="1:90" ht="14.25" customHeight="1" x14ac:dyDescent="0.2">
      <c r="A181" s="3"/>
      <c r="B181" s="252"/>
      <c r="C181" s="3"/>
      <c r="D181" s="3"/>
      <c r="E181" s="3"/>
      <c r="F181" s="3"/>
      <c r="G181" s="252"/>
      <c r="H181" s="3"/>
      <c r="I181" s="3"/>
      <c r="J181" s="3"/>
      <c r="K181" s="3"/>
      <c r="L181" s="252"/>
      <c r="M181" s="3"/>
      <c r="N181" s="3"/>
      <c r="O181" s="3"/>
      <c r="P181" s="3"/>
      <c r="Q181" s="3"/>
      <c r="R181" s="3"/>
      <c r="S181" s="334"/>
      <c r="T181" s="373">
        <f t="shared" si="96"/>
        <v>155</v>
      </c>
      <c r="U181" s="334"/>
      <c r="V181" s="568">
        <f t="shared" si="91"/>
        <v>2.078552286628331E-2</v>
      </c>
      <c r="W181" s="328">
        <f t="shared" si="72"/>
        <v>0.9786884955578351</v>
      </c>
      <c r="X181" s="328">
        <f t="shared" si="73"/>
        <v>0.97921447713371668</v>
      </c>
      <c r="Y181" s="328">
        <f t="shared" si="74"/>
        <v>5.2584327182203516E-4</v>
      </c>
      <c r="Z181" s="334"/>
      <c r="AA181" s="571">
        <f t="shared" si="75"/>
        <v>6.2904479429897117E-2</v>
      </c>
      <c r="AB181" s="327">
        <f t="shared" si="94"/>
        <v>0.93622515160064879</v>
      </c>
      <c r="AC181" s="327">
        <f t="shared" si="76"/>
        <v>0.93709552057010292</v>
      </c>
      <c r="AD181" s="327">
        <f t="shared" si="77"/>
        <v>8.6999030824896906E-4</v>
      </c>
      <c r="AE181" s="383"/>
      <c r="AF181" s="574">
        <f t="shared" si="66"/>
        <v>0.10364505811587832</v>
      </c>
      <c r="AG181" s="376">
        <f t="shared" si="92"/>
        <v>0.89559102850282635</v>
      </c>
      <c r="AH181" s="376">
        <f t="shared" si="78"/>
        <v>0.89635494188412168</v>
      </c>
      <c r="AI181" s="553">
        <f t="shared" si="79"/>
        <v>7.636216737527679E-4</v>
      </c>
      <c r="AJ181" s="374"/>
      <c r="AK181" s="577">
        <f t="shared" si="67"/>
        <v>0.10646793584935409</v>
      </c>
      <c r="AL181" s="376">
        <f t="shared" si="80"/>
        <v>0.8928735975498554</v>
      </c>
      <c r="AM181" s="376">
        <f t="shared" si="81"/>
        <v>0.8935320641506459</v>
      </c>
      <c r="AN181" s="553">
        <f t="shared" si="82"/>
        <v>6.5824985923323975E-4</v>
      </c>
      <c r="AO181" s="554"/>
      <c r="AP181" s="580">
        <f t="shared" si="68"/>
        <v>4.3423461504544347E-2</v>
      </c>
      <c r="AQ181" s="376">
        <f t="shared" si="83"/>
        <v>0.95577951636626279</v>
      </c>
      <c r="AR181" s="379">
        <f t="shared" si="84"/>
        <v>0.95657653849545565</v>
      </c>
      <c r="AS181" s="376">
        <f t="shared" si="85"/>
        <v>7.9670459142278105E-4</v>
      </c>
      <c r="AT181" s="384"/>
      <c r="AU181" s="583">
        <f t="shared" si="69"/>
        <v>0.28339405472230939</v>
      </c>
      <c r="AV181" s="381">
        <f t="shared" si="95"/>
        <v>1.2608189792821636</v>
      </c>
      <c r="AW181" s="376">
        <f t="shared" si="70"/>
        <v>1.2609169303425389</v>
      </c>
      <c r="AX181" s="503">
        <f t="shared" si="93"/>
        <v>9.7946263326820215E-5</v>
      </c>
      <c r="AY181" s="376">
        <f t="shared" si="71"/>
        <v>2.3986983263816022</v>
      </c>
      <c r="AZ181" s="381">
        <f t="shared" si="86"/>
        <v>4.3398517993089511E-3</v>
      </c>
      <c r="BA181" s="586">
        <f t="shared" si="87"/>
        <v>0.20224708595131366</v>
      </c>
      <c r="BB181" s="376">
        <f t="shared" si="88"/>
        <v>0.79717711676498793</v>
      </c>
      <c r="BC181" s="376">
        <f t="shared" si="89"/>
        <v>0.79775291404868631</v>
      </c>
      <c r="BD181" s="376">
        <f t="shared" si="90"/>
        <v>5.7563154425477325E-4</v>
      </c>
      <c r="BE181" s="283"/>
      <c r="BF181" s="283"/>
      <c r="BG181" s="283"/>
      <c r="BH181" s="283"/>
      <c r="BI181" s="283"/>
      <c r="BJ181" s="283"/>
      <c r="BK181" s="283"/>
      <c r="BL181" s="283"/>
      <c r="BM181" s="283"/>
      <c r="BN181" s="283"/>
      <c r="BO181" s="283"/>
      <c r="BP181" s="283"/>
      <c r="BQ181" s="283"/>
      <c r="BR181" s="283"/>
      <c r="BS181" s="283"/>
      <c r="BT181" s="283"/>
      <c r="BU181" s="283"/>
      <c r="BV181" s="283"/>
      <c r="BW181" s="283"/>
      <c r="BX181" s="283"/>
      <c r="BY181" s="283"/>
      <c r="BZ181" s="283"/>
      <c r="CA181" s="283"/>
      <c r="CB181" s="283"/>
      <c r="CC181" s="283"/>
      <c r="CD181" s="283"/>
      <c r="CE181" s="283"/>
      <c r="CF181" s="283"/>
      <c r="CG181" s="283"/>
      <c r="CH181" s="283"/>
      <c r="CI181" s="283"/>
      <c r="CJ181" s="283"/>
      <c r="CK181" s="283"/>
      <c r="CL181" s="283"/>
    </row>
    <row r="182" spans="1:90" ht="14.25" customHeight="1" x14ac:dyDescent="0.2">
      <c r="A182" s="3"/>
      <c r="B182" s="252"/>
      <c r="C182" s="3"/>
      <c r="D182" s="3"/>
      <c r="E182" s="3"/>
      <c r="F182" s="3"/>
      <c r="G182" s="252"/>
      <c r="H182" s="3"/>
      <c r="I182" s="3"/>
      <c r="J182" s="3"/>
      <c r="K182" s="3"/>
      <c r="L182" s="252"/>
      <c r="M182" s="3"/>
      <c r="N182" s="3"/>
      <c r="O182" s="3"/>
      <c r="P182" s="3"/>
      <c r="Q182" s="3"/>
      <c r="R182" s="3"/>
      <c r="S182" s="334"/>
      <c r="T182" s="373">
        <f t="shared" si="96"/>
        <v>156</v>
      </c>
      <c r="U182" s="334"/>
      <c r="V182" s="568">
        <f t="shared" si="91"/>
        <v>2.0272522852492675E-2</v>
      </c>
      <c r="W182" s="328">
        <f t="shared" si="72"/>
        <v>0.97921447713371668</v>
      </c>
      <c r="X182" s="328">
        <f t="shared" si="73"/>
        <v>0.9797274771475073</v>
      </c>
      <c r="Y182" s="328">
        <f t="shared" si="74"/>
        <v>5.1286845178166729E-4</v>
      </c>
      <c r="Z182" s="334"/>
      <c r="AA182" s="571">
        <f t="shared" si="75"/>
        <v>6.204725622158317E-2</v>
      </c>
      <c r="AB182" s="327">
        <f t="shared" si="94"/>
        <v>0.93709552057010292</v>
      </c>
      <c r="AC182" s="327">
        <f t="shared" si="76"/>
        <v>0.93795274377841686</v>
      </c>
      <c r="AD182" s="327">
        <f t="shared" si="77"/>
        <v>8.5685589746276047E-4</v>
      </c>
      <c r="AE182" s="383"/>
      <c r="AF182" s="574">
        <f t="shared" si="66"/>
        <v>0.10289008192779181</v>
      </c>
      <c r="AG182" s="376">
        <f t="shared" si="92"/>
        <v>0.89635494188412168</v>
      </c>
      <c r="AH182" s="376">
        <f t="shared" si="78"/>
        <v>0.89710991807220819</v>
      </c>
      <c r="AI182" s="553">
        <f t="shared" si="79"/>
        <v>7.546912652720561E-4</v>
      </c>
      <c r="AJ182" s="374"/>
      <c r="AK182" s="577">
        <f t="shared" si="67"/>
        <v>0.10581723718339235</v>
      </c>
      <c r="AL182" s="376">
        <f t="shared" si="80"/>
        <v>0.8935320641506459</v>
      </c>
      <c r="AM182" s="376">
        <f t="shared" si="81"/>
        <v>0.89418276281660769</v>
      </c>
      <c r="AN182" s="553">
        <f t="shared" si="82"/>
        <v>6.504870074959257E-4</v>
      </c>
      <c r="AO182" s="554"/>
      <c r="AP182" s="580">
        <f t="shared" si="68"/>
        <v>4.2641082583913636E-2</v>
      </c>
      <c r="AQ182" s="376">
        <f t="shared" si="83"/>
        <v>0.95657653849545565</v>
      </c>
      <c r="AR182" s="379">
        <f t="shared" si="84"/>
        <v>0.95735891741608636</v>
      </c>
      <c r="AS182" s="376">
        <f t="shared" si="85"/>
        <v>7.8207294204524214E-4</v>
      </c>
      <c r="AT182" s="384"/>
      <c r="AU182" s="583">
        <f t="shared" si="69"/>
        <v>0.28336739922656129</v>
      </c>
      <c r="AV182" s="381">
        <f t="shared" si="95"/>
        <v>1.2609169303425389</v>
      </c>
      <c r="AW182" s="376">
        <f t="shared" si="70"/>
        <v>1.2610109928289062</v>
      </c>
      <c r="AX182" s="503">
        <f t="shared" si="93"/>
        <v>9.4058062630297812E-5</v>
      </c>
      <c r="AY182" s="376">
        <f t="shared" si="71"/>
        <v>2.4037566442639742</v>
      </c>
      <c r="AZ182" s="381">
        <f t="shared" si="86"/>
        <v>4.3008469240998536E-3</v>
      </c>
      <c r="BA182" s="586">
        <f t="shared" si="87"/>
        <v>0.20167659343447575</v>
      </c>
      <c r="BB182" s="376">
        <f t="shared" si="88"/>
        <v>0.79775291404868631</v>
      </c>
      <c r="BC182" s="376">
        <f t="shared" si="89"/>
        <v>0.79832340656552425</v>
      </c>
      <c r="BD182" s="376">
        <f t="shared" si="90"/>
        <v>5.703298169231763E-4</v>
      </c>
      <c r="BE182" s="283"/>
      <c r="BF182" s="283"/>
      <c r="BG182" s="283"/>
      <c r="BH182" s="283"/>
      <c r="BI182" s="283"/>
      <c r="BJ182" s="283"/>
      <c r="BK182" s="283"/>
      <c r="BL182" s="283"/>
      <c r="BM182" s="283"/>
      <c r="BN182" s="283"/>
      <c r="BO182" s="283"/>
      <c r="BP182" s="283"/>
      <c r="BQ182" s="283"/>
      <c r="BR182" s="283"/>
      <c r="BS182" s="283"/>
      <c r="BT182" s="283"/>
      <c r="BU182" s="283"/>
      <c r="BV182" s="283"/>
      <c r="BW182" s="283"/>
      <c r="BX182" s="283"/>
      <c r="BY182" s="283"/>
      <c r="BZ182" s="283"/>
      <c r="CA182" s="283"/>
      <c r="CB182" s="283"/>
      <c r="CC182" s="283"/>
      <c r="CD182" s="283"/>
      <c r="CE182" s="283"/>
      <c r="CF182" s="283"/>
      <c r="CG182" s="283"/>
      <c r="CH182" s="283"/>
      <c r="CI182" s="283"/>
      <c r="CJ182" s="283"/>
      <c r="CK182" s="283"/>
      <c r="CL182" s="283"/>
    </row>
    <row r="183" spans="1:90" ht="14.25" customHeight="1" x14ac:dyDescent="0.2">
      <c r="A183" s="3"/>
      <c r="B183" s="252"/>
      <c r="C183" s="3"/>
      <c r="D183" s="3"/>
      <c r="E183" s="3"/>
      <c r="F183" s="3"/>
      <c r="G183" s="252"/>
      <c r="H183" s="3"/>
      <c r="I183" s="3"/>
      <c r="J183" s="3"/>
      <c r="K183" s="3"/>
      <c r="L183" s="252"/>
      <c r="M183" s="3"/>
      <c r="N183" s="3"/>
      <c r="O183" s="3"/>
      <c r="P183" s="3"/>
      <c r="Q183" s="3"/>
      <c r="R183" s="3"/>
      <c r="S183" s="334"/>
      <c r="T183" s="373">
        <f t="shared" si="96"/>
        <v>157</v>
      </c>
      <c r="U183" s="334"/>
      <c r="V183" s="568">
        <f t="shared" si="91"/>
        <v>1.977218400752816E-2</v>
      </c>
      <c r="W183" s="328">
        <f t="shared" si="72"/>
        <v>0.9797274771475073</v>
      </c>
      <c r="X183" s="328">
        <f t="shared" si="73"/>
        <v>0.98022781599247188</v>
      </c>
      <c r="Y183" s="328">
        <f t="shared" si="74"/>
        <v>5.0021369635777635E-4</v>
      </c>
      <c r="Z183" s="334"/>
      <c r="AA183" s="571">
        <f t="shared" si="75"/>
        <v>6.1202954996424024E-2</v>
      </c>
      <c r="AB183" s="327">
        <f t="shared" si="94"/>
        <v>0.93795274377841686</v>
      </c>
      <c r="AC183" s="327">
        <f t="shared" si="76"/>
        <v>0.93879704500357597</v>
      </c>
      <c r="AD183" s="327">
        <f t="shared" si="77"/>
        <v>8.4394490316774817E-4</v>
      </c>
      <c r="AE183" s="383"/>
      <c r="AF183" s="574">
        <f t="shared" si="66"/>
        <v>0.10214389522019451</v>
      </c>
      <c r="AG183" s="376">
        <f t="shared" si="92"/>
        <v>0.89710991807220819</v>
      </c>
      <c r="AH183" s="376">
        <f t="shared" si="78"/>
        <v>0.89785610477980549</v>
      </c>
      <c r="AI183" s="553">
        <f t="shared" si="79"/>
        <v>7.4590837952859257E-4</v>
      </c>
      <c r="AJ183" s="374"/>
      <c r="AK183" s="577">
        <f t="shared" si="67"/>
        <v>0.10517417161681678</v>
      </c>
      <c r="AL183" s="376">
        <f t="shared" si="80"/>
        <v>0.89418276281660769</v>
      </c>
      <c r="AM183" s="376">
        <f t="shared" si="81"/>
        <v>0.89482582838318325</v>
      </c>
      <c r="AN183" s="553">
        <f t="shared" si="82"/>
        <v>6.4285884422843331E-4</v>
      </c>
      <c r="AO183" s="554"/>
      <c r="AP183" s="580">
        <f t="shared" si="68"/>
        <v>4.1873069981298139E-2</v>
      </c>
      <c r="AQ183" s="376">
        <f t="shared" si="83"/>
        <v>0.95735891741608636</v>
      </c>
      <c r="AR183" s="379">
        <f t="shared" si="84"/>
        <v>0.95812693001870186</v>
      </c>
      <c r="AS183" s="376">
        <f t="shared" si="85"/>
        <v>7.6771775642325846E-4</v>
      </c>
      <c r="AT183" s="384"/>
      <c r="AU183" s="583">
        <f t="shared" si="69"/>
        <v>0.28334180429122779</v>
      </c>
      <c r="AV183" s="381">
        <f t="shared" si="95"/>
        <v>1.2610109928289062</v>
      </c>
      <c r="AW183" s="376">
        <f t="shared" si="70"/>
        <v>1.2611013211143549</v>
      </c>
      <c r="AX183" s="503">
        <f t="shared" si="93"/>
        <v>9.03242059719922E-5</v>
      </c>
      <c r="AY183" s="376">
        <f t="shared" si="71"/>
        <v>2.4087826404056782</v>
      </c>
      <c r="AZ183" s="381">
        <f t="shared" si="86"/>
        <v>4.2624384972377556E-3</v>
      </c>
      <c r="BA183" s="586">
        <f t="shared" si="87"/>
        <v>0.20111132347286928</v>
      </c>
      <c r="BB183" s="376">
        <f t="shared" si="88"/>
        <v>0.79832340656552425</v>
      </c>
      <c r="BC183" s="376">
        <f t="shared" si="89"/>
        <v>0.79888867652713069</v>
      </c>
      <c r="BD183" s="376">
        <f t="shared" si="90"/>
        <v>5.6511022664085253E-4</v>
      </c>
      <c r="BE183" s="283"/>
      <c r="BF183" s="283"/>
      <c r="BG183" s="283"/>
      <c r="BH183" s="283"/>
      <c r="BI183" s="283"/>
      <c r="BJ183" s="283"/>
      <c r="BK183" s="283"/>
      <c r="BL183" s="283"/>
      <c r="BM183" s="283"/>
      <c r="BN183" s="283"/>
      <c r="BO183" s="283"/>
      <c r="BP183" s="283"/>
      <c r="BQ183" s="283"/>
      <c r="BR183" s="283"/>
      <c r="BS183" s="283"/>
      <c r="BT183" s="283"/>
      <c r="BU183" s="283"/>
      <c r="BV183" s="283"/>
      <c r="BW183" s="283"/>
      <c r="BX183" s="283"/>
      <c r="BY183" s="283"/>
      <c r="BZ183" s="283"/>
      <c r="CA183" s="283"/>
      <c r="CB183" s="283"/>
      <c r="CC183" s="283"/>
      <c r="CD183" s="283"/>
      <c r="CE183" s="283"/>
      <c r="CF183" s="283"/>
      <c r="CG183" s="283"/>
      <c r="CH183" s="283"/>
      <c r="CI183" s="283"/>
      <c r="CJ183" s="283"/>
      <c r="CK183" s="283"/>
      <c r="CL183" s="283"/>
    </row>
    <row r="184" spans="1:90" ht="14.25" customHeight="1" x14ac:dyDescent="0.2">
      <c r="A184" s="3"/>
      <c r="B184" s="252"/>
      <c r="C184" s="3"/>
      <c r="D184" s="3"/>
      <c r="E184" s="3"/>
      <c r="F184" s="3"/>
      <c r="G184" s="252"/>
      <c r="H184" s="3"/>
      <c r="I184" s="3"/>
      <c r="J184" s="3"/>
      <c r="K184" s="3"/>
      <c r="L184" s="252"/>
      <c r="M184" s="3"/>
      <c r="N184" s="3"/>
      <c r="O184" s="3"/>
      <c r="P184" s="3"/>
      <c r="Q184" s="3"/>
      <c r="R184" s="3"/>
      <c r="S184" s="334"/>
      <c r="T184" s="373">
        <f t="shared" si="96"/>
        <v>158</v>
      </c>
      <c r="U184" s="334"/>
      <c r="V184" s="568">
        <f t="shared" si="91"/>
        <v>1.9284193845635896E-2</v>
      </c>
      <c r="W184" s="328">
        <f t="shared" si="72"/>
        <v>0.98022781599247188</v>
      </c>
      <c r="X184" s="328">
        <f t="shared" si="73"/>
        <v>0.98071580615436416</v>
      </c>
      <c r="Y184" s="328">
        <f t="shared" si="74"/>
        <v>4.8787111405868E-4</v>
      </c>
      <c r="Z184" s="334"/>
      <c r="AA184" s="571">
        <f t="shared" si="75"/>
        <v>6.0371356350139578E-2</v>
      </c>
      <c r="AB184" s="327">
        <f t="shared" si="94"/>
        <v>0.93879704500357597</v>
      </c>
      <c r="AC184" s="327">
        <f t="shared" si="76"/>
        <v>0.93962864364986043</v>
      </c>
      <c r="AD184" s="327">
        <f t="shared" si="77"/>
        <v>8.3125296395980541E-4</v>
      </c>
      <c r="AE184" s="383"/>
      <c r="AF184" s="574">
        <f t="shared" si="66"/>
        <v>0.10140635347180593</v>
      </c>
      <c r="AG184" s="376">
        <f t="shared" si="92"/>
        <v>0.89785610477980549</v>
      </c>
      <c r="AH184" s="376">
        <f t="shared" si="78"/>
        <v>0.89859364652819407</v>
      </c>
      <c r="AI184" s="553">
        <f t="shared" si="79"/>
        <v>7.3726983132749169E-4</v>
      </c>
      <c r="AJ184" s="374"/>
      <c r="AK184" s="577">
        <f t="shared" si="67"/>
        <v>0.10453860739341339</v>
      </c>
      <c r="AL184" s="376">
        <f t="shared" si="80"/>
        <v>0.89482582838318325</v>
      </c>
      <c r="AM184" s="376">
        <f t="shared" si="81"/>
        <v>0.89546139260658664</v>
      </c>
      <c r="AN184" s="553">
        <f t="shared" si="82"/>
        <v>6.3536229524407961E-4</v>
      </c>
      <c r="AO184" s="554"/>
      <c r="AP184" s="580">
        <f t="shared" si="68"/>
        <v>4.1119152280150506E-2</v>
      </c>
      <c r="AQ184" s="376">
        <f t="shared" si="83"/>
        <v>0.95812693001870186</v>
      </c>
      <c r="AR184" s="379">
        <f t="shared" si="84"/>
        <v>0.95888084771984949</v>
      </c>
      <c r="AS184" s="376">
        <f t="shared" si="85"/>
        <v>7.5363357660429564E-4</v>
      </c>
      <c r="AT184" s="384"/>
      <c r="AU184" s="583">
        <f t="shared" si="69"/>
        <v>0.28331722762911488</v>
      </c>
      <c r="AV184" s="381">
        <f t="shared" si="95"/>
        <v>1.2611013211143549</v>
      </c>
      <c r="AW184" s="376">
        <f t="shared" si="70"/>
        <v>1.2611880634434942</v>
      </c>
      <c r="AX184" s="503">
        <f t="shared" si="93"/>
        <v>8.6738567132260691E-5</v>
      </c>
      <c r="AY184" s="376">
        <f t="shared" si="71"/>
        <v>2.4137767252456794</v>
      </c>
      <c r="AZ184" s="381">
        <f t="shared" si="86"/>
        <v>4.2246136855675145E-3</v>
      </c>
      <c r="BA184" s="586">
        <f t="shared" si="87"/>
        <v>0.20055119563861271</v>
      </c>
      <c r="BB184" s="376">
        <f t="shared" si="88"/>
        <v>0.79888867652713069</v>
      </c>
      <c r="BC184" s="376">
        <f t="shared" si="89"/>
        <v>0.79944880436138732</v>
      </c>
      <c r="BD184" s="376">
        <f t="shared" si="90"/>
        <v>5.5997099194660116E-4</v>
      </c>
      <c r="BE184" s="283"/>
      <c r="BF184" s="283"/>
      <c r="BG184" s="283"/>
      <c r="BH184" s="283"/>
      <c r="BI184" s="283"/>
      <c r="BJ184" s="283"/>
      <c r="BK184" s="283"/>
      <c r="BL184" s="283"/>
      <c r="BM184" s="283"/>
      <c r="BN184" s="283"/>
      <c r="BO184" s="283"/>
      <c r="BP184" s="283"/>
      <c r="BQ184" s="283"/>
      <c r="BR184" s="283"/>
      <c r="BS184" s="283"/>
      <c r="BT184" s="283"/>
      <c r="BU184" s="283"/>
      <c r="BV184" s="283"/>
      <c r="BW184" s="283"/>
      <c r="BX184" s="283"/>
      <c r="BY184" s="283"/>
      <c r="BZ184" s="283"/>
      <c r="CA184" s="283"/>
      <c r="CB184" s="283"/>
      <c r="CC184" s="283"/>
      <c r="CD184" s="283"/>
      <c r="CE184" s="283"/>
      <c r="CF184" s="283"/>
      <c r="CG184" s="283"/>
      <c r="CH184" s="283"/>
      <c r="CI184" s="283"/>
      <c r="CJ184" s="283"/>
      <c r="CK184" s="283"/>
      <c r="CL184" s="283"/>
    </row>
    <row r="185" spans="1:90" ht="14.25" customHeight="1" x14ac:dyDescent="0.2">
      <c r="A185" s="3"/>
      <c r="B185" s="252"/>
      <c r="C185" s="3"/>
      <c r="D185" s="3"/>
      <c r="E185" s="3"/>
      <c r="F185" s="3"/>
      <c r="G185" s="252"/>
      <c r="H185" s="3"/>
      <c r="I185" s="3"/>
      <c r="J185" s="3"/>
      <c r="K185" s="3"/>
      <c r="L185" s="252"/>
      <c r="M185" s="3"/>
      <c r="N185" s="3"/>
      <c r="O185" s="3"/>
      <c r="P185" s="3"/>
      <c r="Q185" s="3"/>
      <c r="R185" s="3"/>
      <c r="S185" s="334"/>
      <c r="T185" s="373">
        <f t="shared" si="96"/>
        <v>159</v>
      </c>
      <c r="U185" s="334"/>
      <c r="V185" s="568">
        <f t="shared" si="91"/>
        <v>1.8808247593410512E-2</v>
      </c>
      <c r="W185" s="328">
        <f t="shared" si="72"/>
        <v>0.98071580615436416</v>
      </c>
      <c r="X185" s="328">
        <f t="shared" si="73"/>
        <v>0.98119175240658951</v>
      </c>
      <c r="Y185" s="328">
        <f t="shared" si="74"/>
        <v>4.7583300777465087E-4</v>
      </c>
      <c r="Z185" s="334"/>
      <c r="AA185" s="571">
        <f t="shared" si="75"/>
        <v>5.9552245152475064E-2</v>
      </c>
      <c r="AB185" s="327">
        <f t="shared" si="94"/>
        <v>0.93962864364986043</v>
      </c>
      <c r="AC185" s="327">
        <f t="shared" si="76"/>
        <v>0.94044775484752496</v>
      </c>
      <c r="AD185" s="327">
        <f t="shared" si="77"/>
        <v>8.1877581766487406E-4</v>
      </c>
      <c r="AE185" s="383"/>
      <c r="AF185" s="574">
        <f t="shared" si="66"/>
        <v>0.10067731526718326</v>
      </c>
      <c r="AG185" s="376">
        <f t="shared" si="92"/>
        <v>0.89859364652819407</v>
      </c>
      <c r="AH185" s="376">
        <f t="shared" si="78"/>
        <v>0.89932268473281674</v>
      </c>
      <c r="AI185" s="553">
        <f t="shared" si="79"/>
        <v>7.2877252083924926E-4</v>
      </c>
      <c r="AJ185" s="374"/>
      <c r="AK185" s="577">
        <f t="shared" si="67"/>
        <v>0.1039104157492446</v>
      </c>
      <c r="AL185" s="376">
        <f t="shared" si="80"/>
        <v>0.89546139260658664</v>
      </c>
      <c r="AM185" s="376">
        <f t="shared" si="81"/>
        <v>0.89608958425075536</v>
      </c>
      <c r="AN185" s="553">
        <f t="shared" si="82"/>
        <v>6.2799437310800954E-4</v>
      </c>
      <c r="AO185" s="554"/>
      <c r="AP185" s="580">
        <f t="shared" si="68"/>
        <v>4.0379063421934092E-2</v>
      </c>
      <c r="AQ185" s="376">
        <f t="shared" si="83"/>
        <v>0.95888084771984949</v>
      </c>
      <c r="AR185" s="379">
        <f t="shared" si="84"/>
        <v>0.95962093657806591</v>
      </c>
      <c r="AS185" s="376">
        <f t="shared" si="85"/>
        <v>7.398150600065323E-4</v>
      </c>
      <c r="AT185" s="384"/>
      <c r="AU185" s="583">
        <f t="shared" si="69"/>
        <v>0.28329362864612417</v>
      </c>
      <c r="AV185" s="381">
        <f t="shared" si="95"/>
        <v>1.2611880634434942</v>
      </c>
      <c r="AW185" s="376">
        <f t="shared" si="70"/>
        <v>1.2612713621757476</v>
      </c>
      <c r="AX185" s="503">
        <f t="shared" si="93"/>
        <v>8.3295263010318976E-5</v>
      </c>
      <c r="AY185" s="376">
        <f t="shared" si="71"/>
        <v>2.4187393014542775</v>
      </c>
      <c r="AZ185" s="381">
        <f t="shared" si="86"/>
        <v>4.1873600109255229E-3</v>
      </c>
      <c r="BA185" s="586">
        <f t="shared" si="87"/>
        <v>0.19999613123795965</v>
      </c>
      <c r="BB185" s="376">
        <f t="shared" si="88"/>
        <v>0.79944880436138732</v>
      </c>
      <c r="BC185" s="376">
        <f t="shared" si="89"/>
        <v>0.80000386876204033</v>
      </c>
      <c r="BD185" s="376">
        <f t="shared" si="90"/>
        <v>5.5491038090682565E-4</v>
      </c>
      <c r="BE185" s="283"/>
      <c r="BF185" s="283"/>
      <c r="BG185" s="283"/>
      <c r="BH185" s="283"/>
      <c r="BI185" s="283"/>
      <c r="BJ185" s="283"/>
      <c r="BK185" s="283"/>
      <c r="BL185" s="283"/>
      <c r="BM185" s="283"/>
      <c r="BN185" s="283"/>
      <c r="BO185" s="283"/>
      <c r="BP185" s="283"/>
      <c r="BQ185" s="283"/>
      <c r="BR185" s="283"/>
      <c r="BS185" s="283"/>
      <c r="BT185" s="283"/>
      <c r="BU185" s="283"/>
      <c r="BV185" s="283"/>
      <c r="BW185" s="283"/>
      <c r="BX185" s="283"/>
      <c r="BY185" s="283"/>
      <c r="BZ185" s="283"/>
      <c r="CA185" s="283"/>
      <c r="CB185" s="283"/>
      <c r="CC185" s="283"/>
      <c r="CD185" s="283"/>
      <c r="CE185" s="283"/>
      <c r="CF185" s="283"/>
      <c r="CG185" s="283"/>
      <c r="CH185" s="283"/>
      <c r="CI185" s="283"/>
      <c r="CJ185" s="283"/>
      <c r="CK185" s="283"/>
      <c r="CL185" s="283"/>
    </row>
    <row r="186" spans="1:90" ht="14.25" customHeight="1" x14ac:dyDescent="0.2">
      <c r="A186" s="3"/>
      <c r="B186" s="252"/>
      <c r="C186" s="3"/>
      <c r="D186" s="3"/>
      <c r="E186" s="3"/>
      <c r="F186" s="3"/>
      <c r="G186" s="252"/>
      <c r="H186" s="3"/>
      <c r="I186" s="3"/>
      <c r="J186" s="3"/>
      <c r="K186" s="3"/>
      <c r="L186" s="252"/>
      <c r="M186" s="3"/>
      <c r="N186" s="3"/>
      <c r="O186" s="3"/>
      <c r="P186" s="3"/>
      <c r="Q186" s="3"/>
      <c r="R186" s="3"/>
      <c r="S186" s="334"/>
      <c r="T186" s="373">
        <f t="shared" si="96"/>
        <v>160</v>
      </c>
      <c r="U186" s="334"/>
      <c r="V186" s="568">
        <f t="shared" si="91"/>
        <v>1.8344047999449442E-2</v>
      </c>
      <c r="W186" s="328">
        <f t="shared" si="72"/>
        <v>0.98119175240658951</v>
      </c>
      <c r="X186" s="328">
        <f t="shared" si="73"/>
        <v>0.98165595200055056</v>
      </c>
      <c r="Y186" s="328">
        <f t="shared" si="74"/>
        <v>4.640918699986285E-4</v>
      </c>
      <c r="Z186" s="334"/>
      <c r="AA186" s="571">
        <f t="shared" si="75"/>
        <v>5.874541045019329E-2</v>
      </c>
      <c r="AB186" s="327">
        <f t="shared" si="94"/>
        <v>0.94044775484752496</v>
      </c>
      <c r="AC186" s="327">
        <f t="shared" si="76"/>
        <v>0.94125458954980668</v>
      </c>
      <c r="AD186" s="327">
        <f t="shared" si="77"/>
        <v>8.0650929868486543E-4</v>
      </c>
      <c r="AE186" s="383"/>
      <c r="AF186" s="574">
        <f t="shared" si="66"/>
        <v>9.9956642213868463E-2</v>
      </c>
      <c r="AG186" s="376">
        <f t="shared" si="92"/>
        <v>0.89932268473281674</v>
      </c>
      <c r="AH186" s="376">
        <f t="shared" si="78"/>
        <v>0.90004335778613154</v>
      </c>
      <c r="AI186" s="553">
        <f t="shared" si="79"/>
        <v>7.2041343086126641E-4</v>
      </c>
      <c r="AJ186" s="374"/>
      <c r="AK186" s="577">
        <f t="shared" si="67"/>
        <v>0.10328947082861603</v>
      </c>
      <c r="AL186" s="376">
        <f t="shared" si="80"/>
        <v>0.89608958425075536</v>
      </c>
      <c r="AM186" s="376">
        <f t="shared" si="81"/>
        <v>0.89671052917138394</v>
      </c>
      <c r="AN186" s="553">
        <f t="shared" si="82"/>
        <v>6.2075217422841167E-4</v>
      </c>
      <c r="AO186" s="554"/>
      <c r="AP186" s="580">
        <f t="shared" si="68"/>
        <v>3.9652542592867324E-2</v>
      </c>
      <c r="AQ186" s="376">
        <f t="shared" si="83"/>
        <v>0.95962093657806591</v>
      </c>
      <c r="AR186" s="379">
        <f t="shared" si="84"/>
        <v>0.96034745740713268</v>
      </c>
      <c r="AS186" s="376">
        <f t="shared" si="85"/>
        <v>7.2625697671113709E-4</v>
      </c>
      <c r="AT186" s="384"/>
      <c r="AU186" s="583">
        <f t="shared" si="69"/>
        <v>0.28327096837292048</v>
      </c>
      <c r="AV186" s="381">
        <f t="shared" si="95"/>
        <v>1.2612713621757476</v>
      </c>
      <c r="AW186" s="376">
        <f t="shared" si="70"/>
        <v>1.2613513540189902</v>
      </c>
      <c r="AX186" s="503">
        <f t="shared" si="93"/>
        <v>7.9988643980399843E-5</v>
      </c>
      <c r="AY186" s="376">
        <f t="shared" si="71"/>
        <v>2.4236707641279369</v>
      </c>
      <c r="AZ186" s="381">
        <f t="shared" si="86"/>
        <v>4.1506653381653304E-3</v>
      </c>
      <c r="BA186" s="586">
        <f t="shared" si="87"/>
        <v>0.19944605326336537</v>
      </c>
      <c r="BB186" s="376">
        <f t="shared" si="88"/>
        <v>0.80000386876204033</v>
      </c>
      <c r="BC186" s="376">
        <f t="shared" si="89"/>
        <v>0.8005539467366346</v>
      </c>
      <c r="BD186" s="376">
        <f t="shared" si="90"/>
        <v>5.4992670944231659E-4</v>
      </c>
      <c r="BE186" s="283"/>
      <c r="BF186" s="283"/>
      <c r="BG186" s="283"/>
      <c r="BH186" s="283"/>
      <c r="BI186" s="283"/>
      <c r="BJ186" s="283"/>
      <c r="BK186" s="283"/>
      <c r="BL186" s="283"/>
      <c r="BM186" s="283"/>
      <c r="BN186" s="283"/>
      <c r="BO186" s="283"/>
      <c r="BP186" s="283"/>
      <c r="BQ186" s="283"/>
      <c r="BR186" s="283"/>
      <c r="BS186" s="283"/>
      <c r="BT186" s="283"/>
      <c r="BU186" s="283"/>
      <c r="BV186" s="283"/>
      <c r="BW186" s="283"/>
      <c r="BX186" s="283"/>
      <c r="BY186" s="283"/>
      <c r="BZ186" s="283"/>
      <c r="CA186" s="283"/>
      <c r="CB186" s="283"/>
      <c r="CC186" s="283"/>
      <c r="CD186" s="283"/>
      <c r="CE186" s="283"/>
      <c r="CF186" s="283"/>
      <c r="CG186" s="283"/>
      <c r="CH186" s="283"/>
      <c r="CI186" s="283"/>
      <c r="CJ186" s="283"/>
      <c r="CK186" s="283"/>
      <c r="CL186" s="283"/>
    </row>
    <row r="187" spans="1:90" ht="14.25" customHeight="1" x14ac:dyDescent="0.2">
      <c r="A187" s="3"/>
      <c r="B187" s="252"/>
      <c r="C187" s="3"/>
      <c r="D187" s="3"/>
      <c r="E187" s="3"/>
      <c r="F187" s="3"/>
      <c r="G187" s="252"/>
      <c r="H187" s="3"/>
      <c r="I187" s="3"/>
      <c r="J187" s="3"/>
      <c r="K187" s="3"/>
      <c r="L187" s="252"/>
      <c r="M187" s="3"/>
      <c r="N187" s="3"/>
      <c r="O187" s="3"/>
      <c r="P187" s="3"/>
      <c r="Q187" s="3"/>
      <c r="R187" s="3"/>
      <c r="S187" s="334"/>
      <c r="T187" s="373">
        <f t="shared" si="96"/>
        <v>161</v>
      </c>
      <c r="U187" s="334"/>
      <c r="V187" s="568">
        <f t="shared" si="91"/>
        <v>1.7891305148705058E-2</v>
      </c>
      <c r="W187" s="328">
        <f t="shared" si="72"/>
        <v>0.98165595200055056</v>
      </c>
      <c r="X187" s="328">
        <f t="shared" si="73"/>
        <v>0.98210869485129493</v>
      </c>
      <c r="Y187" s="328">
        <f t="shared" si="74"/>
        <v>4.5264037816505898E-4</v>
      </c>
      <c r="Z187" s="334"/>
      <c r="AA187" s="571">
        <f t="shared" si="75"/>
        <v>5.7950645372655374E-2</v>
      </c>
      <c r="AB187" s="327">
        <f t="shared" si="94"/>
        <v>0.94125458954980668</v>
      </c>
      <c r="AC187" s="327">
        <f t="shared" si="76"/>
        <v>0.94204935462734463</v>
      </c>
      <c r="AD187" s="327">
        <f t="shared" si="77"/>
        <v>7.944493354261617E-4</v>
      </c>
      <c r="AE187" s="383"/>
      <c r="AF187" s="574">
        <f t="shared" si="66"/>
        <v>9.9244198862181832E-2</v>
      </c>
      <c r="AG187" s="376">
        <f t="shared" si="92"/>
        <v>0.90004335778613154</v>
      </c>
      <c r="AH187" s="376">
        <f t="shared" si="78"/>
        <v>0.90075580113781817</v>
      </c>
      <c r="AI187" s="553">
        <f t="shared" si="79"/>
        <v>7.121896241810699E-4</v>
      </c>
      <c r="AJ187" s="374"/>
      <c r="AK187" s="577">
        <f t="shared" si="67"/>
        <v>0.10267564960284831</v>
      </c>
      <c r="AL187" s="376">
        <f t="shared" si="80"/>
        <v>0.89671052917138394</v>
      </c>
      <c r="AM187" s="376">
        <f t="shared" si="81"/>
        <v>0.89732435039715175</v>
      </c>
      <c r="AN187" s="553">
        <f t="shared" si="82"/>
        <v>6.1363287605886718E-4</v>
      </c>
      <c r="AO187" s="554"/>
      <c r="AP187" s="580">
        <f t="shared" si="68"/>
        <v>3.8939334113321511E-2</v>
      </c>
      <c r="AQ187" s="376">
        <f t="shared" si="83"/>
        <v>0.96034745740713268</v>
      </c>
      <c r="AR187" s="379">
        <f t="shared" si="84"/>
        <v>0.96106066588667849</v>
      </c>
      <c r="AS187" s="376">
        <f t="shared" si="85"/>
        <v>7.1295420683159527E-4</v>
      </c>
      <c r="AT187" s="384"/>
      <c r="AU187" s="583">
        <f t="shared" si="69"/>
        <v>0.28324920939939963</v>
      </c>
      <c r="AV187" s="381">
        <f t="shared" si="95"/>
        <v>1.2613513540189902</v>
      </c>
      <c r="AW187" s="376">
        <f t="shared" si="70"/>
        <v>1.261428170253911</v>
      </c>
      <c r="AX187" s="503">
        <f t="shared" si="93"/>
        <v>7.6813284629273504E-5</v>
      </c>
      <c r="AY187" s="376">
        <f t="shared" si="71"/>
        <v>2.4285715009780446</v>
      </c>
      <c r="AZ187" s="381">
        <f t="shared" si="86"/>
        <v>4.1145178636589775E-3</v>
      </c>
      <c r="BA187" s="586">
        <f t="shared" si="87"/>
        <v>0.19890088634716649</v>
      </c>
      <c r="BB187" s="376">
        <f t="shared" si="88"/>
        <v>0.8005539467366346</v>
      </c>
      <c r="BC187" s="376">
        <f t="shared" si="89"/>
        <v>0.80109911365283348</v>
      </c>
      <c r="BD187" s="376">
        <f t="shared" si="90"/>
        <v>5.450183397165409E-4</v>
      </c>
      <c r="BE187" s="283"/>
      <c r="BF187" s="283"/>
      <c r="BG187" s="283"/>
      <c r="BH187" s="283"/>
      <c r="BI187" s="283"/>
      <c r="BJ187" s="283"/>
      <c r="BK187" s="283"/>
      <c r="BL187" s="283"/>
      <c r="BM187" s="283"/>
      <c r="BN187" s="283"/>
      <c r="BO187" s="283"/>
      <c r="BP187" s="283"/>
      <c r="BQ187" s="283"/>
      <c r="BR187" s="283"/>
      <c r="BS187" s="283"/>
      <c r="BT187" s="283"/>
      <c r="BU187" s="283"/>
      <c r="BV187" s="283"/>
      <c r="BW187" s="283"/>
      <c r="BX187" s="283"/>
      <c r="BY187" s="283"/>
      <c r="BZ187" s="283"/>
      <c r="CA187" s="283"/>
      <c r="CB187" s="283"/>
      <c r="CC187" s="283"/>
      <c r="CD187" s="283"/>
      <c r="CE187" s="283"/>
      <c r="CF187" s="283"/>
      <c r="CG187" s="283"/>
      <c r="CH187" s="283"/>
      <c r="CI187" s="283"/>
      <c r="CJ187" s="283"/>
      <c r="CK187" s="283"/>
      <c r="CL187" s="283"/>
    </row>
    <row r="188" spans="1:90" ht="14.25" customHeight="1" x14ac:dyDescent="0.2">
      <c r="A188" s="3"/>
      <c r="B188" s="252"/>
      <c r="C188" s="3"/>
      <c r="D188" s="3"/>
      <c r="E188" s="3"/>
      <c r="F188" s="3"/>
      <c r="G188" s="252"/>
      <c r="H188" s="3"/>
      <c r="I188" s="3"/>
      <c r="J188" s="3"/>
      <c r="K188" s="3"/>
      <c r="L188" s="252"/>
      <c r="M188" s="3"/>
      <c r="N188" s="3"/>
      <c r="O188" s="3"/>
      <c r="P188" s="3"/>
      <c r="Q188" s="3"/>
      <c r="R188" s="3"/>
      <c r="S188" s="334"/>
      <c r="T188" s="373">
        <f t="shared" si="96"/>
        <v>162</v>
      </c>
      <c r="U188" s="334"/>
      <c r="V188" s="568">
        <f t="shared" si="91"/>
        <v>1.744973628141876E-2</v>
      </c>
      <c r="W188" s="328">
        <f t="shared" si="72"/>
        <v>0.98210869485129493</v>
      </c>
      <c r="X188" s="328">
        <f t="shared" si="73"/>
        <v>0.98255026371858123</v>
      </c>
      <c r="Y188" s="328">
        <f t="shared" si="74"/>
        <v>4.4147139010219938E-4</v>
      </c>
      <c r="Z188" s="334"/>
      <c r="AA188" s="571">
        <f t="shared" si="75"/>
        <v>5.7167747039907485E-2</v>
      </c>
      <c r="AB188" s="327">
        <f t="shared" si="94"/>
        <v>0.94204935462734463</v>
      </c>
      <c r="AC188" s="327">
        <f t="shared" si="76"/>
        <v>0.94283225296009254</v>
      </c>
      <c r="AD188" s="327">
        <f t="shared" si="77"/>
        <v>7.825919478094967E-4</v>
      </c>
      <c r="AE188" s="383"/>
      <c r="AF188" s="574">
        <f t="shared" si="66"/>
        <v>9.8539852627563596E-2</v>
      </c>
      <c r="AG188" s="376">
        <f t="shared" si="92"/>
        <v>0.90075580113781817</v>
      </c>
      <c r="AH188" s="376">
        <f t="shared" si="78"/>
        <v>0.9014601473724364</v>
      </c>
      <c r="AI188" s="553">
        <f t="shared" si="79"/>
        <v>7.0409824103701002E-4</v>
      </c>
      <c r="AJ188" s="374"/>
      <c r="AK188" s="577">
        <f t="shared" si="67"/>
        <v>0.10206883179174579</v>
      </c>
      <c r="AL188" s="376">
        <f t="shared" si="80"/>
        <v>0.89732435039715175</v>
      </c>
      <c r="AM188" s="376">
        <f t="shared" si="81"/>
        <v>0.89793116820825425</v>
      </c>
      <c r="AN188" s="553">
        <f t="shared" si="82"/>
        <v>6.0663373441016688E-4</v>
      </c>
      <c r="AO188" s="554"/>
      <c r="AP188" s="580">
        <f t="shared" si="68"/>
        <v>3.8239187329803359E-2</v>
      </c>
      <c r="AQ188" s="376">
        <f t="shared" si="83"/>
        <v>0.96106066588667849</v>
      </c>
      <c r="AR188" s="379">
        <f t="shared" si="84"/>
        <v>0.96176081267019664</v>
      </c>
      <c r="AS188" s="376">
        <f t="shared" si="85"/>
        <v>6.9990173795153598E-4</v>
      </c>
      <c r="AT188" s="384"/>
      <c r="AU188" s="583">
        <f t="shared" si="69"/>
        <v>0.28322831581183855</v>
      </c>
      <c r="AV188" s="381">
        <f t="shared" si="95"/>
        <v>1.261428170253911</v>
      </c>
      <c r="AW188" s="376">
        <f t="shared" si="70"/>
        <v>1.2615019369494662</v>
      </c>
      <c r="AX188" s="503">
        <f t="shared" si="93"/>
        <v>7.376397485947539E-5</v>
      </c>
      <c r="AY188" s="376">
        <f t="shared" si="71"/>
        <v>2.4334418925138239</v>
      </c>
      <c r="AZ188" s="381">
        <f t="shared" si="86"/>
        <v>4.0789061042522876E-3</v>
      </c>
      <c r="BA188" s="586">
        <f t="shared" si="87"/>
        <v>0.19836055671680958</v>
      </c>
      <c r="BB188" s="376">
        <f t="shared" si="88"/>
        <v>0.80109911365283348</v>
      </c>
      <c r="BC188" s="376">
        <f t="shared" si="89"/>
        <v>0.80163944328319037</v>
      </c>
      <c r="BD188" s="376">
        <f t="shared" si="90"/>
        <v>5.4018367859065552E-4</v>
      </c>
      <c r="BE188" s="283"/>
      <c r="BF188" s="283"/>
      <c r="BG188" s="283"/>
      <c r="BH188" s="283"/>
      <c r="BI188" s="283"/>
      <c r="BJ188" s="283"/>
      <c r="BK188" s="283"/>
      <c r="BL188" s="283"/>
      <c r="BM188" s="283"/>
      <c r="BN188" s="283"/>
      <c r="BO188" s="283"/>
      <c r="BP188" s="283"/>
      <c r="BQ188" s="283"/>
      <c r="BR188" s="283"/>
      <c r="BS188" s="283"/>
      <c r="BT188" s="283"/>
      <c r="BU188" s="283"/>
      <c r="BV188" s="283"/>
      <c r="BW188" s="283"/>
      <c r="BX188" s="283"/>
      <c r="BY188" s="283"/>
      <c r="BZ188" s="283"/>
      <c r="CA188" s="283"/>
      <c r="CB188" s="283"/>
      <c r="CC188" s="283"/>
      <c r="CD188" s="283"/>
      <c r="CE188" s="283"/>
      <c r="CF188" s="283"/>
      <c r="CG188" s="283"/>
      <c r="CH188" s="283"/>
      <c r="CI188" s="283"/>
      <c r="CJ188" s="283"/>
      <c r="CK188" s="283"/>
      <c r="CL188" s="283"/>
    </row>
    <row r="189" spans="1:90" ht="14.25" customHeight="1" x14ac:dyDescent="0.2">
      <c r="A189" s="3"/>
      <c r="B189" s="252"/>
      <c r="C189" s="3"/>
      <c r="D189" s="3"/>
      <c r="E189" s="3"/>
      <c r="F189" s="3"/>
      <c r="G189" s="252"/>
      <c r="H189" s="3"/>
      <c r="I189" s="3"/>
      <c r="J189" s="3"/>
      <c r="K189" s="3"/>
      <c r="L189" s="252"/>
      <c r="M189" s="3"/>
      <c r="N189" s="3"/>
      <c r="O189" s="3"/>
      <c r="P189" s="3"/>
      <c r="Q189" s="3"/>
      <c r="R189" s="3"/>
      <c r="S189" s="334"/>
      <c r="T189" s="373">
        <f t="shared" si="96"/>
        <v>163</v>
      </c>
      <c r="U189" s="334"/>
      <c r="V189" s="568">
        <f t="shared" si="91"/>
        <v>1.7019065616523842E-2</v>
      </c>
      <c r="W189" s="328">
        <f t="shared" si="72"/>
        <v>0.98255026371858123</v>
      </c>
      <c r="X189" s="328">
        <f t="shared" si="73"/>
        <v>0.98298093438347611</v>
      </c>
      <c r="Y189" s="328">
        <f t="shared" si="74"/>
        <v>4.3057793959588864E-4</v>
      </c>
      <c r="Z189" s="334"/>
      <c r="AA189" s="571">
        <f t="shared" si="75"/>
        <v>5.6396516473196871E-2</v>
      </c>
      <c r="AB189" s="327">
        <f t="shared" si="94"/>
        <v>0.94283225296009254</v>
      </c>
      <c r="AC189" s="327">
        <f t="shared" si="76"/>
        <v>0.94360348352680312</v>
      </c>
      <c r="AD189" s="327">
        <f t="shared" si="77"/>
        <v>7.7093324485655312E-4</v>
      </c>
      <c r="AE189" s="383"/>
      <c r="AF189" s="574">
        <f t="shared" si="66"/>
        <v>9.7843473715366391E-2</v>
      </c>
      <c r="AG189" s="376">
        <f t="shared" si="92"/>
        <v>0.9014601473724364</v>
      </c>
      <c r="AH189" s="376">
        <f t="shared" si="78"/>
        <v>0.90215652628463361</v>
      </c>
      <c r="AI189" s="553">
        <f t="shared" si="79"/>
        <v>6.9613649667676913E-4</v>
      </c>
      <c r="AJ189" s="374"/>
      <c r="AK189" s="577">
        <f t="shared" si="67"/>
        <v>0.10146889978765876</v>
      </c>
      <c r="AL189" s="376">
        <f t="shared" si="80"/>
        <v>0.89793116820825425</v>
      </c>
      <c r="AM189" s="376">
        <f t="shared" si="81"/>
        <v>0.89853110021234128</v>
      </c>
      <c r="AN189" s="553">
        <f t="shared" si="82"/>
        <v>5.9975208086460174E-4</v>
      </c>
      <c r="AO189" s="554"/>
      <c r="AP189" s="580">
        <f t="shared" si="68"/>
        <v>3.7551856509448811E-2</v>
      </c>
      <c r="AQ189" s="376">
        <f t="shared" si="83"/>
        <v>0.96176081267019664</v>
      </c>
      <c r="AR189" s="379">
        <f t="shared" si="84"/>
        <v>0.96244814349055119</v>
      </c>
      <c r="AS189" s="376">
        <f t="shared" si="85"/>
        <v>6.8709466263550123E-4</v>
      </c>
      <c r="AT189" s="384"/>
      <c r="AU189" s="583">
        <f t="shared" si="69"/>
        <v>0.283208253132614</v>
      </c>
      <c r="AV189" s="381">
        <f t="shared" si="95"/>
        <v>1.2615019369494662</v>
      </c>
      <c r="AW189" s="376">
        <f t="shared" si="70"/>
        <v>1.2615727751697821</v>
      </c>
      <c r="AX189" s="503">
        <f t="shared" si="93"/>
        <v>7.0835711348360419E-5</v>
      </c>
      <c r="AY189" s="376">
        <f t="shared" si="71"/>
        <v>2.4382823122196271</v>
      </c>
      <c r="AZ189" s="381">
        <f t="shared" si="86"/>
        <v>4.0438188866534896E-3</v>
      </c>
      <c r="BA189" s="586">
        <f t="shared" si="87"/>
        <v>0.19782499215156546</v>
      </c>
      <c r="BB189" s="376">
        <f t="shared" si="88"/>
        <v>0.80163944328319037</v>
      </c>
      <c r="BC189" s="376">
        <f t="shared" si="89"/>
        <v>0.80217500784843454</v>
      </c>
      <c r="BD189" s="376">
        <f t="shared" si="90"/>
        <v>5.3542117614158169E-4</v>
      </c>
      <c r="BE189" s="283"/>
      <c r="BF189" s="283"/>
      <c r="BG189" s="283"/>
      <c r="BH189" s="283"/>
      <c r="BI189" s="283"/>
      <c r="BJ189" s="283"/>
      <c r="BK189" s="283"/>
      <c r="BL189" s="283"/>
      <c r="BM189" s="283"/>
      <c r="BN189" s="283"/>
      <c r="BO189" s="283"/>
      <c r="BP189" s="283"/>
      <c r="BQ189" s="283"/>
      <c r="BR189" s="283"/>
      <c r="BS189" s="283"/>
      <c r="BT189" s="283"/>
      <c r="BU189" s="283"/>
      <c r="BV189" s="283"/>
      <c r="BW189" s="283"/>
      <c r="BX189" s="283"/>
      <c r="BY189" s="283"/>
      <c r="BZ189" s="283"/>
      <c r="CA189" s="283"/>
      <c r="CB189" s="283"/>
      <c r="CC189" s="283"/>
      <c r="CD189" s="283"/>
      <c r="CE189" s="283"/>
      <c r="CF189" s="283"/>
      <c r="CG189" s="283"/>
      <c r="CH189" s="283"/>
      <c r="CI189" s="283"/>
      <c r="CJ189" s="283"/>
      <c r="CK189" s="283"/>
      <c r="CL189" s="283"/>
    </row>
    <row r="190" spans="1:90" ht="14.25" customHeight="1" x14ac:dyDescent="0.2">
      <c r="A190" s="3"/>
      <c r="B190" s="252"/>
      <c r="C190" s="3"/>
      <c r="D190" s="3"/>
      <c r="E190" s="3"/>
      <c r="F190" s="3"/>
      <c r="G190" s="252"/>
      <c r="H190" s="3"/>
      <c r="I190" s="3"/>
      <c r="J190" s="3"/>
      <c r="K190" s="3"/>
      <c r="L190" s="252"/>
      <c r="M190" s="3"/>
      <c r="N190" s="3"/>
      <c r="O190" s="3"/>
      <c r="P190" s="3"/>
      <c r="Q190" s="3"/>
      <c r="R190" s="3"/>
      <c r="S190" s="334"/>
      <c r="T190" s="373">
        <f t="shared" si="96"/>
        <v>164</v>
      </c>
      <c r="U190" s="334"/>
      <c r="V190" s="568">
        <f t="shared" si="91"/>
        <v>1.659902417940691E-2</v>
      </c>
      <c r="W190" s="328">
        <f t="shared" si="72"/>
        <v>0.98298093438347611</v>
      </c>
      <c r="X190" s="328">
        <f t="shared" si="73"/>
        <v>0.98340097582059305</v>
      </c>
      <c r="Y190" s="328">
        <f t="shared" si="74"/>
        <v>4.1995323206289736E-4</v>
      </c>
      <c r="Z190" s="334"/>
      <c r="AA190" s="571">
        <f t="shared" si="75"/>
        <v>5.5636758507840944E-2</v>
      </c>
      <c r="AB190" s="327">
        <f t="shared" si="94"/>
        <v>0.94360348352680312</v>
      </c>
      <c r="AC190" s="327">
        <f t="shared" si="76"/>
        <v>0.944363241492159</v>
      </c>
      <c r="AD190" s="327">
        <f t="shared" si="77"/>
        <v>7.5946942235183279E-4</v>
      </c>
      <c r="AE190" s="383"/>
      <c r="AF190" s="574">
        <f t="shared" si="66"/>
        <v>9.715493504801398E-2</v>
      </c>
      <c r="AG190" s="376">
        <f t="shared" si="92"/>
        <v>0.90215652628463361</v>
      </c>
      <c r="AH190" s="376">
        <f t="shared" si="78"/>
        <v>0.90284506495198602</v>
      </c>
      <c r="AI190" s="553">
        <f t="shared" si="79"/>
        <v>6.8830167899924799E-4</v>
      </c>
      <c r="AJ190" s="374"/>
      <c r="AK190" s="577">
        <f t="shared" si="67"/>
        <v>0.10087573858203959</v>
      </c>
      <c r="AL190" s="376">
        <f t="shared" si="80"/>
        <v>0.89853110021234128</v>
      </c>
      <c r="AM190" s="376">
        <f t="shared" si="81"/>
        <v>0.89912426141796042</v>
      </c>
      <c r="AN190" s="553">
        <f t="shared" si="82"/>
        <v>5.9298532028906337E-4</v>
      </c>
      <c r="AO190" s="554"/>
      <c r="AP190" s="580">
        <f t="shared" si="68"/>
        <v>3.6877100736966817E-2</v>
      </c>
      <c r="AQ190" s="376">
        <f t="shared" si="83"/>
        <v>0.96244814349055119</v>
      </c>
      <c r="AR190" s="379">
        <f t="shared" si="84"/>
        <v>0.96312289926303318</v>
      </c>
      <c r="AS190" s="376">
        <f t="shared" si="85"/>
        <v>6.7452817599933379E-4</v>
      </c>
      <c r="AT190" s="384"/>
      <c r="AU190" s="583">
        <f t="shared" si="69"/>
        <v>0.28318898826238348</v>
      </c>
      <c r="AV190" s="381">
        <f t="shared" si="95"/>
        <v>1.2615727751697821</v>
      </c>
      <c r="AW190" s="376">
        <f t="shared" si="70"/>
        <v>1.2616408011728413</v>
      </c>
      <c r="AX190" s="503">
        <f t="shared" si="93"/>
        <v>6.802368934311076E-5</v>
      </c>
      <c r="AY190" s="376">
        <f t="shared" si="71"/>
        <v>2.4430931267267919</v>
      </c>
      <c r="AZ190" s="381">
        <f t="shared" si="86"/>
        <v>4.0092453372358146E-3</v>
      </c>
      <c r="BA190" s="586">
        <f t="shared" si="87"/>
        <v>0.19729412194067744</v>
      </c>
      <c r="BB190" s="376">
        <f t="shared" si="88"/>
        <v>0.80217500784843454</v>
      </c>
      <c r="BC190" s="376">
        <f t="shared" si="89"/>
        <v>0.80270587805932259</v>
      </c>
      <c r="BD190" s="376">
        <f t="shared" si="90"/>
        <v>5.3072932422959518E-4</v>
      </c>
      <c r="BE190" s="283"/>
      <c r="BF190" s="283"/>
      <c r="BG190" s="283"/>
      <c r="BH190" s="283"/>
      <c r="BI190" s="283"/>
      <c r="BJ190" s="283"/>
      <c r="BK190" s="283"/>
      <c r="BL190" s="283"/>
      <c r="BM190" s="283"/>
      <c r="BN190" s="283"/>
      <c r="BO190" s="283"/>
      <c r="BP190" s="283"/>
      <c r="BQ190" s="283"/>
      <c r="BR190" s="283"/>
      <c r="BS190" s="283"/>
      <c r="BT190" s="283"/>
      <c r="BU190" s="283"/>
      <c r="BV190" s="283"/>
      <c r="BW190" s="283"/>
      <c r="BX190" s="283"/>
      <c r="BY190" s="283"/>
      <c r="BZ190" s="283"/>
      <c r="CA190" s="283"/>
      <c r="CB190" s="283"/>
      <c r="CC190" s="283"/>
      <c r="CD190" s="283"/>
      <c r="CE190" s="283"/>
      <c r="CF190" s="283"/>
      <c r="CG190" s="283"/>
      <c r="CH190" s="283"/>
      <c r="CI190" s="283"/>
      <c r="CJ190" s="283"/>
      <c r="CK190" s="283"/>
      <c r="CL190" s="283"/>
    </row>
    <row r="191" spans="1:90" ht="14.25" customHeight="1" x14ac:dyDescent="0.2">
      <c r="A191" s="3"/>
      <c r="B191" s="252"/>
      <c r="C191" s="3"/>
      <c r="D191" s="3"/>
      <c r="E191" s="3"/>
      <c r="F191" s="3"/>
      <c r="G191" s="252"/>
      <c r="H191" s="3"/>
      <c r="I191" s="3"/>
      <c r="J191" s="3"/>
      <c r="K191" s="3"/>
      <c r="L191" s="252"/>
      <c r="M191" s="3"/>
      <c r="N191" s="3"/>
      <c r="O191" s="3"/>
      <c r="P191" s="3"/>
      <c r="Q191" s="3"/>
      <c r="R191" s="3"/>
      <c r="S191" s="334"/>
      <c r="T191" s="373">
        <f t="shared" si="96"/>
        <v>165</v>
      </c>
      <c r="U191" s="334"/>
      <c r="V191" s="568">
        <f t="shared" si="91"/>
        <v>1.6189349633920266E-2</v>
      </c>
      <c r="W191" s="328">
        <f t="shared" si="72"/>
        <v>0.98340097582059305</v>
      </c>
      <c r="X191" s="328">
        <f t="shared" si="73"/>
        <v>0.98381065036607973</v>
      </c>
      <c r="Y191" s="328">
        <f t="shared" si="74"/>
        <v>4.0959064032841663E-4</v>
      </c>
      <c r="Z191" s="334"/>
      <c r="AA191" s="571">
        <f t="shared" si="75"/>
        <v>5.4888281708376764E-2</v>
      </c>
      <c r="AB191" s="327">
        <f t="shared" si="94"/>
        <v>0.944363241492159</v>
      </c>
      <c r="AC191" s="327">
        <f t="shared" si="76"/>
        <v>0.94511171829162322</v>
      </c>
      <c r="AD191" s="327">
        <f t="shared" si="77"/>
        <v>7.4819676057646944E-4</v>
      </c>
      <c r="AE191" s="383"/>
      <c r="AF191" s="574">
        <f t="shared" si="66"/>
        <v>9.647411219443347E-2</v>
      </c>
      <c r="AG191" s="376">
        <f t="shared" si="92"/>
        <v>0.90284506495198602</v>
      </c>
      <c r="AH191" s="376">
        <f t="shared" si="78"/>
        <v>0.90352588780556653</v>
      </c>
      <c r="AI191" s="553">
        <f t="shared" si="79"/>
        <v>6.8059114628837847E-4</v>
      </c>
      <c r="AJ191" s="374"/>
      <c r="AK191" s="577">
        <f t="shared" si="67"/>
        <v>0.10028923569439882</v>
      </c>
      <c r="AL191" s="376">
        <f t="shared" si="80"/>
        <v>0.89912426141796042</v>
      </c>
      <c r="AM191" s="376">
        <f t="shared" si="81"/>
        <v>0.89971076430560115</v>
      </c>
      <c r="AN191" s="553">
        <f t="shared" si="82"/>
        <v>5.8633092844195822E-4</v>
      </c>
      <c r="AO191" s="554"/>
      <c r="AP191" s="580">
        <f t="shared" si="68"/>
        <v>3.6214683813960979E-2</v>
      </c>
      <c r="AQ191" s="376">
        <f t="shared" si="83"/>
        <v>0.96312289926303318</v>
      </c>
      <c r="AR191" s="379">
        <f t="shared" si="84"/>
        <v>0.96378531618603902</v>
      </c>
      <c r="AS191" s="376">
        <f t="shared" si="85"/>
        <v>6.6219757335217455E-4</v>
      </c>
      <c r="AT191" s="384"/>
      <c r="AU191" s="583">
        <f t="shared" si="69"/>
        <v>0.28317048942462397</v>
      </c>
      <c r="AV191" s="381">
        <f t="shared" si="95"/>
        <v>1.2616408011728413</v>
      </c>
      <c r="AW191" s="376">
        <f t="shared" si="70"/>
        <v>1.2617061266012835</v>
      </c>
      <c r="AX191" s="503">
        <f t="shared" si="93"/>
        <v>6.5323294782815289E-5</v>
      </c>
      <c r="AY191" s="376">
        <f t="shared" si="71"/>
        <v>2.4478746959802886</v>
      </c>
      <c r="AZ191" s="381">
        <f t="shared" si="86"/>
        <v>3.975174872235223E-3</v>
      </c>
      <c r="BA191" s="586">
        <f t="shared" si="87"/>
        <v>0.19676787684287883</v>
      </c>
      <c r="BB191" s="376">
        <f t="shared" si="88"/>
        <v>0.80270587805932259</v>
      </c>
      <c r="BC191" s="376">
        <f t="shared" si="89"/>
        <v>0.80323212315712111</v>
      </c>
      <c r="BD191" s="376">
        <f t="shared" si="90"/>
        <v>5.2610665513308508E-4</v>
      </c>
      <c r="BE191" s="283"/>
      <c r="BF191" s="283"/>
      <c r="BG191" s="283"/>
      <c r="BH191" s="283"/>
      <c r="BI191" s="283"/>
      <c r="BJ191" s="283"/>
      <c r="BK191" s="283"/>
      <c r="BL191" s="283"/>
      <c r="BM191" s="283"/>
      <c r="BN191" s="283"/>
      <c r="BO191" s="283"/>
      <c r="BP191" s="283"/>
      <c r="BQ191" s="283"/>
      <c r="BR191" s="283"/>
      <c r="BS191" s="283"/>
      <c r="BT191" s="283"/>
      <c r="BU191" s="283"/>
      <c r="BV191" s="283"/>
      <c r="BW191" s="283"/>
      <c r="BX191" s="283"/>
      <c r="BY191" s="283"/>
      <c r="BZ191" s="283"/>
      <c r="CA191" s="283"/>
      <c r="CB191" s="283"/>
      <c r="CC191" s="283"/>
      <c r="CD191" s="283"/>
      <c r="CE191" s="283"/>
      <c r="CF191" s="283"/>
      <c r="CG191" s="283"/>
      <c r="CH191" s="283"/>
      <c r="CI191" s="283"/>
      <c r="CJ191" s="283"/>
      <c r="CK191" s="283"/>
      <c r="CL191" s="283"/>
    </row>
    <row r="192" spans="1:90" ht="14.25" customHeight="1" x14ac:dyDescent="0.2">
      <c r="A192" s="3"/>
      <c r="B192" s="252"/>
      <c r="C192" s="3"/>
      <c r="D192" s="3"/>
      <c r="E192" s="3"/>
      <c r="F192" s="3"/>
      <c r="G192" s="252"/>
      <c r="H192" s="3"/>
      <c r="I192" s="3"/>
      <c r="J192" s="3"/>
      <c r="K192" s="3"/>
      <c r="L192" s="252"/>
      <c r="M192" s="3"/>
      <c r="N192" s="3"/>
      <c r="O192" s="3"/>
      <c r="P192" s="3"/>
      <c r="Q192" s="3"/>
      <c r="R192" s="3"/>
      <c r="S192" s="334"/>
      <c r="T192" s="373">
        <f t="shared" si="96"/>
        <v>166</v>
      </c>
      <c r="U192" s="334"/>
      <c r="V192" s="568">
        <f t="shared" si="91"/>
        <v>1.5789786118540317E-2</v>
      </c>
      <c r="W192" s="328">
        <f t="shared" si="72"/>
        <v>0.98381065036607973</v>
      </c>
      <c r="X192" s="328">
        <f t="shared" si="73"/>
        <v>0.98421021388145968</v>
      </c>
      <c r="Y192" s="328">
        <f t="shared" si="74"/>
        <v>3.9948370050923998E-4</v>
      </c>
      <c r="Z192" s="334"/>
      <c r="AA192" s="571">
        <f t="shared" si="75"/>
        <v>5.4150898285921525E-2</v>
      </c>
      <c r="AB192" s="327">
        <f t="shared" si="94"/>
        <v>0.94511171829162322</v>
      </c>
      <c r="AC192" s="327">
        <f t="shared" si="76"/>
        <v>0.94584910171407843</v>
      </c>
      <c r="AD192" s="327">
        <f t="shared" si="77"/>
        <v>7.3711162211054226E-4</v>
      </c>
      <c r="AE192" s="383"/>
      <c r="AF192" s="574">
        <f t="shared" si="66"/>
        <v>9.5800883301681683E-2</v>
      </c>
      <c r="AG192" s="376">
        <f t="shared" si="92"/>
        <v>0.90352588780556653</v>
      </c>
      <c r="AH192" s="376">
        <f t="shared" si="78"/>
        <v>0.90419911669831832</v>
      </c>
      <c r="AI192" s="553">
        <f t="shared" si="79"/>
        <v>6.7300232502764956E-4</v>
      </c>
      <c r="AJ192" s="374"/>
      <c r="AK192" s="577">
        <f t="shared" si="67"/>
        <v>9.9709281103569886E-2</v>
      </c>
      <c r="AL192" s="376">
        <f t="shared" si="80"/>
        <v>0.89971076430560115</v>
      </c>
      <c r="AM192" s="376">
        <f t="shared" si="81"/>
        <v>0.90029071889643009</v>
      </c>
      <c r="AN192" s="553">
        <f t="shared" si="82"/>
        <v>5.7978644967149329E-4</v>
      </c>
      <c r="AO192" s="554"/>
      <c r="AP192" s="580">
        <f t="shared" si="68"/>
        <v>3.5564374160570456E-2</v>
      </c>
      <c r="AQ192" s="376">
        <f t="shared" si="83"/>
        <v>0.96378531618603902</v>
      </c>
      <c r="AR192" s="379">
        <f t="shared" si="84"/>
        <v>0.96443562583942954</v>
      </c>
      <c r="AS192" s="376">
        <f t="shared" si="85"/>
        <v>6.5009824789674653E-4</v>
      </c>
      <c r="AT192" s="384"/>
      <c r="AU192" s="583">
        <f t="shared" si="69"/>
        <v>0.28315272611243081</v>
      </c>
      <c r="AV192" s="381">
        <f t="shared" si="95"/>
        <v>1.2617061266012835</v>
      </c>
      <c r="AW192" s="376">
        <f t="shared" si="70"/>
        <v>1.2617688586656299</v>
      </c>
      <c r="AX192" s="503">
        <f t="shared" si="93"/>
        <v>6.2730096731633544E-5</v>
      </c>
      <c r="AY192" s="376">
        <f t="shared" si="71"/>
        <v>2.4526273734003272</v>
      </c>
      <c r="AZ192" s="381">
        <f t="shared" si="86"/>
        <v>3.9415971883259059E-3</v>
      </c>
      <c r="BA192" s="586">
        <f t="shared" si="87"/>
        <v>0.19624618904723454</v>
      </c>
      <c r="BB192" s="376">
        <f t="shared" si="88"/>
        <v>0.80323212315712111</v>
      </c>
      <c r="BC192" s="376">
        <f t="shared" si="89"/>
        <v>0.80375381095276544</v>
      </c>
      <c r="BD192" s="376">
        <f t="shared" si="90"/>
        <v>5.2155174022672224E-4</v>
      </c>
      <c r="BE192" s="283"/>
      <c r="BF192" s="283"/>
      <c r="BG192" s="283"/>
      <c r="BH192" s="283"/>
      <c r="BI192" s="283"/>
      <c r="BJ192" s="283"/>
      <c r="BK192" s="283"/>
      <c r="BL192" s="283"/>
      <c r="BM192" s="283"/>
      <c r="BN192" s="283"/>
      <c r="BO192" s="283"/>
      <c r="BP192" s="283"/>
      <c r="BQ192" s="283"/>
      <c r="BR192" s="283"/>
      <c r="BS192" s="283"/>
      <c r="BT192" s="283"/>
      <c r="BU192" s="283"/>
      <c r="BV192" s="283"/>
      <c r="BW192" s="283"/>
      <c r="BX192" s="283"/>
      <c r="BY192" s="283"/>
      <c r="BZ192" s="283"/>
      <c r="CA192" s="283"/>
      <c r="CB192" s="283"/>
      <c r="CC192" s="283"/>
      <c r="CD192" s="283"/>
      <c r="CE192" s="283"/>
      <c r="CF192" s="283"/>
      <c r="CG192" s="283"/>
      <c r="CH192" s="283"/>
      <c r="CI192" s="283"/>
      <c r="CJ192" s="283"/>
      <c r="CK192" s="283"/>
      <c r="CL192" s="283"/>
    </row>
    <row r="193" spans="1:90" ht="14.25" customHeight="1" x14ac:dyDescent="0.2">
      <c r="A193" s="3"/>
      <c r="B193" s="252"/>
      <c r="C193" s="3"/>
      <c r="D193" s="3"/>
      <c r="E193" s="3"/>
      <c r="F193" s="3"/>
      <c r="G193" s="252"/>
      <c r="H193" s="3"/>
      <c r="I193" s="3"/>
      <c r="J193" s="3"/>
      <c r="K193" s="3"/>
      <c r="L193" s="252"/>
      <c r="M193" s="3"/>
      <c r="N193" s="3"/>
      <c r="O193" s="3"/>
      <c r="P193" s="3"/>
      <c r="Q193" s="3"/>
      <c r="R193" s="3"/>
      <c r="S193" s="334"/>
      <c r="T193" s="373">
        <f t="shared" si="96"/>
        <v>167</v>
      </c>
      <c r="U193" s="334"/>
      <c r="V193" s="568">
        <f t="shared" si="91"/>
        <v>1.5400084086569696E-2</v>
      </c>
      <c r="W193" s="328">
        <f t="shared" si="72"/>
        <v>0.98421021388145968</v>
      </c>
      <c r="X193" s="328">
        <f t="shared" si="73"/>
        <v>0.98459991591343032</v>
      </c>
      <c r="Y193" s="328">
        <f t="shared" si="74"/>
        <v>3.8962610799664343E-4</v>
      </c>
      <c r="Z193" s="334"/>
      <c r="AA193" s="571">
        <f t="shared" si="75"/>
        <v>5.3424424017675998E-2</v>
      </c>
      <c r="AB193" s="327">
        <f t="shared" si="94"/>
        <v>0.94584910171407843</v>
      </c>
      <c r="AC193" s="327">
        <f t="shared" si="76"/>
        <v>0.946575575982324</v>
      </c>
      <c r="AD193" s="327">
        <f t="shared" si="77"/>
        <v>7.2621044970400117E-4</v>
      </c>
      <c r="AE193" s="383"/>
      <c r="AF193" s="574">
        <f t="shared" si="66"/>
        <v>9.5135129028686594E-2</v>
      </c>
      <c r="AG193" s="376">
        <f t="shared" si="92"/>
        <v>0.90419911669831832</v>
      </c>
      <c r="AH193" s="376">
        <f t="shared" si="78"/>
        <v>0.90486487097131341</v>
      </c>
      <c r="AI193" s="553">
        <f t="shared" si="79"/>
        <v>6.6553270779112772E-4</v>
      </c>
      <c r="AJ193" s="374"/>
      <c r="AK193" s="577">
        <f t="shared" si="67"/>
        <v>9.9135767181195683E-2</v>
      </c>
      <c r="AL193" s="376">
        <f t="shared" si="80"/>
        <v>0.90029071889643009</v>
      </c>
      <c r="AM193" s="376">
        <f t="shared" si="81"/>
        <v>0.90086423281880434</v>
      </c>
      <c r="AN193" s="553">
        <f t="shared" si="82"/>
        <v>5.7334949470000396E-4</v>
      </c>
      <c r="AO193" s="554"/>
      <c r="AP193" s="580">
        <f t="shared" si="68"/>
        <v>3.4925944719367941E-2</v>
      </c>
      <c r="AQ193" s="376">
        <f t="shared" si="83"/>
        <v>0.96443562583942954</v>
      </c>
      <c r="AR193" s="379">
        <f t="shared" si="84"/>
        <v>0.96507405528063206</v>
      </c>
      <c r="AS193" s="376">
        <f t="shared" si="85"/>
        <v>6.3822568848970196E-4</v>
      </c>
      <c r="AT193" s="384"/>
      <c r="AU193" s="583">
        <f t="shared" si="69"/>
        <v>0.283135669037482</v>
      </c>
      <c r="AV193" s="381">
        <f t="shared" si="95"/>
        <v>1.2617688586656299</v>
      </c>
      <c r="AW193" s="376">
        <f t="shared" si="70"/>
        <v>1.2618291003202358</v>
      </c>
      <c r="AX193" s="503">
        <f t="shared" si="93"/>
        <v>6.0239840113829324E-5</v>
      </c>
      <c r="AY193" s="376">
        <f t="shared" si="71"/>
        <v>2.4573515060391053</v>
      </c>
      <c r="AZ193" s="381">
        <f t="shared" si="86"/>
        <v>3.9085022535567584E-3</v>
      </c>
      <c r="BA193" s="586">
        <f t="shared" si="87"/>
        <v>0.1957289921352528</v>
      </c>
      <c r="BB193" s="376">
        <f t="shared" si="88"/>
        <v>0.80375381095276544</v>
      </c>
      <c r="BC193" s="376">
        <f t="shared" si="89"/>
        <v>0.80427100786474726</v>
      </c>
      <c r="BD193" s="376">
        <f t="shared" si="90"/>
        <v>5.1706318871369561E-4</v>
      </c>
      <c r="BE193" s="283"/>
      <c r="BF193" s="283"/>
      <c r="BG193" s="283"/>
      <c r="BH193" s="283"/>
      <c r="BI193" s="283"/>
      <c r="BJ193" s="283"/>
      <c r="BK193" s="283"/>
      <c r="BL193" s="283"/>
      <c r="BM193" s="283"/>
      <c r="BN193" s="283"/>
      <c r="BO193" s="283"/>
      <c r="BP193" s="283"/>
      <c r="BQ193" s="283"/>
      <c r="BR193" s="283"/>
      <c r="BS193" s="283"/>
      <c r="BT193" s="283"/>
      <c r="BU193" s="283"/>
      <c r="BV193" s="283"/>
      <c r="BW193" s="283"/>
      <c r="BX193" s="283"/>
      <c r="BY193" s="283"/>
      <c r="BZ193" s="283"/>
      <c r="CA193" s="283"/>
      <c r="CB193" s="283"/>
      <c r="CC193" s="283"/>
      <c r="CD193" s="283"/>
      <c r="CE193" s="283"/>
      <c r="CF193" s="283"/>
      <c r="CG193" s="283"/>
      <c r="CH193" s="283"/>
      <c r="CI193" s="283"/>
      <c r="CJ193" s="283"/>
      <c r="CK193" s="283"/>
      <c r="CL193" s="283"/>
    </row>
    <row r="194" spans="1:90" ht="14.25" customHeight="1" x14ac:dyDescent="0.2">
      <c r="A194" s="3"/>
      <c r="B194" s="252"/>
      <c r="C194" s="3"/>
      <c r="D194" s="3"/>
      <c r="E194" s="3"/>
      <c r="F194" s="3"/>
      <c r="G194" s="252"/>
      <c r="H194" s="3"/>
      <c r="I194" s="3"/>
      <c r="J194" s="3"/>
      <c r="K194" s="3"/>
      <c r="L194" s="252"/>
      <c r="M194" s="3"/>
      <c r="N194" s="3"/>
      <c r="O194" s="3"/>
      <c r="P194" s="3"/>
      <c r="Q194" s="3"/>
      <c r="R194" s="3"/>
      <c r="S194" s="334"/>
      <c r="T194" s="373">
        <f t="shared" si="96"/>
        <v>168</v>
      </c>
      <c r="U194" s="334"/>
      <c r="V194" s="568">
        <f t="shared" si="91"/>
        <v>1.5020000150283331E-2</v>
      </c>
      <c r="W194" s="328">
        <f t="shared" si="72"/>
        <v>0.98459991591343032</v>
      </c>
      <c r="X194" s="328">
        <f t="shared" si="73"/>
        <v>0.98497999984971663</v>
      </c>
      <c r="Y194" s="328">
        <f t="shared" si="74"/>
        <v>3.8001171353752028E-4</v>
      </c>
      <c r="Z194" s="334"/>
      <c r="AA194" s="571">
        <f t="shared" si="75"/>
        <v>5.2708678168506051E-2</v>
      </c>
      <c r="AB194" s="327">
        <f t="shared" si="94"/>
        <v>0.946575575982324</v>
      </c>
      <c r="AC194" s="327">
        <f t="shared" si="76"/>
        <v>0.947291321831494</v>
      </c>
      <c r="AD194" s="327">
        <f t="shared" si="77"/>
        <v>7.1548976421054178E-4</v>
      </c>
      <c r="AE194" s="383"/>
      <c r="AF194" s="574">
        <f t="shared" si="66"/>
        <v>9.4476732482024484E-2</v>
      </c>
      <c r="AG194" s="376">
        <f t="shared" si="92"/>
        <v>0.90486487097131341</v>
      </c>
      <c r="AH194" s="376">
        <f t="shared" si="78"/>
        <v>0.90552326751797552</v>
      </c>
      <c r="AI194" s="553">
        <f t="shared" si="79"/>
        <v>6.5817985121552347E-4</v>
      </c>
      <c r="AJ194" s="374"/>
      <c r="AK194" s="577">
        <f t="shared" si="67"/>
        <v>9.85685886273545E-2</v>
      </c>
      <c r="AL194" s="376">
        <f t="shared" si="80"/>
        <v>0.90086423281880434</v>
      </c>
      <c r="AM194" s="376">
        <f t="shared" si="81"/>
        <v>0.90143141137264549</v>
      </c>
      <c r="AN194" s="553">
        <f t="shared" si="82"/>
        <v>5.6701773849032744E-4</v>
      </c>
      <c r="AO194" s="554"/>
      <c r="AP194" s="580">
        <f t="shared" si="68"/>
        <v>3.4299172861454341E-2</v>
      </c>
      <c r="AQ194" s="376">
        <f t="shared" si="83"/>
        <v>0.96507405528063206</v>
      </c>
      <c r="AR194" s="379">
        <f t="shared" si="84"/>
        <v>0.96570082713854566</v>
      </c>
      <c r="AS194" s="376">
        <f t="shared" si="85"/>
        <v>6.2657547746336473E-4</v>
      </c>
      <c r="AT194" s="384"/>
      <c r="AU194" s="583">
        <f t="shared" si="69"/>
        <v>0.28311929008107839</v>
      </c>
      <c r="AV194" s="381">
        <f t="shared" si="95"/>
        <v>1.2618291003202358</v>
      </c>
      <c r="AW194" s="376">
        <f t="shared" si="70"/>
        <v>1.261886950432255</v>
      </c>
      <c r="AX194" s="503">
        <f t="shared" si="93"/>
        <v>5.7848438733687502E-5</v>
      </c>
      <c r="AY194" s="376">
        <f t="shared" si="71"/>
        <v>2.462047434732888</v>
      </c>
      <c r="AZ194" s="381">
        <f t="shared" si="86"/>
        <v>3.8758802986328614E-3</v>
      </c>
      <c r="BA194" s="586">
        <f t="shared" si="87"/>
        <v>0.19521622104421721</v>
      </c>
      <c r="BB194" s="376">
        <f t="shared" si="88"/>
        <v>0.80427100786474726</v>
      </c>
      <c r="BC194" s="376">
        <f t="shared" si="89"/>
        <v>0.80478377895578279</v>
      </c>
      <c r="BD194" s="376">
        <f t="shared" si="90"/>
        <v>5.1263964640757553E-4</v>
      </c>
      <c r="BE194" s="283"/>
      <c r="BF194" s="283"/>
      <c r="BG194" s="283"/>
      <c r="BH194" s="283"/>
      <c r="BI194" s="283"/>
      <c r="BJ194" s="283"/>
      <c r="BK194" s="283"/>
      <c r="BL194" s="283"/>
      <c r="BM194" s="283"/>
      <c r="BN194" s="283"/>
      <c r="BO194" s="283"/>
      <c r="BP194" s="283"/>
      <c r="BQ194" s="283"/>
      <c r="BR194" s="283"/>
      <c r="BS194" s="283"/>
      <c r="BT194" s="283"/>
      <c r="BU194" s="283"/>
      <c r="BV194" s="283"/>
      <c r="BW194" s="283"/>
      <c r="BX194" s="283"/>
      <c r="BY194" s="283"/>
      <c r="BZ194" s="283"/>
      <c r="CA194" s="283"/>
      <c r="CB194" s="283"/>
      <c r="CC194" s="283"/>
      <c r="CD194" s="283"/>
      <c r="CE194" s="283"/>
      <c r="CF194" s="283"/>
      <c r="CG194" s="283"/>
      <c r="CH194" s="283"/>
      <c r="CI194" s="283"/>
      <c r="CJ194" s="283"/>
      <c r="CK194" s="283"/>
      <c r="CL194" s="283"/>
    </row>
    <row r="195" spans="1:90" ht="14.25" customHeight="1" x14ac:dyDescent="0.2">
      <c r="A195" s="3"/>
      <c r="B195" s="252"/>
      <c r="C195" s="3"/>
      <c r="D195" s="3"/>
      <c r="E195" s="3"/>
      <c r="F195" s="3"/>
      <c r="G195" s="252"/>
      <c r="H195" s="3"/>
      <c r="I195" s="3"/>
      <c r="J195" s="3"/>
      <c r="K195" s="3"/>
      <c r="L195" s="252"/>
      <c r="M195" s="3"/>
      <c r="N195" s="3"/>
      <c r="O195" s="3"/>
      <c r="P195" s="3"/>
      <c r="Q195" s="3"/>
      <c r="R195" s="3"/>
      <c r="S195" s="334"/>
      <c r="T195" s="373">
        <f t="shared" si="96"/>
        <v>169</v>
      </c>
      <c r="U195" s="334"/>
      <c r="V195" s="568">
        <f t="shared" si="91"/>
        <v>1.4649296928921043E-2</v>
      </c>
      <c r="W195" s="328">
        <f t="shared" si="72"/>
        <v>0.98497999984971663</v>
      </c>
      <c r="X195" s="328">
        <f t="shared" si="73"/>
        <v>0.98535070307107897</v>
      </c>
      <c r="Y195" s="328">
        <f t="shared" si="74"/>
        <v>3.7063451941277137E-4</v>
      </c>
      <c r="Z195" s="334"/>
      <c r="AA195" s="571">
        <f t="shared" si="75"/>
        <v>5.2003483414539288E-2</v>
      </c>
      <c r="AB195" s="327">
        <f t="shared" si="94"/>
        <v>0.947291321831494</v>
      </c>
      <c r="AC195" s="327">
        <f t="shared" si="76"/>
        <v>0.94799651658546069</v>
      </c>
      <c r="AD195" s="327">
        <f t="shared" si="77"/>
        <v>7.0494616258476306E-4</v>
      </c>
      <c r="AE195" s="383"/>
      <c r="AF195" s="574">
        <f t="shared" si="66"/>
        <v>9.382557915366363E-2</v>
      </c>
      <c r="AG195" s="376">
        <f t="shared" si="92"/>
        <v>0.90552326751797552</v>
      </c>
      <c r="AH195" s="376">
        <f t="shared" si="78"/>
        <v>0.90617442084633637</v>
      </c>
      <c r="AI195" s="553">
        <f t="shared" si="79"/>
        <v>6.509413740397596E-4</v>
      </c>
      <c r="AJ195" s="374"/>
      <c r="AK195" s="577">
        <f t="shared" si="67"/>
        <v>9.8007642408244749E-2</v>
      </c>
      <c r="AL195" s="376">
        <f t="shared" si="80"/>
        <v>0.90143141137264549</v>
      </c>
      <c r="AM195" s="376">
        <f t="shared" si="81"/>
        <v>0.90199235759175522</v>
      </c>
      <c r="AN195" s="553">
        <f t="shared" si="82"/>
        <v>5.6078891819322241E-4</v>
      </c>
      <c r="AO195" s="554"/>
      <c r="AP195" s="580">
        <f t="shared" si="68"/>
        <v>3.3683840294693179E-2</v>
      </c>
      <c r="AQ195" s="376">
        <f t="shared" si="83"/>
        <v>0.96570082713854566</v>
      </c>
      <c r="AR195" s="379">
        <f t="shared" si="84"/>
        <v>0.96631615970530682</v>
      </c>
      <c r="AS195" s="376">
        <f t="shared" si="85"/>
        <v>6.1514328850231781E-4</v>
      </c>
      <c r="AT195" s="384"/>
      <c r="AU195" s="583">
        <f t="shared" si="69"/>
        <v>0.28310356224717231</v>
      </c>
      <c r="AV195" s="381">
        <f t="shared" si="95"/>
        <v>1.261886950432255</v>
      </c>
      <c r="AW195" s="376">
        <f t="shared" si="70"/>
        <v>1.2619425039438994</v>
      </c>
      <c r="AX195" s="503">
        <f t="shared" si="93"/>
        <v>5.5551968576650346E-5</v>
      </c>
      <c r="AY195" s="376">
        <f t="shared" si="71"/>
        <v>2.4667154942495664</v>
      </c>
      <c r="AZ195" s="381">
        <f t="shared" si="86"/>
        <v>3.8437218085269655E-3</v>
      </c>
      <c r="BA195" s="586">
        <f t="shared" si="87"/>
        <v>0.19470781203169626</v>
      </c>
      <c r="BB195" s="376">
        <f t="shared" si="88"/>
        <v>0.80478377895578279</v>
      </c>
      <c r="BC195" s="376">
        <f t="shared" si="89"/>
        <v>0.80529218796830371</v>
      </c>
      <c r="BD195" s="376">
        <f t="shared" si="90"/>
        <v>5.0827979455836392E-4</v>
      </c>
      <c r="BE195" s="283"/>
      <c r="BF195" s="283"/>
      <c r="BG195" s="283"/>
      <c r="BH195" s="283"/>
      <c r="BI195" s="283"/>
      <c r="BJ195" s="283"/>
      <c r="BK195" s="283"/>
      <c r="BL195" s="283"/>
      <c r="BM195" s="283"/>
      <c r="BN195" s="283"/>
      <c r="BO195" s="283"/>
      <c r="BP195" s="283"/>
      <c r="BQ195" s="283"/>
      <c r="BR195" s="283"/>
      <c r="BS195" s="283"/>
      <c r="BT195" s="283"/>
      <c r="BU195" s="283"/>
      <c r="BV195" s="283"/>
      <c r="BW195" s="283"/>
      <c r="BX195" s="283"/>
      <c r="BY195" s="283"/>
      <c r="BZ195" s="283"/>
      <c r="CA195" s="283"/>
      <c r="CB195" s="283"/>
      <c r="CC195" s="283"/>
      <c r="CD195" s="283"/>
      <c r="CE195" s="283"/>
      <c r="CF195" s="283"/>
      <c r="CG195" s="283"/>
      <c r="CH195" s="283"/>
      <c r="CI195" s="283"/>
      <c r="CJ195" s="283"/>
      <c r="CK195" s="283"/>
      <c r="CL195" s="283"/>
    </row>
    <row r="196" spans="1:90" ht="14.25" customHeight="1" x14ac:dyDescent="0.2">
      <c r="A196" s="3"/>
      <c r="B196" s="252"/>
      <c r="C196" s="3"/>
      <c r="D196" s="3"/>
      <c r="E196" s="3"/>
      <c r="F196" s="3"/>
      <c r="G196" s="252"/>
      <c r="H196" s="3"/>
      <c r="I196" s="3"/>
      <c r="J196" s="3"/>
      <c r="K196" s="3"/>
      <c r="L196" s="252"/>
      <c r="M196" s="3"/>
      <c r="N196" s="3"/>
      <c r="O196" s="3"/>
      <c r="P196" s="3"/>
      <c r="Q196" s="3"/>
      <c r="R196" s="3"/>
      <c r="S196" s="334"/>
      <c r="T196" s="373">
        <f t="shared" si="96"/>
        <v>170</v>
      </c>
      <c r="U196" s="334"/>
      <c r="V196" s="568">
        <f t="shared" si="91"/>
        <v>1.428774290043182E-2</v>
      </c>
      <c r="W196" s="328">
        <f t="shared" si="72"/>
        <v>0.98535070307107897</v>
      </c>
      <c r="X196" s="328">
        <f t="shared" si="73"/>
        <v>0.98571225709956822</v>
      </c>
      <c r="Y196" s="328">
        <f t="shared" si="74"/>
        <v>3.6148867570795495E-4</v>
      </c>
      <c r="Z196" s="334"/>
      <c r="AA196" s="571">
        <f t="shared" si="75"/>
        <v>5.1308665768716441E-2</v>
      </c>
      <c r="AB196" s="327">
        <f t="shared" si="94"/>
        <v>0.94799651658546069</v>
      </c>
      <c r="AC196" s="327">
        <f t="shared" si="76"/>
        <v>0.9486913342312836</v>
      </c>
      <c r="AD196" s="327">
        <f t="shared" si="77"/>
        <v>6.94576315939055E-4</v>
      </c>
      <c r="AE196" s="383"/>
      <c r="AF196" s="574">
        <f t="shared" si="66"/>
        <v>9.3181556860602033E-2</v>
      </c>
      <c r="AG196" s="376">
        <f t="shared" si="92"/>
        <v>0.90617442084633637</v>
      </c>
      <c r="AH196" s="376">
        <f t="shared" si="78"/>
        <v>0.90681844313939797</v>
      </c>
      <c r="AI196" s="553">
        <f t="shared" si="79"/>
        <v>6.4381495521703691E-4</v>
      </c>
      <c r="AJ196" s="374"/>
      <c r="AK196" s="577">
        <f t="shared" si="67"/>
        <v>9.7452827695853408E-2</v>
      </c>
      <c r="AL196" s="376">
        <f t="shared" si="80"/>
        <v>0.90199235759175522</v>
      </c>
      <c r="AM196" s="376">
        <f t="shared" si="81"/>
        <v>0.90254717230414661</v>
      </c>
      <c r="AN196" s="553">
        <f t="shared" si="82"/>
        <v>5.5466083116872955E-4</v>
      </c>
      <c r="AO196" s="554"/>
      <c r="AP196" s="580">
        <f t="shared" si="68"/>
        <v>3.3079732974030551E-2</v>
      </c>
      <c r="AQ196" s="376">
        <f t="shared" si="83"/>
        <v>0.96631615970530682</v>
      </c>
      <c r="AR196" s="379">
        <f t="shared" si="84"/>
        <v>0.96692026702596945</v>
      </c>
      <c r="AS196" s="376">
        <f t="shared" si="85"/>
        <v>6.0392488457405857E-4</v>
      </c>
      <c r="AT196" s="384"/>
      <c r="AU196" s="583">
        <f t="shared" si="69"/>
        <v>0.28308845961730372</v>
      </c>
      <c r="AV196" s="381">
        <f t="shared" si="95"/>
        <v>1.2619425039438994</v>
      </c>
      <c r="AW196" s="376">
        <f t="shared" si="70"/>
        <v>1.2619958520282559</v>
      </c>
      <c r="AX196" s="503">
        <f t="shared" si="93"/>
        <v>5.3346661372799531E-5</v>
      </c>
      <c r="AY196" s="376">
        <f t="shared" si="71"/>
        <v>2.4713560134318673</v>
      </c>
      <c r="AZ196" s="381">
        <f t="shared" si="86"/>
        <v>3.8120175144066037E-3</v>
      </c>
      <c r="BA196" s="586">
        <f t="shared" si="87"/>
        <v>0.1942037026411822</v>
      </c>
      <c r="BB196" s="376">
        <f t="shared" si="88"/>
        <v>0.80529218796830371</v>
      </c>
      <c r="BC196" s="376">
        <f t="shared" si="89"/>
        <v>0.80579629735881775</v>
      </c>
      <c r="BD196" s="376">
        <f t="shared" si="90"/>
        <v>5.0398234872384151E-4</v>
      </c>
      <c r="BE196" s="283"/>
      <c r="BF196" s="283"/>
      <c r="BG196" s="283"/>
      <c r="BH196" s="283"/>
      <c r="BI196" s="283"/>
      <c r="BJ196" s="283"/>
      <c r="BK196" s="283"/>
      <c r="BL196" s="283"/>
      <c r="BM196" s="283"/>
      <c r="BN196" s="283"/>
      <c r="BO196" s="283"/>
      <c r="BP196" s="283"/>
      <c r="BQ196" s="283"/>
      <c r="BR196" s="283"/>
      <c r="BS196" s="283"/>
      <c r="BT196" s="283"/>
      <c r="BU196" s="283"/>
      <c r="BV196" s="283"/>
      <c r="BW196" s="283"/>
      <c r="BX196" s="283"/>
      <c r="BY196" s="283"/>
      <c r="BZ196" s="283"/>
      <c r="CA196" s="283"/>
      <c r="CB196" s="283"/>
      <c r="CC196" s="283"/>
      <c r="CD196" s="283"/>
      <c r="CE196" s="283"/>
      <c r="CF196" s="283"/>
      <c r="CG196" s="283"/>
      <c r="CH196" s="283"/>
      <c r="CI196" s="283"/>
      <c r="CJ196" s="283"/>
      <c r="CK196" s="283"/>
      <c r="CL196" s="283"/>
    </row>
    <row r="197" spans="1:90" ht="14.25" customHeight="1" x14ac:dyDescent="0.2">
      <c r="A197" s="3"/>
      <c r="B197" s="252"/>
      <c r="C197" s="3"/>
      <c r="D197" s="3"/>
      <c r="E197" s="3"/>
      <c r="F197" s="3"/>
      <c r="G197" s="252"/>
      <c r="H197" s="3"/>
      <c r="I197" s="3"/>
      <c r="J197" s="3"/>
      <c r="K197" s="3"/>
      <c r="L197" s="252"/>
      <c r="M197" s="3"/>
      <c r="N197" s="3"/>
      <c r="O197" s="3"/>
      <c r="P197" s="3"/>
      <c r="Q197" s="3"/>
      <c r="R197" s="3"/>
      <c r="S197" s="334"/>
      <c r="T197" s="373">
        <f t="shared" si="96"/>
        <v>171</v>
      </c>
      <c r="U197" s="334"/>
      <c r="V197" s="568">
        <f t="shared" si="91"/>
        <v>1.3935112256877111E-2</v>
      </c>
      <c r="W197" s="328">
        <f t="shared" si="72"/>
        <v>0.98571225709956822</v>
      </c>
      <c r="X197" s="328">
        <f t="shared" si="73"/>
        <v>0.98606488774312284</v>
      </c>
      <c r="Y197" s="328">
        <f t="shared" si="74"/>
        <v>3.5256847667675117E-4</v>
      </c>
      <c r="Z197" s="334"/>
      <c r="AA197" s="571">
        <f t="shared" si="75"/>
        <v>5.0624054508238946E-2</v>
      </c>
      <c r="AB197" s="327">
        <f t="shared" si="94"/>
        <v>0.9486913342312836</v>
      </c>
      <c r="AC197" s="327">
        <f t="shared" si="76"/>
        <v>0.94937594549176108</v>
      </c>
      <c r="AD197" s="327">
        <f t="shared" si="77"/>
        <v>6.8437696765799583E-4</v>
      </c>
      <c r="AE197" s="383"/>
      <c r="AF197" s="574">
        <f t="shared" si="66"/>
        <v>9.2544555686331798E-2</v>
      </c>
      <c r="AG197" s="376">
        <f t="shared" si="92"/>
        <v>0.90681844313939797</v>
      </c>
      <c r="AH197" s="376">
        <f t="shared" si="78"/>
        <v>0.9074554443136682</v>
      </c>
      <c r="AI197" s="553">
        <f t="shared" si="79"/>
        <v>6.3679833209473458E-4</v>
      </c>
      <c r="AJ197" s="374"/>
      <c r="AK197" s="577">
        <f t="shared" si="67"/>
        <v>9.6904045809534115E-2</v>
      </c>
      <c r="AL197" s="376">
        <f t="shared" si="80"/>
        <v>0.90254717230414661</v>
      </c>
      <c r="AM197" s="376">
        <f t="shared" si="81"/>
        <v>0.90309595419046584</v>
      </c>
      <c r="AN197" s="553">
        <f t="shared" si="82"/>
        <v>5.4863133308147294E-4</v>
      </c>
      <c r="AO197" s="554"/>
      <c r="AP197" s="580">
        <f t="shared" si="68"/>
        <v>3.2486641013844575E-2</v>
      </c>
      <c r="AQ197" s="376">
        <f t="shared" si="83"/>
        <v>0.96692026702596945</v>
      </c>
      <c r="AR197" s="379">
        <f t="shared" si="84"/>
        <v>0.96751335898615543</v>
      </c>
      <c r="AS197" s="376">
        <f t="shared" si="85"/>
        <v>5.9291611591505422E-4</v>
      </c>
      <c r="AT197" s="384"/>
      <c r="AU197" s="583">
        <f t="shared" si="69"/>
        <v>0.28307395730736312</v>
      </c>
      <c r="AV197" s="381">
        <f t="shared" si="95"/>
        <v>1.2619958520282559</v>
      </c>
      <c r="AW197" s="376">
        <f t="shared" si="70"/>
        <v>1.2620470822389172</v>
      </c>
      <c r="AX197" s="503">
        <f t="shared" si="93"/>
        <v>5.1228898416355584E-5</v>
      </c>
      <c r="AY197" s="376">
        <f t="shared" si="71"/>
        <v>2.4759693153363607</v>
      </c>
      <c r="AZ197" s="381">
        <f t="shared" si="86"/>
        <v>3.7807583858631604E-3</v>
      </c>
      <c r="BA197" s="586">
        <f t="shared" si="87"/>
        <v>0.19370383166882021</v>
      </c>
      <c r="BB197" s="376">
        <f t="shared" si="88"/>
        <v>0.80579629735881775</v>
      </c>
      <c r="BC197" s="376">
        <f t="shared" si="89"/>
        <v>0.80629616833117979</v>
      </c>
      <c r="BD197" s="376">
        <f t="shared" si="90"/>
        <v>4.9974605768210445E-4</v>
      </c>
      <c r="BE197" s="283"/>
      <c r="BF197" s="283"/>
      <c r="BG197" s="283"/>
      <c r="BH197" s="283"/>
      <c r="BI197" s="283"/>
      <c r="BJ197" s="283"/>
      <c r="BK197" s="283"/>
      <c r="BL197" s="283"/>
      <c r="BM197" s="283"/>
      <c r="BN197" s="283"/>
      <c r="BO197" s="283"/>
      <c r="BP197" s="283"/>
      <c r="BQ197" s="283"/>
      <c r="BR197" s="283"/>
      <c r="BS197" s="283"/>
      <c r="BT197" s="283"/>
      <c r="BU197" s="283"/>
      <c r="BV197" s="283"/>
      <c r="BW197" s="283"/>
      <c r="BX197" s="283"/>
      <c r="BY197" s="283"/>
      <c r="BZ197" s="283"/>
      <c r="CA197" s="283"/>
      <c r="CB197" s="283"/>
      <c r="CC197" s="283"/>
      <c r="CD197" s="283"/>
      <c r="CE197" s="283"/>
      <c r="CF197" s="283"/>
      <c r="CG197" s="283"/>
      <c r="CH197" s="283"/>
      <c r="CI197" s="283"/>
      <c r="CJ197" s="283"/>
      <c r="CK197" s="283"/>
      <c r="CL197" s="283"/>
    </row>
    <row r="198" spans="1:90" ht="14.25" customHeight="1" x14ac:dyDescent="0.2">
      <c r="A198" s="3"/>
      <c r="B198" s="252"/>
      <c r="C198" s="3"/>
      <c r="D198" s="3"/>
      <c r="E198" s="3"/>
      <c r="F198" s="3"/>
      <c r="G198" s="252"/>
      <c r="H198" s="3"/>
      <c r="I198" s="3"/>
      <c r="J198" s="3"/>
      <c r="K198" s="3"/>
      <c r="L198" s="252"/>
      <c r="M198" s="3"/>
      <c r="N198" s="3"/>
      <c r="O198" s="3"/>
      <c r="P198" s="3"/>
      <c r="Q198" s="3"/>
      <c r="R198" s="3"/>
      <c r="S198" s="334"/>
      <c r="T198" s="373">
        <f t="shared" si="96"/>
        <v>172</v>
      </c>
      <c r="U198" s="334"/>
      <c r="V198" s="568">
        <f t="shared" si="91"/>
        <v>1.3591184763402885E-2</v>
      </c>
      <c r="W198" s="328">
        <f t="shared" si="72"/>
        <v>0.98606488774312284</v>
      </c>
      <c r="X198" s="328">
        <f t="shared" si="73"/>
        <v>0.98640881523659707</v>
      </c>
      <c r="Y198" s="328">
        <f t="shared" si="74"/>
        <v>3.4386835719357745E-4</v>
      </c>
      <c r="Z198" s="334"/>
      <c r="AA198" s="571">
        <f t="shared" si="75"/>
        <v>4.9949482103856128E-2</v>
      </c>
      <c r="AB198" s="327">
        <f t="shared" si="94"/>
        <v>0.94937594549176108</v>
      </c>
      <c r="AC198" s="327">
        <f t="shared" si="76"/>
        <v>0.95005051789614392</v>
      </c>
      <c r="AD198" s="327">
        <f t="shared" si="77"/>
        <v>6.7434493157025877E-4</v>
      </c>
      <c r="AE198" s="383"/>
      <c r="AF198" s="574">
        <f t="shared" si="66"/>
        <v>9.1914467924068211E-2</v>
      </c>
      <c r="AG198" s="376">
        <f t="shared" si="92"/>
        <v>0.9074554443136682</v>
      </c>
      <c r="AH198" s="376">
        <f t="shared" si="78"/>
        <v>0.90808553207593179</v>
      </c>
      <c r="AI198" s="553">
        <f t="shared" si="79"/>
        <v>6.2988929865481769E-4</v>
      </c>
      <c r="AJ198" s="374"/>
      <c r="AK198" s="577">
        <f t="shared" si="67"/>
        <v>9.6361200159425522E-2</v>
      </c>
      <c r="AL198" s="376">
        <f t="shared" si="80"/>
        <v>0.90309595419046584</v>
      </c>
      <c r="AM198" s="376">
        <f t="shared" si="81"/>
        <v>0.90363879984057449</v>
      </c>
      <c r="AN198" s="553">
        <f t="shared" si="82"/>
        <v>5.4269833606623852E-4</v>
      </c>
      <c r="AO198" s="554"/>
      <c r="AP198" s="580">
        <f t="shared" si="68"/>
        <v>3.190435860227292E-2</v>
      </c>
      <c r="AQ198" s="376">
        <f t="shared" si="83"/>
        <v>0.96751335898615543</v>
      </c>
      <c r="AR198" s="379">
        <f t="shared" si="84"/>
        <v>0.96809564139772708</v>
      </c>
      <c r="AS198" s="376">
        <f t="shared" si="85"/>
        <v>5.821129180675344E-4</v>
      </c>
      <c r="AT198" s="384"/>
      <c r="AU198" s="583">
        <f t="shared" si="69"/>
        <v>0.28306003142610758</v>
      </c>
      <c r="AV198" s="381">
        <f t="shared" si="95"/>
        <v>1.2620470822389172</v>
      </c>
      <c r="AW198" s="376">
        <f t="shared" si="70"/>
        <v>1.2620962786536722</v>
      </c>
      <c r="AX198" s="503">
        <f t="shared" si="93"/>
        <v>4.9195204631313771E-5</v>
      </c>
      <c r="AY198" s="376">
        <f t="shared" si="71"/>
        <v>2.4805557173684161</v>
      </c>
      <c r="AZ198" s="381">
        <f t="shared" si="86"/>
        <v>3.749935623429923E-3</v>
      </c>
      <c r="BA198" s="586">
        <f t="shared" si="87"/>
        <v>0.19320813913118462</v>
      </c>
      <c r="BB198" s="376">
        <f t="shared" si="88"/>
        <v>0.80629616833117979</v>
      </c>
      <c r="BC198" s="376">
        <f t="shared" si="89"/>
        <v>0.80679186086881538</v>
      </c>
      <c r="BD198" s="376">
        <f t="shared" si="90"/>
        <v>4.9556970238662235E-4</v>
      </c>
      <c r="BE198" s="283"/>
      <c r="BF198" s="283"/>
      <c r="BG198" s="283"/>
      <c r="BH198" s="283"/>
      <c r="BI198" s="283"/>
      <c r="BJ198" s="283"/>
      <c r="BK198" s="283"/>
      <c r="BL198" s="283"/>
      <c r="BM198" s="283"/>
      <c r="BN198" s="283"/>
      <c r="BO198" s="283"/>
      <c r="BP198" s="283"/>
      <c r="BQ198" s="283"/>
      <c r="BR198" s="283"/>
      <c r="BS198" s="283"/>
      <c r="BT198" s="283"/>
      <c r="BU198" s="283"/>
      <c r="BV198" s="283"/>
      <c r="BW198" s="283"/>
      <c r="BX198" s="283"/>
      <c r="BY198" s="283"/>
      <c r="BZ198" s="283"/>
      <c r="CA198" s="283"/>
      <c r="CB198" s="283"/>
      <c r="CC198" s="283"/>
      <c r="CD198" s="283"/>
      <c r="CE198" s="283"/>
      <c r="CF198" s="283"/>
      <c r="CG198" s="283"/>
      <c r="CH198" s="283"/>
      <c r="CI198" s="283"/>
      <c r="CJ198" s="283"/>
      <c r="CK198" s="283"/>
      <c r="CL198" s="283"/>
    </row>
    <row r="199" spans="1:90" ht="14.25" customHeight="1" x14ac:dyDescent="0.2">
      <c r="A199" s="3"/>
      <c r="B199" s="252"/>
      <c r="C199" s="3"/>
      <c r="D199" s="3"/>
      <c r="E199" s="3"/>
      <c r="F199" s="3"/>
      <c r="G199" s="252"/>
      <c r="H199" s="3"/>
      <c r="I199" s="3"/>
      <c r="J199" s="3"/>
      <c r="K199" s="3"/>
      <c r="L199" s="252"/>
      <c r="M199" s="3"/>
      <c r="N199" s="3"/>
      <c r="O199" s="3"/>
      <c r="P199" s="3"/>
      <c r="Q199" s="3"/>
      <c r="R199" s="3"/>
      <c r="S199" s="334"/>
      <c r="T199" s="373">
        <f t="shared" si="96"/>
        <v>173</v>
      </c>
      <c r="U199" s="334"/>
      <c r="V199" s="568">
        <f t="shared" si="91"/>
        <v>1.3255745620692328E-2</v>
      </c>
      <c r="W199" s="328">
        <f t="shared" si="72"/>
        <v>0.98640881523659707</v>
      </c>
      <c r="X199" s="328">
        <f t="shared" si="73"/>
        <v>0.98674425437930768</v>
      </c>
      <c r="Y199" s="328">
        <f t="shared" si="74"/>
        <v>3.3538288929146898E-4</v>
      </c>
      <c r="Z199" s="334"/>
      <c r="AA199" s="571">
        <f t="shared" si="75"/>
        <v>4.9284784150937559E-2</v>
      </c>
      <c r="AB199" s="327">
        <f t="shared" si="94"/>
        <v>0.95005051789614392</v>
      </c>
      <c r="AC199" s="327">
        <f t="shared" si="76"/>
        <v>0.95071521584906249</v>
      </c>
      <c r="AD199" s="327">
        <f t="shared" si="77"/>
        <v>6.6447709017269929E-4</v>
      </c>
      <c r="AE199" s="383"/>
      <c r="AF199" s="574">
        <f t="shared" si="66"/>
        <v>9.1291188021677572E-2</v>
      </c>
      <c r="AG199" s="376">
        <f t="shared" si="92"/>
        <v>0.90808553207593179</v>
      </c>
      <c r="AH199" s="376">
        <f t="shared" si="78"/>
        <v>0.90870881197832243</v>
      </c>
      <c r="AI199" s="553">
        <f t="shared" si="79"/>
        <v>6.2308570382108019E-4</v>
      </c>
      <c r="AJ199" s="374"/>
      <c r="AK199" s="577">
        <f t="shared" si="67"/>
        <v>9.5824196191643063E-2</v>
      </c>
      <c r="AL199" s="376">
        <f t="shared" si="80"/>
        <v>0.90363879984057449</v>
      </c>
      <c r="AM199" s="376">
        <f t="shared" si="81"/>
        <v>0.90417580380835694</v>
      </c>
      <c r="AN199" s="553">
        <f t="shared" si="82"/>
        <v>5.3685980695783453E-4</v>
      </c>
      <c r="AO199" s="554"/>
      <c r="AP199" s="580">
        <f t="shared" si="68"/>
        <v>3.1332683917468018E-2</v>
      </c>
      <c r="AQ199" s="376">
        <f t="shared" si="83"/>
        <v>0.96809564139772708</v>
      </c>
      <c r="AR199" s="379">
        <f t="shared" si="84"/>
        <v>0.96866731608253198</v>
      </c>
      <c r="AS199" s="376">
        <f t="shared" si="85"/>
        <v>5.7151130996613286E-4</v>
      </c>
      <c r="AT199" s="384"/>
      <c r="AU199" s="583">
        <f t="shared" si="69"/>
        <v>0.28304665903535586</v>
      </c>
      <c r="AV199" s="381">
        <f t="shared" si="95"/>
        <v>1.2620962786536722</v>
      </c>
      <c r="AW199" s="376">
        <f t="shared" si="70"/>
        <v>1.2621435220124932</v>
      </c>
      <c r="AX199" s="503">
        <f t="shared" si="93"/>
        <v>4.7242242871115003E-5</v>
      </c>
      <c r="AY199" s="376">
        <f t="shared" si="71"/>
        <v>2.4851155314132503</v>
      </c>
      <c r="AZ199" s="381">
        <f t="shared" si="86"/>
        <v>3.7195406513767433E-3</v>
      </c>
      <c r="BA199" s="586">
        <f t="shared" si="87"/>
        <v>0.19271656623406538</v>
      </c>
      <c r="BB199" s="376">
        <f t="shared" si="88"/>
        <v>0.80679186086881538</v>
      </c>
      <c r="BC199" s="376">
        <f t="shared" si="89"/>
        <v>0.80728343376593459</v>
      </c>
      <c r="BD199" s="376">
        <f t="shared" si="90"/>
        <v>4.9145209495782272E-4</v>
      </c>
      <c r="BE199" s="283"/>
      <c r="BF199" s="283"/>
      <c r="BG199" s="283"/>
      <c r="BH199" s="283"/>
      <c r="BI199" s="283"/>
      <c r="BJ199" s="283"/>
      <c r="BK199" s="283"/>
      <c r="BL199" s="283"/>
      <c r="BM199" s="283"/>
      <c r="BN199" s="283"/>
      <c r="BO199" s="283"/>
      <c r="BP199" s="283"/>
      <c r="BQ199" s="283"/>
      <c r="BR199" s="283"/>
      <c r="BS199" s="283"/>
      <c r="BT199" s="283"/>
      <c r="BU199" s="283"/>
      <c r="BV199" s="283"/>
      <c r="BW199" s="283"/>
      <c r="BX199" s="283"/>
      <c r="BY199" s="283"/>
      <c r="BZ199" s="283"/>
      <c r="CA199" s="283"/>
      <c r="CB199" s="283"/>
      <c r="CC199" s="283"/>
      <c r="CD199" s="283"/>
      <c r="CE199" s="283"/>
      <c r="CF199" s="283"/>
      <c r="CG199" s="283"/>
      <c r="CH199" s="283"/>
      <c r="CI199" s="283"/>
      <c r="CJ199" s="283"/>
      <c r="CK199" s="283"/>
      <c r="CL199" s="283"/>
    </row>
    <row r="200" spans="1:90" ht="14.25" customHeight="1" x14ac:dyDescent="0.2">
      <c r="A200" s="3"/>
      <c r="B200" s="252"/>
      <c r="C200" s="3"/>
      <c r="D200" s="3"/>
      <c r="E200" s="3"/>
      <c r="F200" s="3"/>
      <c r="G200" s="252"/>
      <c r="H200" s="3"/>
      <c r="I200" s="3"/>
      <c r="J200" s="3"/>
      <c r="K200" s="3"/>
      <c r="L200" s="252"/>
      <c r="M200" s="3"/>
      <c r="N200" s="3"/>
      <c r="O200" s="3"/>
      <c r="P200" s="3"/>
      <c r="Q200" s="3"/>
      <c r="R200" s="3"/>
      <c r="S200" s="334"/>
      <c r="T200" s="373">
        <f t="shared" si="96"/>
        <v>174</v>
      </c>
      <c r="U200" s="334"/>
      <c r="V200" s="568">
        <f t="shared" si="91"/>
        <v>1.2928585330813305E-2</v>
      </c>
      <c r="W200" s="328">
        <f t="shared" si="72"/>
        <v>0.98674425437930768</v>
      </c>
      <c r="X200" s="328">
        <f t="shared" si="73"/>
        <v>0.98707141466918669</v>
      </c>
      <c r="Y200" s="328">
        <f t="shared" si="74"/>
        <v>3.2710677878711181E-4</v>
      </c>
      <c r="Z200" s="334"/>
      <c r="AA200" s="571">
        <f t="shared" si="75"/>
        <v>4.8629799302278197E-2</v>
      </c>
      <c r="AB200" s="327">
        <f t="shared" si="94"/>
        <v>0.95071521584906249</v>
      </c>
      <c r="AC200" s="327">
        <f t="shared" si="76"/>
        <v>0.95137020069772182</v>
      </c>
      <c r="AD200" s="327">
        <f t="shared" si="77"/>
        <v>6.5477039290762207E-4</v>
      </c>
      <c r="AE200" s="383"/>
      <c r="AF200" s="574">
        <f t="shared" si="66"/>
        <v>9.0674612528250043E-2</v>
      </c>
      <c r="AG200" s="376">
        <f t="shared" si="92"/>
        <v>0.90870881197832243</v>
      </c>
      <c r="AH200" s="376">
        <f t="shared" si="78"/>
        <v>0.90932538747174996</v>
      </c>
      <c r="AI200" s="553">
        <f t="shared" si="79"/>
        <v>6.1638544981867938E-4</v>
      </c>
      <c r="AJ200" s="374"/>
      <c r="AK200" s="577">
        <f t="shared" si="67"/>
        <v>9.5292941335178891E-2</v>
      </c>
      <c r="AL200" s="376">
        <f t="shared" si="80"/>
        <v>0.90417580380835694</v>
      </c>
      <c r="AM200" s="376">
        <f t="shared" si="81"/>
        <v>0.90470705866482115</v>
      </c>
      <c r="AN200" s="553">
        <f t="shared" si="82"/>
        <v>5.311137655891196E-4</v>
      </c>
      <c r="AO200" s="554"/>
      <c r="AP200" s="580">
        <f t="shared" si="68"/>
        <v>3.0771419045730664E-2</v>
      </c>
      <c r="AQ200" s="376">
        <f t="shared" si="83"/>
        <v>0.96866731608253198</v>
      </c>
      <c r="AR200" s="379">
        <f t="shared" si="84"/>
        <v>0.96922858095426934</v>
      </c>
      <c r="AS200" s="376">
        <f t="shared" si="85"/>
        <v>5.6110739207315685E-4</v>
      </c>
      <c r="AT200" s="384"/>
      <c r="AU200" s="583">
        <f t="shared" si="69"/>
        <v>0.28303381811179407</v>
      </c>
      <c r="AV200" s="381">
        <f t="shared" si="95"/>
        <v>1.2621435220124932</v>
      </c>
      <c r="AW200" s="376">
        <f t="shared" si="70"/>
        <v>1.2621888898500442</v>
      </c>
      <c r="AX200" s="503">
        <f t="shared" si="93"/>
        <v>4.5366808446134499E-5</v>
      </c>
      <c r="AY200" s="376">
        <f t="shared" si="71"/>
        <v>2.4896490639631876</v>
      </c>
      <c r="AZ200" s="381">
        <f t="shared" si="86"/>
        <v>3.6895651107696401E-3</v>
      </c>
      <c r="BA200" s="586">
        <f t="shared" si="87"/>
        <v>0.19222905534222579</v>
      </c>
      <c r="BB200" s="376">
        <f t="shared" si="88"/>
        <v>0.80728343376593459</v>
      </c>
      <c r="BC200" s="376">
        <f t="shared" si="89"/>
        <v>0.80777094465777421</v>
      </c>
      <c r="BD200" s="376">
        <f t="shared" si="90"/>
        <v>4.8739207771331117E-4</v>
      </c>
      <c r="BE200" s="283"/>
      <c r="BF200" s="283"/>
      <c r="BG200" s="283"/>
      <c r="BH200" s="283"/>
      <c r="BI200" s="283"/>
      <c r="BJ200" s="283"/>
      <c r="BK200" s="283"/>
      <c r="BL200" s="283"/>
      <c r="BM200" s="283"/>
      <c r="BN200" s="283"/>
      <c r="BO200" s="283"/>
      <c r="BP200" s="283"/>
      <c r="BQ200" s="283"/>
      <c r="BR200" s="283"/>
      <c r="BS200" s="283"/>
      <c r="BT200" s="283"/>
      <c r="BU200" s="283"/>
      <c r="BV200" s="283"/>
      <c r="BW200" s="283"/>
      <c r="BX200" s="283"/>
      <c r="BY200" s="283"/>
      <c r="BZ200" s="283"/>
      <c r="CA200" s="283"/>
      <c r="CB200" s="283"/>
      <c r="CC200" s="283"/>
      <c r="CD200" s="283"/>
      <c r="CE200" s="283"/>
      <c r="CF200" s="283"/>
      <c r="CG200" s="283"/>
      <c r="CH200" s="283"/>
      <c r="CI200" s="283"/>
      <c r="CJ200" s="283"/>
      <c r="CK200" s="283"/>
      <c r="CL200" s="283"/>
    </row>
    <row r="201" spans="1:90" ht="14.25" customHeight="1" x14ac:dyDescent="0.2">
      <c r="A201" s="3"/>
      <c r="B201" s="252"/>
      <c r="C201" s="3"/>
      <c r="D201" s="3"/>
      <c r="E201" s="3"/>
      <c r="F201" s="3"/>
      <c r="G201" s="252"/>
      <c r="H201" s="3"/>
      <c r="I201" s="3"/>
      <c r="J201" s="3"/>
      <c r="K201" s="3"/>
      <c r="L201" s="252"/>
      <c r="M201" s="3"/>
      <c r="N201" s="3"/>
      <c r="O201" s="3"/>
      <c r="P201" s="3"/>
      <c r="Q201" s="3"/>
      <c r="R201" s="3"/>
      <c r="S201" s="334"/>
      <c r="T201" s="373">
        <f t="shared" si="96"/>
        <v>175</v>
      </c>
      <c r="U201" s="334"/>
      <c r="V201" s="568">
        <f t="shared" si="91"/>
        <v>1.2609499566376791E-2</v>
      </c>
      <c r="W201" s="328">
        <f t="shared" si="72"/>
        <v>0.98707141466918669</v>
      </c>
      <c r="X201" s="328">
        <f t="shared" si="73"/>
        <v>0.9873905004336232</v>
      </c>
      <c r="Y201" s="328">
        <f t="shared" si="74"/>
        <v>3.1903486198825437E-4</v>
      </c>
      <c r="Z201" s="334"/>
      <c r="AA201" s="571">
        <f t="shared" si="75"/>
        <v>4.7984369202585177E-2</v>
      </c>
      <c r="AB201" s="327">
        <f t="shared" si="94"/>
        <v>0.95137020069772182</v>
      </c>
      <c r="AC201" s="327">
        <f t="shared" si="76"/>
        <v>0.9520156307974148</v>
      </c>
      <c r="AD201" s="327">
        <f t="shared" si="77"/>
        <v>6.4522185449111813E-4</v>
      </c>
      <c r="AE201" s="383"/>
      <c r="AF201" s="574">
        <f t="shared" si="66"/>
        <v>9.0064640042253008E-2</v>
      </c>
      <c r="AG201" s="376">
        <f t="shared" si="92"/>
        <v>0.90932538747174996</v>
      </c>
      <c r="AH201" s="376">
        <f t="shared" si="78"/>
        <v>0.90993535995774699</v>
      </c>
      <c r="AI201" s="553">
        <f t="shared" si="79"/>
        <v>6.0978649059950651E-4</v>
      </c>
      <c r="AJ201" s="374"/>
      <c r="AK201" s="577">
        <f t="shared" si="67"/>
        <v>9.4767344950449403E-2</v>
      </c>
      <c r="AL201" s="376">
        <f t="shared" si="80"/>
        <v>0.90470705866482115</v>
      </c>
      <c r="AM201" s="376">
        <f t="shared" si="81"/>
        <v>0.90523265504955064</v>
      </c>
      <c r="AN201" s="553">
        <f t="shared" si="82"/>
        <v>5.2545828314598531E-4</v>
      </c>
      <c r="AO201" s="554"/>
      <c r="AP201" s="580">
        <f t="shared" si="68"/>
        <v>3.0220369901473365E-2</v>
      </c>
      <c r="AQ201" s="376">
        <f t="shared" si="83"/>
        <v>0.96922858095426934</v>
      </c>
      <c r="AR201" s="379">
        <f t="shared" si="84"/>
        <v>0.96977963009852663</v>
      </c>
      <c r="AS201" s="376">
        <f t="shared" si="85"/>
        <v>5.5089734456192918E-4</v>
      </c>
      <c r="AT201" s="384"/>
      <c r="AU201" s="583">
        <f t="shared" si="69"/>
        <v>0.28302148751032591</v>
      </c>
      <c r="AV201" s="381">
        <f t="shared" si="95"/>
        <v>1.2621888898500442</v>
      </c>
      <c r="AW201" s="376">
        <f t="shared" si="70"/>
        <v>1.2622324566229288</v>
      </c>
      <c r="AX201" s="503">
        <f t="shared" si="93"/>
        <v>4.3565823866553721E-5</v>
      </c>
      <c r="AY201" s="376">
        <f t="shared" si="71"/>
        <v>2.4941566162412885</v>
      </c>
      <c r="AZ201" s="381">
        <f t="shared" si="86"/>
        <v>3.6600008527839993E-3</v>
      </c>
      <c r="BA201" s="586">
        <f t="shared" si="87"/>
        <v>0.19174554995009732</v>
      </c>
      <c r="BB201" s="376">
        <f t="shared" si="88"/>
        <v>0.80777094465777421</v>
      </c>
      <c r="BC201" s="376">
        <f t="shared" si="89"/>
        <v>0.80825445004990271</v>
      </c>
      <c r="BD201" s="376">
        <f t="shared" si="90"/>
        <v>4.8338852223284157E-4</v>
      </c>
      <c r="BE201" s="283"/>
      <c r="BF201" s="283"/>
      <c r="BG201" s="283"/>
      <c r="BH201" s="283"/>
      <c r="BI201" s="283"/>
      <c r="BJ201" s="283"/>
      <c r="BK201" s="283"/>
      <c r="BL201" s="283"/>
      <c r="BM201" s="283"/>
      <c r="BN201" s="283"/>
      <c r="BO201" s="283"/>
      <c r="BP201" s="283"/>
      <c r="BQ201" s="283"/>
      <c r="BR201" s="283"/>
      <c r="BS201" s="283"/>
      <c r="BT201" s="283"/>
      <c r="BU201" s="283"/>
      <c r="BV201" s="283"/>
      <c r="BW201" s="283"/>
      <c r="BX201" s="283"/>
      <c r="BY201" s="283"/>
      <c r="BZ201" s="283"/>
      <c r="CA201" s="283"/>
      <c r="CB201" s="283"/>
      <c r="CC201" s="283"/>
      <c r="CD201" s="283"/>
      <c r="CE201" s="283"/>
      <c r="CF201" s="283"/>
      <c r="CG201" s="283"/>
      <c r="CH201" s="283"/>
      <c r="CI201" s="283"/>
      <c r="CJ201" s="283"/>
      <c r="CK201" s="283"/>
      <c r="CL201" s="283"/>
    </row>
    <row r="202" spans="1:90" ht="14.25" customHeight="1" x14ac:dyDescent="0.2">
      <c r="A202" s="3"/>
      <c r="B202" s="252"/>
      <c r="C202" s="3"/>
      <c r="D202" s="3"/>
      <c r="E202" s="3"/>
      <c r="F202" s="3"/>
      <c r="G202" s="252"/>
      <c r="H202" s="3"/>
      <c r="I202" s="3"/>
      <c r="J202" s="3"/>
      <c r="K202" s="3"/>
      <c r="L202" s="252"/>
      <c r="M202" s="3"/>
      <c r="N202" s="3"/>
      <c r="O202" s="3"/>
      <c r="P202" s="3"/>
      <c r="Q202" s="3"/>
      <c r="R202" s="3"/>
      <c r="S202" s="334"/>
      <c r="T202" s="373">
        <f t="shared" si="96"/>
        <v>176</v>
      </c>
      <c r="U202" s="334"/>
      <c r="V202" s="568">
        <f t="shared" si="91"/>
        <v>1.2298289042924562E-2</v>
      </c>
      <c r="W202" s="328">
        <f t="shared" si="72"/>
        <v>0.9873905004336232</v>
      </c>
      <c r="X202" s="328">
        <f t="shared" si="73"/>
        <v>0.98770171095707548</v>
      </c>
      <c r="Y202" s="328">
        <f t="shared" si="74"/>
        <v>3.1116210248050002E-4</v>
      </c>
      <c r="Z202" s="334"/>
      <c r="AA202" s="571">
        <f t="shared" si="75"/>
        <v>4.7348338424597299E-2</v>
      </c>
      <c r="AB202" s="327">
        <f t="shared" si="94"/>
        <v>0.9520156307974148</v>
      </c>
      <c r="AC202" s="327">
        <f t="shared" si="76"/>
        <v>0.95265166157540271</v>
      </c>
      <c r="AD202" s="327">
        <f t="shared" si="77"/>
        <v>6.3582855328858656E-4</v>
      </c>
      <c r="AE202" s="383"/>
      <c r="AF202" s="574">
        <f t="shared" si="66"/>
        <v>8.9461171161218989E-2</v>
      </c>
      <c r="AG202" s="376">
        <f t="shared" si="92"/>
        <v>0.90993535995774699</v>
      </c>
      <c r="AH202" s="376">
        <f t="shared" si="78"/>
        <v>0.91053882883878101</v>
      </c>
      <c r="AI202" s="553">
        <f t="shared" si="79"/>
        <v>6.0328683031130037E-4</v>
      </c>
      <c r="AJ202" s="374"/>
      <c r="AK202" s="577">
        <f t="shared" si="67"/>
        <v>9.4247318279430614E-2</v>
      </c>
      <c r="AL202" s="376">
        <f t="shared" si="80"/>
        <v>0.90523265504955064</v>
      </c>
      <c r="AM202" s="376">
        <f t="shared" si="81"/>
        <v>0.90575268172056944</v>
      </c>
      <c r="AN202" s="553">
        <f t="shared" si="82"/>
        <v>5.1989148058473322E-4</v>
      </c>
      <c r="AO202" s="554"/>
      <c r="AP202" s="580">
        <f t="shared" si="68"/>
        <v>2.9679346148969055E-2</v>
      </c>
      <c r="AQ202" s="376">
        <f t="shared" si="83"/>
        <v>0.96977963009852663</v>
      </c>
      <c r="AR202" s="379">
        <f t="shared" si="84"/>
        <v>0.97032065385103095</v>
      </c>
      <c r="AS202" s="376">
        <f t="shared" si="85"/>
        <v>5.4087742554387308E-4</v>
      </c>
      <c r="AT202" s="384"/>
      <c r="AU202" s="583">
        <f t="shared" si="69"/>
        <v>0.28300964692890374</v>
      </c>
      <c r="AV202" s="381">
        <f t="shared" si="95"/>
        <v>1.2622324566229288</v>
      </c>
      <c r="AW202" s="376">
        <f t="shared" si="70"/>
        <v>1.2622742938318861</v>
      </c>
      <c r="AX202" s="503">
        <f t="shared" si="93"/>
        <v>4.1836333793399128E-5</v>
      </c>
      <c r="AY202" s="376">
        <f t="shared" si="71"/>
        <v>2.4986384843214431</v>
      </c>
      <c r="AZ202" s="381">
        <f t="shared" si="86"/>
        <v>3.6308399322608678E-3</v>
      </c>
      <c r="BA202" s="586">
        <f t="shared" si="87"/>
        <v>0.19126599465337671</v>
      </c>
      <c r="BB202" s="376">
        <f t="shared" si="88"/>
        <v>0.80825445004990271</v>
      </c>
      <c r="BC202" s="376">
        <f t="shared" si="89"/>
        <v>0.80873400534662332</v>
      </c>
      <c r="BD202" s="376">
        <f t="shared" si="90"/>
        <v>4.7944032845792517E-4</v>
      </c>
      <c r="BE202" s="283"/>
      <c r="BF202" s="283"/>
      <c r="BG202" s="283"/>
      <c r="BH202" s="283"/>
      <c r="BI202" s="283"/>
      <c r="BJ202" s="283"/>
      <c r="BK202" s="283"/>
      <c r="BL202" s="283"/>
      <c r="BM202" s="283"/>
      <c r="BN202" s="283"/>
      <c r="BO202" s="283"/>
      <c r="BP202" s="283"/>
      <c r="BQ202" s="283"/>
      <c r="BR202" s="283"/>
      <c r="BS202" s="283"/>
      <c r="BT202" s="283"/>
      <c r="BU202" s="283"/>
      <c r="BV202" s="283"/>
      <c r="BW202" s="283"/>
      <c r="BX202" s="283"/>
      <c r="BY202" s="283"/>
      <c r="BZ202" s="283"/>
      <c r="CA202" s="283"/>
      <c r="CB202" s="283"/>
      <c r="CC202" s="283"/>
      <c r="CD202" s="283"/>
      <c r="CE202" s="283"/>
      <c r="CF202" s="283"/>
      <c r="CG202" s="283"/>
      <c r="CH202" s="283"/>
      <c r="CI202" s="283"/>
      <c r="CJ202" s="283"/>
      <c r="CK202" s="283"/>
      <c r="CL202" s="283"/>
    </row>
    <row r="203" spans="1:90" ht="14.25" customHeight="1" x14ac:dyDescent="0.2">
      <c r="A203" s="3"/>
      <c r="B203" s="252"/>
      <c r="C203" s="3"/>
      <c r="D203" s="3"/>
      <c r="E203" s="3"/>
      <c r="F203" s="3"/>
      <c r="G203" s="252"/>
      <c r="H203" s="3"/>
      <c r="I203" s="3"/>
      <c r="J203" s="3"/>
      <c r="K203" s="3"/>
      <c r="L203" s="252"/>
      <c r="M203" s="3"/>
      <c r="N203" s="3"/>
      <c r="O203" s="3"/>
      <c r="P203" s="3"/>
      <c r="Q203" s="3"/>
      <c r="R203" s="3"/>
      <c r="S203" s="334"/>
      <c r="T203" s="373">
        <f t="shared" si="96"/>
        <v>177</v>
      </c>
      <c r="U203" s="334"/>
      <c r="V203" s="568">
        <f t="shared" si="91"/>
        <v>1.1994759394466425E-2</v>
      </c>
      <c r="W203" s="328">
        <f t="shared" si="72"/>
        <v>0.98770171095707548</v>
      </c>
      <c r="X203" s="328">
        <f t="shared" si="73"/>
        <v>0.98800524060553352</v>
      </c>
      <c r="Y203" s="328">
        <f t="shared" si="74"/>
        <v>3.0348358799459074E-4</v>
      </c>
      <c r="Z203" s="334"/>
      <c r="AA203" s="571">
        <f t="shared" si="75"/>
        <v>4.6721554406789753E-2</v>
      </c>
      <c r="AB203" s="327">
        <f t="shared" si="94"/>
        <v>0.95265166157540271</v>
      </c>
      <c r="AC203" s="327">
        <f t="shared" si="76"/>
        <v>0.95327844559321029</v>
      </c>
      <c r="AD203" s="327">
        <f t="shared" si="77"/>
        <v>6.265876297382178E-4</v>
      </c>
      <c r="AE203" s="383"/>
      <c r="AF203" s="574">
        <f t="shared" si="66"/>
        <v>8.8864108432906708E-2</v>
      </c>
      <c r="AG203" s="376">
        <f t="shared" si="92"/>
        <v>0.91053882883878101</v>
      </c>
      <c r="AH203" s="376">
        <f t="shared" si="78"/>
        <v>0.91113589156709329</v>
      </c>
      <c r="AI203" s="553">
        <f t="shared" si="79"/>
        <v>5.9688452183004337E-4</v>
      </c>
      <c r="AJ203" s="374"/>
      <c r="AK203" s="577">
        <f t="shared" si="67"/>
        <v>9.3732774397324914E-2</v>
      </c>
      <c r="AL203" s="376">
        <f t="shared" si="80"/>
        <v>0.90575268172056944</v>
      </c>
      <c r="AM203" s="376">
        <f t="shared" si="81"/>
        <v>0.90626722560267514</v>
      </c>
      <c r="AN203" s="553">
        <f t="shared" si="82"/>
        <v>5.1441152710418603E-4</v>
      </c>
      <c r="AO203" s="554"/>
      <c r="AP203" s="580">
        <f t="shared" si="68"/>
        <v>2.9148161125837624E-2</v>
      </c>
      <c r="AQ203" s="376">
        <f t="shared" si="83"/>
        <v>0.97032065385103095</v>
      </c>
      <c r="AR203" s="379">
        <f t="shared" si="84"/>
        <v>0.97085183887416238</v>
      </c>
      <c r="AS203" s="376">
        <f t="shared" si="85"/>
        <v>5.3104396934333664E-4</v>
      </c>
      <c r="AT203" s="384"/>
      <c r="AU203" s="583">
        <f t="shared" si="69"/>
        <v>0.28299827687477863</v>
      </c>
      <c r="AV203" s="381">
        <f t="shared" si="95"/>
        <v>1.2622742938318861</v>
      </c>
      <c r="AW203" s="376">
        <f t="shared" si="70"/>
        <v>1.2623144701391371</v>
      </c>
      <c r="AX203" s="503">
        <f t="shared" si="93"/>
        <v>4.0175500194084002E-5</v>
      </c>
      <c r="AY203" s="376">
        <f t="shared" si="71"/>
        <v>2.5030949592450717</v>
      </c>
      <c r="AZ203" s="381">
        <f t="shared" si="86"/>
        <v>3.6020746014960451E-3</v>
      </c>
      <c r="BA203" s="586">
        <f t="shared" si="87"/>
        <v>0.19079033512149229</v>
      </c>
      <c r="BB203" s="376">
        <f t="shared" si="88"/>
        <v>0.80873400534662332</v>
      </c>
      <c r="BC203" s="376">
        <f t="shared" si="89"/>
        <v>0.80920966487850765</v>
      </c>
      <c r="BD203" s="376">
        <f t="shared" si="90"/>
        <v>4.7554642382352519E-4</v>
      </c>
      <c r="BE203" s="283"/>
      <c r="BF203" s="283"/>
      <c r="BG203" s="283"/>
      <c r="BH203" s="283"/>
      <c r="BI203" s="283"/>
      <c r="BJ203" s="283"/>
      <c r="BK203" s="283"/>
      <c r="BL203" s="283"/>
      <c r="BM203" s="283"/>
      <c r="BN203" s="283"/>
      <c r="BO203" s="283"/>
      <c r="BP203" s="283"/>
      <c r="BQ203" s="283"/>
      <c r="BR203" s="283"/>
      <c r="BS203" s="283"/>
      <c r="BT203" s="283"/>
      <c r="BU203" s="283"/>
      <c r="BV203" s="283"/>
      <c r="BW203" s="283"/>
      <c r="BX203" s="283"/>
      <c r="BY203" s="283"/>
      <c r="BZ203" s="283"/>
      <c r="CA203" s="283"/>
      <c r="CB203" s="283"/>
      <c r="CC203" s="283"/>
      <c r="CD203" s="283"/>
      <c r="CE203" s="283"/>
      <c r="CF203" s="283"/>
      <c r="CG203" s="283"/>
      <c r="CH203" s="283"/>
      <c r="CI203" s="283"/>
      <c r="CJ203" s="283"/>
      <c r="CK203" s="283"/>
      <c r="CL203" s="283"/>
    </row>
    <row r="204" spans="1:90" ht="14.25" customHeight="1" x14ac:dyDescent="0.2">
      <c r="A204" s="3"/>
      <c r="B204" s="252"/>
      <c r="C204" s="3"/>
      <c r="D204" s="3"/>
      <c r="E204" s="3"/>
      <c r="F204" s="3"/>
      <c r="G204" s="252"/>
      <c r="H204" s="3"/>
      <c r="I204" s="3"/>
      <c r="J204" s="3"/>
      <c r="K204" s="3"/>
      <c r="L204" s="252"/>
      <c r="M204" s="3"/>
      <c r="N204" s="3"/>
      <c r="O204" s="3"/>
      <c r="P204" s="3"/>
      <c r="Q204" s="3"/>
      <c r="R204" s="3"/>
      <c r="S204" s="334"/>
      <c r="T204" s="373">
        <f t="shared" si="96"/>
        <v>178</v>
      </c>
      <c r="U204" s="334"/>
      <c r="V204" s="568">
        <f t="shared" si="91"/>
        <v>1.1698721052089286E-2</v>
      </c>
      <c r="W204" s="328">
        <f t="shared" si="72"/>
        <v>0.98800524060553352</v>
      </c>
      <c r="X204" s="328">
        <f t="shared" si="73"/>
        <v>0.98830127894791076</v>
      </c>
      <c r="Y204" s="328">
        <f t="shared" si="74"/>
        <v>2.959945273508513E-4</v>
      </c>
      <c r="Z204" s="334"/>
      <c r="AA204" s="571">
        <f t="shared" si="75"/>
        <v>4.6103867392618486E-2</v>
      </c>
      <c r="AB204" s="327">
        <f t="shared" si="94"/>
        <v>0.95327844559321029</v>
      </c>
      <c r="AC204" s="327">
        <f t="shared" si="76"/>
        <v>0.95389613260738149</v>
      </c>
      <c r="AD204" s="327">
        <f t="shared" si="77"/>
        <v>6.1749628481977403E-4</v>
      </c>
      <c r="AE204" s="383"/>
      <c r="AF204" s="574">
        <f t="shared" si="66"/>
        <v>8.8273356307891571E-2</v>
      </c>
      <c r="AG204" s="376">
        <f t="shared" si="92"/>
        <v>0.91113589156709329</v>
      </c>
      <c r="AH204" s="376">
        <f t="shared" si="78"/>
        <v>0.91172664369210843</v>
      </c>
      <c r="AI204" s="553">
        <f t="shared" si="79"/>
        <v>5.9057766533432421E-4</v>
      </c>
      <c r="AJ204" s="374"/>
      <c r="AK204" s="577">
        <f t="shared" si="67"/>
        <v>9.3223628165704508E-2</v>
      </c>
      <c r="AL204" s="376">
        <f t="shared" si="80"/>
        <v>0.90626722560267514</v>
      </c>
      <c r="AM204" s="376">
        <f t="shared" si="81"/>
        <v>0.90677637183429549</v>
      </c>
      <c r="AN204" s="553">
        <f t="shared" si="82"/>
        <v>5.0901663867264357E-4</v>
      </c>
      <c r="AO204" s="554"/>
      <c r="AP204" s="580">
        <f t="shared" si="68"/>
        <v>2.8626631768229327E-2</v>
      </c>
      <c r="AQ204" s="376">
        <f t="shared" si="83"/>
        <v>0.97085183887416238</v>
      </c>
      <c r="AR204" s="379">
        <f t="shared" si="84"/>
        <v>0.97137336823177067</v>
      </c>
      <c r="AS204" s="376">
        <f t="shared" si="85"/>
        <v>5.2139338481183017E-4</v>
      </c>
      <c r="AT204" s="384"/>
      <c r="AU204" s="583">
        <f t="shared" si="69"/>
        <v>0.28298735863211361</v>
      </c>
      <c r="AV204" s="381">
        <f t="shared" si="95"/>
        <v>1.2623144701391371</v>
      </c>
      <c r="AW204" s="376">
        <f t="shared" si="70"/>
        <v>1.2623530514810704</v>
      </c>
      <c r="AX204" s="503">
        <f t="shared" si="93"/>
        <v>3.858059768280242E-5</v>
      </c>
      <c r="AY204" s="376">
        <f t="shared" si="71"/>
        <v>2.5075263271345309</v>
      </c>
      <c r="AZ204" s="381">
        <f t="shared" si="86"/>
        <v>3.5736973042524499E-3</v>
      </c>
      <c r="BA204" s="586">
        <f t="shared" si="87"/>
        <v>0.1903185180709096</v>
      </c>
      <c r="BB204" s="376">
        <f t="shared" si="88"/>
        <v>0.80920966487850765</v>
      </c>
      <c r="BC204" s="376">
        <f t="shared" si="89"/>
        <v>0.8096814819290904</v>
      </c>
      <c r="BD204" s="376">
        <f t="shared" si="90"/>
        <v>4.7170576242139273E-4</v>
      </c>
      <c r="BE204" s="283"/>
      <c r="BF204" s="283"/>
      <c r="BG204" s="283"/>
      <c r="BH204" s="283"/>
      <c r="BI204" s="283"/>
      <c r="BJ204" s="283"/>
      <c r="BK204" s="283"/>
      <c r="BL204" s="283"/>
      <c r="BM204" s="283"/>
      <c r="BN204" s="283"/>
      <c r="BO204" s="283"/>
      <c r="BP204" s="283"/>
      <c r="BQ204" s="283"/>
      <c r="BR204" s="283"/>
      <c r="BS204" s="283"/>
      <c r="BT204" s="283"/>
      <c r="BU204" s="283"/>
      <c r="BV204" s="283"/>
      <c r="BW204" s="283"/>
      <c r="BX204" s="283"/>
      <c r="BY204" s="283"/>
      <c r="BZ204" s="283"/>
      <c r="CA204" s="283"/>
      <c r="CB204" s="283"/>
      <c r="CC204" s="283"/>
      <c r="CD204" s="283"/>
      <c r="CE204" s="283"/>
      <c r="CF204" s="283"/>
      <c r="CG204" s="283"/>
      <c r="CH204" s="283"/>
      <c r="CI204" s="283"/>
      <c r="CJ204" s="283"/>
      <c r="CK204" s="283"/>
      <c r="CL204" s="283"/>
    </row>
    <row r="205" spans="1:90" ht="14.25" customHeight="1" x14ac:dyDescent="0.2">
      <c r="A205" s="3"/>
      <c r="B205" s="252"/>
      <c r="C205" s="3"/>
      <c r="D205" s="3"/>
      <c r="E205" s="3"/>
      <c r="F205" s="3"/>
      <c r="G205" s="252"/>
      <c r="H205" s="3"/>
      <c r="I205" s="3"/>
      <c r="J205" s="3"/>
      <c r="K205" s="3"/>
      <c r="L205" s="252"/>
      <c r="M205" s="3"/>
      <c r="N205" s="3"/>
      <c r="O205" s="3"/>
      <c r="P205" s="3"/>
      <c r="Q205" s="3"/>
      <c r="R205" s="3"/>
      <c r="S205" s="334"/>
      <c r="T205" s="373">
        <f t="shared" si="96"/>
        <v>179</v>
      </c>
      <c r="U205" s="334"/>
      <c r="V205" s="568">
        <f t="shared" si="91"/>
        <v>1.1409989125562209E-2</v>
      </c>
      <c r="W205" s="328">
        <f t="shared" si="72"/>
        <v>0.98830127894791076</v>
      </c>
      <c r="X205" s="328">
        <f t="shared" si="73"/>
        <v>0.98859001087443776</v>
      </c>
      <c r="Y205" s="328">
        <f t="shared" si="74"/>
        <v>2.8869024747579797E-4</v>
      </c>
      <c r="Z205" s="334"/>
      <c r="AA205" s="571">
        <f t="shared" si="75"/>
        <v>4.5495130371259601E-2</v>
      </c>
      <c r="AB205" s="327">
        <f t="shared" si="94"/>
        <v>0.95389613260738149</v>
      </c>
      <c r="AC205" s="327">
        <f t="shared" si="76"/>
        <v>0.95450486962874037</v>
      </c>
      <c r="AD205" s="327">
        <f t="shared" si="77"/>
        <v>6.0855177856822262E-4</v>
      </c>
      <c r="AE205" s="383"/>
      <c r="AF205" s="574">
        <f t="shared" si="66"/>
        <v>8.7688821093533709E-2</v>
      </c>
      <c r="AG205" s="376">
        <f t="shared" si="92"/>
        <v>0.91172664369210843</v>
      </c>
      <c r="AH205" s="376">
        <f t="shared" si="78"/>
        <v>0.91231117890646629</v>
      </c>
      <c r="AI205" s="553">
        <f t="shared" si="79"/>
        <v>5.8436440693210301E-4</v>
      </c>
      <c r="AJ205" s="374"/>
      <c r="AK205" s="577">
        <f t="shared" si="67"/>
        <v>9.2719796187079567E-2</v>
      </c>
      <c r="AL205" s="376">
        <f t="shared" si="80"/>
        <v>0.90677637183429549</v>
      </c>
      <c r="AM205" s="376">
        <f t="shared" si="81"/>
        <v>0.9072802038129204</v>
      </c>
      <c r="AN205" s="553">
        <f t="shared" si="82"/>
        <v>5.0370507660690844E-4</v>
      </c>
      <c r="AO205" s="554"/>
      <c r="AP205" s="580">
        <f t="shared" si="68"/>
        <v>2.8114578537661639E-2</v>
      </c>
      <c r="AQ205" s="376">
        <f t="shared" si="83"/>
        <v>0.97137336823177067</v>
      </c>
      <c r="AR205" s="379">
        <f t="shared" si="84"/>
        <v>0.97188542146233836</v>
      </c>
      <c r="AS205" s="376">
        <f t="shared" si="85"/>
        <v>5.1192215368600635E-4</v>
      </c>
      <c r="AT205" s="384"/>
      <c r="AU205" s="583">
        <f t="shared" si="69"/>
        <v>0.28297687423090129</v>
      </c>
      <c r="AV205" s="381">
        <f t="shared" si="95"/>
        <v>1.2623530514810704</v>
      </c>
      <c r="AW205" s="376">
        <f t="shared" si="70"/>
        <v>1.2623901011764564</v>
      </c>
      <c r="AX205" s="503">
        <f t="shared" si="93"/>
        <v>3.7049009054657134E-5</v>
      </c>
      <c r="AY205" s="376">
        <f t="shared" si="71"/>
        <v>2.5119328693033469</v>
      </c>
      <c r="AZ205" s="381">
        <f t="shared" si="86"/>
        <v>3.5457006699863855E-3</v>
      </c>
      <c r="BA205" s="586">
        <f t="shared" si="87"/>
        <v>0.18985049123924472</v>
      </c>
      <c r="BB205" s="376">
        <f t="shared" si="88"/>
        <v>0.8096814819290904</v>
      </c>
      <c r="BC205" s="376">
        <f t="shared" si="89"/>
        <v>0.81014950876075531</v>
      </c>
      <c r="BD205" s="376">
        <f t="shared" si="90"/>
        <v>4.6791732419215748E-4</v>
      </c>
      <c r="BE205" s="283"/>
      <c r="BF205" s="283"/>
      <c r="BG205" s="283"/>
      <c r="BH205" s="283"/>
      <c r="BI205" s="283"/>
      <c r="BJ205" s="283"/>
      <c r="BK205" s="283"/>
      <c r="BL205" s="283"/>
      <c r="BM205" s="283"/>
      <c r="BN205" s="283"/>
      <c r="BO205" s="283"/>
      <c r="BP205" s="283"/>
      <c r="BQ205" s="283"/>
      <c r="BR205" s="283"/>
      <c r="BS205" s="283"/>
      <c r="BT205" s="283"/>
      <c r="BU205" s="283"/>
      <c r="BV205" s="283"/>
      <c r="BW205" s="283"/>
      <c r="BX205" s="283"/>
      <c r="BY205" s="283"/>
      <c r="BZ205" s="283"/>
      <c r="CA205" s="283"/>
      <c r="CB205" s="283"/>
      <c r="CC205" s="283"/>
      <c r="CD205" s="283"/>
      <c r="CE205" s="283"/>
      <c r="CF205" s="283"/>
      <c r="CG205" s="283"/>
      <c r="CH205" s="283"/>
      <c r="CI205" s="283"/>
      <c r="CJ205" s="283"/>
      <c r="CK205" s="283"/>
      <c r="CL205" s="283"/>
    </row>
    <row r="206" spans="1:90" ht="14.25" customHeight="1" x14ac:dyDescent="0.2">
      <c r="A206" s="3"/>
      <c r="B206" s="252"/>
      <c r="C206" s="3"/>
      <c r="D206" s="3"/>
      <c r="E206" s="3"/>
      <c r="F206" s="3"/>
      <c r="G206" s="252"/>
      <c r="H206" s="3"/>
      <c r="I206" s="3"/>
      <c r="J206" s="3"/>
      <c r="K206" s="3"/>
      <c r="L206" s="252"/>
      <c r="M206" s="3"/>
      <c r="N206" s="3"/>
      <c r="O206" s="3"/>
      <c r="P206" s="3"/>
      <c r="Q206" s="3"/>
      <c r="R206" s="3"/>
      <c r="S206" s="334"/>
      <c r="T206" s="373">
        <f t="shared" si="96"/>
        <v>180</v>
      </c>
      <c r="U206" s="334"/>
      <c r="V206" s="568">
        <f t="shared" si="91"/>
        <v>1.1128383287863535E-2</v>
      </c>
      <c r="W206" s="328">
        <f t="shared" si="72"/>
        <v>0.98859001087443776</v>
      </c>
      <c r="X206" s="328">
        <f t="shared" si="73"/>
        <v>0.98887161671213641</v>
      </c>
      <c r="Y206" s="328">
        <f t="shared" si="74"/>
        <v>2.8156619049646281E-4</v>
      </c>
      <c r="Z206" s="334"/>
      <c r="AA206" s="571">
        <f t="shared" si="75"/>
        <v>4.4895199019800915E-2</v>
      </c>
      <c r="AB206" s="327">
        <f t="shared" si="94"/>
        <v>0.95450486962874037</v>
      </c>
      <c r="AC206" s="327">
        <f t="shared" si="76"/>
        <v>0.95510480098019912</v>
      </c>
      <c r="AD206" s="327">
        <f t="shared" si="77"/>
        <v>5.9975142862778164E-4</v>
      </c>
      <c r="AE206" s="383"/>
      <c r="AF206" s="574">
        <f t="shared" si="66"/>
        <v>8.7110410909277292E-2</v>
      </c>
      <c r="AG206" s="376">
        <f t="shared" si="92"/>
        <v>0.91231117890646629</v>
      </c>
      <c r="AH206" s="376">
        <f t="shared" si="78"/>
        <v>0.91288958909072271</v>
      </c>
      <c r="AI206" s="553">
        <f t="shared" si="79"/>
        <v>5.7824293733310661E-4</v>
      </c>
      <c r="AJ206" s="374"/>
      <c r="AK206" s="577">
        <f t="shared" si="67"/>
        <v>9.222119676084102E-2</v>
      </c>
      <c r="AL206" s="376">
        <f t="shared" si="80"/>
        <v>0.9072802038129204</v>
      </c>
      <c r="AM206" s="376">
        <f t="shared" si="81"/>
        <v>0.90777880323915894</v>
      </c>
      <c r="AN206" s="553">
        <f t="shared" si="82"/>
        <v>4.9847514620082745E-4</v>
      </c>
      <c r="AO206" s="554"/>
      <c r="AP206" s="580">
        <f t="shared" si="68"/>
        <v>2.7611825349467045E-2</v>
      </c>
      <c r="AQ206" s="376">
        <f t="shared" si="83"/>
        <v>0.97188542146233836</v>
      </c>
      <c r="AR206" s="379">
        <f t="shared" si="84"/>
        <v>0.97238817465053295</v>
      </c>
      <c r="AS206" s="376">
        <f t="shared" si="85"/>
        <v>5.0262682898716271E-4</v>
      </c>
      <c r="AT206" s="384"/>
      <c r="AU206" s="583">
        <f t="shared" si="69"/>
        <v>0.28296680641713551</v>
      </c>
      <c r="AV206" s="381">
        <f t="shared" si="95"/>
        <v>1.2623901011764564</v>
      </c>
      <c r="AW206" s="376">
        <f t="shared" si="70"/>
        <v>1.2624256800303639</v>
      </c>
      <c r="AX206" s="503">
        <f t="shared" si="93"/>
        <v>3.5578220987542153E-5</v>
      </c>
      <c r="AY206" s="376">
        <f t="shared" si="71"/>
        <v>2.5163148623633793</v>
      </c>
      <c r="AZ206" s="381">
        <f t="shared" si="86"/>
        <v>3.5180775082790162E-3</v>
      </c>
      <c r="BA206" s="586">
        <f t="shared" si="87"/>
        <v>0.18938620336015596</v>
      </c>
      <c r="BB206" s="376">
        <f t="shared" si="88"/>
        <v>0.81014950876075531</v>
      </c>
      <c r="BC206" s="376">
        <f t="shared" si="89"/>
        <v>0.81061379663984401</v>
      </c>
      <c r="BD206" s="376">
        <f t="shared" si="90"/>
        <v>4.6418011414994798E-4</v>
      </c>
      <c r="BE206" s="283"/>
      <c r="BF206" s="283"/>
      <c r="BG206" s="283"/>
      <c r="BH206" s="283"/>
      <c r="BI206" s="283"/>
      <c r="BJ206" s="283"/>
      <c r="BK206" s="283"/>
      <c r="BL206" s="283"/>
      <c r="BM206" s="283"/>
      <c r="BN206" s="283"/>
      <c r="BO206" s="283"/>
      <c r="BP206" s="283"/>
      <c r="BQ206" s="283"/>
      <c r="BR206" s="283"/>
      <c r="BS206" s="283"/>
      <c r="BT206" s="283"/>
      <c r="BU206" s="283"/>
      <c r="BV206" s="283"/>
      <c r="BW206" s="283"/>
      <c r="BX206" s="283"/>
      <c r="BY206" s="283"/>
      <c r="BZ206" s="283"/>
      <c r="CA206" s="283"/>
      <c r="CB206" s="283"/>
      <c r="CC206" s="283"/>
      <c r="CD206" s="283"/>
      <c r="CE206" s="283"/>
      <c r="CF206" s="283"/>
      <c r="CG206" s="283"/>
      <c r="CH206" s="283"/>
      <c r="CI206" s="283"/>
      <c r="CJ206" s="283"/>
      <c r="CK206" s="283"/>
      <c r="CL206" s="283"/>
    </row>
    <row r="207" spans="1:90" ht="14.25" customHeight="1" x14ac:dyDescent="0.2">
      <c r="A207" s="3"/>
      <c r="B207" s="252"/>
      <c r="C207" s="3"/>
      <c r="D207" s="3"/>
      <c r="E207" s="3"/>
      <c r="F207" s="3"/>
      <c r="G207" s="252"/>
      <c r="H207" s="3"/>
      <c r="I207" s="3"/>
      <c r="J207" s="3"/>
      <c r="K207" s="3"/>
      <c r="L207" s="252"/>
      <c r="M207" s="3"/>
      <c r="N207" s="3"/>
      <c r="O207" s="3"/>
      <c r="P207" s="3"/>
      <c r="Q207" s="3"/>
      <c r="R207" s="3"/>
      <c r="S207" s="334"/>
      <c r="T207" s="373">
        <f t="shared" si="96"/>
        <v>181</v>
      </c>
      <c r="U207" s="334"/>
      <c r="V207" s="568">
        <f t="shared" si="91"/>
        <v>1.0853727662558004E-2</v>
      </c>
      <c r="W207" s="328">
        <f t="shared" si="72"/>
        <v>0.98887161671213641</v>
      </c>
      <c r="X207" s="328">
        <f t="shared" si="73"/>
        <v>0.98914627233744201</v>
      </c>
      <c r="Y207" s="328">
        <f t="shared" si="74"/>
        <v>2.7461791090221954E-4</v>
      </c>
      <c r="Z207" s="334"/>
      <c r="AA207" s="571">
        <f t="shared" si="75"/>
        <v>4.4303931646844839E-2</v>
      </c>
      <c r="AB207" s="327">
        <f t="shared" si="94"/>
        <v>0.95510480098019912</v>
      </c>
      <c r="AC207" s="327">
        <f t="shared" si="76"/>
        <v>0.95569606835315513</v>
      </c>
      <c r="AD207" s="327">
        <f t="shared" si="77"/>
        <v>5.9109260884859793E-4</v>
      </c>
      <c r="AE207" s="383"/>
      <c r="AF207" s="574">
        <f t="shared" si="66"/>
        <v>8.6538035643236588E-2</v>
      </c>
      <c r="AG207" s="376">
        <f t="shared" si="92"/>
        <v>0.91288958909072271</v>
      </c>
      <c r="AH207" s="376">
        <f t="shared" si="78"/>
        <v>0.91346196435676341</v>
      </c>
      <c r="AI207" s="553">
        <f t="shared" si="79"/>
        <v>5.7221149056663201E-4</v>
      </c>
      <c r="AJ207" s="374"/>
      <c r="AK207" s="577">
        <f t="shared" si="67"/>
        <v>9.1727749840529477E-2</v>
      </c>
      <c r="AL207" s="376">
        <f t="shared" si="80"/>
        <v>0.90777880323915894</v>
      </c>
      <c r="AM207" s="376">
        <f t="shared" si="81"/>
        <v>0.90827225015947055</v>
      </c>
      <c r="AN207" s="553">
        <f t="shared" si="82"/>
        <v>4.9332519540246089E-4</v>
      </c>
      <c r="AO207" s="554"/>
      <c r="AP207" s="580">
        <f t="shared" si="68"/>
        <v>2.7118199502814688E-2</v>
      </c>
      <c r="AQ207" s="376">
        <f t="shared" si="83"/>
        <v>0.97238817465053295</v>
      </c>
      <c r="AR207" s="379">
        <f t="shared" si="84"/>
        <v>0.97288180049718531</v>
      </c>
      <c r="AS207" s="376">
        <f t="shared" si="85"/>
        <v>4.9350403345826965E-4</v>
      </c>
      <c r="AT207" s="384"/>
      <c r="AU207" s="583">
        <f t="shared" si="69"/>
        <v>0.28295713862418337</v>
      </c>
      <c r="AV207" s="381">
        <f t="shared" si="95"/>
        <v>1.2624256800303639</v>
      </c>
      <c r="AW207" s="376">
        <f t="shared" si="70"/>
        <v>1.2624598464339516</v>
      </c>
      <c r="AX207" s="503">
        <f t="shared" si="93"/>
        <v>3.4165819922771234E-5</v>
      </c>
      <c r="AY207" s="376">
        <f t="shared" si="71"/>
        <v>2.5206725783290129</v>
      </c>
      <c r="AZ207" s="381">
        <f t="shared" si="86"/>
        <v>3.4908208034646494E-3</v>
      </c>
      <c r="BA207" s="586">
        <f t="shared" si="87"/>
        <v>0.18892560413899057</v>
      </c>
      <c r="BB207" s="376">
        <f t="shared" si="88"/>
        <v>0.81061379663984401</v>
      </c>
      <c r="BC207" s="376">
        <f t="shared" si="89"/>
        <v>0.81107439586100938</v>
      </c>
      <c r="BD207" s="376">
        <f t="shared" si="90"/>
        <v>4.604931616283281E-4</v>
      </c>
      <c r="BE207" s="283"/>
      <c r="BF207" s="283"/>
      <c r="BG207" s="283"/>
      <c r="BH207" s="283"/>
      <c r="BI207" s="283"/>
      <c r="BJ207" s="283"/>
      <c r="BK207" s="283"/>
      <c r="BL207" s="283"/>
      <c r="BM207" s="283"/>
      <c r="BN207" s="283"/>
      <c r="BO207" s="283"/>
      <c r="BP207" s="283"/>
      <c r="BQ207" s="283"/>
      <c r="BR207" s="283"/>
      <c r="BS207" s="283"/>
      <c r="BT207" s="283"/>
      <c r="BU207" s="283"/>
      <c r="BV207" s="283"/>
      <c r="BW207" s="283"/>
      <c r="BX207" s="283"/>
      <c r="BY207" s="283"/>
      <c r="BZ207" s="283"/>
      <c r="CA207" s="283"/>
      <c r="CB207" s="283"/>
      <c r="CC207" s="283"/>
      <c r="CD207" s="283"/>
      <c r="CE207" s="283"/>
      <c r="CF207" s="283"/>
      <c r="CG207" s="283"/>
      <c r="CH207" s="283"/>
      <c r="CI207" s="283"/>
      <c r="CJ207" s="283"/>
      <c r="CK207" s="283"/>
      <c r="CL207" s="283"/>
    </row>
    <row r="208" spans="1:90" ht="14.25" customHeight="1" x14ac:dyDescent="0.2">
      <c r="A208" s="3"/>
      <c r="B208" s="252"/>
      <c r="C208" s="3"/>
      <c r="D208" s="3"/>
      <c r="E208" s="3"/>
      <c r="F208" s="3"/>
      <c r="G208" s="252"/>
      <c r="H208" s="3"/>
      <c r="I208" s="3"/>
      <c r="J208" s="3"/>
      <c r="K208" s="3"/>
      <c r="L208" s="252"/>
      <c r="M208" s="3"/>
      <c r="N208" s="3"/>
      <c r="O208" s="3"/>
      <c r="P208" s="3"/>
      <c r="Q208" s="3"/>
      <c r="R208" s="3"/>
      <c r="S208" s="334"/>
      <c r="T208" s="373">
        <f t="shared" si="96"/>
        <v>182</v>
      </c>
      <c r="U208" s="334"/>
      <c r="V208" s="568">
        <f t="shared" si="91"/>
        <v>1.0585850713953357E-2</v>
      </c>
      <c r="W208" s="328">
        <f t="shared" si="72"/>
        <v>0.98914627233744201</v>
      </c>
      <c r="X208" s="328">
        <f t="shared" si="73"/>
        <v>0.98941414928604665</v>
      </c>
      <c r="Y208" s="328">
        <f t="shared" si="74"/>
        <v>2.678410727783298E-4</v>
      </c>
      <c r="Z208" s="334"/>
      <c r="AA208" s="571">
        <f t="shared" si="75"/>
        <v>4.3721189137481804E-2</v>
      </c>
      <c r="AB208" s="327">
        <f t="shared" si="94"/>
        <v>0.95569606835315513</v>
      </c>
      <c r="AC208" s="327">
        <f t="shared" si="76"/>
        <v>0.9562788108625182</v>
      </c>
      <c r="AD208" s="327">
        <f t="shared" si="77"/>
        <v>5.8257274792428149E-4</v>
      </c>
      <c r="AE208" s="383"/>
      <c r="AF208" s="574">
        <f t="shared" si="66"/>
        <v>8.5971606910025922E-2</v>
      </c>
      <c r="AG208" s="376">
        <f t="shared" si="92"/>
        <v>0.91346196435676341</v>
      </c>
      <c r="AH208" s="376">
        <f t="shared" si="78"/>
        <v>0.91402839308997408</v>
      </c>
      <c r="AI208" s="553">
        <f t="shared" si="79"/>
        <v>5.6626834274042803E-4</v>
      </c>
      <c r="AJ208" s="374"/>
      <c r="AK208" s="577">
        <f t="shared" si="67"/>
        <v>9.1239376992384671E-2</v>
      </c>
      <c r="AL208" s="376">
        <f t="shared" si="80"/>
        <v>0.90827225015947055</v>
      </c>
      <c r="AM208" s="376">
        <f t="shared" si="81"/>
        <v>0.90876062300761529</v>
      </c>
      <c r="AN208" s="553">
        <f t="shared" si="82"/>
        <v>4.8825361353643792E-4</v>
      </c>
      <c r="AO208" s="554"/>
      <c r="AP208" s="580">
        <f t="shared" si="68"/>
        <v>2.6633531612264894E-2</v>
      </c>
      <c r="AQ208" s="376">
        <f t="shared" si="83"/>
        <v>0.97288180049718531</v>
      </c>
      <c r="AR208" s="379">
        <f t="shared" si="84"/>
        <v>0.97336646838773511</v>
      </c>
      <c r="AS208" s="376">
        <f t="shared" si="85"/>
        <v>4.8455045804041141E-4</v>
      </c>
      <c r="AT208" s="384"/>
      <c r="AU208" s="583">
        <f t="shared" si="69"/>
        <v>0.28294785494530955</v>
      </c>
      <c r="AV208" s="381">
        <f t="shared" si="95"/>
        <v>1.2624598464339516</v>
      </c>
      <c r="AW208" s="376">
        <f t="shared" si="70"/>
        <v>1.2624926564602992</v>
      </c>
      <c r="AX208" s="503">
        <f t="shared" si="93"/>
        <v>3.2809488104579287E-5</v>
      </c>
      <c r="AY208" s="376">
        <f t="shared" si="71"/>
        <v>2.5250062847184802</v>
      </c>
      <c r="AZ208" s="381">
        <f t="shared" si="86"/>
        <v>3.4639237094478002E-3</v>
      </c>
      <c r="BA208" s="586">
        <f t="shared" si="87"/>
        <v>0.18846864422915316</v>
      </c>
      <c r="BB208" s="376">
        <f t="shared" si="88"/>
        <v>0.81107439586100938</v>
      </c>
      <c r="BC208" s="376">
        <f t="shared" si="89"/>
        <v>0.81153135577084679</v>
      </c>
      <c r="BD208" s="376">
        <f t="shared" si="90"/>
        <v>4.568555195590962E-4</v>
      </c>
      <c r="BE208" s="283"/>
      <c r="BF208" s="283"/>
      <c r="BG208" s="283"/>
      <c r="BH208" s="283"/>
      <c r="BI208" s="283"/>
      <c r="BJ208" s="283"/>
      <c r="BK208" s="283"/>
      <c r="BL208" s="283"/>
      <c r="BM208" s="283"/>
      <c r="BN208" s="283"/>
      <c r="BO208" s="283"/>
      <c r="BP208" s="283"/>
      <c r="BQ208" s="283"/>
      <c r="BR208" s="283"/>
      <c r="BS208" s="283"/>
      <c r="BT208" s="283"/>
      <c r="BU208" s="283"/>
      <c r="BV208" s="283"/>
      <c r="BW208" s="283"/>
      <c r="BX208" s="283"/>
      <c r="BY208" s="283"/>
      <c r="BZ208" s="283"/>
      <c r="CA208" s="283"/>
      <c r="CB208" s="283"/>
      <c r="CC208" s="283"/>
      <c r="CD208" s="283"/>
      <c r="CE208" s="283"/>
      <c r="CF208" s="283"/>
      <c r="CG208" s="283"/>
      <c r="CH208" s="283"/>
      <c r="CI208" s="283"/>
      <c r="CJ208" s="283"/>
      <c r="CK208" s="283"/>
      <c r="CL208" s="283"/>
    </row>
    <row r="209" spans="1:90" ht="14.25" customHeight="1" x14ac:dyDescent="0.2">
      <c r="A209" s="3"/>
      <c r="B209" s="252"/>
      <c r="C209" s="3"/>
      <c r="D209" s="3"/>
      <c r="E209" s="3"/>
      <c r="F209" s="3"/>
      <c r="G209" s="252"/>
      <c r="H209" s="3"/>
      <c r="I209" s="3"/>
      <c r="J209" s="3"/>
      <c r="K209" s="3"/>
      <c r="L209" s="252"/>
      <c r="M209" s="3"/>
      <c r="N209" s="3"/>
      <c r="O209" s="3"/>
      <c r="P209" s="3"/>
      <c r="Q209" s="3"/>
      <c r="R209" s="3"/>
      <c r="S209" s="334"/>
      <c r="T209" s="373">
        <f t="shared" si="96"/>
        <v>183</v>
      </c>
      <c r="U209" s="334"/>
      <c r="V209" s="568">
        <f t="shared" si="91"/>
        <v>1.0324585139968076E-2</v>
      </c>
      <c r="W209" s="328">
        <f t="shared" si="72"/>
        <v>0.98941414928604665</v>
      </c>
      <c r="X209" s="328">
        <f t="shared" si="73"/>
        <v>0.98967541486003197</v>
      </c>
      <c r="Y209" s="328">
        <f t="shared" si="74"/>
        <v>2.6123144710732404E-4</v>
      </c>
      <c r="Z209" s="334"/>
      <c r="AA209" s="571">
        <f t="shared" si="75"/>
        <v>4.3146834899596156E-2</v>
      </c>
      <c r="AB209" s="327">
        <f t="shared" si="94"/>
        <v>0.9562788108625182</v>
      </c>
      <c r="AC209" s="327">
        <f t="shared" si="76"/>
        <v>0.95685316510040386</v>
      </c>
      <c r="AD209" s="327">
        <f t="shared" si="77"/>
        <v>5.7418932806407863E-4</v>
      </c>
      <c r="AE209" s="383"/>
      <c r="AF209" s="574">
        <f t="shared" si="66"/>
        <v>8.5411038009791218E-2</v>
      </c>
      <c r="AG209" s="376">
        <f t="shared" si="92"/>
        <v>0.91402839308997408</v>
      </c>
      <c r="AH209" s="376">
        <f t="shared" si="78"/>
        <v>0.91458896199020878</v>
      </c>
      <c r="AI209" s="553">
        <f t="shared" si="79"/>
        <v>5.6041181084320879E-4</v>
      </c>
      <c r="AJ209" s="374"/>
      <c r="AK209" s="577">
        <f t="shared" si="67"/>
        <v>9.0756001355129859E-2</v>
      </c>
      <c r="AL209" s="376">
        <f t="shared" si="80"/>
        <v>0.90876062300761529</v>
      </c>
      <c r="AM209" s="376">
        <f t="shared" si="81"/>
        <v>0.90924399864487015</v>
      </c>
      <c r="AN209" s="553">
        <f t="shared" si="82"/>
        <v>4.8325883007283021E-4</v>
      </c>
      <c r="AO209" s="554"/>
      <c r="AP209" s="580">
        <f t="shared" si="68"/>
        <v>2.6157655540819946E-2</v>
      </c>
      <c r="AQ209" s="376">
        <f t="shared" si="83"/>
        <v>0.97336646838773511</v>
      </c>
      <c r="AR209" s="379">
        <f t="shared" si="84"/>
        <v>0.97384234445918005</v>
      </c>
      <c r="AS209" s="376">
        <f t="shared" si="85"/>
        <v>4.7576286038608639E-4</v>
      </c>
      <c r="AT209" s="384"/>
      <c r="AU209" s="583">
        <f t="shared" si="69"/>
        <v>0.28293894010730675</v>
      </c>
      <c r="AV209" s="381">
        <f t="shared" si="95"/>
        <v>1.2624926564602992</v>
      </c>
      <c r="AW209" s="376">
        <f t="shared" si="70"/>
        <v>1.2625241639564326</v>
      </c>
      <c r="AX209" s="503">
        <f t="shared" si="93"/>
        <v>3.1506999777497491E-5</v>
      </c>
      <c r="AY209" s="376">
        <f t="shared" si="71"/>
        <v>2.5293162446524109</v>
      </c>
      <c r="AZ209" s="381">
        <f t="shared" si="86"/>
        <v>3.4373795447014267E-3</v>
      </c>
      <c r="BA209" s="586">
        <f t="shared" si="87"/>
        <v>0.18801527520917669</v>
      </c>
      <c r="BB209" s="376">
        <f t="shared" si="88"/>
        <v>0.81153135577084679</v>
      </c>
      <c r="BC209" s="376">
        <f t="shared" si="89"/>
        <v>0.81198472479082329</v>
      </c>
      <c r="BD209" s="376">
        <f t="shared" si="90"/>
        <v>4.532662637717344E-4</v>
      </c>
      <c r="BE209" s="283"/>
      <c r="BF209" s="283"/>
      <c r="BG209" s="283"/>
      <c r="BH209" s="283"/>
      <c r="BI209" s="283"/>
      <c r="BJ209" s="283"/>
      <c r="BK209" s="283"/>
      <c r="BL209" s="283"/>
      <c r="BM209" s="283"/>
      <c r="BN209" s="283"/>
      <c r="BO209" s="283"/>
      <c r="BP209" s="283"/>
      <c r="BQ209" s="283"/>
      <c r="BR209" s="283"/>
      <c r="BS209" s="283"/>
      <c r="BT209" s="283"/>
      <c r="BU209" s="283"/>
      <c r="BV209" s="283"/>
      <c r="BW209" s="283"/>
      <c r="BX209" s="283"/>
      <c r="BY209" s="283"/>
      <c r="BZ209" s="283"/>
      <c r="CA209" s="283"/>
      <c r="CB209" s="283"/>
      <c r="CC209" s="283"/>
      <c r="CD209" s="283"/>
      <c r="CE209" s="283"/>
      <c r="CF209" s="283"/>
      <c r="CG209" s="283"/>
      <c r="CH209" s="283"/>
      <c r="CI209" s="283"/>
      <c r="CJ209" s="283"/>
      <c r="CK209" s="283"/>
      <c r="CL209" s="283"/>
    </row>
    <row r="210" spans="1:90" ht="14.25" customHeight="1" x14ac:dyDescent="0.2">
      <c r="A210" s="3"/>
      <c r="B210" s="252"/>
      <c r="C210" s="3"/>
      <c r="D210" s="3"/>
      <c r="E210" s="3"/>
      <c r="F210" s="3"/>
      <c r="G210" s="252"/>
      <c r="H210" s="3"/>
      <c r="I210" s="3"/>
      <c r="J210" s="3"/>
      <c r="K210" s="3"/>
      <c r="L210" s="252"/>
      <c r="M210" s="3"/>
      <c r="N210" s="3"/>
      <c r="O210" s="3"/>
      <c r="P210" s="3"/>
      <c r="Q210" s="3"/>
      <c r="R210" s="3"/>
      <c r="S210" s="334"/>
      <c r="T210" s="373">
        <f t="shared" si="96"/>
        <v>184</v>
      </c>
      <c r="U210" s="334"/>
      <c r="V210" s="568">
        <f t="shared" si="91"/>
        <v>1.0069767767643139E-2</v>
      </c>
      <c r="W210" s="328">
        <f t="shared" si="72"/>
        <v>0.98967541486003197</v>
      </c>
      <c r="X210" s="328">
        <f t="shared" si="73"/>
        <v>0.98993023223235688</v>
      </c>
      <c r="Y210" s="328">
        <f t="shared" si="74"/>
        <v>2.5478490913577456E-4</v>
      </c>
      <c r="Z210" s="334"/>
      <c r="AA210" s="571">
        <f t="shared" si="75"/>
        <v>4.2580734811466681E-2</v>
      </c>
      <c r="AB210" s="327">
        <f t="shared" si="94"/>
        <v>0.95685316510040386</v>
      </c>
      <c r="AC210" s="327">
        <f t="shared" si="76"/>
        <v>0.95741926518853337</v>
      </c>
      <c r="AD210" s="327">
        <f t="shared" si="77"/>
        <v>5.6593988370667869E-4</v>
      </c>
      <c r="AE210" s="383"/>
      <c r="AF210" s="574">
        <f t="shared" si="66"/>
        <v>8.4856243888404292E-2</v>
      </c>
      <c r="AG210" s="376">
        <f t="shared" si="92"/>
        <v>0.91458896199020878</v>
      </c>
      <c r="AH210" s="376">
        <f t="shared" si="78"/>
        <v>0.91514375611159571</v>
      </c>
      <c r="AI210" s="553">
        <f t="shared" si="79"/>
        <v>5.5464025158502572E-4</v>
      </c>
      <c r="AJ210" s="374"/>
      <c r="AK210" s="577">
        <f t="shared" si="67"/>
        <v>9.027754760095065E-2</v>
      </c>
      <c r="AL210" s="376">
        <f t="shared" si="80"/>
        <v>0.90924399864487015</v>
      </c>
      <c r="AM210" s="376">
        <f t="shared" si="81"/>
        <v>0.90972245239904936</v>
      </c>
      <c r="AN210" s="553">
        <f t="shared" si="82"/>
        <v>4.7833931343399527E-4</v>
      </c>
      <c r="AO210" s="554"/>
      <c r="AP210" s="580">
        <f t="shared" si="68"/>
        <v>2.5690408334434145E-2</v>
      </c>
      <c r="AQ210" s="376">
        <f t="shared" si="83"/>
        <v>0.97384234445918005</v>
      </c>
      <c r="AR210" s="379">
        <f t="shared" si="84"/>
        <v>0.97430959166556586</v>
      </c>
      <c r="AS210" s="376">
        <f t="shared" si="85"/>
        <v>4.6713806340947794E-4</v>
      </c>
      <c r="AT210" s="384"/>
      <c r="AU210" s="583">
        <f t="shared" si="69"/>
        <v>0.28293037944518568</v>
      </c>
      <c r="AV210" s="381">
        <f t="shared" si="95"/>
        <v>1.2625241639564326</v>
      </c>
      <c r="AW210" s="376">
        <f t="shared" si="70"/>
        <v>1.2625544206316965</v>
      </c>
      <c r="AX210" s="503">
        <f t="shared" si="93"/>
        <v>3.0256217535273855E-5</v>
      </c>
      <c r="AY210" s="376">
        <f t="shared" si="71"/>
        <v>2.5336027169496904</v>
      </c>
      <c r="AZ210" s="381">
        <f t="shared" si="86"/>
        <v>3.4111817874390628E-3</v>
      </c>
      <c r="BA210" s="586">
        <f t="shared" si="87"/>
        <v>0.1875654495604677</v>
      </c>
      <c r="BB210" s="376">
        <f t="shared" si="88"/>
        <v>0.81198472479082329</v>
      </c>
      <c r="BC210" s="376">
        <f t="shared" si="89"/>
        <v>0.81243455043953228</v>
      </c>
      <c r="BD210" s="376">
        <f t="shared" si="90"/>
        <v>4.4972449232005829E-4</v>
      </c>
      <c r="BE210" s="283"/>
      <c r="BF210" s="283"/>
      <c r="BG210" s="283"/>
      <c r="BH210" s="283"/>
      <c r="BI210" s="283"/>
      <c r="BJ210" s="283"/>
      <c r="BK210" s="283"/>
      <c r="BL210" s="283"/>
      <c r="BM210" s="283"/>
      <c r="BN210" s="283"/>
      <c r="BO210" s="283"/>
      <c r="BP210" s="283"/>
      <c r="BQ210" s="283"/>
      <c r="BR210" s="283"/>
      <c r="BS210" s="283"/>
      <c r="BT210" s="283"/>
      <c r="BU210" s="283"/>
      <c r="BV210" s="283"/>
      <c r="BW210" s="283"/>
      <c r="BX210" s="283"/>
      <c r="BY210" s="283"/>
      <c r="BZ210" s="283"/>
      <c r="CA210" s="283"/>
      <c r="CB210" s="283"/>
      <c r="CC210" s="283"/>
      <c r="CD210" s="283"/>
      <c r="CE210" s="283"/>
      <c r="CF210" s="283"/>
      <c r="CG210" s="283"/>
      <c r="CH210" s="283"/>
      <c r="CI210" s="283"/>
      <c r="CJ210" s="283"/>
      <c r="CK210" s="283"/>
      <c r="CL210" s="283"/>
    </row>
    <row r="211" spans="1:90" ht="14.25" customHeight="1" x14ac:dyDescent="0.2">
      <c r="A211" s="3"/>
      <c r="B211" s="252"/>
      <c r="C211" s="3"/>
      <c r="D211" s="3"/>
      <c r="E211" s="3"/>
      <c r="F211" s="3"/>
      <c r="G211" s="252"/>
      <c r="H211" s="3"/>
      <c r="I211" s="3"/>
      <c r="J211" s="3"/>
      <c r="K211" s="3"/>
      <c r="L211" s="252"/>
      <c r="M211" s="3"/>
      <c r="N211" s="3"/>
      <c r="O211" s="3"/>
      <c r="P211" s="3"/>
      <c r="Q211" s="3"/>
      <c r="R211" s="3"/>
      <c r="S211" s="334"/>
      <c r="T211" s="373">
        <f t="shared" si="96"/>
        <v>185</v>
      </c>
      <c r="U211" s="334"/>
      <c r="V211" s="568">
        <f t="shared" si="91"/>
        <v>9.8212394512326353E-3</v>
      </c>
      <c r="W211" s="328">
        <f t="shared" si="72"/>
        <v>0.98993023223235688</v>
      </c>
      <c r="X211" s="328">
        <f t="shared" si="73"/>
        <v>0.99017876054876741</v>
      </c>
      <c r="Y211" s="328">
        <f t="shared" si="74"/>
        <v>2.4849743580679373E-4</v>
      </c>
      <c r="Z211" s="334"/>
      <c r="AA211" s="571">
        <f t="shared" si="75"/>
        <v>4.2022757170625667E-2</v>
      </c>
      <c r="AB211" s="327">
        <f t="shared" si="94"/>
        <v>0.95741926518853337</v>
      </c>
      <c r="AC211" s="327">
        <f t="shared" si="76"/>
        <v>0.95797724282937435</v>
      </c>
      <c r="AD211" s="327">
        <f t="shared" si="77"/>
        <v>5.5782200026643913E-4</v>
      </c>
      <c r="AE211" s="383"/>
      <c r="AF211" s="574">
        <f t="shared" si="66"/>
        <v>8.4307141098780125E-2</v>
      </c>
      <c r="AG211" s="376">
        <f t="shared" si="92"/>
        <v>0.91514375611159571</v>
      </c>
      <c r="AH211" s="376">
        <f t="shared" si="78"/>
        <v>0.91569285890121987</v>
      </c>
      <c r="AI211" s="553">
        <f t="shared" si="79"/>
        <v>5.4895206027727461E-4</v>
      </c>
      <c r="AJ211" s="374"/>
      <c r="AK211" s="577">
        <f t="shared" si="67"/>
        <v>8.9803941897624459E-2</v>
      </c>
      <c r="AL211" s="376">
        <f t="shared" si="80"/>
        <v>0.90972245239904936</v>
      </c>
      <c r="AM211" s="376">
        <f t="shared" si="81"/>
        <v>0.91019605810237558</v>
      </c>
      <c r="AN211" s="553">
        <f t="shared" si="82"/>
        <v>4.7349356984816016E-4</v>
      </c>
      <c r="AO211" s="554"/>
      <c r="AP211" s="580">
        <f t="shared" si="68"/>
        <v>2.5231630157947937E-2</v>
      </c>
      <c r="AQ211" s="376">
        <f t="shared" si="83"/>
        <v>0.97430959166556586</v>
      </c>
      <c r="AR211" s="379">
        <f t="shared" si="84"/>
        <v>0.97476836984205206</v>
      </c>
      <c r="AS211" s="376">
        <f t="shared" si="85"/>
        <v>4.5867295387047591E-4</v>
      </c>
      <c r="AT211" s="384"/>
      <c r="AU211" s="583">
        <f t="shared" si="69"/>
        <v>0.28292215887788258</v>
      </c>
      <c r="AV211" s="381">
        <f t="shared" si="95"/>
        <v>1.2625544206316965</v>
      </c>
      <c r="AW211" s="376">
        <f t="shared" si="70"/>
        <v>1.2625834761426182</v>
      </c>
      <c r="AX211" s="503">
        <f t="shared" si="93"/>
        <v>2.9055088814455843E-5</v>
      </c>
      <c r="AY211" s="376">
        <f t="shared" si="71"/>
        <v>2.5378659562207266</v>
      </c>
      <c r="AZ211" s="381">
        <f t="shared" si="86"/>
        <v>3.3853240709538863E-3</v>
      </c>
      <c r="BA211" s="586">
        <f t="shared" si="87"/>
        <v>0.18711912064570407</v>
      </c>
      <c r="BB211" s="376">
        <f t="shared" si="88"/>
        <v>0.81243455043953228</v>
      </c>
      <c r="BC211" s="376">
        <f t="shared" si="89"/>
        <v>0.81288087935429587</v>
      </c>
      <c r="BD211" s="376">
        <f t="shared" si="90"/>
        <v>4.4622932483073807E-4</v>
      </c>
      <c r="BE211" s="283"/>
      <c r="BF211" s="283"/>
      <c r="BG211" s="283"/>
      <c r="BH211" s="283"/>
      <c r="BI211" s="283"/>
      <c r="BJ211" s="283"/>
      <c r="BK211" s="283"/>
      <c r="BL211" s="283"/>
      <c r="BM211" s="283"/>
      <c r="BN211" s="283"/>
      <c r="BO211" s="283"/>
      <c r="BP211" s="283"/>
      <c r="BQ211" s="283"/>
      <c r="BR211" s="283"/>
      <c r="BS211" s="283"/>
      <c r="BT211" s="283"/>
      <c r="BU211" s="283"/>
      <c r="BV211" s="283"/>
      <c r="BW211" s="283"/>
      <c r="BX211" s="283"/>
      <c r="BY211" s="283"/>
      <c r="BZ211" s="283"/>
      <c r="CA211" s="283"/>
      <c r="CB211" s="283"/>
      <c r="CC211" s="283"/>
      <c r="CD211" s="283"/>
      <c r="CE211" s="283"/>
      <c r="CF211" s="283"/>
      <c r="CG211" s="283"/>
      <c r="CH211" s="283"/>
      <c r="CI211" s="283"/>
      <c r="CJ211" s="283"/>
      <c r="CK211" s="283"/>
      <c r="CL211" s="283"/>
    </row>
    <row r="212" spans="1:90" ht="14.25" customHeight="1" x14ac:dyDescent="0.2">
      <c r="A212" s="3"/>
      <c r="B212" s="252"/>
      <c r="C212" s="3"/>
      <c r="D212" s="3"/>
      <c r="E212" s="3"/>
      <c r="F212" s="3"/>
      <c r="G212" s="252"/>
      <c r="H212" s="3"/>
      <c r="I212" s="3"/>
      <c r="J212" s="3"/>
      <c r="K212" s="3"/>
      <c r="L212" s="252"/>
      <c r="M212" s="3"/>
      <c r="N212" s="3"/>
      <c r="O212" s="3"/>
      <c r="P212" s="3"/>
      <c r="Q212" s="3"/>
      <c r="R212" s="3"/>
      <c r="S212" s="334"/>
      <c r="T212" s="373">
        <f t="shared" si="96"/>
        <v>186</v>
      </c>
      <c r="U212" s="334"/>
      <c r="V212" s="568">
        <f t="shared" si="91"/>
        <v>9.5788449728095668E-3</v>
      </c>
      <c r="W212" s="328">
        <f t="shared" si="72"/>
        <v>0.99017876054876741</v>
      </c>
      <c r="X212" s="328">
        <f t="shared" si="73"/>
        <v>0.99042115502719041</v>
      </c>
      <c r="Y212" s="328">
        <f t="shared" si="74"/>
        <v>2.4236510325492677E-4</v>
      </c>
      <c r="Z212" s="334"/>
      <c r="AA212" s="571">
        <f t="shared" si="75"/>
        <v>4.1472772643941488E-2</v>
      </c>
      <c r="AB212" s="327">
        <f t="shared" si="94"/>
        <v>0.95797724282937435</v>
      </c>
      <c r="AC212" s="327">
        <f t="shared" si="76"/>
        <v>0.95852722735605855</v>
      </c>
      <c r="AD212" s="327">
        <f t="shared" si="77"/>
        <v>5.4983331291746929E-4</v>
      </c>
      <c r="AE212" s="383"/>
      <c r="AF212" s="574">
        <f t="shared" si="66"/>
        <v>8.3763647763281601E-2</v>
      </c>
      <c r="AG212" s="376">
        <f t="shared" si="92"/>
        <v>0.91569285890121987</v>
      </c>
      <c r="AH212" s="376">
        <f t="shared" si="78"/>
        <v>0.9162363522367184</v>
      </c>
      <c r="AI212" s="553">
        <f t="shared" si="79"/>
        <v>5.4334566974867382E-4</v>
      </c>
      <c r="AJ212" s="374"/>
      <c r="AK212" s="577">
        <f t="shared" si="67"/>
        <v>8.9335111871764183E-2</v>
      </c>
      <c r="AL212" s="376">
        <f t="shared" si="80"/>
        <v>0.91019605810237558</v>
      </c>
      <c r="AM212" s="376">
        <f t="shared" si="81"/>
        <v>0.91066488812823576</v>
      </c>
      <c r="AN212" s="553">
        <f t="shared" si="82"/>
        <v>4.6872014223653391E-4</v>
      </c>
      <c r="AO212" s="554"/>
      <c r="AP212" s="580">
        <f t="shared" si="68"/>
        <v>2.4781164232411168E-2</v>
      </c>
      <c r="AQ212" s="376">
        <f t="shared" si="83"/>
        <v>0.97476836984205206</v>
      </c>
      <c r="AR212" s="379">
        <f t="shared" si="84"/>
        <v>0.97521883576758883</v>
      </c>
      <c r="AS212" s="376">
        <f t="shared" si="85"/>
        <v>4.5036448099478044E-4</v>
      </c>
      <c r="AT212" s="384"/>
      <c r="AU212" s="583">
        <f t="shared" si="69"/>
        <v>0.2829142648849427</v>
      </c>
      <c r="AV212" s="381">
        <f t="shared" si="95"/>
        <v>1.2625834761426182</v>
      </c>
      <c r="AW212" s="376">
        <f t="shared" si="70"/>
        <v>1.2626113781744031</v>
      </c>
      <c r="AX212" s="503">
        <f t="shared" si="93"/>
        <v>2.7901642526750869E-5</v>
      </c>
      <c r="AY212" s="376">
        <f t="shared" si="71"/>
        <v>2.5421062129581995</v>
      </c>
      <c r="AZ212" s="381">
        <f t="shared" si="86"/>
        <v>3.3598001791180633E-3</v>
      </c>
      <c r="BA212" s="586">
        <f t="shared" si="87"/>
        <v>0.1866762426878627</v>
      </c>
      <c r="BB212" s="376">
        <f t="shared" si="88"/>
        <v>0.81288087935429587</v>
      </c>
      <c r="BC212" s="376">
        <f t="shared" si="89"/>
        <v>0.81332375731213724</v>
      </c>
      <c r="BD212" s="376">
        <f t="shared" si="90"/>
        <v>4.427799018746903E-4</v>
      </c>
      <c r="BE212" s="283"/>
      <c r="BF212" s="283"/>
      <c r="BG212" s="283"/>
      <c r="BH212" s="283"/>
      <c r="BI212" s="283"/>
      <c r="BJ212" s="283"/>
      <c r="BK212" s="283"/>
      <c r="BL212" s="283"/>
      <c r="BM212" s="283"/>
      <c r="BN212" s="283"/>
      <c r="BO212" s="283"/>
      <c r="BP212" s="283"/>
      <c r="BQ212" s="283"/>
      <c r="BR212" s="283"/>
      <c r="BS212" s="283"/>
      <c r="BT212" s="283"/>
      <c r="BU212" s="283"/>
      <c r="BV212" s="283"/>
      <c r="BW212" s="283"/>
      <c r="BX212" s="283"/>
      <c r="BY212" s="283"/>
      <c r="BZ212" s="283"/>
      <c r="CA212" s="283"/>
      <c r="CB212" s="283"/>
      <c r="CC212" s="283"/>
      <c r="CD212" s="283"/>
      <c r="CE212" s="283"/>
      <c r="CF212" s="283"/>
      <c r="CG212" s="283"/>
      <c r="CH212" s="283"/>
      <c r="CI212" s="283"/>
      <c r="CJ212" s="283"/>
      <c r="CK212" s="283"/>
      <c r="CL212" s="283"/>
    </row>
    <row r="213" spans="1:90" ht="14.25" customHeight="1" x14ac:dyDescent="0.2">
      <c r="A213" s="3"/>
      <c r="B213" s="252"/>
      <c r="C213" s="3"/>
      <c r="D213" s="3"/>
      <c r="E213" s="3"/>
      <c r="F213" s="3"/>
      <c r="G213" s="252"/>
      <c r="H213" s="3"/>
      <c r="I213" s="3"/>
      <c r="J213" s="3"/>
      <c r="K213" s="3"/>
      <c r="L213" s="252"/>
      <c r="M213" s="3"/>
      <c r="N213" s="3"/>
      <c r="O213" s="3"/>
      <c r="P213" s="3"/>
      <c r="Q213" s="3"/>
      <c r="R213" s="3"/>
      <c r="S213" s="334"/>
      <c r="T213" s="373">
        <f t="shared" si="96"/>
        <v>187</v>
      </c>
      <c r="U213" s="334"/>
      <c r="V213" s="568">
        <f t="shared" si="91"/>
        <v>9.3424329453247693E-3</v>
      </c>
      <c r="W213" s="328">
        <f t="shared" si="72"/>
        <v>0.99042115502719041</v>
      </c>
      <c r="X213" s="328">
        <f t="shared" si="73"/>
        <v>0.99065756705467523</v>
      </c>
      <c r="Y213" s="328">
        <f t="shared" si="74"/>
        <v>2.3638408436355007E-4</v>
      </c>
      <c r="Z213" s="334"/>
      <c r="AA213" s="571">
        <f t="shared" si="75"/>
        <v>4.093065421889059E-2</v>
      </c>
      <c r="AB213" s="327">
        <f t="shared" si="94"/>
        <v>0.95852722735605855</v>
      </c>
      <c r="AC213" s="327">
        <f t="shared" si="76"/>
        <v>0.95906934578110936</v>
      </c>
      <c r="AD213" s="327">
        <f t="shared" si="77"/>
        <v>5.4197150540791217E-4</v>
      </c>
      <c r="AE213" s="383"/>
      <c r="AF213" s="574">
        <f t="shared" si="66"/>
        <v>8.3225683537175077E-2</v>
      </c>
      <c r="AG213" s="376">
        <f t="shared" si="92"/>
        <v>0.9162363522367184</v>
      </c>
      <c r="AH213" s="376">
        <f t="shared" si="78"/>
        <v>0.91677431646282492</v>
      </c>
      <c r="AI213" s="553">
        <f t="shared" si="79"/>
        <v>5.3781954929710274E-4</v>
      </c>
      <c r="AJ213" s="374"/>
      <c r="AK213" s="577">
        <f t="shared" si="67"/>
        <v>8.8870986573135399E-2</v>
      </c>
      <c r="AL213" s="376">
        <f t="shared" si="80"/>
        <v>0.91066488812823576</v>
      </c>
      <c r="AM213" s="376">
        <f t="shared" si="81"/>
        <v>0.91112901342686459</v>
      </c>
      <c r="AN213" s="553">
        <f t="shared" si="82"/>
        <v>4.6401760914349666E-4</v>
      </c>
      <c r="AO213" s="554"/>
      <c r="AP213" s="580">
        <f t="shared" si="68"/>
        <v>2.4338856773762352E-2</v>
      </c>
      <c r="AQ213" s="376">
        <f t="shared" si="83"/>
        <v>0.97521883576758883</v>
      </c>
      <c r="AR213" s="379">
        <f t="shared" si="84"/>
        <v>0.97566114322623765</v>
      </c>
      <c r="AS213" s="376">
        <f t="shared" si="85"/>
        <v>4.4220965512509203E-4</v>
      </c>
      <c r="AT213" s="384"/>
      <c r="AU213" s="583">
        <f t="shared" si="69"/>
        <v>0.2829066844841393</v>
      </c>
      <c r="AV213" s="381">
        <f t="shared" si="95"/>
        <v>1.2626113781744031</v>
      </c>
      <c r="AW213" s="376">
        <f t="shared" si="70"/>
        <v>1.2626381725191946</v>
      </c>
      <c r="AX213" s="503">
        <f t="shared" si="93"/>
        <v>2.6793985826278899E-5</v>
      </c>
      <c r="AY213" s="376">
        <f t="shared" si="71"/>
        <v>2.5463237336253739</v>
      </c>
      <c r="AZ213" s="381">
        <f t="shared" si="86"/>
        <v>3.3346040420361134E-3</v>
      </c>
      <c r="BA213" s="586">
        <f t="shared" si="87"/>
        <v>0.1862367707498549</v>
      </c>
      <c r="BB213" s="376">
        <f t="shared" si="88"/>
        <v>0.81332375731213724</v>
      </c>
      <c r="BC213" s="376">
        <f t="shared" si="89"/>
        <v>0.8137632292501451</v>
      </c>
      <c r="BD213" s="376">
        <f t="shared" si="90"/>
        <v>4.3937538436045198E-4</v>
      </c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3"/>
      <c r="CB213" s="283"/>
      <c r="CC213" s="283"/>
      <c r="CD213" s="283"/>
      <c r="CE213" s="283"/>
      <c r="CF213" s="283"/>
      <c r="CG213" s="283"/>
      <c r="CH213" s="283"/>
      <c r="CI213" s="283"/>
      <c r="CJ213" s="283"/>
      <c r="CK213" s="283"/>
      <c r="CL213" s="283"/>
    </row>
    <row r="214" spans="1:90" ht="14.25" customHeight="1" x14ac:dyDescent="0.2">
      <c r="A214" s="3"/>
      <c r="B214" s="252"/>
      <c r="C214" s="3"/>
      <c r="D214" s="3"/>
      <c r="E214" s="3"/>
      <c r="F214" s="3"/>
      <c r="G214" s="252"/>
      <c r="H214" s="3"/>
      <c r="I214" s="3"/>
      <c r="J214" s="3"/>
      <c r="K214" s="3"/>
      <c r="L214" s="252"/>
      <c r="M214" s="3"/>
      <c r="N214" s="3"/>
      <c r="O214" s="3"/>
      <c r="P214" s="3"/>
      <c r="Q214" s="3"/>
      <c r="R214" s="3"/>
      <c r="S214" s="334"/>
      <c r="T214" s="373">
        <f t="shared" si="96"/>
        <v>188</v>
      </c>
      <c r="U214" s="334"/>
      <c r="V214" s="568">
        <f t="shared" si="91"/>
        <v>9.1118557180583822E-3</v>
      </c>
      <c r="W214" s="328">
        <f t="shared" si="72"/>
        <v>0.99065756705467523</v>
      </c>
      <c r="X214" s="328">
        <f t="shared" si="73"/>
        <v>0.99088814428194161</v>
      </c>
      <c r="Y214" s="328">
        <f t="shared" si="74"/>
        <v>2.3055064638055622E-4</v>
      </c>
      <c r="Z214" s="334"/>
      <c r="AA214" s="571">
        <f t="shared" si="75"/>
        <v>4.0396277155986267E-2</v>
      </c>
      <c r="AB214" s="327">
        <f t="shared" si="94"/>
        <v>0.95906934578110936</v>
      </c>
      <c r="AC214" s="327">
        <f t="shared" si="76"/>
        <v>0.95960372284401374</v>
      </c>
      <c r="AD214" s="327">
        <f t="shared" si="77"/>
        <v>5.3423430891097468E-4</v>
      </c>
      <c r="AE214" s="383"/>
      <c r="AF214" s="574">
        <f t="shared" si="66"/>
        <v>8.2693169573103242E-2</v>
      </c>
      <c r="AG214" s="376">
        <f t="shared" si="92"/>
        <v>0.91677431646282492</v>
      </c>
      <c r="AH214" s="376">
        <f t="shared" si="78"/>
        <v>0.91730683042689676</v>
      </c>
      <c r="AI214" s="553">
        <f t="shared" si="79"/>
        <v>5.3237220367507998E-4</v>
      </c>
      <c r="AJ214" s="374"/>
      <c r="AK214" s="577">
        <f t="shared" si="67"/>
        <v>8.8411496440013226E-2</v>
      </c>
      <c r="AL214" s="376">
        <f t="shared" si="80"/>
        <v>0.91112901342686459</v>
      </c>
      <c r="AM214" s="376">
        <f t="shared" si="81"/>
        <v>0.91158850355998677</v>
      </c>
      <c r="AN214" s="553">
        <f t="shared" si="82"/>
        <v>4.5938458369787494E-4</v>
      </c>
      <c r="AO214" s="554"/>
      <c r="AP214" s="580">
        <f t="shared" si="68"/>
        <v>2.3904556932830889E-2</v>
      </c>
      <c r="AQ214" s="376">
        <f t="shared" si="83"/>
        <v>0.97566114322623765</v>
      </c>
      <c r="AR214" s="379">
        <f t="shared" si="84"/>
        <v>0.97609544306716911</v>
      </c>
      <c r="AS214" s="376">
        <f t="shared" si="85"/>
        <v>4.3420554640671849E-4</v>
      </c>
      <c r="AT214" s="384"/>
      <c r="AU214" s="583">
        <f t="shared" si="69"/>
        <v>0.28289940520999191</v>
      </c>
      <c r="AV214" s="381">
        <f t="shared" si="95"/>
        <v>1.2626381725191946</v>
      </c>
      <c r="AW214" s="376">
        <f t="shared" si="70"/>
        <v>1.262663903151227</v>
      </c>
      <c r="AX214" s="503">
        <f t="shared" si="93"/>
        <v>2.5730301002502287E-5</v>
      </c>
      <c r="AY214" s="376">
        <f t="shared" si="71"/>
        <v>2.5505187607420678</v>
      </c>
      <c r="AZ214" s="381">
        <f t="shared" si="86"/>
        <v>3.3097297318460711E-3</v>
      </c>
      <c r="BA214" s="586">
        <f t="shared" si="87"/>
        <v>0.18580066071474835</v>
      </c>
      <c r="BB214" s="376">
        <f t="shared" si="88"/>
        <v>0.8137632292501451</v>
      </c>
      <c r="BC214" s="376">
        <f t="shared" si="89"/>
        <v>0.81419933928525168</v>
      </c>
      <c r="BD214" s="376">
        <f t="shared" si="90"/>
        <v>4.3601495294776083E-4</v>
      </c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3"/>
      <c r="CB214" s="283"/>
      <c r="CC214" s="283"/>
      <c r="CD214" s="283"/>
      <c r="CE214" s="283"/>
      <c r="CF214" s="283"/>
      <c r="CG214" s="283"/>
      <c r="CH214" s="283"/>
      <c r="CI214" s="283"/>
      <c r="CJ214" s="283"/>
      <c r="CK214" s="283"/>
      <c r="CL214" s="283"/>
    </row>
    <row r="215" spans="1:90" ht="14.25" customHeight="1" x14ac:dyDescent="0.2">
      <c r="A215" s="3"/>
      <c r="B215" s="252"/>
      <c r="C215" s="3"/>
      <c r="D215" s="3"/>
      <c r="E215" s="3"/>
      <c r="F215" s="3"/>
      <c r="G215" s="252"/>
      <c r="H215" s="3"/>
      <c r="I215" s="3"/>
      <c r="J215" s="3"/>
      <c r="K215" s="3"/>
      <c r="L215" s="252"/>
      <c r="M215" s="3"/>
      <c r="N215" s="3"/>
      <c r="O215" s="3"/>
      <c r="P215" s="3"/>
      <c r="Q215" s="3"/>
      <c r="R215" s="3"/>
      <c r="S215" s="334"/>
      <c r="T215" s="373">
        <f t="shared" si="96"/>
        <v>189</v>
      </c>
      <c r="U215" s="334"/>
      <c r="V215" s="568">
        <f t="shared" si="91"/>
        <v>8.8869692844048571E-3</v>
      </c>
      <c r="W215" s="328">
        <f t="shared" si="72"/>
        <v>0.99088814428194161</v>
      </c>
      <c r="X215" s="328">
        <f t="shared" si="73"/>
        <v>0.99111303071559509</v>
      </c>
      <c r="Y215" s="328">
        <f t="shared" si="74"/>
        <v>2.2486114859487927E-4</v>
      </c>
      <c r="Z215" s="334"/>
      <c r="AA215" s="571">
        <f t="shared" si="75"/>
        <v>3.9869518942332385E-2</v>
      </c>
      <c r="AB215" s="327">
        <f t="shared" si="94"/>
        <v>0.95960372284401374</v>
      </c>
      <c r="AC215" s="327">
        <f t="shared" si="76"/>
        <v>0.96013048105766763</v>
      </c>
      <c r="AD215" s="327">
        <f t="shared" si="77"/>
        <v>5.2661950090315823E-4</v>
      </c>
      <c r="AE215" s="383"/>
      <c r="AF215" s="574">
        <f t="shared" si="66"/>
        <v>8.2166028486541753E-2</v>
      </c>
      <c r="AG215" s="376">
        <f t="shared" si="92"/>
        <v>0.91730683042689676</v>
      </c>
      <c r="AH215" s="376">
        <f t="shared" si="78"/>
        <v>0.91783397151345825</v>
      </c>
      <c r="AI215" s="553">
        <f t="shared" si="79"/>
        <v>5.2700217210921441E-4</v>
      </c>
      <c r="AJ215" s="374"/>
      <c r="AK215" s="577">
        <f t="shared" si="67"/>
        <v>8.795657326554196E-2</v>
      </c>
      <c r="AL215" s="376">
        <f t="shared" si="80"/>
        <v>0.91158850355998677</v>
      </c>
      <c r="AM215" s="376">
        <f t="shared" si="81"/>
        <v>0.91204342673445804</v>
      </c>
      <c r="AN215" s="553">
        <f t="shared" si="82"/>
        <v>4.5481971261362997E-4</v>
      </c>
      <c r="AO215" s="554"/>
      <c r="AP215" s="580">
        <f t="shared" si="68"/>
        <v>2.3478116736631471E-2</v>
      </c>
      <c r="AQ215" s="376">
        <f t="shared" si="83"/>
        <v>0.97609544306716911</v>
      </c>
      <c r="AR215" s="379">
        <f t="shared" si="84"/>
        <v>0.97652188326336853</v>
      </c>
      <c r="AS215" s="376">
        <f t="shared" si="85"/>
        <v>4.2634928350238077E-4</v>
      </c>
      <c r="AT215" s="384"/>
      <c r="AU215" s="583">
        <f t="shared" si="69"/>
        <v>0.28289241509314561</v>
      </c>
      <c r="AV215" s="381">
        <f t="shared" si="95"/>
        <v>1.262663903151227</v>
      </c>
      <c r="AW215" s="376">
        <f t="shared" si="70"/>
        <v>1.262688612298994</v>
      </c>
      <c r="AX215" s="503">
        <f t="shared" si="93"/>
        <v>2.4708842498499806E-5</v>
      </c>
      <c r="AY215" s="376">
        <f t="shared" si="71"/>
        <v>2.5546915329683304</v>
      </c>
      <c r="AZ215" s="381">
        <f t="shared" si="86"/>
        <v>3.2851714586628732E-3</v>
      </c>
      <c r="BA215" s="586">
        <f t="shared" si="87"/>
        <v>0.18536786926655807</v>
      </c>
      <c r="BB215" s="376">
        <f t="shared" si="88"/>
        <v>0.81419933928525168</v>
      </c>
      <c r="BC215" s="376">
        <f t="shared" si="89"/>
        <v>0.81463213073344187</v>
      </c>
      <c r="BD215" s="376">
        <f t="shared" si="90"/>
        <v>4.3269780748078635E-4</v>
      </c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3"/>
      <c r="CB215" s="283"/>
      <c r="CC215" s="283"/>
      <c r="CD215" s="283"/>
      <c r="CE215" s="283"/>
      <c r="CF215" s="283"/>
      <c r="CG215" s="283"/>
      <c r="CH215" s="283"/>
      <c r="CI215" s="283"/>
      <c r="CJ215" s="283"/>
      <c r="CK215" s="283"/>
      <c r="CL215" s="283"/>
    </row>
    <row r="216" spans="1:90" ht="14.25" customHeight="1" x14ac:dyDescent="0.2">
      <c r="A216" s="3"/>
      <c r="B216" s="252"/>
      <c r="C216" s="3"/>
      <c r="D216" s="3"/>
      <c r="E216" s="3"/>
      <c r="F216" s="3"/>
      <c r="G216" s="252"/>
      <c r="H216" s="3"/>
      <c r="I216" s="3"/>
      <c r="J216" s="3"/>
      <c r="K216" s="3"/>
      <c r="L216" s="252"/>
      <c r="M216" s="3"/>
      <c r="N216" s="3"/>
      <c r="O216" s="3"/>
      <c r="P216" s="3"/>
      <c r="Q216" s="3"/>
      <c r="R216" s="3"/>
      <c r="S216" s="334"/>
      <c r="T216" s="373">
        <f t="shared" si="96"/>
        <v>190</v>
      </c>
      <c r="U216" s="334"/>
      <c r="V216" s="568">
        <f t="shared" si="91"/>
        <v>8.6676331919338847E-3</v>
      </c>
      <c r="W216" s="328">
        <f t="shared" si="72"/>
        <v>0.99111303071559509</v>
      </c>
      <c r="X216" s="328">
        <f t="shared" si="73"/>
        <v>0.99133236680806613</v>
      </c>
      <c r="Y216" s="328">
        <f t="shared" si="74"/>
        <v>2.1931204006886418E-4</v>
      </c>
      <c r="Z216" s="334"/>
      <c r="AA216" s="571">
        <f t="shared" si="75"/>
        <v>3.9350259246271072E-2</v>
      </c>
      <c r="AB216" s="327">
        <f t="shared" si="94"/>
        <v>0.96013048105766763</v>
      </c>
      <c r="AC216" s="327">
        <f t="shared" si="76"/>
        <v>0.96064974075372889</v>
      </c>
      <c r="AD216" s="327">
        <f t="shared" si="77"/>
        <v>5.1912490407701739E-4</v>
      </c>
      <c r="AE216" s="383"/>
      <c r="AF216" s="574">
        <f t="shared" si="66"/>
        <v>8.1644184322208324E-2</v>
      </c>
      <c r="AG216" s="376">
        <f t="shared" si="92"/>
        <v>0.91783397151345825</v>
      </c>
      <c r="AH216" s="376">
        <f t="shared" si="78"/>
        <v>0.91835581567779168</v>
      </c>
      <c r="AI216" s="553">
        <f t="shared" si="79"/>
        <v>5.2170802734929911E-4</v>
      </c>
      <c r="AJ216" s="374"/>
      <c r="AK216" s="577">
        <f t="shared" si="67"/>
        <v>8.75061501650648E-2</v>
      </c>
      <c r="AL216" s="376">
        <f t="shared" si="80"/>
        <v>0.91204342673445804</v>
      </c>
      <c r="AM216" s="376">
        <f t="shared" si="81"/>
        <v>0.9124938498349352</v>
      </c>
      <c r="AN216" s="553">
        <f t="shared" si="82"/>
        <v>4.5032167522107702E-4</v>
      </c>
      <c r="AO216" s="554"/>
      <c r="AP216" s="580">
        <f t="shared" si="68"/>
        <v>2.3059391030917142E-2</v>
      </c>
      <c r="AQ216" s="376">
        <f t="shared" si="83"/>
        <v>0.97652188326336853</v>
      </c>
      <c r="AR216" s="379">
        <f t="shared" si="84"/>
        <v>0.97694060896908286</v>
      </c>
      <c r="AS216" s="376">
        <f t="shared" si="85"/>
        <v>4.1863805234065854E-4</v>
      </c>
      <c r="AT216" s="384"/>
      <c r="AU216" s="583">
        <f t="shared" si="69"/>
        <v>0.28288570264057739</v>
      </c>
      <c r="AV216" s="381">
        <f t="shared" si="95"/>
        <v>1.262688612298994</v>
      </c>
      <c r="AW216" s="376">
        <f t="shared" si="70"/>
        <v>1.2627123405145546</v>
      </c>
      <c r="AX216" s="503">
        <f t="shared" si="93"/>
        <v>2.3727934048700661E-5</v>
      </c>
      <c r="AY216" s="376">
        <f t="shared" si="71"/>
        <v>2.5588422851859152</v>
      </c>
      <c r="AZ216" s="381">
        <f t="shared" si="86"/>
        <v>3.2609235666582548E-3</v>
      </c>
      <c r="BA216" s="586">
        <f t="shared" si="87"/>
        <v>0.184938353871584</v>
      </c>
      <c r="BB216" s="376">
        <f t="shared" si="88"/>
        <v>0.81463213073344187</v>
      </c>
      <c r="BC216" s="376">
        <f t="shared" si="89"/>
        <v>0.81506164612841603</v>
      </c>
      <c r="BD216" s="376">
        <f t="shared" si="90"/>
        <v>4.2942316644190015E-4</v>
      </c>
      <c r="BE216" s="283"/>
      <c r="BF216" s="283"/>
      <c r="BG216" s="283"/>
      <c r="BH216" s="283"/>
      <c r="BI216" s="283"/>
      <c r="BJ216" s="283"/>
      <c r="BK216" s="283"/>
      <c r="BL216" s="283"/>
      <c r="BM216" s="283"/>
      <c r="BN216" s="283"/>
      <c r="BO216" s="283"/>
      <c r="BP216" s="283"/>
      <c r="BQ216" s="283"/>
      <c r="BR216" s="283"/>
      <c r="BS216" s="283"/>
      <c r="BT216" s="283"/>
      <c r="BU216" s="283"/>
      <c r="BV216" s="283"/>
      <c r="BW216" s="283"/>
      <c r="BX216" s="283"/>
      <c r="BY216" s="283"/>
      <c r="BZ216" s="283"/>
      <c r="CA216" s="283"/>
      <c r="CB216" s="283"/>
      <c r="CC216" s="283"/>
      <c r="CD216" s="283"/>
      <c r="CE216" s="283"/>
      <c r="CF216" s="283"/>
      <c r="CG216" s="283"/>
      <c r="CH216" s="283"/>
      <c r="CI216" s="283"/>
      <c r="CJ216" s="283"/>
      <c r="CK216" s="283"/>
      <c r="CL216" s="283"/>
    </row>
    <row r="217" spans="1:90" ht="14.25" customHeight="1" x14ac:dyDescent="0.2">
      <c r="A217" s="3"/>
      <c r="B217" s="252"/>
      <c r="C217" s="3"/>
      <c r="D217" s="3"/>
      <c r="E217" s="3"/>
      <c r="F217" s="3"/>
      <c r="G217" s="252"/>
      <c r="H217" s="3"/>
      <c r="I217" s="3"/>
      <c r="J217" s="3"/>
      <c r="K217" s="3"/>
      <c r="L217" s="252"/>
      <c r="M217" s="3"/>
      <c r="N217" s="3"/>
      <c r="O217" s="3"/>
      <c r="P217" s="3"/>
      <c r="Q217" s="3"/>
      <c r="R217" s="3"/>
      <c r="S217" s="334"/>
      <c r="T217" s="373">
        <f t="shared" si="96"/>
        <v>191</v>
      </c>
      <c r="U217" s="334"/>
      <c r="V217" s="568">
        <f t="shared" si="91"/>
        <v>8.4537104546710644E-3</v>
      </c>
      <c r="W217" s="328">
        <f t="shared" si="72"/>
        <v>0.99133236680806613</v>
      </c>
      <c r="X217" s="328">
        <f t="shared" si="73"/>
        <v>0.99154628954532897</v>
      </c>
      <c r="Y217" s="328">
        <f t="shared" si="74"/>
        <v>2.1389985742559237E-4</v>
      </c>
      <c r="Z217" s="334"/>
      <c r="AA217" s="571">
        <f t="shared" si="75"/>
        <v>3.8838379873094762E-2</v>
      </c>
      <c r="AB217" s="327">
        <f t="shared" si="94"/>
        <v>0.96064974075372889</v>
      </c>
      <c r="AC217" s="327">
        <f t="shared" si="76"/>
        <v>0.9611616201269052</v>
      </c>
      <c r="AD217" s="327">
        <f t="shared" si="77"/>
        <v>5.1174838528089683E-4</v>
      </c>
      <c r="AE217" s="383"/>
      <c r="AF217" s="574">
        <f t="shared" si="66"/>
        <v>8.1127562521393637E-2</v>
      </c>
      <c r="AG217" s="376">
        <f t="shared" si="92"/>
        <v>0.91835581567779168</v>
      </c>
      <c r="AH217" s="376">
        <f t="shared" si="78"/>
        <v>0.91887243747860636</v>
      </c>
      <c r="AI217" s="553">
        <f t="shared" si="79"/>
        <v>5.1648837475004594E-4</v>
      </c>
      <c r="AJ217" s="374"/>
      <c r="AK217" s="577">
        <f t="shared" si="67"/>
        <v>8.706016154439139E-2</v>
      </c>
      <c r="AL217" s="376">
        <f t="shared" si="80"/>
        <v>0.9124938498349352</v>
      </c>
      <c r="AM217" s="376">
        <f t="shared" si="81"/>
        <v>0.91293983845560867</v>
      </c>
      <c r="AN217" s="553">
        <f t="shared" si="82"/>
        <v>4.4588918253185561E-4</v>
      </c>
      <c r="AO217" s="554"/>
      <c r="AP217" s="580">
        <f t="shared" si="68"/>
        <v>2.2648237423965933E-2</v>
      </c>
      <c r="AQ217" s="376">
        <f t="shared" si="83"/>
        <v>0.97694060896908286</v>
      </c>
      <c r="AR217" s="379">
        <f t="shared" si="84"/>
        <v>0.97735176257603407</v>
      </c>
      <c r="AS217" s="376">
        <f t="shared" si="85"/>
        <v>4.1106909488985988E-4</v>
      </c>
      <c r="AT217" s="384"/>
      <c r="AU217" s="583">
        <f t="shared" si="69"/>
        <v>0.28287925681659587</v>
      </c>
      <c r="AV217" s="381">
        <f t="shared" si="95"/>
        <v>1.2627123405145546</v>
      </c>
      <c r="AW217" s="376">
        <f t="shared" si="70"/>
        <v>1.2627351267400855</v>
      </c>
      <c r="AX217" s="503">
        <f t="shared" si="93"/>
        <v>2.2785965926752638E-5</v>
      </c>
      <c r="AY217" s="376">
        <f t="shared" si="71"/>
        <v>2.5629712485776168</v>
      </c>
      <c r="AZ217" s="381">
        <f t="shared" si="86"/>
        <v>3.2369805302719661E-3</v>
      </c>
      <c r="BA217" s="586">
        <f t="shared" si="87"/>
        <v>0.18451207276027923</v>
      </c>
      <c r="BB217" s="376">
        <f t="shared" si="88"/>
        <v>0.81506164612841603</v>
      </c>
      <c r="BC217" s="376">
        <f t="shared" si="89"/>
        <v>0.81548792723972074</v>
      </c>
      <c r="BD217" s="376">
        <f t="shared" si="90"/>
        <v>4.2619026642076729E-4</v>
      </c>
      <c r="BE217" s="283"/>
      <c r="BF217" s="283"/>
      <c r="BG217" s="283"/>
      <c r="BH217" s="283"/>
      <c r="BI217" s="283"/>
      <c r="BJ217" s="283"/>
      <c r="BK217" s="283"/>
      <c r="BL217" s="283"/>
      <c r="BM217" s="283"/>
      <c r="BN217" s="283"/>
      <c r="BO217" s="283"/>
      <c r="BP217" s="283"/>
      <c r="BQ217" s="283"/>
      <c r="BR217" s="283"/>
      <c r="BS217" s="283"/>
      <c r="BT217" s="283"/>
      <c r="BU217" s="283"/>
      <c r="BV217" s="283"/>
      <c r="BW217" s="283"/>
      <c r="BX217" s="283"/>
      <c r="BY217" s="283"/>
      <c r="BZ217" s="283"/>
      <c r="CA217" s="283"/>
      <c r="CB217" s="283"/>
      <c r="CC217" s="283"/>
      <c r="CD217" s="283"/>
      <c r="CE217" s="283"/>
      <c r="CF217" s="283"/>
      <c r="CG217" s="283"/>
      <c r="CH217" s="283"/>
      <c r="CI217" s="283"/>
      <c r="CJ217" s="283"/>
      <c r="CK217" s="283"/>
      <c r="CL217" s="283"/>
    </row>
    <row r="218" spans="1:90" ht="14.25" customHeight="1" x14ac:dyDescent="0.2">
      <c r="A218" s="3"/>
      <c r="B218" s="252"/>
      <c r="C218" s="3"/>
      <c r="D218" s="3"/>
      <c r="E218" s="3"/>
      <c r="F218" s="3"/>
      <c r="G218" s="252"/>
      <c r="H218" s="3"/>
      <c r="I218" s="3"/>
      <c r="J218" s="3"/>
      <c r="K218" s="3"/>
      <c r="L218" s="252"/>
      <c r="M218" s="3"/>
      <c r="N218" s="3"/>
      <c r="O218" s="3"/>
      <c r="P218" s="3"/>
      <c r="Q218" s="3"/>
      <c r="R218" s="3"/>
      <c r="S218" s="334"/>
      <c r="T218" s="373">
        <f t="shared" si="96"/>
        <v>192</v>
      </c>
      <c r="U218" s="334"/>
      <c r="V218" s="568">
        <f t="shared" si="91"/>
        <v>8.2450674675435646E-3</v>
      </c>
      <c r="W218" s="328">
        <f t="shared" si="72"/>
        <v>0.99154628954532897</v>
      </c>
      <c r="X218" s="328">
        <f t="shared" si="73"/>
        <v>0.99175493253245639</v>
      </c>
      <c r="Y218" s="328">
        <f t="shared" si="74"/>
        <v>2.0862122269305061E-4</v>
      </c>
      <c r="Z218" s="334"/>
      <c r="AA218" s="571">
        <f t="shared" si="75"/>
        <v>3.8333764721793631E-2</v>
      </c>
      <c r="AB218" s="327">
        <f t="shared" si="94"/>
        <v>0.9611616201269052</v>
      </c>
      <c r="AC218" s="327">
        <f t="shared" si="76"/>
        <v>0.96166623527820638</v>
      </c>
      <c r="AD218" s="327">
        <f t="shared" si="77"/>
        <v>5.0448785448853339E-4</v>
      </c>
      <c r="AE218" s="383"/>
      <c r="AF218" s="574">
        <f t="shared" si="66"/>
        <v>8.0616089890183984E-2</v>
      </c>
      <c r="AG218" s="376">
        <f t="shared" si="92"/>
        <v>0.91887243747860636</v>
      </c>
      <c r="AH218" s="376">
        <f t="shared" si="78"/>
        <v>0.91938391010981602</v>
      </c>
      <c r="AI218" s="553">
        <f t="shared" si="79"/>
        <v>5.1134185138113075E-4</v>
      </c>
      <c r="AJ218" s="374"/>
      <c r="AK218" s="577">
        <f t="shared" si="67"/>
        <v>8.6618543068971141E-2</v>
      </c>
      <c r="AL218" s="376">
        <f t="shared" si="80"/>
        <v>0.91293983845560867</v>
      </c>
      <c r="AM218" s="376">
        <f t="shared" si="81"/>
        <v>0.9133814569310289</v>
      </c>
      <c r="AN218" s="553">
        <f t="shared" si="82"/>
        <v>4.4152097633431975E-4</v>
      </c>
      <c r="AO218" s="554"/>
      <c r="AP218" s="580">
        <f t="shared" si="68"/>
        <v>2.2244516231565648E-2</v>
      </c>
      <c r="AQ218" s="376">
        <f t="shared" si="83"/>
        <v>0.97735176257603407</v>
      </c>
      <c r="AR218" s="379">
        <f t="shared" si="84"/>
        <v>0.97775548376843435</v>
      </c>
      <c r="AS218" s="376">
        <f t="shared" si="85"/>
        <v>4.0363970796575277E-4</v>
      </c>
      <c r="AT218" s="384"/>
      <c r="AU218" s="583">
        <f t="shared" si="69"/>
        <v>0.28287306702460252</v>
      </c>
      <c r="AV218" s="381">
        <f t="shared" si="95"/>
        <v>1.2627351267400855</v>
      </c>
      <c r="AW218" s="376">
        <f t="shared" si="70"/>
        <v>1.2627570083717916</v>
      </c>
      <c r="AX218" s="503">
        <f t="shared" si="93"/>
        <v>2.1881392304967662E-5</v>
      </c>
      <c r="AY218" s="376">
        <f t="shared" si="71"/>
        <v>2.5670786507045342</v>
      </c>
      <c r="AZ218" s="381">
        <f t="shared" si="86"/>
        <v>3.2133369505492324E-3</v>
      </c>
      <c r="BA218" s="586">
        <f t="shared" si="87"/>
        <v>0.18408898490962999</v>
      </c>
      <c r="BB218" s="376">
        <f t="shared" si="88"/>
        <v>0.81548792723972074</v>
      </c>
      <c r="BC218" s="376">
        <f t="shared" si="89"/>
        <v>0.81591101509037001</v>
      </c>
      <c r="BD218" s="376">
        <f t="shared" si="90"/>
        <v>4.2299836160564208E-4</v>
      </c>
      <c r="BE218" s="283"/>
      <c r="BF218" s="283"/>
      <c r="BG218" s="283"/>
      <c r="BH218" s="283"/>
      <c r="BI218" s="283"/>
      <c r="BJ218" s="283"/>
      <c r="BK218" s="283"/>
      <c r="BL218" s="283"/>
      <c r="BM218" s="283"/>
      <c r="BN218" s="283"/>
      <c r="BO218" s="283"/>
      <c r="BP218" s="283"/>
      <c r="BQ218" s="283"/>
      <c r="BR218" s="283"/>
      <c r="BS218" s="283"/>
      <c r="BT218" s="283"/>
      <c r="BU218" s="283"/>
      <c r="BV218" s="283"/>
      <c r="BW218" s="283"/>
      <c r="BX218" s="283"/>
      <c r="BY218" s="283"/>
      <c r="BZ218" s="283"/>
      <c r="CA218" s="283"/>
      <c r="CB218" s="283"/>
      <c r="CC218" s="283"/>
      <c r="CD218" s="283"/>
      <c r="CE218" s="283"/>
      <c r="CF218" s="283"/>
      <c r="CG218" s="283"/>
      <c r="CH218" s="283"/>
      <c r="CI218" s="283"/>
      <c r="CJ218" s="283"/>
      <c r="CK218" s="283"/>
      <c r="CL218" s="283"/>
    </row>
    <row r="219" spans="1:90" ht="14.25" customHeight="1" x14ac:dyDescent="0.2">
      <c r="A219" s="3"/>
      <c r="B219" s="252"/>
      <c r="C219" s="3"/>
      <c r="D219" s="3"/>
      <c r="E219" s="3"/>
      <c r="F219" s="3"/>
      <c r="G219" s="252"/>
      <c r="H219" s="3"/>
      <c r="I219" s="3"/>
      <c r="J219" s="3"/>
      <c r="K219" s="3"/>
      <c r="L219" s="252"/>
      <c r="M219" s="3"/>
      <c r="N219" s="3"/>
      <c r="O219" s="3"/>
      <c r="P219" s="3"/>
      <c r="Q219" s="3"/>
      <c r="R219" s="3"/>
      <c r="S219" s="334"/>
      <c r="T219" s="373">
        <f t="shared" si="96"/>
        <v>193</v>
      </c>
      <c r="U219" s="334"/>
      <c r="V219" s="568">
        <f t="shared" si="91"/>
        <v>8.0415739229372993E-3</v>
      </c>
      <c r="W219" s="328">
        <f t="shared" si="72"/>
        <v>0.99175493253245639</v>
      </c>
      <c r="X219" s="328">
        <f t="shared" si="73"/>
        <v>0.99195842607706275</v>
      </c>
      <c r="Y219" s="328">
        <f t="shared" si="74"/>
        <v>2.0347284119937026E-4</v>
      </c>
      <c r="Z219" s="334"/>
      <c r="AA219" s="571">
        <f t="shared" si="75"/>
        <v>3.7836299742810497E-2</v>
      </c>
      <c r="AB219" s="327">
        <f t="shared" si="94"/>
        <v>0.96166623527820638</v>
      </c>
      <c r="AC219" s="327">
        <f t="shared" si="76"/>
        <v>0.96216370025718945</v>
      </c>
      <c r="AD219" s="327">
        <f t="shared" si="77"/>
        <v>4.9734126379596955E-4</v>
      </c>
      <c r="AE219" s="383"/>
      <c r="AF219" s="574">
        <f t="shared" ref="AF219:AF282" si="97">1-_xlfn.NORM.DIST(LN(T219),$AF$21,$AF$22,TRUE)</f>
        <v>8.0109694568548995E-2</v>
      </c>
      <c r="AG219" s="376">
        <f t="shared" si="92"/>
        <v>0.91938391010981602</v>
      </c>
      <c r="AH219" s="376">
        <f t="shared" si="78"/>
        <v>0.91989030543145101</v>
      </c>
      <c r="AI219" s="553">
        <f t="shared" si="79"/>
        <v>5.0626712516432804E-4</v>
      </c>
      <c r="AJ219" s="374"/>
      <c r="AK219" s="577">
        <f t="shared" ref="AK219:AK282" si="98">(1+(T219/$AK$21)^$AK$22)^-1</f>
        <v>8.6181231633943173E-2</v>
      </c>
      <c r="AL219" s="376">
        <f t="shared" si="80"/>
        <v>0.9133814569310289</v>
      </c>
      <c r="AM219" s="376">
        <f t="shared" si="81"/>
        <v>0.9138187683660568</v>
      </c>
      <c r="AN219" s="553">
        <f t="shared" si="82"/>
        <v>4.3721582831945938E-4</v>
      </c>
      <c r="AO219" s="554"/>
      <c r="AP219" s="580">
        <f t="shared" ref="AP219:AP282" si="99">1-_xlfn.GAMMA.DIST(T219,$AP$21,1/$AP$22,TRUE)</f>
        <v>2.1848090423174371E-2</v>
      </c>
      <c r="AQ219" s="376">
        <f t="shared" si="83"/>
        <v>0.97775548376843435</v>
      </c>
      <c r="AR219" s="379">
        <f t="shared" si="84"/>
        <v>0.97815190957682563</v>
      </c>
      <c r="AS219" s="376">
        <f t="shared" si="85"/>
        <v>3.9634724206272232E-4</v>
      </c>
      <c r="AT219" s="384"/>
      <c r="AU219" s="583">
        <f t="shared" ref="AU219:AU282" si="100">EXP((-$AU$22/$AU$21)*(EXP($AU$21*T219)-1))</f>
        <v>0.28286712308958339</v>
      </c>
      <c r="AV219" s="381">
        <f t="shared" si="95"/>
        <v>1.2627570083717916</v>
      </c>
      <c r="AW219" s="376">
        <f t="shared" ref="AW219:AW282" si="101">($AU$22/$AU$21)*((EXP($AU$21*T219))-1)</f>
        <v>1.2627780213212805</v>
      </c>
      <c r="AX219" s="503">
        <f t="shared" si="93"/>
        <v>2.101272871835036E-5</v>
      </c>
      <c r="AY219" s="376">
        <f t="shared" ref="AY219:AY282" si="102">(LN(T219)-$AZ$21)/$AZ$22</f>
        <v>2.5711647155813266</v>
      </c>
      <c r="AZ219" s="381">
        <f t="shared" si="86"/>
        <v>3.1899875515995864E-3</v>
      </c>
      <c r="BA219" s="586">
        <f t="shared" si="87"/>
        <v>0.18366905002603065</v>
      </c>
      <c r="BB219" s="376">
        <f t="shared" si="88"/>
        <v>0.81591101509037001</v>
      </c>
      <c r="BC219" s="376">
        <f t="shared" si="89"/>
        <v>0.81633094997396938</v>
      </c>
      <c r="BD219" s="376">
        <f t="shared" si="90"/>
        <v>4.1984672328709838E-4</v>
      </c>
      <c r="BE219" s="283"/>
      <c r="BF219" s="283"/>
      <c r="BG219" s="283"/>
      <c r="BH219" s="283"/>
      <c r="BI219" s="283"/>
      <c r="BJ219" s="283"/>
      <c r="BK219" s="283"/>
      <c r="BL219" s="283"/>
      <c r="BM219" s="283"/>
      <c r="BN219" s="283"/>
      <c r="BO219" s="283"/>
      <c r="BP219" s="283"/>
      <c r="BQ219" s="283"/>
      <c r="BR219" s="283"/>
      <c r="BS219" s="283"/>
      <c r="BT219" s="283"/>
      <c r="BU219" s="283"/>
      <c r="BV219" s="283"/>
      <c r="BW219" s="283"/>
      <c r="BX219" s="283"/>
      <c r="BY219" s="283"/>
      <c r="BZ219" s="283"/>
      <c r="CA219" s="283"/>
      <c r="CB219" s="283"/>
      <c r="CC219" s="283"/>
      <c r="CD219" s="283"/>
      <c r="CE219" s="283"/>
      <c r="CF219" s="283"/>
      <c r="CG219" s="283"/>
      <c r="CH219" s="283"/>
      <c r="CI219" s="283"/>
      <c r="CJ219" s="283"/>
      <c r="CK219" s="283"/>
      <c r="CL219" s="283"/>
    </row>
    <row r="220" spans="1:90" ht="14.25" customHeight="1" x14ac:dyDescent="0.2">
      <c r="A220" s="3"/>
      <c r="B220" s="252"/>
      <c r="C220" s="3"/>
      <c r="D220" s="3"/>
      <c r="E220" s="3"/>
      <c r="F220" s="3"/>
      <c r="G220" s="252"/>
      <c r="H220" s="3"/>
      <c r="I220" s="3"/>
      <c r="J220" s="3"/>
      <c r="K220" s="3"/>
      <c r="L220" s="252"/>
      <c r="M220" s="3"/>
      <c r="N220" s="3"/>
      <c r="O220" s="3"/>
      <c r="P220" s="3"/>
      <c r="Q220" s="3"/>
      <c r="R220" s="3"/>
      <c r="S220" s="334"/>
      <c r="T220" s="373">
        <f t="shared" si="96"/>
        <v>194</v>
      </c>
      <c r="U220" s="334"/>
      <c r="V220" s="568">
        <f t="shared" si="91"/>
        <v>7.843102729313536E-3</v>
      </c>
      <c r="W220" s="328">
        <f t="shared" ref="W220:W283" si="103">1-V219</f>
        <v>0.99195842607706275</v>
      </c>
      <c r="X220" s="328">
        <f t="shared" ref="X220:X283" si="104">1-V220</f>
        <v>0.99215689727068646</v>
      </c>
      <c r="Y220" s="328">
        <f t="shared" ref="Y220:Y283" si="105">1-EXP(W220-X220)</f>
        <v>1.9845149951924768E-4</v>
      </c>
      <c r="Z220" s="334"/>
      <c r="AA220" s="571">
        <f t="shared" ref="AA220:AA283" si="106">EXP(-1*(T220/$AA$21)^$AA$22)</f>
        <v>3.7345872896776086E-2</v>
      </c>
      <c r="AB220" s="327">
        <f t="shared" si="94"/>
        <v>0.96216370025718945</v>
      </c>
      <c r="AC220" s="327">
        <f t="shared" ref="AC220:AC283" si="107">1-AA220</f>
        <v>0.96265412710322396</v>
      </c>
      <c r="AD220" s="327">
        <f t="shared" ref="AD220:AD283" si="108">1-EXP(AB220-AC220)</f>
        <v>4.9030660644588941E-4</v>
      </c>
      <c r="AE220" s="383"/>
      <c r="AF220" s="574">
        <f t="shared" si="97"/>
        <v>7.9608306000264362E-2</v>
      </c>
      <c r="AG220" s="376">
        <f t="shared" si="92"/>
        <v>0.91989030543145101</v>
      </c>
      <c r="AH220" s="376">
        <f t="shared" ref="AH220:AH283" si="109">1-AF220</f>
        <v>0.92039169399973564</v>
      </c>
      <c r="AI220" s="553">
        <f t="shared" ref="AI220:AI283" si="110">1-EXP(AG220-AH220)</f>
        <v>5.0126289404117674E-4</v>
      </c>
      <c r="AJ220" s="374"/>
      <c r="AK220" s="577">
        <f t="shared" si="98"/>
        <v>8.5748165335033863E-2</v>
      </c>
      <c r="AL220" s="376">
        <f t="shared" ref="AL220:AL283" si="111">1-AK219</f>
        <v>0.9138187683660568</v>
      </c>
      <c r="AM220" s="376">
        <f t="shared" ref="AM220:AM283" si="112">1-AK220</f>
        <v>0.91425183466496618</v>
      </c>
      <c r="AN220" s="553">
        <f t="shared" ref="AN220:AN283" si="113">1-EXP(AL220-AM220)</f>
        <v>4.3297253923491041E-4</v>
      </c>
      <c r="AO220" s="554"/>
      <c r="AP220" s="580">
        <f t="shared" si="99"/>
        <v>2.1458825569224738E-2</v>
      </c>
      <c r="AQ220" s="376">
        <f t="shared" ref="AQ220:AQ283" si="114">1-AP219</f>
        <v>0.97815190957682563</v>
      </c>
      <c r="AR220" s="379">
        <f t="shared" ref="AR220:AR283" si="115">1-AP220</f>
        <v>0.97854117443077526</v>
      </c>
      <c r="AS220" s="376">
        <f t="shared" ref="AS220:AS283" si="116">1-EXP(AQ220-AR220)</f>
        <v>3.8918910021612518E-4</v>
      </c>
      <c r="AT220" s="384"/>
      <c r="AU220" s="583">
        <f t="shared" si="100"/>
        <v>0.28286141524130154</v>
      </c>
      <c r="AV220" s="381">
        <f t="shared" si="95"/>
        <v>1.2627780213212805</v>
      </c>
      <c r="AW220" s="376">
        <f t="shared" si="101"/>
        <v>1.2627982000744997</v>
      </c>
      <c r="AX220" s="503">
        <f t="shared" si="93"/>
        <v>2.0178549629545905E-5</v>
      </c>
      <c r="AY220" s="376">
        <f t="shared" si="102"/>
        <v>2.575229663749528</v>
      </c>
      <c r="AZ220" s="381">
        <f t="shared" ref="AZ220:AZ283" si="117">$AZ$24*EXP(ABS($AZ$23)*-AY220)</f>
        <v>3.1669271771724954E-3</v>
      </c>
      <c r="BA220" s="586">
        <f t="shared" ref="BA220:BA283" si="118">_xlfn.GAMMA.DIST(AZ220,$AZ$24,1,TRUE)</f>
        <v>0.18325222852863768</v>
      </c>
      <c r="BB220" s="376">
        <f t="shared" ref="BB220:BB283" si="119">1-BA219</f>
        <v>0.81633094997396938</v>
      </c>
      <c r="BC220" s="376">
        <f t="shared" ref="BC220:BC283" si="120">1-BA220</f>
        <v>0.81674777147136235</v>
      </c>
      <c r="BD220" s="376">
        <f t="shared" ref="BD220:BD283" si="121">1-EXP(BB220-BC220)</f>
        <v>4.1673463938118882E-4</v>
      </c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3"/>
      <c r="CB220" s="283"/>
      <c r="CC220" s="283"/>
      <c r="CD220" s="283"/>
      <c r="CE220" s="283"/>
      <c r="CF220" s="283"/>
      <c r="CG220" s="283"/>
      <c r="CH220" s="283"/>
      <c r="CI220" s="283"/>
      <c r="CJ220" s="283"/>
      <c r="CK220" s="283"/>
      <c r="CL220" s="283"/>
    </row>
    <row r="221" spans="1:90" ht="14.25" customHeight="1" x14ac:dyDescent="0.2">
      <c r="A221" s="3"/>
      <c r="B221" s="252"/>
      <c r="C221" s="3"/>
      <c r="D221" s="3"/>
      <c r="E221" s="3"/>
      <c r="F221" s="3"/>
      <c r="G221" s="252"/>
      <c r="H221" s="3"/>
      <c r="I221" s="3"/>
      <c r="J221" s="3"/>
      <c r="K221" s="3"/>
      <c r="L221" s="252"/>
      <c r="M221" s="3"/>
      <c r="N221" s="3"/>
      <c r="O221" s="3"/>
      <c r="P221" s="3"/>
      <c r="Q221" s="3"/>
      <c r="R221" s="3"/>
      <c r="S221" s="334"/>
      <c r="T221" s="373">
        <f t="shared" si="96"/>
        <v>195</v>
      </c>
      <c r="U221" s="334"/>
      <c r="V221" s="568">
        <f t="shared" ref="V221:V284" si="122">EXP(-1*$V$21*T221)</f>
        <v>7.6495299318341016E-3</v>
      </c>
      <c r="W221" s="328">
        <f t="shared" si="103"/>
        <v>0.99215689727068646</v>
      </c>
      <c r="X221" s="328">
        <f t="shared" si="104"/>
        <v>0.9923504700681659</v>
      </c>
      <c r="Y221" s="328">
        <f t="shared" si="105"/>
        <v>1.9355406347432158E-4</v>
      </c>
      <c r="Z221" s="334"/>
      <c r="AA221" s="571">
        <f t="shared" si="106"/>
        <v>3.6862374114198203E-2</v>
      </c>
      <c r="AB221" s="327">
        <f t="shared" si="94"/>
        <v>0.96265412710322396</v>
      </c>
      <c r="AC221" s="327">
        <f t="shared" si="107"/>
        <v>0.96313762588580176</v>
      </c>
      <c r="AD221" s="327">
        <f t="shared" si="108"/>
        <v>4.8338191587715684E-4</v>
      </c>
      <c r="AE221" s="383"/>
      <c r="AF221" s="574">
        <f t="shared" si="97"/>
        <v>7.9111854903646361E-2</v>
      </c>
      <c r="AG221" s="376">
        <f t="shared" ref="AG221:AG284" si="123">1-AF220</f>
        <v>0.92039169399973564</v>
      </c>
      <c r="AH221" s="376">
        <f t="shared" si="109"/>
        <v>0.92088814509635364</v>
      </c>
      <c r="AI221" s="553">
        <f t="shared" si="110"/>
        <v>4.9632788516262849E-4</v>
      </c>
      <c r="AJ221" s="374"/>
      <c r="AK221" s="577">
        <f t="shared" si="98"/>
        <v>8.5319283440274105E-2</v>
      </c>
      <c r="AL221" s="376">
        <f t="shared" si="111"/>
        <v>0.91425183466496618</v>
      </c>
      <c r="AM221" s="376">
        <f t="shared" si="112"/>
        <v>0.91468071655972594</v>
      </c>
      <c r="AN221" s="553">
        <f t="shared" si="113"/>
        <v>4.2878993806660937E-4</v>
      </c>
      <c r="AO221" s="554"/>
      <c r="AP221" s="580">
        <f t="shared" si="99"/>
        <v>2.1076589789546851E-2</v>
      </c>
      <c r="AQ221" s="376">
        <f t="shared" si="114"/>
        <v>0.97854117443077526</v>
      </c>
      <c r="AR221" s="379">
        <f t="shared" si="115"/>
        <v>0.97892341021045315</v>
      </c>
      <c r="AS221" s="376">
        <f t="shared" si="116"/>
        <v>3.8216273688906899E-4</v>
      </c>
      <c r="AT221" s="384"/>
      <c r="AU221" s="583">
        <f t="shared" si="100"/>
        <v>0.28285593409816318</v>
      </c>
      <c r="AV221" s="381">
        <f t="shared" si="95"/>
        <v>1.2627982000744997</v>
      </c>
      <c r="AW221" s="376">
        <f t="shared" si="101"/>
        <v>1.2628175777483326</v>
      </c>
      <c r="AX221" s="503">
        <f t="shared" si="93"/>
        <v>1.9377486086935569E-5</v>
      </c>
      <c r="AY221" s="376">
        <f t="shared" si="102"/>
        <v>2.5792737123489715</v>
      </c>
      <c r="AZ221" s="381">
        <f t="shared" si="117"/>
        <v>3.1441507873453218E-3</v>
      </c>
      <c r="BA221" s="586">
        <f t="shared" si="118"/>
        <v>0.18283848153318563</v>
      </c>
      <c r="BB221" s="376">
        <f t="shared" si="119"/>
        <v>0.81674777147136235</v>
      </c>
      <c r="BC221" s="376">
        <f t="shared" si="120"/>
        <v>0.8171615184668144</v>
      </c>
      <c r="BD221" s="376">
        <f t="shared" si="121"/>
        <v>4.1366141396737E-4</v>
      </c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3"/>
      <c r="CB221" s="283"/>
      <c r="CC221" s="283"/>
      <c r="CD221" s="283"/>
      <c r="CE221" s="283"/>
      <c r="CF221" s="283"/>
      <c r="CG221" s="283"/>
      <c r="CH221" s="283"/>
      <c r="CI221" s="283"/>
      <c r="CJ221" s="283"/>
      <c r="CK221" s="283"/>
      <c r="CL221" s="283"/>
    </row>
    <row r="222" spans="1:90" ht="14.25" customHeight="1" x14ac:dyDescent="0.2">
      <c r="A222" s="3"/>
      <c r="B222" s="252"/>
      <c r="C222" s="3"/>
      <c r="D222" s="3"/>
      <c r="E222" s="3"/>
      <c r="F222" s="3"/>
      <c r="G222" s="252"/>
      <c r="H222" s="3"/>
      <c r="I222" s="3"/>
      <c r="J222" s="3"/>
      <c r="K222" s="3"/>
      <c r="L222" s="252"/>
      <c r="M222" s="3"/>
      <c r="N222" s="3"/>
      <c r="O222" s="3"/>
      <c r="P222" s="3"/>
      <c r="Q222" s="3"/>
      <c r="R222" s="3"/>
      <c r="S222" s="334"/>
      <c r="T222" s="373">
        <f t="shared" si="96"/>
        <v>196</v>
      </c>
      <c r="U222" s="334"/>
      <c r="V222" s="568">
        <f t="shared" si="122"/>
        <v>7.4607346349455962E-3</v>
      </c>
      <c r="W222" s="328">
        <f t="shared" si="103"/>
        <v>0.9923504700681659</v>
      </c>
      <c r="X222" s="328">
        <f t="shared" si="104"/>
        <v>0.99253926536505444</v>
      </c>
      <c r="Y222" s="328">
        <f t="shared" si="105"/>
        <v>1.8877747617795926E-4</v>
      </c>
      <c r="Z222" s="334"/>
      <c r="AA222" s="571">
        <f t="shared" si="106"/>
        <v>3.6385695256079736E-2</v>
      </c>
      <c r="AB222" s="327">
        <f t="shared" si="94"/>
        <v>0.96313762588580176</v>
      </c>
      <c r="AC222" s="327">
        <f t="shared" si="107"/>
        <v>0.96361430474392029</v>
      </c>
      <c r="AD222" s="327">
        <f t="shared" si="108"/>
        <v>4.7656526480155392E-4</v>
      </c>
      <c r="AE222" s="383"/>
      <c r="AF222" s="574">
        <f t="shared" si="97"/>
        <v>7.8620273243069527E-2</v>
      </c>
      <c r="AG222" s="376">
        <f t="shared" si="123"/>
        <v>0.92088814509635364</v>
      </c>
      <c r="AH222" s="376">
        <f t="shared" si="109"/>
        <v>0.92137972675693047</v>
      </c>
      <c r="AI222" s="553">
        <f t="shared" si="110"/>
        <v>4.9146085410856077E-4</v>
      </c>
      <c r="AJ222" s="374"/>
      <c r="AK222" s="577">
        <f t="shared" si="98"/>
        <v>8.4894526362509437E-2</v>
      </c>
      <c r="AL222" s="376">
        <f t="shared" si="111"/>
        <v>0.91468071655972594</v>
      </c>
      <c r="AM222" s="376">
        <f t="shared" si="112"/>
        <v>0.91510547363749062</v>
      </c>
      <c r="AN222" s="553">
        <f t="shared" si="113"/>
        <v>4.2466688124809249E-4</v>
      </c>
      <c r="AO222" s="554"/>
      <c r="AP222" s="580">
        <f t="shared" si="99"/>
        <v>2.0701253702884781E-2</v>
      </c>
      <c r="AQ222" s="376">
        <f t="shared" si="114"/>
        <v>0.97892341021045315</v>
      </c>
      <c r="AR222" s="379">
        <f t="shared" si="115"/>
        <v>0.97929874629711522</v>
      </c>
      <c r="AS222" s="376">
        <f t="shared" si="116"/>
        <v>3.7526565688494884E-4</v>
      </c>
      <c r="AT222" s="384"/>
      <c r="AU222" s="583">
        <f t="shared" si="100"/>
        <v>0.28285067065172759</v>
      </c>
      <c r="AV222" s="381">
        <f t="shared" si="95"/>
        <v>1.2628175777483326</v>
      </c>
      <c r="AW222" s="376">
        <f t="shared" si="101"/>
        <v>1.2628361861449522</v>
      </c>
      <c r="AX222" s="503">
        <f t="shared" si="93"/>
        <v>1.8608223484428699E-5</v>
      </c>
      <c r="AY222" s="376">
        <f t="shared" si="102"/>
        <v>2.5832970751873936</v>
      </c>
      <c r="AZ222" s="381">
        <f t="shared" si="117"/>
        <v>3.1216534553193723E-3</v>
      </c>
      <c r="BA222" s="586">
        <f t="shared" si="118"/>
        <v>0.18242777083625264</v>
      </c>
      <c r="BB222" s="376">
        <f t="shared" si="119"/>
        <v>0.8171615184668144</v>
      </c>
      <c r="BC222" s="376">
        <f t="shared" si="120"/>
        <v>0.81757222916374739</v>
      </c>
      <c r="BD222" s="376">
        <f t="shared" si="121"/>
        <v>4.1062636684019438E-4</v>
      </c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C222" s="283"/>
      <c r="CD222" s="283"/>
      <c r="CE222" s="283"/>
      <c r="CF222" s="283"/>
      <c r="CG222" s="283"/>
      <c r="CH222" s="283"/>
      <c r="CI222" s="283"/>
      <c r="CJ222" s="283"/>
      <c r="CK222" s="283"/>
      <c r="CL222" s="283"/>
    </row>
    <row r="223" spans="1:90" ht="14.25" customHeight="1" x14ac:dyDescent="0.2">
      <c r="A223" s="28"/>
      <c r="B223" s="28"/>
      <c r="C223" s="28"/>
      <c r="D223" s="28"/>
      <c r="E223" s="282"/>
      <c r="F223" s="282"/>
      <c r="G223" s="282"/>
      <c r="H223" s="282"/>
      <c r="I223" s="282"/>
      <c r="J223" s="282"/>
      <c r="K223" s="282"/>
      <c r="L223" s="282"/>
      <c r="M223" s="282"/>
      <c r="N223" s="282"/>
      <c r="O223" s="282"/>
      <c r="P223" s="282"/>
      <c r="Q223" s="282"/>
      <c r="R223" s="282"/>
      <c r="S223" s="374"/>
      <c r="T223" s="373">
        <f t="shared" si="96"/>
        <v>197</v>
      </c>
      <c r="U223" s="374"/>
      <c r="V223" s="568">
        <f t="shared" si="122"/>
        <v>7.2765989268742922E-3</v>
      </c>
      <c r="W223" s="328">
        <f t="shared" si="103"/>
        <v>0.99253926536505444</v>
      </c>
      <c r="X223" s="328">
        <f t="shared" si="104"/>
        <v>0.99272340107312573</v>
      </c>
      <c r="Y223" s="328">
        <f t="shared" si="105"/>
        <v>1.841187561323343E-4</v>
      </c>
      <c r="Z223" s="374"/>
      <c r="AA223" s="571">
        <f t="shared" si="106"/>
        <v>3.5915730075440438E-2</v>
      </c>
      <c r="AB223" s="327">
        <f t="shared" si="94"/>
        <v>0.96361430474392029</v>
      </c>
      <c r="AC223" s="327">
        <f t="shared" si="107"/>
        <v>0.96408426992455953</v>
      </c>
      <c r="AD223" s="327">
        <f t="shared" si="108"/>
        <v>4.6985476430172479E-4</v>
      </c>
      <c r="AE223" s="383"/>
      <c r="AF223" s="574">
        <f t="shared" si="97"/>
        <v>7.8133494201246156E-2</v>
      </c>
      <c r="AG223" s="376">
        <f t="shared" si="123"/>
        <v>0.92137972675693047</v>
      </c>
      <c r="AH223" s="376">
        <f t="shared" si="109"/>
        <v>0.92186650579875384</v>
      </c>
      <c r="AI223" s="553">
        <f t="shared" si="110"/>
        <v>4.866605841272742E-4</v>
      </c>
      <c r="AJ223" s="374"/>
      <c r="AK223" s="577">
        <f t="shared" si="98"/>
        <v>8.4473835632677491E-2</v>
      </c>
      <c r="AL223" s="376">
        <f t="shared" si="111"/>
        <v>0.91510547363749062</v>
      </c>
      <c r="AM223" s="376">
        <f t="shared" si="112"/>
        <v>0.91552616436732248</v>
      </c>
      <c r="AN223" s="553">
        <f t="shared" si="113"/>
        <v>4.2060225189444189E-4</v>
      </c>
      <c r="AO223" s="554"/>
      <c r="AP223" s="580">
        <f t="shared" si="99"/>
        <v>2.033269037747798E-2</v>
      </c>
      <c r="AQ223" s="376">
        <f t="shared" si="114"/>
        <v>0.97929874629711522</v>
      </c>
      <c r="AR223" s="379">
        <f t="shared" si="115"/>
        <v>0.97966730962252202</v>
      </c>
      <c r="AS223" s="376">
        <f t="shared" si="116"/>
        <v>3.6849541428785049E-4</v>
      </c>
      <c r="AT223" s="384"/>
      <c r="AU223" s="583">
        <f t="shared" si="100"/>
        <v>0.28284561625183885</v>
      </c>
      <c r="AV223" s="381">
        <f t="shared" si="95"/>
        <v>1.2628361861449522</v>
      </c>
      <c r="AW223" s="376">
        <f t="shared" si="101"/>
        <v>1.2628540558040109</v>
      </c>
      <c r="AX223" s="503">
        <f t="shared" si="93"/>
        <v>1.7869499397304978E-5</v>
      </c>
      <c r="AY223" s="376">
        <f t="shared" si="102"/>
        <v>2.5872999628082618</v>
      </c>
      <c r="AZ223" s="381">
        <f t="shared" si="117"/>
        <v>3.0994303643200102E-3</v>
      </c>
      <c r="BA223" s="586">
        <f t="shared" si="118"/>
        <v>0.18202005889995657</v>
      </c>
      <c r="BB223" s="376">
        <f t="shared" si="119"/>
        <v>0.81757222916374739</v>
      </c>
      <c r="BC223" s="376">
        <f t="shared" si="120"/>
        <v>0.81797994110004346</v>
      </c>
      <c r="BD223" s="376">
        <f t="shared" si="121"/>
        <v>4.076288330789879E-4</v>
      </c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3"/>
      <c r="CB223" s="283"/>
      <c r="CC223" s="283"/>
      <c r="CD223" s="283"/>
      <c r="CE223" s="283"/>
      <c r="CF223" s="283"/>
      <c r="CG223" s="283"/>
      <c r="CH223" s="283"/>
      <c r="CI223" s="283"/>
      <c r="CJ223" s="283"/>
      <c r="CK223" s="283"/>
      <c r="CL223" s="283"/>
    </row>
    <row r="224" spans="1:90" ht="14.25" customHeight="1" x14ac:dyDescent="0.2">
      <c r="A224" s="28"/>
      <c r="B224" s="28"/>
      <c r="C224" s="28"/>
      <c r="D224" s="28"/>
      <c r="E224" s="282"/>
      <c r="F224" s="282"/>
      <c r="G224" s="282"/>
      <c r="H224" s="282"/>
      <c r="I224" s="282"/>
      <c r="J224" s="282"/>
      <c r="K224" s="282"/>
      <c r="L224" s="282"/>
      <c r="M224" s="282"/>
      <c r="N224" s="282"/>
      <c r="O224" s="282"/>
      <c r="P224" s="282"/>
      <c r="Q224" s="282"/>
      <c r="R224" s="282"/>
      <c r="S224" s="374"/>
      <c r="T224" s="373">
        <f t="shared" si="96"/>
        <v>198</v>
      </c>
      <c r="U224" s="374"/>
      <c r="V224" s="568">
        <f t="shared" si="122"/>
        <v>7.0970078059845376E-3</v>
      </c>
      <c r="W224" s="328">
        <f t="shared" si="103"/>
        <v>0.99272340107312573</v>
      </c>
      <c r="X224" s="328">
        <f t="shared" si="104"/>
        <v>0.99290299219401545</v>
      </c>
      <c r="Y224" s="328">
        <f t="shared" si="105"/>
        <v>1.7957499536969124E-4</v>
      </c>
      <c r="Z224" s="374"/>
      <c r="AA224" s="571">
        <f t="shared" si="106"/>
        <v>3.5452374179718867E-2</v>
      </c>
      <c r="AB224" s="327">
        <f t="shared" si="94"/>
        <v>0.96408426992455953</v>
      </c>
      <c r="AC224" s="327">
        <f t="shared" si="107"/>
        <v>0.96454762582028108</v>
      </c>
      <c r="AD224" s="327">
        <f t="shared" si="108"/>
        <v>4.63248562956875E-4</v>
      </c>
      <c r="AE224" s="383"/>
      <c r="AF224" s="574">
        <f t="shared" si="97"/>
        <v>7.7651452152241451E-2</v>
      </c>
      <c r="AG224" s="376">
        <f t="shared" si="123"/>
        <v>0.92186650579875384</v>
      </c>
      <c r="AH224" s="376">
        <f t="shared" si="109"/>
        <v>0.92234854784775855</v>
      </c>
      <c r="AI224" s="553">
        <f t="shared" si="110"/>
        <v>4.8192588540219017E-4</v>
      </c>
      <c r="AJ224" s="374"/>
      <c r="AK224" s="577">
        <f t="shared" si="98"/>
        <v>8.4057153873828033E-2</v>
      </c>
      <c r="AL224" s="376">
        <f t="shared" si="111"/>
        <v>0.91552616436732248</v>
      </c>
      <c r="AM224" s="376">
        <f t="shared" si="112"/>
        <v>0.91594284612617194</v>
      </c>
      <c r="AN224" s="553">
        <f t="shared" si="113"/>
        <v>4.165949590617668E-4</v>
      </c>
      <c r="AO224" s="554"/>
      <c r="AP224" s="580">
        <f t="shared" si="99"/>
        <v>1.9970775282686648E-2</v>
      </c>
      <c r="AQ224" s="376">
        <f t="shared" si="114"/>
        <v>0.97966730962252202</v>
      </c>
      <c r="AR224" s="379">
        <f t="shared" si="115"/>
        <v>0.98002922471731335</v>
      </c>
      <c r="AS224" s="376">
        <f t="shared" si="116"/>
        <v>3.6184961142349259E-4</v>
      </c>
      <c r="AT224" s="384"/>
      <c r="AU224" s="583">
        <f t="shared" si="100"/>
        <v>0.28284076259235064</v>
      </c>
      <c r="AV224" s="381">
        <f t="shared" si="95"/>
        <v>1.2628540558040109</v>
      </c>
      <c r="AW224" s="376">
        <f t="shared" si="101"/>
        <v>1.2628712160527631</v>
      </c>
      <c r="AX224" s="503">
        <f t="shared" si="93"/>
        <v>1.7160101515978354E-5</v>
      </c>
      <c r="AY224" s="376">
        <f t="shared" si="102"/>
        <v>2.5912825825568859</v>
      </c>
      <c r="AZ224" s="381">
        <f t="shared" si="117"/>
        <v>3.0774768045969247E-3</v>
      </c>
      <c r="BA224" s="586">
        <f t="shared" si="118"/>
        <v>0.18161530883707333</v>
      </c>
      <c r="BB224" s="376">
        <f t="shared" si="119"/>
        <v>0.81797994110004346</v>
      </c>
      <c r="BC224" s="376">
        <f t="shared" si="120"/>
        <v>0.81838469116292667</v>
      </c>
      <c r="BD224" s="376">
        <f t="shared" si="121"/>
        <v>4.046681626266313E-4</v>
      </c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3"/>
      <c r="CB224" s="283"/>
      <c r="CC224" s="283"/>
      <c r="CD224" s="283"/>
      <c r="CE224" s="283"/>
      <c r="CF224" s="283"/>
      <c r="CG224" s="283"/>
      <c r="CH224" s="283"/>
      <c r="CI224" s="283"/>
      <c r="CJ224" s="283"/>
      <c r="CK224" s="283"/>
      <c r="CL224" s="283"/>
    </row>
    <row r="225" spans="1:90" ht="14.25" customHeight="1" x14ac:dyDescent="0.2">
      <c r="A225" s="28"/>
      <c r="B225" s="28"/>
      <c r="C225" s="28"/>
      <c r="D225" s="28"/>
      <c r="E225" s="282"/>
      <c r="F225" s="282"/>
      <c r="G225" s="282"/>
      <c r="H225" s="282"/>
      <c r="I225" s="282"/>
      <c r="J225" s="282"/>
      <c r="K225" s="282"/>
      <c r="L225" s="282"/>
      <c r="M225" s="282"/>
      <c r="N225" s="282"/>
      <c r="O225" s="282"/>
      <c r="P225" s="282"/>
      <c r="Q225" s="282"/>
      <c r="R225" s="282"/>
      <c r="S225" s="374"/>
      <c r="T225" s="373">
        <f t="shared" si="96"/>
        <v>199</v>
      </c>
      <c r="U225" s="374"/>
      <c r="V225" s="568">
        <f t="shared" si="122"/>
        <v>6.921849108954688E-3</v>
      </c>
      <c r="W225" s="328">
        <f t="shared" si="103"/>
        <v>0.99290299219401545</v>
      </c>
      <c r="X225" s="328">
        <f t="shared" si="104"/>
        <v>0.99307815089104534</v>
      </c>
      <c r="Y225" s="328">
        <f t="shared" si="105"/>
        <v>1.7514335764090561E-4</v>
      </c>
      <c r="Z225" s="374"/>
      <c r="AA225" s="571">
        <f t="shared" si="106"/>
        <v>3.4995524994030983E-2</v>
      </c>
      <c r="AB225" s="327">
        <f t="shared" si="94"/>
        <v>0.96454762582028108</v>
      </c>
      <c r="AC225" s="327">
        <f t="shared" si="107"/>
        <v>0.96500447500596898</v>
      </c>
      <c r="AD225" s="327">
        <f t="shared" si="108"/>
        <v>4.5674484598845488E-4</v>
      </c>
      <c r="AE225" s="383"/>
      <c r="AF225" s="574">
        <f t="shared" si="97"/>
        <v>7.7174082635202979E-2</v>
      </c>
      <c r="AG225" s="376">
        <f t="shared" si="123"/>
        <v>0.92234854784775855</v>
      </c>
      <c r="AH225" s="376">
        <f t="shared" si="109"/>
        <v>0.92282591736479702</v>
      </c>
      <c r="AI225" s="553">
        <f t="shared" si="110"/>
        <v>4.7725559433908771E-4</v>
      </c>
      <c r="AJ225" s="374"/>
      <c r="AK225" s="577">
        <f t="shared" si="98"/>
        <v>8.3644424775861342E-2</v>
      </c>
      <c r="AL225" s="376">
        <f t="shared" si="111"/>
        <v>0.91594284612617194</v>
      </c>
      <c r="AM225" s="376">
        <f t="shared" si="112"/>
        <v>0.91635557522413869</v>
      </c>
      <c r="AN225" s="553">
        <f t="shared" si="113"/>
        <v>4.1264393702911129E-4</v>
      </c>
      <c r="AO225" s="554"/>
      <c r="AP225" s="580">
        <f t="shared" si="99"/>
        <v>1.9615386241633948E-2</v>
      </c>
      <c r="AQ225" s="376">
        <f t="shared" si="114"/>
        <v>0.98002922471731335</v>
      </c>
      <c r="AR225" s="379">
        <f t="shared" si="115"/>
        <v>0.98038461375836605</v>
      </c>
      <c r="AS225" s="376">
        <f t="shared" si="116"/>
        <v>3.5532589784781354E-4</v>
      </c>
      <c r="AT225" s="384"/>
      <c r="AU225" s="583">
        <f t="shared" si="100"/>
        <v>0.28283610169742196</v>
      </c>
      <c r="AV225" s="381">
        <f t="shared" si="95"/>
        <v>1.2628712160527631</v>
      </c>
      <c r="AW225" s="376">
        <f t="shared" si="101"/>
        <v>1.2628876950541965</v>
      </c>
      <c r="AX225" s="503">
        <f t="shared" ref="AX225:AX288" si="124">1-EXP(AV225-AW225)</f>
        <v>1.6478865655478181E-5</v>
      </c>
      <c r="AY225" s="376">
        <f t="shared" si="102"/>
        <v>2.5952451386448683</v>
      </c>
      <c r="AZ225" s="381">
        <f t="shared" si="117"/>
        <v>3.0557881705208074E-3</v>
      </c>
      <c r="BA225" s="586">
        <f t="shared" si="118"/>
        <v>0.18121348439655732</v>
      </c>
      <c r="BB225" s="376">
        <f t="shared" si="119"/>
        <v>0.81838469116292667</v>
      </c>
      <c r="BC225" s="376">
        <f t="shared" si="120"/>
        <v>0.81878651560344262</v>
      </c>
      <c r="BD225" s="376">
        <f t="shared" si="121"/>
        <v>4.0174371988765945E-4</v>
      </c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3"/>
      <c r="CB225" s="283"/>
      <c r="CC225" s="283"/>
      <c r="CD225" s="283"/>
      <c r="CE225" s="283"/>
      <c r="CF225" s="283"/>
      <c r="CG225" s="283"/>
      <c r="CH225" s="283"/>
      <c r="CI225" s="283"/>
      <c r="CJ225" s="283"/>
      <c r="CK225" s="283"/>
      <c r="CL225" s="283"/>
    </row>
    <row r="226" spans="1:90" ht="14.25" customHeight="1" x14ac:dyDescent="0.2">
      <c r="A226" s="28"/>
      <c r="B226" s="28"/>
      <c r="C226" s="28"/>
      <c r="D226" s="28"/>
      <c r="E226" s="282"/>
      <c r="F226" s="282"/>
      <c r="G226" s="282"/>
      <c r="H226" s="282"/>
      <c r="I226" s="282"/>
      <c r="J226" s="282"/>
      <c r="K226" s="282"/>
      <c r="L226" s="282"/>
      <c r="M226" s="282"/>
      <c r="N226" s="282"/>
      <c r="O226" s="282"/>
      <c r="P226" s="282"/>
      <c r="Q226" s="282"/>
      <c r="R226" s="282"/>
      <c r="S226" s="374"/>
      <c r="T226" s="373">
        <f t="shared" si="96"/>
        <v>200</v>
      </c>
      <c r="U226" s="374"/>
      <c r="V226" s="568">
        <f t="shared" si="122"/>
        <v>6.7510134407256983E-3</v>
      </c>
      <c r="W226" s="328">
        <f t="shared" si="103"/>
        <v>0.99307815089104534</v>
      </c>
      <c r="X226" s="328">
        <f t="shared" si="104"/>
        <v>0.99324898655927429</v>
      </c>
      <c r="Y226" s="328">
        <f t="shared" si="105"/>
        <v>1.7082107664712076E-4</v>
      </c>
      <c r="Z226" s="374"/>
      <c r="AA226" s="571">
        <f t="shared" si="106"/>
        <v>3.4545081725263251E-2</v>
      </c>
      <c r="AB226" s="327">
        <f t="shared" si="94"/>
        <v>0.96500447500596898</v>
      </c>
      <c r="AC226" s="327">
        <f t="shared" si="107"/>
        <v>0.96545491827473673</v>
      </c>
      <c r="AD226" s="327">
        <f t="shared" si="108"/>
        <v>4.5034183442926867E-4</v>
      </c>
      <c r="AE226" s="383"/>
      <c r="AF226" s="574">
        <f t="shared" si="97"/>
        <v>7.6701322328781796E-2</v>
      </c>
      <c r="AG226" s="376">
        <f t="shared" si="123"/>
        <v>0.92282591736479702</v>
      </c>
      <c r="AH226" s="376">
        <f t="shared" si="109"/>
        <v>0.9232986776712182</v>
      </c>
      <c r="AI226" s="553">
        <f t="shared" si="110"/>
        <v>4.7264857287598883E-4</v>
      </c>
      <c r="AJ226" s="374"/>
      <c r="AK226" s="577">
        <f t="shared" si="98"/>
        <v>8.3235593070962302E-2</v>
      </c>
      <c r="AL226" s="376">
        <f t="shared" si="111"/>
        <v>0.91635557522413869</v>
      </c>
      <c r="AM226" s="376">
        <f t="shared" si="112"/>
        <v>0.91676440692903771</v>
      </c>
      <c r="AN226" s="553">
        <f t="shared" si="113"/>
        <v>4.0874814460534203E-4</v>
      </c>
      <c r="AO226" s="554"/>
      <c r="AP226" s="580">
        <f t="shared" si="99"/>
        <v>1.9266403384842867E-2</v>
      </c>
      <c r="AQ226" s="376">
        <f t="shared" si="114"/>
        <v>0.98038461375836605</v>
      </c>
      <c r="AR226" s="379">
        <f t="shared" si="115"/>
        <v>0.98073359661515713</v>
      </c>
      <c r="AS226" s="376">
        <f t="shared" si="116"/>
        <v>3.4892196935698561E-4</v>
      </c>
      <c r="AT226" s="384"/>
      <c r="AU226" s="583">
        <f t="shared" si="100"/>
        <v>0.28283162590836142</v>
      </c>
      <c r="AV226" s="381">
        <f t="shared" si="95"/>
        <v>1.2628876950541965</v>
      </c>
      <c r="AW226" s="376">
        <f t="shared" si="101"/>
        <v>1.2629035198532517</v>
      </c>
      <c r="AX226" s="503">
        <f t="shared" si="124"/>
        <v>1.5824673843645165E-5</v>
      </c>
      <c r="AY226" s="376">
        <f t="shared" si="102"/>
        <v>2.5991878322129343</v>
      </c>
      <c r="AZ226" s="381">
        <f t="shared" si="117"/>
        <v>3.0343599577729286E-3</v>
      </c>
      <c r="BA226" s="586">
        <f t="shared" si="118"/>
        <v>0.18081454994945811</v>
      </c>
      <c r="BB226" s="376">
        <f t="shared" si="119"/>
        <v>0.81878651560344262</v>
      </c>
      <c r="BC226" s="376">
        <f t="shared" si="120"/>
        <v>0.81918545005054189</v>
      </c>
      <c r="BD226" s="376">
        <f t="shared" si="121"/>
        <v>3.9885488333335495E-4</v>
      </c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3"/>
      <c r="CB226" s="283"/>
      <c r="CC226" s="283"/>
      <c r="CD226" s="283"/>
      <c r="CE226" s="283"/>
      <c r="CF226" s="283"/>
      <c r="CG226" s="283"/>
      <c r="CH226" s="283"/>
      <c r="CI226" s="283"/>
      <c r="CJ226" s="283"/>
      <c r="CK226" s="283"/>
      <c r="CL226" s="283"/>
    </row>
    <row r="227" spans="1:90" ht="14.25" customHeight="1" x14ac:dyDescent="0.2">
      <c r="A227" s="28"/>
      <c r="B227" s="28"/>
      <c r="C227" s="28"/>
      <c r="D227" s="28"/>
      <c r="E227" s="282"/>
      <c r="F227" s="282"/>
      <c r="G227" s="282"/>
      <c r="H227" s="282"/>
      <c r="I227" s="282"/>
      <c r="J227" s="282"/>
      <c r="K227" s="282"/>
      <c r="L227" s="282"/>
      <c r="M227" s="282"/>
      <c r="N227" s="282"/>
      <c r="O227" s="282"/>
      <c r="P227" s="282"/>
      <c r="Q227" s="282"/>
      <c r="R227" s="282"/>
      <c r="S227" s="374"/>
      <c r="T227" s="373">
        <f t="shared" si="96"/>
        <v>201</v>
      </c>
      <c r="U227" s="374"/>
      <c r="V227" s="568">
        <f t="shared" si="122"/>
        <v>6.5843941061786279E-3</v>
      </c>
      <c r="W227" s="328">
        <f t="shared" si="103"/>
        <v>0.99324898655927429</v>
      </c>
      <c r="X227" s="328">
        <f t="shared" si="104"/>
        <v>0.99341560589382139</v>
      </c>
      <c r="Y227" s="328">
        <f t="shared" si="105"/>
        <v>1.6660545431668172E-4</v>
      </c>
      <c r="Z227" s="374"/>
      <c r="AA227" s="571">
        <f t="shared" si="106"/>
        <v>3.4100945326978313E-2</v>
      </c>
      <c r="AB227" s="327">
        <f t="shared" ref="AB227:AB290" si="125">1-AA226</f>
        <v>0.96545491827473673</v>
      </c>
      <c r="AC227" s="327">
        <f t="shared" si="107"/>
        <v>0.96589905467302173</v>
      </c>
      <c r="AD227" s="327">
        <f t="shared" si="108"/>
        <v>4.4403778431478802E-4</v>
      </c>
      <c r="AE227" s="383"/>
      <c r="AF227" s="574">
        <f t="shared" si="97"/>
        <v>7.6233109026224377E-2</v>
      </c>
      <c r="AG227" s="376">
        <f t="shared" si="123"/>
        <v>0.9232986776712182</v>
      </c>
      <c r="AH227" s="376">
        <f t="shared" si="109"/>
        <v>0.92376689097377562</v>
      </c>
      <c r="AI227" s="553">
        <f t="shared" si="110"/>
        <v>4.6810370781436017E-4</v>
      </c>
      <c r="AJ227" s="374"/>
      <c r="AK227" s="577">
        <f t="shared" si="98"/>
        <v>8.2830604509707986E-2</v>
      </c>
      <c r="AL227" s="376">
        <f t="shared" si="111"/>
        <v>0.91676440692903771</v>
      </c>
      <c r="AM227" s="376">
        <f t="shared" si="112"/>
        <v>0.91716939549029197</v>
      </c>
      <c r="AN227" s="553">
        <f t="shared" si="113"/>
        <v>4.0490656445646422E-4</v>
      </c>
      <c r="AO227" s="554"/>
      <c r="AP227" s="580">
        <f t="shared" si="99"/>
        <v>1.8923709104844644E-2</v>
      </c>
      <c r="AQ227" s="376">
        <f t="shared" si="114"/>
        <v>0.98073359661515713</v>
      </c>
      <c r="AR227" s="379">
        <f t="shared" si="115"/>
        <v>0.98107629089515536</v>
      </c>
      <c r="AS227" s="376">
        <f t="shared" si="116"/>
        <v>3.4263556702052167E-4</v>
      </c>
      <c r="AT227" s="384"/>
      <c r="AU227" s="583">
        <f t="shared" si="100"/>
        <v>0.2828273278709959</v>
      </c>
      <c r="AV227" s="381">
        <f t="shared" si="95"/>
        <v>1.2629035198532517</v>
      </c>
      <c r="AW227" s="376">
        <f t="shared" si="101"/>
        <v>1.2629187164212079</v>
      </c>
      <c r="AX227" s="503">
        <f t="shared" si="124"/>
        <v>1.5196452488930312E-5</v>
      </c>
      <c r="AY227" s="376">
        <f t="shared" si="102"/>
        <v>2.6031108613921963</v>
      </c>
      <c r="AZ227" s="381">
        <f t="shared" si="117"/>
        <v>3.0131877606241401E-3</v>
      </c>
      <c r="BA227" s="586">
        <f t="shared" si="118"/>
        <v>0.18041847047521387</v>
      </c>
      <c r="BB227" s="376">
        <f t="shared" si="119"/>
        <v>0.81918545005054189</v>
      </c>
      <c r="BC227" s="376">
        <f t="shared" si="120"/>
        <v>0.81958152952478613</v>
      </c>
      <c r="BD227" s="376">
        <f t="shared" si="121"/>
        <v>3.9600104512438339E-4</v>
      </c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  <c r="CE227" s="283"/>
      <c r="CF227" s="283"/>
      <c r="CG227" s="283"/>
      <c r="CH227" s="283"/>
      <c r="CI227" s="283"/>
      <c r="CJ227" s="283"/>
      <c r="CK227" s="283"/>
      <c r="CL227" s="283"/>
    </row>
    <row r="228" spans="1:90" ht="14.25" customHeight="1" x14ac:dyDescent="0.2">
      <c r="A228" s="28"/>
      <c r="B228" s="28"/>
      <c r="C228" s="28"/>
      <c r="D228" s="28"/>
      <c r="E228" s="282"/>
      <c r="F228" s="282"/>
      <c r="G228" s="282"/>
      <c r="H228" s="282"/>
      <c r="I228" s="282"/>
      <c r="J228" s="282"/>
      <c r="K228" s="282"/>
      <c r="L228" s="282"/>
      <c r="M228" s="282"/>
      <c r="N228" s="282"/>
      <c r="O228" s="282"/>
      <c r="P228" s="282"/>
      <c r="Q228" s="282"/>
      <c r="R228" s="282"/>
      <c r="S228" s="374"/>
      <c r="T228" s="373">
        <f t="shared" si="96"/>
        <v>202</v>
      </c>
      <c r="U228" s="374"/>
      <c r="V228" s="568">
        <f t="shared" si="122"/>
        <v>6.42188704349839E-3</v>
      </c>
      <c r="W228" s="328">
        <f t="shared" si="103"/>
        <v>0.99341560589382139</v>
      </c>
      <c r="X228" s="328">
        <f t="shared" si="104"/>
        <v>0.99357811295650156</v>
      </c>
      <c r="Y228" s="328">
        <f t="shared" si="105"/>
        <v>1.624938591227032E-4</v>
      </c>
      <c r="Z228" s="374"/>
      <c r="AA228" s="571">
        <f t="shared" si="106"/>
        <v>3.3663018465111785E-2</v>
      </c>
      <c r="AB228" s="327">
        <f t="shared" si="125"/>
        <v>0.96589905467302173</v>
      </c>
      <c r="AC228" s="327">
        <f t="shared" si="107"/>
        <v>0.96633698153488823</v>
      </c>
      <c r="AD228" s="327">
        <f t="shared" si="108"/>
        <v>4.3783098589433855E-4</v>
      </c>
      <c r="AE228" s="383"/>
      <c r="AF228" s="574">
        <f t="shared" si="97"/>
        <v>7.5769381611114905E-2</v>
      </c>
      <c r="AG228" s="376">
        <f t="shared" si="123"/>
        <v>0.92376689097377562</v>
      </c>
      <c r="AH228" s="376">
        <f t="shared" si="109"/>
        <v>0.92423061838888509</v>
      </c>
      <c r="AI228" s="553">
        <f t="shared" si="110"/>
        <v>4.6361991016996562E-4</v>
      </c>
      <c r="AJ228" s="374"/>
      <c r="AK228" s="577">
        <f t="shared" si="98"/>
        <v>8.2429405837826708E-2</v>
      </c>
      <c r="AL228" s="376">
        <f t="shared" si="111"/>
        <v>0.91716939549029197</v>
      </c>
      <c r="AM228" s="376">
        <f t="shared" si="112"/>
        <v>0.91757059416217324</v>
      </c>
      <c r="AN228" s="553">
        <f t="shared" si="113"/>
        <v>4.01118202455919E-4</v>
      </c>
      <c r="AO228" s="554"/>
      <c r="AP228" s="580">
        <f t="shared" si="99"/>
        <v>1.8587188011737199E-2</v>
      </c>
      <c r="AQ228" s="376">
        <f t="shared" si="114"/>
        <v>0.98107629089515536</v>
      </c>
      <c r="AR228" s="379">
        <f t="shared" si="115"/>
        <v>0.9814128119882628</v>
      </c>
      <c r="AS228" s="376">
        <f t="shared" si="116"/>
        <v>3.3646447623547626E-4</v>
      </c>
      <c r="AT228" s="384"/>
      <c r="AU228" s="583">
        <f t="shared" si="100"/>
        <v>0.28282320052354482</v>
      </c>
      <c r="AV228" s="381">
        <f t="shared" ref="AV228:AV291" si="126">($AU$22/$AU$21)*((EXP($AU$21*T227))-1)</f>
        <v>1.2629187164212079</v>
      </c>
      <c r="AW228" s="376">
        <f t="shared" si="101"/>
        <v>1.2629333096983073</v>
      </c>
      <c r="AX228" s="503">
        <f t="shared" si="124"/>
        <v>1.4593170618026896E-5</v>
      </c>
      <c r="AY228" s="376">
        <f t="shared" si="102"/>
        <v>2.6070144213639002</v>
      </c>
      <c r="AZ228" s="381">
        <f t="shared" si="117"/>
        <v>2.9922672693000764E-3</v>
      </c>
      <c r="BA228" s="586">
        <f t="shared" si="118"/>
        <v>0.18002521154831533</v>
      </c>
      <c r="BB228" s="376">
        <f t="shared" si="119"/>
        <v>0.81958152952478613</v>
      </c>
      <c r="BC228" s="376">
        <f t="shared" si="120"/>
        <v>0.8199747884516847</v>
      </c>
      <c r="BD228" s="376">
        <f t="shared" si="121"/>
        <v>3.9318161074219926E-4</v>
      </c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  <c r="CE228" s="283"/>
      <c r="CF228" s="283"/>
      <c r="CG228" s="283"/>
      <c r="CH228" s="283"/>
      <c r="CI228" s="283"/>
      <c r="CJ228" s="283"/>
      <c r="CK228" s="283"/>
      <c r="CL228" s="283"/>
    </row>
    <row r="229" spans="1:90" ht="14.25" customHeight="1" x14ac:dyDescent="0.2">
      <c r="A229" s="28"/>
      <c r="B229" s="28"/>
      <c r="C229" s="28"/>
      <c r="D229" s="28"/>
      <c r="E229" s="282"/>
      <c r="F229" s="282"/>
      <c r="G229" s="282"/>
      <c r="H229" s="282"/>
      <c r="I229" s="282"/>
      <c r="J229" s="282"/>
      <c r="K229" s="282"/>
      <c r="L229" s="282"/>
      <c r="M229" s="282"/>
      <c r="N229" s="282"/>
      <c r="O229" s="282"/>
      <c r="P229" s="282"/>
      <c r="Q229" s="282"/>
      <c r="R229" s="282"/>
      <c r="S229" s="374"/>
      <c r="T229" s="373">
        <f t="shared" si="96"/>
        <v>203</v>
      </c>
      <c r="U229" s="374"/>
      <c r="V229" s="568">
        <f t="shared" si="122"/>
        <v>6.2633907591821292E-3</v>
      </c>
      <c r="W229" s="328">
        <f t="shared" si="103"/>
        <v>0.99357811295650156</v>
      </c>
      <c r="X229" s="328">
        <f t="shared" si="104"/>
        <v>0.99373660924081786</v>
      </c>
      <c r="Y229" s="328">
        <f t="shared" si="105"/>
        <v>1.584837244438253E-4</v>
      </c>
      <c r="Z229" s="374"/>
      <c r="AA229" s="571">
        <f t="shared" si="106"/>
        <v>3.3231205484440307E-2</v>
      </c>
      <c r="AB229" s="327">
        <f t="shared" si="125"/>
        <v>0.96633698153488823</v>
      </c>
      <c r="AC229" s="327">
        <f t="shared" si="107"/>
        <v>0.96676879451555964</v>
      </c>
      <c r="AD229" s="327">
        <f t="shared" si="108"/>
        <v>4.3171976286426883E-4</v>
      </c>
      <c r="AE229" s="383"/>
      <c r="AF229" s="574">
        <f t="shared" si="97"/>
        <v>7.5310080033747506E-2</v>
      </c>
      <c r="AG229" s="376">
        <f t="shared" si="123"/>
        <v>0.92423061838888509</v>
      </c>
      <c r="AH229" s="376">
        <f t="shared" si="109"/>
        <v>0.92468991996625249</v>
      </c>
      <c r="AI229" s="553">
        <f t="shared" si="110"/>
        <v>4.5919611454492415E-4</v>
      </c>
      <c r="AJ229" s="374"/>
      <c r="AK229" s="577">
        <f t="shared" si="98"/>
        <v>8.2031944773589258E-2</v>
      </c>
      <c r="AL229" s="376">
        <f t="shared" si="111"/>
        <v>0.91757059416217324</v>
      </c>
      <c r="AM229" s="376">
        <f t="shared" si="112"/>
        <v>0.91796805522641078</v>
      </c>
      <c r="AN229" s="553">
        <f t="shared" si="113"/>
        <v>3.9738208705253353E-4</v>
      </c>
      <c r="AO229" s="554"/>
      <c r="AP229" s="580">
        <f t="shared" si="99"/>
        <v>1.825672688966995E-2</v>
      </c>
      <c r="AQ229" s="376">
        <f t="shared" si="114"/>
        <v>0.9814128119882628</v>
      </c>
      <c r="AR229" s="379">
        <f t="shared" si="115"/>
        <v>0.98174327311033005</v>
      </c>
      <c r="AS229" s="376">
        <f t="shared" si="116"/>
        <v>3.3040652580484942E-4</v>
      </c>
      <c r="AT229" s="384"/>
      <c r="AU229" s="583">
        <f t="shared" si="100"/>
        <v>0.28281923708497841</v>
      </c>
      <c r="AV229" s="381">
        <f t="shared" si="126"/>
        <v>1.2629333096983073</v>
      </c>
      <c r="AW229" s="376">
        <f t="shared" si="101"/>
        <v>1.2629473236346846</v>
      </c>
      <c r="AX229" s="503">
        <f t="shared" si="124"/>
        <v>1.4013838182558302E-5</v>
      </c>
      <c r="AY229" s="376">
        <f t="shared" si="102"/>
        <v>2.6108987044176932</v>
      </c>
      <c r="AZ229" s="381">
        <f t="shared" si="117"/>
        <v>2.9715942674293709E-3</v>
      </c>
      <c r="BA229" s="586">
        <f t="shared" si="118"/>
        <v>0.17963473932532459</v>
      </c>
      <c r="BB229" s="376">
        <f t="shared" si="119"/>
        <v>0.8199747884516847</v>
      </c>
      <c r="BC229" s="376">
        <f t="shared" si="120"/>
        <v>0.82036526067467541</v>
      </c>
      <c r="BD229" s="376">
        <f t="shared" si="121"/>
        <v>3.9039599863377461E-4</v>
      </c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  <c r="CE229" s="283"/>
      <c r="CF229" s="283"/>
      <c r="CG229" s="283"/>
      <c r="CH229" s="283"/>
      <c r="CI229" s="283"/>
      <c r="CJ229" s="283"/>
      <c r="CK229" s="283"/>
      <c r="CL229" s="283"/>
    </row>
    <row r="230" spans="1:90" ht="14.25" customHeight="1" x14ac:dyDescent="0.2">
      <c r="A230" s="28"/>
      <c r="B230" s="28"/>
      <c r="C230" s="28"/>
      <c r="D230" s="28"/>
      <c r="E230" s="282"/>
      <c r="F230" s="282"/>
      <c r="G230" s="282"/>
      <c r="H230" s="282"/>
      <c r="I230" s="282"/>
      <c r="J230" s="282"/>
      <c r="K230" s="282"/>
      <c r="L230" s="282"/>
      <c r="M230" s="282"/>
      <c r="N230" s="282"/>
      <c r="O230" s="282"/>
      <c r="P230" s="282"/>
      <c r="Q230" s="282"/>
      <c r="R230" s="282"/>
      <c r="S230" s="374"/>
      <c r="T230" s="373">
        <f t="shared" ref="T230:T293" si="127">T229+1</f>
        <v>204</v>
      </c>
      <c r="U230" s="374"/>
      <c r="V230" s="568">
        <f t="shared" si="122"/>
        <v>6.1088062646516283E-3</v>
      </c>
      <c r="W230" s="328">
        <f t="shared" si="103"/>
        <v>0.99373660924081786</v>
      </c>
      <c r="X230" s="328">
        <f t="shared" si="104"/>
        <v>0.9938911937353484</v>
      </c>
      <c r="Y230" s="328">
        <f t="shared" si="105"/>
        <v>1.5457254696316092E-4</v>
      </c>
      <c r="Z230" s="374"/>
      <c r="AA230" s="571">
        <f t="shared" si="106"/>
        <v>3.2805412375800251E-2</v>
      </c>
      <c r="AB230" s="327">
        <f t="shared" si="125"/>
        <v>0.96676879451555964</v>
      </c>
      <c r="AC230" s="327">
        <f t="shared" si="107"/>
        <v>0.96719458762419974</v>
      </c>
      <c r="AD230" s="327">
        <f t="shared" si="108"/>
        <v>4.2570247161910491E-4</v>
      </c>
      <c r="AE230" s="383"/>
      <c r="AF230" s="574">
        <f t="shared" si="97"/>
        <v>7.4855145288110325E-2</v>
      </c>
      <c r="AG230" s="376">
        <f t="shared" si="123"/>
        <v>0.92468991996625249</v>
      </c>
      <c r="AH230" s="376">
        <f t="shared" si="109"/>
        <v>0.92514485471188967</v>
      </c>
      <c r="AI230" s="553">
        <f t="shared" si="110"/>
        <v>4.5483127851664307E-4</v>
      </c>
      <c r="AJ230" s="374"/>
      <c r="AK230" s="577">
        <f t="shared" si="98"/>
        <v>8.1638169985810694E-2</v>
      </c>
      <c r="AL230" s="376">
        <f t="shared" si="111"/>
        <v>0.91796805522641078</v>
      </c>
      <c r="AM230" s="376">
        <f t="shared" si="112"/>
        <v>0.91836183001418936</v>
      </c>
      <c r="AN230" s="553">
        <f t="shared" si="113"/>
        <v>3.9369726866222976E-4</v>
      </c>
      <c r="AO230" s="554"/>
      <c r="AP230" s="580">
        <f t="shared" si="99"/>
        <v>1.7932214654235556E-2</v>
      </c>
      <c r="AQ230" s="376">
        <f t="shared" si="114"/>
        <v>0.98174327311033005</v>
      </c>
      <c r="AR230" s="379">
        <f t="shared" si="115"/>
        <v>0.98206778534576444</v>
      </c>
      <c r="AS230" s="376">
        <f t="shared" si="116"/>
        <v>3.2445958703408717E-4</v>
      </c>
      <c r="AT230" s="384"/>
      <c r="AU230" s="583">
        <f t="shared" si="100"/>
        <v>0.28281543104384022</v>
      </c>
      <c r="AV230" s="381">
        <f t="shared" si="126"/>
        <v>1.2629473236346846</v>
      </c>
      <c r="AW230" s="376">
        <f t="shared" si="101"/>
        <v>1.2629607812296755</v>
      </c>
      <c r="AX230" s="503">
        <f t="shared" si="124"/>
        <v>1.3457504437819345E-5</v>
      </c>
      <c r="AY230" s="376">
        <f t="shared" si="102"/>
        <v>2.6147639000084637</v>
      </c>
      <c r="AZ230" s="381">
        <f t="shared" si="117"/>
        <v>2.9511646295718947E-3</v>
      </c>
      <c r="BA230" s="586">
        <f t="shared" si="118"/>
        <v>0.1792470205322392</v>
      </c>
      <c r="BB230" s="376">
        <f t="shared" si="119"/>
        <v>0.82036526067467541</v>
      </c>
      <c r="BC230" s="376">
        <f t="shared" si="120"/>
        <v>0.82075297946776082</v>
      </c>
      <c r="BD230" s="376">
        <f t="shared" si="121"/>
        <v>3.8764363986720785E-4</v>
      </c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3"/>
      <c r="CB230" s="283"/>
      <c r="CC230" s="283"/>
      <c r="CD230" s="283"/>
      <c r="CE230" s="283"/>
      <c r="CF230" s="283"/>
      <c r="CG230" s="283"/>
      <c r="CH230" s="283"/>
      <c r="CI230" s="283"/>
      <c r="CJ230" s="283"/>
      <c r="CK230" s="283"/>
      <c r="CL230" s="283"/>
    </row>
    <row r="231" spans="1:90" ht="14.25" customHeight="1" x14ac:dyDescent="0.2">
      <c r="A231" s="28"/>
      <c r="B231" s="28"/>
      <c r="C231" s="28"/>
      <c r="D231" s="28"/>
      <c r="E231" s="282"/>
      <c r="F231" s="282"/>
      <c r="G231" s="282"/>
      <c r="H231" s="282"/>
      <c r="I231" s="282"/>
      <c r="J231" s="282"/>
      <c r="K231" s="282"/>
      <c r="L231" s="282"/>
      <c r="M231" s="282"/>
      <c r="N231" s="282"/>
      <c r="O231" s="282"/>
      <c r="P231" s="282"/>
      <c r="Q231" s="282"/>
      <c r="R231" s="282"/>
      <c r="S231" s="374"/>
      <c r="T231" s="373">
        <f t="shared" si="127"/>
        <v>205</v>
      </c>
      <c r="U231" s="374"/>
      <c r="V231" s="568">
        <f t="shared" si="122"/>
        <v>5.9580370144301648E-3</v>
      </c>
      <c r="W231" s="328">
        <f t="shared" si="103"/>
        <v>0.9938911937353484</v>
      </c>
      <c r="X231" s="328">
        <f t="shared" si="104"/>
        <v>0.99404196298556979</v>
      </c>
      <c r="Y231" s="328">
        <f t="shared" si="105"/>
        <v>1.5075788510920951E-4</v>
      </c>
      <c r="Z231" s="374"/>
      <c r="AA231" s="571">
        <f t="shared" si="106"/>
        <v>3.2385546744038138E-2</v>
      </c>
      <c r="AB231" s="327">
        <f t="shared" si="125"/>
        <v>0.96719458762419974</v>
      </c>
      <c r="AC231" s="327">
        <f t="shared" si="107"/>
        <v>0.96761445325596185</v>
      </c>
      <c r="AD231" s="327">
        <f t="shared" si="108"/>
        <v>4.197775005225779E-4</v>
      </c>
      <c r="AE231" s="383"/>
      <c r="AF231" s="574">
        <f t="shared" si="97"/>
        <v>7.4404519389462798E-2</v>
      </c>
      <c r="AG231" s="376">
        <f t="shared" si="123"/>
        <v>0.92514485471188967</v>
      </c>
      <c r="AH231" s="376">
        <f t="shared" si="109"/>
        <v>0.9255954806105372</v>
      </c>
      <c r="AI231" s="553">
        <f t="shared" si="110"/>
        <v>4.5052438204651324E-4</v>
      </c>
      <c r="AJ231" s="374"/>
      <c r="AK231" s="577">
        <f t="shared" si="98"/>
        <v>8.1248031072445562E-2</v>
      </c>
      <c r="AL231" s="376">
        <f t="shared" si="111"/>
        <v>0.91836183001418936</v>
      </c>
      <c r="AM231" s="376">
        <f t="shared" si="112"/>
        <v>0.9187519689275544</v>
      </c>
      <c r="AN231" s="553">
        <f t="shared" si="113"/>
        <v>3.900628190752764E-4</v>
      </c>
      <c r="AO231" s="554"/>
      <c r="AP231" s="580">
        <f t="shared" si="99"/>
        <v>1.7613542310748409E-2</v>
      </c>
      <c r="AQ231" s="376">
        <f t="shared" si="114"/>
        <v>0.98206778534576444</v>
      </c>
      <c r="AR231" s="379">
        <f t="shared" si="115"/>
        <v>0.98238645768925159</v>
      </c>
      <c r="AS231" s="376">
        <f t="shared" si="116"/>
        <v>3.186215728491204E-4</v>
      </c>
      <c r="AT231" s="384"/>
      <c r="AU231" s="583">
        <f t="shared" si="100"/>
        <v>0.28281177614751685</v>
      </c>
      <c r="AV231" s="381">
        <f t="shared" si="126"/>
        <v>1.2629607812296755</v>
      </c>
      <c r="AW231" s="376">
        <f t="shared" si="101"/>
        <v>1.2629737045695608</v>
      </c>
      <c r="AX231" s="503">
        <f t="shared" si="124"/>
        <v>1.2923256379360204E-5</v>
      </c>
      <c r="AY231" s="376">
        <f t="shared" si="102"/>
        <v>2.6186101948117892</v>
      </c>
      <c r="AZ231" s="381">
        <f t="shared" si="117"/>
        <v>2.9309743188241566E-3</v>
      </c>
      <c r="BA231" s="586">
        <f t="shared" si="118"/>
        <v>0.17886202245219165</v>
      </c>
      <c r="BB231" s="376">
        <f t="shared" si="119"/>
        <v>0.82075297946776082</v>
      </c>
      <c r="BC231" s="376">
        <f t="shared" si="120"/>
        <v>0.82113797754780837</v>
      </c>
      <c r="BD231" s="376">
        <f t="shared" si="121"/>
        <v>3.8492397779676946E-4</v>
      </c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3"/>
      <c r="CB231" s="283"/>
      <c r="CC231" s="283"/>
      <c r="CD231" s="283"/>
      <c r="CE231" s="283"/>
      <c r="CF231" s="283"/>
      <c r="CG231" s="283"/>
      <c r="CH231" s="283"/>
      <c r="CI231" s="283"/>
      <c r="CJ231" s="283"/>
      <c r="CK231" s="283"/>
      <c r="CL231" s="283"/>
    </row>
    <row r="232" spans="1:90" ht="14.25" customHeight="1" x14ac:dyDescent="0.2">
      <c r="A232" s="28"/>
      <c r="B232" s="28"/>
      <c r="C232" s="28"/>
      <c r="D232" s="28"/>
      <c r="E232" s="282"/>
      <c r="F232" s="282"/>
      <c r="G232" s="282"/>
      <c r="H232" s="282"/>
      <c r="I232" s="282"/>
      <c r="J232" s="282"/>
      <c r="K232" s="282"/>
      <c r="L232" s="282"/>
      <c r="M232" s="282"/>
      <c r="N232" s="282"/>
      <c r="O232" s="282"/>
      <c r="P232" s="282"/>
      <c r="Q232" s="282"/>
      <c r="R232" s="282"/>
      <c r="S232" s="374"/>
      <c r="T232" s="373">
        <f t="shared" si="127"/>
        <v>206</v>
      </c>
      <c r="U232" s="374"/>
      <c r="V232" s="568">
        <f t="shared" si="122"/>
        <v>5.8109888458452033E-3</v>
      </c>
      <c r="W232" s="328">
        <f t="shared" si="103"/>
        <v>0.99404196298556979</v>
      </c>
      <c r="X232" s="328">
        <f t="shared" si="104"/>
        <v>0.99418901115415481</v>
      </c>
      <c r="Y232" s="328">
        <f t="shared" si="105"/>
        <v>1.4703735753296421E-4</v>
      </c>
      <c r="Z232" s="374"/>
      <c r="AA232" s="571">
        <f t="shared" si="106"/>
        <v>3.1971517776674022E-2</v>
      </c>
      <c r="AB232" s="327">
        <f t="shared" si="125"/>
        <v>0.96761445325596185</v>
      </c>
      <c r="AC232" s="327">
        <f t="shared" si="107"/>
        <v>0.96802848222332594</v>
      </c>
      <c r="AD232" s="327">
        <f t="shared" si="108"/>
        <v>4.1394326919874658E-4</v>
      </c>
      <c r="AE232" s="383"/>
      <c r="AF232" s="574">
        <f t="shared" si="97"/>
        <v>7.3958145352487126E-2</v>
      </c>
      <c r="AG232" s="376">
        <f t="shared" si="123"/>
        <v>0.9255954806105372</v>
      </c>
      <c r="AH232" s="376">
        <f t="shared" si="109"/>
        <v>0.92604185464751287</v>
      </c>
      <c r="AI232" s="553">
        <f t="shared" si="110"/>
        <v>4.4627442690692298E-4</v>
      </c>
      <c r="AJ232" s="374"/>
      <c r="AK232" s="577">
        <f t="shared" si="98"/>
        <v>8.0861478539756046E-2</v>
      </c>
      <c r="AL232" s="376">
        <f t="shared" si="111"/>
        <v>0.9187519689275544</v>
      </c>
      <c r="AM232" s="376">
        <f t="shared" si="112"/>
        <v>0.919138521460244</v>
      </c>
      <c r="AN232" s="553">
        <f t="shared" si="113"/>
        <v>3.8647783088507914E-4</v>
      </c>
      <c r="AO232" s="554"/>
      <c r="AP232" s="580">
        <f t="shared" si="99"/>
        <v>1.7300602913386975E-2</v>
      </c>
      <c r="AQ232" s="376">
        <f t="shared" si="114"/>
        <v>0.98238645768925159</v>
      </c>
      <c r="AR232" s="379">
        <f t="shared" si="115"/>
        <v>0.98269939708661302</v>
      </c>
      <c r="AS232" s="376">
        <f t="shared" si="116"/>
        <v>3.1289043693560892E-4</v>
      </c>
      <c r="AT232" s="384"/>
      <c r="AU232" s="583">
        <f t="shared" si="100"/>
        <v>0.28280826639193479</v>
      </c>
      <c r="AV232" s="381">
        <f t="shared" si="126"/>
        <v>1.2629737045695608</v>
      </c>
      <c r="AW232" s="376">
        <f t="shared" si="101"/>
        <v>1.2629861148638153</v>
      </c>
      <c r="AX232" s="503">
        <f t="shared" si="124"/>
        <v>1.241021724707192E-5</v>
      </c>
      <c r="AY232" s="376">
        <f t="shared" si="102"/>
        <v>2.6224377727780319</v>
      </c>
      <c r="AZ232" s="381">
        <f t="shared" si="117"/>
        <v>2.9110193844990627E-3</v>
      </c>
      <c r="BA232" s="586">
        <f t="shared" si="118"/>
        <v>0.17847971291347142</v>
      </c>
      <c r="BB232" s="376">
        <f t="shared" si="119"/>
        <v>0.82113797754780837</v>
      </c>
      <c r="BC232" s="376">
        <f t="shared" si="120"/>
        <v>0.82152028708652858</v>
      </c>
      <c r="BD232" s="376">
        <f t="shared" si="121"/>
        <v>3.8223646774071529E-4</v>
      </c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  <c r="CE232" s="283"/>
      <c r="CF232" s="283"/>
      <c r="CG232" s="283"/>
      <c r="CH232" s="283"/>
      <c r="CI232" s="283"/>
      <c r="CJ232" s="283"/>
      <c r="CK232" s="283"/>
      <c r="CL232" s="283"/>
    </row>
    <row r="233" spans="1:90" ht="14.25" customHeight="1" x14ac:dyDescent="0.2">
      <c r="A233" s="28"/>
      <c r="B233" s="28"/>
      <c r="C233" s="28"/>
      <c r="D233" s="28"/>
      <c r="E233" s="282"/>
      <c r="F233" s="282"/>
      <c r="G233" s="282"/>
      <c r="H233" s="282"/>
      <c r="I233" s="282"/>
      <c r="J233" s="282"/>
      <c r="K233" s="282"/>
      <c r="L233" s="282"/>
      <c r="M233" s="282"/>
      <c r="N233" s="282"/>
      <c r="O233" s="282"/>
      <c r="P233" s="282"/>
      <c r="Q233" s="282"/>
      <c r="R233" s="282"/>
      <c r="S233" s="374"/>
      <c r="T233" s="373">
        <f t="shared" si="127"/>
        <v>207</v>
      </c>
      <c r="U233" s="374"/>
      <c r="V233" s="568">
        <f t="shared" si="122"/>
        <v>5.6675699202192609E-3</v>
      </c>
      <c r="W233" s="328">
        <f t="shared" si="103"/>
        <v>0.99418901115415481</v>
      </c>
      <c r="X233" s="328">
        <f t="shared" si="104"/>
        <v>0.99433243007978078</v>
      </c>
      <c r="Y233" s="328">
        <f t="shared" si="105"/>
        <v>1.4340864162354361E-4</v>
      </c>
      <c r="Z233" s="374"/>
      <c r="AA233" s="571">
        <f t="shared" si="106"/>
        <v>3.1563236213259432E-2</v>
      </c>
      <c r="AB233" s="327">
        <f t="shared" si="125"/>
        <v>0.96802848222332594</v>
      </c>
      <c r="AC233" s="327">
        <f t="shared" si="107"/>
        <v>0.9684367637867406</v>
      </c>
      <c r="AD233" s="327">
        <f t="shared" si="108"/>
        <v>4.0819822783899617E-4</v>
      </c>
      <c r="AE233" s="383"/>
      <c r="AF233" s="574">
        <f t="shared" si="97"/>
        <v>7.3515967169998975E-2</v>
      </c>
      <c r="AG233" s="376">
        <f t="shared" si="123"/>
        <v>0.92604185464751287</v>
      </c>
      <c r="AH233" s="376">
        <f t="shared" si="109"/>
        <v>0.92648403283000103</v>
      </c>
      <c r="AI233" s="553">
        <f t="shared" si="110"/>
        <v>4.4208043612325998E-4</v>
      </c>
      <c r="AJ233" s="374"/>
      <c r="AK233" s="577">
        <f t="shared" si="98"/>
        <v>8.0478463782036797E-2</v>
      </c>
      <c r="AL233" s="376">
        <f t="shared" si="111"/>
        <v>0.919138521460244</v>
      </c>
      <c r="AM233" s="376">
        <f t="shared" si="112"/>
        <v>0.91952153621796318</v>
      </c>
      <c r="AN233" s="553">
        <f t="shared" si="113"/>
        <v>3.8294141693073769E-4</v>
      </c>
      <c r="AO233" s="554"/>
      <c r="AP233" s="580">
        <f t="shared" si="99"/>
        <v>1.6993291525184251E-2</v>
      </c>
      <c r="AQ233" s="376">
        <f t="shared" si="114"/>
        <v>0.98269939708661302</v>
      </c>
      <c r="AR233" s="379">
        <f t="shared" si="115"/>
        <v>0.98300670847481575</v>
      </c>
      <c r="AS233" s="376">
        <f t="shared" si="116"/>
        <v>3.0726417289483887E-4</v>
      </c>
      <c r="AT233" s="384"/>
      <c r="AU233" s="583">
        <f t="shared" si="100"/>
        <v>0.28280489601166953</v>
      </c>
      <c r="AV233" s="381">
        <f t="shared" si="126"/>
        <v>1.2629861148638153</v>
      </c>
      <c r="AW233" s="376">
        <f t="shared" si="101"/>
        <v>1.2629980324799153</v>
      </c>
      <c r="AX233" s="503">
        <f t="shared" si="124"/>
        <v>1.1917545085449177E-5</v>
      </c>
      <c r="AY233" s="376">
        <f t="shared" si="102"/>
        <v>2.6262468151851324</v>
      </c>
      <c r="AZ233" s="381">
        <f t="shared" si="117"/>
        <v>2.8912959598773533E-3</v>
      </c>
      <c r="BA233" s="586">
        <f t="shared" si="118"/>
        <v>0.17810006027786154</v>
      </c>
      <c r="BB233" s="376">
        <f t="shared" si="119"/>
        <v>0.82152028708652858</v>
      </c>
      <c r="BC233" s="376">
        <f t="shared" si="120"/>
        <v>0.82189993972213848</v>
      </c>
      <c r="BD233" s="376">
        <f t="shared" si="121"/>
        <v>3.7958057666742651E-4</v>
      </c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  <c r="CE233" s="283"/>
      <c r="CF233" s="283"/>
      <c r="CG233" s="283"/>
      <c r="CH233" s="283"/>
      <c r="CI233" s="283"/>
      <c r="CJ233" s="283"/>
      <c r="CK233" s="283"/>
      <c r="CL233" s="283"/>
    </row>
    <row r="234" spans="1:90" ht="14.25" customHeight="1" x14ac:dyDescent="0.2">
      <c r="A234" s="28"/>
      <c r="B234" s="28"/>
      <c r="C234" s="28"/>
      <c r="D234" s="28"/>
      <c r="E234" s="282"/>
      <c r="F234" s="282"/>
      <c r="G234" s="282"/>
      <c r="H234" s="282"/>
      <c r="I234" s="282"/>
      <c r="J234" s="282"/>
      <c r="K234" s="282"/>
      <c r="L234" s="282"/>
      <c r="M234" s="282"/>
      <c r="N234" s="282"/>
      <c r="O234" s="282"/>
      <c r="P234" s="282"/>
      <c r="Q234" s="282"/>
      <c r="R234" s="282"/>
      <c r="S234" s="374"/>
      <c r="T234" s="373">
        <f t="shared" si="127"/>
        <v>208</v>
      </c>
      <c r="U234" s="374"/>
      <c r="V234" s="568">
        <f t="shared" si="122"/>
        <v>5.5276906655122192E-3</v>
      </c>
      <c r="W234" s="328">
        <f t="shared" si="103"/>
        <v>0.99433243007978078</v>
      </c>
      <c r="X234" s="328">
        <f t="shared" si="104"/>
        <v>0.99447230933448783</v>
      </c>
      <c r="Y234" s="328">
        <f t="shared" si="105"/>
        <v>1.3986947206023892E-4</v>
      </c>
      <c r="Z234" s="374"/>
      <c r="AA234" s="571">
        <f t="shared" si="106"/>
        <v>3.1160614315412588E-2</v>
      </c>
      <c r="AB234" s="327">
        <f t="shared" si="125"/>
        <v>0.9684367637867406</v>
      </c>
      <c r="AC234" s="327">
        <f t="shared" si="107"/>
        <v>0.96883938568458738</v>
      </c>
      <c r="AD234" s="327">
        <f t="shared" si="108"/>
        <v>4.0254085652713378E-4</v>
      </c>
      <c r="AE234" s="383"/>
      <c r="AF234" s="574">
        <f t="shared" si="97"/>
        <v>7.3077929792198071E-2</v>
      </c>
      <c r="AG234" s="376">
        <f t="shared" si="123"/>
        <v>0.92648403283000103</v>
      </c>
      <c r="AH234" s="376">
        <f t="shared" si="109"/>
        <v>0.92692207020780193</v>
      </c>
      <c r="AI234" s="553">
        <f t="shared" si="110"/>
        <v>4.3794145343534208E-4</v>
      </c>
      <c r="AJ234" s="374"/>
      <c r="AK234" s="577">
        <f t="shared" si="98"/>
        <v>8.0098939061878358E-2</v>
      </c>
      <c r="AL234" s="376">
        <f t="shared" si="111"/>
        <v>0.91952153621796318</v>
      </c>
      <c r="AM234" s="376">
        <f t="shared" si="112"/>
        <v>0.91990106093812163</v>
      </c>
      <c r="AN234" s="553">
        <f t="shared" si="113"/>
        <v>3.7945270976202927E-4</v>
      </c>
      <c r="AO234" s="554"/>
      <c r="AP234" s="580">
        <f t="shared" si="99"/>
        <v>1.6691505178844102E-2</v>
      </c>
      <c r="AQ234" s="376">
        <f t="shared" si="114"/>
        <v>0.98300670847481575</v>
      </c>
      <c r="AR234" s="379">
        <f t="shared" si="115"/>
        <v>0.9833084948211559</v>
      </c>
      <c r="AS234" s="376">
        <f t="shared" si="116"/>
        <v>3.0174081342126957E-4</v>
      </c>
      <c r="AT234" s="384"/>
      <c r="AU234" s="583">
        <f t="shared" si="100"/>
        <v>0.28280165947044827</v>
      </c>
      <c r="AV234" s="381">
        <f t="shared" si="126"/>
        <v>1.2629980324799153</v>
      </c>
      <c r="AW234" s="376">
        <f t="shared" si="101"/>
        <v>1.2630094769767652</v>
      </c>
      <c r="AX234" s="503">
        <f t="shared" si="124"/>
        <v>1.1444431361917751E-5</v>
      </c>
      <c r="AY234" s="376">
        <f t="shared" si="102"/>
        <v>2.6300375006901264</v>
      </c>
      <c r="AZ234" s="381">
        <f t="shared" si="117"/>
        <v>2.8718002600282388E-3</v>
      </c>
      <c r="BA234" s="586">
        <f t="shared" si="118"/>
        <v>0.17772303342927909</v>
      </c>
      <c r="BB234" s="376">
        <f t="shared" si="119"/>
        <v>0.82189993972213848</v>
      </c>
      <c r="BC234" s="376">
        <f t="shared" si="120"/>
        <v>0.82227696657072091</v>
      </c>
      <c r="BD234" s="376">
        <f t="shared" si="121"/>
        <v>3.7695578289165255E-4</v>
      </c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  <c r="CE234" s="283"/>
      <c r="CF234" s="283"/>
      <c r="CG234" s="283"/>
      <c r="CH234" s="283"/>
      <c r="CI234" s="283"/>
      <c r="CJ234" s="283"/>
      <c r="CK234" s="283"/>
      <c r="CL234" s="283"/>
    </row>
    <row r="235" spans="1:90" ht="14.25" customHeight="1" x14ac:dyDescent="0.2">
      <c r="A235" s="28"/>
      <c r="B235" s="28"/>
      <c r="C235" s="28"/>
      <c r="D235" s="28"/>
      <c r="E235" s="282"/>
      <c r="F235" s="282"/>
      <c r="G235" s="282"/>
      <c r="H235" s="282"/>
      <c r="I235" s="282"/>
      <c r="J235" s="282"/>
      <c r="K235" s="282"/>
      <c r="L235" s="282"/>
      <c r="M235" s="282"/>
      <c r="N235" s="282"/>
      <c r="O235" s="282"/>
      <c r="P235" s="282"/>
      <c r="Q235" s="282"/>
      <c r="R235" s="282"/>
      <c r="S235" s="374"/>
      <c r="T235" s="373">
        <f t="shared" si="127"/>
        <v>209</v>
      </c>
      <c r="U235" s="374"/>
      <c r="V235" s="568">
        <f t="shared" si="122"/>
        <v>5.3912637203792678E-3</v>
      </c>
      <c r="W235" s="328">
        <f t="shared" si="103"/>
        <v>0.99447230933448783</v>
      </c>
      <c r="X235" s="328">
        <f t="shared" si="104"/>
        <v>0.99460873627962076</v>
      </c>
      <c r="Y235" s="328">
        <f t="shared" si="105"/>
        <v>1.3641763940042129E-4</v>
      </c>
      <c r="Z235" s="374"/>
      <c r="AA235" s="571">
        <f t="shared" si="106"/>
        <v>3.0763565837513076E-2</v>
      </c>
      <c r="AB235" s="327">
        <f t="shared" si="125"/>
        <v>0.96883938568458738</v>
      </c>
      <c r="AC235" s="327">
        <f t="shared" si="107"/>
        <v>0.96923643416248695</v>
      </c>
      <c r="AD235" s="327">
        <f t="shared" si="108"/>
        <v>3.969696645839127E-4</v>
      </c>
      <c r="AE235" s="383"/>
      <c r="AF235" s="574">
        <f t="shared" si="97"/>
        <v>7.264397910644671E-2</v>
      </c>
      <c r="AG235" s="376">
        <f t="shared" si="123"/>
        <v>0.92692207020780193</v>
      </c>
      <c r="AH235" s="376">
        <f t="shared" si="109"/>
        <v>0.92735602089355329</v>
      </c>
      <c r="AI235" s="553">
        <f t="shared" si="110"/>
        <v>4.3385654277083852E-4</v>
      </c>
      <c r="AJ235" s="374"/>
      <c r="AK235" s="577">
        <f t="shared" si="98"/>
        <v>7.9722857490952773E-2</v>
      </c>
      <c r="AL235" s="376">
        <f t="shared" si="111"/>
        <v>0.91990106093812163</v>
      </c>
      <c r="AM235" s="376">
        <f t="shared" si="112"/>
        <v>0.92027714250904724</v>
      </c>
      <c r="AN235" s="553">
        <f t="shared" si="113"/>
        <v>3.7601086111616056E-4</v>
      </c>
      <c r="AO235" s="554"/>
      <c r="AP235" s="580">
        <f t="shared" si="99"/>
        <v>1.6395142838366517E-2</v>
      </c>
      <c r="AQ235" s="376">
        <f t="shared" si="114"/>
        <v>0.9833084948211559</v>
      </c>
      <c r="AR235" s="379">
        <f t="shared" si="115"/>
        <v>0.98360485716163348</v>
      </c>
      <c r="AS235" s="376">
        <f t="shared" si="116"/>
        <v>2.9631842949706666E-4</v>
      </c>
      <c r="AT235" s="384"/>
      <c r="AU235" s="583">
        <f t="shared" si="100"/>
        <v>0.28279855145203198</v>
      </c>
      <c r="AV235" s="381">
        <f t="shared" si="126"/>
        <v>1.2630094769767652</v>
      </c>
      <c r="AW235" s="376">
        <f t="shared" si="101"/>
        <v>1.2630204671367982</v>
      </c>
      <c r="AX235" s="503">
        <f t="shared" si="124"/>
        <v>1.0990099641339235E-5</v>
      </c>
      <c r="AY235" s="376">
        <f t="shared" si="102"/>
        <v>2.6338100053794218</v>
      </c>
      <c r="AZ235" s="381">
        <f t="shared" si="117"/>
        <v>2.8525285796967555E-3</v>
      </c>
      <c r="BA235" s="586">
        <f t="shared" si="118"/>
        <v>0.17734860176271114</v>
      </c>
      <c r="BB235" s="376">
        <f t="shared" si="119"/>
        <v>0.82227696657072091</v>
      </c>
      <c r="BC235" s="376">
        <f t="shared" si="120"/>
        <v>0.82265139823728883</v>
      </c>
      <c r="BD235" s="376">
        <f t="shared" si="121"/>
        <v>3.7436157577974694E-4</v>
      </c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  <c r="CE235" s="283"/>
      <c r="CF235" s="283"/>
      <c r="CG235" s="283"/>
      <c r="CH235" s="283"/>
      <c r="CI235" s="283"/>
      <c r="CJ235" s="283"/>
      <c r="CK235" s="283"/>
      <c r="CL235" s="283"/>
    </row>
    <row r="236" spans="1:90" ht="14.25" customHeight="1" x14ac:dyDescent="0.2">
      <c r="A236" s="28"/>
      <c r="B236" s="28"/>
      <c r="C236" s="28"/>
      <c r="D236" s="28"/>
      <c r="E236" s="282"/>
      <c r="F236" s="282"/>
      <c r="G236" s="282"/>
      <c r="H236" s="282"/>
      <c r="I236" s="282"/>
      <c r="J236" s="282"/>
      <c r="K236" s="282"/>
      <c r="L236" s="282"/>
      <c r="M236" s="282"/>
      <c r="N236" s="282"/>
      <c r="O236" s="282"/>
      <c r="P236" s="282"/>
      <c r="Q236" s="282"/>
      <c r="R236" s="282"/>
      <c r="S236" s="374"/>
      <c r="T236" s="373">
        <f t="shared" si="127"/>
        <v>210</v>
      </c>
      <c r="U236" s="374"/>
      <c r="V236" s="568">
        <f t="shared" si="122"/>
        <v>5.2582038796095245E-3</v>
      </c>
      <c r="W236" s="328">
        <f t="shared" si="103"/>
        <v>0.99460873627962076</v>
      </c>
      <c r="X236" s="328">
        <f t="shared" si="104"/>
        <v>0.99474179612039049</v>
      </c>
      <c r="Y236" s="328">
        <f t="shared" si="105"/>
        <v>1.3305098870175502E-4</v>
      </c>
      <c r="Z236" s="374"/>
      <c r="AA236" s="571">
        <f t="shared" si="106"/>
        <v>3.0372005998040116E-2</v>
      </c>
      <c r="AB236" s="327">
        <f t="shared" si="125"/>
        <v>0.96923643416248695</v>
      </c>
      <c r="AC236" s="327">
        <f t="shared" si="107"/>
        <v>0.96962799400195987</v>
      </c>
      <c r="AD236" s="327">
        <f t="shared" si="108"/>
        <v>3.9148318992354714E-4</v>
      </c>
      <c r="AE236" s="383"/>
      <c r="AF236" s="574">
        <f t="shared" si="97"/>
        <v>7.2214061917555084E-2</v>
      </c>
      <c r="AG236" s="376">
        <f t="shared" si="123"/>
        <v>0.92735602089355329</v>
      </c>
      <c r="AH236" s="376">
        <f t="shared" si="109"/>
        <v>0.92778593808244492</v>
      </c>
      <c r="AI236" s="553">
        <f t="shared" si="110"/>
        <v>4.2982478773900823E-4</v>
      </c>
      <c r="AJ236" s="374"/>
      <c r="AK236" s="577">
        <f t="shared" si="98"/>
        <v>7.9350173011305827E-2</v>
      </c>
      <c r="AL236" s="376">
        <f t="shared" si="111"/>
        <v>0.92027714250904724</v>
      </c>
      <c r="AM236" s="376">
        <f t="shared" si="112"/>
        <v>0.92064982698869413</v>
      </c>
      <c r="AN236" s="553">
        <f t="shared" si="113"/>
        <v>3.7261504141261614E-4</v>
      </c>
      <c r="AO236" s="554"/>
      <c r="AP236" s="580">
        <f t="shared" si="99"/>
        <v>1.6104105361463228E-2</v>
      </c>
      <c r="AQ236" s="376">
        <f t="shared" si="114"/>
        <v>0.98360485716163348</v>
      </c>
      <c r="AR236" s="379">
        <f t="shared" si="115"/>
        <v>0.98389589463853677</v>
      </c>
      <c r="AS236" s="376">
        <f t="shared" si="116"/>
        <v>2.9099512960517604E-4</v>
      </c>
      <c r="AT236" s="384"/>
      <c r="AU236" s="583">
        <f t="shared" si="100"/>
        <v>0.28279556685146057</v>
      </c>
      <c r="AV236" s="381">
        <f t="shared" si="126"/>
        <v>1.2630204671367982</v>
      </c>
      <c r="AW236" s="376">
        <f t="shared" si="101"/>
        <v>1.2630310209968008</v>
      </c>
      <c r="AX236" s="503">
        <f t="shared" si="124"/>
        <v>1.0553804310808879E-5</v>
      </c>
      <c r="AY236" s="376">
        <f t="shared" si="102"/>
        <v>2.6375645028178853</v>
      </c>
      <c r="AZ236" s="381">
        <f t="shared" si="117"/>
        <v>2.8334772912554347E-3</v>
      </c>
      <c r="BA236" s="586">
        <f t="shared" si="118"/>
        <v>0.17697673517343548</v>
      </c>
      <c r="BB236" s="376">
        <f t="shared" si="119"/>
        <v>0.82265139823728883</v>
      </c>
      <c r="BC236" s="376">
        <f t="shared" si="120"/>
        <v>0.82302326482656452</v>
      </c>
      <c r="BD236" s="376">
        <f t="shared" si="121"/>
        <v>3.7179745546533916E-4</v>
      </c>
      <c r="BE236" s="283"/>
      <c r="BF236" s="283"/>
      <c r="BG236" s="283"/>
      <c r="BH236" s="283"/>
      <c r="BI236" s="283"/>
      <c r="BJ236" s="283"/>
      <c r="BK236" s="283"/>
      <c r="BL236" s="283"/>
      <c r="BM236" s="283"/>
      <c r="BN236" s="283"/>
      <c r="BO236" s="283"/>
      <c r="BP236" s="283"/>
      <c r="BQ236" s="283"/>
      <c r="BR236" s="283"/>
      <c r="BS236" s="283"/>
      <c r="BT236" s="283"/>
      <c r="BU236" s="283"/>
      <c r="BV236" s="283"/>
      <c r="BW236" s="283"/>
      <c r="BX236" s="283"/>
      <c r="BY236" s="283"/>
      <c r="BZ236" s="283"/>
      <c r="CA236" s="283"/>
      <c r="CB236" s="283"/>
      <c r="CC236" s="283"/>
      <c r="CD236" s="283"/>
      <c r="CE236" s="283"/>
      <c r="CF236" s="283"/>
      <c r="CG236" s="283"/>
      <c r="CH236" s="283"/>
      <c r="CI236" s="283"/>
      <c r="CJ236" s="283"/>
      <c r="CK236" s="283"/>
      <c r="CL236" s="283"/>
    </row>
    <row r="237" spans="1:90" ht="14.25" customHeight="1" x14ac:dyDescent="0.2">
      <c r="A237" s="28"/>
      <c r="B237" s="28"/>
      <c r="C237" s="28"/>
      <c r="D237" s="28"/>
      <c r="E237" s="282"/>
      <c r="F237" s="282"/>
      <c r="G237" s="282"/>
      <c r="H237" s="282"/>
      <c r="I237" s="282"/>
      <c r="J237" s="282"/>
      <c r="K237" s="282"/>
      <c r="L237" s="282"/>
      <c r="M237" s="282"/>
      <c r="N237" s="282"/>
      <c r="O237" s="282"/>
      <c r="P237" s="282"/>
      <c r="Q237" s="282"/>
      <c r="R237" s="282"/>
      <c r="S237" s="374"/>
      <c r="T237" s="373">
        <f t="shared" si="127"/>
        <v>211</v>
      </c>
      <c r="U237" s="374"/>
      <c r="V237" s="568">
        <f t="shared" si="122"/>
        <v>5.12842804091127E-3</v>
      </c>
      <c r="W237" s="328">
        <f t="shared" si="103"/>
        <v>0.99474179612039049</v>
      </c>
      <c r="X237" s="328">
        <f t="shared" si="104"/>
        <v>0.99487157195908871</v>
      </c>
      <c r="Y237" s="328">
        <f t="shared" si="105"/>
        <v>1.2976741817838366E-4</v>
      </c>
      <c r="Z237" s="374"/>
      <c r="AA237" s="571">
        <f t="shared" si="106"/>
        <v>2.9985851451537752E-2</v>
      </c>
      <c r="AB237" s="327">
        <f t="shared" si="125"/>
        <v>0.96962799400195987</v>
      </c>
      <c r="AC237" s="327">
        <f t="shared" si="107"/>
        <v>0.97001414854846224</v>
      </c>
      <c r="AD237" s="327">
        <f t="shared" si="108"/>
        <v>3.8607999843143226E-4</v>
      </c>
      <c r="AE237" s="383"/>
      <c r="AF237" s="574">
        <f t="shared" si="97"/>
        <v>7.1788125928563984E-2</v>
      </c>
      <c r="AG237" s="376">
        <f t="shared" si="123"/>
        <v>0.92778593808244492</v>
      </c>
      <c r="AH237" s="376">
        <f t="shared" si="109"/>
        <v>0.92821187407143602</v>
      </c>
      <c r="AI237" s="553">
        <f t="shared" si="110"/>
        <v>4.2584529113531833E-4</v>
      </c>
      <c r="AJ237" s="374"/>
      <c r="AK237" s="577">
        <f t="shared" si="98"/>
        <v>7.8980840377139788E-2</v>
      </c>
      <c r="AL237" s="376">
        <f t="shared" si="111"/>
        <v>0.92064982698869413</v>
      </c>
      <c r="AM237" s="376">
        <f t="shared" si="112"/>
        <v>0.92101915962286018</v>
      </c>
      <c r="AN237" s="553">
        <f t="shared" si="113"/>
        <v>3.6926443926454944E-4</v>
      </c>
      <c r="AO237" s="554"/>
      <c r="AP237" s="580">
        <f t="shared" si="99"/>
        <v>1.5818295462746379E-2</v>
      </c>
      <c r="AQ237" s="376">
        <f t="shared" si="114"/>
        <v>0.98389589463853677</v>
      </c>
      <c r="AR237" s="379">
        <f t="shared" si="115"/>
        <v>0.98418170453725362</v>
      </c>
      <c r="AS237" s="376">
        <f t="shared" si="116"/>
        <v>2.8576905895860705E-4</v>
      </c>
      <c r="AT237" s="384"/>
      <c r="AU237" s="583">
        <f t="shared" si="100"/>
        <v>0.2827927007666482</v>
      </c>
      <c r="AV237" s="381">
        <f t="shared" si="126"/>
        <v>1.2630310209968008</v>
      </c>
      <c r="AW237" s="376">
        <f t="shared" si="101"/>
        <v>1.2630411558775134</v>
      </c>
      <c r="AX237" s="503">
        <f t="shared" si="124"/>
        <v>1.0134829354968566E-5</v>
      </c>
      <c r="AY237" s="376">
        <f t="shared" si="102"/>
        <v>2.6413011640967565</v>
      </c>
      <c r="AZ237" s="381">
        <f t="shared" si="117"/>
        <v>2.8146428427181271E-3</v>
      </c>
      <c r="BA237" s="586">
        <f t="shared" si="118"/>
        <v>0.17660740404651987</v>
      </c>
      <c r="BB237" s="376">
        <f t="shared" si="119"/>
        <v>0.82302326482656452</v>
      </c>
      <c r="BC237" s="376">
        <f t="shared" si="120"/>
        <v>0.82339259595348013</v>
      </c>
      <c r="BD237" s="376">
        <f t="shared" si="121"/>
        <v>3.6926293257066867E-4</v>
      </c>
      <c r="BE237" s="283"/>
      <c r="BF237" s="283"/>
      <c r="BG237" s="283"/>
      <c r="BH237" s="283"/>
      <c r="BI237" s="283"/>
      <c r="BJ237" s="283"/>
      <c r="BK237" s="283"/>
      <c r="BL237" s="283"/>
      <c r="BM237" s="283"/>
      <c r="BN237" s="283"/>
      <c r="BO237" s="283"/>
      <c r="BP237" s="283"/>
      <c r="BQ237" s="283"/>
      <c r="BR237" s="283"/>
      <c r="BS237" s="283"/>
      <c r="BT237" s="283"/>
      <c r="BU237" s="283"/>
      <c r="BV237" s="283"/>
      <c r="BW237" s="283"/>
      <c r="BX237" s="283"/>
      <c r="BY237" s="283"/>
      <c r="BZ237" s="283"/>
      <c r="CA237" s="283"/>
      <c r="CB237" s="283"/>
      <c r="CC237" s="283"/>
      <c r="CD237" s="283"/>
      <c r="CE237" s="283"/>
      <c r="CF237" s="283"/>
      <c r="CG237" s="283"/>
      <c r="CH237" s="283"/>
      <c r="CI237" s="283"/>
      <c r="CJ237" s="283"/>
      <c r="CK237" s="283"/>
      <c r="CL237" s="283"/>
    </row>
    <row r="238" spans="1:90" ht="14.25" customHeight="1" x14ac:dyDescent="0.2">
      <c r="A238" s="28"/>
      <c r="B238" s="28"/>
      <c r="C238" s="28"/>
      <c r="D238" s="28"/>
      <c r="E238" s="282"/>
      <c r="F238" s="282"/>
      <c r="G238" s="282"/>
      <c r="H238" s="282"/>
      <c r="I238" s="282"/>
      <c r="J238" s="282"/>
      <c r="K238" s="282"/>
      <c r="L238" s="282"/>
      <c r="M238" s="282"/>
      <c r="N238" s="282"/>
      <c r="O238" s="282"/>
      <c r="P238" s="282"/>
      <c r="Q238" s="282"/>
      <c r="R238" s="282"/>
      <c r="S238" s="374"/>
      <c r="T238" s="373">
        <f t="shared" si="127"/>
        <v>212</v>
      </c>
      <c r="U238" s="374"/>
      <c r="V238" s="568">
        <f t="shared" si="122"/>
        <v>5.0018551530105577E-3</v>
      </c>
      <c r="W238" s="328">
        <f t="shared" si="103"/>
        <v>0.99487157195908871</v>
      </c>
      <c r="X238" s="328">
        <f t="shared" si="104"/>
        <v>0.99499814484698945</v>
      </c>
      <c r="Y238" s="328">
        <f t="shared" si="105"/>
        <v>1.2656487789075577E-4</v>
      </c>
      <c r="Z238" s="374"/>
      <c r="AA238" s="571">
        <f t="shared" si="106"/>
        <v>2.9605020261191307E-2</v>
      </c>
      <c r="AB238" s="327">
        <f t="shared" si="125"/>
        <v>0.97001414854846224</v>
      </c>
      <c r="AC238" s="327">
        <f t="shared" si="107"/>
        <v>0.97039497973880873</v>
      </c>
      <c r="AD238" s="327">
        <f t="shared" si="108"/>
        <v>3.8075868335329943E-4</v>
      </c>
      <c r="AE238" s="383"/>
      <c r="AF238" s="574">
        <f t="shared" si="97"/>
        <v>7.1366119722006904E-2</v>
      </c>
      <c r="AG238" s="376">
        <f t="shared" si="123"/>
        <v>0.92821187407143602</v>
      </c>
      <c r="AH238" s="376">
        <f t="shared" si="109"/>
        <v>0.9286338802779931</v>
      </c>
      <c r="AI238" s="553">
        <f t="shared" si="110"/>
        <v>4.2191717446238286E-4</v>
      </c>
      <c r="AJ238" s="374"/>
      <c r="AK238" s="577">
        <f t="shared" si="98"/>
        <v>7.8614815137072094E-2</v>
      </c>
      <c r="AL238" s="376">
        <f t="shared" si="111"/>
        <v>0.92101915962286018</v>
      </c>
      <c r="AM238" s="376">
        <f t="shared" si="112"/>
        <v>0.92138518486292786</v>
      </c>
      <c r="AN238" s="553">
        <f t="shared" si="113"/>
        <v>3.659582610017198E-4</v>
      </c>
      <c r="AO238" s="554"/>
      <c r="AP238" s="580">
        <f t="shared" si="99"/>
        <v>1.5537617677672255E-2</v>
      </c>
      <c r="AQ238" s="376">
        <f t="shared" si="114"/>
        <v>0.98418170453725362</v>
      </c>
      <c r="AR238" s="379">
        <f t="shared" si="115"/>
        <v>0.98446238232232774</v>
      </c>
      <c r="AS238" s="376">
        <f t="shared" si="116"/>
        <v>2.8063839874969965E-4</v>
      </c>
      <c r="AT238" s="384"/>
      <c r="AU238" s="583">
        <f t="shared" si="100"/>
        <v>0.28278994849031208</v>
      </c>
      <c r="AV238" s="381">
        <f t="shared" si="126"/>
        <v>1.2630411558775134</v>
      </c>
      <c r="AW238" s="376">
        <f t="shared" si="101"/>
        <v>1.263050888412059</v>
      </c>
      <c r="AX238" s="503">
        <f t="shared" si="124"/>
        <v>9.7324871846105054E-6</v>
      </c>
      <c r="AY238" s="376">
        <f t="shared" si="102"/>
        <v>2.6450201578804298</v>
      </c>
      <c r="AZ238" s="381">
        <f t="shared" si="117"/>
        <v>2.7960217558137324E-3</v>
      </c>
      <c r="BA238" s="586">
        <f t="shared" si="118"/>
        <v>0.17624057924658784</v>
      </c>
      <c r="BB238" s="376">
        <f t="shared" si="119"/>
        <v>0.82339259595348013</v>
      </c>
      <c r="BC238" s="376">
        <f t="shared" si="120"/>
        <v>0.82375942075341213</v>
      </c>
      <c r="BD238" s="376">
        <f t="shared" si="121"/>
        <v>3.6675752794101957E-4</v>
      </c>
      <c r="BE238" s="283"/>
      <c r="BF238" s="283"/>
      <c r="BG238" s="283"/>
      <c r="BH238" s="283"/>
      <c r="BI238" s="283"/>
      <c r="BJ238" s="283"/>
      <c r="BK238" s="283"/>
      <c r="BL238" s="283"/>
      <c r="BM238" s="283"/>
      <c r="BN238" s="283"/>
      <c r="BO238" s="283"/>
      <c r="BP238" s="283"/>
      <c r="BQ238" s="283"/>
      <c r="BR238" s="283"/>
      <c r="BS238" s="283"/>
      <c r="BT238" s="283"/>
      <c r="BU238" s="283"/>
      <c r="BV238" s="283"/>
      <c r="BW238" s="283"/>
      <c r="BX238" s="283"/>
      <c r="BY238" s="283"/>
      <c r="BZ238" s="283"/>
      <c r="CA238" s="283"/>
      <c r="CB238" s="283"/>
      <c r="CC238" s="283"/>
      <c r="CD238" s="283"/>
      <c r="CE238" s="283"/>
      <c r="CF238" s="283"/>
      <c r="CG238" s="283"/>
      <c r="CH238" s="283"/>
      <c r="CI238" s="283"/>
      <c r="CJ238" s="283"/>
      <c r="CK238" s="283"/>
      <c r="CL238" s="283"/>
    </row>
    <row r="239" spans="1:90" ht="14.25" customHeight="1" x14ac:dyDescent="0.2">
      <c r="A239" s="28"/>
      <c r="B239" s="28"/>
      <c r="C239" s="28"/>
      <c r="D239" s="28"/>
      <c r="E239" s="282"/>
      <c r="F239" s="282"/>
      <c r="G239" s="282"/>
      <c r="H239" s="282"/>
      <c r="I239" s="282"/>
      <c r="J239" s="282"/>
      <c r="K239" s="282"/>
      <c r="L239" s="282"/>
      <c r="M239" s="282"/>
      <c r="N239" s="282"/>
      <c r="O239" s="282"/>
      <c r="P239" s="282"/>
      <c r="Q239" s="282"/>
      <c r="R239" s="282"/>
      <c r="S239" s="374"/>
      <c r="T239" s="373">
        <f t="shared" si="127"/>
        <v>213</v>
      </c>
      <c r="U239" s="374"/>
      <c r="V239" s="568">
        <f t="shared" si="122"/>
        <v>4.8784061650307816E-3</v>
      </c>
      <c r="W239" s="328">
        <f t="shared" si="103"/>
        <v>0.99499814484698945</v>
      </c>
      <c r="X239" s="328">
        <f t="shared" si="104"/>
        <v>0.99512159383496923</v>
      </c>
      <c r="Y239" s="328">
        <f t="shared" si="105"/>
        <v>1.2344136846698106E-4</v>
      </c>
      <c r="Z239" s="374"/>
      <c r="AA239" s="571">
        <f t="shared" si="106"/>
        <v>2.9229431872000007E-2</v>
      </c>
      <c r="AB239" s="327">
        <f t="shared" si="125"/>
        <v>0.97039497973880873</v>
      </c>
      <c r="AC239" s="327">
        <f t="shared" si="107"/>
        <v>0.970770568128</v>
      </c>
      <c r="AD239" s="327">
        <f t="shared" si="108"/>
        <v>3.7551786470191306E-4</v>
      </c>
      <c r="AE239" s="383"/>
      <c r="AF239" s="574">
        <f t="shared" si="97"/>
        <v>7.0947992741638766E-2</v>
      </c>
      <c r="AG239" s="376">
        <f t="shared" si="123"/>
        <v>0.9286338802779931</v>
      </c>
      <c r="AH239" s="376">
        <f t="shared" si="109"/>
        <v>0.92905200725836123</v>
      </c>
      <c r="AI239" s="553">
        <f t="shared" si="110"/>
        <v>4.1803957746455733E-4</v>
      </c>
      <c r="AJ239" s="374"/>
      <c r="AK239" s="577">
        <f t="shared" si="98"/>
        <v>7.8252053616855513E-2</v>
      </c>
      <c r="AL239" s="376">
        <f t="shared" si="111"/>
        <v>0.92138518486292786</v>
      </c>
      <c r="AM239" s="376">
        <f t="shared" si="112"/>
        <v>0.9217479463831445</v>
      </c>
      <c r="AN239" s="553">
        <f t="shared" si="113"/>
        <v>3.6269573021197044E-4</v>
      </c>
      <c r="AO239" s="554"/>
      <c r="AP239" s="580">
        <f t="shared" si="99"/>
        <v>1.5261978327224091E-2</v>
      </c>
      <c r="AQ239" s="376">
        <f t="shared" si="114"/>
        <v>0.98446238232232774</v>
      </c>
      <c r="AR239" s="379">
        <f t="shared" si="115"/>
        <v>0.98473802167277591</v>
      </c>
      <c r="AS239" s="376">
        <f t="shared" si="116"/>
        <v>2.7560136541249225E-4</v>
      </c>
      <c r="AT239" s="384"/>
      <c r="AU239" s="583">
        <f t="shared" si="100"/>
        <v>0.28278730550222431</v>
      </c>
      <c r="AV239" s="381">
        <f t="shared" si="126"/>
        <v>1.263050888412059</v>
      </c>
      <c r="AW239" s="376">
        <f t="shared" si="101"/>
        <v>1.2630602345732391</v>
      </c>
      <c r="AX239" s="503">
        <f t="shared" si="124"/>
        <v>9.346117504915874E-6</v>
      </c>
      <c r="AY239" s="376">
        <f t="shared" si="102"/>
        <v>2.648721650452138</v>
      </c>
      <c r="AZ239" s="381">
        <f t="shared" si="117"/>
        <v>2.7776106241178215E-3</v>
      </c>
      <c r="BA239" s="586">
        <f t="shared" si="118"/>
        <v>0.17587623210784786</v>
      </c>
      <c r="BB239" s="376">
        <f t="shared" si="119"/>
        <v>0.82375942075341213</v>
      </c>
      <c r="BC239" s="376">
        <f t="shared" si="120"/>
        <v>0.82412376789215214</v>
      </c>
      <c r="BD239" s="376">
        <f t="shared" si="121"/>
        <v>3.6428077238159773E-4</v>
      </c>
      <c r="BE239" s="283"/>
      <c r="BF239" s="283"/>
      <c r="BG239" s="283"/>
      <c r="BH239" s="283"/>
      <c r="BI239" s="283"/>
      <c r="BJ239" s="283"/>
      <c r="BK239" s="283"/>
      <c r="BL239" s="283"/>
      <c r="BM239" s="283"/>
      <c r="BN239" s="283"/>
      <c r="BO239" s="283"/>
      <c r="BP239" s="283"/>
      <c r="BQ239" s="283"/>
      <c r="BR239" s="283"/>
      <c r="BS239" s="283"/>
      <c r="BT239" s="283"/>
      <c r="BU239" s="283"/>
      <c r="BV239" s="283"/>
      <c r="BW239" s="283"/>
      <c r="BX239" s="283"/>
      <c r="BY239" s="283"/>
      <c r="BZ239" s="283"/>
      <c r="CA239" s="283"/>
      <c r="CB239" s="283"/>
      <c r="CC239" s="283"/>
      <c r="CD239" s="283"/>
      <c r="CE239" s="283"/>
      <c r="CF239" s="283"/>
      <c r="CG239" s="283"/>
      <c r="CH239" s="283"/>
      <c r="CI239" s="283"/>
      <c r="CJ239" s="283"/>
      <c r="CK239" s="283"/>
      <c r="CL239" s="283"/>
    </row>
    <row r="240" spans="1:90" ht="14.25" customHeight="1" x14ac:dyDescent="0.2">
      <c r="A240" s="28"/>
      <c r="B240" s="28"/>
      <c r="C240" s="28"/>
      <c r="D240" s="28"/>
      <c r="E240" s="282"/>
      <c r="F240" s="282"/>
      <c r="G240" s="282"/>
      <c r="H240" s="282"/>
      <c r="I240" s="282"/>
      <c r="J240" s="282"/>
      <c r="K240" s="282"/>
      <c r="L240" s="282"/>
      <c r="M240" s="282"/>
      <c r="N240" s="282"/>
      <c r="O240" s="282"/>
      <c r="P240" s="282"/>
      <c r="Q240" s="282"/>
      <c r="R240" s="282"/>
      <c r="S240" s="374"/>
      <c r="T240" s="373">
        <f t="shared" si="127"/>
        <v>214</v>
      </c>
      <c r="U240" s="374"/>
      <c r="V240" s="568">
        <f t="shared" si="122"/>
        <v>4.7580039771215861E-3</v>
      </c>
      <c r="W240" s="328">
        <f t="shared" si="103"/>
        <v>0.99512159383496923</v>
      </c>
      <c r="X240" s="328">
        <f t="shared" si="104"/>
        <v>0.99524199602287844</v>
      </c>
      <c r="Y240" s="328">
        <f t="shared" si="105"/>
        <v>1.2039493985671612E-4</v>
      </c>
      <c r="Z240" s="374"/>
      <c r="AA240" s="571">
        <f t="shared" si="106"/>
        <v>2.8859007084530892E-2</v>
      </c>
      <c r="AB240" s="327">
        <f t="shared" si="125"/>
        <v>0.970770568128</v>
      </c>
      <c r="AC240" s="327">
        <f t="shared" si="107"/>
        <v>0.97114099291546907</v>
      </c>
      <c r="AD240" s="327">
        <f t="shared" si="108"/>
        <v>3.7035618867797826E-4</v>
      </c>
      <c r="AE240" s="383"/>
      <c r="AF240" s="574">
        <f t="shared" si="97"/>
        <v>7.0533695274618058E-2</v>
      </c>
      <c r="AG240" s="376">
        <f t="shared" si="123"/>
        <v>0.92905200725836123</v>
      </c>
      <c r="AH240" s="376">
        <f t="shared" si="109"/>
        <v>0.92946630472538194</v>
      </c>
      <c r="AI240" s="553">
        <f t="shared" si="110"/>
        <v>4.1421165767574486E-4</v>
      </c>
      <c r="AJ240" s="374"/>
      <c r="AK240" s="577">
        <f t="shared" si="98"/>
        <v>7.7892512902546063E-2</v>
      </c>
      <c r="AL240" s="376">
        <f t="shared" si="111"/>
        <v>0.9217479463831445</v>
      </c>
      <c r="AM240" s="376">
        <f t="shared" si="112"/>
        <v>0.92210748709745394</v>
      </c>
      <c r="AN240" s="553">
        <f t="shared" si="113"/>
        <v>3.5947608729236524E-4</v>
      </c>
      <c r="AO240" s="554"/>
      <c r="AP240" s="580">
        <f t="shared" si="99"/>
        <v>1.4991285483317407E-2</v>
      </c>
      <c r="AQ240" s="376">
        <f t="shared" si="114"/>
        <v>0.98473802167277591</v>
      </c>
      <c r="AR240" s="379">
        <f t="shared" si="115"/>
        <v>0.98500871451668259</v>
      </c>
      <c r="AS240" s="376">
        <f t="shared" si="116"/>
        <v>2.7065620990440742E-4</v>
      </c>
      <c r="AT240" s="384"/>
      <c r="AU240" s="583">
        <f t="shared" si="100"/>
        <v>0.28278476746177184</v>
      </c>
      <c r="AV240" s="381">
        <f t="shared" si="126"/>
        <v>1.2630602345732391</v>
      </c>
      <c r="AW240" s="376">
        <f t="shared" si="101"/>
        <v>1.2630692096997485</v>
      </c>
      <c r="AX240" s="503">
        <f t="shared" si="124"/>
        <v>8.9750862329873726E-6</v>
      </c>
      <c r="AY240" s="376">
        <f t="shared" si="102"/>
        <v>2.6524058057585638</v>
      </c>
      <c r="AZ240" s="381">
        <f t="shared" si="117"/>
        <v>2.759406111240086E-3</v>
      </c>
      <c r="BA240" s="586">
        <f t="shared" si="118"/>
        <v>0.17551433442437314</v>
      </c>
      <c r="BB240" s="376">
        <f t="shared" si="119"/>
        <v>0.82412376789215214</v>
      </c>
      <c r="BC240" s="376">
        <f t="shared" si="120"/>
        <v>0.82448566557562686</v>
      </c>
      <c r="BD240" s="376">
        <f t="shared" si="121"/>
        <v>3.6183220640695346E-4</v>
      </c>
      <c r="BE240" s="283"/>
      <c r="BF240" s="283"/>
      <c r="BG240" s="283"/>
      <c r="BH240" s="283"/>
      <c r="BI240" s="283"/>
      <c r="BJ240" s="283"/>
      <c r="BK240" s="283"/>
      <c r="BL240" s="283"/>
      <c r="BM240" s="283"/>
      <c r="BN240" s="283"/>
      <c r="BO240" s="283"/>
      <c r="BP240" s="283"/>
      <c r="BQ240" s="283"/>
      <c r="BR240" s="283"/>
      <c r="BS240" s="283"/>
      <c r="BT240" s="283"/>
      <c r="BU240" s="283"/>
      <c r="BV240" s="283"/>
      <c r="BW240" s="283"/>
      <c r="BX240" s="283"/>
      <c r="BY240" s="283"/>
      <c r="BZ240" s="283"/>
      <c r="CA240" s="283"/>
      <c r="CB240" s="283"/>
      <c r="CC240" s="283"/>
      <c r="CD240" s="283"/>
      <c r="CE240" s="283"/>
      <c r="CF240" s="283"/>
      <c r="CG240" s="283"/>
      <c r="CH240" s="283"/>
      <c r="CI240" s="283"/>
      <c r="CJ240" s="283"/>
      <c r="CK240" s="283"/>
      <c r="CL240" s="283"/>
    </row>
    <row r="241" spans="1:90" ht="14.25" customHeight="1" x14ac:dyDescent="0.2">
      <c r="A241" s="28"/>
      <c r="B241" s="28"/>
      <c r="C241" s="28"/>
      <c r="D241" s="28"/>
      <c r="E241" s="282"/>
      <c r="F241" s="282"/>
      <c r="G241" s="282"/>
      <c r="H241" s="282"/>
      <c r="I241" s="282"/>
      <c r="J241" s="282"/>
      <c r="K241" s="282"/>
      <c r="L241" s="282"/>
      <c r="M241" s="282"/>
      <c r="N241" s="282"/>
      <c r="O241" s="282"/>
      <c r="P241" s="282"/>
      <c r="Q241" s="282"/>
      <c r="R241" s="282"/>
      <c r="S241" s="374"/>
      <c r="T241" s="373">
        <f t="shared" si="127"/>
        <v>215</v>
      </c>
      <c r="U241" s="374"/>
      <c r="V241" s="568">
        <f t="shared" si="122"/>
        <v>4.6405733923062945E-3</v>
      </c>
      <c r="W241" s="328">
        <f t="shared" si="103"/>
        <v>0.99524199602287844</v>
      </c>
      <c r="X241" s="328">
        <f t="shared" si="104"/>
        <v>0.99535942660769372</v>
      </c>
      <c r="Y241" s="328">
        <f t="shared" si="105"/>
        <v>1.1742369011402687E-4</v>
      </c>
      <c r="Z241" s="374"/>
      <c r="AA241" s="571">
        <f t="shared" si="106"/>
        <v>2.8493668029239382E-2</v>
      </c>
      <c r="AB241" s="327">
        <f t="shared" si="125"/>
        <v>0.97114099291546907</v>
      </c>
      <c r="AC241" s="327">
        <f t="shared" si="107"/>
        <v>0.97150633197076064</v>
      </c>
      <c r="AD241" s="327">
        <f t="shared" si="108"/>
        <v>3.6527232710525936E-4</v>
      </c>
      <c r="AE241" s="383"/>
      <c r="AF241" s="574">
        <f t="shared" si="97"/>
        <v>7.0123178434128297E-2</v>
      </c>
      <c r="AG241" s="376">
        <f t="shared" si="123"/>
        <v>0.92946630472538194</v>
      </c>
      <c r="AH241" s="376">
        <f t="shared" si="109"/>
        <v>0.9298768215658717</v>
      </c>
      <c r="AI241" s="553">
        <f t="shared" si="110"/>
        <v>4.1043258998074705E-4</v>
      </c>
      <c r="AJ241" s="374"/>
      <c r="AK241" s="577">
        <f t="shared" si="98"/>
        <v>7.7536150824105005E-2</v>
      </c>
      <c r="AL241" s="376">
        <f t="shared" si="111"/>
        <v>0.92210748709745394</v>
      </c>
      <c r="AM241" s="376">
        <f t="shared" si="112"/>
        <v>0.92246384917589497</v>
      </c>
      <c r="AN241" s="553">
        <f t="shared" si="113"/>
        <v>3.5629858901753408E-4</v>
      </c>
      <c r="AO241" s="554"/>
      <c r="AP241" s="580">
        <f t="shared" si="99"/>
        <v>1.4725448934911012E-2</v>
      </c>
      <c r="AQ241" s="376">
        <f t="shared" si="114"/>
        <v>0.98500871451668259</v>
      </c>
      <c r="AR241" s="379">
        <f t="shared" si="115"/>
        <v>0.98527455106508899</v>
      </c>
      <c r="AS241" s="376">
        <f t="shared" si="116"/>
        <v>2.658012170020374E-4</v>
      </c>
      <c r="AT241" s="384"/>
      <c r="AU241" s="583">
        <f t="shared" si="100"/>
        <v>0.28278233020081306</v>
      </c>
      <c r="AV241" s="381">
        <f t="shared" si="126"/>
        <v>1.2630692096997485</v>
      </c>
      <c r="AW241" s="376">
        <f t="shared" si="101"/>
        <v>1.2630778285213484</v>
      </c>
      <c r="AX241" s="503">
        <f t="shared" si="124"/>
        <v>8.6187844580143391E-6</v>
      </c>
      <c r="AY241" s="376">
        <f t="shared" si="102"/>
        <v>2.6560727854534134</v>
      </c>
      <c r="AZ241" s="381">
        <f t="shared" si="117"/>
        <v>2.7414049490657308E-3</v>
      </c>
      <c r="BA241" s="586">
        <f t="shared" si="118"/>
        <v>0.17515485844062767</v>
      </c>
      <c r="BB241" s="376">
        <f t="shared" si="119"/>
        <v>0.82448566557562686</v>
      </c>
      <c r="BC241" s="376">
        <f t="shared" si="120"/>
        <v>0.82484514155937227</v>
      </c>
      <c r="BD241" s="376">
        <f t="shared" si="121"/>
        <v>3.5941137999540018E-4</v>
      </c>
      <c r="BE241" s="283"/>
      <c r="BF241" s="283"/>
      <c r="BG241" s="283"/>
      <c r="BH241" s="283"/>
      <c r="BI241" s="283"/>
      <c r="BJ241" s="283"/>
      <c r="BK241" s="283"/>
      <c r="BL241" s="283"/>
      <c r="BM241" s="283"/>
      <c r="BN241" s="283"/>
      <c r="BO241" s="283"/>
      <c r="BP241" s="283"/>
      <c r="BQ241" s="283"/>
      <c r="BR241" s="283"/>
      <c r="BS241" s="283"/>
      <c r="BT241" s="283"/>
      <c r="BU241" s="283"/>
      <c r="BV241" s="283"/>
      <c r="BW241" s="283"/>
      <c r="BX241" s="283"/>
      <c r="BY241" s="283"/>
      <c r="BZ241" s="283"/>
      <c r="CA241" s="283"/>
      <c r="CB241" s="283"/>
      <c r="CC241" s="283"/>
      <c r="CD241" s="283"/>
      <c r="CE241" s="283"/>
      <c r="CF241" s="283"/>
      <c r="CG241" s="283"/>
      <c r="CH241" s="283"/>
      <c r="CI241" s="283"/>
      <c r="CJ241" s="283"/>
      <c r="CK241" s="283"/>
      <c r="CL241" s="283"/>
    </row>
    <row r="242" spans="1:90" ht="14.25" customHeight="1" x14ac:dyDescent="0.2">
      <c r="A242" s="28"/>
      <c r="B242" s="28"/>
      <c r="C242" s="28"/>
      <c r="D242" s="28"/>
      <c r="E242" s="282"/>
      <c r="F242" s="282"/>
      <c r="G242" s="282"/>
      <c r="H242" s="282"/>
      <c r="I242" s="282"/>
      <c r="J242" s="282"/>
      <c r="K242" s="282"/>
      <c r="L242" s="282"/>
      <c r="M242" s="282"/>
      <c r="N242" s="282"/>
      <c r="O242" s="282"/>
      <c r="P242" s="282"/>
      <c r="Q242" s="282"/>
      <c r="R242" s="282"/>
      <c r="S242" s="374"/>
      <c r="T242" s="373">
        <f t="shared" si="127"/>
        <v>216</v>
      </c>
      <c r="U242" s="374"/>
      <c r="V242" s="568">
        <f t="shared" si="122"/>
        <v>4.526041069517762E-3</v>
      </c>
      <c r="W242" s="328">
        <f t="shared" si="103"/>
        <v>0.99535942660769372</v>
      </c>
      <c r="X242" s="328">
        <f t="shared" si="104"/>
        <v>0.99547395893048218</v>
      </c>
      <c r="Y242" s="328">
        <f t="shared" si="105"/>
        <v>1.1452576421233651E-4</v>
      </c>
      <c r="Z242" s="374"/>
      <c r="AA242" s="571">
        <f t="shared" si="106"/>
        <v>2.8133338141343087E-2</v>
      </c>
      <c r="AB242" s="327">
        <f t="shared" si="125"/>
        <v>0.97150633197076064</v>
      </c>
      <c r="AC242" s="327">
        <f t="shared" si="107"/>
        <v>0.97186666185865689</v>
      </c>
      <c r="AD242" s="327">
        <f t="shared" si="108"/>
        <v>3.6026497687891013E-4</v>
      </c>
      <c r="AE242" s="383"/>
      <c r="AF242" s="574">
        <f t="shared" si="97"/>
        <v>6.9716394142427585E-2</v>
      </c>
      <c r="AG242" s="376">
        <f t="shared" si="123"/>
        <v>0.9298768215658717</v>
      </c>
      <c r="AH242" s="376">
        <f t="shared" si="109"/>
        <v>0.93028360585757242</v>
      </c>
      <c r="AI242" s="553">
        <f t="shared" si="110"/>
        <v>4.0670156618827225E-4</v>
      </c>
      <c r="AJ242" s="374"/>
      <c r="AK242" s="577">
        <f t="shared" si="98"/>
        <v>7.7182925939421582E-2</v>
      </c>
      <c r="AL242" s="376">
        <f t="shared" si="111"/>
        <v>0.92246384917589497</v>
      </c>
      <c r="AM242" s="376">
        <f t="shared" si="112"/>
        <v>0.92281707406057845</v>
      </c>
      <c r="AN242" s="553">
        <f t="shared" si="113"/>
        <v>3.5316250811845418E-4</v>
      </c>
      <c r="AO242" s="554"/>
      <c r="AP242" s="580">
        <f t="shared" si="99"/>
        <v>1.4464380154809664E-2</v>
      </c>
      <c r="AQ242" s="376">
        <f t="shared" si="114"/>
        <v>0.98527455106508899</v>
      </c>
      <c r="AR242" s="379">
        <f t="shared" si="115"/>
        <v>0.98553561984519034</v>
      </c>
      <c r="AS242" s="376">
        <f t="shared" si="116"/>
        <v>2.6103470461280587E-4</v>
      </c>
      <c r="AT242" s="384"/>
      <c r="AU242" s="583">
        <f t="shared" si="100"/>
        <v>0.28277998971681872</v>
      </c>
      <c r="AV242" s="381">
        <f t="shared" si="126"/>
        <v>1.2630778285213484</v>
      </c>
      <c r="AW242" s="376">
        <f t="shared" si="101"/>
        <v>1.2630861051830422</v>
      </c>
      <c r="AX242" s="503">
        <f t="shared" si="124"/>
        <v>8.2766274422940711E-6</v>
      </c>
      <c r="AY242" s="376">
        <f t="shared" si="102"/>
        <v>2.6597227489399766</v>
      </c>
      <c r="AZ242" s="381">
        <f t="shared" si="117"/>
        <v>2.7236039360489729E-3</v>
      </c>
      <c r="BA242" s="586">
        <f t="shared" si="118"/>
        <v>0.17479777684222975</v>
      </c>
      <c r="BB242" s="376">
        <f t="shared" si="119"/>
        <v>0.82484514155937227</v>
      </c>
      <c r="BC242" s="376">
        <f t="shared" si="120"/>
        <v>0.82520222315777025</v>
      </c>
      <c r="BD242" s="376">
        <f t="shared" si="121"/>
        <v>3.5701785235175976E-4</v>
      </c>
      <c r="BE242" s="283"/>
      <c r="BF242" s="283"/>
      <c r="BG242" s="283"/>
      <c r="BH242" s="283"/>
      <c r="BI242" s="283"/>
      <c r="BJ242" s="283"/>
      <c r="BK242" s="283"/>
      <c r="BL242" s="283"/>
      <c r="BM242" s="283"/>
      <c r="BN242" s="283"/>
      <c r="BO242" s="283"/>
      <c r="BP242" s="283"/>
      <c r="BQ242" s="283"/>
      <c r="BR242" s="283"/>
      <c r="BS242" s="283"/>
      <c r="BT242" s="283"/>
      <c r="BU242" s="283"/>
      <c r="BV242" s="283"/>
      <c r="BW242" s="283"/>
      <c r="BX242" s="283"/>
      <c r="BY242" s="283"/>
      <c r="BZ242" s="283"/>
      <c r="CA242" s="283"/>
      <c r="CB242" s="283"/>
      <c r="CC242" s="283"/>
      <c r="CD242" s="283"/>
      <c r="CE242" s="283"/>
      <c r="CF242" s="283"/>
      <c r="CG242" s="283"/>
      <c r="CH242" s="283"/>
      <c r="CI242" s="283"/>
      <c r="CJ242" s="283"/>
      <c r="CK242" s="283"/>
      <c r="CL242" s="283"/>
    </row>
    <row r="243" spans="1:90" ht="14.25" customHeight="1" x14ac:dyDescent="0.2">
      <c r="A243" s="28"/>
      <c r="B243" s="28"/>
      <c r="C243" s="28"/>
      <c r="D243" s="28"/>
      <c r="E243" s="282"/>
      <c r="F243" s="282"/>
      <c r="G243" s="282"/>
      <c r="H243" s="282"/>
      <c r="I243" s="282"/>
      <c r="J243" s="282"/>
      <c r="K243" s="282"/>
      <c r="L243" s="282"/>
      <c r="M243" s="282"/>
      <c r="N243" s="282"/>
      <c r="O243" s="282"/>
      <c r="P243" s="282"/>
      <c r="Q243" s="282"/>
      <c r="R243" s="282"/>
      <c r="S243" s="374"/>
      <c r="T243" s="373">
        <f t="shared" si="127"/>
        <v>217</v>
      </c>
      <c r="U243" s="374"/>
      <c r="V243" s="568">
        <f t="shared" si="122"/>
        <v>4.4143354777933432E-3</v>
      </c>
      <c r="W243" s="328">
        <f t="shared" si="103"/>
        <v>0.99547395893048218</v>
      </c>
      <c r="X243" s="328">
        <f t="shared" si="104"/>
        <v>0.99558566452220665</v>
      </c>
      <c r="Y243" s="328">
        <f t="shared" si="105"/>
        <v>1.1169935288712907E-4</v>
      </c>
      <c r="Z243" s="374"/>
      <c r="AA243" s="571">
        <f t="shared" si="106"/>
        <v>2.7777942136234517E-2</v>
      </c>
      <c r="AB243" s="327">
        <f t="shared" si="125"/>
        <v>0.97186666185865689</v>
      </c>
      <c r="AC243" s="327">
        <f t="shared" si="107"/>
        <v>0.97222205786376548</v>
      </c>
      <c r="AD243" s="327">
        <f t="shared" si="108"/>
        <v>3.5533285942912496E-4</v>
      </c>
      <c r="AE243" s="383"/>
      <c r="AF243" s="574">
        <f t="shared" si="97"/>
        <v>6.9313295114312279E-2</v>
      </c>
      <c r="AG243" s="376">
        <f t="shared" si="123"/>
        <v>0.93028360585757242</v>
      </c>
      <c r="AH243" s="376">
        <f t="shared" si="109"/>
        <v>0.93068670488568772</v>
      </c>
      <c r="AI243" s="553">
        <f t="shared" si="110"/>
        <v>4.0301779461748843E-4</v>
      </c>
      <c r="AJ243" s="374"/>
      <c r="AK243" s="577">
        <f t="shared" si="98"/>
        <v>7.6832797518745291E-2</v>
      </c>
      <c r="AL243" s="376">
        <f t="shared" si="111"/>
        <v>0.92281707406057845</v>
      </c>
      <c r="AM243" s="376">
        <f t="shared" si="112"/>
        <v>0.92316720248125472</v>
      </c>
      <c r="AN243" s="553">
        <f t="shared" si="113"/>
        <v>3.5006713287388802E-4</v>
      </c>
      <c r="AO243" s="554"/>
      <c r="AP243" s="580">
        <f t="shared" si="99"/>
        <v>1.4207992267141756E-2</v>
      </c>
      <c r="AQ243" s="376">
        <f t="shared" si="114"/>
        <v>0.98553561984519034</v>
      </c>
      <c r="AR243" s="379">
        <f t="shared" si="115"/>
        <v>0.98579200773285824</v>
      </c>
      <c r="AS243" s="376">
        <f t="shared" si="116"/>
        <v>2.5635502310217273E-4</v>
      </c>
      <c r="AT243" s="384"/>
      <c r="AU243" s="583">
        <f t="shared" si="100"/>
        <v>0.28277774216628665</v>
      </c>
      <c r="AV243" s="381">
        <f t="shared" si="126"/>
        <v>1.2630861051830422</v>
      </c>
      <c r="AW243" s="376">
        <f t="shared" si="101"/>
        <v>1.2630940532682875</v>
      </c>
      <c r="AX243" s="503">
        <f t="shared" si="124"/>
        <v>7.9480536593345974E-6</v>
      </c>
      <c r="AY243" s="376">
        <f t="shared" si="102"/>
        <v>2.6633558534127051</v>
      </c>
      <c r="AZ243" s="381">
        <f t="shared" si="117"/>
        <v>2.7059999355568396E-3</v>
      </c>
      <c r="BA243" s="586">
        <f t="shared" si="118"/>
        <v>0.1744430627469474</v>
      </c>
      <c r="BB243" s="376">
        <f t="shared" si="119"/>
        <v>0.82520222315777025</v>
      </c>
      <c r="BC243" s="376">
        <f t="shared" si="120"/>
        <v>0.82555693725305257</v>
      </c>
      <c r="BD243" s="376">
        <f t="shared" si="121"/>
        <v>3.5465119167543691E-4</v>
      </c>
      <c r="BE243" s="283"/>
      <c r="BF243" s="283"/>
      <c r="BG243" s="283"/>
      <c r="BH243" s="283"/>
      <c r="BI243" s="283"/>
      <c r="BJ243" s="283"/>
      <c r="BK243" s="283"/>
      <c r="BL243" s="283"/>
      <c r="BM243" s="283"/>
      <c r="BN243" s="283"/>
      <c r="BO243" s="283"/>
      <c r="BP243" s="283"/>
      <c r="BQ243" s="283"/>
      <c r="BR243" s="283"/>
      <c r="BS243" s="283"/>
      <c r="BT243" s="283"/>
      <c r="BU243" s="283"/>
      <c r="BV243" s="283"/>
      <c r="BW243" s="283"/>
      <c r="BX243" s="283"/>
      <c r="BY243" s="283"/>
      <c r="BZ243" s="283"/>
      <c r="CA243" s="283"/>
      <c r="CB243" s="283"/>
      <c r="CC243" s="283"/>
      <c r="CD243" s="283"/>
      <c r="CE243" s="283"/>
      <c r="CF243" s="283"/>
      <c r="CG243" s="283"/>
      <c r="CH243" s="283"/>
      <c r="CI243" s="283"/>
      <c r="CJ243" s="283"/>
      <c r="CK243" s="283"/>
      <c r="CL243" s="283"/>
    </row>
    <row r="244" spans="1:90" ht="14.25" customHeight="1" x14ac:dyDescent="0.2">
      <c r="A244" s="28"/>
      <c r="B244" s="28"/>
      <c r="C244" s="28"/>
      <c r="D244" s="28"/>
      <c r="E244" s="282"/>
      <c r="F244" s="282"/>
      <c r="G244" s="282"/>
      <c r="H244" s="282"/>
      <c r="I244" s="282"/>
      <c r="J244" s="282"/>
      <c r="K244" s="282"/>
      <c r="L244" s="282"/>
      <c r="M244" s="282"/>
      <c r="N244" s="282"/>
      <c r="O244" s="282"/>
      <c r="P244" s="282"/>
      <c r="Q244" s="282"/>
      <c r="R244" s="282"/>
      <c r="S244" s="374"/>
      <c r="T244" s="373">
        <f t="shared" si="127"/>
        <v>218</v>
      </c>
      <c r="U244" s="374"/>
      <c r="V244" s="568">
        <f t="shared" si="122"/>
        <v>4.3053868516003567E-3</v>
      </c>
      <c r="W244" s="328">
        <f t="shared" si="103"/>
        <v>0.99558566452220665</v>
      </c>
      <c r="X244" s="328">
        <f t="shared" si="104"/>
        <v>0.99569461314839969</v>
      </c>
      <c r="Y244" s="328">
        <f t="shared" si="105"/>
        <v>1.0894269150696356E-4</v>
      </c>
      <c r="Z244" s="374"/>
      <c r="AA244" s="571">
        <f t="shared" si="106"/>
        <v>2.7427405985420018E-2</v>
      </c>
      <c r="AB244" s="327">
        <f t="shared" si="125"/>
        <v>0.97222205786376548</v>
      </c>
      <c r="AC244" s="327">
        <f t="shared" si="107"/>
        <v>0.97257259401457996</v>
      </c>
      <c r="AD244" s="327">
        <f t="shared" si="108"/>
        <v>3.5047472019611448E-4</v>
      </c>
      <c r="AE244" s="383"/>
      <c r="AF244" s="574">
        <f t="shared" si="97"/>
        <v>6.8913834840985011E-2</v>
      </c>
      <c r="AG244" s="376">
        <f t="shared" si="123"/>
        <v>0.93068670488568772</v>
      </c>
      <c r="AH244" s="376">
        <f t="shared" si="109"/>
        <v>0.93108616515901499</v>
      </c>
      <c r="AI244" s="553">
        <f t="shared" si="110"/>
        <v>3.9938049969479028E-4</v>
      </c>
      <c r="AJ244" s="374"/>
      <c r="AK244" s="577">
        <f t="shared" si="98"/>
        <v>7.648572552951384E-2</v>
      </c>
      <c r="AL244" s="376">
        <f t="shared" si="111"/>
        <v>0.92316720248125472</v>
      </c>
      <c r="AM244" s="376">
        <f t="shared" si="112"/>
        <v>0.92351427447048617</v>
      </c>
      <c r="AN244" s="553">
        <f t="shared" si="113"/>
        <v>3.4701176671603218E-4</v>
      </c>
      <c r="AO244" s="554"/>
      <c r="AP244" s="580">
        <f t="shared" si="99"/>
        <v>1.3956200015498688E-2</v>
      </c>
      <c r="AQ244" s="376">
        <f t="shared" si="114"/>
        <v>0.98579200773285824</v>
      </c>
      <c r="AR244" s="379">
        <f t="shared" si="115"/>
        <v>0.98604379998450131</v>
      </c>
      <c r="AS244" s="376">
        <f t="shared" si="116"/>
        <v>2.5176055463449476E-4</v>
      </c>
      <c r="AT244" s="384"/>
      <c r="AU244" s="583">
        <f t="shared" si="100"/>
        <v>0.28277558385841817</v>
      </c>
      <c r="AV244" s="381">
        <f t="shared" si="126"/>
        <v>1.2630940532682875</v>
      </c>
      <c r="AW244" s="376">
        <f t="shared" si="101"/>
        <v>1.2631016858212907</v>
      </c>
      <c r="AX244" s="503">
        <f t="shared" si="124"/>
        <v>7.6325238753671698E-6</v>
      </c>
      <c r="AY244" s="376">
        <f t="shared" si="102"/>
        <v>2.6669722538978364</v>
      </c>
      <c r="AZ244" s="381">
        <f t="shared" si="117"/>
        <v>2.6885898742615749E-3</v>
      </c>
      <c r="BA244" s="586">
        <f t="shared" si="118"/>
        <v>0.1740906896959166</v>
      </c>
      <c r="BB244" s="376">
        <f t="shared" si="119"/>
        <v>0.82555693725305257</v>
      </c>
      <c r="BC244" s="376">
        <f t="shared" si="120"/>
        <v>0.82590931030408343</v>
      </c>
      <c r="BD244" s="376">
        <f t="shared" si="121"/>
        <v>3.5231097493881869E-4</v>
      </c>
      <c r="BE244" s="283"/>
      <c r="BF244" s="283"/>
      <c r="BG244" s="283"/>
      <c r="BH244" s="283"/>
      <c r="BI244" s="283"/>
      <c r="BJ244" s="283"/>
      <c r="BK244" s="283"/>
      <c r="BL244" s="283"/>
      <c r="BM244" s="283"/>
      <c r="BN244" s="283"/>
      <c r="BO244" s="283"/>
      <c r="BP244" s="283"/>
      <c r="BQ244" s="283"/>
      <c r="BR244" s="283"/>
      <c r="BS244" s="283"/>
      <c r="BT244" s="283"/>
      <c r="BU244" s="283"/>
      <c r="BV244" s="283"/>
      <c r="BW244" s="283"/>
      <c r="BX244" s="283"/>
      <c r="BY244" s="283"/>
      <c r="BZ244" s="283"/>
      <c r="CA244" s="283"/>
      <c r="CB244" s="283"/>
      <c r="CC244" s="283"/>
      <c r="CD244" s="283"/>
      <c r="CE244" s="283"/>
      <c r="CF244" s="283"/>
      <c r="CG244" s="283"/>
      <c r="CH244" s="283"/>
      <c r="CI244" s="283"/>
      <c r="CJ244" s="283"/>
      <c r="CK244" s="283"/>
      <c r="CL244" s="283"/>
    </row>
    <row r="245" spans="1:90" ht="14.25" customHeight="1" x14ac:dyDescent="0.2">
      <c r="A245" s="28"/>
      <c r="B245" s="28"/>
      <c r="C245" s="28"/>
      <c r="D245" s="28"/>
      <c r="E245" s="282"/>
      <c r="F245" s="282"/>
      <c r="G245" s="282"/>
      <c r="H245" s="282"/>
      <c r="I245" s="282"/>
      <c r="J245" s="282"/>
      <c r="K245" s="282"/>
      <c r="L245" s="282"/>
      <c r="M245" s="282"/>
      <c r="N245" s="282"/>
      <c r="O245" s="282"/>
      <c r="P245" s="282"/>
      <c r="Q245" s="282"/>
      <c r="R245" s="282"/>
      <c r="S245" s="374"/>
      <c r="T245" s="373">
        <f t="shared" si="127"/>
        <v>219</v>
      </c>
      <c r="U245" s="374"/>
      <c r="V245" s="568">
        <f t="shared" si="122"/>
        <v>4.1991271472641371E-3</v>
      </c>
      <c r="W245" s="328">
        <f t="shared" si="103"/>
        <v>0.99569461314839969</v>
      </c>
      <c r="X245" s="328">
        <f t="shared" si="104"/>
        <v>0.99580087285273589</v>
      </c>
      <c r="Y245" s="328">
        <f t="shared" si="105"/>
        <v>1.0625405897379814E-4</v>
      </c>
      <c r="Z245" s="374"/>
      <c r="AA245" s="571">
        <f t="shared" si="106"/>
        <v>2.7081656892972039E-2</v>
      </c>
      <c r="AB245" s="327">
        <f t="shared" si="125"/>
        <v>0.97257259401457996</v>
      </c>
      <c r="AC245" s="327">
        <f t="shared" si="107"/>
        <v>0.97291834310702796</v>
      </c>
      <c r="AD245" s="327">
        <f t="shared" si="108"/>
        <v>3.4568932811851472E-4</v>
      </c>
      <c r="AE245" s="383"/>
      <c r="AF245" s="574">
        <f t="shared" si="97"/>
        <v>6.8517967574313055E-2</v>
      </c>
      <c r="AG245" s="376">
        <f t="shared" si="123"/>
        <v>0.93108616515901499</v>
      </c>
      <c r="AH245" s="376">
        <f t="shared" si="109"/>
        <v>0.93148203242568695</v>
      </c>
      <c r="AI245" s="553">
        <f t="shared" si="110"/>
        <v>3.9578892156399981E-4</v>
      </c>
      <c r="AJ245" s="374"/>
      <c r="AK245" s="577">
        <f t="shared" si="98"/>
        <v>7.6141670621566196E-2</v>
      </c>
      <c r="AL245" s="376">
        <f t="shared" si="111"/>
        <v>0.92351427447048617</v>
      </c>
      <c r="AM245" s="376">
        <f t="shared" si="112"/>
        <v>0.92385832937843382</v>
      </c>
      <c r="AN245" s="553">
        <f t="shared" si="113"/>
        <v>3.4399572784504784E-4</v>
      </c>
      <c r="AO245" s="554"/>
      <c r="AP245" s="580">
        <f t="shared" si="99"/>
        <v>1.370891973171906E-2</v>
      </c>
      <c r="AQ245" s="376">
        <f t="shared" si="114"/>
        <v>0.98604379998450131</v>
      </c>
      <c r="AR245" s="379">
        <f t="shared" si="115"/>
        <v>0.98629108026828094</v>
      </c>
      <c r="AS245" s="376">
        <f t="shared" si="116"/>
        <v>2.4724971253020644E-4</v>
      </c>
      <c r="AT245" s="384"/>
      <c r="AU245" s="583">
        <f t="shared" si="100"/>
        <v>0.28277351124904654</v>
      </c>
      <c r="AV245" s="381">
        <f t="shared" si="126"/>
        <v>1.2631016858212907</v>
      </c>
      <c r="AW245" s="376">
        <f t="shared" si="101"/>
        <v>1.2631090153684141</v>
      </c>
      <c r="AX245" s="503">
        <f t="shared" si="124"/>
        <v>7.3295202623890887E-6</v>
      </c>
      <c r="AY245" s="376">
        <f t="shared" si="102"/>
        <v>2.6705721032930878</v>
      </c>
      <c r="AZ245" s="381">
        <f t="shared" si="117"/>
        <v>2.6713707405799972E-3</v>
      </c>
      <c r="BA245" s="586">
        <f t="shared" si="118"/>
        <v>0.17374063164507766</v>
      </c>
      <c r="BB245" s="376">
        <f t="shared" si="119"/>
        <v>0.82590931030408343</v>
      </c>
      <c r="BC245" s="376">
        <f t="shared" si="120"/>
        <v>0.82625936835492231</v>
      </c>
      <c r="BD245" s="376">
        <f t="shared" si="121"/>
        <v>3.4999678766811648E-4</v>
      </c>
      <c r="BE245" s="283"/>
      <c r="BF245" s="283"/>
      <c r="BG245" s="283"/>
      <c r="BH245" s="283"/>
      <c r="BI245" s="283"/>
      <c r="BJ245" s="283"/>
      <c r="BK245" s="283"/>
      <c r="BL245" s="283"/>
      <c r="BM245" s="283"/>
      <c r="BN245" s="283"/>
      <c r="BO245" s="283"/>
      <c r="BP245" s="283"/>
      <c r="BQ245" s="283"/>
      <c r="BR245" s="283"/>
      <c r="BS245" s="283"/>
      <c r="BT245" s="283"/>
      <c r="BU245" s="283"/>
      <c r="BV245" s="283"/>
      <c r="BW245" s="283"/>
      <c r="BX245" s="283"/>
      <c r="BY245" s="283"/>
      <c r="BZ245" s="283"/>
      <c r="CA245" s="283"/>
      <c r="CB245" s="283"/>
      <c r="CC245" s="283"/>
      <c r="CD245" s="283"/>
      <c r="CE245" s="283"/>
      <c r="CF245" s="283"/>
      <c r="CG245" s="283"/>
      <c r="CH245" s="283"/>
      <c r="CI245" s="283"/>
      <c r="CJ245" s="283"/>
      <c r="CK245" s="283"/>
      <c r="CL245" s="283"/>
    </row>
    <row r="246" spans="1:90" ht="14.25" customHeight="1" x14ac:dyDescent="0.2">
      <c r="A246" s="28"/>
      <c r="B246" s="28"/>
      <c r="C246" s="28"/>
      <c r="D246" s="28"/>
      <c r="E246" s="282"/>
      <c r="F246" s="282"/>
      <c r="G246" s="282"/>
      <c r="H246" s="282"/>
      <c r="I246" s="282"/>
      <c r="J246" s="282"/>
      <c r="K246" s="282"/>
      <c r="L246" s="282"/>
      <c r="M246" s="282"/>
      <c r="N246" s="282"/>
      <c r="O246" s="282"/>
      <c r="P246" s="282"/>
      <c r="Q246" s="282"/>
      <c r="R246" s="282"/>
      <c r="S246" s="374"/>
      <c r="T246" s="373">
        <f t="shared" si="127"/>
        <v>220</v>
      </c>
      <c r="U246" s="374"/>
      <c r="V246" s="568">
        <f t="shared" si="122"/>
        <v>4.0954900004714799E-3</v>
      </c>
      <c r="W246" s="328">
        <f t="shared" si="103"/>
        <v>0.99580087285273589</v>
      </c>
      <c r="X246" s="328">
        <f t="shared" si="104"/>
        <v>0.99590450999952851</v>
      </c>
      <c r="Y246" s="328">
        <f t="shared" si="105"/>
        <v>1.0363177664907131E-4</v>
      </c>
      <c r="Z246" s="374"/>
      <c r="AA246" s="571">
        <f t="shared" si="106"/>
        <v>2.674062327248174E-2</v>
      </c>
      <c r="AB246" s="327">
        <f t="shared" si="125"/>
        <v>0.97291834310702796</v>
      </c>
      <c r="AC246" s="327">
        <f t="shared" si="107"/>
        <v>0.97325937672751828</v>
      </c>
      <c r="AD246" s="327">
        <f t="shared" si="108"/>
        <v>3.4097547513523008E-4</v>
      </c>
      <c r="AE246" s="383"/>
      <c r="AF246" s="574">
        <f t="shared" si="97"/>
        <v>6.8125648311469389E-2</v>
      </c>
      <c r="AG246" s="376">
        <f t="shared" si="123"/>
        <v>0.93148203242568695</v>
      </c>
      <c r="AH246" s="376">
        <f t="shared" si="109"/>
        <v>0.93187435168853061</v>
      </c>
      <c r="AI246" s="553">
        <f t="shared" si="110"/>
        <v>3.922423157045607E-4</v>
      </c>
      <c r="AJ246" s="374"/>
      <c r="AK246" s="577">
        <f t="shared" si="98"/>
        <v>7.5800594112729658E-2</v>
      </c>
      <c r="AL246" s="376">
        <f t="shared" si="111"/>
        <v>0.92385832937843382</v>
      </c>
      <c r="AM246" s="376">
        <f t="shared" si="112"/>
        <v>0.92419940588727034</v>
      </c>
      <c r="AN246" s="553">
        <f t="shared" si="113"/>
        <v>3.41018348856581E-4</v>
      </c>
      <c r="AO246" s="554"/>
      <c r="AP246" s="580">
        <f t="shared" si="99"/>
        <v>1.3466069305306694E-2</v>
      </c>
      <c r="AQ246" s="376">
        <f t="shared" si="114"/>
        <v>0.98629108026828094</v>
      </c>
      <c r="AR246" s="379">
        <f t="shared" si="115"/>
        <v>0.98653393069469331</v>
      </c>
      <c r="AS246" s="376">
        <f t="shared" si="116"/>
        <v>2.4282094063443616E-4</v>
      </c>
      <c r="AT246" s="384"/>
      <c r="AU246" s="583">
        <f t="shared" si="100"/>
        <v>0.28277152093480745</v>
      </c>
      <c r="AV246" s="381">
        <f t="shared" si="126"/>
        <v>1.2631090153684141</v>
      </c>
      <c r="AW246" s="376">
        <f t="shared" si="101"/>
        <v>1.2631160539387343</v>
      </c>
      <c r="AX246" s="503">
        <f t="shared" si="124"/>
        <v>7.0385455495092231E-6</v>
      </c>
      <c r="AY246" s="376">
        <f t="shared" si="102"/>
        <v>2.6741555524064413</v>
      </c>
      <c r="AZ246" s="381">
        <f t="shared" si="117"/>
        <v>2.6543395831582911E-3</v>
      </c>
      <c r="BA246" s="586">
        <f t="shared" si="118"/>
        <v>0.17339286295682366</v>
      </c>
      <c r="BB246" s="376">
        <f t="shared" si="119"/>
        <v>0.82625936835492231</v>
      </c>
      <c r="BC246" s="376">
        <f t="shared" si="120"/>
        <v>0.82660713704317634</v>
      </c>
      <c r="BD246" s="376">
        <f t="shared" si="121"/>
        <v>3.4770822373320076E-4</v>
      </c>
      <c r="BE246" s="283"/>
      <c r="BF246" s="283"/>
      <c r="BG246" s="283"/>
      <c r="BH246" s="283"/>
      <c r="BI246" s="283"/>
      <c r="BJ246" s="283"/>
      <c r="BK246" s="283"/>
      <c r="BL246" s="283"/>
      <c r="BM246" s="283"/>
      <c r="BN246" s="283"/>
      <c r="BO246" s="283"/>
      <c r="BP246" s="283"/>
      <c r="BQ246" s="283"/>
      <c r="BR246" s="283"/>
      <c r="BS246" s="283"/>
      <c r="BT246" s="283"/>
      <c r="BU246" s="283"/>
      <c r="BV246" s="283"/>
      <c r="BW246" s="283"/>
      <c r="BX246" s="283"/>
      <c r="BY246" s="283"/>
      <c r="BZ246" s="283"/>
      <c r="CA246" s="283"/>
      <c r="CB246" s="283"/>
      <c r="CC246" s="283"/>
      <c r="CD246" s="283"/>
      <c r="CE246" s="283"/>
      <c r="CF246" s="283"/>
      <c r="CG246" s="283"/>
      <c r="CH246" s="283"/>
      <c r="CI246" s="283"/>
      <c r="CJ246" s="283"/>
      <c r="CK246" s="283"/>
      <c r="CL246" s="283"/>
    </row>
    <row r="247" spans="1:90" ht="14.25" customHeight="1" x14ac:dyDescent="0.2">
      <c r="A247" s="28"/>
      <c r="B247" s="28"/>
      <c r="C247" s="28"/>
      <c r="D247" s="28"/>
      <c r="E247" s="282"/>
      <c r="F247" s="282"/>
      <c r="G247" s="282"/>
      <c r="H247" s="282"/>
      <c r="I247" s="282"/>
      <c r="J247" s="282"/>
      <c r="K247" s="282"/>
      <c r="L247" s="282"/>
      <c r="M247" s="282"/>
      <c r="N247" s="282"/>
      <c r="O247" s="282"/>
      <c r="P247" s="282"/>
      <c r="Q247" s="282"/>
      <c r="R247" s="282"/>
      <c r="S247" s="374"/>
      <c r="T247" s="373">
        <f t="shared" si="127"/>
        <v>221</v>
      </c>
      <c r="U247" s="374"/>
      <c r="V247" s="568">
        <f t="shared" si="122"/>
        <v>3.9944106848229261E-3</v>
      </c>
      <c r="W247" s="328">
        <f t="shared" si="103"/>
        <v>0.99590450999952851</v>
      </c>
      <c r="X247" s="328">
        <f t="shared" si="104"/>
        <v>0.99600558931517702</v>
      </c>
      <c r="Y247" s="328">
        <f t="shared" si="105"/>
        <v>1.0107420730665062E-4</v>
      </c>
      <c r="Z247" s="374"/>
      <c r="AA247" s="571">
        <f t="shared" si="106"/>
        <v>2.6404234724500777E-2</v>
      </c>
      <c r="AB247" s="327">
        <f t="shared" si="125"/>
        <v>0.97325937672751828</v>
      </c>
      <c r="AC247" s="327">
        <f t="shared" si="107"/>
        <v>0.97359576527549918</v>
      </c>
      <c r="AD247" s="327">
        <f t="shared" si="108"/>
        <v>3.3633197569693518E-4</v>
      </c>
      <c r="AE247" s="383"/>
      <c r="AF247" s="574">
        <f t="shared" si="97"/>
        <v>6.7736832779942135E-2</v>
      </c>
      <c r="AG247" s="376">
        <f t="shared" si="123"/>
        <v>0.93187435168853061</v>
      </c>
      <c r="AH247" s="376">
        <f t="shared" si="109"/>
        <v>0.93226316722005786</v>
      </c>
      <c r="AI247" s="553">
        <f t="shared" si="110"/>
        <v>3.8873995256416549E-4</v>
      </c>
      <c r="AJ247" s="374"/>
      <c r="AK247" s="577">
        <f t="shared" si="98"/>
        <v>7.546245797476854E-2</v>
      </c>
      <c r="AL247" s="376">
        <f t="shared" si="111"/>
        <v>0.92419940588727034</v>
      </c>
      <c r="AM247" s="376">
        <f t="shared" si="112"/>
        <v>0.92453754202523142</v>
      </c>
      <c r="AN247" s="553">
        <f t="shared" si="113"/>
        <v>3.3807897638016282E-4</v>
      </c>
      <c r="AO247" s="554"/>
      <c r="AP247" s="580">
        <f t="shared" si="99"/>
        <v>1.3227568153466374E-2</v>
      </c>
      <c r="AQ247" s="376">
        <f t="shared" si="114"/>
        <v>0.98653393069469331</v>
      </c>
      <c r="AR247" s="379">
        <f t="shared" si="115"/>
        <v>0.98677243184653363</v>
      </c>
      <c r="AS247" s="376">
        <f t="shared" si="116"/>
        <v>2.3847271270160952E-4</v>
      </c>
      <c r="AT247" s="384"/>
      <c r="AU247" s="583">
        <f t="shared" si="100"/>
        <v>0.28276960964754111</v>
      </c>
      <c r="AV247" s="381">
        <f t="shared" si="126"/>
        <v>1.2631160539387343</v>
      </c>
      <c r="AW247" s="376">
        <f t="shared" si="101"/>
        <v>1.263122813083783</v>
      </c>
      <c r="AX247" s="503">
        <f t="shared" si="124"/>
        <v>6.7591222058238642E-6</v>
      </c>
      <c r="AY247" s="376">
        <f t="shared" si="102"/>
        <v>2.6777227499940559</v>
      </c>
      <c r="AZ247" s="381">
        <f t="shared" si="117"/>
        <v>2.6374935094005997E-3</v>
      </c>
      <c r="BA247" s="586">
        <f t="shared" si="118"/>
        <v>0.17304735839185212</v>
      </c>
      <c r="BB247" s="376">
        <f t="shared" si="119"/>
        <v>0.82660713704317634</v>
      </c>
      <c r="BC247" s="376">
        <f t="shared" si="120"/>
        <v>0.82695264160814785</v>
      </c>
      <c r="BD247" s="376">
        <f t="shared" si="121"/>
        <v>3.4544488514276495E-4</v>
      </c>
      <c r="BE247" s="283"/>
      <c r="BF247" s="283"/>
      <c r="BG247" s="283"/>
      <c r="BH247" s="283"/>
      <c r="BI247" s="283"/>
      <c r="BJ247" s="283"/>
      <c r="BK247" s="283"/>
      <c r="BL247" s="283"/>
      <c r="BM247" s="283"/>
      <c r="BN247" s="283"/>
      <c r="BO247" s="283"/>
      <c r="BP247" s="283"/>
      <c r="BQ247" s="283"/>
      <c r="BR247" s="283"/>
      <c r="BS247" s="283"/>
      <c r="BT247" s="283"/>
      <c r="BU247" s="283"/>
      <c r="BV247" s="283"/>
      <c r="BW247" s="283"/>
      <c r="BX247" s="283"/>
      <c r="BY247" s="283"/>
      <c r="BZ247" s="283"/>
      <c r="CA247" s="283"/>
      <c r="CB247" s="283"/>
      <c r="CC247" s="283"/>
      <c r="CD247" s="283"/>
      <c r="CE247" s="283"/>
      <c r="CF247" s="283"/>
      <c r="CG247" s="283"/>
      <c r="CH247" s="283"/>
      <c r="CI247" s="283"/>
      <c r="CJ247" s="283"/>
      <c r="CK247" s="283"/>
      <c r="CL247" s="283"/>
    </row>
    <row r="248" spans="1:90" ht="14.25" customHeight="1" x14ac:dyDescent="0.2">
      <c r="A248" s="28"/>
      <c r="B248" s="28"/>
      <c r="C248" s="28"/>
      <c r="D248" s="28"/>
      <c r="E248" s="282"/>
      <c r="F248" s="282"/>
      <c r="G248" s="282"/>
      <c r="H248" s="282"/>
      <c r="I248" s="282"/>
      <c r="J248" s="282"/>
      <c r="K248" s="282"/>
      <c r="L248" s="282"/>
      <c r="M248" s="282"/>
      <c r="N248" s="282"/>
      <c r="O248" s="282"/>
      <c r="P248" s="282"/>
      <c r="Q248" s="282"/>
      <c r="R248" s="282"/>
      <c r="S248" s="374"/>
      <c r="T248" s="373">
        <f t="shared" si="127"/>
        <v>222</v>
      </c>
      <c r="U248" s="374"/>
      <c r="V248" s="568">
        <f t="shared" si="122"/>
        <v>3.8958260714080008E-3</v>
      </c>
      <c r="W248" s="328">
        <f t="shared" si="103"/>
        <v>0.99600558931517702</v>
      </c>
      <c r="X248" s="328">
        <f t="shared" si="104"/>
        <v>0.99610417392859196</v>
      </c>
      <c r="Y248" s="328">
        <f t="shared" si="105"/>
        <v>9.8579754111649542E-5</v>
      </c>
      <c r="Z248" s="374"/>
      <c r="AA248" s="571">
        <f t="shared" si="106"/>
        <v>2.6072422014459234E-2</v>
      </c>
      <c r="AB248" s="327">
        <f t="shared" si="125"/>
        <v>0.97359576527549918</v>
      </c>
      <c r="AC248" s="327">
        <f t="shared" si="107"/>
        <v>0.97392757798554075</v>
      </c>
      <c r="AD248" s="327">
        <f t="shared" si="108"/>
        <v>3.3175766629256476E-4</v>
      </c>
      <c r="AE248" s="383"/>
      <c r="AF248" s="574">
        <f t="shared" si="97"/>
        <v>6.7351477422904038E-2</v>
      </c>
      <c r="AG248" s="376">
        <f t="shared" si="123"/>
        <v>0.93226316722005786</v>
      </c>
      <c r="AH248" s="376">
        <f t="shared" si="109"/>
        <v>0.93264852257709596</v>
      </c>
      <c r="AI248" s="553">
        <f t="shared" si="110"/>
        <v>3.8528111719904334E-4</v>
      </c>
      <c r="AJ248" s="374"/>
      <c r="AK248" s="577">
        <f t="shared" si="98"/>
        <v>7.512722481968577E-2</v>
      </c>
      <c r="AL248" s="376">
        <f t="shared" si="111"/>
        <v>0.92453754202523142</v>
      </c>
      <c r="AM248" s="376">
        <f t="shared" si="112"/>
        <v>0.92487277518031419</v>
      </c>
      <c r="AN248" s="553">
        <f t="shared" si="113"/>
        <v>3.3517697072704689E-4</v>
      </c>
      <c r="AO248" s="554"/>
      <c r="AP248" s="580">
        <f t="shared" si="99"/>
        <v>1.2993337191744669E-2</v>
      </c>
      <c r="AQ248" s="376">
        <f t="shared" si="114"/>
        <v>0.98677243184653363</v>
      </c>
      <c r="AR248" s="379">
        <f t="shared" si="115"/>
        <v>0.98700666280825533</v>
      </c>
      <c r="AS248" s="376">
        <f t="shared" si="116"/>
        <v>2.3420353179171016E-4</v>
      </c>
      <c r="AT248" s="384"/>
      <c r="AU248" s="583">
        <f t="shared" si="100"/>
        <v>0.28276777424891741</v>
      </c>
      <c r="AV248" s="381">
        <f t="shared" si="126"/>
        <v>1.263122813083783</v>
      </c>
      <c r="AW248" s="376">
        <f t="shared" si="101"/>
        <v>1.2631293038965072</v>
      </c>
      <c r="AX248" s="503">
        <f t="shared" si="124"/>
        <v>6.4907916589307391E-6</v>
      </c>
      <c r="AY248" s="376">
        <f t="shared" si="102"/>
        <v>2.6812738427973239</v>
      </c>
      <c r="AZ248" s="381">
        <f t="shared" si="117"/>
        <v>2.620829684040058E-3</v>
      </c>
      <c r="BA248" s="586">
        <f t="shared" si="118"/>
        <v>0.17270409310121701</v>
      </c>
      <c r="BB248" s="376">
        <f t="shared" si="119"/>
        <v>0.82695264160814785</v>
      </c>
      <c r="BC248" s="376">
        <f t="shared" si="120"/>
        <v>0.82729590689878296</v>
      </c>
      <c r="BD248" s="376">
        <f t="shared" si="121"/>
        <v>3.4320638184581753E-4</v>
      </c>
      <c r="BE248" s="283"/>
      <c r="BF248" s="283"/>
      <c r="BG248" s="283"/>
      <c r="BH248" s="283"/>
      <c r="BI248" s="283"/>
      <c r="BJ248" s="283"/>
      <c r="BK248" s="283"/>
      <c r="BL248" s="283"/>
      <c r="BM248" s="283"/>
      <c r="BN248" s="283"/>
      <c r="BO248" s="283"/>
      <c r="BP248" s="283"/>
      <c r="BQ248" s="283"/>
      <c r="BR248" s="283"/>
      <c r="BS248" s="283"/>
      <c r="BT248" s="283"/>
      <c r="BU248" s="283"/>
      <c r="BV248" s="283"/>
      <c r="BW248" s="283"/>
      <c r="BX248" s="283"/>
      <c r="BY248" s="283"/>
      <c r="BZ248" s="283"/>
      <c r="CA248" s="283"/>
      <c r="CB248" s="283"/>
      <c r="CC248" s="283"/>
      <c r="CD248" s="283"/>
      <c r="CE248" s="283"/>
      <c r="CF248" s="283"/>
      <c r="CG248" s="283"/>
      <c r="CH248" s="283"/>
      <c r="CI248" s="283"/>
      <c r="CJ248" s="283"/>
      <c r="CK248" s="283"/>
      <c r="CL248" s="283"/>
    </row>
    <row r="249" spans="1:90" ht="14.25" customHeight="1" x14ac:dyDescent="0.2">
      <c r="A249" s="28"/>
      <c r="B249" s="28"/>
      <c r="C249" s="28"/>
      <c r="D249" s="28"/>
      <c r="E249" s="282"/>
      <c r="F249" s="282"/>
      <c r="G249" s="282"/>
      <c r="H249" s="282"/>
      <c r="I249" s="282"/>
      <c r="J249" s="282"/>
      <c r="K249" s="282"/>
      <c r="L249" s="282"/>
      <c r="M249" s="282"/>
      <c r="N249" s="282"/>
      <c r="O249" s="282"/>
      <c r="P249" s="282"/>
      <c r="Q249" s="282"/>
      <c r="R249" s="282"/>
      <c r="S249" s="374"/>
      <c r="T249" s="373">
        <f t="shared" si="127"/>
        <v>223</v>
      </c>
      <c r="U249" s="374"/>
      <c r="V249" s="568">
        <f t="shared" si="122"/>
        <v>3.7996745893781629E-3</v>
      </c>
      <c r="W249" s="328">
        <f t="shared" si="103"/>
        <v>0.99610417392859196</v>
      </c>
      <c r="X249" s="328">
        <f t="shared" si="104"/>
        <v>0.99620032541062187</v>
      </c>
      <c r="Y249" s="328">
        <f t="shared" si="105"/>
        <v>9.6146859624335335E-5</v>
      </c>
      <c r="Z249" s="374"/>
      <c r="AA249" s="571">
        <f t="shared" si="106"/>
        <v>2.5745117051049236E-2</v>
      </c>
      <c r="AB249" s="327">
        <f t="shared" si="125"/>
        <v>0.97392757798554075</v>
      </c>
      <c r="AC249" s="327">
        <f t="shared" si="107"/>
        <v>0.9742548829489508</v>
      </c>
      <c r="AD249" s="327">
        <f t="shared" si="108"/>
        <v>3.2725140498401917E-4</v>
      </c>
      <c r="AE249" s="383"/>
      <c r="AF249" s="574">
        <f t="shared" si="97"/>
        <v>6.6969539384932442E-2</v>
      </c>
      <c r="AG249" s="376">
        <f t="shared" si="123"/>
        <v>0.93264852257709596</v>
      </c>
      <c r="AH249" s="376">
        <f t="shared" si="109"/>
        <v>0.93303046061506756</v>
      </c>
      <c r="AI249" s="553">
        <f t="shared" si="110"/>
        <v>3.8186510892423975E-4</v>
      </c>
      <c r="AJ249" s="374"/>
      <c r="AK249" s="577">
        <f t="shared" si="98"/>
        <v>7.4794857886365834E-2</v>
      </c>
      <c r="AL249" s="376">
        <f t="shared" si="111"/>
        <v>0.92487277518031419</v>
      </c>
      <c r="AM249" s="376">
        <f t="shared" si="112"/>
        <v>0.92520514211363414</v>
      </c>
      <c r="AN249" s="553">
        <f t="shared" si="113"/>
        <v>3.3231170554959277E-4</v>
      </c>
      <c r="AO249" s="554"/>
      <c r="AP249" s="580">
        <f t="shared" si="99"/>
        <v>1.2763298805262169E-2</v>
      </c>
      <c r="AQ249" s="376">
        <f t="shared" si="114"/>
        <v>0.98700666280825533</v>
      </c>
      <c r="AR249" s="379">
        <f t="shared" si="115"/>
        <v>0.98723670119473783</v>
      </c>
      <c r="AS249" s="376">
        <f t="shared" si="116"/>
        <v>2.3001192968163942E-4</v>
      </c>
      <c r="AT249" s="384"/>
      <c r="AU249" s="583">
        <f t="shared" si="100"/>
        <v>0.28276601172527538</v>
      </c>
      <c r="AV249" s="381">
        <f t="shared" si="126"/>
        <v>1.2631293038965072</v>
      </c>
      <c r="AW249" s="376">
        <f t="shared" si="101"/>
        <v>1.2631355370294721</v>
      </c>
      <c r="AX249" s="503">
        <f t="shared" si="124"/>
        <v>6.2331135389781522E-6</v>
      </c>
      <c r="AY249" s="376">
        <f t="shared" si="102"/>
        <v>2.6848089755790845</v>
      </c>
      <c r="AZ249" s="381">
        <f t="shared" si="117"/>
        <v>2.6043453277508496E-3</v>
      </c>
      <c r="BA249" s="586">
        <f t="shared" si="118"/>
        <v>0.17236304261857494</v>
      </c>
      <c r="BB249" s="376">
        <f t="shared" si="119"/>
        <v>0.82729590689878296</v>
      </c>
      <c r="BC249" s="376">
        <f t="shared" si="120"/>
        <v>0.82763695738142506</v>
      </c>
      <c r="BD249" s="376">
        <f t="shared" si="121"/>
        <v>3.4099233153728203E-4</v>
      </c>
      <c r="BE249" s="283"/>
      <c r="BF249" s="283"/>
      <c r="BG249" s="283"/>
      <c r="BH249" s="283"/>
      <c r="BI249" s="283"/>
      <c r="BJ249" s="283"/>
      <c r="BK249" s="283"/>
      <c r="BL249" s="283"/>
      <c r="BM249" s="283"/>
      <c r="BN249" s="283"/>
      <c r="BO249" s="283"/>
      <c r="BP249" s="283"/>
      <c r="BQ249" s="283"/>
      <c r="BR249" s="283"/>
      <c r="BS249" s="283"/>
      <c r="BT249" s="283"/>
      <c r="BU249" s="283"/>
      <c r="BV249" s="283"/>
      <c r="BW249" s="283"/>
      <c r="BX249" s="283"/>
      <c r="BY249" s="283"/>
      <c r="BZ249" s="283"/>
      <c r="CA249" s="283"/>
      <c r="CB249" s="283"/>
      <c r="CC249" s="283"/>
      <c r="CD249" s="283"/>
      <c r="CE249" s="283"/>
      <c r="CF249" s="283"/>
      <c r="CG249" s="283"/>
      <c r="CH249" s="283"/>
      <c r="CI249" s="283"/>
      <c r="CJ249" s="283"/>
      <c r="CK249" s="283"/>
      <c r="CL249" s="283"/>
    </row>
    <row r="250" spans="1:90" ht="14.25" customHeight="1" x14ac:dyDescent="0.2">
      <c r="A250" s="28"/>
      <c r="B250" s="28"/>
      <c r="C250" s="28"/>
      <c r="D250" s="28"/>
      <c r="E250" s="282"/>
      <c r="F250" s="282"/>
      <c r="G250" s="282"/>
      <c r="H250" s="282"/>
      <c r="I250" s="282"/>
      <c r="J250" s="282"/>
      <c r="K250" s="282"/>
      <c r="L250" s="282"/>
      <c r="M250" s="282"/>
      <c r="N250" s="282"/>
      <c r="O250" s="282"/>
      <c r="P250" s="282"/>
      <c r="Q250" s="282"/>
      <c r="R250" s="282"/>
      <c r="S250" s="374"/>
      <c r="T250" s="373">
        <f t="shared" si="127"/>
        <v>224</v>
      </c>
      <c r="U250" s="374"/>
      <c r="V250" s="568">
        <f t="shared" si="122"/>
        <v>3.7058961874928379E-3</v>
      </c>
      <c r="W250" s="328">
        <f t="shared" si="103"/>
        <v>0.99620032541062187</v>
      </c>
      <c r="X250" s="328">
        <f t="shared" si="104"/>
        <v>0.99629410381250716</v>
      </c>
      <c r="Y250" s="328">
        <f t="shared" si="105"/>
        <v>9.3774004828461877E-5</v>
      </c>
      <c r="Z250" s="374"/>
      <c r="AA250" s="571">
        <f t="shared" si="106"/>
        <v>2.5422252865062642E-2</v>
      </c>
      <c r="AB250" s="327">
        <f t="shared" si="125"/>
        <v>0.9742548829489508</v>
      </c>
      <c r="AC250" s="327">
        <f t="shared" si="107"/>
        <v>0.97457774713493739</v>
      </c>
      <c r="AD250" s="327">
        <f t="shared" si="108"/>
        <v>3.2281207095419262E-4</v>
      </c>
      <c r="AE250" s="383"/>
      <c r="AF250" s="574">
        <f t="shared" si="97"/>
        <v>6.6590976498067889E-2</v>
      </c>
      <c r="AG250" s="376">
        <f t="shared" si="123"/>
        <v>0.93303046061506756</v>
      </c>
      <c r="AH250" s="376">
        <f t="shared" si="109"/>
        <v>0.93340902350193211</v>
      </c>
      <c r="AI250" s="553">
        <f t="shared" si="110"/>
        <v>3.7849124097599773E-4</v>
      </c>
      <c r="AJ250" s="374"/>
      <c r="AK250" s="577">
        <f t="shared" si="98"/>
        <v>7.4465321027549547E-2</v>
      </c>
      <c r="AL250" s="376">
        <f t="shared" si="111"/>
        <v>0.92520514211363414</v>
      </c>
      <c r="AM250" s="376">
        <f t="shared" si="112"/>
        <v>0.92553467897245045</v>
      </c>
      <c r="AN250" s="553">
        <f t="shared" si="113"/>
        <v>3.2948256750953142E-4</v>
      </c>
      <c r="AO250" s="554"/>
      <c r="AP250" s="580">
        <f t="shared" si="99"/>
        <v>1.2537376820526136E-2</v>
      </c>
      <c r="AQ250" s="376">
        <f t="shared" si="114"/>
        <v>0.98723670119473783</v>
      </c>
      <c r="AR250" s="379">
        <f t="shared" si="115"/>
        <v>0.98746262317947386</v>
      </c>
      <c r="AS250" s="376">
        <f t="shared" si="116"/>
        <v>2.2589646628623505E-4</v>
      </c>
      <c r="AT250" s="384"/>
      <c r="AU250" s="583">
        <f t="shared" si="100"/>
        <v>0.28276431918266726</v>
      </c>
      <c r="AV250" s="381">
        <f t="shared" si="126"/>
        <v>1.2631355370294721</v>
      </c>
      <c r="AW250" s="376">
        <f t="shared" si="101"/>
        <v>1.2631415227123457</v>
      </c>
      <c r="AX250" s="503">
        <f t="shared" si="124"/>
        <v>5.9856649594625111E-6</v>
      </c>
      <c r="AY250" s="376">
        <f t="shared" si="102"/>
        <v>2.6883282911590398</v>
      </c>
      <c r="AZ250" s="381">
        <f t="shared" si="117"/>
        <v>2.5880377157998483E-3</v>
      </c>
      <c r="BA250" s="586">
        <f t="shared" si="118"/>
        <v>0.17202418285261703</v>
      </c>
      <c r="BB250" s="376">
        <f t="shared" si="119"/>
        <v>0.82763695738142506</v>
      </c>
      <c r="BC250" s="376">
        <f t="shared" si="120"/>
        <v>0.827975817147383</v>
      </c>
      <c r="BD250" s="376">
        <f t="shared" si="121"/>
        <v>3.3880235947192361E-4</v>
      </c>
      <c r="BE250" s="283"/>
      <c r="BF250" s="283"/>
      <c r="BG250" s="283"/>
      <c r="BH250" s="283"/>
      <c r="BI250" s="283"/>
      <c r="BJ250" s="283"/>
      <c r="BK250" s="283"/>
      <c r="BL250" s="283"/>
      <c r="BM250" s="283"/>
      <c r="BN250" s="283"/>
      <c r="BO250" s="283"/>
      <c r="BP250" s="283"/>
      <c r="BQ250" s="283"/>
      <c r="BR250" s="283"/>
      <c r="BS250" s="283"/>
      <c r="BT250" s="283"/>
      <c r="BU250" s="283"/>
      <c r="BV250" s="283"/>
      <c r="BW250" s="283"/>
      <c r="BX250" s="283"/>
      <c r="BY250" s="283"/>
      <c r="BZ250" s="283"/>
      <c r="CA250" s="283"/>
      <c r="CB250" s="283"/>
      <c r="CC250" s="283"/>
      <c r="CD250" s="283"/>
      <c r="CE250" s="283"/>
      <c r="CF250" s="283"/>
      <c r="CG250" s="283"/>
      <c r="CH250" s="283"/>
      <c r="CI250" s="283"/>
      <c r="CJ250" s="283"/>
      <c r="CK250" s="283"/>
      <c r="CL250" s="283"/>
    </row>
    <row r="251" spans="1:90" ht="14.25" customHeight="1" x14ac:dyDescent="0.2">
      <c r="A251" s="28"/>
      <c r="B251" s="28"/>
      <c r="C251" s="28"/>
      <c r="D251" s="28"/>
      <c r="E251" s="282"/>
      <c r="F251" s="282"/>
      <c r="G251" s="282"/>
      <c r="H251" s="282"/>
      <c r="I251" s="282"/>
      <c r="J251" s="282"/>
      <c r="K251" s="282"/>
      <c r="L251" s="282"/>
      <c r="M251" s="282"/>
      <c r="N251" s="282"/>
      <c r="O251" s="282"/>
      <c r="P251" s="282"/>
      <c r="Q251" s="282"/>
      <c r="R251" s="282"/>
      <c r="S251" s="374"/>
      <c r="T251" s="373">
        <f t="shared" si="127"/>
        <v>225</v>
      </c>
      <c r="U251" s="374"/>
      <c r="V251" s="568">
        <f t="shared" si="122"/>
        <v>3.6144322966145215E-3</v>
      </c>
      <c r="W251" s="328">
        <f t="shared" si="103"/>
        <v>0.99629410381250716</v>
      </c>
      <c r="X251" s="328">
        <f t="shared" si="104"/>
        <v>0.99638556770338549</v>
      </c>
      <c r="Y251" s="328">
        <f t="shared" si="105"/>
        <v>9.14597081841384E-5</v>
      </c>
      <c r="Z251" s="374"/>
      <c r="AA251" s="571">
        <f t="shared" si="106"/>
        <v>2.5103763588671987E-2</v>
      </c>
      <c r="AB251" s="327">
        <f t="shared" si="125"/>
        <v>0.97457774713493739</v>
      </c>
      <c r="AC251" s="327">
        <f t="shared" si="107"/>
        <v>0.97489623641132805</v>
      </c>
      <c r="AD251" s="327">
        <f t="shared" si="108"/>
        <v>3.1843856406499338E-4</v>
      </c>
      <c r="AE251" s="383"/>
      <c r="AF251" s="574">
        <f t="shared" si="97"/>
        <v>6.6215747268204117E-2</v>
      </c>
      <c r="AG251" s="376">
        <f t="shared" si="123"/>
        <v>0.93340902350193211</v>
      </c>
      <c r="AH251" s="376">
        <f t="shared" si="109"/>
        <v>0.93378425273179588</v>
      </c>
      <c r="AI251" s="553">
        <f t="shared" si="110"/>
        <v>3.7515884018068935E-4</v>
      </c>
      <c r="AJ251" s="374"/>
      <c r="AK251" s="577">
        <f t="shared" si="98"/>
        <v>7.4138578697131571E-2</v>
      </c>
      <c r="AL251" s="376">
        <f t="shared" si="111"/>
        <v>0.92553467897245045</v>
      </c>
      <c r="AM251" s="376">
        <f t="shared" si="112"/>
        <v>0.92586142130286841</v>
      </c>
      <c r="AN251" s="553">
        <f t="shared" si="113"/>
        <v>3.2668895595611147E-4</v>
      </c>
      <c r="AO251" s="554"/>
      <c r="AP251" s="580">
        <f t="shared" si="99"/>
        <v>1.2315496477808718E-2</v>
      </c>
      <c r="AQ251" s="376">
        <f t="shared" si="114"/>
        <v>0.98746262317947386</v>
      </c>
      <c r="AR251" s="379">
        <f t="shared" si="115"/>
        <v>0.98768450352219128</v>
      </c>
      <c r="AS251" s="376">
        <f t="shared" si="116"/>
        <v>2.2185572909461104E-4</v>
      </c>
      <c r="AT251" s="384"/>
      <c r="AU251" s="583">
        <f t="shared" si="100"/>
        <v>0.28276269384210068</v>
      </c>
      <c r="AV251" s="381">
        <f t="shared" si="126"/>
        <v>1.2631415227123457</v>
      </c>
      <c r="AW251" s="376">
        <f t="shared" si="101"/>
        <v>1.2631472707686866</v>
      </c>
      <c r="AX251" s="503">
        <f t="shared" si="124"/>
        <v>5.7480398208964445E-6</v>
      </c>
      <c r="AY251" s="376">
        <f t="shared" si="102"/>
        <v>2.6918319304483767</v>
      </c>
      <c r="AZ251" s="381">
        <f t="shared" si="117"/>
        <v>2.5719041767366382E-3</v>
      </c>
      <c r="BA251" s="586">
        <f t="shared" si="118"/>
        <v>0.17168749007968498</v>
      </c>
      <c r="BB251" s="376">
        <f t="shared" si="119"/>
        <v>0.827975817147383</v>
      </c>
      <c r="BC251" s="376">
        <f t="shared" si="120"/>
        <v>0.82831250992031502</v>
      </c>
      <c r="BD251" s="376">
        <f t="shared" si="121"/>
        <v>3.3663609828116225E-4</v>
      </c>
      <c r="BE251" s="283"/>
      <c r="BF251" s="283"/>
      <c r="BG251" s="283"/>
      <c r="BH251" s="283"/>
      <c r="BI251" s="283"/>
      <c r="BJ251" s="283"/>
      <c r="BK251" s="283"/>
      <c r="BL251" s="283"/>
      <c r="BM251" s="283"/>
      <c r="BN251" s="283"/>
      <c r="BO251" s="283"/>
      <c r="BP251" s="283"/>
      <c r="BQ251" s="283"/>
      <c r="BR251" s="283"/>
      <c r="BS251" s="283"/>
      <c r="BT251" s="283"/>
      <c r="BU251" s="283"/>
      <c r="BV251" s="283"/>
      <c r="BW251" s="283"/>
      <c r="BX251" s="283"/>
      <c r="BY251" s="283"/>
      <c r="BZ251" s="283"/>
      <c r="CA251" s="283"/>
      <c r="CB251" s="283"/>
      <c r="CC251" s="283"/>
      <c r="CD251" s="283"/>
      <c r="CE251" s="283"/>
      <c r="CF251" s="283"/>
      <c r="CG251" s="283"/>
      <c r="CH251" s="283"/>
      <c r="CI251" s="283"/>
      <c r="CJ251" s="283"/>
      <c r="CK251" s="283"/>
      <c r="CL251" s="283"/>
    </row>
    <row r="252" spans="1:90" ht="14.25" customHeight="1" x14ac:dyDescent="0.2">
      <c r="A252" s="28"/>
      <c r="B252" s="28"/>
      <c r="C252" s="28"/>
      <c r="D252" s="28"/>
      <c r="E252" s="282"/>
      <c r="F252" s="282"/>
      <c r="G252" s="282"/>
      <c r="H252" s="282"/>
      <c r="I252" s="282"/>
      <c r="J252" s="282"/>
      <c r="K252" s="282"/>
      <c r="L252" s="282"/>
      <c r="M252" s="282"/>
      <c r="N252" s="282"/>
      <c r="O252" s="282"/>
      <c r="P252" s="282"/>
      <c r="Q252" s="282"/>
      <c r="R252" s="282"/>
      <c r="S252" s="374"/>
      <c r="T252" s="373">
        <f t="shared" si="127"/>
        <v>226</v>
      </c>
      <c r="U252" s="374"/>
      <c r="V252" s="568">
        <f t="shared" si="122"/>
        <v>3.5252257931295251E-3</v>
      </c>
      <c r="W252" s="328">
        <f t="shared" si="103"/>
        <v>0.99638556770338549</v>
      </c>
      <c r="X252" s="328">
        <f t="shared" si="104"/>
        <v>0.99647477420687047</v>
      </c>
      <c r="Y252" s="328">
        <f t="shared" si="105"/>
        <v>8.920252470312473E-5</v>
      </c>
      <c r="Z252" s="374"/>
      <c r="AA252" s="571">
        <f t="shared" si="106"/>
        <v>2.4789584435143966E-2</v>
      </c>
      <c r="AB252" s="327">
        <f t="shared" si="125"/>
        <v>0.97489623641132805</v>
      </c>
      <c r="AC252" s="327">
        <f t="shared" si="107"/>
        <v>0.97521041556485599</v>
      </c>
      <c r="AD252" s="327">
        <f t="shared" si="108"/>
        <v>3.1412980442602212E-4</v>
      </c>
      <c r="AE252" s="383"/>
      <c r="AF252" s="574">
        <f t="shared" si="97"/>
        <v>6.5843810861799246E-2</v>
      </c>
      <c r="AG252" s="376">
        <f t="shared" si="123"/>
        <v>0.93378425273179588</v>
      </c>
      <c r="AH252" s="376">
        <f t="shared" si="109"/>
        <v>0.93415618913820075</v>
      </c>
      <c r="AI252" s="553">
        <f t="shared" si="110"/>
        <v>3.7186724663429427E-4</v>
      </c>
      <c r="AJ252" s="374"/>
      <c r="AK252" s="577">
        <f t="shared" si="98"/>
        <v>7.3814595937770705E-2</v>
      </c>
      <c r="AL252" s="376">
        <f t="shared" si="111"/>
        <v>0.92586142130286841</v>
      </c>
      <c r="AM252" s="376">
        <f t="shared" si="112"/>
        <v>0.92618540406222927</v>
      </c>
      <c r="AN252" s="553">
        <f t="shared" si="113"/>
        <v>3.2393028261401557E-4</v>
      </c>
      <c r="AO252" s="554"/>
      <c r="AP252" s="580">
        <f t="shared" si="99"/>
        <v>1.209758440407982E-2</v>
      </c>
      <c r="AQ252" s="376">
        <f t="shared" si="114"/>
        <v>0.98768450352219128</v>
      </c>
      <c r="AR252" s="379">
        <f t="shared" si="115"/>
        <v>0.98790241559592018</v>
      </c>
      <c r="AS252" s="376">
        <f t="shared" si="116"/>
        <v>2.1788833261748852E-4</v>
      </c>
      <c r="AT252" s="384"/>
      <c r="AU252" s="583">
        <f t="shared" si="100"/>
        <v>0.28276113303496936</v>
      </c>
      <c r="AV252" s="381">
        <f t="shared" si="126"/>
        <v>1.2631472707686866</v>
      </c>
      <c r="AW252" s="376">
        <f t="shared" si="101"/>
        <v>1.263152790632067</v>
      </c>
      <c r="AX252" s="503">
        <f t="shared" si="124"/>
        <v>5.5198481460072557E-6</v>
      </c>
      <c r="AY252" s="376">
        <f t="shared" si="102"/>
        <v>2.6953200324836186</v>
      </c>
      <c r="AZ252" s="381">
        <f t="shared" si="117"/>
        <v>2.5559420911206248E-3</v>
      </c>
      <c r="BA252" s="586">
        <f t="shared" si="118"/>
        <v>0.17135294093656372</v>
      </c>
      <c r="BB252" s="376">
        <f t="shared" si="119"/>
        <v>0.82831250992031502</v>
      </c>
      <c r="BC252" s="376">
        <f t="shared" si="120"/>
        <v>0.82864705906343628</v>
      </c>
      <c r="BD252" s="376">
        <f t="shared" si="121"/>
        <v>3.344931877967694E-4</v>
      </c>
      <c r="BE252" s="283"/>
      <c r="BF252" s="283"/>
      <c r="BG252" s="283"/>
      <c r="BH252" s="283"/>
      <c r="BI252" s="283"/>
      <c r="BJ252" s="283"/>
      <c r="BK252" s="283"/>
      <c r="BL252" s="283"/>
      <c r="BM252" s="283"/>
      <c r="BN252" s="283"/>
      <c r="BO252" s="283"/>
      <c r="BP252" s="283"/>
      <c r="BQ252" s="283"/>
      <c r="BR252" s="283"/>
      <c r="BS252" s="283"/>
      <c r="BT252" s="283"/>
      <c r="BU252" s="283"/>
      <c r="BV252" s="283"/>
      <c r="BW252" s="283"/>
      <c r="BX252" s="283"/>
      <c r="BY252" s="283"/>
      <c r="BZ252" s="283"/>
      <c r="CA252" s="283"/>
      <c r="CB252" s="283"/>
      <c r="CC252" s="283"/>
      <c r="CD252" s="283"/>
      <c r="CE252" s="283"/>
      <c r="CF252" s="283"/>
      <c r="CG252" s="283"/>
      <c r="CH252" s="283"/>
      <c r="CI252" s="283"/>
      <c r="CJ252" s="283"/>
      <c r="CK252" s="283"/>
      <c r="CL252" s="283"/>
    </row>
    <row r="253" spans="1:90" ht="14.25" customHeight="1" x14ac:dyDescent="0.2">
      <c r="A253" s="28"/>
      <c r="B253" s="28"/>
      <c r="C253" s="28"/>
      <c r="D253" s="28"/>
      <c r="E253" s="282"/>
      <c r="F253" s="282"/>
      <c r="G253" s="282"/>
      <c r="H253" s="282"/>
      <c r="I253" s="282"/>
      <c r="J253" s="282"/>
      <c r="K253" s="282"/>
      <c r="L253" s="282"/>
      <c r="M253" s="282"/>
      <c r="N253" s="282"/>
      <c r="O253" s="282"/>
      <c r="P253" s="282"/>
      <c r="Q253" s="282"/>
      <c r="R253" s="282"/>
      <c r="S253" s="374"/>
      <c r="T253" s="373">
        <f t="shared" si="127"/>
        <v>227</v>
      </c>
      <c r="U253" s="374"/>
      <c r="V253" s="568">
        <f t="shared" si="122"/>
        <v>3.4382209632715251E-3</v>
      </c>
      <c r="W253" s="328">
        <f t="shared" si="103"/>
        <v>0.99647477420687047</v>
      </c>
      <c r="X253" s="328">
        <f t="shared" si="104"/>
        <v>0.99656177903672849</v>
      </c>
      <c r="Y253" s="328">
        <f t="shared" si="105"/>
        <v>8.7001045047552239E-5</v>
      </c>
      <c r="Z253" s="374"/>
      <c r="AA253" s="571">
        <f t="shared" si="106"/>
        <v>2.4479651678975721E-2</v>
      </c>
      <c r="AB253" s="327">
        <f t="shared" si="125"/>
        <v>0.97521041556485599</v>
      </c>
      <c r="AC253" s="327">
        <f t="shared" si="107"/>
        <v>0.9755203483210243</v>
      </c>
      <c r="AD253" s="327">
        <f t="shared" si="108"/>
        <v>3.0988473197313127E-4</v>
      </c>
      <c r="AE253" s="383"/>
      <c r="AF253" s="574">
        <f t="shared" si="97"/>
        <v>6.5475127092899266E-2</v>
      </c>
      <c r="AG253" s="376">
        <f t="shared" si="123"/>
        <v>0.93415618913820075</v>
      </c>
      <c r="AH253" s="376">
        <f t="shared" si="109"/>
        <v>0.93452487290710073</v>
      </c>
      <c r="AI253" s="553">
        <f t="shared" si="110"/>
        <v>3.6861581339087124E-4</v>
      </c>
      <c r="AJ253" s="374"/>
      <c r="AK253" s="577">
        <f t="shared" si="98"/>
        <v>7.3493338368804478E-2</v>
      </c>
      <c r="AL253" s="376">
        <f t="shared" si="111"/>
        <v>0.92618540406222927</v>
      </c>
      <c r="AM253" s="376">
        <f t="shared" si="112"/>
        <v>0.92650666163119555</v>
      </c>
      <c r="AN253" s="553">
        <f t="shared" si="113"/>
        <v>3.2120597127904826E-4</v>
      </c>
      <c r="AO253" s="554"/>
      <c r="AP253" s="580">
        <f t="shared" si="99"/>
        <v>1.1883568586482207E-2</v>
      </c>
      <c r="AQ253" s="376">
        <f t="shared" si="114"/>
        <v>0.98790241559592018</v>
      </c>
      <c r="AR253" s="379">
        <f t="shared" si="115"/>
        <v>0.98811643141351779</v>
      </c>
      <c r="AS253" s="376">
        <f t="shared" si="116"/>
        <v>2.1399291784618413E-4</v>
      </c>
      <c r="AT253" s="384"/>
      <c r="AU253" s="583">
        <f t="shared" si="100"/>
        <v>0.2827596341986664</v>
      </c>
      <c r="AV253" s="381">
        <f t="shared" si="126"/>
        <v>1.263152790632067</v>
      </c>
      <c r="AW253" s="376">
        <f t="shared" si="101"/>
        <v>1.2631580913615532</v>
      </c>
      <c r="AX253" s="503">
        <f t="shared" si="124"/>
        <v>5.3007154373618803E-6</v>
      </c>
      <c r="AY253" s="376">
        <f t="shared" si="102"/>
        <v>2.6987927344597331</v>
      </c>
      <c r="AZ253" s="381">
        <f t="shared" si="117"/>
        <v>2.5401488902840057E-3</v>
      </c>
      <c r="BA253" s="586">
        <f t="shared" si="118"/>
        <v>0.17102051241344735</v>
      </c>
      <c r="BB253" s="376">
        <f t="shared" si="119"/>
        <v>0.82864705906343628</v>
      </c>
      <c r="BC253" s="376">
        <f t="shared" si="120"/>
        <v>0.8289794875865526</v>
      </c>
      <c r="BD253" s="376">
        <f t="shared" si="121"/>
        <v>3.3237327487700696E-4</v>
      </c>
      <c r="BE253" s="283"/>
      <c r="BF253" s="283"/>
      <c r="BG253" s="283"/>
      <c r="BH253" s="283"/>
      <c r="BI253" s="283"/>
      <c r="BJ253" s="283"/>
      <c r="BK253" s="283"/>
      <c r="BL253" s="283"/>
      <c r="BM253" s="283"/>
      <c r="BN253" s="283"/>
      <c r="BO253" s="283"/>
      <c r="BP253" s="283"/>
      <c r="BQ253" s="283"/>
      <c r="BR253" s="283"/>
      <c r="BS253" s="283"/>
      <c r="BT253" s="283"/>
      <c r="BU253" s="283"/>
      <c r="BV253" s="283"/>
      <c r="BW253" s="283"/>
      <c r="BX253" s="283"/>
      <c r="BY253" s="283"/>
      <c r="BZ253" s="283"/>
      <c r="CA253" s="283"/>
      <c r="CB253" s="283"/>
      <c r="CC253" s="283"/>
      <c r="CD253" s="283"/>
      <c r="CE253" s="283"/>
      <c r="CF253" s="283"/>
      <c r="CG253" s="283"/>
      <c r="CH253" s="283"/>
      <c r="CI253" s="283"/>
      <c r="CJ253" s="283"/>
      <c r="CK253" s="283"/>
      <c r="CL253" s="283"/>
    </row>
    <row r="254" spans="1:90" ht="14.25" customHeight="1" x14ac:dyDescent="0.2">
      <c r="A254" s="28"/>
      <c r="B254" s="28"/>
      <c r="C254" s="28"/>
      <c r="D254" s="28"/>
      <c r="E254" s="282"/>
      <c r="F254" s="282"/>
      <c r="G254" s="282"/>
      <c r="H254" s="282"/>
      <c r="I254" s="282"/>
      <c r="J254" s="282"/>
      <c r="K254" s="282"/>
      <c r="L254" s="282"/>
      <c r="M254" s="282"/>
      <c r="N254" s="282"/>
      <c r="O254" s="282"/>
      <c r="P254" s="282"/>
      <c r="Q254" s="282"/>
      <c r="R254" s="282"/>
      <c r="S254" s="374"/>
      <c r="T254" s="373">
        <f t="shared" si="127"/>
        <v>228</v>
      </c>
      <c r="U254" s="374"/>
      <c r="V254" s="568">
        <f t="shared" si="122"/>
        <v>3.3533634683256238E-3</v>
      </c>
      <c r="W254" s="328">
        <f t="shared" si="103"/>
        <v>0.99656177903672849</v>
      </c>
      <c r="X254" s="328">
        <f t="shared" si="104"/>
        <v>0.9966466365316744</v>
      </c>
      <c r="Y254" s="328">
        <f t="shared" si="105"/>
        <v>8.4853894650516182E-5</v>
      </c>
      <c r="Z254" s="374"/>
      <c r="AA254" s="571">
        <f t="shared" si="106"/>
        <v>2.4173902636443166E-2</v>
      </c>
      <c r="AB254" s="327">
        <f t="shared" si="125"/>
        <v>0.9755203483210243</v>
      </c>
      <c r="AC254" s="327">
        <f t="shared" si="107"/>
        <v>0.97582609736355685</v>
      </c>
      <c r="AD254" s="327">
        <f t="shared" si="108"/>
        <v>3.0570230605742044E-4</v>
      </c>
      <c r="AE254" s="383"/>
      <c r="AF254" s="574">
        <f t="shared" si="97"/>
        <v>6.5109656410465844E-2</v>
      </c>
      <c r="AG254" s="376">
        <f t="shared" si="123"/>
        <v>0.93452487290710073</v>
      </c>
      <c r="AH254" s="376">
        <f t="shared" si="109"/>
        <v>0.93489034358953416</v>
      </c>
      <c r="AI254" s="553">
        <f t="shared" si="110"/>
        <v>3.6540390615869001E-4</v>
      </c>
      <c r="AJ254" s="374"/>
      <c r="AK254" s="577">
        <f t="shared" si="98"/>
        <v>7.3174772174459182E-2</v>
      </c>
      <c r="AL254" s="376">
        <f t="shared" si="111"/>
        <v>0.92650666163119555</v>
      </c>
      <c r="AM254" s="376">
        <f t="shared" si="112"/>
        <v>0.92682522782554078</v>
      </c>
      <c r="AN254" s="553">
        <f t="shared" si="113"/>
        <v>3.1851545752292765E-4</v>
      </c>
      <c r="AO254" s="554"/>
      <c r="AP254" s="580">
        <f t="shared" si="99"/>
        <v>1.1673378346338636E-2</v>
      </c>
      <c r="AQ254" s="376">
        <f t="shared" si="114"/>
        <v>0.98811643141351779</v>
      </c>
      <c r="AR254" s="379">
        <f t="shared" si="115"/>
        <v>0.98832662165366136</v>
      </c>
      <c r="AS254" s="376">
        <f t="shared" si="116"/>
        <v>2.1016815172270054E-4</v>
      </c>
      <c r="AT254" s="384"/>
      <c r="AU254" s="583">
        <f t="shared" si="100"/>
        <v>0.28275819487237125</v>
      </c>
      <c r="AV254" s="381">
        <f t="shared" si="126"/>
        <v>1.2631580913615532</v>
      </c>
      <c r="AW254" s="376">
        <f t="shared" si="101"/>
        <v>1.2631631816565754</v>
      </c>
      <c r="AX254" s="503">
        <f t="shared" si="124"/>
        <v>5.0902820666332005E-6</v>
      </c>
      <c r="AY254" s="376">
        <f t="shared" si="102"/>
        <v>2.7022501717625125</v>
      </c>
      <c r="AZ254" s="381">
        <f t="shared" si="117"/>
        <v>2.5245220551294596E-3</v>
      </c>
      <c r="BA254" s="586">
        <f t="shared" si="118"/>
        <v>0.17069018184707077</v>
      </c>
      <c r="BB254" s="376">
        <f t="shared" si="119"/>
        <v>0.8289794875865526</v>
      </c>
      <c r="BC254" s="376">
        <f t="shared" si="120"/>
        <v>0.82930981815292926</v>
      </c>
      <c r="BD254" s="376">
        <f t="shared" si="121"/>
        <v>3.3027601324209233E-4</v>
      </c>
      <c r="BE254" s="283"/>
      <c r="BF254" s="283"/>
      <c r="BG254" s="283"/>
      <c r="BH254" s="283"/>
      <c r="BI254" s="283"/>
      <c r="BJ254" s="283"/>
      <c r="BK254" s="283"/>
      <c r="BL254" s="283"/>
      <c r="BM254" s="283"/>
      <c r="BN254" s="283"/>
      <c r="BO254" s="283"/>
      <c r="BP254" s="283"/>
      <c r="BQ254" s="283"/>
      <c r="BR254" s="283"/>
      <c r="BS254" s="283"/>
      <c r="BT254" s="283"/>
      <c r="BU254" s="283"/>
      <c r="BV254" s="283"/>
      <c r="BW254" s="283"/>
      <c r="BX254" s="283"/>
      <c r="BY254" s="283"/>
      <c r="BZ254" s="283"/>
      <c r="CA254" s="283"/>
      <c r="CB254" s="283"/>
      <c r="CC254" s="283"/>
      <c r="CD254" s="283"/>
      <c r="CE254" s="283"/>
      <c r="CF254" s="283"/>
      <c r="CG254" s="283"/>
      <c r="CH254" s="283"/>
      <c r="CI254" s="283"/>
      <c r="CJ254" s="283"/>
      <c r="CK254" s="283"/>
      <c r="CL254" s="283"/>
    </row>
    <row r="255" spans="1:90" ht="14.25" customHeight="1" x14ac:dyDescent="0.2">
      <c r="A255" s="28"/>
      <c r="B255" s="28"/>
      <c r="C255" s="28"/>
      <c r="D255" s="28"/>
      <c r="E255" s="282"/>
      <c r="F255" s="282"/>
      <c r="G255" s="282"/>
      <c r="H255" s="282"/>
      <c r="I255" s="282"/>
      <c r="J255" s="282"/>
      <c r="K255" s="282"/>
      <c r="L255" s="282"/>
      <c r="M255" s="282"/>
      <c r="N255" s="282"/>
      <c r="O255" s="282"/>
      <c r="P255" s="282"/>
      <c r="Q255" s="282"/>
      <c r="R255" s="282"/>
      <c r="S255" s="374"/>
      <c r="T255" s="373">
        <f t="shared" si="127"/>
        <v>229</v>
      </c>
      <c r="U255" s="374"/>
      <c r="V255" s="568">
        <f t="shared" si="122"/>
        <v>3.2706003106912035E-3</v>
      </c>
      <c r="W255" s="328">
        <f t="shared" si="103"/>
        <v>0.9966466365316744</v>
      </c>
      <c r="X255" s="328">
        <f t="shared" si="104"/>
        <v>0.99672939968930885</v>
      </c>
      <c r="Y255" s="328">
        <f t="shared" si="105"/>
        <v>8.2759732858761481E-5</v>
      </c>
      <c r="Z255" s="374"/>
      <c r="AA255" s="571">
        <f t="shared" si="106"/>
        <v>2.3872275646552289E-2</v>
      </c>
      <c r="AB255" s="327">
        <f t="shared" si="125"/>
        <v>0.97582609736355685</v>
      </c>
      <c r="AC255" s="327">
        <f t="shared" si="107"/>
        <v>0.97612772435344775</v>
      </c>
      <c r="AD255" s="327">
        <f t="shared" si="108"/>
        <v>3.0158150504366876E-4</v>
      </c>
      <c r="AE255" s="383"/>
      <c r="AF255" s="574">
        <f t="shared" si="97"/>
        <v>6.4747359885999445E-2</v>
      </c>
      <c r="AG255" s="376">
        <f t="shared" si="123"/>
        <v>0.93489034358953416</v>
      </c>
      <c r="AH255" s="376">
        <f t="shared" si="109"/>
        <v>0.93525264011400056</v>
      </c>
      <c r="AI255" s="553">
        <f t="shared" si="110"/>
        <v>3.6223090300557814E-4</v>
      </c>
      <c r="AJ255" s="374"/>
      <c r="AK255" s="577">
        <f t="shared" si="98"/>
        <v>7.2858864092347181E-2</v>
      </c>
      <c r="AL255" s="376">
        <f t="shared" si="111"/>
        <v>0.92682522782554078</v>
      </c>
      <c r="AM255" s="376">
        <f t="shared" si="112"/>
        <v>0.92714113590765279</v>
      </c>
      <c r="AN255" s="553">
        <f t="shared" si="113"/>
        <v>3.158581884079581E-4</v>
      </c>
      <c r="AO255" s="554"/>
      <c r="AP255" s="580">
        <f t="shared" si="99"/>
        <v>1.1466944313677008E-2</v>
      </c>
      <c r="AQ255" s="376">
        <f t="shared" si="114"/>
        <v>0.98832662165366136</v>
      </c>
      <c r="AR255" s="379">
        <f t="shared" si="115"/>
        <v>0.98853305568632299</v>
      </c>
      <c r="AS255" s="376">
        <f t="shared" si="116"/>
        <v>2.0641272662280663E-4</v>
      </c>
      <c r="AT255" s="384"/>
      <c r="AU255" s="583">
        <f t="shared" si="100"/>
        <v>0.28275681269300523</v>
      </c>
      <c r="AV255" s="381">
        <f t="shared" si="126"/>
        <v>1.2631631816565754</v>
      </c>
      <c r="AW255" s="376">
        <f t="shared" si="101"/>
        <v>1.2631680698712029</v>
      </c>
      <c r="AX255" s="503">
        <f t="shared" si="124"/>
        <v>4.8882026801866374E-6</v>
      </c>
      <c r="AY255" s="376">
        <f t="shared" si="102"/>
        <v>2.7056924780002434</v>
      </c>
      <c r="AZ255" s="381">
        <f t="shared" si="117"/>
        <v>2.5090591149614289E-3</v>
      </c>
      <c r="BA255" s="586">
        <f t="shared" si="118"/>
        <v>0.17036192691400526</v>
      </c>
      <c r="BB255" s="376">
        <f t="shared" si="119"/>
        <v>0.82930981815292926</v>
      </c>
      <c r="BC255" s="376">
        <f t="shared" si="120"/>
        <v>0.82963807308599469</v>
      </c>
      <c r="BD255" s="376">
        <f t="shared" si="121"/>
        <v>3.2820106330944121E-4</v>
      </c>
      <c r="BE255" s="283"/>
      <c r="BF255" s="283"/>
      <c r="BG255" s="283"/>
      <c r="BH255" s="283"/>
      <c r="BI255" s="283"/>
      <c r="BJ255" s="283"/>
      <c r="BK255" s="283"/>
      <c r="BL255" s="283"/>
      <c r="BM255" s="283"/>
      <c r="BN255" s="283"/>
      <c r="BO255" s="283"/>
      <c r="BP255" s="283"/>
      <c r="BQ255" s="283"/>
      <c r="BR255" s="283"/>
      <c r="BS255" s="283"/>
      <c r="BT255" s="283"/>
      <c r="BU255" s="283"/>
      <c r="BV255" s="283"/>
      <c r="BW255" s="283"/>
      <c r="BX255" s="283"/>
      <c r="BY255" s="283"/>
      <c r="BZ255" s="283"/>
      <c r="CA255" s="283"/>
      <c r="CB255" s="283"/>
      <c r="CC255" s="283"/>
      <c r="CD255" s="283"/>
      <c r="CE255" s="283"/>
      <c r="CF255" s="283"/>
      <c r="CG255" s="283"/>
      <c r="CH255" s="283"/>
      <c r="CI255" s="283"/>
      <c r="CJ255" s="283"/>
      <c r="CK255" s="283"/>
      <c r="CL255" s="283"/>
    </row>
    <row r="256" spans="1:90" ht="14.25" customHeight="1" x14ac:dyDescent="0.2">
      <c r="A256" s="28"/>
      <c r="B256" s="28"/>
      <c r="C256" s="28"/>
      <c r="D256" s="28"/>
      <c r="E256" s="282"/>
      <c r="F256" s="282"/>
      <c r="G256" s="282"/>
      <c r="H256" s="282"/>
      <c r="I256" s="282"/>
      <c r="J256" s="282"/>
      <c r="K256" s="282"/>
      <c r="L256" s="282"/>
      <c r="M256" s="282"/>
      <c r="N256" s="282"/>
      <c r="O256" s="282"/>
      <c r="P256" s="282"/>
      <c r="Q256" s="282"/>
      <c r="R256" s="282"/>
      <c r="S256" s="374"/>
      <c r="T256" s="373">
        <f t="shared" si="127"/>
        <v>230</v>
      </c>
      <c r="U256" s="374"/>
      <c r="V256" s="568">
        <f t="shared" si="122"/>
        <v>3.1898798007823632E-3</v>
      </c>
      <c r="W256" s="328">
        <f t="shared" si="103"/>
        <v>0.99672939968930885</v>
      </c>
      <c r="X256" s="328">
        <f t="shared" si="104"/>
        <v>0.99681012019921766</v>
      </c>
      <c r="Y256" s="328">
        <f t="shared" si="105"/>
        <v>8.0717252096129677E-5</v>
      </c>
      <c r="Z256" s="374"/>
      <c r="AA256" s="571">
        <f t="shared" si="106"/>
        <v>2.3574710052383572E-2</v>
      </c>
      <c r="AB256" s="327">
        <f t="shared" si="125"/>
        <v>0.97612772435344775</v>
      </c>
      <c r="AC256" s="327">
        <f t="shared" si="107"/>
        <v>0.97642528994761646</v>
      </c>
      <c r="AD256" s="327">
        <f t="shared" si="108"/>
        <v>2.9752132591831515E-4</v>
      </c>
      <c r="AE256" s="383"/>
      <c r="AF256" s="574">
        <f t="shared" si="97"/>
        <v>6.438819920145078E-2</v>
      </c>
      <c r="AG256" s="376">
        <f t="shared" si="123"/>
        <v>0.93525264011400056</v>
      </c>
      <c r="AH256" s="376">
        <f t="shared" si="109"/>
        <v>0.93561180079854922</v>
      </c>
      <c r="AI256" s="553">
        <f t="shared" si="110"/>
        <v>3.5909619407104021E-4</v>
      </c>
      <c r="AJ256" s="374"/>
      <c r="AK256" s="577">
        <f t="shared" si="98"/>
        <v>7.2545581402243015E-2</v>
      </c>
      <c r="AL256" s="376">
        <f t="shared" si="111"/>
        <v>0.92714113590765279</v>
      </c>
      <c r="AM256" s="376">
        <f t="shared" si="112"/>
        <v>0.92745441859775701</v>
      </c>
      <c r="AN256" s="553">
        <f t="shared" si="113"/>
        <v>3.1323362220647688E-4</v>
      </c>
      <c r="AO256" s="554"/>
      <c r="AP256" s="580">
        <f t="shared" si="99"/>
        <v>1.1264198402264891E-2</v>
      </c>
      <c r="AQ256" s="376">
        <f t="shared" si="114"/>
        <v>0.98853305568632299</v>
      </c>
      <c r="AR256" s="379">
        <f t="shared" si="115"/>
        <v>0.98873580159773511</v>
      </c>
      <c r="AS256" s="376">
        <f t="shared" si="116"/>
        <v>2.027253598487766E-4</v>
      </c>
      <c r="AT256" s="384"/>
      <c r="AU256" s="583">
        <f t="shared" si="100"/>
        <v>0.28275548539134687</v>
      </c>
      <c r="AV256" s="381">
        <f t="shared" si="126"/>
        <v>1.2631680698712029</v>
      </c>
      <c r="AW256" s="376">
        <f t="shared" si="101"/>
        <v>1.2631727640278565</v>
      </c>
      <c r="AX256" s="503">
        <f t="shared" si="124"/>
        <v>4.6941456360860556E-6</v>
      </c>
      <c r="AY256" s="376">
        <f t="shared" si="102"/>
        <v>2.7091197850346878</v>
      </c>
      <c r="AZ256" s="381">
        <f t="shared" si="117"/>
        <v>2.4937576463499199E-3</v>
      </c>
      <c r="BA256" s="586">
        <f t="shared" si="118"/>
        <v>0.17003572562411251</v>
      </c>
      <c r="BB256" s="376">
        <f t="shared" si="119"/>
        <v>0.82963807308599469</v>
      </c>
      <c r="BC256" s="376">
        <f t="shared" si="120"/>
        <v>0.82996427437588749</v>
      </c>
      <c r="BD256" s="376">
        <f t="shared" si="121"/>
        <v>3.2614809203657114E-4</v>
      </c>
      <c r="BE256" s="283"/>
      <c r="BF256" s="283"/>
      <c r="BG256" s="283"/>
      <c r="BH256" s="283"/>
      <c r="BI256" s="283"/>
      <c r="BJ256" s="283"/>
      <c r="BK256" s="283"/>
      <c r="BL256" s="283"/>
      <c r="BM256" s="283"/>
      <c r="BN256" s="283"/>
      <c r="BO256" s="283"/>
      <c r="BP256" s="283"/>
      <c r="BQ256" s="283"/>
      <c r="BR256" s="283"/>
      <c r="BS256" s="283"/>
      <c r="BT256" s="283"/>
      <c r="BU256" s="283"/>
      <c r="BV256" s="283"/>
      <c r="BW256" s="283"/>
      <c r="BX256" s="283"/>
      <c r="BY256" s="283"/>
      <c r="BZ256" s="283"/>
      <c r="CA256" s="283"/>
      <c r="CB256" s="283"/>
      <c r="CC256" s="283"/>
      <c r="CD256" s="283"/>
      <c r="CE256" s="283"/>
      <c r="CF256" s="283"/>
      <c r="CG256" s="283"/>
      <c r="CH256" s="283"/>
      <c r="CI256" s="283"/>
      <c r="CJ256" s="283"/>
      <c r="CK256" s="283"/>
      <c r="CL256" s="283"/>
    </row>
    <row r="257" spans="1:90" ht="14.25" customHeight="1" x14ac:dyDescent="0.2">
      <c r="A257" s="28"/>
      <c r="B257" s="28"/>
      <c r="C257" s="28"/>
      <c r="D257" s="28"/>
      <c r="E257" s="282"/>
      <c r="F257" s="282"/>
      <c r="G257" s="282"/>
      <c r="H257" s="282"/>
      <c r="I257" s="282"/>
      <c r="J257" s="282"/>
      <c r="K257" s="282"/>
      <c r="L257" s="282"/>
      <c r="M257" s="282"/>
      <c r="N257" s="282"/>
      <c r="O257" s="282"/>
      <c r="P257" s="282"/>
      <c r="Q257" s="282"/>
      <c r="R257" s="282"/>
      <c r="S257" s="374"/>
      <c r="T257" s="373">
        <f t="shared" si="127"/>
        <v>231</v>
      </c>
      <c r="U257" s="374"/>
      <c r="V257" s="568">
        <f t="shared" si="122"/>
        <v>3.1111515247452788E-3</v>
      </c>
      <c r="W257" s="328">
        <f t="shared" si="103"/>
        <v>0.99681012019921766</v>
      </c>
      <c r="X257" s="328">
        <f t="shared" si="104"/>
        <v>0.99688884847525472</v>
      </c>
      <c r="Y257" s="328">
        <f t="shared" si="105"/>
        <v>7.8725177047656025E-5</v>
      </c>
      <c r="Z257" s="374"/>
      <c r="AA257" s="571">
        <f t="shared" si="106"/>
        <v>2.3281146182820317E-2</v>
      </c>
      <c r="AB257" s="327">
        <f t="shared" si="125"/>
        <v>0.97642528994761646</v>
      </c>
      <c r="AC257" s="327">
        <f t="shared" si="107"/>
        <v>0.97671885381717971</v>
      </c>
      <c r="AD257" s="327">
        <f t="shared" si="108"/>
        <v>2.9352078390676439E-4</v>
      </c>
      <c r="AE257" s="383"/>
      <c r="AF257" s="574">
        <f t="shared" si="97"/>
        <v>6.4032136637411807E-2</v>
      </c>
      <c r="AG257" s="376">
        <f t="shared" si="123"/>
        <v>0.93561180079854922</v>
      </c>
      <c r="AH257" s="376">
        <f t="shared" si="109"/>
        <v>0.93596786336258819</v>
      </c>
      <c r="AI257" s="553">
        <f t="shared" si="110"/>
        <v>3.5599918128714769E-4</v>
      </c>
      <c r="AJ257" s="374"/>
      <c r="AK257" s="577">
        <f t="shared" si="98"/>
        <v>7.2234891915130897E-2</v>
      </c>
      <c r="AL257" s="376">
        <f t="shared" si="111"/>
        <v>0.92745441859775701</v>
      </c>
      <c r="AM257" s="376">
        <f t="shared" si="112"/>
        <v>0.92776510808486912</v>
      </c>
      <c r="AN257" s="553">
        <f t="shared" si="113"/>
        <v>3.1064122813140305E-4</v>
      </c>
      <c r="AO257" s="554"/>
      <c r="AP257" s="580">
        <f t="shared" si="99"/>
        <v>1.1065073785141544E-2</v>
      </c>
      <c r="AQ257" s="376">
        <f t="shared" si="114"/>
        <v>0.98873580159773511</v>
      </c>
      <c r="AR257" s="379">
        <f t="shared" si="115"/>
        <v>0.98893492621485846</v>
      </c>
      <c r="AS257" s="376">
        <f t="shared" si="116"/>
        <v>1.9910479313256513E-4</v>
      </c>
      <c r="AT257" s="384"/>
      <c r="AU257" s="583">
        <f t="shared" si="100"/>
        <v>0.28275421078830287</v>
      </c>
      <c r="AV257" s="381">
        <f t="shared" si="126"/>
        <v>1.2631727640278565</v>
      </c>
      <c r="AW257" s="376">
        <f t="shared" si="101"/>
        <v>1.2631772718304728</v>
      </c>
      <c r="AX257" s="503">
        <f t="shared" si="124"/>
        <v>4.5077924561987004E-6</v>
      </c>
      <c r="AY257" s="376">
        <f t="shared" si="102"/>
        <v>2.7125322230113915</v>
      </c>
      <c r="AZ257" s="381">
        <f t="shared" si="117"/>
        <v>2.4786152720257691E-3</v>
      </c>
      <c r="BA257" s="586">
        <f t="shared" si="118"/>
        <v>0.16971155631415155</v>
      </c>
      <c r="BB257" s="376">
        <f t="shared" si="119"/>
        <v>0.82996427437588749</v>
      </c>
      <c r="BC257" s="376">
        <f t="shared" si="120"/>
        <v>0.83028844368584842</v>
      </c>
      <c r="BD257" s="376">
        <f t="shared" si="121"/>
        <v>3.2411677276733553E-4</v>
      </c>
      <c r="BE257" s="283"/>
      <c r="BF257" s="283"/>
      <c r="BG257" s="283"/>
      <c r="BH257" s="283"/>
      <c r="BI257" s="283"/>
      <c r="BJ257" s="283"/>
      <c r="BK257" s="283"/>
      <c r="BL257" s="283"/>
      <c r="BM257" s="283"/>
      <c r="BN257" s="283"/>
      <c r="BO257" s="283"/>
      <c r="BP257" s="283"/>
      <c r="BQ257" s="283"/>
      <c r="BR257" s="283"/>
      <c r="BS257" s="283"/>
      <c r="BT257" s="283"/>
      <c r="BU257" s="283"/>
      <c r="BV257" s="283"/>
      <c r="BW257" s="283"/>
      <c r="BX257" s="283"/>
      <c r="BY257" s="283"/>
      <c r="BZ257" s="283"/>
      <c r="CA257" s="283"/>
      <c r="CB257" s="283"/>
      <c r="CC257" s="283"/>
      <c r="CD257" s="283"/>
      <c r="CE257" s="283"/>
      <c r="CF257" s="283"/>
      <c r="CG257" s="283"/>
      <c r="CH257" s="283"/>
      <c r="CI257" s="283"/>
      <c r="CJ257" s="283"/>
      <c r="CK257" s="283"/>
      <c r="CL257" s="283"/>
    </row>
    <row r="258" spans="1:90" ht="14.25" customHeight="1" x14ac:dyDescent="0.2">
      <c r="A258" s="28"/>
      <c r="B258" s="28"/>
      <c r="C258" s="28"/>
      <c r="D258" s="28"/>
      <c r="E258" s="282"/>
      <c r="F258" s="282"/>
      <c r="G258" s="282"/>
      <c r="H258" s="282"/>
      <c r="I258" s="282"/>
      <c r="J258" s="282"/>
      <c r="K258" s="282"/>
      <c r="L258" s="282"/>
      <c r="M258" s="282"/>
      <c r="N258" s="282"/>
      <c r="O258" s="282"/>
      <c r="P258" s="282"/>
      <c r="Q258" s="282"/>
      <c r="R258" s="282"/>
      <c r="S258" s="374"/>
      <c r="T258" s="373">
        <f t="shared" si="127"/>
        <v>232</v>
      </c>
      <c r="U258" s="374"/>
      <c r="V258" s="568">
        <f t="shared" si="122"/>
        <v>3.0343663129723275E-3</v>
      </c>
      <c r="W258" s="328">
        <f t="shared" si="103"/>
        <v>0.99688884847525472</v>
      </c>
      <c r="X258" s="328">
        <f t="shared" si="104"/>
        <v>0.99696563368702762</v>
      </c>
      <c r="Y258" s="328">
        <f t="shared" si="105"/>
        <v>7.678226386398368E-5</v>
      </c>
      <c r="Z258" s="374"/>
      <c r="AA258" s="571">
        <f t="shared" si="106"/>
        <v>2.299152533465243E-2</v>
      </c>
      <c r="AB258" s="327">
        <f t="shared" si="125"/>
        <v>0.97671885381717971</v>
      </c>
      <c r="AC258" s="327">
        <f t="shared" si="107"/>
        <v>0.97700847466534757</v>
      </c>
      <c r="AD258" s="327">
        <f t="shared" si="108"/>
        <v>2.8957891209857589E-4</v>
      </c>
      <c r="AE258" s="383"/>
      <c r="AF258" s="574">
        <f t="shared" si="97"/>
        <v>6.367913506157874E-2</v>
      </c>
      <c r="AG258" s="376">
        <f t="shared" si="123"/>
        <v>0.93596786336258819</v>
      </c>
      <c r="AH258" s="376">
        <f t="shared" si="109"/>
        <v>0.93632086493842126</v>
      </c>
      <c r="AI258" s="553">
        <f t="shared" si="110"/>
        <v>3.5293927810742254E-4</v>
      </c>
      <c r="AJ258" s="374"/>
      <c r="AK258" s="577">
        <f t="shared" si="98"/>
        <v>7.1926763962515752E-2</v>
      </c>
      <c r="AL258" s="376">
        <f t="shared" si="111"/>
        <v>0.92776510808486912</v>
      </c>
      <c r="AM258" s="376">
        <f t="shared" si="112"/>
        <v>0.92807323603748426</v>
      </c>
      <c r="AN258" s="553">
        <f t="shared" si="113"/>
        <v>3.0808048607289251E-4</v>
      </c>
      <c r="AO258" s="554"/>
      <c r="AP258" s="580">
        <f t="shared" si="99"/>
        <v>1.0869504870636648E-2</v>
      </c>
      <c r="AQ258" s="376">
        <f t="shared" si="114"/>
        <v>0.98893492621485846</v>
      </c>
      <c r="AR258" s="379">
        <f t="shared" si="115"/>
        <v>0.98913049512936335</v>
      </c>
      <c r="AS258" s="376">
        <f t="shared" si="116"/>
        <v>1.9554979215130608E-4</v>
      </c>
      <c r="AT258" s="384"/>
      <c r="AU258" s="583">
        <f t="shared" si="100"/>
        <v>0.28275298679132654</v>
      </c>
      <c r="AV258" s="381">
        <f t="shared" si="126"/>
        <v>1.2631772718304728</v>
      </c>
      <c r="AW258" s="376">
        <f t="shared" si="101"/>
        <v>1.263181600677149</v>
      </c>
      <c r="AX258" s="503">
        <f t="shared" si="124"/>
        <v>4.3288373068328667E-6</v>
      </c>
      <c r="AY258" s="376">
        <f t="shared" si="102"/>
        <v>2.7159299203893394</v>
      </c>
      <c r="AZ258" s="381">
        <f t="shared" si="117"/>
        <v>2.4636296598063638E-3</v>
      </c>
      <c r="BA258" s="586">
        <f t="shared" si="118"/>
        <v>0.16938939764153554</v>
      </c>
      <c r="BB258" s="376">
        <f t="shared" si="119"/>
        <v>0.83028844368584842</v>
      </c>
      <c r="BC258" s="376">
        <f t="shared" si="120"/>
        <v>0.83061060235846451</v>
      </c>
      <c r="BD258" s="376">
        <f t="shared" si="121"/>
        <v>3.221067850830428E-4</v>
      </c>
      <c r="BE258" s="283"/>
      <c r="BF258" s="283"/>
      <c r="BG258" s="283"/>
      <c r="BH258" s="283"/>
      <c r="BI258" s="283"/>
      <c r="BJ258" s="283"/>
      <c r="BK258" s="283"/>
      <c r="BL258" s="283"/>
      <c r="BM258" s="283"/>
      <c r="BN258" s="283"/>
      <c r="BO258" s="283"/>
      <c r="BP258" s="283"/>
      <c r="BQ258" s="283"/>
      <c r="BR258" s="283"/>
      <c r="BS258" s="283"/>
      <c r="BT258" s="283"/>
      <c r="BU258" s="283"/>
      <c r="BV258" s="283"/>
      <c r="BW258" s="283"/>
      <c r="BX258" s="283"/>
      <c r="BY258" s="283"/>
      <c r="BZ258" s="283"/>
      <c r="CA258" s="283"/>
      <c r="CB258" s="283"/>
      <c r="CC258" s="283"/>
      <c r="CD258" s="283"/>
      <c r="CE258" s="283"/>
      <c r="CF258" s="283"/>
      <c r="CG258" s="283"/>
      <c r="CH258" s="283"/>
      <c r="CI258" s="283"/>
      <c r="CJ258" s="283"/>
      <c r="CK258" s="283"/>
      <c r="CL258" s="283"/>
    </row>
    <row r="259" spans="1:90" ht="14.25" customHeight="1" x14ac:dyDescent="0.2">
      <c r="A259" s="28"/>
      <c r="B259" s="28"/>
      <c r="C259" s="28"/>
      <c r="D259" s="28"/>
      <c r="E259" s="282"/>
      <c r="F259" s="282"/>
      <c r="G259" s="282"/>
      <c r="H259" s="282"/>
      <c r="I259" s="282"/>
      <c r="J259" s="282"/>
      <c r="K259" s="282"/>
      <c r="L259" s="282"/>
      <c r="M259" s="282"/>
      <c r="N259" s="282"/>
      <c r="O259" s="282"/>
      <c r="P259" s="282"/>
      <c r="Q259" s="282"/>
      <c r="R259" s="282"/>
      <c r="S259" s="374"/>
      <c r="T259" s="373">
        <f t="shared" si="127"/>
        <v>233</v>
      </c>
      <c r="U259" s="374"/>
      <c r="V259" s="568">
        <f t="shared" si="122"/>
        <v>2.9594762093932787E-3</v>
      </c>
      <c r="W259" s="328">
        <f t="shared" si="103"/>
        <v>0.99696563368702762</v>
      </c>
      <c r="X259" s="328">
        <f t="shared" si="104"/>
        <v>0.9970405237906067</v>
      </c>
      <c r="Y259" s="328">
        <f t="shared" si="105"/>
        <v>7.4887299385317796E-5</v>
      </c>
      <c r="Z259" s="374"/>
      <c r="AA259" s="571">
        <f t="shared" si="106"/>
        <v>2.2705789755045846E-2</v>
      </c>
      <c r="AB259" s="327">
        <f t="shared" si="125"/>
        <v>0.97700847466534757</v>
      </c>
      <c r="AC259" s="327">
        <f t="shared" si="107"/>
        <v>0.97729421024495411</v>
      </c>
      <c r="AD259" s="327">
        <f t="shared" si="108"/>
        <v>2.8569476108364356E-4</v>
      </c>
      <c r="AE259" s="383"/>
      <c r="AF259" s="574">
        <f t="shared" si="97"/>
        <v>6.3329157917480949E-2</v>
      </c>
      <c r="AG259" s="376">
        <f t="shared" si="123"/>
        <v>0.93632086493842126</v>
      </c>
      <c r="AH259" s="376">
        <f t="shared" si="109"/>
        <v>0.93667084208251905</v>
      </c>
      <c r="AI259" s="553">
        <f t="shared" si="110"/>
        <v>3.4991590924093874E-4</v>
      </c>
      <c r="AJ259" s="374"/>
      <c r="AK259" s="577">
        <f t="shared" si="98"/>
        <v>7.1621166385990379E-2</v>
      </c>
      <c r="AL259" s="376">
        <f t="shared" si="111"/>
        <v>0.92807323603748426</v>
      </c>
      <c r="AM259" s="376">
        <f t="shared" si="112"/>
        <v>0.92837883361400964</v>
      </c>
      <c r="AN259" s="553">
        <f t="shared" si="113"/>
        <v>3.0555088634220962E-4</v>
      </c>
      <c r="AO259" s="554"/>
      <c r="AP259" s="580">
        <f t="shared" si="99"/>
        <v>1.0677427278866225E-2</v>
      </c>
      <c r="AQ259" s="376">
        <f t="shared" si="114"/>
        <v>0.98913049512936335</v>
      </c>
      <c r="AR259" s="379">
        <f t="shared" si="115"/>
        <v>0.98932257272113377</v>
      </c>
      <c r="AS259" s="376">
        <f t="shared" si="116"/>
        <v>1.9205914605080476E-4</v>
      </c>
      <c r="AT259" s="384"/>
      <c r="AU259" s="583">
        <f t="shared" si="100"/>
        <v>0.28275181139097905</v>
      </c>
      <c r="AV259" s="381">
        <f t="shared" si="126"/>
        <v>1.263181600677149</v>
      </c>
      <c r="AW259" s="376">
        <f t="shared" si="101"/>
        <v>1.2631857576722842</v>
      </c>
      <c r="AX259" s="503">
        <f t="shared" si="124"/>
        <v>4.1569864949186908E-6</v>
      </c>
      <c r="AY259" s="376">
        <f t="shared" si="102"/>
        <v>2.7193130039699689</v>
      </c>
      <c r="AZ259" s="381">
        <f t="shared" si="117"/>
        <v>2.4487985215509013E-3</v>
      </c>
      <c r="BA259" s="586">
        <f t="shared" si="118"/>
        <v>0.16906922857823459</v>
      </c>
      <c r="BB259" s="376">
        <f t="shared" si="119"/>
        <v>0.83061060235846451</v>
      </c>
      <c r="BC259" s="376">
        <f t="shared" si="120"/>
        <v>0.83093077142176541</v>
      </c>
      <c r="BD259" s="376">
        <f t="shared" si="121"/>
        <v>3.2011781465590694E-4</v>
      </c>
      <c r="BE259" s="283"/>
      <c r="BF259" s="283"/>
      <c r="BG259" s="283"/>
      <c r="BH259" s="283"/>
      <c r="BI259" s="283"/>
      <c r="BJ259" s="283"/>
      <c r="BK259" s="283"/>
      <c r="BL259" s="283"/>
      <c r="BM259" s="283"/>
      <c r="BN259" s="283"/>
      <c r="BO259" s="283"/>
      <c r="BP259" s="283"/>
      <c r="BQ259" s="283"/>
      <c r="BR259" s="283"/>
      <c r="BS259" s="283"/>
      <c r="BT259" s="283"/>
      <c r="BU259" s="283"/>
      <c r="BV259" s="283"/>
      <c r="BW259" s="283"/>
      <c r="BX259" s="283"/>
      <c r="BY259" s="283"/>
      <c r="BZ259" s="283"/>
      <c r="CA259" s="283"/>
      <c r="CB259" s="283"/>
      <c r="CC259" s="283"/>
      <c r="CD259" s="283"/>
      <c r="CE259" s="283"/>
      <c r="CF259" s="283"/>
      <c r="CG259" s="283"/>
      <c r="CH259" s="283"/>
      <c r="CI259" s="283"/>
      <c r="CJ259" s="283"/>
      <c r="CK259" s="283"/>
      <c r="CL259" s="283"/>
    </row>
    <row r="260" spans="1:90" ht="14.25" customHeight="1" x14ac:dyDescent="0.2">
      <c r="A260" s="28"/>
      <c r="B260" s="28"/>
      <c r="C260" s="28"/>
      <c r="D260" s="28"/>
      <c r="E260" s="282"/>
      <c r="F260" s="282"/>
      <c r="G260" s="282"/>
      <c r="H260" s="282"/>
      <c r="I260" s="282"/>
      <c r="J260" s="282"/>
      <c r="K260" s="282"/>
      <c r="L260" s="282"/>
      <c r="M260" s="282"/>
      <c r="N260" s="282"/>
      <c r="O260" s="282"/>
      <c r="P260" s="282"/>
      <c r="Q260" s="282"/>
      <c r="R260" s="282"/>
      <c r="S260" s="374"/>
      <c r="T260" s="373">
        <f t="shared" si="127"/>
        <v>234</v>
      </c>
      <c r="U260" s="374"/>
      <c r="V260" s="568">
        <f t="shared" si="122"/>
        <v>2.8864344415244253E-3</v>
      </c>
      <c r="W260" s="328">
        <f t="shared" si="103"/>
        <v>0.9970405237906067</v>
      </c>
      <c r="X260" s="328">
        <f t="shared" si="104"/>
        <v>0.99711356555847552</v>
      </c>
      <c r="Y260" s="328">
        <f t="shared" si="105"/>
        <v>7.3039100383809341E-5</v>
      </c>
      <c r="Z260" s="374"/>
      <c r="AA260" s="571">
        <f t="shared" si="106"/>
        <v>2.2423882624370516E-2</v>
      </c>
      <c r="AB260" s="327">
        <f t="shared" si="125"/>
        <v>0.97729421024495411</v>
      </c>
      <c r="AC260" s="327">
        <f t="shared" si="107"/>
        <v>0.97757611737562944</v>
      </c>
      <c r="AD260" s="327">
        <f t="shared" si="108"/>
        <v>2.8186739859381582E-4</v>
      </c>
      <c r="AE260" s="383"/>
      <c r="AF260" s="574">
        <f t="shared" si="97"/>
        <v>6.298216921346711E-2</v>
      </c>
      <c r="AG260" s="376">
        <f t="shared" si="123"/>
        <v>0.93667084208251905</v>
      </c>
      <c r="AH260" s="376">
        <f t="shared" si="109"/>
        <v>0.93701783078653289</v>
      </c>
      <c r="AI260" s="553">
        <f t="shared" si="110"/>
        <v>3.4692851039586081E-4</v>
      </c>
      <c r="AJ260" s="374"/>
      <c r="AK260" s="577">
        <f t="shared" si="98"/>
        <v>7.1318068527051998E-2</v>
      </c>
      <c r="AL260" s="376">
        <f t="shared" si="111"/>
        <v>0.92837883361400964</v>
      </c>
      <c r="AM260" s="376">
        <f t="shared" si="112"/>
        <v>0.92868193147294797</v>
      </c>
      <c r="AN260" s="553">
        <f t="shared" si="113"/>
        <v>3.0305192942281511E-4</v>
      </c>
      <c r="AO260" s="554"/>
      <c r="AP260" s="580">
        <f t="shared" si="99"/>
        <v>1.0488777818694617E-2</v>
      </c>
      <c r="AQ260" s="376">
        <f t="shared" si="114"/>
        <v>0.98932257272113377</v>
      </c>
      <c r="AR260" s="379">
        <f t="shared" si="115"/>
        <v>0.98951122218130538</v>
      </c>
      <c r="AS260" s="376">
        <f t="shared" si="116"/>
        <v>1.8863166698113165E-4</v>
      </c>
      <c r="AT260" s="384"/>
      <c r="AU260" s="583">
        <f t="shared" si="100"/>
        <v>0.28275068265762732</v>
      </c>
      <c r="AV260" s="381">
        <f t="shared" si="126"/>
        <v>1.2631857576722842</v>
      </c>
      <c r="AW260" s="376">
        <f t="shared" si="101"/>
        <v>1.2631897496382389</v>
      </c>
      <c r="AX260" s="503">
        <f t="shared" si="124"/>
        <v>3.991957986837491E-6</v>
      </c>
      <c r="AY260" s="376">
        <f t="shared" si="102"/>
        <v>2.7226815989255688</v>
      </c>
      <c r="AZ260" s="381">
        <f t="shared" si="117"/>
        <v>2.4341196121441537E-3</v>
      </c>
      <c r="BA260" s="586">
        <f t="shared" si="118"/>
        <v>0.16875102840481868</v>
      </c>
      <c r="BB260" s="376">
        <f t="shared" si="119"/>
        <v>0.83093077142176541</v>
      </c>
      <c r="BC260" s="376">
        <f t="shared" si="120"/>
        <v>0.8312489715951813</v>
      </c>
      <c r="BD260" s="376">
        <f t="shared" si="121"/>
        <v>3.1814955310993653E-4</v>
      </c>
      <c r="BE260" s="283"/>
      <c r="BF260" s="283"/>
      <c r="BG260" s="283"/>
      <c r="BH260" s="283"/>
      <c r="BI260" s="283"/>
      <c r="BJ260" s="283"/>
      <c r="BK260" s="283"/>
      <c r="BL260" s="283"/>
      <c r="BM260" s="283"/>
      <c r="BN260" s="283"/>
      <c r="BO260" s="283"/>
      <c r="BP260" s="283"/>
      <c r="BQ260" s="283"/>
      <c r="BR260" s="283"/>
      <c r="BS260" s="283"/>
      <c r="BT260" s="283"/>
      <c r="BU260" s="283"/>
      <c r="BV260" s="283"/>
      <c r="BW260" s="283"/>
      <c r="BX260" s="283"/>
      <c r="BY260" s="283"/>
      <c r="BZ260" s="283"/>
      <c r="CA260" s="283"/>
      <c r="CB260" s="283"/>
      <c r="CC260" s="283"/>
      <c r="CD260" s="283"/>
      <c r="CE260" s="283"/>
      <c r="CF260" s="283"/>
      <c r="CG260" s="283"/>
      <c r="CH260" s="283"/>
      <c r="CI260" s="283"/>
      <c r="CJ260" s="283"/>
      <c r="CK260" s="283"/>
      <c r="CL260" s="283"/>
    </row>
    <row r="261" spans="1:90" ht="14.25" customHeight="1" x14ac:dyDescent="0.2">
      <c r="A261" s="28"/>
      <c r="B261" s="28"/>
      <c r="C261" s="28"/>
      <c r="D261" s="28"/>
      <c r="E261" s="282"/>
      <c r="F261" s="282"/>
      <c r="G261" s="282"/>
      <c r="H261" s="282"/>
      <c r="I261" s="282"/>
      <c r="J261" s="282"/>
      <c r="K261" s="282"/>
      <c r="L261" s="282"/>
      <c r="M261" s="282"/>
      <c r="N261" s="282"/>
      <c r="O261" s="282"/>
      <c r="P261" s="282"/>
      <c r="Q261" s="282"/>
      <c r="R261" s="282"/>
      <c r="S261" s="374"/>
      <c r="T261" s="373">
        <f t="shared" si="127"/>
        <v>235</v>
      </c>
      <c r="U261" s="374"/>
      <c r="V261" s="568">
        <f t="shared" si="122"/>
        <v>2.8151953912569075E-3</v>
      </c>
      <c r="W261" s="328">
        <f t="shared" si="103"/>
        <v>0.99711356555847552</v>
      </c>
      <c r="X261" s="328">
        <f t="shared" si="104"/>
        <v>0.99718480460874315</v>
      </c>
      <c r="Y261" s="328">
        <f t="shared" si="105"/>
        <v>7.1236512826700071E-5</v>
      </c>
      <c r="Z261" s="374"/>
      <c r="AA261" s="571">
        <f t="shared" si="106"/>
        <v>2.2145748039377328E-2</v>
      </c>
      <c r="AB261" s="327">
        <f t="shared" si="125"/>
        <v>0.97757611737562944</v>
      </c>
      <c r="AC261" s="327">
        <f t="shared" si="107"/>
        <v>0.9778542519606227</v>
      </c>
      <c r="AD261" s="327">
        <f t="shared" si="108"/>
        <v>2.7809590915539584E-4</v>
      </c>
      <c r="AE261" s="383"/>
      <c r="AF261" s="574">
        <f t="shared" si="97"/>
        <v>6.2638133511943472E-2</v>
      </c>
      <c r="AG261" s="376">
        <f t="shared" si="123"/>
        <v>0.93701783078653289</v>
      </c>
      <c r="AH261" s="376">
        <f t="shared" si="109"/>
        <v>0.93736186648805653</v>
      </c>
      <c r="AI261" s="553">
        <f t="shared" si="110"/>
        <v>3.4397652802775625E-4</v>
      </c>
      <c r="AJ261" s="374"/>
      <c r="AK261" s="577">
        <f t="shared" si="98"/>
        <v>7.1017440217160679E-2</v>
      </c>
      <c r="AL261" s="376">
        <f t="shared" si="111"/>
        <v>0.92868193147294797</v>
      </c>
      <c r="AM261" s="376">
        <f t="shared" si="112"/>
        <v>0.92898255978283928</v>
      </c>
      <c r="AN261" s="553">
        <f t="shared" si="113"/>
        <v>3.0058312572889267E-4</v>
      </c>
      <c r="AO261" s="554"/>
      <c r="AP261" s="580">
        <f t="shared" si="99"/>
        <v>1.0303494465154106E-2</v>
      </c>
      <c r="AQ261" s="376">
        <f t="shared" si="114"/>
        <v>0.98951122218130538</v>
      </c>
      <c r="AR261" s="379">
        <f t="shared" si="115"/>
        <v>0.98969650553484589</v>
      </c>
      <c r="AS261" s="376">
        <f t="shared" si="116"/>
        <v>1.8526618963998764E-4</v>
      </c>
      <c r="AT261" s="384"/>
      <c r="AU261" s="583">
        <f t="shared" si="100"/>
        <v>0.28274959873827327</v>
      </c>
      <c r="AV261" s="381">
        <f t="shared" si="126"/>
        <v>1.2631897496382389</v>
      </c>
      <c r="AW261" s="376">
        <f t="shared" si="101"/>
        <v>1.2631935831265313</v>
      </c>
      <c r="AX261" s="503">
        <f t="shared" si="124"/>
        <v>3.8334809445705886E-6</v>
      </c>
      <c r="AY261" s="376">
        <f t="shared" si="102"/>
        <v>2.7260358288270652</v>
      </c>
      <c r="AZ261" s="381">
        <f t="shared" si="117"/>
        <v>2.4195907285079745E-3</v>
      </c>
      <c r="BA261" s="586">
        <f t="shared" si="118"/>
        <v>0.16843477670463997</v>
      </c>
      <c r="BB261" s="376">
        <f t="shared" si="119"/>
        <v>0.8312489715951813</v>
      </c>
      <c r="BC261" s="376">
        <f t="shared" si="120"/>
        <v>0.83156522329536009</v>
      </c>
      <c r="BD261" s="376">
        <f t="shared" si="121"/>
        <v>3.1620169788115771E-4</v>
      </c>
      <c r="BE261" s="283"/>
      <c r="BF261" s="283"/>
      <c r="BG261" s="283"/>
      <c r="BH261" s="283"/>
      <c r="BI261" s="283"/>
      <c r="BJ261" s="283"/>
      <c r="BK261" s="283"/>
      <c r="BL261" s="283"/>
      <c r="BM261" s="283"/>
      <c r="BN261" s="283"/>
      <c r="BO261" s="283"/>
      <c r="BP261" s="283"/>
      <c r="BQ261" s="283"/>
      <c r="BR261" s="283"/>
      <c r="BS261" s="283"/>
      <c r="BT261" s="283"/>
      <c r="BU261" s="283"/>
      <c r="BV261" s="283"/>
      <c r="BW261" s="283"/>
      <c r="BX261" s="283"/>
      <c r="BY261" s="283"/>
      <c r="BZ261" s="283"/>
      <c r="CA261" s="283"/>
      <c r="CB261" s="283"/>
      <c r="CC261" s="283"/>
      <c r="CD261" s="283"/>
      <c r="CE261" s="283"/>
      <c r="CF261" s="283"/>
      <c r="CG261" s="283"/>
      <c r="CH261" s="283"/>
      <c r="CI261" s="283"/>
      <c r="CJ261" s="283"/>
      <c r="CK261" s="283"/>
      <c r="CL261" s="283"/>
    </row>
    <row r="262" spans="1:90" ht="14.25" customHeight="1" x14ac:dyDescent="0.2">
      <c r="A262" s="28"/>
      <c r="B262" s="28"/>
      <c r="C262" s="28"/>
      <c r="D262" s="28"/>
      <c r="E262" s="282"/>
      <c r="F262" s="282"/>
      <c r="G262" s="282"/>
      <c r="H262" s="282"/>
      <c r="I262" s="282"/>
      <c r="J262" s="282"/>
      <c r="K262" s="282"/>
      <c r="L262" s="282"/>
      <c r="M262" s="282"/>
      <c r="N262" s="282"/>
      <c r="O262" s="282"/>
      <c r="P262" s="282"/>
      <c r="Q262" s="282"/>
      <c r="R262" s="282"/>
      <c r="S262" s="374"/>
      <c r="T262" s="373">
        <f t="shared" si="127"/>
        <v>236</v>
      </c>
      <c r="U262" s="374"/>
      <c r="V262" s="568">
        <f t="shared" si="122"/>
        <v>2.7457145663660025E-3</v>
      </c>
      <c r="W262" s="328">
        <f t="shared" si="103"/>
        <v>0.99718480460874315</v>
      </c>
      <c r="X262" s="328">
        <f t="shared" si="104"/>
        <v>0.99725428543363404</v>
      </c>
      <c r="Y262" s="328">
        <f t="shared" si="105"/>
        <v>6.9478411154233477E-5</v>
      </c>
      <c r="Z262" s="374"/>
      <c r="AA262" s="571">
        <f t="shared" si="106"/>
        <v>2.1871330996716818E-2</v>
      </c>
      <c r="AB262" s="327">
        <f t="shared" si="125"/>
        <v>0.9778542519606227</v>
      </c>
      <c r="AC262" s="327">
        <f t="shared" si="107"/>
        <v>0.97812866900328321</v>
      </c>
      <c r="AD262" s="327">
        <f t="shared" si="108"/>
        <v>2.7437939374774789E-4</v>
      </c>
      <c r="AE262" s="383"/>
      <c r="AF262" s="574">
        <f t="shared" si="97"/>
        <v>6.2297015918854948E-2</v>
      </c>
      <c r="AG262" s="376">
        <f t="shared" si="123"/>
        <v>0.93736186648805653</v>
      </c>
      <c r="AH262" s="376">
        <f t="shared" si="109"/>
        <v>0.93770298408114505</v>
      </c>
      <c r="AI262" s="553">
        <f t="shared" si="110"/>
        <v>3.4105941909723381E-4</v>
      </c>
      <c r="AJ262" s="374"/>
      <c r="AK262" s="577">
        <f t="shared" si="98"/>
        <v>7.0719251768033481E-2</v>
      </c>
      <c r="AL262" s="376">
        <f t="shared" si="111"/>
        <v>0.92898255978283928</v>
      </c>
      <c r="AM262" s="376">
        <f t="shared" si="112"/>
        <v>0.92928074823196649</v>
      </c>
      <c r="AN262" s="553">
        <f t="shared" si="113"/>
        <v>2.9814399537020364E-4</v>
      </c>
      <c r="AO262" s="554"/>
      <c r="AP262" s="580">
        <f t="shared" si="99"/>
        <v>1.0121516337310066E-2</v>
      </c>
      <c r="AQ262" s="376">
        <f t="shared" si="114"/>
        <v>0.98969650553484589</v>
      </c>
      <c r="AR262" s="379">
        <f t="shared" si="115"/>
        <v>0.98987848366268993</v>
      </c>
      <c r="AS262" s="376">
        <f t="shared" si="116"/>
        <v>1.819615708288369E-4</v>
      </c>
      <c r="AT262" s="384"/>
      <c r="AU262" s="583">
        <f t="shared" si="100"/>
        <v>0.28274855785350911</v>
      </c>
      <c r="AV262" s="381">
        <f t="shared" si="126"/>
        <v>1.2631935831265313</v>
      </c>
      <c r="AW262" s="376">
        <f t="shared" si="101"/>
        <v>1.2631972644285905</v>
      </c>
      <c r="AX262" s="503">
        <f t="shared" si="124"/>
        <v>3.6812952831644097E-6</v>
      </c>
      <c r="AY262" s="376">
        <f t="shared" si="102"/>
        <v>2.7293758156712244</v>
      </c>
      <c r="AZ262" s="381">
        <f t="shared" si="117"/>
        <v>2.4052097086395344E-3</v>
      </c>
      <c r="BA262" s="586">
        <f t="shared" si="118"/>
        <v>0.16812045335814649</v>
      </c>
      <c r="BB262" s="376">
        <f t="shared" si="119"/>
        <v>0.83156522329536009</v>
      </c>
      <c r="BC262" s="376">
        <f t="shared" si="120"/>
        <v>0.83187954664185348</v>
      </c>
      <c r="BD262" s="376">
        <f t="shared" si="121"/>
        <v>3.1427395208571962E-4</v>
      </c>
      <c r="BE262" s="283"/>
      <c r="BF262" s="283"/>
      <c r="BG262" s="283"/>
      <c r="BH262" s="283"/>
      <c r="BI262" s="283"/>
      <c r="BJ262" s="283"/>
      <c r="BK262" s="283"/>
      <c r="BL262" s="283"/>
      <c r="BM262" s="283"/>
      <c r="BN262" s="283"/>
      <c r="BO262" s="283"/>
      <c r="BP262" s="283"/>
      <c r="BQ262" s="283"/>
      <c r="BR262" s="283"/>
      <c r="BS262" s="283"/>
      <c r="BT262" s="283"/>
      <c r="BU262" s="283"/>
      <c r="BV262" s="283"/>
      <c r="BW262" s="283"/>
      <c r="BX262" s="283"/>
      <c r="BY262" s="283"/>
      <c r="BZ262" s="283"/>
      <c r="CA262" s="283"/>
      <c r="CB262" s="283"/>
      <c r="CC262" s="283"/>
      <c r="CD262" s="283"/>
      <c r="CE262" s="283"/>
      <c r="CF262" s="283"/>
      <c r="CG262" s="283"/>
      <c r="CH262" s="283"/>
      <c r="CI262" s="283"/>
      <c r="CJ262" s="283"/>
      <c r="CK262" s="283"/>
      <c r="CL262" s="283"/>
    </row>
    <row r="263" spans="1:90" ht="14.25" customHeight="1" x14ac:dyDescent="0.2">
      <c r="A263" s="28"/>
      <c r="B263" s="28"/>
      <c r="C263" s="28"/>
      <c r="D263" s="28"/>
      <c r="E263" s="282"/>
      <c r="F263" s="282"/>
      <c r="G263" s="282"/>
      <c r="H263" s="282"/>
      <c r="I263" s="282"/>
      <c r="J263" s="282"/>
      <c r="K263" s="282"/>
      <c r="L263" s="282"/>
      <c r="M263" s="282"/>
      <c r="N263" s="282"/>
      <c r="O263" s="282"/>
      <c r="P263" s="282"/>
      <c r="Q263" s="282"/>
      <c r="R263" s="282"/>
      <c r="S263" s="374"/>
      <c r="T263" s="373">
        <f t="shared" si="127"/>
        <v>237</v>
      </c>
      <c r="U263" s="374"/>
      <c r="V263" s="568">
        <f t="shared" si="122"/>
        <v>2.6779485727235837E-3</v>
      </c>
      <c r="W263" s="328">
        <f t="shared" si="103"/>
        <v>0.99725428543363404</v>
      </c>
      <c r="X263" s="328">
        <f t="shared" si="104"/>
        <v>0.99732205142727637</v>
      </c>
      <c r="Y263" s="328">
        <f t="shared" si="105"/>
        <v>6.7763697579215076E-5</v>
      </c>
      <c r="Z263" s="374"/>
      <c r="AA263" s="571">
        <f t="shared" si="106"/>
        <v>2.160057737679142E-2</v>
      </c>
      <c r="AB263" s="327">
        <f t="shared" si="125"/>
        <v>0.97812866900328321</v>
      </c>
      <c r="AC263" s="327">
        <f t="shared" si="107"/>
        <v>0.97839942262320856</v>
      </c>
      <c r="AD263" s="327">
        <f t="shared" si="108"/>
        <v>2.7071696947178481E-4</v>
      </c>
      <c r="AE263" s="383"/>
      <c r="AF263" s="574">
        <f t="shared" si="97"/>
        <v>6.1958782073406216E-2</v>
      </c>
      <c r="AG263" s="376">
        <f t="shared" si="123"/>
        <v>0.93770298408114505</v>
      </c>
      <c r="AH263" s="376">
        <f t="shared" si="109"/>
        <v>0.93804121792659378</v>
      </c>
      <c r="AI263" s="553">
        <f t="shared" si="110"/>
        <v>3.3817665083024639E-4</v>
      </c>
      <c r="AJ263" s="374"/>
      <c r="AK263" s="577">
        <f t="shared" si="98"/>
        <v>7.0423473962167721E-2</v>
      </c>
      <c r="AL263" s="376">
        <f t="shared" si="111"/>
        <v>0.92928074823196649</v>
      </c>
      <c r="AM263" s="376">
        <f t="shared" si="112"/>
        <v>0.92957652603783225</v>
      </c>
      <c r="AN263" s="553">
        <f t="shared" si="113"/>
        <v>2.9573406792293699E-4</v>
      </c>
      <c r="AO263" s="554"/>
      <c r="AP263" s="580">
        <f t="shared" si="99"/>
        <v>9.9427836765659805E-3</v>
      </c>
      <c r="AQ263" s="376">
        <f t="shared" si="114"/>
        <v>0.98987848366268993</v>
      </c>
      <c r="AR263" s="379">
        <f t="shared" si="115"/>
        <v>0.99005721632343402</v>
      </c>
      <c r="AS263" s="376">
        <f t="shared" si="116"/>
        <v>1.7871668901370263E-4</v>
      </c>
      <c r="AT263" s="384"/>
      <c r="AU263" s="583">
        <f t="shared" si="100"/>
        <v>0.2827475582945938</v>
      </c>
      <c r="AV263" s="381">
        <f t="shared" si="126"/>
        <v>1.2631972644285905</v>
      </c>
      <c r="AW263" s="376">
        <f t="shared" si="101"/>
        <v>1.2632007995860806</v>
      </c>
      <c r="AX263" s="503">
        <f t="shared" si="124"/>
        <v>3.5351512414072417E-6</v>
      </c>
      <c r="AY263" s="376">
        <f t="shared" si="102"/>
        <v>2.7327016799072741</v>
      </c>
      <c r="AZ263" s="381">
        <f t="shared" si="117"/>
        <v>2.3909744306755834E-3</v>
      </c>
      <c r="BA263" s="586">
        <f t="shared" si="118"/>
        <v>0.16780803853732945</v>
      </c>
      <c r="BB263" s="376">
        <f t="shared" si="119"/>
        <v>0.83187954664185348</v>
      </c>
      <c r="BC263" s="376">
        <f t="shared" si="120"/>
        <v>0.83219196146267049</v>
      </c>
      <c r="BD263" s="376">
        <f t="shared" si="121"/>
        <v>3.123660243885551E-4</v>
      </c>
      <c r="BE263" s="283"/>
      <c r="BF263" s="283"/>
      <c r="BG263" s="283"/>
      <c r="BH263" s="283"/>
      <c r="BI263" s="283"/>
      <c r="BJ263" s="283"/>
      <c r="BK263" s="283"/>
      <c r="BL263" s="283"/>
      <c r="BM263" s="283"/>
      <c r="BN263" s="283"/>
      <c r="BO263" s="283"/>
      <c r="BP263" s="283"/>
      <c r="BQ263" s="283"/>
      <c r="BR263" s="283"/>
      <c r="BS263" s="283"/>
      <c r="BT263" s="283"/>
      <c r="BU263" s="283"/>
      <c r="BV263" s="283"/>
      <c r="BW263" s="283"/>
      <c r="BX263" s="283"/>
      <c r="BY263" s="283"/>
      <c r="BZ263" s="283"/>
      <c r="CA263" s="283"/>
      <c r="CB263" s="283"/>
      <c r="CC263" s="283"/>
      <c r="CD263" s="283"/>
      <c r="CE263" s="283"/>
      <c r="CF263" s="283"/>
      <c r="CG263" s="283"/>
      <c r="CH263" s="283"/>
      <c r="CI263" s="283"/>
      <c r="CJ263" s="283"/>
      <c r="CK263" s="283"/>
      <c r="CL263" s="283"/>
    </row>
    <row r="264" spans="1:90" ht="14.25" customHeight="1" x14ac:dyDescent="0.2">
      <c r="A264" s="28"/>
      <c r="B264" s="28"/>
      <c r="C264" s="28"/>
      <c r="D264" s="28"/>
      <c r="E264" s="282"/>
      <c r="F264" s="282"/>
      <c r="G264" s="282"/>
      <c r="H264" s="282"/>
      <c r="I264" s="282"/>
      <c r="J264" s="282"/>
      <c r="K264" s="282"/>
      <c r="L264" s="282"/>
      <c r="M264" s="282"/>
      <c r="N264" s="282"/>
      <c r="O264" s="282"/>
      <c r="P264" s="282"/>
      <c r="Q264" s="282"/>
      <c r="R264" s="282"/>
      <c r="S264" s="374"/>
      <c r="T264" s="373">
        <f t="shared" si="127"/>
        <v>238</v>
      </c>
      <c r="U264" s="374"/>
      <c r="V264" s="568">
        <f t="shared" si="122"/>
        <v>2.6118550871963918E-3</v>
      </c>
      <c r="W264" s="328">
        <f t="shared" si="103"/>
        <v>0.99732205142727637</v>
      </c>
      <c r="X264" s="328">
        <f t="shared" si="104"/>
        <v>0.99738814491280359</v>
      </c>
      <c r="Y264" s="328">
        <f t="shared" si="105"/>
        <v>6.6091301400894586E-5</v>
      </c>
      <c r="Z264" s="374"/>
      <c r="AA264" s="571">
        <f t="shared" si="106"/>
        <v>2.133343392793367E-2</v>
      </c>
      <c r="AB264" s="327">
        <f t="shared" si="125"/>
        <v>0.97839942262320856</v>
      </c>
      <c r="AC264" s="327">
        <f t="shared" si="107"/>
        <v>0.97866656607206637</v>
      </c>
      <c r="AD264" s="327">
        <f t="shared" si="108"/>
        <v>2.6710776922389545E-4</v>
      </c>
      <c r="AE264" s="383"/>
      <c r="AF264" s="574">
        <f t="shared" si="97"/>
        <v>6.1623398138012764E-2</v>
      </c>
      <c r="AG264" s="376">
        <f t="shared" si="123"/>
        <v>0.93804121792659378</v>
      </c>
      <c r="AH264" s="376">
        <f t="shared" si="109"/>
        <v>0.93837660186198724</v>
      </c>
      <c r="AI264" s="553">
        <f t="shared" si="110"/>
        <v>3.3532770048827487E-4</v>
      </c>
      <c r="AJ264" s="374"/>
      <c r="AK264" s="577">
        <f t="shared" si="98"/>
        <v>7.013007804358698E-2</v>
      </c>
      <c r="AL264" s="376">
        <f t="shared" si="111"/>
        <v>0.92957652603783225</v>
      </c>
      <c r="AM264" s="376">
        <f t="shared" si="112"/>
        <v>0.92986992195641305</v>
      </c>
      <c r="AN264" s="553">
        <f t="shared" si="113"/>
        <v>2.9335288220733169E-4</v>
      </c>
      <c r="AO264" s="554"/>
      <c r="AP264" s="580">
        <f t="shared" si="99"/>
        <v>9.7672378253955694E-3</v>
      </c>
      <c r="AQ264" s="376">
        <f t="shared" si="114"/>
        <v>0.99005721632343402</v>
      </c>
      <c r="AR264" s="379">
        <f t="shared" si="115"/>
        <v>0.99023276217460443</v>
      </c>
      <c r="AS264" s="376">
        <f t="shared" si="116"/>
        <v>1.7553044389906347E-4</v>
      </c>
      <c r="AT264" s="384"/>
      <c r="AU264" s="583">
        <f t="shared" si="100"/>
        <v>0.28274659842064553</v>
      </c>
      <c r="AV264" s="381">
        <f t="shared" si="126"/>
        <v>1.2632007995860806</v>
      </c>
      <c r="AW264" s="376">
        <f t="shared" si="101"/>
        <v>1.263204194400817</v>
      </c>
      <c r="AX264" s="503">
        <f t="shared" si="124"/>
        <v>3.3948089740443166E-6</v>
      </c>
      <c r="AY264" s="376">
        <f t="shared" si="102"/>
        <v>2.7360135404629702</v>
      </c>
      <c r="AZ264" s="381">
        <f t="shared" si="117"/>
        <v>2.376882811981818E-3</v>
      </c>
      <c r="BA264" s="586">
        <f t="shared" si="118"/>
        <v>0.16749751270029309</v>
      </c>
      <c r="BB264" s="376">
        <f t="shared" si="119"/>
        <v>0.83219196146267049</v>
      </c>
      <c r="BC264" s="376">
        <f t="shared" si="120"/>
        <v>0.83250248729970688</v>
      </c>
      <c r="BD264" s="376">
        <f t="shared" si="121"/>
        <v>3.1047762887870256E-4</v>
      </c>
      <c r="BE264" s="283"/>
      <c r="BF264" s="283"/>
      <c r="BG264" s="283"/>
      <c r="BH264" s="283"/>
      <c r="BI264" s="283"/>
      <c r="BJ264" s="283"/>
      <c r="BK264" s="283"/>
      <c r="BL264" s="283"/>
      <c r="BM264" s="283"/>
      <c r="BN264" s="283"/>
      <c r="BO264" s="283"/>
      <c r="BP264" s="283"/>
      <c r="BQ264" s="283"/>
      <c r="BR264" s="283"/>
      <c r="BS264" s="283"/>
      <c r="BT264" s="283"/>
      <c r="BU264" s="283"/>
      <c r="BV264" s="283"/>
      <c r="BW264" s="283"/>
      <c r="BX264" s="283"/>
      <c r="BY264" s="283"/>
      <c r="BZ264" s="283"/>
      <c r="CA264" s="283"/>
      <c r="CB264" s="283"/>
      <c r="CC264" s="283"/>
      <c r="CD264" s="283"/>
      <c r="CE264" s="283"/>
      <c r="CF264" s="283"/>
      <c r="CG264" s="283"/>
      <c r="CH264" s="283"/>
      <c r="CI264" s="283"/>
      <c r="CJ264" s="283"/>
      <c r="CK264" s="283"/>
      <c r="CL264" s="283"/>
    </row>
    <row r="265" spans="1:90" ht="14.25" customHeight="1" x14ac:dyDescent="0.2">
      <c r="A265" s="28"/>
      <c r="B265" s="28"/>
      <c r="C265" s="28"/>
      <c r="D265" s="28"/>
      <c r="E265" s="282"/>
      <c r="F265" s="282"/>
      <c r="G265" s="282"/>
      <c r="H265" s="282"/>
      <c r="I265" s="282"/>
      <c r="J265" s="282"/>
      <c r="K265" s="282"/>
      <c r="L265" s="282"/>
      <c r="M265" s="282"/>
      <c r="N265" s="282"/>
      <c r="O265" s="282"/>
      <c r="P265" s="282"/>
      <c r="Q265" s="282"/>
      <c r="R265" s="282"/>
      <c r="S265" s="374"/>
      <c r="T265" s="373">
        <f t="shared" si="127"/>
        <v>239</v>
      </c>
      <c r="U265" s="374"/>
      <c r="V265" s="568">
        <f t="shared" si="122"/>
        <v>2.5473928312131975E-3</v>
      </c>
      <c r="W265" s="328">
        <f t="shared" si="103"/>
        <v>0.99738814491280359</v>
      </c>
      <c r="X265" s="328">
        <f t="shared" si="104"/>
        <v>0.99745260716878681</v>
      </c>
      <c r="Y265" s="328">
        <f t="shared" si="105"/>
        <v>6.4460178336611662E-5</v>
      </c>
      <c r="Z265" s="374"/>
      <c r="AA265" s="571">
        <f t="shared" si="106"/>
        <v>2.1069848250903023E-2</v>
      </c>
      <c r="AB265" s="327">
        <f t="shared" si="125"/>
        <v>0.97866656607206637</v>
      </c>
      <c r="AC265" s="327">
        <f t="shared" si="107"/>
        <v>0.97893015174909692</v>
      </c>
      <c r="AD265" s="327">
        <f t="shared" si="108"/>
        <v>2.6355094137797686E-4</v>
      </c>
      <c r="AE265" s="383"/>
      <c r="AF265" s="574">
        <f t="shared" si="97"/>
        <v>6.1290830788479078E-2</v>
      </c>
      <c r="AG265" s="376">
        <f t="shared" si="123"/>
        <v>0.93837660186198724</v>
      </c>
      <c r="AH265" s="376">
        <f t="shared" si="109"/>
        <v>0.93870916921152092</v>
      </c>
      <c r="AI265" s="553">
        <f t="shared" si="110"/>
        <v>3.3251205514261972E-4</v>
      </c>
      <c r="AJ265" s="374"/>
      <c r="AK265" s="577">
        <f t="shared" si="98"/>
        <v>6.983903570880394E-2</v>
      </c>
      <c r="AL265" s="376">
        <f t="shared" si="111"/>
        <v>0.92986992195641305</v>
      </c>
      <c r="AM265" s="376">
        <f t="shared" si="112"/>
        <v>0.9301609642911961</v>
      </c>
      <c r="AN265" s="553">
        <f t="shared" si="113"/>
        <v>2.9099998607129418E-4</v>
      </c>
      <c r="AO265" s="554"/>
      <c r="AP265" s="580">
        <f t="shared" si="99"/>
        <v>9.5948212064942417E-3</v>
      </c>
      <c r="AQ265" s="376">
        <f t="shared" si="114"/>
        <v>0.99023276217460443</v>
      </c>
      <c r="AR265" s="379">
        <f t="shared" si="115"/>
        <v>0.99040517879350576</v>
      </c>
      <c r="AS265" s="376">
        <f t="shared" si="116"/>
        <v>1.7240175601029861E-4</v>
      </c>
      <c r="AT265" s="384"/>
      <c r="AU265" s="583">
        <f t="shared" si="100"/>
        <v>0.2827456766559458</v>
      </c>
      <c r="AV265" s="381">
        <f t="shared" si="126"/>
        <v>1.263204194400817</v>
      </c>
      <c r="AW265" s="376">
        <f t="shared" si="101"/>
        <v>1.2632074544442882</v>
      </c>
      <c r="AX265" s="503">
        <f t="shared" si="124"/>
        <v>3.2600381572045478E-6</v>
      </c>
      <c r="AY265" s="376">
        <f t="shared" si="102"/>
        <v>2.739311514770113</v>
      </c>
      <c r="AZ265" s="381">
        <f t="shared" si="117"/>
        <v>2.3629328082666666E-3</v>
      </c>
      <c r="BA265" s="586">
        <f t="shared" si="118"/>
        <v>0.16718885658595126</v>
      </c>
      <c r="BB265" s="376">
        <f t="shared" si="119"/>
        <v>0.83250248729970688</v>
      </c>
      <c r="BC265" s="376">
        <f t="shared" si="120"/>
        <v>0.83281114341404872</v>
      </c>
      <c r="BD265" s="376">
        <f t="shared" si="121"/>
        <v>3.0860848494385085E-4</v>
      </c>
      <c r="BE265" s="283"/>
      <c r="BF265" s="283"/>
      <c r="BG265" s="283"/>
      <c r="BH265" s="283"/>
      <c r="BI265" s="283"/>
      <c r="BJ265" s="283"/>
      <c r="BK265" s="283"/>
      <c r="BL265" s="283"/>
      <c r="BM265" s="283"/>
      <c r="BN265" s="283"/>
      <c r="BO265" s="283"/>
      <c r="BP265" s="283"/>
      <c r="BQ265" s="283"/>
      <c r="BR265" s="283"/>
      <c r="BS265" s="283"/>
      <c r="BT265" s="283"/>
      <c r="BU265" s="283"/>
      <c r="BV265" s="283"/>
      <c r="BW265" s="283"/>
      <c r="BX265" s="283"/>
      <c r="BY265" s="283"/>
      <c r="BZ265" s="283"/>
      <c r="CA265" s="283"/>
      <c r="CB265" s="283"/>
      <c r="CC265" s="283"/>
      <c r="CD265" s="283"/>
      <c r="CE265" s="283"/>
      <c r="CF265" s="283"/>
      <c r="CG265" s="283"/>
      <c r="CH265" s="283"/>
      <c r="CI265" s="283"/>
      <c r="CJ265" s="283"/>
      <c r="CK265" s="283"/>
      <c r="CL265" s="283"/>
    </row>
    <row r="266" spans="1:90" ht="14.25" customHeight="1" x14ac:dyDescent="0.2">
      <c r="A266" s="28"/>
      <c r="B266" s="28"/>
      <c r="C266" s="28"/>
      <c r="D266" s="28"/>
      <c r="E266" s="282"/>
      <c r="F266" s="282"/>
      <c r="G266" s="282"/>
      <c r="H266" s="282"/>
      <c r="I266" s="282"/>
      <c r="J266" s="282"/>
      <c r="K266" s="282"/>
      <c r="L266" s="282"/>
      <c r="M266" s="282"/>
      <c r="N266" s="282"/>
      <c r="O266" s="282"/>
      <c r="P266" s="282"/>
      <c r="Q266" s="282"/>
      <c r="R266" s="282"/>
      <c r="S266" s="374"/>
      <c r="T266" s="373">
        <f t="shared" si="127"/>
        <v>240</v>
      </c>
      <c r="U266" s="374"/>
      <c r="V266" s="568">
        <f t="shared" si="122"/>
        <v>2.484521544984341E-3</v>
      </c>
      <c r="W266" s="328">
        <f t="shared" si="103"/>
        <v>0.99745260716878681</v>
      </c>
      <c r="X266" s="328">
        <f t="shared" si="104"/>
        <v>0.99751547845501565</v>
      </c>
      <c r="Y266" s="328">
        <f t="shared" si="105"/>
        <v>6.2869309870983159E-5</v>
      </c>
      <c r="Z266" s="374"/>
      <c r="AA266" s="571">
        <f t="shared" si="106"/>
        <v>2.0809768783693828E-2</v>
      </c>
      <c r="AB266" s="327">
        <f t="shared" si="125"/>
        <v>0.97893015174909692</v>
      </c>
      <c r="AC266" s="327">
        <f t="shared" si="107"/>
        <v>0.97919023121630622</v>
      </c>
      <c r="AD266" s="327">
        <f t="shared" si="108"/>
        <v>2.6004564947645914E-4</v>
      </c>
      <c r="AE266" s="383"/>
      <c r="AF266" s="574">
        <f t="shared" si="97"/>
        <v>6.096104720439588E-2</v>
      </c>
      <c r="AG266" s="376">
        <f t="shared" si="123"/>
        <v>0.93870916921152092</v>
      </c>
      <c r="AH266" s="376">
        <f t="shared" si="109"/>
        <v>0.93903895279560412</v>
      </c>
      <c r="AI266" s="553">
        <f t="shared" si="110"/>
        <v>3.2972921145424383E-4</v>
      </c>
      <c r="AJ266" s="374"/>
      <c r="AK266" s="577">
        <f t="shared" si="98"/>
        <v>6.9550319097993848E-2</v>
      </c>
      <c r="AL266" s="376">
        <f t="shared" si="111"/>
        <v>0.9301609642911961</v>
      </c>
      <c r="AM266" s="376">
        <f t="shared" si="112"/>
        <v>0.93044968090200619</v>
      </c>
      <c r="AN266" s="553">
        <f t="shared" si="113"/>
        <v>2.8867493618023321E-4</v>
      </c>
      <c r="AO266" s="554"/>
      <c r="AP266" s="580">
        <f t="shared" si="99"/>
        <v>9.4254773023427774E-3</v>
      </c>
      <c r="AQ266" s="376">
        <f t="shared" si="114"/>
        <v>0.99040517879350576</v>
      </c>
      <c r="AR266" s="379">
        <f t="shared" si="115"/>
        <v>0.99057452269765722</v>
      </c>
      <c r="AS266" s="376">
        <f t="shared" si="116"/>
        <v>1.693295662819061E-4</v>
      </c>
      <c r="AT266" s="384"/>
      <c r="AU266" s="583">
        <f t="shared" si="100"/>
        <v>0.28274479148735121</v>
      </c>
      <c r="AV266" s="381">
        <f t="shared" si="126"/>
        <v>1.2632074544442882</v>
      </c>
      <c r="AW266" s="376">
        <f t="shared" si="101"/>
        <v>1.263210585066799</v>
      </c>
      <c r="AX266" s="503">
        <f t="shared" si="124"/>
        <v>3.1306176103695904E-6</v>
      </c>
      <c r="AY266" s="376">
        <f t="shared" si="102"/>
        <v>2.7425957187895316</v>
      </c>
      <c r="AZ266" s="381">
        <f t="shared" si="117"/>
        <v>2.3491224127186834E-3</v>
      </c>
      <c r="BA266" s="586">
        <f t="shared" si="118"/>
        <v>0.16688205120884228</v>
      </c>
      <c r="BB266" s="376">
        <f t="shared" si="119"/>
        <v>0.83281114341404872</v>
      </c>
      <c r="BC266" s="376">
        <f t="shared" si="120"/>
        <v>0.83311794879115775</v>
      </c>
      <c r="BD266" s="376">
        <f t="shared" si="121"/>
        <v>3.0675831715221147E-4</v>
      </c>
      <c r="BE266" s="283"/>
      <c r="BF266" s="283"/>
      <c r="BG266" s="283"/>
      <c r="BH266" s="283"/>
      <c r="BI266" s="283"/>
      <c r="BJ266" s="283"/>
      <c r="BK266" s="283"/>
      <c r="BL266" s="283"/>
      <c r="BM266" s="283"/>
      <c r="BN266" s="283"/>
      <c r="BO266" s="283"/>
      <c r="BP266" s="283"/>
      <c r="BQ266" s="283"/>
      <c r="BR266" s="283"/>
      <c r="BS266" s="283"/>
      <c r="BT266" s="283"/>
      <c r="BU266" s="283"/>
      <c r="BV266" s="283"/>
      <c r="BW266" s="283"/>
      <c r="BX266" s="283"/>
      <c r="BY266" s="283"/>
      <c r="BZ266" s="283"/>
      <c r="CA266" s="283"/>
      <c r="CB266" s="283"/>
      <c r="CC266" s="283"/>
      <c r="CD266" s="283"/>
      <c r="CE266" s="283"/>
      <c r="CF266" s="283"/>
      <c r="CG266" s="283"/>
      <c r="CH266" s="283"/>
      <c r="CI266" s="283"/>
      <c r="CJ266" s="283"/>
      <c r="CK266" s="283"/>
      <c r="CL266" s="283"/>
    </row>
    <row r="267" spans="1:90" ht="14.25" customHeight="1" x14ac:dyDescent="0.2">
      <c r="A267" s="28"/>
      <c r="B267" s="28"/>
      <c r="C267" s="28"/>
      <c r="D267" s="28"/>
      <c r="E267" s="282"/>
      <c r="F267" s="282"/>
      <c r="G267" s="282"/>
      <c r="H267" s="282"/>
      <c r="I267" s="282"/>
      <c r="J267" s="282"/>
      <c r="K267" s="282"/>
      <c r="L267" s="282"/>
      <c r="M267" s="282"/>
      <c r="N267" s="282"/>
      <c r="O267" s="282"/>
      <c r="P267" s="282"/>
      <c r="Q267" s="282"/>
      <c r="R267" s="282"/>
      <c r="S267" s="374"/>
      <c r="T267" s="373">
        <f t="shared" si="127"/>
        <v>241</v>
      </c>
      <c r="U267" s="374"/>
      <c r="V267" s="568">
        <f t="shared" si="122"/>
        <v>2.4232019623575507E-3</v>
      </c>
      <c r="W267" s="328">
        <f t="shared" si="103"/>
        <v>0.99751547845501565</v>
      </c>
      <c r="X267" s="328">
        <f t="shared" si="104"/>
        <v>0.99757679803764243</v>
      </c>
      <c r="Y267" s="328">
        <f t="shared" si="105"/>
        <v>6.1317702619634318E-5</v>
      </c>
      <c r="Z267" s="374"/>
      <c r="AA267" s="571">
        <f t="shared" si="106"/>
        <v>2.0553144786647604E-2</v>
      </c>
      <c r="AB267" s="327">
        <f t="shared" si="125"/>
        <v>0.97919023121630622</v>
      </c>
      <c r="AC267" s="327">
        <f t="shared" si="107"/>
        <v>0.9794468552133524</v>
      </c>
      <c r="AD267" s="327">
        <f t="shared" si="108"/>
        <v>2.5659107192477215E-4</v>
      </c>
      <c r="AE267" s="383"/>
      <c r="AF267" s="574">
        <f t="shared" si="97"/>
        <v>6.0634015059750968E-2</v>
      </c>
      <c r="AG267" s="376">
        <f t="shared" si="123"/>
        <v>0.93903895279560412</v>
      </c>
      <c r="AH267" s="376">
        <f t="shared" si="109"/>
        <v>0.93936598494024903</v>
      </c>
      <c r="AI267" s="553">
        <f t="shared" si="110"/>
        <v>3.2697867546194193E-4</v>
      </c>
      <c r="AJ267" s="374"/>
      <c r="AK267" s="577">
        <f t="shared" si="98"/>
        <v>6.9263900786373303E-2</v>
      </c>
      <c r="AL267" s="376">
        <f t="shared" si="111"/>
        <v>0.93044968090200619</v>
      </c>
      <c r="AM267" s="376">
        <f t="shared" si="112"/>
        <v>0.93073609921362666</v>
      </c>
      <c r="AN267" s="553">
        <f t="shared" si="113"/>
        <v>2.8637729781166854E-4</v>
      </c>
      <c r="AO267" s="554"/>
      <c r="AP267" s="580">
        <f t="shared" si="99"/>
        <v>9.2591506351713537E-3</v>
      </c>
      <c r="AQ267" s="376">
        <f t="shared" si="114"/>
        <v>0.99057452269765722</v>
      </c>
      <c r="AR267" s="379">
        <f t="shared" si="115"/>
        <v>0.99074084936482865</v>
      </c>
      <c r="AS267" s="376">
        <f t="shared" si="116"/>
        <v>1.6631283565815558E-4</v>
      </c>
      <c r="AT267" s="384"/>
      <c r="AU267" s="583">
        <f t="shared" si="100"/>
        <v>0.2827439414618072</v>
      </c>
      <c r="AV267" s="381">
        <f t="shared" si="126"/>
        <v>1.263210585066799</v>
      </c>
      <c r="AW267" s="376">
        <f t="shared" si="101"/>
        <v>1.2632135914062519</v>
      </c>
      <c r="AX267" s="503">
        <f t="shared" si="124"/>
        <v>3.0063349338860235E-6</v>
      </c>
      <c r="AY267" s="376">
        <f t="shared" si="102"/>
        <v>2.74586626703555</v>
      </c>
      <c r="AZ267" s="381">
        <f t="shared" si="117"/>
        <v>2.3354496551668416E-3</v>
      </c>
      <c r="BA267" s="586">
        <f t="shared" si="118"/>
        <v>0.16657707785406056</v>
      </c>
      <c r="BB267" s="376">
        <f t="shared" si="119"/>
        <v>0.83311794879115775</v>
      </c>
      <c r="BC267" s="376">
        <f t="shared" si="120"/>
        <v>0.83342292214593949</v>
      </c>
      <c r="BD267" s="376">
        <f t="shared" si="121"/>
        <v>3.0492685513539008E-4</v>
      </c>
      <c r="BE267" s="283"/>
      <c r="BF267" s="283"/>
      <c r="BG267" s="283"/>
      <c r="BH267" s="283"/>
      <c r="BI267" s="283"/>
      <c r="BJ267" s="283"/>
      <c r="BK267" s="283"/>
      <c r="BL267" s="283"/>
      <c r="BM267" s="283"/>
      <c r="BN267" s="283"/>
      <c r="BO267" s="283"/>
      <c r="BP267" s="283"/>
      <c r="BQ267" s="283"/>
      <c r="BR267" s="283"/>
      <c r="BS267" s="283"/>
      <c r="BT267" s="283"/>
      <c r="BU267" s="283"/>
      <c r="BV267" s="283"/>
      <c r="BW267" s="283"/>
      <c r="BX267" s="283"/>
      <c r="BY267" s="283"/>
      <c r="BZ267" s="283"/>
      <c r="CA267" s="283"/>
      <c r="CB267" s="283"/>
      <c r="CC267" s="283"/>
      <c r="CD267" s="283"/>
      <c r="CE267" s="283"/>
      <c r="CF267" s="283"/>
      <c r="CG267" s="283"/>
      <c r="CH267" s="283"/>
      <c r="CI267" s="283"/>
      <c r="CJ267" s="283"/>
      <c r="CK267" s="283"/>
      <c r="CL267" s="283"/>
    </row>
    <row r="268" spans="1:90" ht="14.25" customHeight="1" x14ac:dyDescent="0.2">
      <c r="A268" s="28"/>
      <c r="B268" s="28"/>
      <c r="C268" s="28"/>
      <c r="D268" s="28"/>
      <c r="E268" s="282"/>
      <c r="F268" s="282"/>
      <c r="G268" s="282"/>
      <c r="H268" s="282"/>
      <c r="I268" s="282"/>
      <c r="J268" s="282"/>
      <c r="K268" s="282"/>
      <c r="L268" s="282"/>
      <c r="M268" s="282"/>
      <c r="N268" s="282"/>
      <c r="O268" s="282"/>
      <c r="P268" s="282"/>
      <c r="Q268" s="282"/>
      <c r="R268" s="282"/>
      <c r="S268" s="374"/>
      <c r="T268" s="373">
        <f t="shared" si="127"/>
        <v>242</v>
      </c>
      <c r="U268" s="374"/>
      <c r="V268" s="568">
        <f t="shared" si="122"/>
        <v>2.3633957862943355E-3</v>
      </c>
      <c r="W268" s="328">
        <f t="shared" si="103"/>
        <v>0.99757679803764243</v>
      </c>
      <c r="X268" s="328">
        <f t="shared" si="104"/>
        <v>0.9976366042137057</v>
      </c>
      <c r="Y268" s="328">
        <f t="shared" si="105"/>
        <v>5.9804387709583295E-5</v>
      </c>
      <c r="Z268" s="374"/>
      <c r="AA268" s="571">
        <f t="shared" si="106"/>
        <v>2.0299926327862653E-2</v>
      </c>
      <c r="AB268" s="327">
        <f t="shared" si="125"/>
        <v>0.9794468552133524</v>
      </c>
      <c r="AC268" s="327">
        <f t="shared" si="107"/>
        <v>0.97970007367213729</v>
      </c>
      <c r="AD268" s="327">
        <f t="shared" si="108"/>
        <v>2.5318640169680329E-4</v>
      </c>
      <c r="AE268" s="383"/>
      <c r="AF268" s="574">
        <f t="shared" si="97"/>
        <v>6.0309702513749786E-2</v>
      </c>
      <c r="AG268" s="376">
        <f t="shared" si="123"/>
        <v>0.93936598494024903</v>
      </c>
      <c r="AH268" s="376">
        <f t="shared" si="109"/>
        <v>0.93969029748625021</v>
      </c>
      <c r="AI268" s="553">
        <f t="shared" si="110"/>
        <v>3.2425996237206434E-4</v>
      </c>
      <c r="AJ268" s="374"/>
      <c r="AK268" s="577">
        <f t="shared" si="98"/>
        <v>6.8979753775778765E-2</v>
      </c>
      <c r="AL268" s="376">
        <f t="shared" si="111"/>
        <v>0.93073609921362666</v>
      </c>
      <c r="AM268" s="376">
        <f t="shared" si="112"/>
        <v>0.93102024622422119</v>
      </c>
      <c r="AN268" s="553">
        <f t="shared" si="113"/>
        <v>2.8410664465605695E-4</v>
      </c>
      <c r="AO268" s="554"/>
      <c r="AP268" s="580">
        <f t="shared" si="99"/>
        <v>9.0957867473192566E-3</v>
      </c>
      <c r="AQ268" s="376">
        <f t="shared" si="114"/>
        <v>0.99074084936482865</v>
      </c>
      <c r="AR268" s="379">
        <f t="shared" si="115"/>
        <v>0.99090421325268074</v>
      </c>
      <c r="AS268" s="376">
        <f t="shared" si="116"/>
        <v>1.6335054469873711E-4</v>
      </c>
      <c r="AT268" s="384"/>
      <c r="AU268" s="583">
        <f t="shared" si="100"/>
        <v>0.28274312518396166</v>
      </c>
      <c r="AV268" s="381">
        <f t="shared" si="126"/>
        <v>1.2632135914062519</v>
      </c>
      <c r="AW268" s="376">
        <f t="shared" si="101"/>
        <v>1.2632164783965782</v>
      </c>
      <c r="AX268" s="503">
        <f t="shared" si="124"/>
        <v>2.8869861590230528E-6</v>
      </c>
      <c r="AY268" s="376">
        <f t="shared" si="102"/>
        <v>2.7491232725999475</v>
      </c>
      <c r="AZ268" s="381">
        <f t="shared" si="117"/>
        <v>2.3219126012630356E-3</v>
      </c>
      <c r="BA268" s="586">
        <f t="shared" si="118"/>
        <v>0.16627391807230321</v>
      </c>
      <c r="BB268" s="376">
        <f t="shared" si="119"/>
        <v>0.83342292214593949</v>
      </c>
      <c r="BC268" s="376">
        <f t="shared" si="120"/>
        <v>0.83372608192769682</v>
      </c>
      <c r="BD268" s="376">
        <f t="shared" si="121"/>
        <v>3.0311383347403353E-4</v>
      </c>
      <c r="BE268" s="283"/>
      <c r="BF268" s="283"/>
      <c r="BG268" s="283"/>
      <c r="BH268" s="283"/>
      <c r="BI268" s="283"/>
      <c r="BJ268" s="283"/>
      <c r="BK268" s="283"/>
      <c r="BL268" s="283"/>
      <c r="BM268" s="283"/>
      <c r="BN268" s="283"/>
      <c r="BO268" s="283"/>
      <c r="BP268" s="283"/>
      <c r="BQ268" s="283"/>
      <c r="BR268" s="283"/>
      <c r="BS268" s="283"/>
      <c r="BT268" s="283"/>
      <c r="BU268" s="283"/>
      <c r="BV268" s="283"/>
      <c r="BW268" s="283"/>
      <c r="BX268" s="283"/>
      <c r="BY268" s="283"/>
      <c r="BZ268" s="283"/>
      <c r="CA268" s="283"/>
      <c r="CB268" s="283"/>
      <c r="CC268" s="283"/>
      <c r="CD268" s="283"/>
      <c r="CE268" s="283"/>
      <c r="CF268" s="283"/>
      <c r="CG268" s="283"/>
      <c r="CH268" s="283"/>
      <c r="CI268" s="283"/>
      <c r="CJ268" s="283"/>
      <c r="CK268" s="283"/>
      <c r="CL268" s="283"/>
    </row>
    <row r="269" spans="1:90" ht="14.25" customHeight="1" x14ac:dyDescent="0.2">
      <c r="A269" s="28"/>
      <c r="B269" s="28"/>
      <c r="C269" s="28"/>
      <c r="D269" s="28"/>
      <c r="E269" s="282"/>
      <c r="F269" s="282"/>
      <c r="G269" s="282"/>
      <c r="H269" s="282"/>
      <c r="I269" s="282"/>
      <c r="J269" s="282"/>
      <c r="K269" s="282"/>
      <c r="L269" s="282"/>
      <c r="M269" s="282"/>
      <c r="N269" s="282"/>
      <c r="O269" s="282"/>
      <c r="P269" s="282"/>
      <c r="Q269" s="282"/>
      <c r="R269" s="282"/>
      <c r="S269" s="374"/>
      <c r="T269" s="373">
        <f t="shared" si="127"/>
        <v>243</v>
      </c>
      <c r="U269" s="374"/>
      <c r="V269" s="568">
        <f t="shared" si="122"/>
        <v>2.3050656649516378E-3</v>
      </c>
      <c r="W269" s="328">
        <f t="shared" si="103"/>
        <v>0.9976366042137057</v>
      </c>
      <c r="X269" s="328">
        <f t="shared" si="104"/>
        <v>0.99769493433504841</v>
      </c>
      <c r="Y269" s="328">
        <f t="shared" si="105"/>
        <v>5.8328420174280637E-5</v>
      </c>
      <c r="Z269" s="374"/>
      <c r="AA269" s="571">
        <f t="shared" si="106"/>
        <v>2.0050064268894247E-2</v>
      </c>
      <c r="AB269" s="327">
        <f t="shared" si="125"/>
        <v>0.97970007367213729</v>
      </c>
      <c r="AC269" s="327">
        <f t="shared" si="107"/>
        <v>0.97994993573110578</v>
      </c>
      <c r="AD269" s="327">
        <f t="shared" si="108"/>
        <v>2.4983084604390804E-4</v>
      </c>
      <c r="AE269" s="383"/>
      <c r="AF269" s="574">
        <f t="shared" si="97"/>
        <v>5.9988078201838491E-2</v>
      </c>
      <c r="AG269" s="376">
        <f t="shared" si="123"/>
        <v>0.93969029748625021</v>
      </c>
      <c r="AH269" s="376">
        <f t="shared" si="109"/>
        <v>0.94001192179816151</v>
      </c>
      <c r="AI269" s="553">
        <f t="shared" si="110"/>
        <v>3.2157259635678948E-4</v>
      </c>
      <c r="AJ269" s="374"/>
      <c r="AK269" s="577">
        <f t="shared" si="98"/>
        <v>6.8697851486438921E-2</v>
      </c>
      <c r="AL269" s="376">
        <f t="shared" si="111"/>
        <v>0.93102024622422119</v>
      </c>
      <c r="AM269" s="376">
        <f t="shared" si="112"/>
        <v>0.93130214851356108</v>
      </c>
      <c r="AN269" s="553">
        <f t="shared" si="113"/>
        <v>2.8186255862294729E-4</v>
      </c>
      <c r="AO269" s="554"/>
      <c r="AP269" s="580">
        <f t="shared" si="99"/>
        <v>8.93533218197895E-3</v>
      </c>
      <c r="AQ269" s="376">
        <f t="shared" si="114"/>
        <v>0.99090421325268074</v>
      </c>
      <c r="AR269" s="379">
        <f t="shared" si="115"/>
        <v>0.99106466781802105</v>
      </c>
      <c r="AS269" s="376">
        <f t="shared" si="116"/>
        <v>1.6044169319495705E-4</v>
      </c>
      <c r="AT269" s="384"/>
      <c r="AU269" s="583">
        <f t="shared" si="100"/>
        <v>0.28274234131387216</v>
      </c>
      <c r="AV269" s="381">
        <f t="shared" si="126"/>
        <v>1.2632164783965782</v>
      </c>
      <c r="AW269" s="376">
        <f t="shared" si="101"/>
        <v>1.263219250775838</v>
      </c>
      <c r="AX269" s="503">
        <f t="shared" si="124"/>
        <v>2.7723754166819603E-6</v>
      </c>
      <c r="AY269" s="376">
        <f t="shared" si="102"/>
        <v>2.7523668471754186</v>
      </c>
      <c r="AZ269" s="381">
        <f t="shared" si="117"/>
        <v>2.3085093516861206E-3</v>
      </c>
      <c r="BA269" s="586">
        <f t="shared" si="118"/>
        <v>0.16597255367502525</v>
      </c>
      <c r="BB269" s="376">
        <f t="shared" si="119"/>
        <v>0.83372608192769682</v>
      </c>
      <c r="BC269" s="376">
        <f t="shared" si="120"/>
        <v>0.83402744632497472</v>
      </c>
      <c r="BD269" s="376">
        <f t="shared" si="121"/>
        <v>3.0131899158925002E-4</v>
      </c>
      <c r="BE269" s="283"/>
      <c r="BF269" s="283"/>
      <c r="BG269" s="283"/>
      <c r="BH269" s="283"/>
      <c r="BI269" s="283"/>
      <c r="BJ269" s="283"/>
      <c r="BK269" s="283"/>
      <c r="BL269" s="283"/>
      <c r="BM269" s="283"/>
      <c r="BN269" s="283"/>
      <c r="BO269" s="283"/>
      <c r="BP269" s="283"/>
      <c r="BQ269" s="283"/>
      <c r="BR269" s="283"/>
      <c r="BS269" s="283"/>
      <c r="BT269" s="283"/>
      <c r="BU269" s="283"/>
      <c r="BV269" s="283"/>
      <c r="BW269" s="283"/>
      <c r="BX269" s="283"/>
      <c r="BY269" s="283"/>
      <c r="BZ269" s="283"/>
      <c r="CA269" s="283"/>
      <c r="CB269" s="283"/>
      <c r="CC269" s="283"/>
      <c r="CD269" s="283"/>
      <c r="CE269" s="283"/>
      <c r="CF269" s="283"/>
      <c r="CG269" s="283"/>
      <c r="CH269" s="283"/>
      <c r="CI269" s="283"/>
      <c r="CJ269" s="283"/>
      <c r="CK269" s="283"/>
      <c r="CL269" s="283"/>
    </row>
    <row r="270" spans="1:90" ht="14.25" customHeight="1" x14ac:dyDescent="0.2">
      <c r="A270" s="28"/>
      <c r="B270" s="28"/>
      <c r="C270" s="28"/>
      <c r="D270" s="28"/>
      <c r="E270" s="282"/>
      <c r="F270" s="282"/>
      <c r="G270" s="282"/>
      <c r="H270" s="282"/>
      <c r="I270" s="282"/>
      <c r="J270" s="282"/>
      <c r="K270" s="282"/>
      <c r="L270" s="282"/>
      <c r="M270" s="282"/>
      <c r="N270" s="282"/>
      <c r="O270" s="282"/>
      <c r="P270" s="282"/>
      <c r="Q270" s="282"/>
      <c r="R270" s="282"/>
      <c r="S270" s="374"/>
      <c r="T270" s="373">
        <f t="shared" si="127"/>
        <v>244</v>
      </c>
      <c r="U270" s="374"/>
      <c r="V270" s="568">
        <f t="shared" si="122"/>
        <v>2.2481751683538029E-3</v>
      </c>
      <c r="W270" s="328">
        <f t="shared" si="103"/>
        <v>0.99769493433504841</v>
      </c>
      <c r="X270" s="328">
        <f t="shared" si="104"/>
        <v>0.99775182483164615</v>
      </c>
      <c r="Y270" s="328">
        <f t="shared" si="105"/>
        <v>5.6888878364080853E-5</v>
      </c>
      <c r="Z270" s="374"/>
      <c r="AA270" s="571">
        <f t="shared" si="106"/>
        <v>1.9803510250738825E-2</v>
      </c>
      <c r="AB270" s="327">
        <f t="shared" si="125"/>
        <v>0.97994993573110578</v>
      </c>
      <c r="AC270" s="327">
        <f t="shared" si="107"/>
        <v>0.98019648974926121</v>
      </c>
      <c r="AD270" s="327">
        <f t="shared" si="108"/>
        <v>2.4652362621124801E-4</v>
      </c>
      <c r="AE270" s="383"/>
      <c r="AF270" s="574">
        <f t="shared" si="97"/>
        <v>5.966911122692431E-2</v>
      </c>
      <c r="AG270" s="376">
        <f t="shared" si="123"/>
        <v>0.94001192179816151</v>
      </c>
      <c r="AH270" s="376">
        <f t="shared" si="109"/>
        <v>0.94033088877307569</v>
      </c>
      <c r="AI270" s="553">
        <f t="shared" si="110"/>
        <v>3.189161103568372E-4</v>
      </c>
      <c r="AJ270" s="374"/>
      <c r="AK270" s="577">
        <f t="shared" si="98"/>
        <v>6.8418167748936748E-2</v>
      </c>
      <c r="AL270" s="376">
        <f t="shared" si="111"/>
        <v>0.93130214851356108</v>
      </c>
      <c r="AM270" s="376">
        <f t="shared" si="112"/>
        <v>0.93158183225106328</v>
      </c>
      <c r="AN270" s="553">
        <f t="shared" si="113"/>
        <v>2.7964462965168746E-4</v>
      </c>
      <c r="AO270" s="554"/>
      <c r="AP270" s="580">
        <f t="shared" si="99"/>
        <v>8.7777344643178434E-3</v>
      </c>
      <c r="AQ270" s="376">
        <f t="shared" si="114"/>
        <v>0.99106466781802105</v>
      </c>
      <c r="AR270" s="379">
        <f t="shared" si="115"/>
        <v>0.99122226553568216</v>
      </c>
      <c r="AS270" s="376">
        <f t="shared" si="116"/>
        <v>1.5758529979315039E-4</v>
      </c>
      <c r="AT270" s="384"/>
      <c r="AU270" s="583">
        <f t="shared" si="100"/>
        <v>0.28274158856480575</v>
      </c>
      <c r="AV270" s="381">
        <f t="shared" si="126"/>
        <v>1.263219250775838</v>
      </c>
      <c r="AW270" s="376">
        <f t="shared" si="101"/>
        <v>1.2632219130939928</v>
      </c>
      <c r="AX270" s="503">
        <f t="shared" si="124"/>
        <v>2.6623146108795126E-6</v>
      </c>
      <c r="AY270" s="376">
        <f t="shared" si="102"/>
        <v>2.7555971010785627</v>
      </c>
      <c r="AZ270" s="381">
        <f t="shared" si="117"/>
        <v>2.2952380413667839E-3</v>
      </c>
      <c r="BA270" s="586">
        <f t="shared" si="118"/>
        <v>0.16567296672970439</v>
      </c>
      <c r="BB270" s="376">
        <f t="shared" si="119"/>
        <v>0.83402744632497472</v>
      </c>
      <c r="BC270" s="376">
        <f t="shared" si="120"/>
        <v>0.83432703327029567</v>
      </c>
      <c r="BD270" s="376">
        <f t="shared" si="121"/>
        <v>2.9954207363314111E-4</v>
      </c>
      <c r="BE270" s="283"/>
      <c r="BF270" s="283"/>
      <c r="BG270" s="283"/>
      <c r="BH270" s="283"/>
      <c r="BI270" s="283"/>
      <c r="BJ270" s="283"/>
      <c r="BK270" s="283"/>
      <c r="BL270" s="283"/>
      <c r="BM270" s="283"/>
      <c r="BN270" s="283"/>
      <c r="BO270" s="283"/>
      <c r="BP270" s="283"/>
      <c r="BQ270" s="283"/>
      <c r="BR270" s="283"/>
      <c r="BS270" s="283"/>
      <c r="BT270" s="283"/>
      <c r="BU270" s="283"/>
      <c r="BV270" s="283"/>
      <c r="BW270" s="283"/>
      <c r="BX270" s="283"/>
      <c r="BY270" s="283"/>
      <c r="BZ270" s="283"/>
      <c r="CA270" s="283"/>
      <c r="CB270" s="283"/>
      <c r="CC270" s="283"/>
      <c r="CD270" s="283"/>
      <c r="CE270" s="283"/>
      <c r="CF270" s="283"/>
      <c r="CG270" s="283"/>
      <c r="CH270" s="283"/>
      <c r="CI270" s="283"/>
      <c r="CJ270" s="283"/>
      <c r="CK270" s="283"/>
      <c r="CL270" s="283"/>
    </row>
    <row r="271" spans="1:90" ht="14.25" customHeight="1" x14ac:dyDescent="0.2">
      <c r="A271" s="28"/>
      <c r="B271" s="28"/>
      <c r="C271" s="28"/>
      <c r="D271" s="28"/>
      <c r="E271" s="282"/>
      <c r="F271" s="282"/>
      <c r="G271" s="282"/>
      <c r="H271" s="282"/>
      <c r="I271" s="282"/>
      <c r="J271" s="282"/>
      <c r="K271" s="282"/>
      <c r="L271" s="282"/>
      <c r="M271" s="282"/>
      <c r="N271" s="282"/>
      <c r="O271" s="282"/>
      <c r="P271" s="282"/>
      <c r="Q271" s="282"/>
      <c r="R271" s="282"/>
      <c r="S271" s="374"/>
      <c r="T271" s="373">
        <f t="shared" si="127"/>
        <v>245</v>
      </c>
      <c r="U271" s="374"/>
      <c r="V271" s="568">
        <f t="shared" si="122"/>
        <v>2.1926887656403024E-3</v>
      </c>
      <c r="W271" s="328">
        <f t="shared" si="103"/>
        <v>0.99775182483164615</v>
      </c>
      <c r="X271" s="328">
        <f t="shared" si="104"/>
        <v>0.99780731123435973</v>
      </c>
      <c r="Y271" s="328">
        <f t="shared" si="105"/>
        <v>5.5484863371590976E-5</v>
      </c>
      <c r="Z271" s="374"/>
      <c r="AA271" s="571">
        <f t="shared" si="106"/>
        <v>1.9560216680096151E-2</v>
      </c>
      <c r="AB271" s="327">
        <f t="shared" si="125"/>
        <v>0.98019648974926121</v>
      </c>
      <c r="AC271" s="327">
        <f t="shared" si="107"/>
        <v>0.98043978331990389</v>
      </c>
      <c r="AD271" s="327">
        <f t="shared" si="108"/>
        <v>2.4326397716190051E-4</v>
      </c>
      <c r="AE271" s="383"/>
      <c r="AF271" s="574">
        <f t="shared" si="97"/>
        <v>5.9352771150790296E-2</v>
      </c>
      <c r="AG271" s="376">
        <f t="shared" si="123"/>
        <v>0.94033088877307569</v>
      </c>
      <c r="AH271" s="376">
        <f t="shared" si="109"/>
        <v>0.9406472288492097</v>
      </c>
      <c r="AI271" s="553">
        <f t="shared" si="110"/>
        <v>3.1629004588784593E-4</v>
      </c>
      <c r="AJ271" s="374"/>
      <c r="AK271" s="577">
        <f t="shared" si="98"/>
        <v>6.814067679635484E-2</v>
      </c>
      <c r="AL271" s="376">
        <f t="shared" si="111"/>
        <v>0.93158183225106328</v>
      </c>
      <c r="AM271" s="376">
        <f t="shared" si="112"/>
        <v>0.93185932320364517</v>
      </c>
      <c r="AN271" s="553">
        <f t="shared" si="113"/>
        <v>2.7745245552845965E-4</v>
      </c>
      <c r="AO271" s="554"/>
      <c r="AP271" s="580">
        <f t="shared" si="99"/>
        <v>8.6229420829704306E-3</v>
      </c>
      <c r="AQ271" s="376">
        <f t="shared" si="114"/>
        <v>0.99122226553568216</v>
      </c>
      <c r="AR271" s="379">
        <f t="shared" si="115"/>
        <v>0.99137705791702957</v>
      </c>
      <c r="AS271" s="376">
        <f t="shared" si="116"/>
        <v>1.547804016248655E-4</v>
      </c>
      <c r="AT271" s="384"/>
      <c r="AU271" s="583">
        <f t="shared" si="100"/>
        <v>0.28274086570112517</v>
      </c>
      <c r="AV271" s="381">
        <f t="shared" si="126"/>
        <v>1.2632219130939928</v>
      </c>
      <c r="AW271" s="376">
        <f t="shared" si="101"/>
        <v>1.2632244697203749</v>
      </c>
      <c r="AX271" s="503">
        <f t="shared" si="124"/>
        <v>2.5566231139917406E-6</v>
      </c>
      <c r="AY271" s="376">
        <f t="shared" si="102"/>
        <v>2.7588141432723918</v>
      </c>
      <c r="AZ271" s="381">
        <f t="shared" si="117"/>
        <v>2.2820968387327234E-3</v>
      </c>
      <c r="BA271" s="586">
        <f t="shared" si="118"/>
        <v>0.16537513955520969</v>
      </c>
      <c r="BB271" s="376">
        <f t="shared" si="119"/>
        <v>0.83432703327029567</v>
      </c>
      <c r="BC271" s="376">
        <f t="shared" si="120"/>
        <v>0.83462486044479034</v>
      </c>
      <c r="BD271" s="376">
        <f t="shared" si="121"/>
        <v>2.9778282838432979E-4</v>
      </c>
      <c r="BE271" s="283"/>
      <c r="BF271" s="283"/>
      <c r="BG271" s="283"/>
      <c r="BH271" s="283"/>
      <c r="BI271" s="283"/>
      <c r="BJ271" s="283"/>
      <c r="BK271" s="283"/>
      <c r="BL271" s="283"/>
      <c r="BM271" s="283"/>
      <c r="BN271" s="283"/>
      <c r="BO271" s="283"/>
      <c r="BP271" s="283"/>
      <c r="BQ271" s="283"/>
      <c r="BR271" s="283"/>
      <c r="BS271" s="283"/>
      <c r="BT271" s="283"/>
      <c r="BU271" s="283"/>
      <c r="BV271" s="283"/>
      <c r="BW271" s="283"/>
      <c r="BX271" s="283"/>
      <c r="BY271" s="283"/>
      <c r="BZ271" s="283"/>
      <c r="CA271" s="283"/>
      <c r="CB271" s="283"/>
      <c r="CC271" s="283"/>
      <c r="CD271" s="283"/>
      <c r="CE271" s="283"/>
      <c r="CF271" s="283"/>
      <c r="CG271" s="283"/>
      <c r="CH271" s="283"/>
      <c r="CI271" s="283"/>
      <c r="CJ271" s="283"/>
      <c r="CK271" s="283"/>
      <c r="CL271" s="283"/>
    </row>
    <row r="272" spans="1:90" ht="14.25" customHeight="1" x14ac:dyDescent="0.2">
      <c r="A272" s="28"/>
      <c r="B272" s="28"/>
      <c r="C272" s="28"/>
      <c r="D272" s="28"/>
      <c r="E272" s="282"/>
      <c r="F272" s="282"/>
      <c r="G272" s="282"/>
      <c r="H272" s="282"/>
      <c r="I272" s="282"/>
      <c r="J272" s="282"/>
      <c r="K272" s="282"/>
      <c r="L272" s="282"/>
      <c r="M272" s="282"/>
      <c r="N272" s="282"/>
      <c r="O272" s="282"/>
      <c r="P272" s="282"/>
      <c r="Q272" s="282"/>
      <c r="R272" s="282"/>
      <c r="S272" s="374"/>
      <c r="T272" s="373">
        <f t="shared" si="127"/>
        <v>246</v>
      </c>
      <c r="U272" s="374"/>
      <c r="V272" s="568">
        <f t="shared" si="122"/>
        <v>2.1385718028749975E-3</v>
      </c>
      <c r="W272" s="328">
        <f t="shared" si="103"/>
        <v>0.99780731123435973</v>
      </c>
      <c r="X272" s="328">
        <f t="shared" si="104"/>
        <v>0.99786142819712498</v>
      </c>
      <c r="Y272" s="328">
        <f t="shared" si="105"/>
        <v>5.4115498468787493E-5</v>
      </c>
      <c r="Z272" s="374"/>
      <c r="AA272" s="571">
        <f t="shared" si="106"/>
        <v>1.9320136715902624E-2</v>
      </c>
      <c r="AB272" s="327">
        <f t="shared" si="125"/>
        <v>0.98043978331990389</v>
      </c>
      <c r="AC272" s="327">
        <f t="shared" si="107"/>
        <v>0.9806798632840974</v>
      </c>
      <c r="AD272" s="327">
        <f t="shared" si="108"/>
        <v>2.4005114730507593E-4</v>
      </c>
      <c r="AE272" s="383"/>
      <c r="AF272" s="574">
        <f t="shared" si="97"/>
        <v>5.903902798569638E-2</v>
      </c>
      <c r="AG272" s="376">
        <f t="shared" si="123"/>
        <v>0.9406472288492097</v>
      </c>
      <c r="AH272" s="376">
        <f t="shared" si="109"/>
        <v>0.94096097201430362</v>
      </c>
      <c r="AI272" s="553">
        <f t="shared" si="110"/>
        <v>3.1369395285385515E-4</v>
      </c>
      <c r="AJ272" s="374"/>
      <c r="AK272" s="577">
        <f t="shared" si="98"/>
        <v>6.7865353256600647E-2</v>
      </c>
      <c r="AL272" s="376">
        <f t="shared" si="111"/>
        <v>0.93185932320364517</v>
      </c>
      <c r="AM272" s="376">
        <f t="shared" si="112"/>
        <v>0.9321346467433993</v>
      </c>
      <c r="AN272" s="553">
        <f t="shared" si="113"/>
        <v>2.7528564170653524E-4</v>
      </c>
      <c r="AO272" s="554"/>
      <c r="AP272" s="580">
        <f t="shared" si="99"/>
        <v>8.4709044718922488E-3</v>
      </c>
      <c r="AQ272" s="376">
        <f t="shared" si="114"/>
        <v>0.99137705791702957</v>
      </c>
      <c r="AR272" s="379">
        <f t="shared" si="115"/>
        <v>0.99152909552810775</v>
      </c>
      <c r="AS272" s="376">
        <f t="shared" si="116"/>
        <v>1.5202605394626367E-4</v>
      </c>
      <c r="AT272" s="384"/>
      <c r="AU272" s="583">
        <f t="shared" si="100"/>
        <v>0.28274017153625891</v>
      </c>
      <c r="AV272" s="381">
        <f t="shared" si="126"/>
        <v>1.2632244697203749</v>
      </c>
      <c r="AW272" s="376">
        <f t="shared" si="101"/>
        <v>1.2632269248508587</v>
      </c>
      <c r="AX272" s="503">
        <f t="shared" si="124"/>
        <v>2.455127469991325E-6</v>
      </c>
      <c r="AY272" s="376">
        <f t="shared" si="102"/>
        <v>2.7620180813883857</v>
      </c>
      <c r="AZ272" s="381">
        <f t="shared" si="117"/>
        <v>2.2690839449734015E-3</v>
      </c>
      <c r="BA272" s="586">
        <f t="shared" si="118"/>
        <v>0.16507905471727341</v>
      </c>
      <c r="BB272" s="376">
        <f t="shared" si="119"/>
        <v>0.83462486044479034</v>
      </c>
      <c r="BC272" s="376">
        <f t="shared" si="120"/>
        <v>0.83492094528272665</v>
      </c>
      <c r="BD272" s="376">
        <f t="shared" si="121"/>
        <v>2.9604100914648601E-4</v>
      </c>
      <c r="BE272" s="283"/>
      <c r="BF272" s="283"/>
      <c r="BG272" s="283"/>
      <c r="BH272" s="283"/>
      <c r="BI272" s="283"/>
      <c r="BJ272" s="283"/>
      <c r="BK272" s="283"/>
      <c r="BL272" s="283"/>
      <c r="BM272" s="283"/>
      <c r="BN272" s="283"/>
      <c r="BO272" s="283"/>
      <c r="BP272" s="283"/>
      <c r="BQ272" s="283"/>
      <c r="BR272" s="283"/>
      <c r="BS272" s="283"/>
      <c r="BT272" s="283"/>
      <c r="BU272" s="283"/>
      <c r="BV272" s="283"/>
      <c r="BW272" s="283"/>
      <c r="BX272" s="283"/>
      <c r="BY272" s="283"/>
      <c r="BZ272" s="283"/>
      <c r="CA272" s="283"/>
      <c r="CB272" s="283"/>
      <c r="CC272" s="283"/>
      <c r="CD272" s="283"/>
      <c r="CE272" s="283"/>
      <c r="CF272" s="283"/>
      <c r="CG272" s="283"/>
      <c r="CH272" s="283"/>
      <c r="CI272" s="283"/>
      <c r="CJ272" s="283"/>
      <c r="CK272" s="283"/>
      <c r="CL272" s="283"/>
    </row>
    <row r="273" spans="1:90" ht="14.25" customHeight="1" x14ac:dyDescent="0.2">
      <c r="A273" s="28"/>
      <c r="B273" s="28"/>
      <c r="C273" s="28"/>
      <c r="D273" s="28"/>
      <c r="E273" s="282"/>
      <c r="F273" s="282"/>
      <c r="G273" s="282"/>
      <c r="H273" s="282"/>
      <c r="I273" s="282"/>
      <c r="J273" s="282"/>
      <c r="K273" s="282"/>
      <c r="L273" s="282"/>
      <c r="M273" s="282"/>
      <c r="N273" s="282"/>
      <c r="O273" s="282"/>
      <c r="P273" s="282"/>
      <c r="Q273" s="282"/>
      <c r="R273" s="282"/>
      <c r="S273" s="374"/>
      <c r="T273" s="373">
        <f t="shared" si="127"/>
        <v>247</v>
      </c>
      <c r="U273" s="374"/>
      <c r="V273" s="568">
        <f t="shared" si="122"/>
        <v>2.0857904814030825E-3</v>
      </c>
      <c r="W273" s="328">
        <f t="shared" si="103"/>
        <v>0.99786142819712498</v>
      </c>
      <c r="X273" s="328">
        <f t="shared" si="104"/>
        <v>0.99791420951859688</v>
      </c>
      <c r="Y273" s="328">
        <f t="shared" si="105"/>
        <v>5.277992856245195E-5</v>
      </c>
      <c r="Z273" s="374"/>
      <c r="AA273" s="571">
        <f t="shared" si="106"/>
        <v>1.9083224256130387E-2</v>
      </c>
      <c r="AB273" s="327">
        <f t="shared" si="125"/>
        <v>0.9806798632840974</v>
      </c>
      <c r="AC273" s="327">
        <f t="shared" si="107"/>
        <v>0.9809167757438696</v>
      </c>
      <c r="AD273" s="327">
        <f t="shared" si="108"/>
        <v>2.3688439823144058E-4</v>
      </c>
      <c r="AE273" s="383"/>
      <c r="AF273" s="574">
        <f t="shared" si="97"/>
        <v>5.8727852186164275E-2</v>
      </c>
      <c r="AG273" s="376">
        <f t="shared" si="123"/>
        <v>0.94096097201430362</v>
      </c>
      <c r="AH273" s="376">
        <f t="shared" si="109"/>
        <v>0.94127214781383572</v>
      </c>
      <c r="AI273" s="553">
        <f t="shared" si="110"/>
        <v>3.1112738936445172E-4</v>
      </c>
      <c r="AJ273" s="374"/>
      <c r="AK273" s="577">
        <f t="shared" si="98"/>
        <v>6.7592172144905496E-2</v>
      </c>
      <c r="AL273" s="376">
        <f t="shared" si="111"/>
        <v>0.9321346467433993</v>
      </c>
      <c r="AM273" s="376">
        <f t="shared" si="112"/>
        <v>0.93240782785509446</v>
      </c>
      <c r="AN273" s="553">
        <f t="shared" si="113"/>
        <v>2.7314380113285797E-4</v>
      </c>
      <c r="AO273" s="554"/>
      <c r="AP273" s="580">
        <f t="shared" si="99"/>
        <v>8.3215719925684439E-3</v>
      </c>
      <c r="AQ273" s="376">
        <f t="shared" si="114"/>
        <v>0.99152909552810775</v>
      </c>
      <c r="AR273" s="379">
        <f t="shared" si="115"/>
        <v>0.99167842800743156</v>
      </c>
      <c r="AS273" s="376">
        <f t="shared" si="116"/>
        <v>1.4932132978406898E-4</v>
      </c>
      <c r="AT273" s="384"/>
      <c r="AU273" s="583">
        <f t="shared" si="100"/>
        <v>0.28273950493075312</v>
      </c>
      <c r="AV273" s="381">
        <f t="shared" si="126"/>
        <v>1.2632269248508587</v>
      </c>
      <c r="AW273" s="376">
        <f t="shared" si="101"/>
        <v>1.2632292825147449</v>
      </c>
      <c r="AX273" s="503">
        <f t="shared" si="124"/>
        <v>2.3576611067888109E-6</v>
      </c>
      <c r="AY273" s="376">
        <f t="shared" si="102"/>
        <v>2.7652090217481047</v>
      </c>
      <c r="AZ273" s="381">
        <f t="shared" si="117"/>
        <v>2.2561975933238589E-3</v>
      </c>
      <c r="BA273" s="586">
        <f t="shared" si="118"/>
        <v>0.1647846950240604</v>
      </c>
      <c r="BB273" s="376">
        <f t="shared" si="119"/>
        <v>0.83492094528272665</v>
      </c>
      <c r="BC273" s="376">
        <f t="shared" si="120"/>
        <v>0.83521530497593965</v>
      </c>
      <c r="BD273" s="376">
        <f t="shared" si="121"/>
        <v>2.9431637364918384E-4</v>
      </c>
      <c r="BE273" s="283"/>
      <c r="BF273" s="283"/>
      <c r="BG273" s="283"/>
      <c r="BH273" s="283"/>
      <c r="BI273" s="283"/>
      <c r="BJ273" s="283"/>
      <c r="BK273" s="283"/>
      <c r="BL273" s="283"/>
      <c r="BM273" s="283"/>
      <c r="BN273" s="283"/>
      <c r="BO273" s="283"/>
      <c r="BP273" s="283"/>
      <c r="BQ273" s="283"/>
      <c r="BR273" s="283"/>
      <c r="BS273" s="283"/>
      <c r="BT273" s="283"/>
      <c r="BU273" s="283"/>
      <c r="BV273" s="283"/>
      <c r="BW273" s="283"/>
      <c r="BX273" s="283"/>
      <c r="BY273" s="283"/>
      <c r="BZ273" s="283"/>
      <c r="CA273" s="283"/>
      <c r="CB273" s="283"/>
      <c r="CC273" s="283"/>
      <c r="CD273" s="283"/>
      <c r="CE273" s="283"/>
      <c r="CF273" s="283"/>
      <c r="CG273" s="283"/>
      <c r="CH273" s="283"/>
      <c r="CI273" s="283"/>
      <c r="CJ273" s="283"/>
      <c r="CK273" s="283"/>
      <c r="CL273" s="283"/>
    </row>
    <row r="274" spans="1:90" ht="14.25" customHeight="1" x14ac:dyDescent="0.2">
      <c r="A274" s="28"/>
      <c r="B274" s="28"/>
      <c r="C274" s="28"/>
      <c r="D274" s="28"/>
      <c r="E274" s="282"/>
      <c r="F274" s="282"/>
      <c r="G274" s="282"/>
      <c r="H274" s="282"/>
      <c r="I274" s="282"/>
      <c r="J274" s="282"/>
      <c r="K274" s="282"/>
      <c r="L274" s="282"/>
      <c r="M274" s="282"/>
      <c r="N274" s="282"/>
      <c r="O274" s="282"/>
      <c r="P274" s="282"/>
      <c r="Q274" s="282"/>
      <c r="R274" s="282"/>
      <c r="S274" s="374"/>
      <c r="T274" s="373">
        <f t="shared" si="127"/>
        <v>248</v>
      </c>
      <c r="U274" s="374"/>
      <c r="V274" s="568">
        <f t="shared" si="122"/>
        <v>2.0343118367421946E-3</v>
      </c>
      <c r="W274" s="328">
        <f t="shared" si="103"/>
        <v>0.99791420951859688</v>
      </c>
      <c r="X274" s="328">
        <f t="shared" si="104"/>
        <v>0.99796568816325781</v>
      </c>
      <c r="Y274" s="328">
        <f t="shared" si="105"/>
        <v>5.1477319658266296E-5</v>
      </c>
      <c r="Z274" s="374"/>
      <c r="AA274" s="571">
        <f t="shared" si="106"/>
        <v>1.8849433924845688E-2</v>
      </c>
      <c r="AB274" s="327">
        <f t="shared" si="125"/>
        <v>0.9809167757438696</v>
      </c>
      <c r="AC274" s="327">
        <f t="shared" si="107"/>
        <v>0.98115056607515427</v>
      </c>
      <c r="AD274" s="327">
        <f t="shared" si="108"/>
        <v>2.3376300445476783E-4</v>
      </c>
      <c r="AE274" s="383"/>
      <c r="AF274" s="574">
        <f t="shared" si="97"/>
        <v>5.8419214640941686E-2</v>
      </c>
      <c r="AG274" s="376">
        <f t="shared" si="123"/>
        <v>0.94127214781383572</v>
      </c>
      <c r="AH274" s="376">
        <f t="shared" si="109"/>
        <v>0.94158078535905831</v>
      </c>
      <c r="AI274" s="553">
        <f t="shared" si="110"/>
        <v>3.0858992155502474E-4</v>
      </c>
      <c r="AJ274" s="374"/>
      <c r="AK274" s="577">
        <f t="shared" si="98"/>
        <v>6.7321108856493839E-2</v>
      </c>
      <c r="AL274" s="376">
        <f t="shared" si="111"/>
        <v>0.93240782785509446</v>
      </c>
      <c r="AM274" s="376">
        <f t="shared" si="112"/>
        <v>0.93267889114350622</v>
      </c>
      <c r="AN274" s="553">
        <f t="shared" si="113"/>
        <v>2.7102655407773568E-4</v>
      </c>
      <c r="AO274" s="554"/>
      <c r="AP274" s="580">
        <f t="shared" si="99"/>
        <v>8.1748959165697244E-3</v>
      </c>
      <c r="AQ274" s="376">
        <f t="shared" si="114"/>
        <v>0.99167842800743156</v>
      </c>
      <c r="AR274" s="379">
        <f t="shared" si="115"/>
        <v>0.99182510408343028</v>
      </c>
      <c r="AS274" s="376">
        <f t="shared" si="116"/>
        <v>1.4666531958895668E-4</v>
      </c>
      <c r="AT274" s="384"/>
      <c r="AU274" s="583">
        <f t="shared" si="100"/>
        <v>0.28273886479039978</v>
      </c>
      <c r="AV274" s="381">
        <f t="shared" si="126"/>
        <v>1.2632292825147449</v>
      </c>
      <c r="AW274" s="376">
        <f t="shared" si="101"/>
        <v>1.2632315465813746</v>
      </c>
      <c r="AX274" s="503">
        <f t="shared" si="124"/>
        <v>2.2640640667814793E-6</v>
      </c>
      <c r="AY274" s="376">
        <f t="shared" si="102"/>
        <v>2.7683870693843513</v>
      </c>
      <c r="AZ274" s="381">
        <f t="shared" si="117"/>
        <v>2.2434360483670561E-3</v>
      </c>
      <c r="BA274" s="586">
        <f t="shared" si="118"/>
        <v>0.16449204352183752</v>
      </c>
      <c r="BB274" s="376">
        <f t="shared" si="119"/>
        <v>0.83521530497593965</v>
      </c>
      <c r="BC274" s="376">
        <f t="shared" si="120"/>
        <v>0.83550795647816245</v>
      </c>
      <c r="BD274" s="376">
        <f t="shared" si="121"/>
        <v>2.9260868394898054E-4</v>
      </c>
      <c r="BE274" s="283"/>
      <c r="BF274" s="283"/>
      <c r="BG274" s="283"/>
      <c r="BH274" s="283"/>
      <c r="BI274" s="283"/>
      <c r="BJ274" s="283"/>
      <c r="BK274" s="283"/>
      <c r="BL274" s="283"/>
      <c r="BM274" s="283"/>
      <c r="BN274" s="283"/>
      <c r="BO274" s="283"/>
      <c r="BP274" s="283"/>
      <c r="BQ274" s="283"/>
      <c r="BR274" s="283"/>
      <c r="BS274" s="283"/>
      <c r="BT274" s="283"/>
      <c r="BU274" s="283"/>
      <c r="BV274" s="283"/>
      <c r="BW274" s="283"/>
      <c r="BX274" s="283"/>
      <c r="BY274" s="283"/>
      <c r="BZ274" s="283"/>
      <c r="CA274" s="283"/>
      <c r="CB274" s="283"/>
      <c r="CC274" s="283"/>
      <c r="CD274" s="283"/>
      <c r="CE274" s="283"/>
      <c r="CF274" s="283"/>
      <c r="CG274" s="283"/>
      <c r="CH274" s="283"/>
      <c r="CI274" s="283"/>
      <c r="CJ274" s="283"/>
      <c r="CK274" s="283"/>
      <c r="CL274" s="283"/>
    </row>
    <row r="275" spans="1:90" ht="14.25" customHeight="1" x14ac:dyDescent="0.2">
      <c r="A275" s="28"/>
      <c r="B275" s="28"/>
      <c r="C275" s="28"/>
      <c r="D275" s="28"/>
      <c r="E275" s="282"/>
      <c r="F275" s="282"/>
      <c r="G275" s="282"/>
      <c r="H275" s="282"/>
      <c r="I275" s="282"/>
      <c r="J275" s="282"/>
      <c r="K275" s="282"/>
      <c r="L275" s="282"/>
      <c r="M275" s="282"/>
      <c r="N275" s="282"/>
      <c r="O275" s="282"/>
      <c r="P275" s="282"/>
      <c r="Q275" s="282"/>
      <c r="R275" s="282"/>
      <c r="S275" s="374"/>
      <c r="T275" s="373">
        <f t="shared" si="127"/>
        <v>249</v>
      </c>
      <c r="U275" s="374"/>
      <c r="V275" s="568">
        <f t="shared" si="122"/>
        <v>1.9841037179945038E-3</v>
      </c>
      <c r="W275" s="328">
        <f t="shared" si="103"/>
        <v>0.99796568816325781</v>
      </c>
      <c r="X275" s="328">
        <f t="shared" si="104"/>
        <v>0.99801589628200549</v>
      </c>
      <c r="Y275" s="328">
        <f t="shared" si="105"/>
        <v>5.0206858341228511E-5</v>
      </c>
      <c r="Z275" s="374"/>
      <c r="AA275" s="571">
        <f t="shared" si="106"/>
        <v>1.8618721059521275E-2</v>
      </c>
      <c r="AB275" s="327">
        <f t="shared" si="125"/>
        <v>0.98115056607515427</v>
      </c>
      <c r="AC275" s="327">
        <f t="shared" si="107"/>
        <v>0.98138127894047877</v>
      </c>
      <c r="AD275" s="327">
        <f t="shared" si="108"/>
        <v>2.3068625315803004E-4</v>
      </c>
      <c r="AE275" s="383"/>
      <c r="AF275" s="574">
        <f t="shared" si="97"/>
        <v>5.8113086665138591E-2</v>
      </c>
      <c r="AG275" s="376">
        <f t="shared" si="123"/>
        <v>0.94158078535905831</v>
      </c>
      <c r="AH275" s="376">
        <f t="shared" si="109"/>
        <v>0.94188691333486141</v>
      </c>
      <c r="AI275" s="553">
        <f t="shared" si="110"/>
        <v>3.060811234153471E-4</v>
      </c>
      <c r="AJ275" s="374"/>
      <c r="AK275" s="577">
        <f t="shared" si="98"/>
        <v>6.7052139159417656E-2</v>
      </c>
      <c r="AL275" s="376">
        <f t="shared" si="111"/>
        <v>0.93267889114350622</v>
      </c>
      <c r="AM275" s="376">
        <f t="shared" si="112"/>
        <v>0.93294786084058234</v>
      </c>
      <c r="AN275" s="553">
        <f t="shared" si="113"/>
        <v>2.6893352796997227E-4</v>
      </c>
      <c r="AO275" s="554"/>
      <c r="AP275" s="580">
        <f t="shared" si="99"/>
        <v>8.0308284084484871E-3</v>
      </c>
      <c r="AQ275" s="376">
        <f t="shared" si="114"/>
        <v>0.99182510408343028</v>
      </c>
      <c r="AR275" s="379">
        <f t="shared" si="115"/>
        <v>0.99196917159155151</v>
      </c>
      <c r="AS275" s="376">
        <f t="shared" si="116"/>
        <v>1.4405713089615801E-4</v>
      </c>
      <c r="AT275" s="384"/>
      <c r="AU275" s="583">
        <f t="shared" si="100"/>
        <v>0.28273825006443959</v>
      </c>
      <c r="AV275" s="381">
        <f t="shared" si="126"/>
        <v>1.2632315465813746</v>
      </c>
      <c r="AW275" s="376">
        <f t="shared" si="101"/>
        <v>1.2632337207664797</v>
      </c>
      <c r="AX275" s="503">
        <f t="shared" si="124"/>
        <v>2.1741827415100445E-6</v>
      </c>
      <c r="AY275" s="376">
        <f t="shared" si="102"/>
        <v>2.771552328061921</v>
      </c>
      <c r="AZ275" s="381">
        <f t="shared" si="117"/>
        <v>2.2307976053540647E-3</v>
      </c>
      <c r="BA275" s="586">
        <f t="shared" si="118"/>
        <v>0.16420108349073465</v>
      </c>
      <c r="BB275" s="376">
        <f t="shared" si="119"/>
        <v>0.83550795647816245</v>
      </c>
      <c r="BC275" s="376">
        <f t="shared" si="120"/>
        <v>0.83579891650926541</v>
      </c>
      <c r="BD275" s="376">
        <f t="shared" si="121"/>
        <v>2.9091770633815628E-4</v>
      </c>
      <c r="BE275" s="283"/>
      <c r="BF275" s="283"/>
      <c r="BG275" s="283"/>
      <c r="BH275" s="283"/>
      <c r="BI275" s="283"/>
      <c r="BJ275" s="283"/>
      <c r="BK275" s="283"/>
      <c r="BL275" s="283"/>
      <c r="BM275" s="283"/>
      <c r="BN275" s="283"/>
      <c r="BO275" s="283"/>
      <c r="BP275" s="283"/>
      <c r="BQ275" s="283"/>
      <c r="BR275" s="283"/>
      <c r="BS275" s="283"/>
      <c r="BT275" s="283"/>
      <c r="BU275" s="283"/>
      <c r="BV275" s="283"/>
      <c r="BW275" s="283"/>
      <c r="BX275" s="283"/>
      <c r="BY275" s="283"/>
      <c r="BZ275" s="283"/>
      <c r="CA275" s="283"/>
      <c r="CB275" s="283"/>
      <c r="CC275" s="283"/>
      <c r="CD275" s="283"/>
      <c r="CE275" s="283"/>
      <c r="CF275" s="283"/>
      <c r="CG275" s="283"/>
      <c r="CH275" s="283"/>
      <c r="CI275" s="283"/>
      <c r="CJ275" s="283"/>
      <c r="CK275" s="283"/>
      <c r="CL275" s="283"/>
    </row>
    <row r="276" spans="1:90" ht="14.25" customHeight="1" x14ac:dyDescent="0.2">
      <c r="A276" s="28"/>
      <c r="B276" s="28"/>
      <c r="C276" s="28"/>
      <c r="D276" s="28"/>
      <c r="E276" s="282"/>
      <c r="F276" s="282"/>
      <c r="G276" s="282"/>
      <c r="H276" s="282"/>
      <c r="I276" s="282"/>
      <c r="J276" s="282"/>
      <c r="K276" s="282"/>
      <c r="L276" s="282"/>
      <c r="M276" s="282"/>
      <c r="N276" s="282"/>
      <c r="O276" s="282"/>
      <c r="P276" s="282"/>
      <c r="Q276" s="282"/>
      <c r="R276" s="282"/>
      <c r="S276" s="374"/>
      <c r="T276" s="373">
        <f t="shared" si="127"/>
        <v>250</v>
      </c>
      <c r="U276" s="374"/>
      <c r="V276" s="568">
        <f t="shared" si="122"/>
        <v>1.9351347677669247E-3</v>
      </c>
      <c r="W276" s="328">
        <f t="shared" si="103"/>
        <v>0.99801589628200549</v>
      </c>
      <c r="X276" s="328">
        <f t="shared" si="104"/>
        <v>0.99806486523223303</v>
      </c>
      <c r="Y276" s="328">
        <f t="shared" si="105"/>
        <v>4.8967751268058635E-5</v>
      </c>
      <c r="Z276" s="374"/>
      <c r="AA276" s="571">
        <f t="shared" si="106"/>
        <v>1.8391041698596764E-2</v>
      </c>
      <c r="AB276" s="327">
        <f t="shared" si="125"/>
        <v>0.98138127894047877</v>
      </c>
      <c r="AC276" s="327">
        <f t="shared" si="107"/>
        <v>0.98160895830140327</v>
      </c>
      <c r="AD276" s="327">
        <f t="shared" si="108"/>
        <v>2.2765344394570786E-4</v>
      </c>
      <c r="AE276" s="383"/>
      <c r="AF276" s="574">
        <f t="shared" si="97"/>
        <v>5.7809439992535072E-2</v>
      </c>
      <c r="AG276" s="376">
        <f t="shared" si="123"/>
        <v>0.94188691333486141</v>
      </c>
      <c r="AH276" s="376">
        <f t="shared" si="109"/>
        <v>0.94219056000746493</v>
      </c>
      <c r="AI276" s="553">
        <f t="shared" si="110"/>
        <v>3.0360057661837914E-4</v>
      </c>
      <c r="AJ276" s="374"/>
      <c r="AK276" s="577">
        <f t="shared" si="98"/>
        <v>6.6785239187551929E-2</v>
      </c>
      <c r="AL276" s="376">
        <f t="shared" si="111"/>
        <v>0.93294786084058234</v>
      </c>
      <c r="AM276" s="376">
        <f t="shared" si="112"/>
        <v>0.93321476081244803</v>
      </c>
      <c r="AN276" s="553">
        <f t="shared" si="113"/>
        <v>2.6686435723677349E-4</v>
      </c>
      <c r="AO276" s="554"/>
      <c r="AP276" s="580">
        <f t="shared" si="99"/>
        <v>7.8893225089682328E-3</v>
      </c>
      <c r="AQ276" s="376">
        <f t="shared" si="114"/>
        <v>0.99196917159155151</v>
      </c>
      <c r="AR276" s="379">
        <f t="shared" si="115"/>
        <v>0.99211067749103177</v>
      </c>
      <c r="AS276" s="376">
        <f t="shared" si="116"/>
        <v>1.4149588799272639E-4</v>
      </c>
      <c r="AT276" s="384"/>
      <c r="AU276" s="583">
        <f t="shared" si="100"/>
        <v>0.28273765974383652</v>
      </c>
      <c r="AV276" s="381">
        <f t="shared" si="126"/>
        <v>1.2632337207664797</v>
      </c>
      <c r="AW276" s="376">
        <f t="shared" si="101"/>
        <v>1.2632358086382804</v>
      </c>
      <c r="AX276" s="503">
        <f t="shared" si="124"/>
        <v>2.0878696211923398E-6</v>
      </c>
      <c r="AY276" s="376">
        <f t="shared" si="102"/>
        <v>2.7747049002979316</v>
      </c>
      <c r="AZ276" s="381">
        <f t="shared" si="117"/>
        <v>2.2182805895417097E-3</v>
      </c>
      <c r="BA276" s="586">
        <f t="shared" si="118"/>
        <v>0.16391179844059883</v>
      </c>
      <c r="BB276" s="376">
        <f t="shared" si="119"/>
        <v>0.83579891650926541</v>
      </c>
      <c r="BC276" s="376">
        <f t="shared" si="120"/>
        <v>0.83608820155940111</v>
      </c>
      <c r="BD276" s="376">
        <f t="shared" si="121"/>
        <v>2.8924321125012309E-4</v>
      </c>
      <c r="BE276" s="283"/>
      <c r="BF276" s="283"/>
      <c r="BG276" s="283"/>
      <c r="BH276" s="283"/>
      <c r="BI276" s="283"/>
      <c r="BJ276" s="283"/>
      <c r="BK276" s="283"/>
      <c r="BL276" s="283"/>
      <c r="BM276" s="283"/>
      <c r="BN276" s="283"/>
      <c r="BO276" s="283"/>
      <c r="BP276" s="283"/>
      <c r="BQ276" s="283"/>
      <c r="BR276" s="283"/>
      <c r="BS276" s="283"/>
      <c r="BT276" s="283"/>
      <c r="BU276" s="283"/>
      <c r="BV276" s="283"/>
      <c r="BW276" s="283"/>
      <c r="BX276" s="283"/>
      <c r="BY276" s="283"/>
      <c r="BZ276" s="283"/>
      <c r="CA276" s="283"/>
      <c r="CB276" s="283"/>
      <c r="CC276" s="283"/>
      <c r="CD276" s="283"/>
      <c r="CE276" s="283"/>
      <c r="CF276" s="283"/>
      <c r="CG276" s="283"/>
      <c r="CH276" s="283"/>
      <c r="CI276" s="283"/>
      <c r="CJ276" s="283"/>
      <c r="CK276" s="283"/>
      <c r="CL276" s="283"/>
    </row>
    <row r="277" spans="1:90" ht="14.25" customHeight="1" x14ac:dyDescent="0.2">
      <c r="A277" s="28"/>
      <c r="B277" s="28"/>
      <c r="C277" s="28"/>
      <c r="D277" s="28"/>
      <c r="E277" s="282"/>
      <c r="F277" s="282"/>
      <c r="G277" s="282"/>
      <c r="H277" s="282"/>
      <c r="I277" s="282"/>
      <c r="J277" s="282"/>
      <c r="K277" s="282"/>
      <c r="L277" s="282"/>
      <c r="M277" s="282"/>
      <c r="N277" s="282"/>
      <c r="O277" s="282"/>
      <c r="P277" s="282"/>
      <c r="Q277" s="282"/>
      <c r="R277" s="282"/>
      <c r="S277" s="374"/>
      <c r="T277" s="373">
        <f t="shared" si="127"/>
        <v>251</v>
      </c>
      <c r="U277" s="374"/>
      <c r="V277" s="568">
        <f t="shared" si="122"/>
        <v>1.8873744025869131E-3</v>
      </c>
      <c r="W277" s="328">
        <f t="shared" si="103"/>
        <v>0.99806486523223303</v>
      </c>
      <c r="X277" s="328">
        <f t="shared" si="104"/>
        <v>0.99811262559741309</v>
      </c>
      <c r="Y277" s="328">
        <f t="shared" si="105"/>
        <v>4.775922467192828E-5</v>
      </c>
      <c r="Z277" s="374"/>
      <c r="AA277" s="571">
        <f t="shared" si="106"/>
        <v>1.8166352569281983E-2</v>
      </c>
      <c r="AB277" s="327">
        <f t="shared" si="125"/>
        <v>0.98160895830140327</v>
      </c>
      <c r="AC277" s="327">
        <f t="shared" si="107"/>
        <v>0.98183364743071799</v>
      </c>
      <c r="AD277" s="327">
        <f t="shared" si="108"/>
        <v>2.2466388860276076E-4</v>
      </c>
      <c r="AE277" s="383"/>
      <c r="AF277" s="574">
        <f t="shared" si="97"/>
        <v>5.7508246768052995E-2</v>
      </c>
      <c r="AG277" s="376">
        <f t="shared" si="123"/>
        <v>0.94219056000746493</v>
      </c>
      <c r="AH277" s="376">
        <f t="shared" si="109"/>
        <v>0.942491753231947</v>
      </c>
      <c r="AI277" s="553">
        <f t="shared" si="110"/>
        <v>3.0114787035639967E-4</v>
      </c>
      <c r="AJ277" s="374"/>
      <c r="AK277" s="577">
        <f t="shared" si="98"/>
        <v>6.6520385433746887E-2</v>
      </c>
      <c r="AL277" s="376">
        <f t="shared" si="111"/>
        <v>0.93321476081244803</v>
      </c>
      <c r="AM277" s="376">
        <f t="shared" si="112"/>
        <v>0.93347961456625317</v>
      </c>
      <c r="AN277" s="553">
        <f t="shared" si="113"/>
        <v>2.6481868314598422E-4</v>
      </c>
      <c r="AO277" s="554"/>
      <c r="AP277" s="580">
        <f t="shared" si="99"/>
        <v>7.7503321186589424E-3</v>
      </c>
      <c r="AQ277" s="376">
        <f t="shared" si="114"/>
        <v>0.99211067749103177</v>
      </c>
      <c r="AR277" s="379">
        <f t="shared" si="115"/>
        <v>0.99224966788134106</v>
      </c>
      <c r="AS277" s="376">
        <f t="shared" si="116"/>
        <v>1.3898073159246405E-4</v>
      </c>
      <c r="AT277" s="384"/>
      <c r="AU277" s="583">
        <f t="shared" si="100"/>
        <v>0.28273709285962079</v>
      </c>
      <c r="AV277" s="381">
        <f t="shared" si="126"/>
        <v>1.2632358086382804</v>
      </c>
      <c r="AW277" s="376">
        <f t="shared" si="101"/>
        <v>1.2632378136233418</v>
      </c>
      <c r="AX277" s="503">
        <f t="shared" si="124"/>
        <v>2.00498305136243E-6</v>
      </c>
      <c r="AY277" s="376">
        <f t="shared" si="102"/>
        <v>2.7778448873817418</v>
      </c>
      <c r="AZ277" s="381">
        <f t="shared" si="117"/>
        <v>2.2058833555470875E-3</v>
      </c>
      <c r="BA277" s="586">
        <f t="shared" si="118"/>
        <v>0.16362417210693825</v>
      </c>
      <c r="BB277" s="376">
        <f t="shared" si="119"/>
        <v>0.83608820155940111</v>
      </c>
      <c r="BC277" s="376">
        <f t="shared" si="120"/>
        <v>0.83637582789306175</v>
      </c>
      <c r="BD277" s="376">
        <f t="shared" si="121"/>
        <v>2.8758497317227238E-4</v>
      </c>
      <c r="BE277" s="283"/>
      <c r="BF277" s="283"/>
      <c r="BG277" s="283"/>
      <c r="BH277" s="283"/>
      <c r="BI277" s="283"/>
      <c r="BJ277" s="283"/>
      <c r="BK277" s="283"/>
      <c r="BL277" s="283"/>
      <c r="BM277" s="283"/>
      <c r="BN277" s="283"/>
      <c r="BO277" s="283"/>
      <c r="BP277" s="283"/>
      <c r="BQ277" s="283"/>
      <c r="BR277" s="283"/>
      <c r="BS277" s="283"/>
      <c r="BT277" s="283"/>
      <c r="BU277" s="283"/>
      <c r="BV277" s="283"/>
      <c r="BW277" s="283"/>
      <c r="BX277" s="283"/>
      <c r="BY277" s="283"/>
      <c r="BZ277" s="283"/>
      <c r="CA277" s="283"/>
      <c r="CB277" s="283"/>
      <c r="CC277" s="283"/>
      <c r="CD277" s="283"/>
      <c r="CE277" s="283"/>
      <c r="CF277" s="283"/>
      <c r="CG277" s="283"/>
      <c r="CH277" s="283"/>
      <c r="CI277" s="283"/>
      <c r="CJ277" s="283"/>
      <c r="CK277" s="283"/>
      <c r="CL277" s="283"/>
    </row>
    <row r="278" spans="1:90" ht="14.25" customHeight="1" x14ac:dyDescent="0.2">
      <c r="A278" s="28"/>
      <c r="B278" s="28"/>
      <c r="C278" s="28"/>
      <c r="D278" s="28"/>
      <c r="E278" s="282"/>
      <c r="F278" s="282"/>
      <c r="G278" s="282"/>
      <c r="H278" s="282"/>
      <c r="I278" s="282"/>
      <c r="J278" s="282"/>
      <c r="K278" s="282"/>
      <c r="L278" s="282"/>
      <c r="M278" s="282"/>
      <c r="N278" s="282"/>
      <c r="O278" s="282"/>
      <c r="P278" s="282"/>
      <c r="Q278" s="282"/>
      <c r="R278" s="282"/>
      <c r="S278" s="374"/>
      <c r="T278" s="373">
        <f t="shared" si="127"/>
        <v>252</v>
      </c>
      <c r="U278" s="374"/>
      <c r="V278" s="568">
        <f t="shared" si="122"/>
        <v>1.8407927938016101E-3</v>
      </c>
      <c r="W278" s="328">
        <f t="shared" si="103"/>
        <v>0.99811262559741309</v>
      </c>
      <c r="X278" s="328">
        <f t="shared" si="104"/>
        <v>0.99815920720619844</v>
      </c>
      <c r="Y278" s="328">
        <f t="shared" si="105"/>
        <v>4.6580523879069524E-5</v>
      </c>
      <c r="Z278" s="374"/>
      <c r="AA278" s="571">
        <f t="shared" si="106"/>
        <v>1.7944611075597475E-2</v>
      </c>
      <c r="AB278" s="327">
        <f t="shared" si="125"/>
        <v>0.98183364743071799</v>
      </c>
      <c r="AC278" s="327">
        <f t="shared" si="107"/>
        <v>0.98205538892440247</v>
      </c>
      <c r="AD278" s="327">
        <f t="shared" si="108"/>
        <v>2.2171691085648426E-4</v>
      </c>
      <c r="AE278" s="383"/>
      <c r="AF278" s="574">
        <f t="shared" si="97"/>
        <v>5.7209479540390684E-2</v>
      </c>
      <c r="AG278" s="376">
        <f t="shared" si="123"/>
        <v>0.942491753231947</v>
      </c>
      <c r="AH278" s="376">
        <f t="shared" si="109"/>
        <v>0.94279052045960932</v>
      </c>
      <c r="AI278" s="553">
        <f t="shared" si="110"/>
        <v>2.987226011785804E-4</v>
      </c>
      <c r="AJ278" s="374"/>
      <c r="AK278" s="577">
        <f t="shared" si="98"/>
        <v>6.625755474313319E-2</v>
      </c>
      <c r="AL278" s="376">
        <f t="shared" si="111"/>
        <v>0.93347961456625317</v>
      </c>
      <c r="AM278" s="376">
        <f t="shared" si="112"/>
        <v>0.93374244525686678</v>
      </c>
      <c r="AN278" s="553">
        <f t="shared" si="113"/>
        <v>2.6279615365354392E-4</v>
      </c>
      <c r="AO278" s="554"/>
      <c r="AP278" s="580">
        <f t="shared" si="99"/>
        <v>7.613811981692753E-3</v>
      </c>
      <c r="AQ278" s="376">
        <f t="shared" si="114"/>
        <v>0.99224966788134106</v>
      </c>
      <c r="AR278" s="379">
        <f t="shared" si="115"/>
        <v>0.99238618801830725</v>
      </c>
      <c r="AS278" s="376">
        <f t="shared" si="116"/>
        <v>1.365108185163999E-4</v>
      </c>
      <c r="AT278" s="384"/>
      <c r="AU278" s="583">
        <f t="shared" si="100"/>
        <v>0.28273654848129737</v>
      </c>
      <c r="AV278" s="381">
        <f t="shared" si="126"/>
        <v>1.2632378136233418</v>
      </c>
      <c r="AW278" s="376">
        <f t="shared" si="101"/>
        <v>1.2632397390121968</v>
      </c>
      <c r="AX278" s="503">
        <f t="shared" si="124"/>
        <v>1.925387001500134E-6</v>
      </c>
      <c r="AY278" s="376">
        <f t="shared" si="102"/>
        <v>2.7809723893944822</v>
      </c>
      <c r="AZ278" s="381">
        <f t="shared" si="117"/>
        <v>2.1936042867184724E-3</v>
      </c>
      <c r="BA278" s="586">
        <f t="shared" si="118"/>
        <v>0.16333818844695422</v>
      </c>
      <c r="BB278" s="376">
        <f t="shared" si="119"/>
        <v>0.83637582789306175</v>
      </c>
      <c r="BC278" s="376">
        <f t="shared" si="120"/>
        <v>0.83666181155304575</v>
      </c>
      <c r="BD278" s="376">
        <f t="shared" si="121"/>
        <v>2.8594277055515871E-4</v>
      </c>
      <c r="BE278" s="283"/>
      <c r="BF278" s="283"/>
      <c r="BG278" s="283"/>
      <c r="BH278" s="283"/>
      <c r="BI278" s="283"/>
      <c r="BJ278" s="283"/>
      <c r="BK278" s="283"/>
      <c r="BL278" s="283"/>
      <c r="BM278" s="283"/>
      <c r="BN278" s="283"/>
      <c r="BO278" s="283"/>
      <c r="BP278" s="283"/>
      <c r="BQ278" s="283"/>
      <c r="BR278" s="283"/>
      <c r="BS278" s="283"/>
      <c r="BT278" s="283"/>
      <c r="BU278" s="283"/>
      <c r="BV278" s="283"/>
      <c r="BW278" s="283"/>
      <c r="BX278" s="283"/>
      <c r="BY278" s="283"/>
      <c r="BZ278" s="283"/>
      <c r="CA278" s="283"/>
      <c r="CB278" s="283"/>
      <c r="CC278" s="283"/>
      <c r="CD278" s="283"/>
      <c r="CE278" s="283"/>
      <c r="CF278" s="283"/>
      <c r="CG278" s="283"/>
      <c r="CH278" s="283"/>
      <c r="CI278" s="283"/>
      <c r="CJ278" s="283"/>
      <c r="CK278" s="283"/>
      <c r="CL278" s="283"/>
    </row>
    <row r="279" spans="1:90" ht="14.25" customHeight="1" x14ac:dyDescent="0.2">
      <c r="A279" s="28"/>
      <c r="B279" s="28"/>
      <c r="C279" s="28"/>
      <c r="D279" s="28"/>
      <c r="E279" s="282"/>
      <c r="F279" s="282"/>
      <c r="G279" s="282"/>
      <c r="H279" s="282"/>
      <c r="I279" s="282"/>
      <c r="J279" s="282"/>
      <c r="K279" s="282"/>
      <c r="L279" s="282"/>
      <c r="M279" s="282"/>
      <c r="N279" s="282"/>
      <c r="O279" s="282"/>
      <c r="P279" s="282"/>
      <c r="Q279" s="282"/>
      <c r="R279" s="282"/>
      <c r="S279" s="374"/>
      <c r="T279" s="373">
        <f t="shared" si="127"/>
        <v>253</v>
      </c>
      <c r="U279" s="374"/>
      <c r="V279" s="568">
        <f t="shared" si="122"/>
        <v>1.7953608489484092E-3</v>
      </c>
      <c r="W279" s="328">
        <f t="shared" si="103"/>
        <v>0.99815920720619844</v>
      </c>
      <c r="X279" s="328">
        <f t="shared" si="104"/>
        <v>0.99820463915105162</v>
      </c>
      <c r="Y279" s="328">
        <f t="shared" si="105"/>
        <v>4.5430912838040349E-5</v>
      </c>
      <c r="Z279" s="374"/>
      <c r="AA279" s="571">
        <f t="shared" si="106"/>
        <v>1.772577528664724E-2</v>
      </c>
      <c r="AB279" s="327">
        <f t="shared" si="125"/>
        <v>0.98205538892440247</v>
      </c>
      <c r="AC279" s="327">
        <f t="shared" si="107"/>
        <v>0.98227422471335279</v>
      </c>
      <c r="AD279" s="327">
        <f t="shared" si="108"/>
        <v>2.1881184614558347E-4</v>
      </c>
      <c r="AE279" s="383"/>
      <c r="AF279" s="574">
        <f t="shared" si="97"/>
        <v>5.6913111254812465E-2</v>
      </c>
      <c r="AG279" s="376">
        <f t="shared" si="123"/>
        <v>0.94279052045960932</v>
      </c>
      <c r="AH279" s="376">
        <f t="shared" si="109"/>
        <v>0.94308688874518753</v>
      </c>
      <c r="AI279" s="553">
        <f t="shared" si="110"/>
        <v>2.963243728361098E-4</v>
      </c>
      <c r="AJ279" s="374"/>
      <c r="AK279" s="577">
        <f t="shared" si="98"/>
        <v>6.5996724306575813E-2</v>
      </c>
      <c r="AL279" s="376">
        <f t="shared" si="111"/>
        <v>0.93374244525686678</v>
      </c>
      <c r="AM279" s="376">
        <f t="shared" si="112"/>
        <v>0.93400327569342423</v>
      </c>
      <c r="AN279" s="553">
        <f t="shared" si="113"/>
        <v>2.6079642325638197E-4</v>
      </c>
      <c r="AO279" s="554"/>
      <c r="AP279" s="580">
        <f t="shared" si="99"/>
        <v>7.4797176700724943E-3</v>
      </c>
      <c r="AQ279" s="376">
        <f t="shared" si="114"/>
        <v>0.99238618801830725</v>
      </c>
      <c r="AR279" s="379">
        <f t="shared" si="115"/>
        <v>0.99252028232992751</v>
      </c>
      <c r="AS279" s="376">
        <f t="shared" si="116"/>
        <v>1.3408532137992868E-4</v>
      </c>
      <c r="AT279" s="384"/>
      <c r="AU279" s="583">
        <f t="shared" si="100"/>
        <v>0.28273602571531803</v>
      </c>
      <c r="AV279" s="381">
        <f t="shared" si="126"/>
        <v>1.2632397390121968</v>
      </c>
      <c r="AW279" s="376">
        <f t="shared" si="101"/>
        <v>1.2632415879647478</v>
      </c>
      <c r="AX279" s="503">
        <f t="shared" si="124"/>
        <v>1.8489508417651734E-6</v>
      </c>
      <c r="AY279" s="376">
        <f t="shared" si="102"/>
        <v>2.7840875052281944</v>
      </c>
      <c r="AZ279" s="381">
        <f t="shared" si="117"/>
        <v>2.1814417945221235E-3</v>
      </c>
      <c r="BA279" s="586">
        <f t="shared" si="118"/>
        <v>0.16305383163565618</v>
      </c>
      <c r="BB279" s="376">
        <f t="shared" si="119"/>
        <v>0.83666181155304575</v>
      </c>
      <c r="BC279" s="376">
        <f t="shared" si="120"/>
        <v>0.83694616836434377</v>
      </c>
      <c r="BD279" s="376">
        <f t="shared" si="121"/>
        <v>2.8431638573178653E-4</v>
      </c>
      <c r="BE279" s="283"/>
      <c r="BF279" s="283"/>
      <c r="BG279" s="283"/>
      <c r="BH279" s="283"/>
      <c r="BI279" s="283"/>
      <c r="BJ279" s="283"/>
      <c r="BK279" s="283"/>
      <c r="BL279" s="283"/>
      <c r="BM279" s="283"/>
      <c r="BN279" s="283"/>
      <c r="BO279" s="283"/>
      <c r="BP279" s="283"/>
      <c r="BQ279" s="283"/>
      <c r="BR279" s="283"/>
      <c r="BS279" s="283"/>
      <c r="BT279" s="283"/>
      <c r="BU279" s="283"/>
      <c r="BV279" s="283"/>
      <c r="BW279" s="283"/>
      <c r="BX279" s="283"/>
      <c r="BY279" s="283"/>
      <c r="BZ279" s="283"/>
      <c r="CA279" s="283"/>
      <c r="CB279" s="283"/>
      <c r="CC279" s="283"/>
      <c r="CD279" s="283"/>
      <c r="CE279" s="283"/>
      <c r="CF279" s="283"/>
      <c r="CG279" s="283"/>
      <c r="CH279" s="283"/>
      <c r="CI279" s="283"/>
      <c r="CJ279" s="283"/>
      <c r="CK279" s="283"/>
      <c r="CL279" s="283"/>
    </row>
    <row r="280" spans="1:90" ht="14.25" customHeight="1" x14ac:dyDescent="0.2">
      <c r="A280" s="28"/>
      <c r="B280" s="28"/>
      <c r="C280" s="28"/>
      <c r="D280" s="28"/>
      <c r="E280" s="282"/>
      <c r="F280" s="282"/>
      <c r="G280" s="282"/>
      <c r="H280" s="282"/>
      <c r="I280" s="282"/>
      <c r="J280" s="282"/>
      <c r="K280" s="282"/>
      <c r="L280" s="282"/>
      <c r="M280" s="282"/>
      <c r="N280" s="282"/>
      <c r="O280" s="282"/>
      <c r="P280" s="282"/>
      <c r="Q280" s="282"/>
      <c r="R280" s="282"/>
      <c r="S280" s="374"/>
      <c r="T280" s="373">
        <f t="shared" si="127"/>
        <v>254</v>
      </c>
      <c r="U280" s="374"/>
      <c r="V280" s="568">
        <f t="shared" si="122"/>
        <v>1.7510501935853098E-3</v>
      </c>
      <c r="W280" s="328">
        <f t="shared" si="103"/>
        <v>0.99820463915105162</v>
      </c>
      <c r="X280" s="328">
        <f t="shared" si="104"/>
        <v>0.99824894980641465</v>
      </c>
      <c r="Y280" s="328">
        <f t="shared" si="105"/>
        <v>4.4309673660425375E-5</v>
      </c>
      <c r="Z280" s="374"/>
      <c r="AA280" s="571">
        <f t="shared" si="106"/>
        <v>1.7509803925118774E-2</v>
      </c>
      <c r="AB280" s="327">
        <f t="shared" si="125"/>
        <v>0.98227422471335279</v>
      </c>
      <c r="AC280" s="327">
        <f t="shared" si="107"/>
        <v>0.98249019607488119</v>
      </c>
      <c r="AD280" s="327">
        <f t="shared" si="108"/>
        <v>2.1594804139279944E-4</v>
      </c>
      <c r="AE280" s="383"/>
      <c r="AF280" s="574">
        <f t="shared" si="97"/>
        <v>5.6619115246093643E-2</v>
      </c>
      <c r="AG280" s="376">
        <f t="shared" si="123"/>
        <v>0.94308688874518753</v>
      </c>
      <c r="AH280" s="376">
        <f t="shared" si="109"/>
        <v>0.94338088475390636</v>
      </c>
      <c r="AI280" s="553">
        <f t="shared" si="110"/>
        <v>2.9395279612709491E-4</v>
      </c>
      <c r="AJ280" s="374"/>
      <c r="AK280" s="577">
        <f t="shared" si="98"/>
        <v>6.5737871654272848E-2</v>
      </c>
      <c r="AL280" s="376">
        <f t="shared" si="111"/>
        <v>0.93400327569342423</v>
      </c>
      <c r="AM280" s="376">
        <f t="shared" si="112"/>
        <v>0.93426212834572719</v>
      </c>
      <c r="AN280" s="553">
        <f t="shared" si="113"/>
        <v>2.5881915284564627E-4</v>
      </c>
      <c r="AO280" s="554"/>
      <c r="AP280" s="580">
        <f t="shared" si="99"/>
        <v>7.3480055681265366E-3</v>
      </c>
      <c r="AQ280" s="376">
        <f t="shared" si="114"/>
        <v>0.99252028232992751</v>
      </c>
      <c r="AR280" s="379">
        <f t="shared" si="115"/>
        <v>0.99265199443187346</v>
      </c>
      <c r="AS280" s="376">
        <f t="shared" si="116"/>
        <v>1.3170342828783266E-4</v>
      </c>
      <c r="AT280" s="384"/>
      <c r="AU280" s="583">
        <f t="shared" si="100"/>
        <v>0.28273552370361449</v>
      </c>
      <c r="AV280" s="381">
        <f t="shared" si="126"/>
        <v>1.2632415879647478</v>
      </c>
      <c r="AW280" s="376">
        <f t="shared" si="101"/>
        <v>1.2632433635154507</v>
      </c>
      <c r="AX280" s="503">
        <f t="shared" si="124"/>
        <v>1.7755491266147061E-6</v>
      </c>
      <c r="AY280" s="376">
        <f t="shared" si="102"/>
        <v>2.787190332604593</v>
      </c>
      <c r="AZ280" s="381">
        <f t="shared" si="117"/>
        <v>2.1693943179445594E-3</v>
      </c>
      <c r="BA280" s="586">
        <f t="shared" si="118"/>
        <v>0.16277108606206245</v>
      </c>
      <c r="BB280" s="376">
        <f t="shared" si="119"/>
        <v>0.83694616836434377</v>
      </c>
      <c r="BC280" s="376">
        <f t="shared" si="120"/>
        <v>0.83722891393793752</v>
      </c>
      <c r="BD280" s="376">
        <f t="shared" si="121"/>
        <v>2.8270560483112384E-4</v>
      </c>
      <c r="BE280" s="283"/>
      <c r="BF280" s="283"/>
      <c r="BG280" s="283"/>
      <c r="BH280" s="283"/>
      <c r="BI280" s="283"/>
      <c r="BJ280" s="283"/>
      <c r="BK280" s="283"/>
      <c r="BL280" s="283"/>
      <c r="BM280" s="283"/>
      <c r="BN280" s="283"/>
      <c r="BO280" s="283"/>
      <c r="BP280" s="283"/>
      <c r="BQ280" s="283"/>
      <c r="BR280" s="283"/>
      <c r="BS280" s="283"/>
      <c r="BT280" s="283"/>
      <c r="BU280" s="283"/>
      <c r="BV280" s="283"/>
      <c r="BW280" s="283"/>
      <c r="BX280" s="283"/>
      <c r="BY280" s="283"/>
      <c r="BZ280" s="283"/>
      <c r="CA280" s="283"/>
      <c r="CB280" s="283"/>
      <c r="CC280" s="283"/>
      <c r="CD280" s="283"/>
      <c r="CE280" s="283"/>
      <c r="CF280" s="283"/>
      <c r="CG280" s="283"/>
      <c r="CH280" s="283"/>
      <c r="CI280" s="283"/>
      <c r="CJ280" s="283"/>
      <c r="CK280" s="283"/>
      <c r="CL280" s="283"/>
    </row>
    <row r="281" spans="1:90" ht="14.25" customHeight="1" x14ac:dyDescent="0.2">
      <c r="A281" s="28"/>
      <c r="B281" s="28"/>
      <c r="C281" s="28"/>
      <c r="D281" s="28"/>
      <c r="E281" s="282"/>
      <c r="F281" s="282"/>
      <c r="G281" s="282"/>
      <c r="H281" s="282"/>
      <c r="I281" s="282"/>
      <c r="J281" s="282"/>
      <c r="K281" s="282"/>
      <c r="L281" s="282"/>
      <c r="M281" s="282"/>
      <c r="N281" s="282"/>
      <c r="O281" s="282"/>
      <c r="P281" s="282"/>
      <c r="Q281" s="282"/>
      <c r="R281" s="282"/>
      <c r="S281" s="374"/>
      <c r="T281" s="373">
        <f t="shared" si="127"/>
        <v>255</v>
      </c>
      <c r="U281" s="374"/>
      <c r="V281" s="568">
        <f t="shared" si="122"/>
        <v>1.7078331535697086E-3</v>
      </c>
      <c r="W281" s="328">
        <f t="shared" si="103"/>
        <v>0.99824894980641465</v>
      </c>
      <c r="X281" s="328">
        <f t="shared" si="104"/>
        <v>0.9982921668464303</v>
      </c>
      <c r="Y281" s="328">
        <f t="shared" si="105"/>
        <v>4.3216106172860869E-5</v>
      </c>
      <c r="Z281" s="374"/>
      <c r="AA281" s="571">
        <f t="shared" si="106"/>
        <v>1.7296656356005049E-2</v>
      </c>
      <c r="AB281" s="327">
        <f t="shared" si="125"/>
        <v>0.98249019607488119</v>
      </c>
      <c r="AC281" s="327">
        <f t="shared" si="107"/>
        <v>0.98270334364399492</v>
      </c>
      <c r="AD281" s="327">
        <f t="shared" si="108"/>
        <v>2.1312485478452992E-4</v>
      </c>
      <c r="AE281" s="383"/>
      <c r="AF281" s="574">
        <f t="shared" si="97"/>
        <v>5.6327465231613805E-2</v>
      </c>
      <c r="AG281" s="376">
        <f t="shared" si="123"/>
        <v>0.94338088475390636</v>
      </c>
      <c r="AH281" s="376">
        <f t="shared" si="109"/>
        <v>0.9436725347683862</v>
      </c>
      <c r="AI281" s="553">
        <f t="shared" si="110"/>
        <v>2.916074887486797E-4</v>
      </c>
      <c r="AJ281" s="374"/>
      <c r="AK281" s="577">
        <f t="shared" si="98"/>
        <v>6.548097464949558E-2</v>
      </c>
      <c r="AL281" s="376">
        <f t="shared" si="111"/>
        <v>0.93426212834572719</v>
      </c>
      <c r="AM281" s="376">
        <f t="shared" si="112"/>
        <v>0.93451902535050446</v>
      </c>
      <c r="AN281" s="553">
        <f t="shared" si="113"/>
        <v>2.5686400956725919E-4</v>
      </c>
      <c r="AO281" s="554"/>
      <c r="AP281" s="580">
        <f t="shared" si="99"/>
        <v>7.2186328573048408E-3</v>
      </c>
      <c r="AQ281" s="376">
        <f t="shared" si="114"/>
        <v>0.99265199443187346</v>
      </c>
      <c r="AR281" s="379">
        <f t="shared" si="115"/>
        <v>0.99278136714269516</v>
      </c>
      <c r="AS281" s="376">
        <f t="shared" si="116"/>
        <v>1.2936434253341123E-4</v>
      </c>
      <c r="AT281" s="384"/>
      <c r="AU281" s="583">
        <f t="shared" si="100"/>
        <v>0.28273504162218871</v>
      </c>
      <c r="AV281" s="381">
        <f t="shared" si="126"/>
        <v>1.2632433635154507</v>
      </c>
      <c r="AW281" s="376">
        <f t="shared" si="101"/>
        <v>1.263245068578297</v>
      </c>
      <c r="AX281" s="503">
        <f t="shared" si="124"/>
        <v>1.7050613926317126E-6</v>
      </c>
      <c r="AY281" s="376">
        <f t="shared" si="102"/>
        <v>2.790280968093461</v>
      </c>
      <c r="AZ281" s="381">
        <f t="shared" si="117"/>
        <v>2.1574603229098112E-3</v>
      </c>
      <c r="BA281" s="586">
        <f t="shared" si="118"/>
        <v>0.16248993632547928</v>
      </c>
      <c r="BB281" s="376">
        <f t="shared" si="119"/>
        <v>0.83722891393793752</v>
      </c>
      <c r="BC281" s="376">
        <f t="shared" si="120"/>
        <v>0.83751006367452074</v>
      </c>
      <c r="BD281" s="376">
        <f t="shared" si="121"/>
        <v>2.8111021769972044E-4</v>
      </c>
      <c r="BE281" s="283"/>
      <c r="BF281" s="283"/>
      <c r="BG281" s="283"/>
      <c r="BH281" s="283"/>
      <c r="BI281" s="283"/>
      <c r="BJ281" s="283"/>
      <c r="BK281" s="283"/>
      <c r="BL281" s="283"/>
      <c r="BM281" s="283"/>
      <c r="BN281" s="283"/>
      <c r="BO281" s="283"/>
      <c r="BP281" s="283"/>
      <c r="BQ281" s="283"/>
      <c r="BR281" s="283"/>
      <c r="BS281" s="283"/>
      <c r="BT281" s="283"/>
      <c r="BU281" s="283"/>
      <c r="BV281" s="283"/>
      <c r="BW281" s="283"/>
      <c r="BX281" s="283"/>
      <c r="BY281" s="283"/>
      <c r="BZ281" s="283"/>
      <c r="CA281" s="283"/>
      <c r="CB281" s="283"/>
      <c r="CC281" s="283"/>
      <c r="CD281" s="283"/>
      <c r="CE281" s="283"/>
      <c r="CF281" s="283"/>
      <c r="CG281" s="283"/>
      <c r="CH281" s="283"/>
      <c r="CI281" s="283"/>
      <c r="CJ281" s="283"/>
      <c r="CK281" s="283"/>
      <c r="CL281" s="283"/>
    </row>
    <row r="282" spans="1:90" ht="14.25" customHeight="1" x14ac:dyDescent="0.2">
      <c r="A282" s="28"/>
      <c r="B282" s="28"/>
      <c r="C282" s="28"/>
      <c r="D282" s="28"/>
      <c r="E282" s="282"/>
      <c r="F282" s="282"/>
      <c r="G282" s="282"/>
      <c r="H282" s="282"/>
      <c r="I282" s="282"/>
      <c r="J282" s="282"/>
      <c r="K282" s="282"/>
      <c r="L282" s="282"/>
      <c r="M282" s="282"/>
      <c r="N282" s="282"/>
      <c r="O282" s="282"/>
      <c r="P282" s="282"/>
      <c r="Q282" s="282"/>
      <c r="R282" s="282"/>
      <c r="S282" s="374"/>
      <c r="T282" s="373">
        <f t="shared" si="127"/>
        <v>256</v>
      </c>
      <c r="U282" s="374"/>
      <c r="V282" s="568">
        <f t="shared" si="122"/>
        <v>1.6656827377745621E-3</v>
      </c>
      <c r="W282" s="328">
        <f t="shared" si="103"/>
        <v>0.9982921668464303</v>
      </c>
      <c r="X282" s="328">
        <f t="shared" si="104"/>
        <v>0.99833431726222543</v>
      </c>
      <c r="Y282" s="328">
        <f t="shared" si="105"/>
        <v>4.2149527478829718E-5</v>
      </c>
      <c r="Z282" s="374"/>
      <c r="AA282" s="571">
        <f t="shared" si="106"/>
        <v>1.708629257554397E-2</v>
      </c>
      <c r="AB282" s="327">
        <f t="shared" si="125"/>
        <v>0.98270334364399492</v>
      </c>
      <c r="AC282" s="327">
        <f t="shared" si="107"/>
        <v>0.98291370742445605</v>
      </c>
      <c r="AD282" s="327">
        <f t="shared" si="108"/>
        <v>2.1034165555255946E-4</v>
      </c>
      <c r="AE282" s="383"/>
      <c r="AF282" s="574">
        <f t="shared" si="97"/>
        <v>5.6038135304596337E-2</v>
      </c>
      <c r="AG282" s="376">
        <f t="shared" si="123"/>
        <v>0.9436725347683862</v>
      </c>
      <c r="AH282" s="376">
        <f t="shared" si="109"/>
        <v>0.94396186469540366</v>
      </c>
      <c r="AI282" s="553">
        <f t="shared" si="110"/>
        <v>2.8928807515060662E-4</v>
      </c>
      <c r="AJ282" s="374"/>
      <c r="AK282" s="577">
        <f t="shared" si="98"/>
        <v>6.5226011482466401E-2</v>
      </c>
      <c r="AL282" s="376">
        <f t="shared" si="111"/>
        <v>0.93451902535050446</v>
      </c>
      <c r="AM282" s="376">
        <f t="shared" si="112"/>
        <v>0.93477398851753357</v>
      </c>
      <c r="AN282" s="553">
        <f t="shared" si="113"/>
        <v>2.5493066668302866E-4</v>
      </c>
      <c r="AO282" s="554"/>
      <c r="AP282" s="580">
        <f t="shared" si="99"/>
        <v>7.0915575012686638E-3</v>
      </c>
      <c r="AQ282" s="376">
        <f t="shared" si="114"/>
        <v>0.99278136714269516</v>
      </c>
      <c r="AR282" s="379">
        <f t="shared" si="115"/>
        <v>0.99290844249873134</v>
      </c>
      <c r="AS282" s="376">
        <f t="shared" si="116"/>
        <v>1.2706728230515996E-4</v>
      </c>
      <c r="AT282" s="384"/>
      <c r="AU282" s="583">
        <f t="shared" si="100"/>
        <v>0.28273457867976032</v>
      </c>
      <c r="AV282" s="381">
        <f t="shared" si="126"/>
        <v>1.263245068578297</v>
      </c>
      <c r="AW282" s="376">
        <f t="shared" si="101"/>
        <v>1.2632467059515944</v>
      </c>
      <c r="AX282" s="503">
        <f t="shared" si="124"/>
        <v>1.6373719569084955E-6</v>
      </c>
      <c r="AY282" s="376">
        <f t="shared" si="102"/>
        <v>2.793359507130686</v>
      </c>
      <c r="AZ282" s="381">
        <f t="shared" si="117"/>
        <v>2.1456383017112429E-3</v>
      </c>
      <c r="BA282" s="586">
        <f t="shared" si="118"/>
        <v>0.1622103672318608</v>
      </c>
      <c r="BB282" s="376">
        <f t="shared" si="119"/>
        <v>0.83751006367452074</v>
      </c>
      <c r="BC282" s="376">
        <f t="shared" si="120"/>
        <v>0.83778963276813923</v>
      </c>
      <c r="BD282" s="376">
        <f t="shared" si="121"/>
        <v>2.7953001782099474E-4</v>
      </c>
      <c r="BE282" s="283"/>
      <c r="BF282" s="283"/>
      <c r="BG282" s="283"/>
      <c r="BH282" s="283"/>
      <c r="BI282" s="283"/>
      <c r="BJ282" s="283"/>
      <c r="BK282" s="283"/>
      <c r="BL282" s="283"/>
      <c r="BM282" s="283"/>
      <c r="BN282" s="283"/>
      <c r="BO282" s="283"/>
      <c r="BP282" s="283"/>
      <c r="BQ282" s="283"/>
      <c r="BR282" s="283"/>
      <c r="BS282" s="283"/>
      <c r="BT282" s="283"/>
      <c r="BU282" s="283"/>
      <c r="BV282" s="283"/>
      <c r="BW282" s="283"/>
      <c r="BX282" s="283"/>
      <c r="BY282" s="283"/>
      <c r="BZ282" s="283"/>
      <c r="CA282" s="283"/>
      <c r="CB282" s="283"/>
      <c r="CC282" s="283"/>
      <c r="CD282" s="283"/>
      <c r="CE282" s="283"/>
      <c r="CF282" s="283"/>
      <c r="CG282" s="283"/>
      <c r="CH282" s="283"/>
      <c r="CI282" s="283"/>
      <c r="CJ282" s="283"/>
      <c r="CK282" s="283"/>
      <c r="CL282" s="283"/>
    </row>
    <row r="283" spans="1:90" ht="14.25" customHeight="1" x14ac:dyDescent="0.2">
      <c r="A283" s="28"/>
      <c r="B283" s="28"/>
      <c r="C283" s="28"/>
      <c r="D283" s="28"/>
      <c r="E283" s="282"/>
      <c r="F283" s="282"/>
      <c r="G283" s="282"/>
      <c r="H283" s="282"/>
      <c r="I283" s="282"/>
      <c r="J283" s="282"/>
      <c r="K283" s="282"/>
      <c r="L283" s="282"/>
      <c r="M283" s="282"/>
      <c r="N283" s="282"/>
      <c r="O283" s="282"/>
      <c r="P283" s="282"/>
      <c r="Q283" s="282"/>
      <c r="R283" s="282"/>
      <c r="S283" s="374"/>
      <c r="T283" s="373">
        <f t="shared" si="127"/>
        <v>257</v>
      </c>
      <c r="U283" s="374"/>
      <c r="V283" s="568">
        <f t="shared" si="122"/>
        <v>1.6245726212311255E-3</v>
      </c>
      <c r="W283" s="328">
        <f t="shared" si="103"/>
        <v>0.99833431726222543</v>
      </c>
      <c r="X283" s="328">
        <f t="shared" si="104"/>
        <v>0.99837542737876883</v>
      </c>
      <c r="Y283" s="328">
        <f t="shared" si="105"/>
        <v>4.1109271534112146E-5</v>
      </c>
      <c r="Z283" s="374"/>
      <c r="AA283" s="571">
        <f t="shared" si="106"/>
        <v>1.6878673200370432E-2</v>
      </c>
      <c r="AB283" s="327">
        <f t="shared" si="125"/>
        <v>0.98291370742445605</v>
      </c>
      <c r="AC283" s="327">
        <f t="shared" si="107"/>
        <v>0.9831213267996296</v>
      </c>
      <c r="AD283" s="327">
        <f t="shared" si="108"/>
        <v>2.0759782376256197E-4</v>
      </c>
      <c r="AE283" s="383"/>
      <c r="AF283" s="574">
        <f t="shared" ref="AF283:AF346" si="128">1-_xlfn.NORM.DIST(LN(T283),$AF$21,$AF$22,TRUE)</f>
        <v>5.575109992749061E-2</v>
      </c>
      <c r="AG283" s="376">
        <f t="shared" si="123"/>
        <v>0.94396186469540366</v>
      </c>
      <c r="AH283" s="376">
        <f t="shared" si="109"/>
        <v>0.94424890007250939</v>
      </c>
      <c r="AI283" s="553">
        <f t="shared" si="110"/>
        <v>2.8699418639299701E-4</v>
      </c>
      <c r="AJ283" s="374"/>
      <c r="AK283" s="577">
        <f t="shared" ref="AK283:AK346" si="129">(1+(T283/$AK$21)^$AK$22)^-1</f>
        <v>6.4972960664370555E-2</v>
      </c>
      <c r="AL283" s="376">
        <f t="shared" si="111"/>
        <v>0.93477398851753357</v>
      </c>
      <c r="AM283" s="376">
        <f t="shared" si="112"/>
        <v>0.93502703933562947</v>
      </c>
      <c r="AN283" s="553">
        <f t="shared" si="113"/>
        <v>2.5301880343808758E-4</v>
      </c>
      <c r="AO283" s="554"/>
      <c r="AP283" s="580">
        <f t="shared" ref="AP283:AP346" si="130">1-_xlfn.GAMMA.DIST(T283,$AP$21,1/$AP$22,TRUE)</f>
        <v>6.9667382312691428E-3</v>
      </c>
      <c r="AQ283" s="376">
        <f t="shared" si="114"/>
        <v>0.99290844249873134</v>
      </c>
      <c r="AR283" s="379">
        <f t="shared" si="115"/>
        <v>0.99303326176873086</v>
      </c>
      <c r="AS283" s="376">
        <f t="shared" si="116"/>
        <v>1.2481148039855672E-4</v>
      </c>
      <c r="AT283" s="384"/>
      <c r="AU283" s="583">
        <f t="shared" ref="AU283:AU346" si="131">EXP((-$AU$22/$AU$21)*(EXP($AU$21*T283)-1))</f>
        <v>0.28273413411646708</v>
      </c>
      <c r="AV283" s="381">
        <f t="shared" si="126"/>
        <v>1.2632467059515944</v>
      </c>
      <c r="AW283" s="376">
        <f t="shared" ref="AW283:AW346" si="132">($AU$22/$AU$21)*((EXP($AU$21*T283))-1)</f>
        <v>1.2632482783225609</v>
      </c>
      <c r="AX283" s="503">
        <f t="shared" si="124"/>
        <v>1.5723697304181883E-6</v>
      </c>
      <c r="AY283" s="376">
        <f t="shared" ref="AY283:AY346" si="133">(LN(T283)-$AZ$21)/$AZ$22</f>
        <v>2.7964260440359374</v>
      </c>
      <c r="AZ283" s="381">
        <f t="shared" si="117"/>
        <v>2.133926772457554E-3</v>
      </c>
      <c r="BA283" s="586">
        <f t="shared" si="118"/>
        <v>0.16193236379024487</v>
      </c>
      <c r="BB283" s="376">
        <f t="shared" si="119"/>
        <v>0.83778963276813923</v>
      </c>
      <c r="BC283" s="376">
        <f t="shared" si="120"/>
        <v>0.83806763620975511</v>
      </c>
      <c r="BD283" s="376">
        <f t="shared" si="121"/>
        <v>2.7796480223984954E-4</v>
      </c>
      <c r="BE283" s="283"/>
      <c r="BF283" s="283"/>
      <c r="BG283" s="283"/>
      <c r="BH283" s="283"/>
      <c r="BI283" s="283"/>
      <c r="BJ283" s="283"/>
      <c r="BK283" s="283"/>
      <c r="BL283" s="283"/>
      <c r="BM283" s="283"/>
      <c r="BN283" s="283"/>
      <c r="BO283" s="283"/>
      <c r="BP283" s="283"/>
      <c r="BQ283" s="283"/>
      <c r="BR283" s="283"/>
      <c r="BS283" s="283"/>
      <c r="BT283" s="283"/>
      <c r="BU283" s="283"/>
      <c r="BV283" s="283"/>
      <c r="BW283" s="283"/>
      <c r="BX283" s="283"/>
      <c r="BY283" s="283"/>
      <c r="BZ283" s="283"/>
      <c r="CA283" s="283"/>
      <c r="CB283" s="283"/>
      <c r="CC283" s="283"/>
      <c r="CD283" s="283"/>
      <c r="CE283" s="283"/>
      <c r="CF283" s="283"/>
      <c r="CG283" s="283"/>
      <c r="CH283" s="283"/>
      <c r="CI283" s="283"/>
      <c r="CJ283" s="283"/>
      <c r="CK283" s="283"/>
      <c r="CL283" s="283"/>
    </row>
    <row r="284" spans="1:90" ht="14.25" customHeight="1" x14ac:dyDescent="0.2">
      <c r="A284" s="28"/>
      <c r="B284" s="28"/>
      <c r="C284" s="28"/>
      <c r="D284" s="28"/>
      <c r="E284" s="282"/>
      <c r="F284" s="282"/>
      <c r="G284" s="282"/>
      <c r="H284" s="282"/>
      <c r="I284" s="282"/>
      <c r="J284" s="282"/>
      <c r="K284" s="282"/>
      <c r="L284" s="282"/>
      <c r="M284" s="282"/>
      <c r="N284" s="282"/>
      <c r="O284" s="282"/>
      <c r="P284" s="282"/>
      <c r="Q284" s="282"/>
      <c r="R284" s="282"/>
      <c r="S284" s="374"/>
      <c r="T284" s="373">
        <f t="shared" si="127"/>
        <v>258</v>
      </c>
      <c r="U284" s="374"/>
      <c r="V284" s="568">
        <f t="shared" si="122"/>
        <v>1.5844771286877386E-3</v>
      </c>
      <c r="W284" s="328">
        <f t="shared" ref="W284:W347" si="134">1-V283</f>
        <v>0.99837542737876883</v>
      </c>
      <c r="X284" s="328">
        <f t="shared" ref="X284:X347" si="135">1-V284</f>
        <v>0.9984155228713123</v>
      </c>
      <c r="Y284" s="328">
        <f t="shared" ref="Y284:Y347" si="136">1-EXP(W284-X284)</f>
        <v>4.0094688729896966E-5</v>
      </c>
      <c r="Z284" s="374"/>
      <c r="AA284" s="571">
        <f t="shared" ref="AA284:AA347" si="137">EXP(-1*(T284/$AA$21)^$AA$22)</f>
        <v>1.6673759456876488E-2</v>
      </c>
      <c r="AB284" s="327">
        <f t="shared" si="125"/>
        <v>0.9831213267996296</v>
      </c>
      <c r="AC284" s="327">
        <f t="shared" ref="AC284:AC347" si="138">1-AA284</f>
        <v>0.98332624054312356</v>
      </c>
      <c r="AD284" s="327">
        <f t="shared" ref="AD284:AD347" si="139">1-EXP(AB284-AC284)</f>
        <v>2.0489275010682206E-4</v>
      </c>
      <c r="AE284" s="383"/>
      <c r="AF284" s="574">
        <f t="shared" si="128"/>
        <v>5.5466333925492051E-2</v>
      </c>
      <c r="AG284" s="376">
        <f t="shared" si="123"/>
        <v>0.94424890007250939</v>
      </c>
      <c r="AH284" s="376">
        <f t="shared" ref="AH284:AH347" si="140">1-AF284</f>
        <v>0.94453366607450795</v>
      </c>
      <c r="AI284" s="553">
        <f t="shared" ref="AI284:AI347" si="141">1-EXP(AG284-AH284)</f>
        <v>2.8472546000901655E-4</v>
      </c>
      <c r="AJ284" s="374"/>
      <c r="AK284" s="577">
        <f t="shared" si="129"/>
        <v>6.4721801021498729E-2</v>
      </c>
      <c r="AL284" s="376">
        <f t="shared" ref="AL284:AL347" si="142">1-AK283</f>
        <v>0.93502703933562947</v>
      </c>
      <c r="AM284" s="376">
        <f t="shared" ref="AM284:AM347" si="143">1-AK284</f>
        <v>0.93527819897850129</v>
      </c>
      <c r="AN284" s="553">
        <f t="shared" ref="AN284:AN347" si="144">1-EXP(AL284-AM284)</f>
        <v>2.5112810492911031E-4</v>
      </c>
      <c r="AO284" s="554"/>
      <c r="AP284" s="580">
        <f t="shared" si="130"/>
        <v>6.8441345318083213E-3</v>
      </c>
      <c r="AQ284" s="376">
        <f t="shared" ref="AQ284:AQ347" si="145">1-AP283</f>
        <v>0.99303326176873086</v>
      </c>
      <c r="AR284" s="379">
        <f t="shared" ref="AR284:AR347" si="146">1-AP284</f>
        <v>0.99315586546819168</v>
      </c>
      <c r="AS284" s="376">
        <f t="shared" ref="AS284:AS347" si="147">1-EXP(AQ284-AR284)</f>
        <v>1.2259618393439808E-4</v>
      </c>
      <c r="AT284" s="384"/>
      <c r="AU284" s="583">
        <f t="shared" si="131"/>
        <v>0.28273370720261742</v>
      </c>
      <c r="AV284" s="381">
        <f t="shared" si="126"/>
        <v>1.2632482783225609</v>
      </c>
      <c r="AW284" s="376">
        <f t="shared" si="132"/>
        <v>1.263249788271734</v>
      </c>
      <c r="AX284" s="503">
        <f t="shared" si="124"/>
        <v>1.5099480330516002E-6</v>
      </c>
      <c r="AY284" s="376">
        <f t="shared" si="133"/>
        <v>2.7994806720300107</v>
      </c>
      <c r="AZ284" s="381">
        <f t="shared" ref="AZ284:AZ347" si="148">$AZ$24*EXP(ABS($AZ$23)*-AY284)</f>
        <v>2.1223242785324641E-3</v>
      </c>
      <c r="BA284" s="586">
        <f t="shared" ref="BA284:BA347" si="149">_xlfn.GAMMA.DIST(AZ284,$AZ$24,1,TRUE)</f>
        <v>0.16165591120926442</v>
      </c>
      <c r="BB284" s="376">
        <f t="shared" ref="BB284:BB347" si="150">1-BA283</f>
        <v>0.83806763620975511</v>
      </c>
      <c r="BC284" s="376">
        <f t="shared" ref="BC284:BC347" si="151">1-BA284</f>
        <v>0.83834408879073563</v>
      </c>
      <c r="BD284" s="376">
        <f t="shared" ref="BD284:BD347" si="152">1-EXP(BB284-BC284)</f>
        <v>2.7641437148684389E-4</v>
      </c>
      <c r="BE284" s="283"/>
      <c r="BF284" s="283"/>
      <c r="BG284" s="283"/>
      <c r="BH284" s="283"/>
      <c r="BI284" s="283"/>
      <c r="BJ284" s="283"/>
      <c r="BK284" s="283"/>
      <c r="BL284" s="283"/>
      <c r="BM284" s="283"/>
      <c r="BN284" s="283"/>
      <c r="BO284" s="283"/>
      <c r="BP284" s="283"/>
      <c r="BQ284" s="283"/>
      <c r="BR284" s="283"/>
      <c r="BS284" s="283"/>
      <c r="BT284" s="283"/>
      <c r="BU284" s="283"/>
      <c r="BV284" s="283"/>
      <c r="BW284" s="283"/>
      <c r="BX284" s="283"/>
      <c r="BY284" s="283"/>
      <c r="BZ284" s="283"/>
      <c r="CA284" s="283"/>
      <c r="CB284" s="283"/>
      <c r="CC284" s="283"/>
      <c r="CD284" s="283"/>
      <c r="CE284" s="283"/>
      <c r="CF284" s="283"/>
      <c r="CG284" s="283"/>
      <c r="CH284" s="283"/>
      <c r="CI284" s="283"/>
      <c r="CJ284" s="283"/>
      <c r="CK284" s="283"/>
      <c r="CL284" s="283"/>
    </row>
    <row r="285" spans="1:90" ht="14.25" customHeight="1" x14ac:dyDescent="0.2">
      <c r="A285" s="28"/>
      <c r="B285" s="28"/>
      <c r="C285" s="28"/>
      <c r="D285" s="28"/>
      <c r="E285" s="282"/>
      <c r="F285" s="282"/>
      <c r="G285" s="282"/>
      <c r="H285" s="282"/>
      <c r="I285" s="282"/>
      <c r="J285" s="282"/>
      <c r="K285" s="282"/>
      <c r="L285" s="282"/>
      <c r="M285" s="282"/>
      <c r="N285" s="282"/>
      <c r="O285" s="282"/>
      <c r="P285" s="282"/>
      <c r="Q285" s="282"/>
      <c r="R285" s="282"/>
      <c r="S285" s="374"/>
      <c r="T285" s="373">
        <f t="shared" si="127"/>
        <v>259</v>
      </c>
      <c r="U285" s="374"/>
      <c r="V285" s="568">
        <f t="shared" ref="V285:V348" si="153">EXP(-1*$V$21*T285)</f>
        <v>1.5453712185743934E-3</v>
      </c>
      <c r="W285" s="328">
        <f t="shared" si="134"/>
        <v>0.9984155228713123</v>
      </c>
      <c r="X285" s="328">
        <f t="shared" si="135"/>
        <v>0.99845462878142566</v>
      </c>
      <c r="Y285" s="328">
        <f t="shared" si="136"/>
        <v>3.9105145487217108E-5</v>
      </c>
      <c r="Z285" s="374"/>
      <c r="AA285" s="571">
        <f t="shared" si="137"/>
        <v>1.6471513170774957E-2</v>
      </c>
      <c r="AB285" s="327">
        <f t="shared" si="125"/>
        <v>0.98332624054312356</v>
      </c>
      <c r="AC285" s="327">
        <f t="shared" si="138"/>
        <v>0.983528486829225</v>
      </c>
      <c r="AD285" s="327">
        <f t="shared" si="139"/>
        <v>2.0222583570006503E-4</v>
      </c>
      <c r="AE285" s="383"/>
      <c r="AF285" s="574">
        <f t="shared" si="128"/>
        <v>5.5183812480198324E-2</v>
      </c>
      <c r="AG285" s="376">
        <f t="shared" ref="AG285:AG348" si="154">1-AF284</f>
        <v>0.94453366607450795</v>
      </c>
      <c r="AH285" s="376">
        <f t="shared" si="140"/>
        <v>0.94481618751980168</v>
      </c>
      <c r="AI285" s="553">
        <f t="shared" si="141"/>
        <v>2.8248153986831781E-4</v>
      </c>
      <c r="AJ285" s="374"/>
      <c r="AK285" s="577">
        <f t="shared" si="129"/>
        <v>6.4472511689517106E-2</v>
      </c>
      <c r="AL285" s="376">
        <f t="shared" si="142"/>
        <v>0.93527819897850129</v>
      </c>
      <c r="AM285" s="376">
        <f t="shared" si="143"/>
        <v>0.93552748831048294</v>
      </c>
      <c r="AN285" s="553">
        <f t="shared" si="144"/>
        <v>2.492582619779693E-4</v>
      </c>
      <c r="AO285" s="554"/>
      <c r="AP285" s="580">
        <f t="shared" si="130"/>
        <v>6.7237066265768419E-3</v>
      </c>
      <c r="AQ285" s="376">
        <f t="shared" si="145"/>
        <v>0.99315586546819168</v>
      </c>
      <c r="AR285" s="379">
        <f t="shared" si="146"/>
        <v>0.99327629337342316</v>
      </c>
      <c r="AS285" s="376">
        <f t="shared" si="147"/>
        <v>1.2042065408235381E-4</v>
      </c>
      <c r="AT285" s="384"/>
      <c r="AU285" s="583">
        <f t="shared" si="131"/>
        <v>0.28273329723749208</v>
      </c>
      <c r="AV285" s="381">
        <f t="shared" si="126"/>
        <v>1.263249788271734</v>
      </c>
      <c r="AW285" s="376">
        <f t="shared" si="132"/>
        <v>1.2632512382772059</v>
      </c>
      <c r="AX285" s="503">
        <f t="shared" si="124"/>
        <v>1.4500044206444684E-6</v>
      </c>
      <c r="AY285" s="376">
        <f t="shared" si="133"/>
        <v>2.8025234832518295</v>
      </c>
      <c r="AZ285" s="381">
        <f t="shared" si="148"/>
        <v>2.1108293880677952E-3</v>
      </c>
      <c r="BA285" s="586">
        <f t="shared" si="149"/>
        <v>0.16138099489373128</v>
      </c>
      <c r="BB285" s="376">
        <f t="shared" si="150"/>
        <v>0.83834408879073563</v>
      </c>
      <c r="BC285" s="376">
        <f t="shared" si="151"/>
        <v>0.83861900510626874</v>
      </c>
      <c r="BD285" s="376">
        <f t="shared" si="152"/>
        <v>2.7487852950558445E-4</v>
      </c>
      <c r="BE285" s="283"/>
      <c r="BF285" s="283"/>
      <c r="BG285" s="283"/>
      <c r="BH285" s="283"/>
      <c r="BI285" s="283"/>
      <c r="BJ285" s="283"/>
      <c r="BK285" s="283"/>
      <c r="BL285" s="283"/>
      <c r="BM285" s="283"/>
      <c r="BN285" s="283"/>
      <c r="BO285" s="283"/>
      <c r="BP285" s="283"/>
      <c r="BQ285" s="283"/>
      <c r="BR285" s="283"/>
      <c r="BS285" s="283"/>
      <c r="BT285" s="283"/>
      <c r="BU285" s="283"/>
      <c r="BV285" s="283"/>
      <c r="BW285" s="283"/>
      <c r="BX285" s="283"/>
      <c r="BY285" s="283"/>
      <c r="BZ285" s="283"/>
      <c r="CA285" s="283"/>
      <c r="CB285" s="283"/>
      <c r="CC285" s="283"/>
      <c r="CD285" s="283"/>
      <c r="CE285" s="283"/>
      <c r="CF285" s="283"/>
      <c r="CG285" s="283"/>
      <c r="CH285" s="283"/>
      <c r="CI285" s="283"/>
      <c r="CJ285" s="283"/>
      <c r="CK285" s="283"/>
      <c r="CL285" s="283"/>
    </row>
    <row r="286" spans="1:90" ht="14.25" customHeight="1" x14ac:dyDescent="0.2">
      <c r="A286" s="28"/>
      <c r="B286" s="28"/>
      <c r="C286" s="28"/>
      <c r="D286" s="28"/>
      <c r="E286" s="282"/>
      <c r="F286" s="282"/>
      <c r="G286" s="282"/>
      <c r="H286" s="282"/>
      <c r="I286" s="282"/>
      <c r="J286" s="282"/>
      <c r="K286" s="282"/>
      <c r="L286" s="282"/>
      <c r="M286" s="282"/>
      <c r="N286" s="282"/>
      <c r="O286" s="282"/>
      <c r="P286" s="282"/>
      <c r="Q286" s="282"/>
      <c r="R286" s="282"/>
      <c r="S286" s="374"/>
      <c r="T286" s="373">
        <f t="shared" si="127"/>
        <v>260</v>
      </c>
      <c r="U286" s="374"/>
      <c r="V286" s="568">
        <f t="shared" si="153"/>
        <v>1.5072304673630636E-3</v>
      </c>
      <c r="W286" s="328">
        <f t="shared" si="134"/>
        <v>0.99845462878142566</v>
      </c>
      <c r="X286" s="328">
        <f t="shared" si="135"/>
        <v>0.99849276953263688</v>
      </c>
      <c r="Y286" s="328">
        <f t="shared" si="136"/>
        <v>3.8140023862043293E-5</v>
      </c>
      <c r="Z286" s="374"/>
      <c r="AA286" s="571">
        <f t="shared" si="137"/>
        <v>1.6271896756862355E-2</v>
      </c>
      <c r="AB286" s="327">
        <f t="shared" si="125"/>
        <v>0.983528486829225</v>
      </c>
      <c r="AC286" s="327">
        <f t="shared" si="138"/>
        <v>0.98372810324313764</v>
      </c>
      <c r="AD286" s="327">
        <f t="shared" si="139"/>
        <v>1.9959649188194817E-4</v>
      </c>
      <c r="AE286" s="383"/>
      <c r="AF286" s="574">
        <f t="shared" si="128"/>
        <v>5.4903511123397308E-2</v>
      </c>
      <c r="AG286" s="376">
        <f t="shared" si="154"/>
        <v>0.94481618751980168</v>
      </c>
      <c r="AH286" s="376">
        <f t="shared" si="140"/>
        <v>0.94509648887660269</v>
      </c>
      <c r="AI286" s="553">
        <f t="shared" si="141"/>
        <v>2.802620760459229E-4</v>
      </c>
      <c r="AJ286" s="374"/>
      <c r="AK286" s="577">
        <f t="shared" si="129"/>
        <v>6.42250721078617E-2</v>
      </c>
      <c r="AL286" s="376">
        <f t="shared" si="142"/>
        <v>0.93552748831048294</v>
      </c>
      <c r="AM286" s="376">
        <f t="shared" si="143"/>
        <v>0.93577492789213834</v>
      </c>
      <c r="AN286" s="553">
        <f t="shared" si="144"/>
        <v>2.4740897100694603E-4</v>
      </c>
      <c r="AO286" s="554"/>
      <c r="AP286" s="580">
        <f t="shared" si="130"/>
        <v>6.605415464662423E-3</v>
      </c>
      <c r="AQ286" s="376">
        <f t="shared" si="145"/>
        <v>0.99327629337342316</v>
      </c>
      <c r="AR286" s="379">
        <f t="shared" si="146"/>
        <v>0.99339458453533758</v>
      </c>
      <c r="AS286" s="376">
        <f t="shared" si="147"/>
        <v>1.1828416579073853E-4</v>
      </c>
      <c r="AT286" s="384"/>
      <c r="AU286" s="583">
        <f t="shared" si="131"/>
        <v>0.28273290354819414</v>
      </c>
      <c r="AV286" s="381">
        <f t="shared" si="126"/>
        <v>1.2632512382772059</v>
      </c>
      <c r="AW286" s="376">
        <f t="shared" si="132"/>
        <v>1.2632526307186902</v>
      </c>
      <c r="AX286" s="503">
        <f t="shared" si="124"/>
        <v>1.3924405148912911E-6</v>
      </c>
      <c r="AY286" s="376">
        <f t="shared" si="133"/>
        <v>2.8055545687751238</v>
      </c>
      <c r="AZ286" s="381">
        <f t="shared" si="148"/>
        <v>2.0994406934294906E-3</v>
      </c>
      <c r="BA286" s="586">
        <f t="shared" si="149"/>
        <v>0.16110760044129199</v>
      </c>
      <c r="BB286" s="376">
        <f t="shared" si="150"/>
        <v>0.83861900510626874</v>
      </c>
      <c r="BC286" s="376">
        <f t="shared" si="151"/>
        <v>0.83889239955870798</v>
      </c>
      <c r="BD286" s="376">
        <f t="shared" si="152"/>
        <v>2.7335708358144917E-4</v>
      </c>
      <c r="BE286" s="283"/>
      <c r="BF286" s="283"/>
      <c r="BG286" s="283"/>
      <c r="BH286" s="283"/>
      <c r="BI286" s="283"/>
      <c r="BJ286" s="283"/>
      <c r="BK286" s="283"/>
      <c r="BL286" s="283"/>
      <c r="BM286" s="283"/>
      <c r="BN286" s="283"/>
      <c r="BO286" s="283"/>
      <c r="BP286" s="283"/>
      <c r="BQ286" s="283"/>
      <c r="BR286" s="283"/>
      <c r="BS286" s="283"/>
      <c r="BT286" s="283"/>
      <c r="BU286" s="283"/>
      <c r="BV286" s="283"/>
      <c r="BW286" s="283"/>
      <c r="BX286" s="283"/>
      <c r="BY286" s="283"/>
      <c r="BZ286" s="283"/>
      <c r="CA286" s="283"/>
      <c r="CB286" s="283"/>
      <c r="CC286" s="283"/>
      <c r="CD286" s="283"/>
      <c r="CE286" s="283"/>
      <c r="CF286" s="283"/>
      <c r="CG286" s="283"/>
      <c r="CH286" s="283"/>
      <c r="CI286" s="283"/>
      <c r="CJ286" s="283"/>
      <c r="CK286" s="283"/>
      <c r="CL286" s="283"/>
    </row>
    <row r="287" spans="1:90" ht="14.25" customHeight="1" x14ac:dyDescent="0.2">
      <c r="A287" s="28"/>
      <c r="B287" s="28"/>
      <c r="C287" s="28"/>
      <c r="D287" s="28"/>
      <c r="E287" s="282"/>
      <c r="F287" s="282"/>
      <c r="G287" s="282"/>
      <c r="H287" s="282"/>
      <c r="I287" s="282"/>
      <c r="J287" s="282"/>
      <c r="K287" s="282"/>
      <c r="L287" s="282"/>
      <c r="M287" s="282"/>
      <c r="N287" s="282"/>
      <c r="O287" s="282"/>
      <c r="P287" s="282"/>
      <c r="Q287" s="282"/>
      <c r="R287" s="282"/>
      <c r="S287" s="374"/>
      <c r="T287" s="373">
        <f t="shared" si="127"/>
        <v>261</v>
      </c>
      <c r="U287" s="374"/>
      <c r="V287" s="568">
        <f t="shared" si="153"/>
        <v>1.4700310543140343E-3</v>
      </c>
      <c r="W287" s="328">
        <f t="shared" si="134"/>
        <v>0.99849276953263688</v>
      </c>
      <c r="X287" s="328">
        <f t="shared" si="135"/>
        <v>0.99852996894568602</v>
      </c>
      <c r="Y287" s="328">
        <f t="shared" si="136"/>
        <v>3.7198721159592552E-5</v>
      </c>
      <c r="Z287" s="374"/>
      <c r="AA287" s="571">
        <f t="shared" si="137"/>
        <v>1.6074873208976721E-2</v>
      </c>
      <c r="AB287" s="327">
        <f t="shared" si="125"/>
        <v>0.98372810324313764</v>
      </c>
      <c r="AC287" s="327">
        <f t="shared" si="138"/>
        <v>0.98392512679102329</v>
      </c>
      <c r="AD287" s="327">
        <f t="shared" si="139"/>
        <v>1.9700414002110644E-4</v>
      </c>
      <c r="AE287" s="383"/>
      <c r="AF287" s="574">
        <f t="shared" si="128"/>
        <v>5.4625405730984511E-2</v>
      </c>
      <c r="AG287" s="376">
        <f t="shared" si="154"/>
        <v>0.94509648887660269</v>
      </c>
      <c r="AH287" s="376">
        <f t="shared" si="140"/>
        <v>0.94537459426901549</v>
      </c>
      <c r="AI287" s="553">
        <f t="shared" si="141"/>
        <v>2.7806672469277149E-4</v>
      </c>
      <c r="AJ287" s="374"/>
      <c r="AK287" s="577">
        <f t="shared" si="129"/>
        <v>6.3979462014253349E-2</v>
      </c>
      <c r="AL287" s="376">
        <f t="shared" si="142"/>
        <v>0.93577492789213834</v>
      </c>
      <c r="AM287" s="376">
        <f t="shared" si="143"/>
        <v>0.93602053798574669</v>
      </c>
      <c r="AN287" s="553">
        <f t="shared" si="144"/>
        <v>2.4557993391849386E-4</v>
      </c>
      <c r="AO287" s="554"/>
      <c r="AP287" s="580">
        <f t="shared" si="130"/>
        <v>6.4892227070252329E-3</v>
      </c>
      <c r="AQ287" s="376">
        <f t="shared" si="145"/>
        <v>0.99339458453533758</v>
      </c>
      <c r="AR287" s="379">
        <f t="shared" si="146"/>
        <v>0.99351077729297477</v>
      </c>
      <c r="AS287" s="376">
        <f t="shared" si="147"/>
        <v>1.1618600752016928E-4</v>
      </c>
      <c r="AT287" s="384"/>
      <c r="AU287" s="583">
        <f t="shared" si="131"/>
        <v>0.28273252548854322</v>
      </c>
      <c r="AV287" s="381">
        <f t="shared" si="126"/>
        <v>1.2632526307186902</v>
      </c>
      <c r="AW287" s="376">
        <f t="shared" si="132"/>
        <v>1.263253967881429</v>
      </c>
      <c r="AX287" s="503">
        <f t="shared" si="124"/>
        <v>1.3371618448054789E-6</v>
      </c>
      <c r="AY287" s="376">
        <f t="shared" si="133"/>
        <v>2.8085740186247818</v>
      </c>
      <c r="AZ287" s="381">
        <f t="shared" si="148"/>
        <v>2.0881568107162627E-3</v>
      </c>
      <c r="BA287" s="586">
        <f t="shared" si="149"/>
        <v>0.16083571363915267</v>
      </c>
      <c r="BB287" s="376">
        <f t="shared" si="150"/>
        <v>0.83889239955870798</v>
      </c>
      <c r="BC287" s="376">
        <f t="shared" si="151"/>
        <v>0.83916428636084728</v>
      </c>
      <c r="BD287" s="376">
        <f t="shared" si="152"/>
        <v>2.7184984427219838E-4</v>
      </c>
      <c r="BE287" s="283"/>
      <c r="BF287" s="283"/>
      <c r="BG287" s="283"/>
      <c r="BH287" s="283"/>
      <c r="BI287" s="283"/>
      <c r="BJ287" s="283"/>
      <c r="BK287" s="283"/>
      <c r="BL287" s="283"/>
      <c r="BM287" s="283"/>
      <c r="BN287" s="283"/>
      <c r="BO287" s="283"/>
      <c r="BP287" s="283"/>
      <c r="BQ287" s="283"/>
      <c r="BR287" s="283"/>
      <c r="BS287" s="283"/>
      <c r="BT287" s="283"/>
      <c r="BU287" s="283"/>
      <c r="BV287" s="283"/>
      <c r="BW287" s="283"/>
      <c r="BX287" s="283"/>
      <c r="BY287" s="283"/>
      <c r="BZ287" s="283"/>
      <c r="CA287" s="283"/>
      <c r="CB287" s="283"/>
      <c r="CC287" s="283"/>
      <c r="CD287" s="283"/>
      <c r="CE287" s="283"/>
      <c r="CF287" s="283"/>
      <c r="CG287" s="283"/>
      <c r="CH287" s="283"/>
      <c r="CI287" s="283"/>
      <c r="CJ287" s="283"/>
      <c r="CK287" s="283"/>
      <c r="CL287" s="283"/>
    </row>
    <row r="288" spans="1:90" ht="14.25" customHeight="1" x14ac:dyDescent="0.2">
      <c r="A288" s="28"/>
      <c r="B288" s="28"/>
      <c r="C288" s="28"/>
      <c r="D288" s="28"/>
      <c r="E288" s="282"/>
      <c r="F288" s="282"/>
      <c r="G288" s="282"/>
      <c r="H288" s="282"/>
      <c r="I288" s="282"/>
      <c r="J288" s="282"/>
      <c r="K288" s="282"/>
      <c r="L288" s="282"/>
      <c r="M288" s="282"/>
      <c r="N288" s="282"/>
      <c r="O288" s="282"/>
      <c r="P288" s="282"/>
      <c r="Q288" s="282"/>
      <c r="R288" s="282"/>
      <c r="S288" s="374"/>
      <c r="T288" s="373">
        <f t="shared" si="127"/>
        <v>262</v>
      </c>
      <c r="U288" s="374"/>
      <c r="V288" s="568">
        <f t="shared" si="153"/>
        <v>1.4337497465986991E-3</v>
      </c>
      <c r="W288" s="328">
        <f t="shared" si="134"/>
        <v>0.99852996894568602</v>
      </c>
      <c r="X288" s="328">
        <f t="shared" si="135"/>
        <v>0.99856625025340129</v>
      </c>
      <c r="Y288" s="328">
        <f t="shared" si="136"/>
        <v>3.6280649556630351E-5</v>
      </c>
      <c r="Z288" s="374"/>
      <c r="AA288" s="571">
        <f t="shared" si="137"/>
        <v>1.5880406090146199E-2</v>
      </c>
      <c r="AB288" s="327">
        <f t="shared" si="125"/>
        <v>0.98392512679102329</v>
      </c>
      <c r="AC288" s="327">
        <f t="shared" si="138"/>
        <v>0.98411959390985382</v>
      </c>
      <c r="AD288" s="327">
        <f t="shared" si="139"/>
        <v>1.9444821132608148E-4</v>
      </c>
      <c r="AE288" s="383"/>
      <c r="AF288" s="574">
        <f t="shared" si="128"/>
        <v>5.4349472517005726E-2</v>
      </c>
      <c r="AG288" s="376">
        <f t="shared" si="154"/>
        <v>0.94537459426901549</v>
      </c>
      <c r="AH288" s="376">
        <f t="shared" si="140"/>
        <v>0.94565052748299427</v>
      </c>
      <c r="AI288" s="553">
        <f t="shared" si="141"/>
        <v>2.758951479108207E-4</v>
      </c>
      <c r="AJ288" s="374"/>
      <c r="AK288" s="577">
        <f t="shared" si="129"/>
        <v>6.373566143933139E-2</v>
      </c>
      <c r="AL288" s="376">
        <f t="shared" si="142"/>
        <v>0.93602053798574669</v>
      </c>
      <c r="AM288" s="376">
        <f t="shared" si="143"/>
        <v>0.9362643385606686</v>
      </c>
      <c r="AN288" s="553">
        <f t="shared" si="144"/>
        <v>2.4377085797677722E-4</v>
      </c>
      <c r="AO288" s="554"/>
      <c r="AP288" s="580">
        <f t="shared" si="130"/>
        <v>6.3750907132322787E-3</v>
      </c>
      <c r="AQ288" s="376">
        <f t="shared" si="145"/>
        <v>0.99351077729297477</v>
      </c>
      <c r="AR288" s="379">
        <f t="shared" si="146"/>
        <v>0.99362490928676772</v>
      </c>
      <c r="AS288" s="376">
        <f t="shared" si="147"/>
        <v>1.1412548098477249E-4</v>
      </c>
      <c r="AT288" s="384"/>
      <c r="AU288" s="583">
        <f t="shared" si="131"/>
        <v>0.28273216243801563</v>
      </c>
      <c r="AV288" s="381">
        <f t="shared" si="126"/>
        <v>1.263253967881429</v>
      </c>
      <c r="AW288" s="376">
        <f t="shared" si="132"/>
        <v>1.2632552519599412</v>
      </c>
      <c r="AX288" s="503">
        <f t="shared" si="124"/>
        <v>1.2840776877354187E-6</v>
      </c>
      <c r="AY288" s="376">
        <f t="shared" si="133"/>
        <v>2.8115819217928983</v>
      </c>
      <c r="AZ288" s="381">
        <f t="shared" si="148"/>
        <v>2.0769763792704622E-3</v>
      </c>
      <c r="BA288" s="586">
        <f t="shared" si="149"/>
        <v>0.1605653204608728</v>
      </c>
      <c r="BB288" s="376">
        <f t="shared" si="150"/>
        <v>0.83916428636084728</v>
      </c>
      <c r="BC288" s="376">
        <f t="shared" si="151"/>
        <v>0.8394346795391272</v>
      </c>
      <c r="BD288" s="376">
        <f t="shared" si="152"/>
        <v>2.7035662533914095E-4</v>
      </c>
      <c r="BE288" s="283"/>
      <c r="BF288" s="283"/>
      <c r="BG288" s="283"/>
      <c r="BH288" s="283"/>
      <c r="BI288" s="283"/>
      <c r="BJ288" s="283"/>
      <c r="BK288" s="283"/>
      <c r="BL288" s="283"/>
      <c r="BM288" s="283"/>
      <c r="BN288" s="283"/>
      <c r="BO288" s="283"/>
      <c r="BP288" s="283"/>
      <c r="BQ288" s="283"/>
      <c r="BR288" s="283"/>
      <c r="BS288" s="283"/>
      <c r="BT288" s="283"/>
      <c r="BU288" s="283"/>
      <c r="BV288" s="283"/>
      <c r="BW288" s="283"/>
      <c r="BX288" s="283"/>
      <c r="BY288" s="283"/>
      <c r="BZ288" s="283"/>
      <c r="CA288" s="283"/>
      <c r="CB288" s="283"/>
      <c r="CC288" s="283"/>
      <c r="CD288" s="283"/>
      <c r="CE288" s="283"/>
      <c r="CF288" s="283"/>
      <c r="CG288" s="283"/>
      <c r="CH288" s="283"/>
      <c r="CI288" s="283"/>
      <c r="CJ288" s="283"/>
      <c r="CK288" s="283"/>
      <c r="CL288" s="283"/>
    </row>
    <row r="289" spans="1:90" ht="14.25" customHeight="1" x14ac:dyDescent="0.2">
      <c r="A289" s="28"/>
      <c r="B289" s="28"/>
      <c r="C289" s="28"/>
      <c r="D289" s="28"/>
      <c r="E289" s="282"/>
      <c r="F289" s="282"/>
      <c r="G289" s="282"/>
      <c r="H289" s="282"/>
      <c r="I289" s="282"/>
      <c r="J289" s="282"/>
      <c r="K289" s="282"/>
      <c r="L289" s="282"/>
      <c r="M289" s="282"/>
      <c r="N289" s="282"/>
      <c r="O289" s="282"/>
      <c r="P289" s="282"/>
      <c r="Q289" s="282"/>
      <c r="R289" s="282"/>
      <c r="S289" s="374"/>
      <c r="T289" s="373">
        <f t="shared" si="127"/>
        <v>263</v>
      </c>
      <c r="U289" s="374"/>
      <c r="V289" s="568">
        <f t="shared" si="153"/>
        <v>1.3983638847895382E-3</v>
      </c>
      <c r="W289" s="328">
        <f t="shared" si="134"/>
        <v>0.99856625025340129</v>
      </c>
      <c r="X289" s="328">
        <f t="shared" si="135"/>
        <v>0.99860163611521047</v>
      </c>
      <c r="Y289" s="328">
        <f t="shared" si="136"/>
        <v>3.5385235736984377E-5</v>
      </c>
      <c r="Z289" s="374"/>
      <c r="AA289" s="571">
        <f t="shared" si="137"/>
        <v>1.5688459522924251E-2</v>
      </c>
      <c r="AB289" s="327">
        <f t="shared" si="125"/>
        <v>0.98411959390985382</v>
      </c>
      <c r="AC289" s="327">
        <f t="shared" si="138"/>
        <v>0.9843115404770757</v>
      </c>
      <c r="AD289" s="327">
        <f t="shared" si="139"/>
        <v>1.9192814665813795E-4</v>
      </c>
      <c r="AE289" s="383"/>
      <c r="AF289" s="574">
        <f t="shared" si="128"/>
        <v>5.4075688027822033E-2</v>
      </c>
      <c r="AG289" s="376">
        <f t="shared" si="154"/>
        <v>0.94565052748299427</v>
      </c>
      <c r="AH289" s="376">
        <f t="shared" si="140"/>
        <v>0.94592431197217797</v>
      </c>
      <c r="AI289" s="553">
        <f t="shared" si="141"/>
        <v>2.7374701363058751E-4</v>
      </c>
      <c r="AJ289" s="374"/>
      <c r="AK289" s="577">
        <f t="shared" si="129"/>
        <v>6.3493650701401741E-2</v>
      </c>
      <c r="AL289" s="376">
        <f t="shared" si="142"/>
        <v>0.9362643385606686</v>
      </c>
      <c r="AM289" s="376">
        <f t="shared" si="143"/>
        <v>0.93650634929859822</v>
      </c>
      <c r="AN289" s="553">
        <f t="shared" si="144"/>
        <v>2.4198145569320761E-4</v>
      </c>
      <c r="AO289" s="554"/>
      <c r="AP289" s="580">
        <f t="shared" si="130"/>
        <v>6.2629825284475915E-3</v>
      </c>
      <c r="AQ289" s="376">
        <f t="shared" si="145"/>
        <v>0.99362490928676772</v>
      </c>
      <c r="AR289" s="379">
        <f t="shared" si="146"/>
        <v>0.99373701747155241</v>
      </c>
      <c r="AS289" s="376">
        <f t="shared" si="147"/>
        <v>1.1210190089694372E-4</v>
      </c>
      <c r="AT289" s="384"/>
      <c r="AU289" s="583">
        <f t="shared" si="131"/>
        <v>0.28273181380072476</v>
      </c>
      <c r="AV289" s="381">
        <f t="shared" si="126"/>
        <v>1.2632552519599412</v>
      </c>
      <c r="AW289" s="376">
        <f t="shared" si="132"/>
        <v>1.2632564850616259</v>
      </c>
      <c r="AX289" s="503">
        <f t="shared" ref="AX289:AX352" si="155">1-EXP(AV289-AW289)</f>
        <v>1.2331009244803681E-6</v>
      </c>
      <c r="AY289" s="376">
        <f t="shared" si="133"/>
        <v>2.8145783662545112</v>
      </c>
      <c r="AZ289" s="381">
        <f t="shared" si="148"/>
        <v>2.0658980612008509E-3</v>
      </c>
      <c r="BA289" s="586">
        <f t="shared" si="149"/>
        <v>0.16029640706322304</v>
      </c>
      <c r="BB289" s="376">
        <f t="shared" si="150"/>
        <v>0.8394346795391272</v>
      </c>
      <c r="BC289" s="376">
        <f t="shared" si="151"/>
        <v>0.83970359293677699</v>
      </c>
      <c r="BD289" s="376">
        <f t="shared" si="152"/>
        <v>2.6887724368285237E-4</v>
      </c>
      <c r="BE289" s="283"/>
      <c r="BF289" s="283"/>
      <c r="BG289" s="283"/>
      <c r="BH289" s="283"/>
      <c r="BI289" s="283"/>
      <c r="BJ289" s="283"/>
      <c r="BK289" s="283"/>
      <c r="BL289" s="283"/>
      <c r="BM289" s="283"/>
      <c r="BN289" s="283"/>
      <c r="BO289" s="283"/>
      <c r="BP289" s="283"/>
      <c r="BQ289" s="283"/>
      <c r="BR289" s="283"/>
      <c r="BS289" s="283"/>
      <c r="BT289" s="283"/>
      <c r="BU289" s="283"/>
      <c r="BV289" s="283"/>
      <c r="BW289" s="283"/>
      <c r="BX289" s="283"/>
      <c r="BY289" s="283"/>
      <c r="BZ289" s="283"/>
      <c r="CA289" s="283"/>
      <c r="CB289" s="283"/>
      <c r="CC289" s="283"/>
      <c r="CD289" s="283"/>
      <c r="CE289" s="283"/>
      <c r="CF289" s="283"/>
      <c r="CG289" s="283"/>
      <c r="CH289" s="283"/>
      <c r="CI289" s="283"/>
      <c r="CJ289" s="283"/>
      <c r="CK289" s="283"/>
      <c r="CL289" s="283"/>
    </row>
    <row r="290" spans="1:90" ht="14.25" customHeight="1" x14ac:dyDescent="0.2">
      <c r="A290" s="28"/>
      <c r="B290" s="28"/>
      <c r="C290" s="28"/>
      <c r="D290" s="28"/>
      <c r="E290" s="282"/>
      <c r="F290" s="282"/>
      <c r="G290" s="282"/>
      <c r="H290" s="282"/>
      <c r="I290" s="282"/>
      <c r="J290" s="282"/>
      <c r="K290" s="282"/>
      <c r="L290" s="282"/>
      <c r="M290" s="282"/>
      <c r="N290" s="282"/>
      <c r="O290" s="282"/>
      <c r="P290" s="282"/>
      <c r="Q290" s="282"/>
      <c r="R290" s="282"/>
      <c r="S290" s="374"/>
      <c r="T290" s="373">
        <f t="shared" si="127"/>
        <v>264</v>
      </c>
      <c r="U290" s="374"/>
      <c r="V290" s="568">
        <f t="shared" si="153"/>
        <v>1.3638513687082127E-3</v>
      </c>
      <c r="W290" s="328">
        <f t="shared" si="134"/>
        <v>0.99860163611521047</v>
      </c>
      <c r="X290" s="328">
        <f t="shared" si="135"/>
        <v>0.9986361486312918</v>
      </c>
      <c r="Y290" s="328">
        <f t="shared" si="136"/>
        <v>3.4511920531277163E-5</v>
      </c>
      <c r="Z290" s="374"/>
      <c r="AA290" s="571">
        <f t="shared" si="137"/>
        <v>1.5498998179907844E-2</v>
      </c>
      <c r="AB290" s="327">
        <f t="shared" si="125"/>
        <v>0.9843115404770757</v>
      </c>
      <c r="AC290" s="327">
        <f t="shared" si="138"/>
        <v>0.98450100182009215</v>
      </c>
      <c r="AD290" s="327">
        <f t="shared" si="139"/>
        <v>1.8944339634963114E-4</v>
      </c>
      <c r="AE290" s="383"/>
      <c r="AF290" s="574">
        <f t="shared" si="128"/>
        <v>5.3804029136396481E-2</v>
      </c>
      <c r="AG290" s="376">
        <f t="shared" si="154"/>
        <v>0.94592431197217797</v>
      </c>
      <c r="AH290" s="376">
        <f t="shared" si="140"/>
        <v>0.94619597086360352</v>
      </c>
      <c r="AI290" s="553">
        <f t="shared" si="141"/>
        <v>2.7162199549002342E-4</v>
      </c>
      <c r="AJ290" s="374"/>
      <c r="AK290" s="577">
        <f t="shared" si="129"/>
        <v>6.325341040129788E-2</v>
      </c>
      <c r="AL290" s="376">
        <f t="shared" si="142"/>
        <v>0.93650634929859822</v>
      </c>
      <c r="AM290" s="376">
        <f t="shared" si="143"/>
        <v>0.93674658959870216</v>
      </c>
      <c r="AN290" s="553">
        <f t="shared" si="144"/>
        <v>2.4021144471386702E-4</v>
      </c>
      <c r="AO290" s="554"/>
      <c r="AP290" s="580">
        <f t="shared" si="130"/>
        <v>6.1528618706724325E-3</v>
      </c>
      <c r="AQ290" s="376">
        <f t="shared" si="145"/>
        <v>0.99373701747155241</v>
      </c>
      <c r="AR290" s="379">
        <f t="shared" si="146"/>
        <v>0.99384713812932757</v>
      </c>
      <c r="AS290" s="376">
        <f t="shared" si="147"/>
        <v>1.1011459471810259E-4</v>
      </c>
      <c r="AT290" s="384"/>
      <c r="AU290" s="583">
        <f t="shared" si="131"/>
        <v>0.28273147900444334</v>
      </c>
      <c r="AV290" s="381">
        <f t="shared" si="126"/>
        <v>1.2632564850616259</v>
      </c>
      <c r="AW290" s="376">
        <f t="shared" si="132"/>
        <v>1.2632576692102193</v>
      </c>
      <c r="AX290" s="503">
        <f t="shared" si="155"/>
        <v>1.1841478922969273E-6</v>
      </c>
      <c r="AY290" s="376">
        <f t="shared" si="133"/>
        <v>2.8175634389830377</v>
      </c>
      <c r="AZ290" s="381">
        <f t="shared" si="148"/>
        <v>2.0549205409169631E-3</v>
      </c>
      <c r="BA290" s="586">
        <f t="shared" si="149"/>
        <v>0.16002895978311021</v>
      </c>
      <c r="BB290" s="376">
        <f t="shared" si="150"/>
        <v>0.83970359293677699</v>
      </c>
      <c r="BC290" s="376">
        <f t="shared" si="151"/>
        <v>0.83997104021688984</v>
      </c>
      <c r="BD290" s="376">
        <f t="shared" si="152"/>
        <v>2.6741151927711648E-4</v>
      </c>
      <c r="BE290" s="283"/>
      <c r="BF290" s="283"/>
      <c r="BG290" s="283"/>
      <c r="BH290" s="283"/>
      <c r="BI290" s="283"/>
      <c r="BJ290" s="283"/>
      <c r="BK290" s="283"/>
      <c r="BL290" s="283"/>
      <c r="BM290" s="283"/>
      <c r="BN290" s="283"/>
      <c r="BO290" s="283"/>
      <c r="BP290" s="283"/>
      <c r="BQ290" s="283"/>
      <c r="BR290" s="283"/>
      <c r="BS290" s="283"/>
      <c r="BT290" s="283"/>
      <c r="BU290" s="283"/>
      <c r="BV290" s="283"/>
      <c r="BW290" s="283"/>
      <c r="BX290" s="283"/>
      <c r="BY290" s="283"/>
      <c r="BZ290" s="283"/>
      <c r="CA290" s="283"/>
      <c r="CB290" s="283"/>
      <c r="CC290" s="283"/>
      <c r="CD290" s="283"/>
      <c r="CE290" s="283"/>
      <c r="CF290" s="283"/>
      <c r="CG290" s="283"/>
      <c r="CH290" s="283"/>
      <c r="CI290" s="283"/>
      <c r="CJ290" s="283"/>
      <c r="CK290" s="283"/>
      <c r="CL290" s="283"/>
    </row>
    <row r="291" spans="1:90" ht="14.25" customHeight="1" x14ac:dyDescent="0.2">
      <c r="A291" s="28"/>
      <c r="B291" s="28"/>
      <c r="C291" s="28"/>
      <c r="D291" s="28"/>
      <c r="E291" s="282"/>
      <c r="F291" s="282"/>
      <c r="G291" s="282"/>
      <c r="H291" s="282"/>
      <c r="I291" s="282"/>
      <c r="J291" s="282"/>
      <c r="K291" s="282"/>
      <c r="L291" s="282"/>
      <c r="M291" s="282"/>
      <c r="N291" s="282"/>
      <c r="O291" s="282"/>
      <c r="P291" s="282"/>
      <c r="Q291" s="282"/>
      <c r="R291" s="282"/>
      <c r="S291" s="374"/>
      <c r="T291" s="373">
        <f t="shared" si="127"/>
        <v>265</v>
      </c>
      <c r="U291" s="374"/>
      <c r="V291" s="568">
        <f t="shared" si="153"/>
        <v>1.3301906436229362E-3</v>
      </c>
      <c r="W291" s="328">
        <f t="shared" si="134"/>
        <v>0.9986361486312918</v>
      </c>
      <c r="X291" s="328">
        <f t="shared" si="135"/>
        <v>0.99866980935637706</v>
      </c>
      <c r="Y291" s="328">
        <f t="shared" si="136"/>
        <v>3.3660158569426279E-5</v>
      </c>
      <c r="Z291" s="374"/>
      <c r="AA291" s="571">
        <f t="shared" si="137"/>
        <v>1.531198727443419E-2</v>
      </c>
      <c r="AB291" s="327">
        <f t="shared" ref="AB291:AB354" si="156">1-AA290</f>
        <v>0.98450100182009215</v>
      </c>
      <c r="AC291" s="327">
        <f t="shared" si="138"/>
        <v>0.98468801272556583</v>
      </c>
      <c r="AD291" s="327">
        <f t="shared" si="139"/>
        <v>1.8699342002426178E-4</v>
      </c>
      <c r="AE291" s="383"/>
      <c r="AF291" s="574">
        <f t="shared" si="128"/>
        <v>5.3534473036695673E-2</v>
      </c>
      <c r="AG291" s="376">
        <f t="shared" si="154"/>
        <v>0.94619597086360352</v>
      </c>
      <c r="AH291" s="376">
        <f t="shared" si="140"/>
        <v>0.94646552696330433</v>
      </c>
      <c r="AI291" s="553">
        <f t="shared" si="141"/>
        <v>2.6951977271949534E-4</v>
      </c>
      <c r="AJ291" s="374"/>
      <c r="AK291" s="577">
        <f t="shared" si="129"/>
        <v>6.3014921417350794E-2</v>
      </c>
      <c r="AL291" s="376">
        <f t="shared" si="142"/>
        <v>0.93674658959870216</v>
      </c>
      <c r="AM291" s="376">
        <f t="shared" si="143"/>
        <v>0.93698507858264923</v>
      </c>
      <c r="AN291" s="553">
        <f t="shared" si="144"/>
        <v>2.3846054770992886E-4</v>
      </c>
      <c r="AO291" s="554"/>
      <c r="AP291" s="580">
        <f t="shared" si="130"/>
        <v>6.0446931182300823E-3</v>
      </c>
      <c r="AQ291" s="376">
        <f t="shared" si="145"/>
        <v>0.99384713812932757</v>
      </c>
      <c r="AR291" s="379">
        <f t="shared" si="146"/>
        <v>0.99395530688176992</v>
      </c>
      <c r="AS291" s="376">
        <f t="shared" si="147"/>
        <v>1.0816290241377757E-4</v>
      </c>
      <c r="AT291" s="384"/>
      <c r="AU291" s="583">
        <f t="shared" si="131"/>
        <v>0.28273115749966338</v>
      </c>
      <c r="AV291" s="381">
        <f t="shared" si="126"/>
        <v>1.2632576692102193</v>
      </c>
      <c r="AW291" s="376">
        <f t="shared" si="132"/>
        <v>1.2632588063491184</v>
      </c>
      <c r="AX291" s="503">
        <f t="shared" si="155"/>
        <v>1.1371382524494322E-6</v>
      </c>
      <c r="AY291" s="376">
        <f t="shared" si="133"/>
        <v>2.8205372259654271</v>
      </c>
      <c r="AZ291" s="381">
        <f t="shared" si="148"/>
        <v>2.0440425246746785E-3</v>
      </c>
      <c r="BA291" s="586">
        <f t="shared" si="149"/>
        <v>0.15976296513456387</v>
      </c>
      <c r="BB291" s="376">
        <f t="shared" si="150"/>
        <v>0.83997104021688984</v>
      </c>
      <c r="BC291" s="376">
        <f t="shared" si="151"/>
        <v>0.84023703486543611</v>
      </c>
      <c r="BD291" s="376">
        <f t="shared" si="152"/>
        <v>2.6595927510619788E-4</v>
      </c>
      <c r="BE291" s="283"/>
      <c r="BF291" s="283"/>
      <c r="BG291" s="283"/>
      <c r="BH291" s="283"/>
      <c r="BI291" s="283"/>
      <c r="BJ291" s="283"/>
      <c r="BK291" s="283"/>
      <c r="BL291" s="283"/>
      <c r="BM291" s="283"/>
      <c r="BN291" s="283"/>
      <c r="BO291" s="283"/>
      <c r="BP291" s="283"/>
      <c r="BQ291" s="283"/>
      <c r="BR291" s="283"/>
      <c r="BS291" s="283"/>
      <c r="BT291" s="283"/>
      <c r="BU291" s="283"/>
      <c r="BV291" s="283"/>
      <c r="BW291" s="283"/>
      <c r="BX291" s="283"/>
      <c r="BY291" s="283"/>
      <c r="BZ291" s="283"/>
      <c r="CA291" s="283"/>
      <c r="CB291" s="283"/>
      <c r="CC291" s="283"/>
      <c r="CD291" s="283"/>
      <c r="CE291" s="283"/>
      <c r="CF291" s="283"/>
      <c r="CG291" s="283"/>
      <c r="CH291" s="283"/>
      <c r="CI291" s="283"/>
      <c r="CJ291" s="283"/>
      <c r="CK291" s="283"/>
      <c r="CL291" s="283"/>
    </row>
    <row r="292" spans="1:90" ht="14.25" customHeight="1" x14ac:dyDescent="0.2">
      <c r="A292" s="28"/>
      <c r="B292" s="28"/>
      <c r="C292" s="28"/>
      <c r="D292" s="28"/>
      <c r="E292" s="282"/>
      <c r="F292" s="282"/>
      <c r="G292" s="282"/>
      <c r="H292" s="282"/>
      <c r="I292" s="282"/>
      <c r="J292" s="282"/>
      <c r="K292" s="282"/>
      <c r="L292" s="282"/>
      <c r="M292" s="282"/>
      <c r="N292" s="282"/>
      <c r="O292" s="282"/>
      <c r="P292" s="282"/>
      <c r="Q292" s="282"/>
      <c r="R292" s="282"/>
      <c r="S292" s="374"/>
      <c r="T292" s="373">
        <f t="shared" si="127"/>
        <v>266</v>
      </c>
      <c r="U292" s="374"/>
      <c r="V292" s="568">
        <f t="shared" si="153"/>
        <v>1.2973606867865048E-3</v>
      </c>
      <c r="W292" s="328">
        <f t="shared" si="134"/>
        <v>0.99866980935637706</v>
      </c>
      <c r="X292" s="328">
        <f t="shared" si="135"/>
        <v>0.99870263931321346</v>
      </c>
      <c r="Y292" s="328">
        <f t="shared" si="136"/>
        <v>3.282941793925076E-5</v>
      </c>
      <c r="Z292" s="374"/>
      <c r="AA292" s="571">
        <f t="shared" si="137"/>
        <v>1.5127392551452798E-2</v>
      </c>
      <c r="AB292" s="327">
        <f t="shared" si="156"/>
        <v>0.98468801272556583</v>
      </c>
      <c r="AC292" s="327">
        <f t="shared" si="138"/>
        <v>0.98487260744854721</v>
      </c>
      <c r="AD292" s="327">
        <f t="shared" si="139"/>
        <v>1.8457768642377026E-4</v>
      </c>
      <c r="AE292" s="383"/>
      <c r="AF292" s="574">
        <f t="shared" si="128"/>
        <v>5.3266997238206604E-2</v>
      </c>
      <c r="AG292" s="376">
        <f t="shared" si="154"/>
        <v>0.94646552696330433</v>
      </c>
      <c r="AH292" s="376">
        <f t="shared" si="140"/>
        <v>0.9467330027617934</v>
      </c>
      <c r="AI292" s="553">
        <f t="shared" si="141"/>
        <v>2.6744003002676653E-4</v>
      </c>
      <c r="AJ292" s="374"/>
      <c r="AK292" s="577">
        <f t="shared" si="129"/>
        <v>6.2778164900465699E-2</v>
      </c>
      <c r="AL292" s="376">
        <f t="shared" si="142"/>
        <v>0.93698507858264923</v>
      </c>
      <c r="AM292" s="376">
        <f t="shared" si="143"/>
        <v>0.93722183509953427</v>
      </c>
      <c r="AN292" s="553">
        <f t="shared" si="144"/>
        <v>2.3672849227263093E-4</v>
      </c>
      <c r="AO292" s="554"/>
      <c r="AP292" s="580">
        <f t="shared" si="130"/>
        <v>5.9384412974908818E-3</v>
      </c>
      <c r="AQ292" s="376">
        <f t="shared" si="145"/>
        <v>0.99395530688176992</v>
      </c>
      <c r="AR292" s="379">
        <f t="shared" si="146"/>
        <v>0.99406155870250912</v>
      </c>
      <c r="AS292" s="376">
        <f t="shared" si="147"/>
        <v>1.0624617621446397E-4</v>
      </c>
      <c r="AT292" s="384"/>
      <c r="AU292" s="583">
        <f t="shared" si="131"/>
        <v>0.28273084875869459</v>
      </c>
      <c r="AV292" s="381">
        <f t="shared" ref="AV292:AV355" si="157">($AU$22/$AU$21)*((EXP($AU$21*T291))-1)</f>
        <v>1.2632588063491184</v>
      </c>
      <c r="AW292" s="376">
        <f t="shared" si="132"/>
        <v>1.2632598983445678</v>
      </c>
      <c r="AX292" s="503">
        <f t="shared" si="155"/>
        <v>1.0919948532084334E-6</v>
      </c>
      <c r="AY292" s="376">
        <f t="shared" si="133"/>
        <v>2.8234998122170181</v>
      </c>
      <c r="AZ292" s="381">
        <f t="shared" si="148"/>
        <v>2.033262740132762E-3</v>
      </c>
      <c r="BA292" s="586">
        <f t="shared" si="149"/>
        <v>0.15949840980578436</v>
      </c>
      <c r="BB292" s="376">
        <f t="shared" si="150"/>
        <v>0.84023703486543611</v>
      </c>
      <c r="BC292" s="376">
        <f t="shared" si="151"/>
        <v>0.84050159019421566</v>
      </c>
      <c r="BD292" s="376">
        <f t="shared" si="152"/>
        <v>2.6452033710433476E-4</v>
      </c>
      <c r="BE292" s="283"/>
      <c r="BF292" s="283"/>
      <c r="BG292" s="283"/>
      <c r="BH292" s="283"/>
      <c r="BI292" s="283"/>
      <c r="BJ292" s="283"/>
      <c r="BK292" s="283"/>
      <c r="BL292" s="283"/>
      <c r="BM292" s="283"/>
      <c r="BN292" s="283"/>
      <c r="BO292" s="283"/>
      <c r="BP292" s="283"/>
      <c r="BQ292" s="283"/>
      <c r="BR292" s="283"/>
      <c r="BS292" s="283"/>
      <c r="BT292" s="283"/>
      <c r="BU292" s="283"/>
      <c r="BV292" s="283"/>
      <c r="BW292" s="283"/>
      <c r="BX292" s="283"/>
      <c r="BY292" s="283"/>
      <c r="BZ292" s="283"/>
      <c r="CA292" s="283"/>
      <c r="CB292" s="283"/>
      <c r="CC292" s="283"/>
      <c r="CD292" s="283"/>
      <c r="CE292" s="283"/>
      <c r="CF292" s="283"/>
      <c r="CG292" s="283"/>
      <c r="CH292" s="283"/>
      <c r="CI292" s="283"/>
      <c r="CJ292" s="283"/>
      <c r="CK292" s="283"/>
      <c r="CL292" s="283"/>
    </row>
    <row r="293" spans="1:90" ht="14.25" customHeight="1" x14ac:dyDescent="0.2">
      <c r="A293" s="28"/>
      <c r="B293" s="28"/>
      <c r="C293" s="28"/>
      <c r="D293" s="28"/>
      <c r="E293" s="282"/>
      <c r="F293" s="282"/>
      <c r="G293" s="282"/>
      <c r="H293" s="282"/>
      <c r="I293" s="282"/>
      <c r="J293" s="282"/>
      <c r="K293" s="282"/>
      <c r="L293" s="282"/>
      <c r="M293" s="282"/>
      <c r="N293" s="282"/>
      <c r="O293" s="282"/>
      <c r="P293" s="282"/>
      <c r="Q293" s="282"/>
      <c r="R293" s="282"/>
      <c r="S293" s="374"/>
      <c r="T293" s="373">
        <f t="shared" si="127"/>
        <v>267</v>
      </c>
      <c r="U293" s="374"/>
      <c r="V293" s="568">
        <f t="shared" si="153"/>
        <v>1.2653409943065765E-3</v>
      </c>
      <c r="W293" s="328">
        <f t="shared" si="134"/>
        <v>0.99870263931321346</v>
      </c>
      <c r="X293" s="328">
        <f t="shared" si="135"/>
        <v>0.99873465900569347</v>
      </c>
      <c r="Y293" s="328">
        <f t="shared" si="136"/>
        <v>3.2019179855180546E-5</v>
      </c>
      <c r="Z293" s="374"/>
      <c r="AA293" s="571">
        <f t="shared" si="137"/>
        <v>1.494518027856884E-2</v>
      </c>
      <c r="AB293" s="327">
        <f t="shared" si="156"/>
        <v>0.98487260744854721</v>
      </c>
      <c r="AC293" s="327">
        <f t="shared" si="138"/>
        <v>0.98505481972143116</v>
      </c>
      <c r="AD293" s="327">
        <f t="shared" si="139"/>
        <v>1.8219567323596308E-4</v>
      </c>
      <c r="AE293" s="383"/>
      <c r="AF293" s="574">
        <f t="shared" si="128"/>
        <v>5.3001579560565393E-2</v>
      </c>
      <c r="AG293" s="376">
        <f t="shared" si="154"/>
        <v>0.9467330027617934</v>
      </c>
      <c r="AH293" s="376">
        <f t="shared" si="140"/>
        <v>0.94699842043943461</v>
      </c>
      <c r="AI293" s="553">
        <f t="shared" si="141"/>
        <v>2.6538245748553013E-4</v>
      </c>
      <c r="AJ293" s="374"/>
      <c r="AK293" s="577">
        <f t="shared" si="129"/>
        <v>6.2543122269303364E-2</v>
      </c>
      <c r="AL293" s="376">
        <f t="shared" si="142"/>
        <v>0.93722183509953427</v>
      </c>
      <c r="AM293" s="376">
        <f t="shared" si="143"/>
        <v>0.93745687773069664</v>
      </c>
      <c r="AN293" s="553">
        <f t="shared" si="144"/>
        <v>2.3501501080713805E-4</v>
      </c>
      <c r="AO293" s="554"/>
      <c r="AP293" s="580">
        <f t="shared" si="130"/>
        <v>5.8340720708323079E-3</v>
      </c>
      <c r="AQ293" s="376">
        <f t="shared" si="145"/>
        <v>0.99406155870250912</v>
      </c>
      <c r="AR293" s="379">
        <f t="shared" si="146"/>
        <v>0.99416592792916769</v>
      </c>
      <c r="AS293" s="376">
        <f t="shared" si="147"/>
        <v>1.0436378038036764E-4</v>
      </c>
      <c r="AT293" s="384"/>
      <c r="AU293" s="583">
        <f t="shared" si="131"/>
        <v>0.28273055227479765</v>
      </c>
      <c r="AV293" s="381">
        <f t="shared" si="157"/>
        <v>1.2632598983445678</v>
      </c>
      <c r="AW293" s="376">
        <f t="shared" si="132"/>
        <v>1.2632609469887242</v>
      </c>
      <c r="AX293" s="503">
        <f t="shared" si="155"/>
        <v>1.0486436066159399E-6</v>
      </c>
      <c r="AY293" s="376">
        <f t="shared" si="133"/>
        <v>2.8264512817961256</v>
      </c>
      <c r="AZ293" s="381">
        <f t="shared" si="148"/>
        <v>2.022579935919993E-3</v>
      </c>
      <c r="BA293" s="586">
        <f t="shared" si="149"/>
        <v>0.15923528065625117</v>
      </c>
      <c r="BB293" s="376">
        <f t="shared" si="150"/>
        <v>0.84050159019421566</v>
      </c>
      <c r="BC293" s="376">
        <f t="shared" si="151"/>
        <v>0.84076471934374886</v>
      </c>
      <c r="BD293" s="376">
        <f t="shared" si="152"/>
        <v>2.6309453409467665E-4</v>
      </c>
      <c r="BE293" s="283"/>
      <c r="BF293" s="283"/>
      <c r="BG293" s="283"/>
      <c r="BH293" s="283"/>
      <c r="BI293" s="283"/>
      <c r="BJ293" s="283"/>
      <c r="BK293" s="283"/>
      <c r="BL293" s="283"/>
      <c r="BM293" s="283"/>
      <c r="BN293" s="283"/>
      <c r="BO293" s="283"/>
      <c r="BP293" s="283"/>
      <c r="BQ293" s="283"/>
      <c r="BR293" s="283"/>
      <c r="BS293" s="283"/>
      <c r="BT293" s="283"/>
      <c r="BU293" s="283"/>
      <c r="BV293" s="283"/>
      <c r="BW293" s="283"/>
      <c r="BX293" s="283"/>
      <c r="BY293" s="283"/>
      <c r="BZ293" s="283"/>
      <c r="CA293" s="283"/>
      <c r="CB293" s="283"/>
      <c r="CC293" s="283"/>
      <c r="CD293" s="283"/>
      <c r="CE293" s="283"/>
      <c r="CF293" s="283"/>
      <c r="CG293" s="283"/>
      <c r="CH293" s="283"/>
      <c r="CI293" s="283"/>
      <c r="CJ293" s="283"/>
      <c r="CK293" s="283"/>
      <c r="CL293" s="283"/>
    </row>
    <row r="294" spans="1:90" ht="14.25" customHeight="1" x14ac:dyDescent="0.2">
      <c r="A294" s="28"/>
      <c r="B294" s="28"/>
      <c r="C294" s="28"/>
      <c r="D294" s="28"/>
      <c r="E294" s="282"/>
      <c r="F294" s="282"/>
      <c r="G294" s="282"/>
      <c r="H294" s="282"/>
      <c r="I294" s="282"/>
      <c r="J294" s="282"/>
      <c r="K294" s="282"/>
      <c r="L294" s="282"/>
      <c r="M294" s="282"/>
      <c r="N294" s="282"/>
      <c r="O294" s="282"/>
      <c r="P294" s="282"/>
      <c r="Q294" s="282"/>
      <c r="R294" s="282"/>
      <c r="S294" s="374"/>
      <c r="T294" s="373">
        <f t="shared" ref="T294:T357" si="158">T293+1</f>
        <v>268</v>
      </c>
      <c r="U294" s="374"/>
      <c r="V294" s="568">
        <f t="shared" si="153"/>
        <v>1.2341115683400024E-3</v>
      </c>
      <c r="W294" s="328">
        <f t="shared" si="134"/>
        <v>0.99873465900569347</v>
      </c>
      <c r="X294" s="328">
        <f t="shared" si="135"/>
        <v>0.99876588843166003</v>
      </c>
      <c r="Y294" s="328">
        <f t="shared" si="136"/>
        <v>3.1228938333072165E-5</v>
      </c>
      <c r="Z294" s="374"/>
      <c r="AA294" s="571">
        <f t="shared" si="137"/>
        <v>1.4765317237254374E-2</v>
      </c>
      <c r="AB294" s="327">
        <f t="shared" si="156"/>
        <v>0.98505481972143116</v>
      </c>
      <c r="AC294" s="327">
        <f t="shared" si="138"/>
        <v>0.98523468276274562</v>
      </c>
      <c r="AD294" s="327">
        <f t="shared" si="139"/>
        <v>1.7984686692740226E-4</v>
      </c>
      <c r="AE294" s="383"/>
      <c r="AF294" s="574">
        <f t="shared" si="128"/>
        <v>5.2738198128293612E-2</v>
      </c>
      <c r="AG294" s="376">
        <f t="shared" si="154"/>
        <v>0.94699842043943461</v>
      </c>
      <c r="AH294" s="376">
        <f t="shared" si="140"/>
        <v>0.94726180187170639</v>
      </c>
      <c r="AI294" s="553">
        <f t="shared" si="141"/>
        <v>2.6334675042727351E-4</v>
      </c>
      <c r="AJ294" s="374"/>
      <c r="AK294" s="577">
        <f t="shared" si="129"/>
        <v>6.2309775205562364E-2</v>
      </c>
      <c r="AL294" s="376">
        <f t="shared" si="142"/>
        <v>0.93745687773069664</v>
      </c>
      <c r="AM294" s="376">
        <f t="shared" si="143"/>
        <v>0.93769022479443764</v>
      </c>
      <c r="AN294" s="553">
        <f t="shared" si="144"/>
        <v>2.3331984043251097E-4</v>
      </c>
      <c r="AO294" s="554"/>
      <c r="AP294" s="580">
        <f t="shared" si="130"/>
        <v>5.7315517248298642E-3</v>
      </c>
      <c r="AQ294" s="376">
        <f t="shared" si="145"/>
        <v>0.99416592792916769</v>
      </c>
      <c r="AR294" s="379">
        <f t="shared" si="146"/>
        <v>0.99426844827517014</v>
      </c>
      <c r="AS294" s="376">
        <f t="shared" si="147"/>
        <v>1.025150909713668E-4</v>
      </c>
      <c r="AT294" s="384"/>
      <c r="AU294" s="583">
        <f t="shared" si="131"/>
        <v>0.28273026756135261</v>
      </c>
      <c r="AV294" s="381">
        <f t="shared" si="157"/>
        <v>1.2632609469887242</v>
      </c>
      <c r="AW294" s="376">
        <f t="shared" si="132"/>
        <v>1.2632619540025969</v>
      </c>
      <c r="AX294" s="503">
        <f t="shared" si="155"/>
        <v>1.0070133656947533E-6</v>
      </c>
      <c r="AY294" s="376">
        <f t="shared" si="133"/>
        <v>2.8293917178183481</v>
      </c>
      <c r="AZ294" s="381">
        <f t="shared" si="148"/>
        <v>2.0119928812126716E-3</v>
      </c>
      <c r="BA294" s="586">
        <f t="shared" si="149"/>
        <v>0.15897356471389024</v>
      </c>
      <c r="BB294" s="376">
        <f t="shared" si="150"/>
        <v>0.84076471934374886</v>
      </c>
      <c r="BC294" s="376">
        <f t="shared" si="151"/>
        <v>0.84102643528610976</v>
      </c>
      <c r="BD294" s="376">
        <f t="shared" si="152"/>
        <v>2.6168169773121974E-4</v>
      </c>
      <c r="BE294" s="283"/>
      <c r="BF294" s="283"/>
      <c r="BG294" s="283"/>
      <c r="BH294" s="283"/>
      <c r="BI294" s="283"/>
      <c r="BJ294" s="283"/>
      <c r="BK294" s="283"/>
      <c r="BL294" s="283"/>
      <c r="BM294" s="283"/>
      <c r="BN294" s="283"/>
      <c r="BO294" s="283"/>
      <c r="BP294" s="283"/>
      <c r="BQ294" s="283"/>
      <c r="BR294" s="283"/>
      <c r="BS294" s="283"/>
      <c r="BT294" s="283"/>
      <c r="BU294" s="283"/>
      <c r="BV294" s="283"/>
      <c r="BW294" s="283"/>
      <c r="BX294" s="283"/>
      <c r="BY294" s="283"/>
      <c r="BZ294" s="283"/>
      <c r="CA294" s="283"/>
      <c r="CB294" s="283"/>
      <c r="CC294" s="283"/>
      <c r="CD294" s="283"/>
      <c r="CE294" s="283"/>
      <c r="CF294" s="283"/>
      <c r="CG294" s="283"/>
      <c r="CH294" s="283"/>
      <c r="CI294" s="283"/>
      <c r="CJ294" s="283"/>
      <c r="CK294" s="283"/>
      <c r="CL294" s="283"/>
    </row>
    <row r="295" spans="1:90" ht="14.25" customHeight="1" x14ac:dyDescent="0.2">
      <c r="A295" s="28"/>
      <c r="B295" s="28"/>
      <c r="C295" s="28"/>
      <c r="D295" s="28"/>
      <c r="E295" s="282"/>
      <c r="F295" s="282"/>
      <c r="G295" s="282"/>
      <c r="H295" s="282"/>
      <c r="I295" s="282"/>
      <c r="J295" s="282"/>
      <c r="K295" s="282"/>
      <c r="L295" s="282"/>
      <c r="M295" s="282"/>
      <c r="N295" s="282"/>
      <c r="O295" s="282"/>
      <c r="P295" s="282"/>
      <c r="Q295" s="282"/>
      <c r="R295" s="282"/>
      <c r="S295" s="374"/>
      <c r="T295" s="373">
        <f t="shared" si="158"/>
        <v>269</v>
      </c>
      <c r="U295" s="374"/>
      <c r="V295" s="568">
        <f t="shared" si="153"/>
        <v>1.2036529046032065E-3</v>
      </c>
      <c r="W295" s="328">
        <f t="shared" si="134"/>
        <v>0.99876588843166003</v>
      </c>
      <c r="X295" s="328">
        <f t="shared" si="135"/>
        <v>0.99879634709539677</v>
      </c>
      <c r="Y295" s="328">
        <f t="shared" si="136"/>
        <v>3.0458199876348679E-5</v>
      </c>
      <c r="Z295" s="374"/>
      <c r="AA295" s="571">
        <f t="shared" si="137"/>
        <v>1.4587770714223722E-2</v>
      </c>
      <c r="AB295" s="327">
        <f t="shared" si="156"/>
        <v>0.98523468276274562</v>
      </c>
      <c r="AC295" s="327">
        <f t="shared" si="138"/>
        <v>0.98541222928577632</v>
      </c>
      <c r="AD295" s="327">
        <f t="shared" si="139"/>
        <v>1.7753076257953637E-4</v>
      </c>
      <c r="AE295" s="383"/>
      <c r="AF295" s="574">
        <f t="shared" si="128"/>
        <v>5.2476831365641963E-2</v>
      </c>
      <c r="AG295" s="376">
        <f t="shared" si="154"/>
        <v>0.94726180187170639</v>
      </c>
      <c r="AH295" s="376">
        <f t="shared" si="140"/>
        <v>0.94752316863435804</v>
      </c>
      <c r="AI295" s="553">
        <f t="shared" si="141"/>
        <v>2.6133260933491886E-4</v>
      </c>
      <c r="AJ295" s="374"/>
      <c r="AK295" s="577">
        <f t="shared" si="129"/>
        <v>6.2078105649360886E-2</v>
      </c>
      <c r="AL295" s="376">
        <f t="shared" si="142"/>
        <v>0.93769022479443764</v>
      </c>
      <c r="AM295" s="376">
        <f t="shared" si="143"/>
        <v>0.93792189435063911</v>
      </c>
      <c r="AN295" s="553">
        <f t="shared" si="144"/>
        <v>2.3164272288200838E-4</v>
      </c>
      <c r="AO295" s="554"/>
      <c r="AP295" s="580">
        <f t="shared" si="130"/>
        <v>5.6308471586736797E-3</v>
      </c>
      <c r="AQ295" s="376">
        <f t="shared" si="145"/>
        <v>0.99426844827517014</v>
      </c>
      <c r="AR295" s="379">
        <f t="shared" si="146"/>
        <v>0.99436915284132632</v>
      </c>
      <c r="AS295" s="376">
        <f t="shared" si="147"/>
        <v>1.0069949562152569E-4</v>
      </c>
      <c r="AT295" s="384"/>
      <c r="AU295" s="583">
        <f t="shared" si="131"/>
        <v>0.2827299941510597</v>
      </c>
      <c r="AV295" s="381">
        <f t="shared" si="157"/>
        <v>1.2632619540025969</v>
      </c>
      <c r="AW295" s="376">
        <f t="shared" si="132"/>
        <v>1.2632629210388731</v>
      </c>
      <c r="AX295" s="503">
        <f t="shared" si="155"/>
        <v>9.6703580854118343E-7</v>
      </c>
      <c r="AY295" s="376">
        <f t="shared" si="133"/>
        <v>2.832321202470617</v>
      </c>
      <c r="AZ295" s="381">
        <f t="shared" si="148"/>
        <v>2.001500365322133E-3</v>
      </c>
      <c r="BA295" s="586">
        <f t="shared" si="149"/>
        <v>0.15871324917229795</v>
      </c>
      <c r="BB295" s="376">
        <f t="shared" si="150"/>
        <v>0.84102643528610976</v>
      </c>
      <c r="BC295" s="376">
        <f t="shared" si="151"/>
        <v>0.84128675082770199</v>
      </c>
      <c r="BD295" s="376">
        <f t="shared" si="152"/>
        <v>2.6028166244140838E-4</v>
      </c>
      <c r="BE295" s="283"/>
      <c r="BF295" s="283"/>
      <c r="BG295" s="283"/>
      <c r="BH295" s="283"/>
      <c r="BI295" s="283"/>
      <c r="BJ295" s="283"/>
      <c r="BK295" s="283"/>
      <c r="BL295" s="283"/>
      <c r="BM295" s="283"/>
      <c r="BN295" s="283"/>
      <c r="BO295" s="283"/>
      <c r="BP295" s="283"/>
      <c r="BQ295" s="283"/>
      <c r="BR295" s="283"/>
      <c r="BS295" s="283"/>
      <c r="BT295" s="283"/>
      <c r="BU295" s="283"/>
      <c r="BV295" s="283"/>
      <c r="BW295" s="283"/>
      <c r="BX295" s="283"/>
      <c r="BY295" s="283"/>
      <c r="BZ295" s="283"/>
      <c r="CA295" s="283"/>
      <c r="CB295" s="283"/>
      <c r="CC295" s="283"/>
      <c r="CD295" s="283"/>
      <c r="CE295" s="283"/>
      <c r="CF295" s="283"/>
      <c r="CG295" s="283"/>
      <c r="CH295" s="283"/>
      <c r="CI295" s="283"/>
      <c r="CJ295" s="283"/>
      <c r="CK295" s="283"/>
      <c r="CL295" s="283"/>
    </row>
    <row r="296" spans="1:90" ht="14.25" customHeight="1" x14ac:dyDescent="0.2">
      <c r="A296" s="28"/>
      <c r="B296" s="28"/>
      <c r="C296" s="28"/>
      <c r="D296" s="28"/>
      <c r="E296" s="282"/>
      <c r="F296" s="282"/>
      <c r="G296" s="282"/>
      <c r="H296" s="282"/>
      <c r="I296" s="282"/>
      <c r="J296" s="282"/>
      <c r="K296" s="282"/>
      <c r="L296" s="282"/>
      <c r="M296" s="282"/>
      <c r="N296" s="282"/>
      <c r="O296" s="282"/>
      <c r="P296" s="282"/>
      <c r="Q296" s="282"/>
      <c r="R296" s="282"/>
      <c r="S296" s="374"/>
      <c r="T296" s="373">
        <f t="shared" si="158"/>
        <v>270</v>
      </c>
      <c r="U296" s="374"/>
      <c r="V296" s="568">
        <f t="shared" si="153"/>
        <v>1.1739459801908211E-3</v>
      </c>
      <c r="W296" s="328">
        <f t="shared" si="134"/>
        <v>0.99879634709539677</v>
      </c>
      <c r="X296" s="328">
        <f t="shared" si="135"/>
        <v>0.99882605401980917</v>
      </c>
      <c r="Y296" s="328">
        <f t="shared" si="136"/>
        <v>2.9706483166136444E-5</v>
      </c>
      <c r="Z296" s="374"/>
      <c r="AA296" s="571">
        <f t="shared" si="137"/>
        <v>1.4412508492969813E-2</v>
      </c>
      <c r="AB296" s="327">
        <f t="shared" si="156"/>
        <v>0.98541222928577632</v>
      </c>
      <c r="AC296" s="327">
        <f t="shared" si="138"/>
        <v>0.98558749150703018</v>
      </c>
      <c r="AD296" s="327">
        <f t="shared" si="139"/>
        <v>1.7524686372794029E-4</v>
      </c>
      <c r="AE296" s="383"/>
      <c r="AF296" s="574">
        <f t="shared" si="128"/>
        <v>5.2217457991537763E-2</v>
      </c>
      <c r="AG296" s="376">
        <f t="shared" si="154"/>
        <v>0.94752316863435804</v>
      </c>
      <c r="AH296" s="376">
        <f t="shared" si="140"/>
        <v>0.94778254200846224</v>
      </c>
      <c r="AI296" s="553">
        <f t="shared" si="141"/>
        <v>2.5933973973857327E-4</v>
      </c>
      <c r="AJ296" s="374"/>
      <c r="AK296" s="577">
        <f t="shared" si="129"/>
        <v>6.1848095794714897E-2</v>
      </c>
      <c r="AL296" s="376">
        <f t="shared" si="142"/>
        <v>0.93792189435063911</v>
      </c>
      <c r="AM296" s="376">
        <f t="shared" si="143"/>
        <v>0.93815190420528505</v>
      </c>
      <c r="AN296" s="553">
        <f t="shared" si="144"/>
        <v>2.2998340440727461E-4</v>
      </c>
      <c r="AO296" s="554"/>
      <c r="AP296" s="580">
        <f t="shared" si="130"/>
        <v>5.5319258728063758E-3</v>
      </c>
      <c r="AQ296" s="376">
        <f t="shared" si="145"/>
        <v>0.99436915284132632</v>
      </c>
      <c r="AR296" s="379">
        <f t="shared" si="146"/>
        <v>0.99446807412719362</v>
      </c>
      <c r="AS296" s="376">
        <f t="shared" si="147"/>
        <v>9.891639331827129E-5</v>
      </c>
      <c r="AT296" s="384"/>
      <c r="AU296" s="583">
        <f t="shared" si="131"/>
        <v>0.28272973159517234</v>
      </c>
      <c r="AV296" s="381">
        <f t="shared" si="157"/>
        <v>1.2632629210388731</v>
      </c>
      <c r="AW296" s="376">
        <f t="shared" si="132"/>
        <v>1.2632638496846296</v>
      </c>
      <c r="AX296" s="503">
        <f t="shared" si="155"/>
        <v>9.2864532530434474E-7</v>
      </c>
      <c r="AY296" s="376">
        <f t="shared" si="133"/>
        <v>2.835239817024974</v>
      </c>
      <c r="AZ296" s="381">
        <f t="shared" si="148"/>
        <v>1.9911011972920823E-3</v>
      </c>
      <c r="BA296" s="586">
        <f t="shared" si="149"/>
        <v>0.15845432138802068</v>
      </c>
      <c r="BB296" s="376">
        <f t="shared" si="150"/>
        <v>0.84128675082770199</v>
      </c>
      <c r="BC296" s="376">
        <f t="shared" si="151"/>
        <v>0.84154567861197926</v>
      </c>
      <c r="BD296" s="376">
        <f t="shared" si="152"/>
        <v>2.5889426537162308E-4</v>
      </c>
      <c r="BE296" s="283"/>
      <c r="BF296" s="283"/>
      <c r="BG296" s="283"/>
      <c r="BH296" s="283"/>
      <c r="BI296" s="283"/>
      <c r="BJ296" s="283"/>
      <c r="BK296" s="283"/>
      <c r="BL296" s="283"/>
      <c r="BM296" s="283"/>
      <c r="BN296" s="283"/>
      <c r="BO296" s="283"/>
      <c r="BP296" s="283"/>
      <c r="BQ296" s="283"/>
      <c r="BR296" s="283"/>
      <c r="BS296" s="283"/>
      <c r="BT296" s="283"/>
      <c r="BU296" s="283"/>
      <c r="BV296" s="283"/>
      <c r="BW296" s="283"/>
      <c r="BX296" s="283"/>
      <c r="BY296" s="283"/>
      <c r="BZ296" s="283"/>
      <c r="CA296" s="283"/>
      <c r="CB296" s="283"/>
      <c r="CC296" s="283"/>
      <c r="CD296" s="283"/>
      <c r="CE296" s="283"/>
      <c r="CF296" s="283"/>
      <c r="CG296" s="283"/>
      <c r="CH296" s="283"/>
      <c r="CI296" s="283"/>
      <c r="CJ296" s="283"/>
      <c r="CK296" s="283"/>
      <c r="CL296" s="283"/>
    </row>
    <row r="297" spans="1:90" ht="14.25" customHeight="1" x14ac:dyDescent="0.2">
      <c r="A297" s="28"/>
      <c r="B297" s="28"/>
      <c r="C297" s="28"/>
      <c r="D297" s="28"/>
      <c r="E297" s="282"/>
      <c r="F297" s="282"/>
      <c r="G297" s="282"/>
      <c r="H297" s="282"/>
      <c r="I297" s="282"/>
      <c r="J297" s="282"/>
      <c r="K297" s="282"/>
      <c r="L297" s="282"/>
      <c r="M297" s="282"/>
      <c r="N297" s="282"/>
      <c r="O297" s="282"/>
      <c r="P297" s="282"/>
      <c r="Q297" s="282"/>
      <c r="R297" s="282"/>
      <c r="S297" s="374"/>
      <c r="T297" s="373">
        <f t="shared" si="158"/>
        <v>271</v>
      </c>
      <c r="U297" s="374"/>
      <c r="V297" s="568">
        <f t="shared" si="153"/>
        <v>1.1449722416949639E-3</v>
      </c>
      <c r="W297" s="328">
        <f t="shared" si="134"/>
        <v>0.99882605401980917</v>
      </c>
      <c r="X297" s="328">
        <f t="shared" si="135"/>
        <v>0.99885502775830504</v>
      </c>
      <c r="Y297" s="328">
        <f t="shared" si="136"/>
        <v>2.8973318761171818E-5</v>
      </c>
      <c r="Z297" s="374"/>
      <c r="AA297" s="571">
        <f t="shared" si="137"/>
        <v>1.4239498845457962E-2</v>
      </c>
      <c r="AB297" s="327">
        <f t="shared" si="156"/>
        <v>0.98558749150703018</v>
      </c>
      <c r="AC297" s="327">
        <f t="shared" si="138"/>
        <v>0.98576050115454206</v>
      </c>
      <c r="AD297" s="327">
        <f t="shared" si="139"/>
        <v>1.7299468220588476E-4</v>
      </c>
      <c r="AE297" s="383"/>
      <c r="AF297" s="574">
        <f t="shared" si="128"/>
        <v>5.1960057014633243E-2</v>
      </c>
      <c r="AG297" s="376">
        <f t="shared" si="154"/>
        <v>0.94778254200846224</v>
      </c>
      <c r="AH297" s="376">
        <f t="shared" si="140"/>
        <v>0.94803994298536676</v>
      </c>
      <c r="AI297" s="553">
        <f t="shared" si="141"/>
        <v>2.5736785211527557E-4</v>
      </c>
      <c r="AJ297" s="374"/>
      <c r="AK297" s="577">
        <f t="shared" si="129"/>
        <v>6.1619728085110889E-2</v>
      </c>
      <c r="AL297" s="376">
        <f t="shared" si="142"/>
        <v>0.93815190420528505</v>
      </c>
      <c r="AM297" s="376">
        <f t="shared" si="143"/>
        <v>0.93838027191488915</v>
      </c>
      <c r="AN297" s="553">
        <f t="shared" si="144"/>
        <v>2.2834163568352661E-4</v>
      </c>
      <c r="AO297" s="554"/>
      <c r="AP297" s="580">
        <f t="shared" si="130"/>
        <v>5.4347559577780924E-3</v>
      </c>
      <c r="AQ297" s="376">
        <f t="shared" si="145"/>
        <v>0.99446807412719362</v>
      </c>
      <c r="AR297" s="379">
        <f t="shared" si="146"/>
        <v>0.99456524404222191</v>
      </c>
      <c r="AS297" s="376">
        <f t="shared" si="147"/>
        <v>9.7165194185011572E-5</v>
      </c>
      <c r="AT297" s="384"/>
      <c r="AU297" s="583">
        <f t="shared" si="131"/>
        <v>0.2827294794627605</v>
      </c>
      <c r="AV297" s="381">
        <f t="shared" si="157"/>
        <v>1.2632638496846296</v>
      </c>
      <c r="AW297" s="376">
        <f t="shared" si="132"/>
        <v>1.2632647414639371</v>
      </c>
      <c r="AX297" s="503">
        <f t="shared" si="155"/>
        <v>8.9177890982838903E-7</v>
      </c>
      <c r="AY297" s="376">
        <f t="shared" si="133"/>
        <v>2.8381476418521046</v>
      </c>
      <c r="AZ297" s="381">
        <f t="shared" si="148"/>
        <v>1.9807942055053989E-3</v>
      </c>
      <c r="BA297" s="586">
        <f t="shared" si="149"/>
        <v>0.15819676887789003</v>
      </c>
      <c r="BB297" s="376">
        <f t="shared" si="150"/>
        <v>0.84154567861197926</v>
      </c>
      <c r="BC297" s="376">
        <f t="shared" si="151"/>
        <v>0.84180323112210997</v>
      </c>
      <c r="BD297" s="376">
        <f t="shared" si="152"/>
        <v>2.5751934633022611E-4</v>
      </c>
      <c r="BE297" s="283"/>
      <c r="BF297" s="283"/>
      <c r="BG297" s="283"/>
      <c r="BH297" s="283"/>
      <c r="BI297" s="283"/>
      <c r="BJ297" s="283"/>
      <c r="BK297" s="283"/>
      <c r="BL297" s="283"/>
      <c r="BM297" s="283"/>
      <c r="BN297" s="283"/>
      <c r="BO297" s="283"/>
      <c r="BP297" s="283"/>
      <c r="BQ297" s="283"/>
      <c r="BR297" s="283"/>
      <c r="BS297" s="283"/>
      <c r="BT297" s="283"/>
      <c r="BU297" s="283"/>
      <c r="BV297" s="283"/>
      <c r="BW297" s="283"/>
      <c r="BX297" s="283"/>
      <c r="BY297" s="283"/>
      <c r="BZ297" s="283"/>
      <c r="CA297" s="283"/>
      <c r="CB297" s="283"/>
      <c r="CC297" s="283"/>
      <c r="CD297" s="283"/>
      <c r="CE297" s="283"/>
      <c r="CF297" s="283"/>
      <c r="CG297" s="283"/>
      <c r="CH297" s="283"/>
      <c r="CI297" s="283"/>
      <c r="CJ297" s="283"/>
      <c r="CK297" s="283"/>
      <c r="CL297" s="283"/>
    </row>
    <row r="298" spans="1:90" ht="14.25" customHeight="1" x14ac:dyDescent="0.2">
      <c r="A298" s="28"/>
      <c r="B298" s="28"/>
      <c r="C298" s="28"/>
      <c r="D298" s="28"/>
      <c r="E298" s="282"/>
      <c r="F298" s="282"/>
      <c r="G298" s="282"/>
      <c r="H298" s="282"/>
      <c r="I298" s="282"/>
      <c r="J298" s="282"/>
      <c r="K298" s="282"/>
      <c r="L298" s="282"/>
      <c r="M298" s="282"/>
      <c r="N298" s="282"/>
      <c r="O298" s="282"/>
      <c r="P298" s="282"/>
      <c r="Q298" s="282"/>
      <c r="R298" s="282"/>
      <c r="S298" s="374"/>
      <c r="T298" s="373">
        <f t="shared" si="158"/>
        <v>272</v>
      </c>
      <c r="U298" s="374"/>
      <c r="V298" s="568">
        <f t="shared" si="153"/>
        <v>1.116713593617739E-3</v>
      </c>
      <c r="W298" s="328">
        <f t="shared" si="134"/>
        <v>0.99885502775830504</v>
      </c>
      <c r="X298" s="328">
        <f t="shared" si="135"/>
        <v>0.99888328640638224</v>
      </c>
      <c r="Y298" s="328">
        <f t="shared" si="136"/>
        <v>2.8258248805368424E-5</v>
      </c>
      <c r="Z298" s="374"/>
      <c r="AA298" s="571">
        <f t="shared" si="137"/>
        <v>1.4068710523973968E-2</v>
      </c>
      <c r="AB298" s="327">
        <f t="shared" si="156"/>
        <v>0.98576050115454206</v>
      </c>
      <c r="AC298" s="327">
        <f t="shared" si="138"/>
        <v>0.98593128947602604</v>
      </c>
      <c r="AD298" s="327">
        <f t="shared" si="139"/>
        <v>1.7077373798879414E-4</v>
      </c>
      <c r="AE298" s="383"/>
      <c r="AF298" s="574">
        <f t="shared" si="128"/>
        <v>5.1704607728452978E-2</v>
      </c>
      <c r="AG298" s="376">
        <f t="shared" si="154"/>
        <v>0.94803994298536676</v>
      </c>
      <c r="AH298" s="376">
        <f t="shared" si="140"/>
        <v>0.94829539227154702</v>
      </c>
      <c r="AI298" s="553">
        <f t="shared" si="141"/>
        <v>2.5541666178940936E-4</v>
      </c>
      <c r="AJ298" s="374"/>
      <c r="AK298" s="577">
        <f t="shared" si="129"/>
        <v>6.1392985209170477E-2</v>
      </c>
      <c r="AL298" s="376">
        <f t="shared" si="142"/>
        <v>0.93838027191488915</v>
      </c>
      <c r="AM298" s="376">
        <f t="shared" si="143"/>
        <v>0.93860701479082953</v>
      </c>
      <c r="AN298" s="553">
        <f t="shared" si="144"/>
        <v>2.2671717171729444E-4</v>
      </c>
      <c r="AO298" s="554"/>
      <c r="AP298" s="580">
        <f t="shared" si="130"/>
        <v>5.3393060833137884E-3</v>
      </c>
      <c r="AQ298" s="376">
        <f t="shared" si="145"/>
        <v>0.99456524404222191</v>
      </c>
      <c r="AR298" s="379">
        <f t="shared" si="146"/>
        <v>0.99466069391668621</v>
      </c>
      <c r="AS298" s="376">
        <f t="shared" si="147"/>
        <v>9.5445319269971129E-5</v>
      </c>
      <c r="AT298" s="384"/>
      <c r="AU298" s="583">
        <f t="shared" si="131"/>
        <v>0.28272923734000316</v>
      </c>
      <c r="AV298" s="381">
        <f t="shared" si="157"/>
        <v>1.2632647414639371</v>
      </c>
      <c r="AW298" s="376">
        <f t="shared" si="132"/>
        <v>1.2632655978403626</v>
      </c>
      <c r="AX298" s="503">
        <f t="shared" si="155"/>
        <v>8.5637605884425483E-7</v>
      </c>
      <c r="AY298" s="376">
        <f t="shared" si="133"/>
        <v>2.8410447564346164</v>
      </c>
      <c r="AZ298" s="381">
        <f t="shared" si="148"/>
        <v>1.9705782373002057E-3</v>
      </c>
      <c r="BA298" s="586">
        <f t="shared" si="149"/>
        <v>0.15794057931640981</v>
      </c>
      <c r="BB298" s="376">
        <f t="shared" si="150"/>
        <v>0.84180323112210997</v>
      </c>
      <c r="BC298" s="376">
        <f t="shared" si="151"/>
        <v>0.84205942068359019</v>
      </c>
      <c r="BD298" s="376">
        <f t="shared" si="152"/>
        <v>2.5615674773671326E-4</v>
      </c>
      <c r="BE298" s="283"/>
      <c r="BF298" s="283"/>
      <c r="BG298" s="283"/>
      <c r="BH298" s="283"/>
      <c r="BI298" s="283"/>
      <c r="BJ298" s="283"/>
      <c r="BK298" s="283"/>
      <c r="BL298" s="283"/>
      <c r="BM298" s="283"/>
      <c r="BN298" s="283"/>
      <c r="BO298" s="283"/>
      <c r="BP298" s="283"/>
      <c r="BQ298" s="283"/>
      <c r="BR298" s="283"/>
      <c r="BS298" s="283"/>
      <c r="BT298" s="283"/>
      <c r="BU298" s="283"/>
      <c r="BV298" s="283"/>
      <c r="BW298" s="283"/>
      <c r="BX298" s="283"/>
      <c r="BY298" s="283"/>
      <c r="BZ298" s="283"/>
      <c r="CA298" s="283"/>
      <c r="CB298" s="283"/>
      <c r="CC298" s="283"/>
      <c r="CD298" s="283"/>
      <c r="CE298" s="283"/>
      <c r="CF298" s="283"/>
      <c r="CG298" s="283"/>
      <c r="CH298" s="283"/>
      <c r="CI298" s="283"/>
      <c r="CJ298" s="283"/>
      <c r="CK298" s="283"/>
      <c r="CL298" s="283"/>
    </row>
    <row r="299" spans="1:90" ht="14.25" customHeight="1" x14ac:dyDescent="0.2">
      <c r="A299" s="28"/>
      <c r="B299" s="28"/>
      <c r="C299" s="28"/>
      <c r="D299" s="28"/>
      <c r="E299" s="282"/>
      <c r="F299" s="282"/>
      <c r="G299" s="282"/>
      <c r="H299" s="282"/>
      <c r="I299" s="282"/>
      <c r="J299" s="282"/>
      <c r="K299" s="282"/>
      <c r="L299" s="282"/>
      <c r="M299" s="282"/>
      <c r="N299" s="282"/>
      <c r="O299" s="282"/>
      <c r="P299" s="282"/>
      <c r="Q299" s="282"/>
      <c r="R299" s="282"/>
      <c r="S299" s="374"/>
      <c r="T299" s="373">
        <f t="shared" si="158"/>
        <v>273</v>
      </c>
      <c r="U299" s="374"/>
      <c r="V299" s="568">
        <f t="shared" si="153"/>
        <v>1.0891523870697256E-3</v>
      </c>
      <c r="W299" s="328">
        <f t="shared" si="134"/>
        <v>0.99888328640638224</v>
      </c>
      <c r="X299" s="328">
        <f t="shared" si="135"/>
        <v>0.99891084761293025</v>
      </c>
      <c r="Y299" s="328">
        <f t="shared" si="136"/>
        <v>2.7560826741490629E-5</v>
      </c>
      <c r="Z299" s="374"/>
      <c r="AA299" s="571">
        <f t="shared" si="137"/>
        <v>1.3900112753122956E-2</v>
      </c>
      <c r="AB299" s="327">
        <f t="shared" si="156"/>
        <v>0.98593128947602604</v>
      </c>
      <c r="AC299" s="327">
        <f t="shared" si="138"/>
        <v>0.98609988724687703</v>
      </c>
      <c r="AD299" s="327">
        <f t="shared" si="139"/>
        <v>1.6858355904547651E-4</v>
      </c>
      <c r="AE299" s="383"/>
      <c r="AF299" s="574">
        <f t="shared" si="128"/>
        <v>5.1451089706638586E-2</v>
      </c>
      <c r="AG299" s="376">
        <f t="shared" si="154"/>
        <v>0.94829539227154702</v>
      </c>
      <c r="AH299" s="376">
        <f t="shared" si="140"/>
        <v>0.94854891029336141</v>
      </c>
      <c r="AI299" s="553">
        <f t="shared" si="141"/>
        <v>2.5348588883622458E-4</v>
      </c>
      <c r="AJ299" s="374"/>
      <c r="AK299" s="577">
        <f t="shared" si="129"/>
        <v>6.116785009640488E-2</v>
      </c>
      <c r="AL299" s="376">
        <f t="shared" si="142"/>
        <v>0.93860701479082953</v>
      </c>
      <c r="AM299" s="376">
        <f t="shared" si="143"/>
        <v>0.93883214990359509</v>
      </c>
      <c r="AN299" s="553">
        <f t="shared" si="144"/>
        <v>2.2510977175782543E-4</v>
      </c>
      <c r="AO299" s="554"/>
      <c r="AP299" s="580">
        <f t="shared" si="130"/>
        <v>5.245545487589709E-3</v>
      </c>
      <c r="AQ299" s="376">
        <f t="shared" si="145"/>
        <v>0.99466069391668621</v>
      </c>
      <c r="AR299" s="379">
        <f t="shared" si="146"/>
        <v>0.99475445451241029</v>
      </c>
      <c r="AS299" s="376">
        <f t="shared" si="147"/>
        <v>9.3756200336803097E-5</v>
      </c>
      <c r="AT299" s="384"/>
      <c r="AU299" s="583">
        <f t="shared" si="131"/>
        <v>0.28272900482950902</v>
      </c>
      <c r="AV299" s="381">
        <f t="shared" si="157"/>
        <v>1.2632655978403626</v>
      </c>
      <c r="AW299" s="376">
        <f t="shared" si="132"/>
        <v>1.2632664202193706</v>
      </c>
      <c r="AX299" s="503">
        <f t="shared" si="155"/>
        <v>8.2237866982914909E-7</v>
      </c>
      <c r="AY299" s="376">
        <f t="shared" si="133"/>
        <v>2.8439312393800744</v>
      </c>
      <c r="AZ299" s="381">
        <f t="shared" si="148"/>
        <v>1.9604521585949537E-3</v>
      </c>
      <c r="BA299" s="586">
        <f t="shared" si="149"/>
        <v>0.15768574053319614</v>
      </c>
      <c r="BB299" s="376">
        <f t="shared" si="150"/>
        <v>0.84205942068359019</v>
      </c>
      <c r="BC299" s="376">
        <f t="shared" si="151"/>
        <v>0.84231425946680383</v>
      </c>
      <c r="BD299" s="376">
        <f t="shared" si="152"/>
        <v>2.5480631456908931E-4</v>
      </c>
      <c r="BE299" s="283"/>
      <c r="BF299" s="283"/>
      <c r="BG299" s="283"/>
      <c r="BH299" s="283"/>
      <c r="BI299" s="283"/>
      <c r="BJ299" s="283"/>
      <c r="BK299" s="283"/>
      <c r="BL299" s="283"/>
      <c r="BM299" s="283"/>
      <c r="BN299" s="283"/>
      <c r="BO299" s="283"/>
      <c r="BP299" s="283"/>
      <c r="BQ299" s="283"/>
      <c r="BR299" s="283"/>
      <c r="BS299" s="283"/>
      <c r="BT299" s="283"/>
      <c r="BU299" s="283"/>
      <c r="BV299" s="283"/>
      <c r="BW299" s="283"/>
      <c r="BX299" s="283"/>
      <c r="BY299" s="283"/>
      <c r="BZ299" s="283"/>
      <c r="CA299" s="283"/>
      <c r="CB299" s="283"/>
      <c r="CC299" s="283"/>
      <c r="CD299" s="283"/>
      <c r="CE299" s="283"/>
      <c r="CF299" s="283"/>
      <c r="CG299" s="283"/>
      <c r="CH299" s="283"/>
      <c r="CI299" s="283"/>
      <c r="CJ299" s="283"/>
      <c r="CK299" s="283"/>
      <c r="CL299" s="283"/>
    </row>
    <row r="300" spans="1:90" ht="14.25" customHeight="1" x14ac:dyDescent="0.2">
      <c r="A300" s="28"/>
      <c r="B300" s="28"/>
      <c r="C300" s="28"/>
      <c r="D300" s="28"/>
      <c r="E300" s="282"/>
      <c r="F300" s="282"/>
      <c r="G300" s="282"/>
      <c r="H300" s="282"/>
      <c r="I300" s="282"/>
      <c r="J300" s="282"/>
      <c r="K300" s="282"/>
      <c r="L300" s="282"/>
      <c r="M300" s="282"/>
      <c r="N300" s="282"/>
      <c r="O300" s="282"/>
      <c r="P300" s="282"/>
      <c r="Q300" s="282"/>
      <c r="R300" s="282"/>
      <c r="S300" s="374"/>
      <c r="T300" s="373">
        <f t="shared" si="158"/>
        <v>274</v>
      </c>
      <c r="U300" s="374"/>
      <c r="V300" s="568">
        <f t="shared" si="153"/>
        <v>1.0622714087473947E-3</v>
      </c>
      <c r="W300" s="328">
        <f t="shared" si="134"/>
        <v>0.99891084761293025</v>
      </c>
      <c r="X300" s="328">
        <f t="shared" si="135"/>
        <v>0.99893772859125263</v>
      </c>
      <c r="Y300" s="328">
        <f t="shared" si="136"/>
        <v>2.6880617032154497E-5</v>
      </c>
      <c r="Z300" s="374"/>
      <c r="AA300" s="571">
        <f t="shared" si="137"/>
        <v>1.3733675221976441E-2</v>
      </c>
      <c r="AB300" s="327">
        <f t="shared" si="156"/>
        <v>0.98609988724687703</v>
      </c>
      <c r="AC300" s="327">
        <f t="shared" si="138"/>
        <v>0.98626632477802356</v>
      </c>
      <c r="AD300" s="327">
        <f t="shared" si="139"/>
        <v>1.6642368118902073E-4</v>
      </c>
      <c r="AE300" s="383"/>
      <c r="AF300" s="574">
        <f t="shared" si="128"/>
        <v>5.1199482798287232E-2</v>
      </c>
      <c r="AG300" s="376">
        <f t="shared" si="154"/>
        <v>0.94854891029336141</v>
      </c>
      <c r="AH300" s="376">
        <f t="shared" si="140"/>
        <v>0.94880051720171277</v>
      </c>
      <c r="AI300" s="553">
        <f t="shared" si="141"/>
        <v>2.5157525798769065E-4</v>
      </c>
      <c r="AJ300" s="374"/>
      <c r="AK300" s="577">
        <f t="shared" si="129"/>
        <v>6.0944305913057127E-2</v>
      </c>
      <c r="AL300" s="376">
        <f t="shared" si="142"/>
        <v>0.93883214990359509</v>
      </c>
      <c r="AM300" s="376">
        <f t="shared" si="143"/>
        <v>0.93905569408694289</v>
      </c>
      <c r="AN300" s="553">
        <f t="shared" si="144"/>
        <v>2.2351919920859942E-4</v>
      </c>
      <c r="AO300" s="554"/>
      <c r="AP300" s="580">
        <f t="shared" si="130"/>
        <v>5.1534439667137999E-3</v>
      </c>
      <c r="AQ300" s="376">
        <f t="shared" si="145"/>
        <v>0.99475445451241029</v>
      </c>
      <c r="AR300" s="379">
        <f t="shared" si="146"/>
        <v>0.9948465560332862</v>
      </c>
      <c r="AS300" s="376">
        <f t="shared" si="147"/>
        <v>9.2097279661085274E-5</v>
      </c>
      <c r="AT300" s="384"/>
      <c r="AU300" s="583">
        <f t="shared" si="131"/>
        <v>0.2827287815496643</v>
      </c>
      <c r="AV300" s="381">
        <f t="shared" si="157"/>
        <v>1.2632664202193706</v>
      </c>
      <c r="AW300" s="376">
        <f t="shared" si="132"/>
        <v>1.2632672099506295</v>
      </c>
      <c r="AX300" s="503">
        <f t="shared" si="155"/>
        <v>7.8973094697065704E-7</v>
      </c>
      <c r="AY300" s="376">
        <f t="shared" si="133"/>
        <v>2.8468071684338017</v>
      </c>
      <c r="AZ300" s="381">
        <f t="shared" si="148"/>
        <v>1.9504148535222281E-3</v>
      </c>
      <c r="BA300" s="586">
        <f t="shared" si="149"/>
        <v>0.15743224051046742</v>
      </c>
      <c r="BB300" s="376">
        <f t="shared" si="150"/>
        <v>0.84231425946680383</v>
      </c>
      <c r="BC300" s="376">
        <f t="shared" si="151"/>
        <v>0.84256775948953255</v>
      </c>
      <c r="BD300" s="376">
        <f t="shared" si="152"/>
        <v>2.5346789431290873E-4</v>
      </c>
      <c r="BE300" s="283"/>
      <c r="BF300" s="283"/>
      <c r="BG300" s="283"/>
      <c r="BH300" s="283"/>
      <c r="BI300" s="283"/>
      <c r="BJ300" s="283"/>
      <c r="BK300" s="283"/>
      <c r="BL300" s="283"/>
      <c r="BM300" s="283"/>
      <c r="BN300" s="283"/>
      <c r="BO300" s="283"/>
      <c r="BP300" s="283"/>
      <c r="BQ300" s="283"/>
      <c r="BR300" s="283"/>
      <c r="BS300" s="283"/>
      <c r="BT300" s="283"/>
      <c r="BU300" s="283"/>
      <c r="BV300" s="283"/>
      <c r="BW300" s="283"/>
      <c r="BX300" s="283"/>
      <c r="BY300" s="283"/>
      <c r="BZ300" s="283"/>
      <c r="CA300" s="283"/>
      <c r="CB300" s="283"/>
      <c r="CC300" s="283"/>
      <c r="CD300" s="283"/>
      <c r="CE300" s="283"/>
      <c r="CF300" s="283"/>
      <c r="CG300" s="283"/>
      <c r="CH300" s="283"/>
      <c r="CI300" s="283"/>
      <c r="CJ300" s="283"/>
      <c r="CK300" s="283"/>
      <c r="CL300" s="283"/>
    </row>
    <row r="301" spans="1:90" ht="14.25" customHeight="1" x14ac:dyDescent="0.2">
      <c r="A301" s="28"/>
      <c r="B301" s="28"/>
      <c r="C301" s="28"/>
      <c r="D301" s="28"/>
      <c r="E301" s="282"/>
      <c r="F301" s="282"/>
      <c r="G301" s="282"/>
      <c r="H301" s="282"/>
      <c r="I301" s="282"/>
      <c r="J301" s="282"/>
      <c r="K301" s="282"/>
      <c r="L301" s="282"/>
      <c r="M301" s="282"/>
      <c r="N301" s="282"/>
      <c r="O301" s="282"/>
      <c r="P301" s="282"/>
      <c r="Q301" s="282"/>
      <c r="R301" s="282"/>
      <c r="S301" s="374"/>
      <c r="T301" s="373">
        <f t="shared" si="158"/>
        <v>275</v>
      </c>
      <c r="U301" s="374"/>
      <c r="V301" s="568">
        <f t="shared" si="153"/>
        <v>1.0360538701825709E-3</v>
      </c>
      <c r="W301" s="328">
        <f t="shared" si="134"/>
        <v>0.99893772859125263</v>
      </c>
      <c r="X301" s="328">
        <f t="shared" si="135"/>
        <v>0.99896394612981743</v>
      </c>
      <c r="Y301" s="328">
        <f t="shared" si="136"/>
        <v>2.6217194888156214E-5</v>
      </c>
      <c r="Z301" s="374"/>
      <c r="AA301" s="571">
        <f t="shared" si="137"/>
        <v>1.3569368076364045E-2</v>
      </c>
      <c r="AB301" s="327">
        <f t="shared" si="156"/>
        <v>0.98626632477802356</v>
      </c>
      <c r="AC301" s="327">
        <f t="shared" si="138"/>
        <v>0.986430631923636</v>
      </c>
      <c r="AD301" s="327">
        <f t="shared" si="139"/>
        <v>1.6429364793268952E-4</v>
      </c>
      <c r="AE301" s="383"/>
      <c r="AF301" s="574">
        <f t="shared" si="128"/>
        <v>5.094976712338295E-2</v>
      </c>
      <c r="AG301" s="376">
        <f t="shared" si="154"/>
        <v>0.94880051720171277</v>
      </c>
      <c r="AH301" s="376">
        <f t="shared" si="140"/>
        <v>0.94905023287661705</v>
      </c>
      <c r="AI301" s="553">
        <f t="shared" si="141"/>
        <v>2.4968449854023689E-4</v>
      </c>
      <c r="AJ301" s="374"/>
      <c r="AK301" s="577">
        <f t="shared" si="129"/>
        <v>6.0722336058029742E-2</v>
      </c>
      <c r="AL301" s="376">
        <f t="shared" si="142"/>
        <v>0.93905569408694289</v>
      </c>
      <c r="AM301" s="376">
        <f t="shared" si="143"/>
        <v>0.93927766394197021</v>
      </c>
      <c r="AN301" s="553">
        <f t="shared" si="144"/>
        <v>2.2194522154173058E-4</v>
      </c>
      <c r="AO301" s="554"/>
      <c r="AP301" s="580">
        <f t="shared" si="130"/>
        <v>5.0629718644054078E-3</v>
      </c>
      <c r="AQ301" s="376">
        <f t="shared" si="145"/>
        <v>0.9948465560332862</v>
      </c>
      <c r="AR301" s="379">
        <f t="shared" si="146"/>
        <v>0.99493702813559459</v>
      </c>
      <c r="AS301" s="376">
        <f t="shared" si="147"/>
        <v>9.0468009831146112E-5</v>
      </c>
      <c r="AT301" s="384"/>
      <c r="AU301" s="583">
        <f t="shared" si="131"/>
        <v>0.2827285671340059</v>
      </c>
      <c r="AV301" s="381">
        <f t="shared" si="157"/>
        <v>1.2632672099506295</v>
      </c>
      <c r="AW301" s="376">
        <f t="shared" si="132"/>
        <v>1.2632679683302275</v>
      </c>
      <c r="AX301" s="503">
        <f t="shared" si="155"/>
        <v>7.5837931046152107E-7</v>
      </c>
      <c r="AY301" s="376">
        <f t="shared" si="133"/>
        <v>2.8496726204914387</v>
      </c>
      <c r="AZ301" s="381">
        <f t="shared" si="148"/>
        <v>1.9404652240711147E-3</v>
      </c>
      <c r="BA301" s="586">
        <f t="shared" si="149"/>
        <v>0.1571800673805849</v>
      </c>
      <c r="BB301" s="376">
        <f t="shared" si="150"/>
        <v>0.84256775948953255</v>
      </c>
      <c r="BC301" s="376">
        <f t="shared" si="151"/>
        <v>0.84281993261941512</v>
      </c>
      <c r="BD301" s="376">
        <f t="shared" si="152"/>
        <v>2.5214133691131568E-4</v>
      </c>
      <c r="BE301" s="283"/>
      <c r="BF301" s="283"/>
      <c r="BG301" s="283"/>
      <c r="BH301" s="283"/>
      <c r="BI301" s="283"/>
      <c r="BJ301" s="283"/>
      <c r="BK301" s="283"/>
      <c r="BL301" s="283"/>
      <c r="BM301" s="283"/>
      <c r="BN301" s="283"/>
      <c r="BO301" s="283"/>
      <c r="BP301" s="283"/>
      <c r="BQ301" s="283"/>
      <c r="BR301" s="283"/>
      <c r="BS301" s="283"/>
      <c r="BT301" s="283"/>
      <c r="BU301" s="283"/>
      <c r="BV301" s="283"/>
      <c r="BW301" s="283"/>
      <c r="BX301" s="283"/>
      <c r="BY301" s="283"/>
      <c r="BZ301" s="283"/>
      <c r="CA301" s="283"/>
      <c r="CB301" s="283"/>
      <c r="CC301" s="283"/>
      <c r="CD301" s="283"/>
      <c r="CE301" s="283"/>
      <c r="CF301" s="283"/>
      <c r="CG301" s="283"/>
      <c r="CH301" s="283"/>
      <c r="CI301" s="283"/>
      <c r="CJ301" s="283"/>
      <c r="CK301" s="283"/>
      <c r="CL301" s="283"/>
    </row>
    <row r="302" spans="1:90" ht="14.25" customHeight="1" x14ac:dyDescent="0.2">
      <c r="A302" s="28"/>
      <c r="B302" s="28"/>
      <c r="C302" s="28"/>
      <c r="D302" s="28"/>
      <c r="E302" s="282"/>
      <c r="F302" s="282"/>
      <c r="G302" s="282"/>
      <c r="H302" s="282"/>
      <c r="I302" s="282"/>
      <c r="J302" s="282"/>
      <c r="K302" s="282"/>
      <c r="L302" s="282"/>
      <c r="M302" s="282"/>
      <c r="N302" s="282"/>
      <c r="O302" s="282"/>
      <c r="P302" s="282"/>
      <c r="Q302" s="282"/>
      <c r="R302" s="282"/>
      <c r="S302" s="374"/>
      <c r="T302" s="373">
        <f t="shared" si="158"/>
        <v>276</v>
      </c>
      <c r="U302" s="374"/>
      <c r="V302" s="568">
        <f t="shared" si="153"/>
        <v>1.0104833972572227E-3</v>
      </c>
      <c r="W302" s="328">
        <f t="shared" si="134"/>
        <v>0.99896394612981743</v>
      </c>
      <c r="X302" s="328">
        <f t="shared" si="135"/>
        <v>0.99898951660274282</v>
      </c>
      <c r="Y302" s="328">
        <f t="shared" si="136"/>
        <v>2.5570146003683902E-5</v>
      </c>
      <c r="Z302" s="374"/>
      <c r="AA302" s="571">
        <f t="shared" si="137"/>
        <v>1.3407161911307029E-2</v>
      </c>
      <c r="AB302" s="327">
        <f t="shared" si="156"/>
        <v>0.986430631923636</v>
      </c>
      <c r="AC302" s="327">
        <f t="shared" si="138"/>
        <v>0.98659283808869302</v>
      </c>
      <c r="AD302" s="327">
        <f t="shared" si="139"/>
        <v>1.6219301034825495E-4</v>
      </c>
      <c r="AE302" s="383"/>
      <c r="AF302" s="574">
        <f t="shared" si="128"/>
        <v>5.0701923068318E-2</v>
      </c>
      <c r="AG302" s="376">
        <f t="shared" si="154"/>
        <v>0.94905023287661705</v>
      </c>
      <c r="AH302" s="376">
        <f t="shared" si="140"/>
        <v>0.949298076931682</v>
      </c>
      <c r="AI302" s="553">
        <f t="shared" si="141"/>
        <v>2.478133442643804E-4</v>
      </c>
      <c r="AJ302" s="374"/>
      <c r="AK302" s="577">
        <f t="shared" si="129"/>
        <v>6.050192415889593E-2</v>
      </c>
      <c r="AL302" s="376">
        <f t="shared" si="142"/>
        <v>0.93927766394197021</v>
      </c>
      <c r="AM302" s="376">
        <f t="shared" si="143"/>
        <v>0.93949807584110412</v>
      </c>
      <c r="AN302" s="553">
        <f t="shared" si="144"/>
        <v>2.2038761021581088E-4</v>
      </c>
      <c r="AO302" s="554"/>
      <c r="AP302" s="580">
        <f t="shared" si="130"/>
        <v>4.9741000618730435E-3</v>
      </c>
      <c r="AQ302" s="376">
        <f t="shared" si="145"/>
        <v>0.99493702813559459</v>
      </c>
      <c r="AR302" s="379">
        <f t="shared" si="146"/>
        <v>0.99502589993812696</v>
      </c>
      <c r="AS302" s="376">
        <f t="shared" si="147"/>
        <v>8.8867853550667064E-5</v>
      </c>
      <c r="AT302" s="384"/>
      <c r="AU302" s="583">
        <f t="shared" si="131"/>
        <v>0.2827283612306204</v>
      </c>
      <c r="AV302" s="381">
        <f t="shared" si="157"/>
        <v>1.2632679683302275</v>
      </c>
      <c r="AW302" s="376">
        <f t="shared" si="132"/>
        <v>1.2632686966027984</v>
      </c>
      <c r="AX302" s="503">
        <f t="shared" si="155"/>
        <v>7.2827230568339729E-7</v>
      </c>
      <c r="AY302" s="376">
        <f t="shared" si="133"/>
        <v>2.8525276716112846</v>
      </c>
      <c r="AZ302" s="381">
        <f t="shared" si="148"/>
        <v>1.9306021897378281E-3</v>
      </c>
      <c r="BA302" s="586">
        <f t="shared" si="149"/>
        <v>0.15692920942364041</v>
      </c>
      <c r="BB302" s="376">
        <f t="shared" si="150"/>
        <v>0.84281993261941512</v>
      </c>
      <c r="BC302" s="376">
        <f t="shared" si="151"/>
        <v>0.84307079057635959</v>
      </c>
      <c r="BD302" s="376">
        <f t="shared" si="152"/>
        <v>2.5082649471808161E-4</v>
      </c>
      <c r="BE302" s="283"/>
      <c r="BF302" s="283"/>
      <c r="BG302" s="283"/>
      <c r="BH302" s="283"/>
      <c r="BI302" s="283"/>
      <c r="BJ302" s="283"/>
      <c r="BK302" s="283"/>
      <c r="BL302" s="283"/>
      <c r="BM302" s="283"/>
      <c r="BN302" s="283"/>
      <c r="BO302" s="283"/>
      <c r="BP302" s="283"/>
      <c r="BQ302" s="283"/>
      <c r="BR302" s="283"/>
      <c r="BS302" s="283"/>
      <c r="BT302" s="283"/>
      <c r="BU302" s="283"/>
      <c r="BV302" s="283"/>
      <c r="BW302" s="283"/>
      <c r="BX302" s="283"/>
      <c r="BY302" s="283"/>
      <c r="BZ302" s="283"/>
      <c r="CA302" s="283"/>
      <c r="CB302" s="283"/>
      <c r="CC302" s="283"/>
      <c r="CD302" s="283"/>
      <c r="CE302" s="283"/>
      <c r="CF302" s="283"/>
      <c r="CG302" s="283"/>
      <c r="CH302" s="283"/>
      <c r="CI302" s="283"/>
      <c r="CJ302" s="283"/>
      <c r="CK302" s="283"/>
      <c r="CL302" s="283"/>
    </row>
    <row r="303" spans="1:90" ht="14.25" customHeight="1" x14ac:dyDescent="0.2">
      <c r="A303" s="28"/>
      <c r="B303" s="28"/>
      <c r="C303" s="28"/>
      <c r="D303" s="28"/>
      <c r="E303" s="282"/>
      <c r="F303" s="282"/>
      <c r="G303" s="282"/>
      <c r="H303" s="282"/>
      <c r="I303" s="282"/>
      <c r="J303" s="282"/>
      <c r="K303" s="282"/>
      <c r="L303" s="282"/>
      <c r="M303" s="282"/>
      <c r="N303" s="282"/>
      <c r="O303" s="282"/>
      <c r="P303" s="282"/>
      <c r="Q303" s="282"/>
      <c r="R303" s="282"/>
      <c r="S303" s="374"/>
      <c r="T303" s="373">
        <f t="shared" si="158"/>
        <v>277</v>
      </c>
      <c r="U303" s="374"/>
      <c r="V303" s="568">
        <f t="shared" si="153"/>
        <v>9.8554401997703726E-4</v>
      </c>
      <c r="W303" s="328">
        <f t="shared" si="134"/>
        <v>0.99898951660274282</v>
      </c>
      <c r="X303" s="328">
        <f t="shared" si="135"/>
        <v>0.99901445598002292</v>
      </c>
      <c r="Y303" s="328">
        <f t="shared" si="136"/>
        <v>2.4939066296414403E-5</v>
      </c>
      <c r="Z303" s="374"/>
      <c r="AA303" s="571">
        <f t="shared" si="137"/>
        <v>1.3247027763590989E-2</v>
      </c>
      <c r="AB303" s="327">
        <f t="shared" si="156"/>
        <v>0.98659283808869302</v>
      </c>
      <c r="AC303" s="327">
        <f t="shared" si="138"/>
        <v>0.98675297223640901</v>
      </c>
      <c r="AD303" s="327">
        <f t="shared" si="139"/>
        <v>1.6012132692766468E-4</v>
      </c>
      <c r="AE303" s="383"/>
      <c r="AF303" s="574">
        <f t="shared" si="128"/>
        <v>5.0455931281501609E-2</v>
      </c>
      <c r="AG303" s="376">
        <f t="shared" si="154"/>
        <v>0.949298076931682</v>
      </c>
      <c r="AH303" s="376">
        <f t="shared" si="140"/>
        <v>0.94954406871849839</v>
      </c>
      <c r="AI303" s="553">
        <f t="shared" si="141"/>
        <v>2.4596153331757353E-4</v>
      </c>
      <c r="AJ303" s="374"/>
      <c r="AK303" s="577">
        <f t="shared" si="129"/>
        <v>6.0283054067992475E-2</v>
      </c>
      <c r="AL303" s="376">
        <f t="shared" si="142"/>
        <v>0.93949807584110412</v>
      </c>
      <c r="AM303" s="376">
        <f t="shared" si="143"/>
        <v>0.9397169459320075</v>
      </c>
      <c r="AN303" s="553">
        <f t="shared" si="144"/>
        <v>2.1884614059242136E-4</v>
      </c>
      <c r="AO303" s="554"/>
      <c r="AP303" s="580">
        <f t="shared" si="130"/>
        <v>4.8867999678827712E-3</v>
      </c>
      <c r="AQ303" s="376">
        <f t="shared" si="145"/>
        <v>0.99502589993812696</v>
      </c>
      <c r="AR303" s="379">
        <f t="shared" si="146"/>
        <v>0.99511320003211723</v>
      </c>
      <c r="AS303" s="376">
        <f t="shared" si="147"/>
        <v>8.7296283447946266E-5</v>
      </c>
      <c r="AT303" s="384"/>
      <c r="AU303" s="583">
        <f t="shared" si="131"/>
        <v>0.28272816350156571</v>
      </c>
      <c r="AV303" s="381">
        <f t="shared" si="157"/>
        <v>1.2632686966027984</v>
      </c>
      <c r="AW303" s="376">
        <f t="shared" si="132"/>
        <v>1.2632693959635664</v>
      </c>
      <c r="AX303" s="503">
        <f t="shared" si="155"/>
        <v>6.9936052338182009E-7</v>
      </c>
      <c r="AY303" s="376">
        <f t="shared" si="133"/>
        <v>2.8553723970264109</v>
      </c>
      <c r="AZ303" s="381">
        <f t="shared" si="148"/>
        <v>1.920824687184412E-3</v>
      </c>
      <c r="BA303" s="586">
        <f t="shared" si="149"/>
        <v>0.15667965506509191</v>
      </c>
      <c r="BB303" s="376">
        <f t="shared" si="150"/>
        <v>0.84307079057635959</v>
      </c>
      <c r="BC303" s="376">
        <f t="shared" si="151"/>
        <v>0.84332034493490804</v>
      </c>
      <c r="BD303" s="376">
        <f t="shared" si="152"/>
        <v>2.4952322244964353E-4</v>
      </c>
      <c r="BE303" s="283"/>
      <c r="BF303" s="283"/>
      <c r="BG303" s="283"/>
      <c r="BH303" s="283"/>
      <c r="BI303" s="283"/>
      <c r="BJ303" s="283"/>
      <c r="BK303" s="283"/>
      <c r="BL303" s="283"/>
      <c r="BM303" s="283"/>
      <c r="BN303" s="283"/>
      <c r="BO303" s="283"/>
      <c r="BP303" s="283"/>
      <c r="BQ303" s="283"/>
      <c r="BR303" s="283"/>
      <c r="BS303" s="283"/>
      <c r="BT303" s="283"/>
      <c r="BU303" s="283"/>
      <c r="BV303" s="283"/>
      <c r="BW303" s="283"/>
      <c r="BX303" s="283"/>
      <c r="BY303" s="283"/>
      <c r="BZ303" s="283"/>
      <c r="CA303" s="283"/>
      <c r="CB303" s="283"/>
      <c r="CC303" s="283"/>
      <c r="CD303" s="283"/>
      <c r="CE303" s="283"/>
      <c r="CF303" s="283"/>
      <c r="CG303" s="283"/>
      <c r="CH303" s="283"/>
      <c r="CI303" s="283"/>
      <c r="CJ303" s="283"/>
      <c r="CK303" s="283"/>
      <c r="CL303" s="283"/>
    </row>
    <row r="304" spans="1:90" ht="14.25" customHeight="1" x14ac:dyDescent="0.2">
      <c r="A304" s="28"/>
      <c r="B304" s="28"/>
      <c r="C304" s="28"/>
      <c r="D304" s="28"/>
      <c r="E304" s="282"/>
      <c r="F304" s="282"/>
      <c r="G304" s="282"/>
      <c r="H304" s="282"/>
      <c r="I304" s="282"/>
      <c r="J304" s="282"/>
      <c r="K304" s="282"/>
      <c r="L304" s="282"/>
      <c r="M304" s="282"/>
      <c r="N304" s="282"/>
      <c r="O304" s="282"/>
      <c r="P304" s="282"/>
      <c r="Q304" s="282"/>
      <c r="R304" s="282"/>
      <c r="S304" s="374"/>
      <c r="T304" s="373">
        <f t="shared" si="158"/>
        <v>278</v>
      </c>
      <c r="U304" s="374"/>
      <c r="V304" s="568">
        <f t="shared" si="153"/>
        <v>9.6122016249738636E-4</v>
      </c>
      <c r="W304" s="328">
        <f t="shared" si="134"/>
        <v>0.99901445598002292</v>
      </c>
      <c r="X304" s="328">
        <f t="shared" si="135"/>
        <v>0.99903877983750267</v>
      </c>
      <c r="Y304" s="328">
        <f t="shared" si="136"/>
        <v>2.4323561657157988E-5</v>
      </c>
      <c r="Z304" s="374"/>
      <c r="AA304" s="571">
        <f t="shared" si="137"/>
        <v>1.3088937104474395E-2</v>
      </c>
      <c r="AB304" s="327">
        <f t="shared" si="156"/>
        <v>0.98675297223640901</v>
      </c>
      <c r="AC304" s="327">
        <f t="shared" si="138"/>
        <v>0.98691106289552566</v>
      </c>
      <c r="AD304" s="327">
        <f t="shared" si="139"/>
        <v>1.580781634469286E-4</v>
      </c>
      <c r="AE304" s="383"/>
      <c r="AF304" s="574">
        <f t="shared" si="128"/>
        <v>5.0211772669056742E-2</v>
      </c>
      <c r="AG304" s="376">
        <f t="shared" si="154"/>
        <v>0.94954406871849839</v>
      </c>
      <c r="AH304" s="376">
        <f t="shared" si="140"/>
        <v>0.94978822733094326</v>
      </c>
      <c r="AI304" s="553">
        <f t="shared" si="141"/>
        <v>2.4412880815660731E-4</v>
      </c>
      <c r="AJ304" s="374"/>
      <c r="AK304" s="577">
        <f t="shared" si="129"/>
        <v>6.0065709858591984E-2</v>
      </c>
      <c r="AL304" s="376">
        <f t="shared" si="142"/>
        <v>0.9397169459320075</v>
      </c>
      <c r="AM304" s="376">
        <f t="shared" si="143"/>
        <v>0.93993429014140806</v>
      </c>
      <c r="AN304" s="553">
        <f t="shared" si="144"/>
        <v>2.1732059185897157E-4</v>
      </c>
      <c r="AO304" s="554"/>
      <c r="AP304" s="580">
        <f t="shared" si="130"/>
        <v>4.801043509016556E-3</v>
      </c>
      <c r="AQ304" s="376">
        <f t="shared" si="145"/>
        <v>0.99511320003211723</v>
      </c>
      <c r="AR304" s="379">
        <f t="shared" si="146"/>
        <v>0.99519895649098344</v>
      </c>
      <c r="AS304" s="376">
        <f t="shared" si="147"/>
        <v>8.5752781886161422E-5</v>
      </c>
      <c r="AT304" s="384"/>
      <c r="AU304" s="583">
        <f t="shared" si="131"/>
        <v>0.282727973622317</v>
      </c>
      <c r="AV304" s="381">
        <f t="shared" si="157"/>
        <v>1.2632693959635664</v>
      </c>
      <c r="AW304" s="376">
        <f t="shared" si="132"/>
        <v>1.2632700675603048</v>
      </c>
      <c r="AX304" s="503">
        <f t="shared" si="155"/>
        <v>6.7159651295778389E-7</v>
      </c>
      <c r="AY304" s="376">
        <f t="shared" si="133"/>
        <v>2.8582068711565523</v>
      </c>
      <c r="AZ304" s="381">
        <f t="shared" si="148"/>
        <v>1.9111316699053319E-3</v>
      </c>
      <c r="BA304" s="586">
        <f t="shared" si="149"/>
        <v>0.15643139287344626</v>
      </c>
      <c r="BB304" s="376">
        <f t="shared" si="150"/>
        <v>0.84332034493490804</v>
      </c>
      <c r="BC304" s="376">
        <f t="shared" si="151"/>
        <v>0.84356860712655379</v>
      </c>
      <c r="BD304" s="376">
        <f t="shared" si="152"/>
        <v>2.4823137713791965E-4</v>
      </c>
      <c r="BE304" s="283"/>
      <c r="BF304" s="283"/>
      <c r="BG304" s="283"/>
      <c r="BH304" s="283"/>
      <c r="BI304" s="283"/>
      <c r="BJ304" s="283"/>
      <c r="BK304" s="283"/>
      <c r="BL304" s="283"/>
      <c r="BM304" s="283"/>
      <c r="BN304" s="283"/>
      <c r="BO304" s="283"/>
      <c r="BP304" s="283"/>
      <c r="BQ304" s="283"/>
      <c r="BR304" s="283"/>
      <c r="BS304" s="283"/>
      <c r="BT304" s="283"/>
      <c r="BU304" s="283"/>
      <c r="BV304" s="283"/>
      <c r="BW304" s="283"/>
      <c r="BX304" s="283"/>
      <c r="BY304" s="283"/>
      <c r="BZ304" s="283"/>
      <c r="CA304" s="283"/>
      <c r="CB304" s="283"/>
      <c r="CC304" s="283"/>
      <c r="CD304" s="283"/>
      <c r="CE304" s="283"/>
      <c r="CF304" s="283"/>
      <c r="CG304" s="283"/>
      <c r="CH304" s="283"/>
      <c r="CI304" s="283"/>
      <c r="CJ304" s="283"/>
      <c r="CK304" s="283"/>
      <c r="CL304" s="283"/>
    </row>
    <row r="305" spans="1:90" ht="14.25" customHeight="1" x14ac:dyDescent="0.2">
      <c r="A305" s="28"/>
      <c r="B305" s="28"/>
      <c r="C305" s="28"/>
      <c r="D305" s="28"/>
      <c r="E305" s="282"/>
      <c r="F305" s="282"/>
      <c r="G305" s="282"/>
      <c r="H305" s="282"/>
      <c r="I305" s="282"/>
      <c r="J305" s="282"/>
      <c r="K305" s="282"/>
      <c r="L305" s="282"/>
      <c r="M305" s="282"/>
      <c r="N305" s="282"/>
      <c r="O305" s="282"/>
      <c r="P305" s="282"/>
      <c r="Q305" s="282"/>
      <c r="R305" s="282"/>
      <c r="S305" s="374"/>
      <c r="T305" s="373">
        <f t="shared" si="158"/>
        <v>279</v>
      </c>
      <c r="U305" s="374"/>
      <c r="V305" s="568">
        <f t="shared" si="153"/>
        <v>9.3749663339546152E-4</v>
      </c>
      <c r="W305" s="328">
        <f t="shared" si="134"/>
        <v>0.99903877983750267</v>
      </c>
      <c r="X305" s="328">
        <f t="shared" si="135"/>
        <v>0.99906250336660452</v>
      </c>
      <c r="Y305" s="328">
        <f t="shared" si="136"/>
        <v>2.3723247701168404E-5</v>
      </c>
      <c r="Z305" s="374"/>
      <c r="AA305" s="571">
        <f t="shared" si="137"/>
        <v>1.293286183253059E-2</v>
      </c>
      <c r="AB305" s="327">
        <f t="shared" si="156"/>
        <v>0.98691106289552566</v>
      </c>
      <c r="AC305" s="327">
        <f t="shared" si="138"/>
        <v>0.98706713816746938</v>
      </c>
      <c r="AD305" s="327">
        <f t="shared" si="139"/>
        <v>1.5606309283211495E-4</v>
      </c>
      <c r="AE305" s="383"/>
      <c r="AF305" s="574">
        <f t="shared" si="128"/>
        <v>4.9969428390598591E-2</v>
      </c>
      <c r="AG305" s="376">
        <f t="shared" si="154"/>
        <v>0.94978822733094326</v>
      </c>
      <c r="AH305" s="376">
        <f t="shared" si="140"/>
        <v>0.95003057160940141</v>
      </c>
      <c r="AI305" s="553">
        <f t="shared" si="141"/>
        <v>2.4231491545556594E-4</v>
      </c>
      <c r="AJ305" s="374"/>
      <c r="AK305" s="577">
        <f t="shared" si="129"/>
        <v>5.9849875821152941E-2</v>
      </c>
      <c r="AL305" s="376">
        <f t="shared" si="142"/>
        <v>0.93993429014140806</v>
      </c>
      <c r="AM305" s="376">
        <f t="shared" si="143"/>
        <v>0.94015012417884702</v>
      </c>
      <c r="AN305" s="553">
        <f t="shared" si="144"/>
        <v>2.1581074694876357E-4</v>
      </c>
      <c r="AO305" s="554"/>
      <c r="AP305" s="580">
        <f t="shared" si="130"/>
        <v>4.7168031201143545E-3</v>
      </c>
      <c r="AQ305" s="376">
        <f t="shared" si="145"/>
        <v>0.99519895649098344</v>
      </c>
      <c r="AR305" s="379">
        <f t="shared" si="146"/>
        <v>0.99528319687988565</v>
      </c>
      <c r="AS305" s="376">
        <f t="shared" si="147"/>
        <v>8.4236840780294031E-5</v>
      </c>
      <c r="AT305" s="384"/>
      <c r="AU305" s="583">
        <f t="shared" si="131"/>
        <v>0.28272779128123338</v>
      </c>
      <c r="AV305" s="381">
        <f t="shared" si="157"/>
        <v>1.2632700675603048</v>
      </c>
      <c r="AW305" s="376">
        <f t="shared" si="132"/>
        <v>1.2632707124952225</v>
      </c>
      <c r="AX305" s="503">
        <f t="shared" si="155"/>
        <v>6.4493470974813505E-7</v>
      </c>
      <c r="AY305" s="376">
        <f t="shared" si="133"/>
        <v>2.8610311676197933</v>
      </c>
      <c r="AZ305" s="381">
        <f t="shared" si="148"/>
        <v>1.9015221079016617E-3</v>
      </c>
      <c r="BA305" s="586">
        <f t="shared" si="149"/>
        <v>0.15618441155798485</v>
      </c>
      <c r="BB305" s="376">
        <f t="shared" si="150"/>
        <v>0.84356860712655379</v>
      </c>
      <c r="BC305" s="376">
        <f t="shared" si="151"/>
        <v>0.8438155884420151</v>
      </c>
      <c r="BD305" s="376">
        <f t="shared" si="152"/>
        <v>2.4695081808701058E-4</v>
      </c>
      <c r="BE305" s="283"/>
      <c r="BF305" s="283"/>
      <c r="BG305" s="283"/>
      <c r="BH305" s="283"/>
      <c r="BI305" s="283"/>
      <c r="BJ305" s="283"/>
      <c r="BK305" s="283"/>
      <c r="BL305" s="283"/>
      <c r="BM305" s="283"/>
      <c r="BN305" s="283"/>
      <c r="BO305" s="283"/>
      <c r="BP305" s="283"/>
      <c r="BQ305" s="283"/>
      <c r="BR305" s="283"/>
      <c r="BS305" s="283"/>
      <c r="BT305" s="283"/>
      <c r="BU305" s="283"/>
      <c r="BV305" s="283"/>
      <c r="BW305" s="283"/>
      <c r="BX305" s="283"/>
      <c r="BY305" s="283"/>
      <c r="BZ305" s="283"/>
      <c r="CA305" s="283"/>
      <c r="CB305" s="283"/>
      <c r="CC305" s="283"/>
      <c r="CD305" s="283"/>
      <c r="CE305" s="283"/>
      <c r="CF305" s="283"/>
      <c r="CG305" s="283"/>
      <c r="CH305" s="283"/>
      <c r="CI305" s="283"/>
      <c r="CJ305" s="283"/>
      <c r="CK305" s="283"/>
      <c r="CL305" s="283"/>
    </row>
    <row r="306" spans="1:90" ht="14.25" customHeight="1" x14ac:dyDescent="0.2">
      <c r="A306" s="28"/>
      <c r="B306" s="28"/>
      <c r="C306" s="28"/>
      <c r="D306" s="28"/>
      <c r="E306" s="282"/>
      <c r="F306" s="282"/>
      <c r="G306" s="282"/>
      <c r="H306" s="282"/>
      <c r="I306" s="282"/>
      <c r="J306" s="282"/>
      <c r="K306" s="282"/>
      <c r="L306" s="282"/>
      <c r="M306" s="282"/>
      <c r="N306" s="282"/>
      <c r="O306" s="282"/>
      <c r="P306" s="282"/>
      <c r="Q306" s="282"/>
      <c r="R306" s="282"/>
      <c r="S306" s="374"/>
      <c r="T306" s="373">
        <f t="shared" si="158"/>
        <v>280</v>
      </c>
      <c r="U306" s="374"/>
      <c r="V306" s="568">
        <f t="shared" si="153"/>
        <v>9.1435861618249618E-4</v>
      </c>
      <c r="W306" s="328">
        <f t="shared" si="134"/>
        <v>0.99906250336660452</v>
      </c>
      <c r="X306" s="328">
        <f t="shared" si="135"/>
        <v>0.9990856413838175</v>
      </c>
      <c r="Y306" s="328">
        <f t="shared" si="136"/>
        <v>2.3137749531110252E-5</v>
      </c>
      <c r="Z306" s="374"/>
      <c r="AA306" s="571">
        <f t="shared" si="137"/>
        <v>1.2778774266620371E-2</v>
      </c>
      <c r="AB306" s="327">
        <f t="shared" si="156"/>
        <v>0.98706713816746938</v>
      </c>
      <c r="AC306" s="327">
        <f t="shared" si="138"/>
        <v>0.98722122573337967</v>
      </c>
      <c r="AD306" s="327">
        <f t="shared" si="139"/>
        <v>1.5407569503100849E-4</v>
      </c>
      <c r="AE306" s="383"/>
      <c r="AF306" s="574">
        <f t="shared" si="128"/>
        <v>4.9728879855096775E-2</v>
      </c>
      <c r="AG306" s="376">
        <f t="shared" si="154"/>
        <v>0.95003057160940141</v>
      </c>
      <c r="AH306" s="376">
        <f t="shared" si="140"/>
        <v>0.95027112014490323</v>
      </c>
      <c r="AI306" s="553">
        <f t="shared" si="141"/>
        <v>2.4051960602256006E-4</v>
      </c>
      <c r="AJ306" s="374"/>
      <c r="AK306" s="577">
        <f t="shared" si="129"/>
        <v>5.9635536459645921E-2</v>
      </c>
      <c r="AL306" s="376">
        <f t="shared" si="142"/>
        <v>0.94015012417884702</v>
      </c>
      <c r="AM306" s="376">
        <f t="shared" si="143"/>
        <v>0.94036446354035408</v>
      </c>
      <c r="AN306" s="553">
        <f t="shared" si="144"/>
        <v>2.1431639246716205E-4</v>
      </c>
      <c r="AO306" s="554"/>
      <c r="AP306" s="580">
        <f t="shared" si="130"/>
        <v>4.6340517348981702E-3</v>
      </c>
      <c r="AQ306" s="376">
        <f t="shared" si="145"/>
        <v>0.99528319687988565</v>
      </c>
      <c r="AR306" s="379">
        <f t="shared" si="146"/>
        <v>0.99536594826510183</v>
      </c>
      <c r="AS306" s="376">
        <f t="shared" si="147"/>
        <v>8.274796141471974E-5</v>
      </c>
      <c r="AT306" s="384"/>
      <c r="AU306" s="583">
        <f t="shared" si="131"/>
        <v>0.28272761617904679</v>
      </c>
      <c r="AV306" s="381">
        <f t="shared" si="157"/>
        <v>1.2632707124952225</v>
      </c>
      <c r="AW306" s="376">
        <f t="shared" si="132"/>
        <v>1.2632713318267712</v>
      </c>
      <c r="AX306" s="503">
        <f t="shared" si="155"/>
        <v>6.1933135697689323E-7</v>
      </c>
      <c r="AY306" s="376">
        <f t="shared" si="133"/>
        <v>2.8638453592440372</v>
      </c>
      <c r="AZ306" s="381">
        <f t="shared" si="148"/>
        <v>1.8919949873627618E-3</v>
      </c>
      <c r="BA306" s="586">
        <f t="shared" si="149"/>
        <v>0.15593869996653562</v>
      </c>
      <c r="BB306" s="376">
        <f t="shared" si="150"/>
        <v>0.8438155884420151</v>
      </c>
      <c r="BC306" s="376">
        <f t="shared" si="151"/>
        <v>0.84406130003346436</v>
      </c>
      <c r="BD306" s="376">
        <f t="shared" si="152"/>
        <v>2.456814068284574E-4</v>
      </c>
      <c r="BE306" s="283"/>
      <c r="BF306" s="283"/>
      <c r="BG306" s="283"/>
      <c r="BH306" s="283"/>
      <c r="BI306" s="283"/>
      <c r="BJ306" s="283"/>
      <c r="BK306" s="283"/>
      <c r="BL306" s="283"/>
      <c r="BM306" s="283"/>
      <c r="BN306" s="283"/>
      <c r="BO306" s="283"/>
      <c r="BP306" s="283"/>
      <c r="BQ306" s="283"/>
      <c r="BR306" s="283"/>
      <c r="BS306" s="283"/>
      <c r="BT306" s="283"/>
      <c r="BU306" s="283"/>
      <c r="BV306" s="283"/>
      <c r="BW306" s="283"/>
      <c r="BX306" s="283"/>
      <c r="BY306" s="283"/>
      <c r="BZ306" s="283"/>
      <c r="CA306" s="283"/>
      <c r="CB306" s="283"/>
      <c r="CC306" s="283"/>
      <c r="CD306" s="283"/>
      <c r="CE306" s="283"/>
      <c r="CF306" s="283"/>
      <c r="CG306" s="283"/>
      <c r="CH306" s="283"/>
      <c r="CI306" s="283"/>
      <c r="CJ306" s="283"/>
      <c r="CK306" s="283"/>
      <c r="CL306" s="283"/>
    </row>
    <row r="307" spans="1:90" ht="14.25" customHeight="1" x14ac:dyDescent="0.2">
      <c r="A307" s="28"/>
      <c r="B307" s="28"/>
      <c r="C307" s="28"/>
      <c r="D307" s="28"/>
      <c r="E307" s="282"/>
      <c r="F307" s="282"/>
      <c r="G307" s="282"/>
      <c r="H307" s="282"/>
      <c r="I307" s="282"/>
      <c r="J307" s="282"/>
      <c r="K307" s="282"/>
      <c r="L307" s="282"/>
      <c r="M307" s="282"/>
      <c r="N307" s="282"/>
      <c r="O307" s="282"/>
      <c r="P307" s="282"/>
      <c r="Q307" s="282"/>
      <c r="R307" s="282"/>
      <c r="S307" s="374"/>
      <c r="T307" s="373">
        <f t="shared" si="158"/>
        <v>281</v>
      </c>
      <c r="U307" s="374"/>
      <c r="V307" s="568">
        <f t="shared" si="153"/>
        <v>8.9179166005015414E-4</v>
      </c>
      <c r="W307" s="328">
        <f t="shared" si="134"/>
        <v>0.9990856413838175</v>
      </c>
      <c r="X307" s="328">
        <f t="shared" si="135"/>
        <v>0.99910820833994984</v>
      </c>
      <c r="Y307" s="328">
        <f t="shared" si="136"/>
        <v>2.2566701500470465E-5</v>
      </c>
      <c r="Z307" s="374"/>
      <c r="AA307" s="571">
        <f t="shared" si="137"/>
        <v>1.2626647138992475E-2</v>
      </c>
      <c r="AB307" s="327">
        <f t="shared" si="156"/>
        <v>0.98722122573337967</v>
      </c>
      <c r="AC307" s="327">
        <f t="shared" si="138"/>
        <v>0.98737335286100758</v>
      </c>
      <c r="AD307" s="327">
        <f t="shared" si="139"/>
        <v>1.5211555688321443E-4</v>
      </c>
      <c r="AE307" s="383"/>
      <c r="AF307" s="574">
        <f t="shared" si="128"/>
        <v>4.9490108716818138E-2</v>
      </c>
      <c r="AG307" s="376">
        <f t="shared" si="154"/>
        <v>0.95027112014490323</v>
      </c>
      <c r="AH307" s="376">
        <f t="shared" si="140"/>
        <v>0.95050989128318186</v>
      </c>
      <c r="AI307" s="553">
        <f t="shared" si="141"/>
        <v>2.3874263471901358E-4</v>
      </c>
      <c r="AJ307" s="374"/>
      <c r="AK307" s="577">
        <f t="shared" si="129"/>
        <v>5.9422676487953387E-2</v>
      </c>
      <c r="AL307" s="376">
        <f t="shared" si="142"/>
        <v>0.94036446354035408</v>
      </c>
      <c r="AM307" s="376">
        <f t="shared" si="143"/>
        <v>0.94057732351204659</v>
      </c>
      <c r="AN307" s="553">
        <f t="shared" si="144"/>
        <v>2.1283731861609922E-4</v>
      </c>
      <c r="AO307" s="554"/>
      <c r="AP307" s="580">
        <f t="shared" si="130"/>
        <v>4.5527627767734113E-3</v>
      </c>
      <c r="AQ307" s="376">
        <f t="shared" si="145"/>
        <v>0.99536594826510183</v>
      </c>
      <c r="AR307" s="379">
        <f t="shared" si="146"/>
        <v>0.99544723722322659</v>
      </c>
      <c r="AS307" s="376">
        <f t="shared" si="147"/>
        <v>8.1285654266904928E-5</v>
      </c>
      <c r="AT307" s="384"/>
      <c r="AU307" s="583">
        <f t="shared" si="131"/>
        <v>0.28272744802837052</v>
      </c>
      <c r="AV307" s="381">
        <f t="shared" si="157"/>
        <v>1.2632713318267712</v>
      </c>
      <c r="AW307" s="376">
        <f t="shared" si="132"/>
        <v>1.2632719265713828</v>
      </c>
      <c r="AX307" s="503">
        <f t="shared" si="155"/>
        <v>5.9474443470097782E-7</v>
      </c>
      <c r="AY307" s="376">
        <f t="shared" si="133"/>
        <v>2.8666495180782769</v>
      </c>
      <c r="AZ307" s="381">
        <f t="shared" si="148"/>
        <v>1.8825493103551772E-3</v>
      </c>
      <c r="BA307" s="586">
        <f t="shared" si="149"/>
        <v>0.15569424708328683</v>
      </c>
      <c r="BB307" s="376">
        <f t="shared" si="150"/>
        <v>0.84406130003346436</v>
      </c>
      <c r="BC307" s="376">
        <f t="shared" si="151"/>
        <v>0.84430575291671317</v>
      </c>
      <c r="BD307" s="376">
        <f t="shared" si="152"/>
        <v>2.4442300707727682E-4</v>
      </c>
      <c r="BE307" s="283"/>
      <c r="BF307" s="283"/>
      <c r="BG307" s="283"/>
      <c r="BH307" s="283"/>
      <c r="BI307" s="283"/>
      <c r="BJ307" s="283"/>
      <c r="BK307" s="283"/>
      <c r="BL307" s="283"/>
      <c r="BM307" s="283"/>
      <c r="BN307" s="283"/>
      <c r="BO307" s="283"/>
      <c r="BP307" s="283"/>
      <c r="BQ307" s="283"/>
      <c r="BR307" s="283"/>
      <c r="BS307" s="283"/>
      <c r="BT307" s="283"/>
      <c r="BU307" s="283"/>
      <c r="BV307" s="283"/>
      <c r="BW307" s="283"/>
      <c r="BX307" s="283"/>
      <c r="BY307" s="283"/>
      <c r="BZ307" s="283"/>
      <c r="CA307" s="283"/>
      <c r="CB307" s="283"/>
      <c r="CC307" s="283"/>
      <c r="CD307" s="283"/>
      <c r="CE307" s="283"/>
      <c r="CF307" s="283"/>
      <c r="CG307" s="283"/>
      <c r="CH307" s="283"/>
      <c r="CI307" s="283"/>
      <c r="CJ307" s="283"/>
      <c r="CK307" s="283"/>
      <c r="CL307" s="283"/>
    </row>
    <row r="308" spans="1:90" ht="14.25" customHeight="1" x14ac:dyDescent="0.2">
      <c r="A308" s="28"/>
      <c r="B308" s="28"/>
      <c r="C308" s="28"/>
      <c r="D308" s="28"/>
      <c r="E308" s="282"/>
      <c r="F308" s="282"/>
      <c r="G308" s="282"/>
      <c r="H308" s="282"/>
      <c r="I308" s="282"/>
      <c r="J308" s="282"/>
      <c r="K308" s="282"/>
      <c r="L308" s="282"/>
      <c r="M308" s="282"/>
      <c r="N308" s="282"/>
      <c r="O308" s="282"/>
      <c r="P308" s="282"/>
      <c r="Q308" s="282"/>
      <c r="R308" s="282"/>
      <c r="S308" s="374"/>
      <c r="T308" s="373">
        <f t="shared" si="158"/>
        <v>282</v>
      </c>
      <c r="U308" s="374"/>
      <c r="V308" s="568">
        <f t="shared" si="153"/>
        <v>8.6978167084530121E-4</v>
      </c>
      <c r="W308" s="328">
        <f t="shared" si="134"/>
        <v>0.99910820833994984</v>
      </c>
      <c r="X308" s="328">
        <f t="shared" si="135"/>
        <v>0.99913021832915472</v>
      </c>
      <c r="Y308" s="328">
        <f t="shared" si="136"/>
        <v>2.2009746986850764E-5</v>
      </c>
      <c r="Z308" s="374"/>
      <c r="AA308" s="571">
        <f t="shared" si="137"/>
        <v>1.2476453588509498E-2</v>
      </c>
      <c r="AB308" s="327">
        <f t="shared" si="156"/>
        <v>0.98737335286100758</v>
      </c>
      <c r="AC308" s="327">
        <f t="shared" si="138"/>
        <v>0.98752354641149054</v>
      </c>
      <c r="AD308" s="327">
        <f t="shared" si="139"/>
        <v>1.5018227199636858E-4</v>
      </c>
      <c r="AE308" s="383"/>
      <c r="AF308" s="574">
        <f t="shared" si="128"/>
        <v>4.9253096871346824E-2</v>
      </c>
      <c r="AG308" s="376">
        <f t="shared" si="154"/>
        <v>0.95050989128318186</v>
      </c>
      <c r="AH308" s="376">
        <f t="shared" si="140"/>
        <v>0.95074690312865318</v>
      </c>
      <c r="AI308" s="553">
        <f t="shared" si="141"/>
        <v>2.3698376038272517E-4</v>
      </c>
      <c r="AJ308" s="374"/>
      <c r="AK308" s="577">
        <f t="shared" si="129"/>
        <v>5.9211280826342312E-2</v>
      </c>
      <c r="AL308" s="376">
        <f t="shared" si="142"/>
        <v>0.94057732351204659</v>
      </c>
      <c r="AM308" s="376">
        <f t="shared" si="143"/>
        <v>0.94078871917365769</v>
      </c>
      <c r="AN308" s="553">
        <f t="shared" si="144"/>
        <v>2.113733191225764E-4</v>
      </c>
      <c r="AO308" s="554"/>
      <c r="AP308" s="580">
        <f t="shared" si="130"/>
        <v>4.4729101498044432E-3</v>
      </c>
      <c r="AQ308" s="376">
        <f t="shared" si="145"/>
        <v>0.99544723722322659</v>
      </c>
      <c r="AR308" s="379">
        <f t="shared" si="146"/>
        <v>0.99552708985019556</v>
      </c>
      <c r="AS308" s="376">
        <f t="shared" si="147"/>
        <v>7.9849438832768627E-5</v>
      </c>
      <c r="AT308" s="384"/>
      <c r="AU308" s="583">
        <f t="shared" si="131"/>
        <v>0.2827272865532276</v>
      </c>
      <c r="AV308" s="381">
        <f t="shared" si="157"/>
        <v>1.2632719265713828</v>
      </c>
      <c r="AW308" s="376">
        <f t="shared" si="132"/>
        <v>1.2632724977051377</v>
      </c>
      <c r="AX308" s="503">
        <f t="shared" si="155"/>
        <v>5.7113359186455881E-7</v>
      </c>
      <c r="AY308" s="376">
        <f t="shared" si="133"/>
        <v>2.8694437154036625</v>
      </c>
      <c r="AZ308" s="381">
        <f t="shared" si="148"/>
        <v>1.8731840945186099E-3</v>
      </c>
      <c r="BA308" s="586">
        <f t="shared" si="149"/>
        <v>0.15545104202664309</v>
      </c>
      <c r="BB308" s="376">
        <f t="shared" si="150"/>
        <v>0.84430575291671317</v>
      </c>
      <c r="BC308" s="376">
        <f t="shared" si="151"/>
        <v>0.84454895797335694</v>
      </c>
      <c r="BD308" s="376">
        <f t="shared" si="152"/>
        <v>2.4317548469132699E-4</v>
      </c>
      <c r="BE308" s="283"/>
      <c r="BF308" s="283"/>
      <c r="BG308" s="283"/>
      <c r="BH308" s="283"/>
      <c r="BI308" s="283"/>
      <c r="BJ308" s="283"/>
      <c r="BK308" s="283"/>
      <c r="BL308" s="283"/>
      <c r="BM308" s="283"/>
      <c r="BN308" s="283"/>
      <c r="BO308" s="283"/>
      <c r="BP308" s="283"/>
      <c r="BQ308" s="283"/>
      <c r="BR308" s="283"/>
      <c r="BS308" s="283"/>
      <c r="BT308" s="283"/>
      <c r="BU308" s="283"/>
      <c r="BV308" s="283"/>
      <c r="BW308" s="283"/>
      <c r="BX308" s="283"/>
      <c r="BY308" s="283"/>
      <c r="BZ308" s="283"/>
      <c r="CA308" s="283"/>
      <c r="CB308" s="283"/>
      <c r="CC308" s="283"/>
      <c r="CD308" s="283"/>
      <c r="CE308" s="283"/>
      <c r="CF308" s="283"/>
      <c r="CG308" s="283"/>
      <c r="CH308" s="283"/>
      <c r="CI308" s="283"/>
      <c r="CJ308" s="283"/>
      <c r="CK308" s="283"/>
      <c r="CL308" s="283"/>
    </row>
    <row r="309" spans="1:90" ht="14.25" customHeight="1" x14ac:dyDescent="0.2">
      <c r="A309" s="28"/>
      <c r="B309" s="28"/>
      <c r="C309" s="28"/>
      <c r="D309" s="28"/>
      <c r="E309" s="282"/>
      <c r="F309" s="282"/>
      <c r="G309" s="282"/>
      <c r="H309" s="282"/>
      <c r="I309" s="282"/>
      <c r="J309" s="282"/>
      <c r="K309" s="282"/>
      <c r="L309" s="282"/>
      <c r="M309" s="282"/>
      <c r="N309" s="282"/>
      <c r="O309" s="282"/>
      <c r="P309" s="282"/>
      <c r="Q309" s="282"/>
      <c r="R309" s="282"/>
      <c r="S309" s="374"/>
      <c r="T309" s="373">
        <f t="shared" si="158"/>
        <v>283</v>
      </c>
      <c r="U309" s="374"/>
      <c r="V309" s="568">
        <f t="shared" si="153"/>
        <v>8.4831490226752976E-4</v>
      </c>
      <c r="W309" s="328">
        <f t="shared" si="134"/>
        <v>0.99913021832915472</v>
      </c>
      <c r="X309" s="328">
        <f t="shared" si="135"/>
        <v>0.99915168509773244</v>
      </c>
      <c r="Y309" s="328">
        <f t="shared" si="136"/>
        <v>2.1466538168257721E-5</v>
      </c>
      <c r="Z309" s="374"/>
      <c r="AA309" s="571">
        <f t="shared" si="137"/>
        <v>1.2328167153996514E-2</v>
      </c>
      <c r="AB309" s="327">
        <f t="shared" si="156"/>
        <v>0.98752354641149054</v>
      </c>
      <c r="AC309" s="327">
        <f t="shared" si="138"/>
        <v>0.98767183284600346</v>
      </c>
      <c r="AD309" s="327">
        <f t="shared" si="139"/>
        <v>1.4827544062301357E-4</v>
      </c>
      <c r="AE309" s="383"/>
      <c r="AF309" s="574">
        <f t="shared" si="128"/>
        <v>4.9017826451682289E-2</v>
      </c>
      <c r="AG309" s="376">
        <f t="shared" si="154"/>
        <v>0.95074690312865318</v>
      </c>
      <c r="AH309" s="376">
        <f t="shared" si="140"/>
        <v>0.95098217354831771</v>
      </c>
      <c r="AI309" s="553">
        <f t="shared" si="141"/>
        <v>2.352427457497086E-4</v>
      </c>
      <c r="AJ309" s="374"/>
      <c r="AK309" s="577">
        <f t="shared" si="129"/>
        <v>5.9001334598007327E-2</v>
      </c>
      <c r="AL309" s="376">
        <f t="shared" si="142"/>
        <v>0.94078871917365769</v>
      </c>
      <c r="AM309" s="376">
        <f t="shared" si="143"/>
        <v>0.94099866540199262</v>
      </c>
      <c r="AN309" s="553">
        <f t="shared" si="144"/>
        <v>2.0992419116772076E-4</v>
      </c>
      <c r="AO309" s="554"/>
      <c r="AP309" s="580">
        <f t="shared" si="130"/>
        <v>4.3944682298605597E-3</v>
      </c>
      <c r="AQ309" s="376">
        <f t="shared" si="145"/>
        <v>0.99552708985019556</v>
      </c>
      <c r="AR309" s="379">
        <f t="shared" si="146"/>
        <v>0.99560553177013944</v>
      </c>
      <c r="AS309" s="376">
        <f t="shared" si="147"/>
        <v>7.8438843456929419E-5</v>
      </c>
      <c r="AT309" s="384"/>
      <c r="AU309" s="583">
        <f t="shared" si="131"/>
        <v>0.28272713148859774</v>
      </c>
      <c r="AV309" s="381">
        <f t="shared" si="157"/>
        <v>1.2632724977051377</v>
      </c>
      <c r="AW309" s="376">
        <f t="shared" si="132"/>
        <v>1.263273046165367</v>
      </c>
      <c r="AX309" s="503">
        <f t="shared" si="155"/>
        <v>5.4846007879749692E-7</v>
      </c>
      <c r="AY309" s="376">
        <f t="shared" si="133"/>
        <v>2.8722280217443705</v>
      </c>
      <c r="AZ309" s="381">
        <f t="shared" si="148"/>
        <v>1.8638983727687676E-3</v>
      </c>
      <c r="BA309" s="586">
        <f t="shared" si="149"/>
        <v>0.15520907404712289</v>
      </c>
      <c r="BB309" s="376">
        <f t="shared" si="150"/>
        <v>0.84454895797335694</v>
      </c>
      <c r="BC309" s="376">
        <f t="shared" si="151"/>
        <v>0.84479092595287708</v>
      </c>
      <c r="BD309" s="376">
        <f t="shared" si="152"/>
        <v>2.4193870762956315E-4</v>
      </c>
      <c r="BE309" s="283"/>
      <c r="BF309" s="283"/>
      <c r="BG309" s="283"/>
      <c r="BH309" s="283"/>
      <c r="BI309" s="283"/>
      <c r="BJ309" s="283"/>
      <c r="BK309" s="283"/>
      <c r="BL309" s="283"/>
      <c r="BM309" s="283"/>
      <c r="BN309" s="283"/>
      <c r="BO309" s="283"/>
      <c r="BP309" s="283"/>
      <c r="BQ309" s="283"/>
      <c r="BR309" s="283"/>
      <c r="BS309" s="283"/>
      <c r="BT309" s="283"/>
      <c r="BU309" s="283"/>
      <c r="BV309" s="283"/>
      <c r="BW309" s="283"/>
      <c r="BX309" s="283"/>
      <c r="BY309" s="283"/>
      <c r="BZ309" s="283"/>
      <c r="CA309" s="283"/>
      <c r="CB309" s="283"/>
      <c r="CC309" s="283"/>
      <c r="CD309" s="283"/>
      <c r="CE309" s="283"/>
      <c r="CF309" s="283"/>
      <c r="CG309" s="283"/>
      <c r="CH309" s="283"/>
      <c r="CI309" s="283"/>
      <c r="CJ309" s="283"/>
      <c r="CK309" s="283"/>
      <c r="CL309" s="283"/>
    </row>
    <row r="310" spans="1:90" ht="14.25" customHeight="1" x14ac:dyDescent="0.2">
      <c r="A310" s="28"/>
      <c r="B310" s="28"/>
      <c r="C310" s="28"/>
      <c r="D310" s="28"/>
      <c r="E310" s="282"/>
      <c r="F310" s="282"/>
      <c r="G310" s="282"/>
      <c r="H310" s="282"/>
      <c r="I310" s="282"/>
      <c r="J310" s="282"/>
      <c r="K310" s="282"/>
      <c r="L310" s="282"/>
      <c r="M310" s="282"/>
      <c r="N310" s="282"/>
      <c r="O310" s="282"/>
      <c r="P310" s="282"/>
      <c r="Q310" s="282"/>
      <c r="R310" s="282"/>
      <c r="S310" s="374"/>
      <c r="T310" s="373">
        <f t="shared" si="158"/>
        <v>284</v>
      </c>
      <c r="U310" s="374"/>
      <c r="V310" s="568">
        <f t="shared" si="153"/>
        <v>8.273779472839258E-4</v>
      </c>
      <c r="W310" s="328">
        <f t="shared" si="134"/>
        <v>0.99915168509773244</v>
      </c>
      <c r="X310" s="328">
        <f t="shared" si="135"/>
        <v>0.99917262205271606</v>
      </c>
      <c r="Y310" s="328">
        <f t="shared" si="136"/>
        <v>2.0936735807053353E-5</v>
      </c>
      <c r="Z310" s="374"/>
      <c r="AA310" s="571">
        <f t="shared" si="137"/>
        <v>1.2181761767710101E-2</v>
      </c>
      <c r="AB310" s="327">
        <f t="shared" si="156"/>
        <v>0.98767183284600346</v>
      </c>
      <c r="AC310" s="327">
        <f t="shared" si="138"/>
        <v>0.98781823823228987</v>
      </c>
      <c r="AD310" s="327">
        <f t="shared" si="139"/>
        <v>1.4639466954080582E-4</v>
      </c>
      <c r="AE310" s="383"/>
      <c r="AF310" s="574">
        <f t="shared" si="128"/>
        <v>4.8784279824411914E-2</v>
      </c>
      <c r="AG310" s="376">
        <f t="shared" si="154"/>
        <v>0.95098217354831771</v>
      </c>
      <c r="AH310" s="376">
        <f t="shared" si="140"/>
        <v>0.95121572017558809</v>
      </c>
      <c r="AI310" s="553">
        <f t="shared" si="141"/>
        <v>2.3351935737980778E-4</v>
      </c>
      <c r="AJ310" s="374"/>
      <c r="AK310" s="577">
        <f t="shared" si="129"/>
        <v>5.8792823125682812E-2</v>
      </c>
      <c r="AL310" s="376">
        <f t="shared" si="142"/>
        <v>0.94099866540199262</v>
      </c>
      <c r="AM310" s="376">
        <f t="shared" si="143"/>
        <v>0.94120717687431721</v>
      </c>
      <c r="AN310" s="553">
        <f t="shared" si="144"/>
        <v>2.0848973531839565E-4</v>
      </c>
      <c r="AO310" s="554"/>
      <c r="AP310" s="580">
        <f t="shared" si="130"/>
        <v>4.3174118559303754E-3</v>
      </c>
      <c r="AQ310" s="376">
        <f t="shared" si="145"/>
        <v>0.99560553177013944</v>
      </c>
      <c r="AR310" s="379">
        <f t="shared" si="146"/>
        <v>0.99568258814406962</v>
      </c>
      <c r="AS310" s="376">
        <f t="shared" si="147"/>
        <v>7.7053405164062561E-5</v>
      </c>
      <c r="AT310" s="384"/>
      <c r="AU310" s="583">
        <f t="shared" si="131"/>
        <v>0.28272698257998219</v>
      </c>
      <c r="AV310" s="381">
        <f t="shared" si="157"/>
        <v>1.263273046165367</v>
      </c>
      <c r="AW310" s="376">
        <f t="shared" si="132"/>
        <v>1.2632735728521904</v>
      </c>
      <c r="AX310" s="503">
        <f t="shared" si="155"/>
        <v>5.266866848208096E-7</v>
      </c>
      <c r="AY310" s="376">
        <f t="shared" si="133"/>
        <v>2.8750025068782903</v>
      </c>
      <c r="AZ310" s="381">
        <f t="shared" si="148"/>
        <v>1.8546911930068871E-3</v>
      </c>
      <c r="BA310" s="586">
        <f t="shared" si="149"/>
        <v>0.15496833252529604</v>
      </c>
      <c r="BB310" s="376">
        <f t="shared" si="150"/>
        <v>0.84479092595287708</v>
      </c>
      <c r="BC310" s="376">
        <f t="shared" si="151"/>
        <v>0.84503166747470393</v>
      </c>
      <c r="BD310" s="376">
        <f t="shared" si="152"/>
        <v>2.4071254591195856E-4</v>
      </c>
      <c r="BE310" s="283"/>
      <c r="BF310" s="283"/>
      <c r="BG310" s="283"/>
      <c r="BH310" s="283"/>
      <c r="BI310" s="283"/>
      <c r="BJ310" s="283"/>
      <c r="BK310" s="283"/>
      <c r="BL310" s="283"/>
      <c r="BM310" s="283"/>
      <c r="BN310" s="283"/>
      <c r="BO310" s="283"/>
      <c r="BP310" s="283"/>
      <c r="BQ310" s="283"/>
      <c r="BR310" s="283"/>
      <c r="BS310" s="283"/>
      <c r="BT310" s="283"/>
      <c r="BU310" s="283"/>
      <c r="BV310" s="283"/>
      <c r="BW310" s="283"/>
      <c r="BX310" s="283"/>
      <c r="BY310" s="283"/>
      <c r="BZ310" s="283"/>
      <c r="CA310" s="283"/>
      <c r="CB310" s="283"/>
      <c r="CC310" s="283"/>
      <c r="CD310" s="283"/>
      <c r="CE310" s="283"/>
      <c r="CF310" s="283"/>
      <c r="CG310" s="283"/>
      <c r="CH310" s="283"/>
      <c r="CI310" s="283"/>
      <c r="CJ310" s="283"/>
      <c r="CK310" s="283"/>
      <c r="CL310" s="283"/>
    </row>
    <row r="311" spans="1:90" ht="14.25" customHeight="1" x14ac:dyDescent="0.2">
      <c r="A311" s="28"/>
      <c r="B311" s="28"/>
      <c r="C311" s="28"/>
      <c r="D311" s="28"/>
      <c r="E311" s="282"/>
      <c r="F311" s="282"/>
      <c r="G311" s="282"/>
      <c r="H311" s="282"/>
      <c r="I311" s="282"/>
      <c r="J311" s="282"/>
      <c r="K311" s="282"/>
      <c r="L311" s="282"/>
      <c r="M311" s="282"/>
      <c r="N311" s="282"/>
      <c r="O311" s="282"/>
      <c r="P311" s="282"/>
      <c r="Q311" s="282"/>
      <c r="R311" s="282"/>
      <c r="S311" s="374"/>
      <c r="T311" s="373">
        <f t="shared" si="158"/>
        <v>285</v>
      </c>
      <c r="U311" s="374"/>
      <c r="V311" s="568">
        <f t="shared" si="153"/>
        <v>8.0695772975573335E-4</v>
      </c>
      <c r="W311" s="328">
        <f t="shared" si="134"/>
        <v>0.99917262205271606</v>
      </c>
      <c r="X311" s="328">
        <f t="shared" si="135"/>
        <v>0.9991930422702443</v>
      </c>
      <c r="Y311" s="328">
        <f t="shared" si="136"/>
        <v>2.0420009037014353E-5</v>
      </c>
      <c r="Z311" s="374"/>
      <c r="AA311" s="571">
        <f t="shared" si="137"/>
        <v>1.203721174892524E-2</v>
      </c>
      <c r="AB311" s="327">
        <f t="shared" si="156"/>
        <v>0.98781823823228987</v>
      </c>
      <c r="AC311" s="327">
        <f t="shared" si="138"/>
        <v>0.98796278825107475</v>
      </c>
      <c r="AD311" s="327">
        <f t="shared" si="139"/>
        <v>1.445395719342768E-4</v>
      </c>
      <c r="AE311" s="383"/>
      <c r="AF311" s="574">
        <f t="shared" si="128"/>
        <v>4.8552439585957119E-2</v>
      </c>
      <c r="AG311" s="376">
        <f t="shared" si="154"/>
        <v>0.95121572017558809</v>
      </c>
      <c r="AH311" s="376">
        <f t="shared" si="140"/>
        <v>0.95144756041404288</v>
      </c>
      <c r="AI311" s="553">
        <f t="shared" si="141"/>
        <v>2.3181336558353305E-4</v>
      </c>
      <c r="AJ311" s="374"/>
      <c r="AK311" s="577">
        <f t="shared" si="129"/>
        <v>5.8585731928322601E-2</v>
      </c>
      <c r="AL311" s="376">
        <f t="shared" si="142"/>
        <v>0.94120717687431721</v>
      </c>
      <c r="AM311" s="376">
        <f t="shared" si="143"/>
        <v>0.94141426807167738</v>
      </c>
      <c r="AN311" s="553">
        <f t="shared" si="144"/>
        <v>2.070697554583667E-4</v>
      </c>
      <c r="AO311" s="554"/>
      <c r="AP311" s="580">
        <f t="shared" si="130"/>
        <v>4.241716321598421E-3</v>
      </c>
      <c r="AQ311" s="376">
        <f t="shared" si="145"/>
        <v>0.99568258814406962</v>
      </c>
      <c r="AR311" s="379">
        <f t="shared" si="146"/>
        <v>0.99575828367840158</v>
      </c>
      <c r="AS311" s="376">
        <f t="shared" si="147"/>
        <v>7.5692669497251508E-5</v>
      </c>
      <c r="AT311" s="384"/>
      <c r="AU311" s="583">
        <f t="shared" si="131"/>
        <v>0.28272683958298617</v>
      </c>
      <c r="AV311" s="381">
        <f t="shared" si="157"/>
        <v>1.2632735728521904</v>
      </c>
      <c r="AW311" s="376">
        <f t="shared" si="132"/>
        <v>1.2632740786299936</v>
      </c>
      <c r="AX311" s="503">
        <f t="shared" si="155"/>
        <v>5.0577767529702555E-7</v>
      </c>
      <c r="AY311" s="376">
        <f t="shared" si="133"/>
        <v>2.8777672398475098</v>
      </c>
      <c r="AZ311" s="381">
        <f t="shared" si="148"/>
        <v>1.8455616178358165E-3</v>
      </c>
      <c r="BA311" s="586">
        <f t="shared" si="149"/>
        <v>0.1547288069697606</v>
      </c>
      <c r="BB311" s="376">
        <f t="shared" si="150"/>
        <v>0.84503166747470393</v>
      </c>
      <c r="BC311" s="376">
        <f t="shared" si="151"/>
        <v>0.84527119303023945</v>
      </c>
      <c r="BD311" s="376">
        <f t="shared" si="152"/>
        <v>2.3949687157986954E-4</v>
      </c>
      <c r="BE311" s="283"/>
      <c r="BF311" s="283"/>
      <c r="BG311" s="283"/>
      <c r="BH311" s="283"/>
      <c r="BI311" s="283"/>
      <c r="BJ311" s="283"/>
      <c r="BK311" s="283"/>
      <c r="BL311" s="283"/>
      <c r="BM311" s="283"/>
      <c r="BN311" s="283"/>
      <c r="BO311" s="283"/>
      <c r="BP311" s="283"/>
      <c r="BQ311" s="283"/>
      <c r="BR311" s="283"/>
      <c r="BS311" s="283"/>
      <c r="BT311" s="283"/>
      <c r="BU311" s="283"/>
      <c r="BV311" s="283"/>
      <c r="BW311" s="283"/>
      <c r="BX311" s="283"/>
      <c r="BY311" s="283"/>
      <c r="BZ311" s="283"/>
      <c r="CA311" s="283"/>
      <c r="CB311" s="283"/>
      <c r="CC311" s="283"/>
      <c r="CD311" s="283"/>
      <c r="CE311" s="283"/>
      <c r="CF311" s="283"/>
      <c r="CG311" s="283"/>
      <c r="CH311" s="283"/>
      <c r="CI311" s="283"/>
      <c r="CJ311" s="283"/>
      <c r="CK311" s="283"/>
      <c r="CL311" s="283"/>
    </row>
    <row r="312" spans="1:90" ht="14.25" customHeight="1" x14ac:dyDescent="0.2">
      <c r="A312" s="28"/>
      <c r="B312" s="28"/>
      <c r="C312" s="28"/>
      <c r="D312" s="28"/>
      <c r="E312" s="282"/>
      <c r="F312" s="282"/>
      <c r="G312" s="282"/>
      <c r="H312" s="282"/>
      <c r="I312" s="282"/>
      <c r="J312" s="282"/>
      <c r="K312" s="282"/>
      <c r="L312" s="282"/>
      <c r="M312" s="282"/>
      <c r="N312" s="282"/>
      <c r="O312" s="282"/>
      <c r="P312" s="282"/>
      <c r="Q312" s="282"/>
      <c r="R312" s="282"/>
      <c r="S312" s="374"/>
      <c r="T312" s="373">
        <f t="shared" si="158"/>
        <v>286</v>
      </c>
      <c r="U312" s="374"/>
      <c r="V312" s="568">
        <f t="shared" si="153"/>
        <v>7.8704149627167408E-4</v>
      </c>
      <c r="W312" s="328">
        <f t="shared" si="134"/>
        <v>0.9991930422702443</v>
      </c>
      <c r="X312" s="328">
        <f t="shared" si="135"/>
        <v>0.99921295850372838</v>
      </c>
      <c r="Y312" s="328">
        <f t="shared" si="136"/>
        <v>1.991603515716367E-5</v>
      </c>
      <c r="Z312" s="374"/>
      <c r="AA312" s="571">
        <f t="shared" si="137"/>
        <v>1.1894491797637864E-2</v>
      </c>
      <c r="AB312" s="327">
        <f t="shared" si="156"/>
        <v>0.98796278825107475</v>
      </c>
      <c r="AC312" s="327">
        <f t="shared" si="138"/>
        <v>0.98810550820236209</v>
      </c>
      <c r="AD312" s="327">
        <f t="shared" si="139"/>
        <v>1.4270976727959184E-4</v>
      </c>
      <c r="AE312" s="383"/>
      <c r="AF312" s="574">
        <f t="shared" si="128"/>
        <v>4.8322288558891091E-2</v>
      </c>
      <c r="AG312" s="376">
        <f t="shared" si="154"/>
        <v>0.95144756041404288</v>
      </c>
      <c r="AH312" s="376">
        <f t="shared" si="140"/>
        <v>0.95167771144110891</v>
      </c>
      <c r="AI312" s="553">
        <f t="shared" si="141"/>
        <v>2.3012454435011875E-4</v>
      </c>
      <c r="AJ312" s="374"/>
      <c r="AK312" s="577">
        <f t="shared" si="129"/>
        <v>5.8380046717845406E-2</v>
      </c>
      <c r="AL312" s="376">
        <f t="shared" si="142"/>
        <v>0.94141426807167738</v>
      </c>
      <c r="AM312" s="376">
        <f t="shared" si="143"/>
        <v>0.94161995328215464</v>
      </c>
      <c r="AN312" s="553">
        <f t="shared" si="144"/>
        <v>2.0566405872457505E-4</v>
      </c>
      <c r="AO312" s="554"/>
      <c r="AP312" s="580">
        <f t="shared" si="130"/>
        <v>4.1673573666848318E-3</v>
      </c>
      <c r="AQ312" s="376">
        <f t="shared" si="145"/>
        <v>0.99575828367840158</v>
      </c>
      <c r="AR312" s="379">
        <f t="shared" si="146"/>
        <v>0.99583264263331517</v>
      </c>
      <c r="AS312" s="376">
        <f t="shared" si="147"/>
        <v>7.4356190355007179E-5</v>
      </c>
      <c r="AT312" s="384"/>
      <c r="AU312" s="583">
        <f t="shared" si="131"/>
        <v>0.28272670226291768</v>
      </c>
      <c r="AV312" s="381">
        <f t="shared" si="157"/>
        <v>1.2632740786299936</v>
      </c>
      <c r="AW312" s="376">
        <f t="shared" si="132"/>
        <v>1.2632745643288472</v>
      </c>
      <c r="AX312" s="503">
        <f t="shared" si="155"/>
        <v>4.8569873567494426E-7</v>
      </c>
      <c r="AY312" s="376">
        <f t="shared" si="133"/>
        <v>2.8805222889686299</v>
      </c>
      <c r="AZ312" s="381">
        <f t="shared" si="148"/>
        <v>1.8365087242824111E-3</v>
      </c>
      <c r="BA312" s="586">
        <f t="shared" si="149"/>
        <v>0.15449048701515802</v>
      </c>
      <c r="BB312" s="376">
        <f t="shared" si="150"/>
        <v>0.84527119303023945</v>
      </c>
      <c r="BC312" s="376">
        <f t="shared" si="151"/>
        <v>0.845509512984842</v>
      </c>
      <c r="BD312" s="376">
        <f t="shared" si="152"/>
        <v>2.3829155865795482E-4</v>
      </c>
      <c r="BE312" s="283"/>
      <c r="BF312" s="283"/>
      <c r="BG312" s="283"/>
      <c r="BH312" s="283"/>
      <c r="BI312" s="283"/>
      <c r="BJ312" s="283"/>
      <c r="BK312" s="283"/>
      <c r="BL312" s="283"/>
      <c r="BM312" s="283"/>
      <c r="BN312" s="283"/>
      <c r="BO312" s="283"/>
      <c r="BP312" s="283"/>
      <c r="BQ312" s="283"/>
      <c r="BR312" s="283"/>
      <c r="BS312" s="283"/>
      <c r="BT312" s="283"/>
      <c r="BU312" s="283"/>
      <c r="BV312" s="283"/>
      <c r="BW312" s="283"/>
      <c r="BX312" s="283"/>
      <c r="BY312" s="283"/>
      <c r="BZ312" s="283"/>
      <c r="CA312" s="283"/>
      <c r="CB312" s="283"/>
      <c r="CC312" s="283"/>
      <c r="CD312" s="283"/>
      <c r="CE312" s="283"/>
      <c r="CF312" s="283"/>
      <c r="CG312" s="283"/>
      <c r="CH312" s="283"/>
      <c r="CI312" s="283"/>
      <c r="CJ312" s="283"/>
      <c r="CK312" s="283"/>
      <c r="CL312" s="283"/>
    </row>
    <row r="313" spans="1:90" ht="14.25" customHeight="1" x14ac:dyDescent="0.2">
      <c r="A313" s="28"/>
      <c r="B313" s="28"/>
      <c r="C313" s="28"/>
      <c r="D313" s="28"/>
      <c r="E313" s="282"/>
      <c r="F313" s="282"/>
      <c r="G313" s="282"/>
      <c r="H313" s="282"/>
      <c r="I313" s="282"/>
      <c r="J313" s="282"/>
      <c r="K313" s="282"/>
      <c r="L313" s="282"/>
      <c r="M313" s="282"/>
      <c r="N313" s="282"/>
      <c r="O313" s="282"/>
      <c r="P313" s="282"/>
      <c r="Q313" s="282"/>
      <c r="R313" s="282"/>
      <c r="S313" s="374"/>
      <c r="T313" s="373">
        <f t="shared" si="158"/>
        <v>287</v>
      </c>
      <c r="U313" s="374"/>
      <c r="V313" s="568">
        <f t="shared" si="153"/>
        <v>7.6761680818282605E-4</v>
      </c>
      <c r="W313" s="328">
        <f t="shared" si="134"/>
        <v>0.99921295850372838</v>
      </c>
      <c r="X313" s="328">
        <f t="shared" si="135"/>
        <v>0.99923238319181718</v>
      </c>
      <c r="Y313" s="328">
        <f t="shared" si="136"/>
        <v>1.9424499430820141E-5</v>
      </c>
      <c r="Z313" s="374"/>
      <c r="AA313" s="571">
        <f t="shared" si="137"/>
        <v>1.175357698838044E-2</v>
      </c>
      <c r="AB313" s="327">
        <f t="shared" si="156"/>
        <v>0.98810550820236209</v>
      </c>
      <c r="AC313" s="327">
        <f t="shared" si="138"/>
        <v>0.98824642301161958</v>
      </c>
      <c r="AD313" s="327">
        <f t="shared" si="139"/>
        <v>1.4090488123208456E-4</v>
      </c>
      <c r="AE313" s="383"/>
      <c r="AF313" s="574">
        <f t="shared" si="128"/>
        <v>4.809380978832678E-2</v>
      </c>
      <c r="AG313" s="376">
        <f t="shared" si="154"/>
        <v>0.95167771144110891</v>
      </c>
      <c r="AH313" s="376">
        <f t="shared" si="140"/>
        <v>0.95190619021167322</v>
      </c>
      <c r="AI313" s="553">
        <f t="shared" si="141"/>
        <v>2.2845267127780122E-4</v>
      </c>
      <c r="AJ313" s="374"/>
      <c r="AK313" s="577">
        <f t="shared" si="129"/>
        <v>5.8175753395944878E-2</v>
      </c>
      <c r="AL313" s="376">
        <f t="shared" si="142"/>
        <v>0.94161995328215464</v>
      </c>
      <c r="AM313" s="376">
        <f t="shared" si="143"/>
        <v>0.94182424660405517</v>
      </c>
      <c r="AN313" s="553">
        <f t="shared" si="144"/>
        <v>2.0427245544085704E-4</v>
      </c>
      <c r="AO313" s="554"/>
      <c r="AP313" s="580">
        <f t="shared" si="130"/>
        <v>4.0943111690406875E-3</v>
      </c>
      <c r="AQ313" s="376">
        <f t="shared" si="145"/>
        <v>0.99583264263331517</v>
      </c>
      <c r="AR313" s="379">
        <f t="shared" si="146"/>
        <v>0.99590568883095931</v>
      </c>
      <c r="AS313" s="376">
        <f t="shared" si="147"/>
        <v>7.3043529835614684E-5</v>
      </c>
      <c r="AT313" s="384"/>
      <c r="AU313" s="583">
        <f t="shared" si="131"/>
        <v>0.28272657039440213</v>
      </c>
      <c r="AV313" s="381">
        <f t="shared" si="157"/>
        <v>1.2632745643288472</v>
      </c>
      <c r="AW313" s="376">
        <f t="shared" si="132"/>
        <v>1.2632750307458684</v>
      </c>
      <c r="AX313" s="503">
        <f t="shared" si="155"/>
        <v>4.664169124257711E-7</v>
      </c>
      <c r="AY313" s="376">
        <f t="shared" si="133"/>
        <v>2.8832677218428922</v>
      </c>
      <c r="AZ313" s="381">
        <f t="shared" si="148"/>
        <v>1.8275316035261478E-3</v>
      </c>
      <c r="BA313" s="586">
        <f t="shared" si="149"/>
        <v>0.15425336242022628</v>
      </c>
      <c r="BB313" s="376">
        <f t="shared" si="150"/>
        <v>0.845509512984842</v>
      </c>
      <c r="BC313" s="376">
        <f t="shared" si="151"/>
        <v>0.84574663757977375</v>
      </c>
      <c r="BD313" s="376">
        <f t="shared" si="152"/>
        <v>2.3709648311698306E-4</v>
      </c>
      <c r="BE313" s="283"/>
      <c r="BF313" s="283"/>
      <c r="BG313" s="283"/>
      <c r="BH313" s="283"/>
      <c r="BI313" s="283"/>
      <c r="BJ313" s="283"/>
      <c r="BK313" s="283"/>
      <c r="BL313" s="283"/>
      <c r="BM313" s="283"/>
      <c r="BN313" s="283"/>
      <c r="BO313" s="283"/>
      <c r="BP313" s="283"/>
      <c r="BQ313" s="283"/>
      <c r="BR313" s="283"/>
      <c r="BS313" s="283"/>
      <c r="BT313" s="283"/>
      <c r="BU313" s="283"/>
      <c r="BV313" s="283"/>
      <c r="BW313" s="283"/>
      <c r="BX313" s="283"/>
      <c r="BY313" s="283"/>
      <c r="BZ313" s="283"/>
      <c r="CA313" s="283"/>
      <c r="CB313" s="283"/>
      <c r="CC313" s="283"/>
      <c r="CD313" s="283"/>
      <c r="CE313" s="283"/>
      <c r="CF313" s="283"/>
      <c r="CG313" s="283"/>
      <c r="CH313" s="283"/>
      <c r="CI313" s="283"/>
      <c r="CJ313" s="283"/>
      <c r="CK313" s="283"/>
      <c r="CL313" s="283"/>
    </row>
    <row r="314" spans="1:90" ht="14.25" customHeight="1" x14ac:dyDescent="0.2">
      <c r="A314" s="28"/>
      <c r="B314" s="28"/>
      <c r="C314" s="28"/>
      <c r="D314" s="28"/>
      <c r="E314" s="282"/>
      <c r="F314" s="282"/>
      <c r="G314" s="282"/>
      <c r="H314" s="282"/>
      <c r="I314" s="282"/>
      <c r="J314" s="282"/>
      <c r="K314" s="282"/>
      <c r="L314" s="282"/>
      <c r="M314" s="282"/>
      <c r="N314" s="282"/>
      <c r="O314" s="282"/>
      <c r="P314" s="282"/>
      <c r="Q314" s="282"/>
      <c r="R314" s="282"/>
      <c r="S314" s="374"/>
      <c r="T314" s="373">
        <f t="shared" si="158"/>
        <v>288</v>
      </c>
      <c r="U314" s="374"/>
      <c r="V314" s="568">
        <f t="shared" si="153"/>
        <v>7.4867153383408763E-4</v>
      </c>
      <c r="W314" s="328">
        <f t="shared" si="134"/>
        <v>0.99923238319181718</v>
      </c>
      <c r="X314" s="328">
        <f t="shared" si="135"/>
        <v>0.99925132846616593</v>
      </c>
      <c r="Y314" s="328">
        <f t="shared" si="136"/>
        <v>1.8945094888200842E-5</v>
      </c>
      <c r="Z314" s="374"/>
      <c r="AA314" s="571">
        <f t="shared" si="137"/>
        <v>1.1614442764148724E-2</v>
      </c>
      <c r="AB314" s="327">
        <f t="shared" si="156"/>
        <v>0.98824642301161958</v>
      </c>
      <c r="AC314" s="327">
        <f t="shared" si="138"/>
        <v>0.98838555723585131</v>
      </c>
      <c r="AD314" s="327">
        <f t="shared" si="139"/>
        <v>1.3912454551445741E-4</v>
      </c>
      <c r="AE314" s="383"/>
      <c r="AF314" s="574">
        <f t="shared" si="128"/>
        <v>4.7866986538373735E-2</v>
      </c>
      <c r="AG314" s="376">
        <f t="shared" si="154"/>
        <v>0.95190619021167322</v>
      </c>
      <c r="AH314" s="376">
        <f t="shared" si="140"/>
        <v>0.95213301346162627</v>
      </c>
      <c r="AI314" s="553">
        <f t="shared" si="141"/>
        <v>2.2679752750454085E-4</v>
      </c>
      <c r="AJ314" s="374"/>
      <c r="AK314" s="577">
        <f t="shared" si="129"/>
        <v>5.7972838050962115E-2</v>
      </c>
      <c r="AL314" s="376">
        <f t="shared" si="142"/>
        <v>0.94182424660405517</v>
      </c>
      <c r="AM314" s="376">
        <f t="shared" si="143"/>
        <v>0.94202716194903791</v>
      </c>
      <c r="AN314" s="553">
        <f t="shared" si="144"/>
        <v>2.0289475905654886E-4</v>
      </c>
      <c r="AO314" s="554"/>
      <c r="AP314" s="580">
        <f t="shared" si="130"/>
        <v>4.022554336499562E-3</v>
      </c>
      <c r="AQ314" s="376">
        <f t="shared" si="145"/>
        <v>0.99590568883095931</v>
      </c>
      <c r="AR314" s="379">
        <f t="shared" si="146"/>
        <v>0.99597744566350044</v>
      </c>
      <c r="AS314" s="376">
        <f t="shared" si="147"/>
        <v>7.1754258081146993E-5</v>
      </c>
      <c r="AT314" s="384"/>
      <c r="AU314" s="583">
        <f t="shared" si="131"/>
        <v>0.28272644376101269</v>
      </c>
      <c r="AV314" s="381">
        <f t="shared" si="157"/>
        <v>1.2632750307458684</v>
      </c>
      <c r="AW314" s="376">
        <f t="shared" si="132"/>
        <v>1.2632754786465294</v>
      </c>
      <c r="AX314" s="503">
        <f t="shared" si="155"/>
        <v>4.4790056075161289E-7</v>
      </c>
      <c r="AY314" s="376">
        <f t="shared" si="133"/>
        <v>2.8860036053661284</v>
      </c>
      <c r="AZ314" s="381">
        <f t="shared" si="148"/>
        <v>1.8186293606337566E-3</v>
      </c>
      <c r="BA314" s="586">
        <f t="shared" si="149"/>
        <v>0.15401742306588911</v>
      </c>
      <c r="BB314" s="376">
        <f t="shared" si="150"/>
        <v>0.84574663757977375</v>
      </c>
      <c r="BC314" s="376">
        <f t="shared" si="151"/>
        <v>0.84598257693411094</v>
      </c>
      <c r="BD314" s="376">
        <f t="shared" si="152"/>
        <v>2.3591152283664041E-4</v>
      </c>
      <c r="BE314" s="283"/>
      <c r="BF314" s="283"/>
      <c r="BG314" s="283"/>
      <c r="BH314" s="283"/>
      <c r="BI314" s="283"/>
      <c r="BJ314" s="283"/>
      <c r="BK314" s="283"/>
      <c r="BL314" s="283"/>
      <c r="BM314" s="283"/>
      <c r="BN314" s="283"/>
      <c r="BO314" s="283"/>
      <c r="BP314" s="283"/>
      <c r="BQ314" s="283"/>
      <c r="BR314" s="283"/>
      <c r="BS314" s="283"/>
      <c r="BT314" s="283"/>
      <c r="BU314" s="283"/>
      <c r="BV314" s="283"/>
      <c r="BW314" s="283"/>
      <c r="BX314" s="283"/>
      <c r="BY314" s="283"/>
      <c r="BZ314" s="283"/>
      <c r="CA314" s="283"/>
      <c r="CB314" s="283"/>
      <c r="CC314" s="283"/>
      <c r="CD314" s="283"/>
      <c r="CE314" s="283"/>
      <c r="CF314" s="283"/>
      <c r="CG314" s="283"/>
      <c r="CH314" s="283"/>
      <c r="CI314" s="283"/>
      <c r="CJ314" s="283"/>
      <c r="CK314" s="283"/>
      <c r="CL314" s="283"/>
    </row>
    <row r="315" spans="1:90" ht="14.25" customHeight="1" x14ac:dyDescent="0.2">
      <c r="A315" s="28"/>
      <c r="B315" s="28"/>
      <c r="C315" s="28"/>
      <c r="D315" s="28"/>
      <c r="E315" s="282"/>
      <c r="F315" s="282"/>
      <c r="G315" s="282"/>
      <c r="H315" s="282"/>
      <c r="I315" s="282"/>
      <c r="J315" s="282"/>
      <c r="K315" s="282"/>
      <c r="L315" s="282"/>
      <c r="M315" s="282"/>
      <c r="N315" s="282"/>
      <c r="O315" s="282"/>
      <c r="P315" s="282"/>
      <c r="Q315" s="282"/>
      <c r="R315" s="282"/>
      <c r="S315" s="374"/>
      <c r="T315" s="373">
        <f t="shared" si="158"/>
        <v>289</v>
      </c>
      <c r="U315" s="374"/>
      <c r="V315" s="568">
        <f t="shared" si="153"/>
        <v>7.3019384098737313E-4</v>
      </c>
      <c r="W315" s="328">
        <f t="shared" si="134"/>
        <v>0.99925132846616593</v>
      </c>
      <c r="X315" s="328">
        <f t="shared" si="135"/>
        <v>0.99926980615901262</v>
      </c>
      <c r="Y315" s="328">
        <f t="shared" si="136"/>
        <v>1.8477522135129654E-5</v>
      </c>
      <c r="Z315" s="374"/>
      <c r="AA315" s="571">
        <f t="shared" si="137"/>
        <v>1.1477064930437073E-2</v>
      </c>
      <c r="AB315" s="327">
        <f t="shared" si="156"/>
        <v>0.98838555723585131</v>
      </c>
      <c r="AC315" s="327">
        <f t="shared" si="138"/>
        <v>0.9885229350695629</v>
      </c>
      <c r="AD315" s="327">
        <f t="shared" si="139"/>
        <v>1.3736839780909005E-4</v>
      </c>
      <c r="AE315" s="383"/>
      <c r="AF315" s="574">
        <f t="shared" si="128"/>
        <v>4.7641802288661661E-2</v>
      </c>
      <c r="AG315" s="376">
        <f t="shared" si="154"/>
        <v>0.95213301346162627</v>
      </c>
      <c r="AH315" s="376">
        <f t="shared" si="140"/>
        <v>0.95235819771133834</v>
      </c>
      <c r="AI315" s="553">
        <f t="shared" si="141"/>
        <v>2.2515889764196384E-4</v>
      </c>
      <c r="AJ315" s="374"/>
      <c r="AK315" s="577">
        <f t="shared" si="129"/>
        <v>5.7771286954820138E-2</v>
      </c>
      <c r="AL315" s="376">
        <f t="shared" si="142"/>
        <v>0.94202716194903791</v>
      </c>
      <c r="AM315" s="376">
        <f t="shared" si="143"/>
        <v>0.94222871304517986</v>
      </c>
      <c r="AN315" s="553">
        <f t="shared" si="144"/>
        <v>2.0153078608431407E-4</v>
      </c>
      <c r="AO315" s="554"/>
      <c r="AP315" s="580">
        <f t="shared" si="130"/>
        <v>3.9520638989796186E-3</v>
      </c>
      <c r="AQ315" s="376">
        <f t="shared" si="145"/>
        <v>0.99597744566350044</v>
      </c>
      <c r="AR315" s="379">
        <f t="shared" si="146"/>
        <v>0.99604793610102038</v>
      </c>
      <c r="AS315" s="376">
        <f t="shared" si="147"/>
        <v>7.0487953127473801E-5</v>
      </c>
      <c r="AT315" s="384"/>
      <c r="AU315" s="583">
        <f t="shared" si="131"/>
        <v>0.28272632215491489</v>
      </c>
      <c r="AV315" s="381">
        <f t="shared" si="157"/>
        <v>1.2632754786465294</v>
      </c>
      <c r="AW315" s="376">
        <f t="shared" si="132"/>
        <v>1.263275908765914</v>
      </c>
      <c r="AX315" s="503">
        <f t="shared" si="155"/>
        <v>4.3011929207192878E-7</v>
      </c>
      <c r="AY315" s="376">
        <f t="shared" si="133"/>
        <v>2.8887300057385463</v>
      </c>
      <c r="AZ315" s="381">
        <f t="shared" si="148"/>
        <v>1.8098011142997307E-3</v>
      </c>
      <c r="BA315" s="586">
        <f t="shared" si="149"/>
        <v>0.15378265895338122</v>
      </c>
      <c r="BB315" s="376">
        <f t="shared" si="150"/>
        <v>0.84598257693411094</v>
      </c>
      <c r="BC315" s="376">
        <f t="shared" si="151"/>
        <v>0.84621734104661872</v>
      </c>
      <c r="BD315" s="376">
        <f t="shared" si="152"/>
        <v>2.3473655756989231E-4</v>
      </c>
      <c r="BE315" s="283"/>
      <c r="BF315" s="283"/>
      <c r="BG315" s="283"/>
      <c r="BH315" s="283"/>
      <c r="BI315" s="283"/>
      <c r="BJ315" s="283"/>
      <c r="BK315" s="283"/>
      <c r="BL315" s="283"/>
      <c r="BM315" s="283"/>
      <c r="BN315" s="283"/>
      <c r="BO315" s="283"/>
      <c r="BP315" s="283"/>
      <c r="BQ315" s="283"/>
      <c r="BR315" s="283"/>
      <c r="BS315" s="283"/>
      <c r="BT315" s="283"/>
      <c r="BU315" s="283"/>
      <c r="BV315" s="283"/>
      <c r="BW315" s="283"/>
      <c r="BX315" s="283"/>
      <c r="BY315" s="283"/>
      <c r="BZ315" s="283"/>
      <c r="CA315" s="283"/>
      <c r="CB315" s="283"/>
      <c r="CC315" s="283"/>
      <c r="CD315" s="283"/>
      <c r="CE315" s="283"/>
      <c r="CF315" s="283"/>
      <c r="CG315" s="283"/>
      <c r="CH315" s="283"/>
      <c r="CI315" s="283"/>
      <c r="CJ315" s="283"/>
      <c r="CK315" s="283"/>
      <c r="CL315" s="283"/>
    </row>
    <row r="316" spans="1:90" ht="14.25" customHeight="1" x14ac:dyDescent="0.2">
      <c r="A316" s="28"/>
      <c r="B316" s="28"/>
      <c r="C316" s="28"/>
      <c r="D316" s="28"/>
      <c r="E316" s="282"/>
      <c r="F316" s="282"/>
      <c r="G316" s="282"/>
      <c r="H316" s="282"/>
      <c r="I316" s="282"/>
      <c r="J316" s="282"/>
      <c r="K316" s="282"/>
      <c r="L316" s="282"/>
      <c r="M316" s="282"/>
      <c r="N316" s="282"/>
      <c r="O316" s="282"/>
      <c r="P316" s="282"/>
      <c r="Q316" s="282"/>
      <c r="R316" s="282"/>
      <c r="S316" s="374"/>
      <c r="T316" s="373">
        <f t="shared" si="158"/>
        <v>290</v>
      </c>
      <c r="U316" s="374"/>
      <c r="V316" s="568">
        <f t="shared" si="153"/>
        <v>7.1217218943180939E-4</v>
      </c>
      <c r="W316" s="328">
        <f t="shared" si="134"/>
        <v>0.99926980615901262</v>
      </c>
      <c r="X316" s="328">
        <f t="shared" si="135"/>
        <v>0.99928782781056824</v>
      </c>
      <c r="Y316" s="328">
        <f t="shared" si="136"/>
        <v>1.8021489166630822E-5</v>
      </c>
      <c r="Z316" s="374"/>
      <c r="AA316" s="571">
        <f t="shared" si="137"/>
        <v>1.1341419649380529E-2</v>
      </c>
      <c r="AB316" s="327">
        <f t="shared" si="156"/>
        <v>0.9885229350695629</v>
      </c>
      <c r="AC316" s="327">
        <f t="shared" si="138"/>
        <v>0.98865858035061949</v>
      </c>
      <c r="AD316" s="327">
        <f t="shared" si="139"/>
        <v>1.3563608165145791E-4</v>
      </c>
      <c r="AE316" s="383"/>
      <c r="AF316" s="574">
        <f t="shared" si="128"/>
        <v>4.7418240730929706E-2</v>
      </c>
      <c r="AG316" s="376">
        <f t="shared" si="154"/>
        <v>0.95235819771133834</v>
      </c>
      <c r="AH316" s="376">
        <f t="shared" si="140"/>
        <v>0.95258175926907029</v>
      </c>
      <c r="AI316" s="553">
        <f t="shared" si="141"/>
        <v>2.2353656970908187E-4</v>
      </c>
      <c r="AJ316" s="374"/>
      <c r="AK316" s="577">
        <f t="shared" si="129"/>
        <v>5.7571086560018012E-2</v>
      </c>
      <c r="AL316" s="376">
        <f t="shared" si="142"/>
        <v>0.94222871304517986</v>
      </c>
      <c r="AM316" s="376">
        <f t="shared" si="143"/>
        <v>0.94242891343998203</v>
      </c>
      <c r="AN316" s="553">
        <f t="shared" si="144"/>
        <v>2.0018035604041362E-4</v>
      </c>
      <c r="AO316" s="554"/>
      <c r="AP316" s="580">
        <f t="shared" si="130"/>
        <v>3.8828173007351419E-3</v>
      </c>
      <c r="AQ316" s="376">
        <f t="shared" si="145"/>
        <v>0.99604793610102038</v>
      </c>
      <c r="AR316" s="379">
        <f t="shared" si="146"/>
        <v>0.99611718269926486</v>
      </c>
      <c r="AS316" s="376">
        <f t="shared" si="147"/>
        <v>6.924420075415938E-5</v>
      </c>
      <c r="AT316" s="384"/>
      <c r="AU316" s="583">
        <f t="shared" si="131"/>
        <v>0.28272620537652515</v>
      </c>
      <c r="AV316" s="381">
        <f t="shared" si="157"/>
        <v>1.263275908765914</v>
      </c>
      <c r="AW316" s="376">
        <f t="shared" si="132"/>
        <v>1.2632763218099241</v>
      </c>
      <c r="AX316" s="503">
        <f t="shared" si="155"/>
        <v>4.1304392484065033E-7</v>
      </c>
      <c r="AY316" s="376">
        <f t="shared" si="133"/>
        <v>2.8914469884743368</v>
      </c>
      <c r="AZ316" s="381">
        <f t="shared" si="148"/>
        <v>1.80104599659256E-3</v>
      </c>
      <c r="BA316" s="586">
        <f t="shared" si="149"/>
        <v>0.15354906020240958</v>
      </c>
      <c r="BB316" s="376">
        <f t="shared" si="150"/>
        <v>0.84621734104661872</v>
      </c>
      <c r="BC316" s="376">
        <f t="shared" si="151"/>
        <v>0.84645093979759045</v>
      </c>
      <c r="BD316" s="376">
        <f t="shared" si="152"/>
        <v>2.3357146890790048E-4</v>
      </c>
      <c r="BE316" s="283"/>
      <c r="BF316" s="283"/>
      <c r="BG316" s="283"/>
      <c r="BH316" s="283"/>
      <c r="BI316" s="283"/>
      <c r="BJ316" s="283"/>
      <c r="BK316" s="283"/>
      <c r="BL316" s="283"/>
      <c r="BM316" s="283"/>
      <c r="BN316" s="283"/>
      <c r="BO316" s="283"/>
      <c r="BP316" s="283"/>
      <c r="BQ316" s="283"/>
      <c r="BR316" s="283"/>
      <c r="BS316" s="283"/>
      <c r="BT316" s="283"/>
      <c r="BU316" s="283"/>
      <c r="BV316" s="283"/>
      <c r="BW316" s="283"/>
      <c r="BX316" s="283"/>
      <c r="BY316" s="283"/>
      <c r="BZ316" s="283"/>
      <c r="CA316" s="283"/>
      <c r="CB316" s="283"/>
      <c r="CC316" s="283"/>
      <c r="CD316" s="283"/>
      <c r="CE316" s="283"/>
      <c r="CF316" s="283"/>
      <c r="CG316" s="283"/>
      <c r="CH316" s="283"/>
      <c r="CI316" s="283"/>
      <c r="CJ316" s="283"/>
      <c r="CK316" s="283"/>
      <c r="CL316" s="283"/>
    </row>
    <row r="317" spans="1:90" ht="14.25" customHeight="1" x14ac:dyDescent="0.2">
      <c r="A317" s="28"/>
      <c r="B317" s="28"/>
      <c r="C317" s="28"/>
      <c r="D317" s="28"/>
      <c r="E317" s="282"/>
      <c r="F317" s="282"/>
      <c r="G317" s="282"/>
      <c r="H317" s="282"/>
      <c r="I317" s="282"/>
      <c r="J317" s="282"/>
      <c r="K317" s="282"/>
      <c r="L317" s="282"/>
      <c r="M317" s="282"/>
      <c r="N317" s="282"/>
      <c r="O317" s="282"/>
      <c r="P317" s="282"/>
      <c r="Q317" s="282"/>
      <c r="R317" s="282"/>
      <c r="S317" s="374"/>
      <c r="T317" s="373">
        <f t="shared" si="158"/>
        <v>291</v>
      </c>
      <c r="U317" s="374"/>
      <c r="V317" s="568">
        <f t="shared" si="153"/>
        <v>6.9459532377631706E-4</v>
      </c>
      <c r="W317" s="328">
        <f t="shared" si="134"/>
        <v>0.99928782781056824</v>
      </c>
      <c r="X317" s="328">
        <f t="shared" si="135"/>
        <v>0.99930540467622364</v>
      </c>
      <c r="Y317" s="328">
        <f t="shared" si="136"/>
        <v>1.7576711183187044E-5</v>
      </c>
      <c r="Z317" s="374"/>
      <c r="AA317" s="571">
        <f t="shared" si="137"/>
        <v>1.1207483434001263E-2</v>
      </c>
      <c r="AB317" s="327">
        <f t="shared" si="156"/>
        <v>0.98865858035061949</v>
      </c>
      <c r="AC317" s="327">
        <f t="shared" si="138"/>
        <v>0.98879251656599876</v>
      </c>
      <c r="AD317" s="327">
        <f t="shared" si="139"/>
        <v>1.3392724632477204E-4</v>
      </c>
      <c r="AE317" s="383"/>
      <c r="AF317" s="574">
        <f t="shared" si="128"/>
        <v>4.7196285765680357E-2</v>
      </c>
      <c r="AG317" s="376">
        <f t="shared" si="154"/>
        <v>0.95258175926907029</v>
      </c>
      <c r="AH317" s="376">
        <f t="shared" si="140"/>
        <v>0.95280371423431964</v>
      </c>
      <c r="AI317" s="553">
        <f t="shared" si="141"/>
        <v>2.2193033506834325E-4</v>
      </c>
      <c r="AJ317" s="374"/>
      <c r="AK317" s="577">
        <f t="shared" si="129"/>
        <v>5.737222349668377E-2</v>
      </c>
      <c r="AL317" s="376">
        <f t="shared" si="142"/>
        <v>0.94242891343998203</v>
      </c>
      <c r="AM317" s="376">
        <f t="shared" si="143"/>
        <v>0.94262777650331619</v>
      </c>
      <c r="AN317" s="553">
        <f t="shared" si="144"/>
        <v>1.9884329138586398E-4</v>
      </c>
      <c r="AO317" s="554"/>
      <c r="AP317" s="580">
        <f t="shared" si="130"/>
        <v>3.8147923927531746E-3</v>
      </c>
      <c r="AQ317" s="376">
        <f t="shared" si="145"/>
        <v>0.99611718269926486</v>
      </c>
      <c r="AR317" s="379">
        <f t="shared" si="146"/>
        <v>0.99618520760724683</v>
      </c>
      <c r="AS317" s="376">
        <f t="shared" si="147"/>
        <v>6.8022594340355624E-5</v>
      </c>
      <c r="AT317" s="384"/>
      <c r="AU317" s="583">
        <f t="shared" si="131"/>
        <v>0.28272609323418385</v>
      </c>
      <c r="AV317" s="381">
        <f t="shared" si="157"/>
        <v>1.2632763218099241</v>
      </c>
      <c r="AW317" s="376">
        <f t="shared" si="132"/>
        <v>1.2632767184564373</v>
      </c>
      <c r="AX317" s="503">
        <f t="shared" si="155"/>
        <v>3.9664643447512304E-7</v>
      </c>
      <c r="AY317" s="376">
        <f t="shared" si="133"/>
        <v>2.8941546184111226</v>
      </c>
      <c r="AZ317" s="381">
        <f t="shared" si="148"/>
        <v>1.7923631527065526E-3</v>
      </c>
      <c r="BA317" s="586">
        <f t="shared" si="149"/>
        <v>0.15331661704934765</v>
      </c>
      <c r="BB317" s="376">
        <f t="shared" si="150"/>
        <v>0.84645093979759045</v>
      </c>
      <c r="BC317" s="376">
        <f t="shared" si="151"/>
        <v>0.84668338295065237</v>
      </c>
      <c r="BD317" s="376">
        <f t="shared" si="152"/>
        <v>2.3241614024527291E-4</v>
      </c>
      <c r="BE317" s="283"/>
      <c r="BF317" s="283"/>
      <c r="BG317" s="283"/>
      <c r="BH317" s="283"/>
      <c r="BI317" s="283"/>
      <c r="BJ317" s="283"/>
      <c r="BK317" s="283"/>
      <c r="BL317" s="283"/>
      <c r="BM317" s="283"/>
      <c r="BN317" s="283"/>
      <c r="BO317" s="283"/>
      <c r="BP317" s="283"/>
      <c r="BQ317" s="283"/>
      <c r="BR317" s="283"/>
      <c r="BS317" s="283"/>
      <c r="BT317" s="283"/>
      <c r="BU317" s="283"/>
      <c r="BV317" s="283"/>
      <c r="BW317" s="283"/>
      <c r="BX317" s="283"/>
      <c r="BY317" s="283"/>
      <c r="BZ317" s="283"/>
      <c r="CA317" s="283"/>
      <c r="CB317" s="283"/>
      <c r="CC317" s="283"/>
      <c r="CD317" s="283"/>
      <c r="CE317" s="283"/>
      <c r="CF317" s="283"/>
      <c r="CG317" s="283"/>
      <c r="CH317" s="283"/>
      <c r="CI317" s="283"/>
      <c r="CJ317" s="283"/>
      <c r="CK317" s="283"/>
      <c r="CL317" s="283"/>
    </row>
    <row r="318" spans="1:90" ht="14.25" customHeight="1" x14ac:dyDescent="0.2">
      <c r="A318" s="28"/>
      <c r="B318" s="28"/>
      <c r="C318" s="28"/>
      <c r="D318" s="28"/>
      <c r="E318" s="282"/>
      <c r="F318" s="282"/>
      <c r="G318" s="282"/>
      <c r="H318" s="282"/>
      <c r="I318" s="282"/>
      <c r="J318" s="282"/>
      <c r="K318" s="282"/>
      <c r="L318" s="282"/>
      <c r="M318" s="282"/>
      <c r="N318" s="282"/>
      <c r="O318" s="282"/>
      <c r="P318" s="282"/>
      <c r="Q318" s="282"/>
      <c r="R318" s="282"/>
      <c r="S318" s="374"/>
      <c r="T318" s="373">
        <f t="shared" si="158"/>
        <v>292</v>
      </c>
      <c r="U318" s="374"/>
      <c r="V318" s="568">
        <f t="shared" si="153"/>
        <v>6.7745226642007561E-4</v>
      </c>
      <c r="W318" s="328">
        <f t="shared" si="134"/>
        <v>0.99930540467622364</v>
      </c>
      <c r="X318" s="328">
        <f t="shared" si="135"/>
        <v>0.99932254773357987</v>
      </c>
      <c r="Y318" s="328">
        <f t="shared" si="136"/>
        <v>1.7142910414880141E-5</v>
      </c>
      <c r="Z318" s="374"/>
      <c r="AA318" s="571">
        <f t="shared" si="137"/>
        <v>1.107523314255739E-2</v>
      </c>
      <c r="AB318" s="327">
        <f t="shared" si="156"/>
        <v>0.98879251656599876</v>
      </c>
      <c r="AC318" s="327">
        <f t="shared" si="138"/>
        <v>0.98892476685744257</v>
      </c>
      <c r="AD318" s="327">
        <f t="shared" si="139"/>
        <v>1.3224154675950395E-4</v>
      </c>
      <c r="AE318" s="383"/>
      <c r="AF318" s="574">
        <f t="shared" si="128"/>
        <v>4.6975921498895179E-2</v>
      </c>
      <c r="AG318" s="376">
        <f t="shared" si="154"/>
        <v>0.95280371423431964</v>
      </c>
      <c r="AH318" s="376">
        <f t="shared" si="140"/>
        <v>0.95302407850110482</v>
      </c>
      <c r="AI318" s="553">
        <f t="shared" si="141"/>
        <v>2.2033998836357149E-4</v>
      </c>
      <c r="AJ318" s="374"/>
      <c r="AK318" s="577">
        <f t="shared" si="129"/>
        <v>5.7174684569684914E-2</v>
      </c>
      <c r="AL318" s="376">
        <f t="shared" si="142"/>
        <v>0.94262777650331619</v>
      </c>
      <c r="AM318" s="376">
        <f t="shared" si="143"/>
        <v>0.94282531543031511</v>
      </c>
      <c r="AN318" s="553">
        <f t="shared" si="144"/>
        <v>1.9751941746970481E-4</v>
      </c>
      <c r="AO318" s="554"/>
      <c r="AP318" s="580">
        <f t="shared" si="130"/>
        <v>3.7479674252933748E-3</v>
      </c>
      <c r="AQ318" s="376">
        <f t="shared" si="145"/>
        <v>0.99618520760724683</v>
      </c>
      <c r="AR318" s="379">
        <f t="shared" si="146"/>
        <v>0.99625203257470663</v>
      </c>
      <c r="AS318" s="376">
        <f t="shared" si="147"/>
        <v>6.6822734721361243E-5</v>
      </c>
      <c r="AT318" s="384"/>
      <c r="AU318" s="583">
        <f t="shared" si="131"/>
        <v>0.28272598554384021</v>
      </c>
      <c r="AV318" s="381">
        <f t="shared" si="157"/>
        <v>1.2632767184564373</v>
      </c>
      <c r="AW318" s="376">
        <f t="shared" si="132"/>
        <v>1.2632770993564204</v>
      </c>
      <c r="AX318" s="503">
        <f t="shared" si="155"/>
        <v>3.8089991061251993E-7</v>
      </c>
      <c r="AY318" s="376">
        <f t="shared" si="133"/>
        <v>2.8968529597192396</v>
      </c>
      <c r="AZ318" s="381">
        <f t="shared" si="148"/>
        <v>1.7837517407190934E-3</v>
      </c>
      <c r="BA318" s="586">
        <f t="shared" si="149"/>
        <v>0.15308531984546447</v>
      </c>
      <c r="BB318" s="376">
        <f t="shared" si="150"/>
        <v>0.84668338295065237</v>
      </c>
      <c r="BC318" s="376">
        <f t="shared" si="151"/>
        <v>0.84691468015453553</v>
      </c>
      <c r="BD318" s="376">
        <f t="shared" si="152"/>
        <v>2.3127045674709024E-4</v>
      </c>
      <c r="BE318" s="283"/>
      <c r="BF318" s="283"/>
      <c r="BG318" s="283"/>
      <c r="BH318" s="283"/>
      <c r="BI318" s="283"/>
      <c r="BJ318" s="283"/>
      <c r="BK318" s="283"/>
      <c r="BL318" s="283"/>
      <c r="BM318" s="283"/>
      <c r="BN318" s="283"/>
      <c r="BO318" s="283"/>
      <c r="BP318" s="283"/>
      <c r="BQ318" s="283"/>
      <c r="BR318" s="283"/>
      <c r="BS318" s="283"/>
      <c r="BT318" s="283"/>
      <c r="BU318" s="283"/>
      <c r="BV318" s="283"/>
      <c r="BW318" s="283"/>
      <c r="BX318" s="283"/>
      <c r="BY318" s="283"/>
      <c r="BZ318" s="283"/>
      <c r="CA318" s="283"/>
      <c r="CB318" s="283"/>
      <c r="CC318" s="283"/>
      <c r="CD318" s="283"/>
      <c r="CE318" s="283"/>
      <c r="CF318" s="283"/>
      <c r="CG318" s="283"/>
      <c r="CH318" s="283"/>
      <c r="CI318" s="283"/>
      <c r="CJ318" s="283"/>
      <c r="CK318" s="283"/>
      <c r="CL318" s="283"/>
    </row>
    <row r="319" spans="1:90" ht="14.25" customHeight="1" x14ac:dyDescent="0.2">
      <c r="A319" s="28"/>
      <c r="B319" s="28"/>
      <c r="C319" s="28"/>
      <c r="D319" s="28"/>
      <c r="E319" s="282"/>
      <c r="F319" s="282"/>
      <c r="G319" s="282"/>
      <c r="H319" s="282"/>
      <c r="I319" s="282"/>
      <c r="J319" s="282"/>
      <c r="K319" s="282"/>
      <c r="L319" s="282"/>
      <c r="M319" s="282"/>
      <c r="N319" s="282"/>
      <c r="O319" s="282"/>
      <c r="P319" s="282"/>
      <c r="Q319" s="282"/>
      <c r="R319" s="282"/>
      <c r="S319" s="374"/>
      <c r="T319" s="373">
        <f t="shared" si="158"/>
        <v>293</v>
      </c>
      <c r="U319" s="374"/>
      <c r="V319" s="568">
        <f t="shared" si="153"/>
        <v>6.6073231069648224E-4</v>
      </c>
      <c r="W319" s="328">
        <f t="shared" si="134"/>
        <v>0.99932254773357987</v>
      </c>
      <c r="X319" s="328">
        <f t="shared" si="135"/>
        <v>0.99933926768930348</v>
      </c>
      <c r="Y319" s="328">
        <f t="shared" si="136"/>
        <v>1.6719815945975824E-5</v>
      </c>
      <c r="Z319" s="374"/>
      <c r="AA319" s="571">
        <f t="shared" si="137"/>
        <v>1.0944645972992276E-2</v>
      </c>
      <c r="AB319" s="327">
        <f t="shared" si="156"/>
        <v>0.98892476685744257</v>
      </c>
      <c r="AC319" s="327">
        <f t="shared" si="138"/>
        <v>0.98905535402700773</v>
      </c>
      <c r="AD319" s="327">
        <f t="shared" si="139"/>
        <v>1.3057864343191117E-4</v>
      </c>
      <c r="AE319" s="383"/>
      <c r="AF319" s="574">
        <f t="shared" si="128"/>
        <v>4.675713223881317E-2</v>
      </c>
      <c r="AG319" s="376">
        <f t="shared" si="154"/>
        <v>0.95302407850110482</v>
      </c>
      <c r="AH319" s="376">
        <f t="shared" si="140"/>
        <v>0.95324286776118683</v>
      </c>
      <c r="AI319" s="553">
        <f t="shared" si="141"/>
        <v>2.1876532745723765E-4</v>
      </c>
      <c r="AJ319" s="374"/>
      <c r="AK319" s="577">
        <f t="shared" si="129"/>
        <v>5.6978456755794639E-2</v>
      </c>
      <c r="AL319" s="376">
        <f t="shared" si="142"/>
        <v>0.94282531543031511</v>
      </c>
      <c r="AM319" s="376">
        <f t="shared" si="143"/>
        <v>0.9430215432442054</v>
      </c>
      <c r="AN319" s="553">
        <f t="shared" si="144"/>
        <v>1.9620856247204443E-4</v>
      </c>
      <c r="AO319" s="554"/>
      <c r="AP319" s="580">
        <f t="shared" si="130"/>
        <v>3.6823210405680928E-3</v>
      </c>
      <c r="AQ319" s="376">
        <f t="shared" si="145"/>
        <v>0.99625203257470663</v>
      </c>
      <c r="AR319" s="379">
        <f t="shared" si="146"/>
        <v>0.99631767895943191</v>
      </c>
      <c r="AS319" s="376">
        <f t="shared" si="147"/>
        <v>6.5644230048511609E-5</v>
      </c>
      <c r="AT319" s="384"/>
      <c r="AU319" s="583">
        <f t="shared" si="131"/>
        <v>0.28272588212875055</v>
      </c>
      <c r="AV319" s="381">
        <f t="shared" si="157"/>
        <v>1.2632770993564204</v>
      </c>
      <c r="AW319" s="376">
        <f t="shared" si="132"/>
        <v>1.2632774651349969</v>
      </c>
      <c r="AX319" s="503">
        <f t="shared" si="155"/>
        <v>3.6577850959229607E-7</v>
      </c>
      <c r="AY319" s="376">
        <f t="shared" si="133"/>
        <v>2.8995420759108663</v>
      </c>
      <c r="AZ319" s="381">
        <f t="shared" si="148"/>
        <v>1.7752109313531885E-3</v>
      </c>
      <c r="BA319" s="586">
        <f t="shared" si="149"/>
        <v>0.15285515905518496</v>
      </c>
      <c r="BB319" s="376">
        <f t="shared" si="150"/>
        <v>0.84691468015453553</v>
      </c>
      <c r="BC319" s="376">
        <f t="shared" si="151"/>
        <v>0.84714484094481501</v>
      </c>
      <c r="BD319" s="376">
        <f t="shared" si="152"/>
        <v>2.3013430531682033E-4</v>
      </c>
      <c r="BE319" s="283"/>
      <c r="BF319" s="283"/>
      <c r="BG319" s="283"/>
      <c r="BH319" s="283"/>
      <c r="BI319" s="283"/>
      <c r="BJ319" s="283"/>
      <c r="BK319" s="283"/>
      <c r="BL319" s="283"/>
      <c r="BM319" s="283"/>
      <c r="BN319" s="283"/>
      <c r="BO319" s="283"/>
      <c r="BP319" s="283"/>
      <c r="BQ319" s="283"/>
      <c r="BR319" s="283"/>
      <c r="BS319" s="283"/>
      <c r="BT319" s="283"/>
      <c r="BU319" s="283"/>
      <c r="BV319" s="283"/>
      <c r="BW319" s="283"/>
      <c r="BX319" s="283"/>
      <c r="BY319" s="283"/>
      <c r="BZ319" s="283"/>
      <c r="CA319" s="283"/>
      <c r="CB319" s="283"/>
      <c r="CC319" s="283"/>
      <c r="CD319" s="283"/>
      <c r="CE319" s="283"/>
      <c r="CF319" s="283"/>
      <c r="CG319" s="283"/>
      <c r="CH319" s="283"/>
      <c r="CI319" s="283"/>
      <c r="CJ319" s="283"/>
      <c r="CK319" s="283"/>
      <c r="CL319" s="283"/>
    </row>
    <row r="320" spans="1:90" ht="14.25" customHeight="1" x14ac:dyDescent="0.2">
      <c r="A320" s="28"/>
      <c r="B320" s="28"/>
      <c r="C320" s="28"/>
      <c r="D320" s="28"/>
      <c r="E320" s="282"/>
      <c r="F320" s="282"/>
      <c r="G320" s="282"/>
      <c r="H320" s="282"/>
      <c r="I320" s="282"/>
      <c r="J320" s="282"/>
      <c r="K320" s="282"/>
      <c r="L320" s="282"/>
      <c r="M320" s="282"/>
      <c r="N320" s="282"/>
      <c r="O320" s="282"/>
      <c r="P320" s="282"/>
      <c r="Q320" s="282"/>
      <c r="R320" s="282"/>
      <c r="S320" s="374"/>
      <c r="T320" s="373">
        <f t="shared" si="158"/>
        <v>294</v>
      </c>
      <c r="U320" s="374"/>
      <c r="V320" s="568">
        <f t="shared" si="153"/>
        <v>6.4442501418632118E-4</v>
      </c>
      <c r="W320" s="328">
        <f t="shared" si="134"/>
        <v>0.99933926768930348</v>
      </c>
      <c r="X320" s="328">
        <f t="shared" si="135"/>
        <v>0.99935557498581373</v>
      </c>
      <c r="Y320" s="328">
        <f t="shared" si="136"/>
        <v>1.6307163547057968E-5</v>
      </c>
      <c r="Z320" s="374"/>
      <c r="AA320" s="571">
        <f t="shared" si="137"/>
        <v>1.0815699457482172E-2</v>
      </c>
      <c r="AB320" s="327">
        <f t="shared" si="156"/>
        <v>0.98905535402700773</v>
      </c>
      <c r="AC320" s="327">
        <f t="shared" si="138"/>
        <v>0.98918430054251782</v>
      </c>
      <c r="AD320" s="327">
        <f t="shared" si="139"/>
        <v>1.289382022654495E-4</v>
      </c>
      <c r="AE320" s="383"/>
      <c r="AF320" s="574">
        <f t="shared" si="128"/>
        <v>4.6539902492768515E-2</v>
      </c>
      <c r="AG320" s="376">
        <f t="shared" si="154"/>
        <v>0.95324286776118683</v>
      </c>
      <c r="AH320" s="376">
        <f t="shared" si="140"/>
        <v>0.95346009750723149</v>
      </c>
      <c r="AI320" s="553">
        <f t="shared" si="141"/>
        <v>2.1720615337172955E-4</v>
      </c>
      <c r="AJ320" s="374"/>
      <c r="AK320" s="577">
        <f t="shared" si="129"/>
        <v>5.6783527200913002E-2</v>
      </c>
      <c r="AL320" s="376">
        <f t="shared" si="142"/>
        <v>0.9430215432442054</v>
      </c>
      <c r="AM320" s="376">
        <f t="shared" si="143"/>
        <v>0.94321647279908705</v>
      </c>
      <c r="AN320" s="553">
        <f t="shared" si="144"/>
        <v>1.9491055735043616E-4</v>
      </c>
      <c r="AO320" s="554"/>
      <c r="AP320" s="580">
        <f t="shared" si="130"/>
        <v>3.6178322655600059E-3</v>
      </c>
      <c r="AQ320" s="376">
        <f t="shared" si="145"/>
        <v>0.99631767895943191</v>
      </c>
      <c r="AR320" s="379">
        <f t="shared" si="146"/>
        <v>0.99638216773443999</v>
      </c>
      <c r="AS320" s="376">
        <f t="shared" si="147"/>
        <v>6.448669565173315E-5</v>
      </c>
      <c r="AT320" s="384"/>
      <c r="AU320" s="583">
        <f t="shared" si="131"/>
        <v>0.28272578281918775</v>
      </c>
      <c r="AV320" s="381">
        <f t="shared" si="157"/>
        <v>1.2632774651349969</v>
      </c>
      <c r="AW320" s="376">
        <f t="shared" si="132"/>
        <v>1.2632778163924747</v>
      </c>
      <c r="AX320" s="503">
        <f t="shared" si="155"/>
        <v>3.5125741604247196E-7</v>
      </c>
      <c r="AY320" s="376">
        <f t="shared" si="133"/>
        <v>2.9022220298489882</v>
      </c>
      <c r="AZ320" s="381">
        <f t="shared" si="148"/>
        <v>1.7667399077452102E-3</v>
      </c>
      <c r="BA320" s="586">
        <f t="shared" si="149"/>
        <v>0.15262612525438435</v>
      </c>
      <c r="BB320" s="376">
        <f t="shared" si="150"/>
        <v>0.84714484094481501</v>
      </c>
      <c r="BC320" s="376">
        <f t="shared" si="151"/>
        <v>0.84737387474561565</v>
      </c>
      <c r="BD320" s="376">
        <f t="shared" si="152"/>
        <v>2.2900757456190135E-4</v>
      </c>
      <c r="BE320" s="283"/>
      <c r="BF320" s="283"/>
      <c r="BG320" s="283"/>
      <c r="BH320" s="283"/>
      <c r="BI320" s="283"/>
      <c r="BJ320" s="283"/>
      <c r="BK320" s="283"/>
      <c r="BL320" s="283"/>
      <c r="BM320" s="283"/>
      <c r="BN320" s="283"/>
      <c r="BO320" s="283"/>
      <c r="BP320" s="283"/>
      <c r="BQ320" s="283"/>
      <c r="BR320" s="283"/>
      <c r="BS320" s="283"/>
      <c r="BT320" s="283"/>
      <c r="BU320" s="283"/>
      <c r="BV320" s="283"/>
      <c r="BW320" s="283"/>
      <c r="BX320" s="283"/>
      <c r="BY320" s="283"/>
      <c r="BZ320" s="283"/>
      <c r="CA320" s="283"/>
      <c r="CB320" s="283"/>
      <c r="CC320" s="283"/>
      <c r="CD320" s="283"/>
      <c r="CE320" s="283"/>
      <c r="CF320" s="283"/>
      <c r="CG320" s="283"/>
      <c r="CH320" s="283"/>
      <c r="CI320" s="283"/>
      <c r="CJ320" s="283"/>
      <c r="CK320" s="283"/>
      <c r="CL320" s="283"/>
    </row>
    <row r="321" spans="1:90" ht="14.25" customHeight="1" x14ac:dyDescent="0.2">
      <c r="A321" s="28"/>
      <c r="B321" s="28"/>
      <c r="C321" s="28"/>
      <c r="D321" s="28"/>
      <c r="E321" s="282"/>
      <c r="F321" s="282"/>
      <c r="G321" s="282"/>
      <c r="H321" s="282"/>
      <c r="I321" s="282"/>
      <c r="J321" s="282"/>
      <c r="K321" s="282"/>
      <c r="L321" s="282"/>
      <c r="M321" s="282"/>
      <c r="N321" s="282"/>
      <c r="O321" s="282"/>
      <c r="P321" s="282"/>
      <c r="Q321" s="282"/>
      <c r="R321" s="282"/>
      <c r="S321" s="374"/>
      <c r="T321" s="373">
        <f t="shared" si="158"/>
        <v>295</v>
      </c>
      <c r="U321" s="374"/>
      <c r="V321" s="568">
        <f t="shared" si="153"/>
        <v>6.2852019219596978E-4</v>
      </c>
      <c r="W321" s="328">
        <f t="shared" si="134"/>
        <v>0.99935557498581373</v>
      </c>
      <c r="X321" s="328">
        <f t="shared" si="135"/>
        <v>0.99937147980780405</v>
      </c>
      <c r="Y321" s="328">
        <f t="shared" si="136"/>
        <v>1.5904695509272315E-5</v>
      </c>
      <c r="Z321" s="374"/>
      <c r="AA321" s="571">
        <f t="shared" si="137"/>
        <v>1.0688371457080308E-2</v>
      </c>
      <c r="AB321" s="327">
        <f t="shared" si="156"/>
        <v>0.98918430054251782</v>
      </c>
      <c r="AC321" s="327">
        <f t="shared" si="138"/>
        <v>0.98931162854291965</v>
      </c>
      <c r="AD321" s="327">
        <f t="shared" si="139"/>
        <v>1.2731989453607095E-4</v>
      </c>
      <c r="AE321" s="383"/>
      <c r="AF321" s="574">
        <f t="shared" si="128"/>
        <v>4.6324216964086506E-2</v>
      </c>
      <c r="AG321" s="376">
        <f t="shared" si="154"/>
        <v>0.95346009750723149</v>
      </c>
      <c r="AH321" s="376">
        <f t="shared" si="140"/>
        <v>0.95367578303591349</v>
      </c>
      <c r="AI321" s="553">
        <f t="shared" si="141"/>
        <v>2.1566227023062101E-4</v>
      </c>
      <c r="AJ321" s="374"/>
      <c r="AK321" s="577">
        <f t="shared" si="129"/>
        <v>5.6589883217341826E-2</v>
      </c>
      <c r="AL321" s="376">
        <f t="shared" si="142"/>
        <v>0.94321647279908705</v>
      </c>
      <c r="AM321" s="376">
        <f t="shared" si="143"/>
        <v>0.94341011678265818</v>
      </c>
      <c r="AN321" s="553">
        <f t="shared" si="144"/>
        <v>1.9362523578514423E-4</v>
      </c>
      <c r="AO321" s="554"/>
      <c r="AP321" s="580">
        <f t="shared" si="130"/>
        <v>3.554480504973867E-3</v>
      </c>
      <c r="AQ321" s="376">
        <f t="shared" si="145"/>
        <v>0.99638216773443999</v>
      </c>
      <c r="AR321" s="379">
        <f t="shared" si="146"/>
        <v>0.99644551949502613</v>
      </c>
      <c r="AS321" s="376">
        <f t="shared" si="147"/>
        <v>6.3349753905761474E-5</v>
      </c>
      <c r="AT321" s="384"/>
      <c r="AU321" s="583">
        <f t="shared" si="131"/>
        <v>0.28272568745216325</v>
      </c>
      <c r="AV321" s="381">
        <f t="shared" si="157"/>
        <v>1.2632778163924747</v>
      </c>
      <c r="AW321" s="376">
        <f t="shared" si="132"/>
        <v>1.2632781537053284</v>
      </c>
      <c r="AX321" s="503">
        <f t="shared" si="155"/>
        <v>3.3731279680537796E-7</v>
      </c>
      <c r="AY321" s="376">
        <f t="shared" si="133"/>
        <v>2.9048928837562218</v>
      </c>
      <c r="AZ321" s="381">
        <f t="shared" si="148"/>
        <v>1.7583378652176434E-3</v>
      </c>
      <c r="BA321" s="586">
        <f t="shared" si="149"/>
        <v>0.15239820912871255</v>
      </c>
      <c r="BB321" s="376">
        <f t="shared" si="150"/>
        <v>0.84737387474561565</v>
      </c>
      <c r="BC321" s="376">
        <f t="shared" si="151"/>
        <v>0.8476017908712874</v>
      </c>
      <c r="BD321" s="376">
        <f t="shared" si="152"/>
        <v>2.2789015476465391E-4</v>
      </c>
      <c r="BE321" s="283"/>
      <c r="BF321" s="283"/>
      <c r="BG321" s="283"/>
      <c r="BH321" s="283"/>
      <c r="BI321" s="283"/>
      <c r="BJ321" s="283"/>
      <c r="BK321" s="283"/>
      <c r="BL321" s="283"/>
      <c r="BM321" s="283"/>
      <c r="BN321" s="283"/>
      <c r="BO321" s="283"/>
      <c r="BP321" s="283"/>
      <c r="BQ321" s="283"/>
      <c r="BR321" s="283"/>
      <c r="BS321" s="283"/>
      <c r="BT321" s="283"/>
      <c r="BU321" s="283"/>
      <c r="BV321" s="283"/>
      <c r="BW321" s="283"/>
      <c r="BX321" s="283"/>
      <c r="BY321" s="283"/>
      <c r="BZ321" s="283"/>
      <c r="CA321" s="283"/>
      <c r="CB321" s="283"/>
      <c r="CC321" s="283"/>
      <c r="CD321" s="283"/>
      <c r="CE321" s="283"/>
      <c r="CF321" s="283"/>
      <c r="CG321" s="283"/>
      <c r="CH321" s="283"/>
      <c r="CI321" s="283"/>
      <c r="CJ321" s="283"/>
      <c r="CK321" s="283"/>
      <c r="CL321" s="283"/>
    </row>
    <row r="322" spans="1:90" ht="14.25" customHeight="1" x14ac:dyDescent="0.2">
      <c r="A322" s="28"/>
      <c r="B322" s="28"/>
      <c r="C322" s="28"/>
      <c r="D322" s="28"/>
      <c r="E322" s="282"/>
      <c r="F322" s="282"/>
      <c r="G322" s="282"/>
      <c r="H322" s="282"/>
      <c r="I322" s="282"/>
      <c r="J322" s="282"/>
      <c r="K322" s="282"/>
      <c r="L322" s="282"/>
      <c r="M322" s="282"/>
      <c r="N322" s="282"/>
      <c r="O322" s="282"/>
      <c r="P322" s="282"/>
      <c r="Q322" s="282"/>
      <c r="R322" s="282"/>
      <c r="S322" s="374"/>
      <c r="T322" s="373">
        <f t="shared" si="158"/>
        <v>296</v>
      </c>
      <c r="U322" s="374"/>
      <c r="V322" s="568">
        <f t="shared" si="153"/>
        <v>6.1300791139656547E-4</v>
      </c>
      <c r="W322" s="328">
        <f t="shared" si="134"/>
        <v>0.99937147980780405</v>
      </c>
      <c r="X322" s="328">
        <f t="shared" si="135"/>
        <v>0.99938699208860349</v>
      </c>
      <c r="Y322" s="328">
        <f t="shared" si="136"/>
        <v>1.5512160484676407E-5</v>
      </c>
      <c r="Z322" s="374"/>
      <c r="AA322" s="571">
        <f t="shared" si="137"/>
        <v>1.0562640156455652E-2</v>
      </c>
      <c r="AB322" s="327">
        <f t="shared" si="156"/>
        <v>0.98931162854291965</v>
      </c>
      <c r="AC322" s="327">
        <f t="shared" si="138"/>
        <v>0.98943735984354431</v>
      </c>
      <c r="AD322" s="327">
        <f t="shared" si="139"/>
        <v>1.2572339677596744E-4</v>
      </c>
      <c r="AE322" s="383"/>
      <c r="AF322" s="574">
        <f t="shared" si="128"/>
        <v>4.6110060549038989E-2</v>
      </c>
      <c r="AG322" s="376">
        <f t="shared" si="154"/>
        <v>0.95367578303591349</v>
      </c>
      <c r="AH322" s="376">
        <f t="shared" si="140"/>
        <v>0.95388993945096101</v>
      </c>
      <c r="AI322" s="553">
        <f t="shared" si="141"/>
        <v>2.1413348519938591E-4</v>
      </c>
      <c r="AJ322" s="374"/>
      <c r="AK322" s="577">
        <f t="shared" si="129"/>
        <v>5.6397512281111666E-2</v>
      </c>
      <c r="AL322" s="376">
        <f t="shared" si="142"/>
        <v>0.94341011678265818</v>
      </c>
      <c r="AM322" s="376">
        <f t="shared" si="143"/>
        <v>0.94360248771888833</v>
      </c>
      <c r="AN322" s="553">
        <f t="shared" si="144"/>
        <v>1.9235243412807357E-4</v>
      </c>
      <c r="AO322" s="554"/>
      <c r="AP322" s="580">
        <f t="shared" si="130"/>
        <v>3.4922455343208147E-3</v>
      </c>
      <c r="AQ322" s="376">
        <f t="shared" si="145"/>
        <v>0.99644551949502613</v>
      </c>
      <c r="AR322" s="379">
        <f t="shared" si="146"/>
        <v>0.99650775446567919</v>
      </c>
      <c r="AS322" s="376">
        <f t="shared" si="147"/>
        <v>6.2233034097469719E-5</v>
      </c>
      <c r="AT322" s="384"/>
      <c r="AU322" s="583">
        <f t="shared" si="131"/>
        <v>0.28272559587115892</v>
      </c>
      <c r="AV322" s="381">
        <f t="shared" si="157"/>
        <v>1.2632781537053284</v>
      </c>
      <c r="AW322" s="376">
        <f t="shared" si="132"/>
        <v>1.263278477627148</v>
      </c>
      <c r="AX322" s="503">
        <f t="shared" si="155"/>
        <v>3.2392176707585207E-7</v>
      </c>
      <c r="AY322" s="376">
        <f t="shared" si="133"/>
        <v>2.9075546992234758</v>
      </c>
      <c r="AZ322" s="381">
        <f t="shared" si="148"/>
        <v>1.7500040110567832E-3</v>
      </c>
      <c r="BA322" s="586">
        <f t="shared" si="149"/>
        <v>0.15217140147194999</v>
      </c>
      <c r="BB322" s="376">
        <f t="shared" si="150"/>
        <v>0.8476017908712874</v>
      </c>
      <c r="BC322" s="376">
        <f t="shared" si="151"/>
        <v>0.84782859852805004</v>
      </c>
      <c r="BD322" s="376">
        <f t="shared" si="152"/>
        <v>2.2678193785052869E-4</v>
      </c>
      <c r="BE322" s="283"/>
      <c r="BF322" s="283"/>
      <c r="BG322" s="283"/>
      <c r="BH322" s="283"/>
      <c r="BI322" s="283"/>
      <c r="BJ322" s="283"/>
      <c r="BK322" s="283"/>
      <c r="BL322" s="283"/>
      <c r="BM322" s="283"/>
      <c r="BN322" s="283"/>
      <c r="BO322" s="283"/>
      <c r="BP322" s="283"/>
      <c r="BQ322" s="283"/>
      <c r="BR322" s="283"/>
      <c r="BS322" s="283"/>
      <c r="BT322" s="283"/>
      <c r="BU322" s="283"/>
      <c r="BV322" s="283"/>
      <c r="BW322" s="283"/>
      <c r="BX322" s="283"/>
      <c r="BY322" s="283"/>
      <c r="BZ322" s="283"/>
      <c r="CA322" s="283"/>
      <c r="CB322" s="283"/>
      <c r="CC322" s="283"/>
      <c r="CD322" s="283"/>
      <c r="CE322" s="283"/>
      <c r="CF322" s="283"/>
      <c r="CG322" s="283"/>
      <c r="CH322" s="283"/>
      <c r="CI322" s="283"/>
      <c r="CJ322" s="283"/>
      <c r="CK322" s="283"/>
      <c r="CL322" s="283"/>
    </row>
    <row r="323" spans="1:90" ht="14.25" customHeight="1" x14ac:dyDescent="0.2">
      <c r="A323" s="28"/>
      <c r="B323" s="28"/>
      <c r="C323" s="28"/>
      <c r="D323" s="28"/>
      <c r="E323" s="282"/>
      <c r="F323" s="282"/>
      <c r="G323" s="282"/>
      <c r="H323" s="282"/>
      <c r="I323" s="282"/>
      <c r="J323" s="282"/>
      <c r="K323" s="282"/>
      <c r="L323" s="282"/>
      <c r="M323" s="282"/>
      <c r="N323" s="282"/>
      <c r="O323" s="282"/>
      <c r="P323" s="282"/>
      <c r="Q323" s="282"/>
      <c r="R323" s="282"/>
      <c r="S323" s="374"/>
      <c r="T323" s="373">
        <f t="shared" si="158"/>
        <v>297</v>
      </c>
      <c r="U323" s="374"/>
      <c r="V323" s="568">
        <f t="shared" si="153"/>
        <v>5.9787848362016251E-4</v>
      </c>
      <c r="W323" s="328">
        <f t="shared" si="134"/>
        <v>0.99938699208860349</v>
      </c>
      <c r="X323" s="328">
        <f t="shared" si="135"/>
        <v>0.99940212151637986</v>
      </c>
      <c r="Y323" s="328">
        <f t="shared" si="136"/>
        <v>1.5129313327144622E-5</v>
      </c>
      <c r="Z323" s="374"/>
      <c r="AA323" s="571">
        <f t="shared" si="137"/>
        <v>1.0438484058724197E-2</v>
      </c>
      <c r="AB323" s="327">
        <f t="shared" si="156"/>
        <v>0.98943735984354431</v>
      </c>
      <c r="AC323" s="327">
        <f t="shared" si="138"/>
        <v>0.98956151594127584</v>
      </c>
      <c r="AD323" s="327">
        <f t="shared" si="139"/>
        <v>1.2414839068219941E-4</v>
      </c>
      <c r="AE323" s="383"/>
      <c r="AF323" s="574">
        <f t="shared" si="128"/>
        <v>4.5897418333853413E-2</v>
      </c>
      <c r="AG323" s="376">
        <f t="shared" si="154"/>
        <v>0.95388993945096101</v>
      </c>
      <c r="AH323" s="376">
        <f t="shared" si="140"/>
        <v>0.95410258166614659</v>
      </c>
      <c r="AI323" s="553">
        <f t="shared" si="141"/>
        <v>2.1261960843210748E-4</v>
      </c>
      <c r="AJ323" s="374"/>
      <c r="AK323" s="577">
        <f t="shared" si="129"/>
        <v>5.6206402029360163E-2</v>
      </c>
      <c r="AL323" s="376">
        <f t="shared" si="142"/>
        <v>0.94360248771888833</v>
      </c>
      <c r="AM323" s="376">
        <f t="shared" si="143"/>
        <v>0.94379359797063989</v>
      </c>
      <c r="AN323" s="553">
        <f t="shared" si="144"/>
        <v>1.9109199135070032E-4</v>
      </c>
      <c r="AO323" s="554"/>
      <c r="AP323" s="580">
        <f t="shared" si="130"/>
        <v>3.4311074931323571E-3</v>
      </c>
      <c r="AQ323" s="376">
        <f t="shared" si="145"/>
        <v>0.99650775446567919</v>
      </c>
      <c r="AR323" s="379">
        <f t="shared" si="146"/>
        <v>0.99656889250686764</v>
      </c>
      <c r="AS323" s="376">
        <f t="shared" si="147"/>
        <v>6.1136172296527569E-5</v>
      </c>
      <c r="AT323" s="384"/>
      <c r="AU323" s="583">
        <f t="shared" si="131"/>
        <v>0.28272550792587076</v>
      </c>
      <c r="AV323" s="381">
        <f t="shared" si="157"/>
        <v>1.263278477627148</v>
      </c>
      <c r="AW323" s="376">
        <f t="shared" si="132"/>
        <v>1.263278788689546</v>
      </c>
      <c r="AX323" s="503">
        <f t="shared" si="155"/>
        <v>3.1106234965605495E-7</v>
      </c>
      <c r="AY323" s="376">
        <f t="shared" si="133"/>
        <v>2.9102075372184806</v>
      </c>
      <c r="AZ323" s="381">
        <f t="shared" si="148"/>
        <v>1.7417375642951795E-3</v>
      </c>
      <c r="BA323" s="586">
        <f t="shared" si="149"/>
        <v>0.15194569318439258</v>
      </c>
      <c r="BB323" s="376">
        <f t="shared" si="150"/>
        <v>0.84782859852805004</v>
      </c>
      <c r="BC323" s="376">
        <f t="shared" si="151"/>
        <v>0.84805430681560745</v>
      </c>
      <c r="BD323" s="376">
        <f t="shared" si="152"/>
        <v>2.2568281735824147E-4</v>
      </c>
      <c r="BE323" s="283"/>
      <c r="BF323" s="283"/>
      <c r="BG323" s="283"/>
      <c r="BH323" s="283"/>
      <c r="BI323" s="283"/>
      <c r="BJ323" s="283"/>
      <c r="BK323" s="283"/>
      <c r="BL323" s="283"/>
      <c r="BM323" s="283"/>
      <c r="BN323" s="283"/>
      <c r="BO323" s="283"/>
      <c r="BP323" s="283"/>
      <c r="BQ323" s="283"/>
      <c r="BR323" s="283"/>
      <c r="BS323" s="283"/>
      <c r="BT323" s="283"/>
      <c r="BU323" s="283"/>
      <c r="BV323" s="283"/>
      <c r="BW323" s="283"/>
      <c r="BX323" s="283"/>
      <c r="BY323" s="283"/>
      <c r="BZ323" s="283"/>
      <c r="CA323" s="283"/>
      <c r="CB323" s="283"/>
      <c r="CC323" s="283"/>
      <c r="CD323" s="283"/>
      <c r="CE323" s="283"/>
      <c r="CF323" s="283"/>
      <c r="CG323" s="283"/>
      <c r="CH323" s="283"/>
      <c r="CI323" s="283"/>
      <c r="CJ323" s="283"/>
      <c r="CK323" s="283"/>
      <c r="CL323" s="283"/>
    </row>
    <row r="324" spans="1:90" ht="14.25" customHeight="1" x14ac:dyDescent="0.2">
      <c r="A324" s="28"/>
      <c r="B324" s="28"/>
      <c r="C324" s="28"/>
      <c r="D324" s="28"/>
      <c r="E324" s="282"/>
      <c r="F324" s="282"/>
      <c r="G324" s="282"/>
      <c r="H324" s="282"/>
      <c r="I324" s="282"/>
      <c r="J324" s="282"/>
      <c r="K324" s="282"/>
      <c r="L324" s="282"/>
      <c r="M324" s="282"/>
      <c r="N324" s="282"/>
      <c r="O324" s="282"/>
      <c r="P324" s="282"/>
      <c r="Q324" s="282"/>
      <c r="R324" s="282"/>
      <c r="S324" s="374"/>
      <c r="T324" s="373">
        <f t="shared" si="158"/>
        <v>298</v>
      </c>
      <c r="U324" s="374"/>
      <c r="V324" s="568">
        <f t="shared" si="153"/>
        <v>5.8312245980900342E-4</v>
      </c>
      <c r="W324" s="328">
        <f t="shared" si="134"/>
        <v>0.99940212151637986</v>
      </c>
      <c r="X324" s="328">
        <f t="shared" si="135"/>
        <v>0.99941687754019104</v>
      </c>
      <c r="Y324" s="328">
        <f t="shared" si="136"/>
        <v>1.475591494159989E-5</v>
      </c>
      <c r="Z324" s="374"/>
      <c r="AA324" s="571">
        <f t="shared" si="137"/>
        <v>1.0315881980371365E-2</v>
      </c>
      <c r="AB324" s="327">
        <f t="shared" si="156"/>
        <v>0.98956151594127584</v>
      </c>
      <c r="AC324" s="327">
        <f t="shared" si="138"/>
        <v>0.98968411801962863</v>
      </c>
      <c r="AD324" s="327">
        <f t="shared" si="139"/>
        <v>1.2259456302510241E-4</v>
      </c>
      <c r="AE324" s="383"/>
      <c r="AF324" s="574">
        <f t="shared" si="128"/>
        <v>4.5686275591779513E-2</v>
      </c>
      <c r="AG324" s="376">
        <f t="shared" si="154"/>
        <v>0.95410258166614659</v>
      </c>
      <c r="AH324" s="376">
        <f t="shared" si="140"/>
        <v>0.95431372440822049</v>
      </c>
      <c r="AI324" s="553">
        <f t="shared" si="141"/>
        <v>2.1112045301385773E-4</v>
      </c>
      <c r="AJ324" s="374"/>
      <c r="AK324" s="577">
        <f t="shared" si="129"/>
        <v>5.6016540257760566E-2</v>
      </c>
      <c r="AL324" s="376">
        <f t="shared" si="142"/>
        <v>0.94379359797063989</v>
      </c>
      <c r="AM324" s="376">
        <f t="shared" si="143"/>
        <v>0.94398345974223941</v>
      </c>
      <c r="AN324" s="553">
        <f t="shared" si="144"/>
        <v>1.898437489940008E-4</v>
      </c>
      <c r="AO324" s="554"/>
      <c r="AP324" s="580">
        <f t="shared" si="130"/>
        <v>3.3710468783012537E-3</v>
      </c>
      <c r="AQ324" s="376">
        <f t="shared" si="145"/>
        <v>0.99656889250686764</v>
      </c>
      <c r="AR324" s="379">
        <f t="shared" si="146"/>
        <v>0.99662895312169875</v>
      </c>
      <c r="AS324" s="376">
        <f t="shared" si="147"/>
        <v>6.0058811228502762E-5</v>
      </c>
      <c r="AT324" s="384"/>
      <c r="AU324" s="583">
        <f t="shared" si="131"/>
        <v>0.28272542347196167</v>
      </c>
      <c r="AV324" s="381">
        <f t="shared" si="157"/>
        <v>1.263278788689546</v>
      </c>
      <c r="AW324" s="376">
        <f t="shared" si="132"/>
        <v>1.2632790874030309</v>
      </c>
      <c r="AX324" s="503">
        <f t="shared" si="155"/>
        <v>2.9871344020548918E-7</v>
      </c>
      <c r="AY324" s="376">
        <f t="shared" si="133"/>
        <v>2.9128514580941602</v>
      </c>
      <c r="AZ324" s="381">
        <f t="shared" si="148"/>
        <v>1.733537755498804E-3</v>
      </c>
      <c r="BA324" s="586">
        <f t="shared" si="149"/>
        <v>0.15172107527126807</v>
      </c>
      <c r="BB324" s="376">
        <f t="shared" si="150"/>
        <v>0.84805430681560745</v>
      </c>
      <c r="BC324" s="376">
        <f t="shared" si="151"/>
        <v>0.8482789247287319</v>
      </c>
      <c r="BD324" s="376">
        <f t="shared" si="152"/>
        <v>2.2459268840968605E-4</v>
      </c>
      <c r="BE324" s="283"/>
      <c r="BF324" s="283"/>
      <c r="BG324" s="283"/>
      <c r="BH324" s="283"/>
      <c r="BI324" s="283"/>
      <c r="BJ324" s="283"/>
      <c r="BK324" s="283"/>
      <c r="BL324" s="283"/>
      <c r="BM324" s="283"/>
      <c r="BN324" s="283"/>
      <c r="BO324" s="283"/>
      <c r="BP324" s="283"/>
      <c r="BQ324" s="283"/>
      <c r="BR324" s="283"/>
      <c r="BS324" s="283"/>
      <c r="BT324" s="283"/>
      <c r="BU324" s="283"/>
      <c r="BV324" s="283"/>
      <c r="BW324" s="283"/>
      <c r="BX324" s="283"/>
      <c r="BY324" s="283"/>
      <c r="BZ324" s="283"/>
      <c r="CA324" s="283"/>
      <c r="CB324" s="283"/>
      <c r="CC324" s="283"/>
      <c r="CD324" s="283"/>
      <c r="CE324" s="283"/>
      <c r="CF324" s="283"/>
      <c r="CG324" s="283"/>
      <c r="CH324" s="283"/>
      <c r="CI324" s="283"/>
      <c r="CJ324" s="283"/>
      <c r="CK324" s="283"/>
      <c r="CL324" s="283"/>
    </row>
    <row r="325" spans="1:90" ht="14.25" customHeight="1" x14ac:dyDescent="0.2">
      <c r="A325" s="28"/>
      <c r="B325" s="28"/>
      <c r="C325" s="28"/>
      <c r="D325" s="28"/>
      <c r="E325" s="282"/>
      <c r="F325" s="282"/>
      <c r="G325" s="282"/>
      <c r="H325" s="282"/>
      <c r="I325" s="282"/>
      <c r="J325" s="282"/>
      <c r="K325" s="282"/>
      <c r="L325" s="282"/>
      <c r="M325" s="282"/>
      <c r="N325" s="282"/>
      <c r="O325" s="282"/>
      <c r="P325" s="282"/>
      <c r="Q325" s="282"/>
      <c r="R325" s="282"/>
      <c r="S325" s="374"/>
      <c r="T325" s="373">
        <f t="shared" si="158"/>
        <v>299</v>
      </c>
      <c r="U325" s="374"/>
      <c r="V325" s="568">
        <f t="shared" si="153"/>
        <v>5.6873062411412685E-4</v>
      </c>
      <c r="W325" s="328">
        <f t="shared" si="134"/>
        <v>0.99941687754019104</v>
      </c>
      <c r="X325" s="328">
        <f t="shared" si="135"/>
        <v>0.99943126937588589</v>
      </c>
      <c r="Y325" s="328">
        <f t="shared" si="136"/>
        <v>1.4391732132912338E-5</v>
      </c>
      <c r="Z325" s="374"/>
      <c r="AA325" s="571">
        <f t="shared" si="137"/>
        <v>1.0194813046263492E-2</v>
      </c>
      <c r="AB325" s="327">
        <f t="shared" si="156"/>
        <v>0.98968411801962863</v>
      </c>
      <c r="AC325" s="327">
        <f t="shared" si="138"/>
        <v>0.98980518695373654</v>
      </c>
      <c r="AD325" s="327">
        <f t="shared" si="139"/>
        <v>1.2106160556024648E-4</v>
      </c>
      <c r="AE325" s="383"/>
      <c r="AF325" s="574">
        <f t="shared" si="128"/>
        <v>4.5476617780207618E-2</v>
      </c>
      <c r="AG325" s="376">
        <f t="shared" si="154"/>
        <v>0.95431372440822049</v>
      </c>
      <c r="AH325" s="376">
        <f t="shared" si="140"/>
        <v>0.95452338221979238</v>
      </c>
      <c r="AI325" s="553">
        <f t="shared" si="141"/>
        <v>2.0963583490885007E-4</v>
      </c>
      <c r="AJ325" s="374"/>
      <c r="AK325" s="577">
        <f t="shared" si="129"/>
        <v>5.5827914917998829E-2</v>
      </c>
      <c r="AL325" s="376">
        <f t="shared" si="142"/>
        <v>0.94398345974223941</v>
      </c>
      <c r="AM325" s="376">
        <f t="shared" si="143"/>
        <v>0.94417208508200112</v>
      </c>
      <c r="AN325" s="553">
        <f t="shared" si="144"/>
        <v>1.8860755112082295E-4</v>
      </c>
      <c r="AO325" s="554"/>
      <c r="AP325" s="580">
        <f t="shared" si="130"/>
        <v>3.3120445375471874E-3</v>
      </c>
      <c r="AQ325" s="376">
        <f t="shared" si="145"/>
        <v>0.99662895312169875</v>
      </c>
      <c r="AR325" s="379">
        <f t="shared" si="146"/>
        <v>0.99668795546245281</v>
      </c>
      <c r="AS325" s="376">
        <f t="shared" si="147"/>
        <v>5.9000600150183047E-5</v>
      </c>
      <c r="AT325" s="384"/>
      <c r="AU325" s="583">
        <f t="shared" si="131"/>
        <v>0.28272534237082486</v>
      </c>
      <c r="AV325" s="381">
        <f t="shared" si="157"/>
        <v>1.2632790874030309</v>
      </c>
      <c r="AW325" s="376">
        <f t="shared" si="132"/>
        <v>1.2632793742578436</v>
      </c>
      <c r="AX325" s="503">
        <f t="shared" si="155"/>
        <v>2.8685477160284023E-7</v>
      </c>
      <c r="AY325" s="376">
        <f t="shared" si="133"/>
        <v>2.9154865215968773</v>
      </c>
      <c r="AZ325" s="381">
        <f t="shared" si="148"/>
        <v>1.7254038265587207E-3</v>
      </c>
      <c r="BA325" s="586">
        <f t="shared" si="149"/>
        <v>0.15149753884117836</v>
      </c>
      <c r="BB325" s="376">
        <f t="shared" si="150"/>
        <v>0.8482789247287319</v>
      </c>
      <c r="BC325" s="376">
        <f t="shared" si="151"/>
        <v>0.84850246115882166</v>
      </c>
      <c r="BD325" s="376">
        <f t="shared" si="152"/>
        <v>2.2351144768351094E-4</v>
      </c>
      <c r="BE325" s="283"/>
      <c r="BF325" s="283"/>
      <c r="BG325" s="283"/>
      <c r="BH325" s="283"/>
      <c r="BI325" s="283"/>
      <c r="BJ325" s="283"/>
      <c r="BK325" s="283"/>
      <c r="BL325" s="283"/>
      <c r="BM325" s="283"/>
      <c r="BN325" s="283"/>
      <c r="BO325" s="283"/>
      <c r="BP325" s="283"/>
      <c r="BQ325" s="283"/>
      <c r="BR325" s="283"/>
      <c r="BS325" s="283"/>
      <c r="BT325" s="283"/>
      <c r="BU325" s="283"/>
      <c r="BV325" s="283"/>
      <c r="BW325" s="283"/>
      <c r="BX325" s="283"/>
      <c r="BY325" s="283"/>
      <c r="BZ325" s="283"/>
      <c r="CA325" s="283"/>
      <c r="CB325" s="283"/>
      <c r="CC325" s="283"/>
      <c r="CD325" s="283"/>
      <c r="CE325" s="283"/>
      <c r="CF325" s="283"/>
      <c r="CG325" s="283"/>
      <c r="CH325" s="283"/>
      <c r="CI325" s="283"/>
      <c r="CJ325" s="283"/>
      <c r="CK325" s="283"/>
      <c r="CL325" s="283"/>
    </row>
    <row r="326" spans="1:90" ht="14.25" customHeight="1" x14ac:dyDescent="0.2">
      <c r="A326" s="28"/>
      <c r="B326" s="28"/>
      <c r="C326" s="28"/>
      <c r="D326" s="28"/>
      <c r="E326" s="282"/>
      <c r="F326" s="282"/>
      <c r="G326" s="282"/>
      <c r="H326" s="282"/>
      <c r="I326" s="282"/>
      <c r="J326" s="282"/>
      <c r="K326" s="282"/>
      <c r="L326" s="282"/>
      <c r="M326" s="282"/>
      <c r="N326" s="282"/>
      <c r="O326" s="282"/>
      <c r="P326" s="282"/>
      <c r="Q326" s="282"/>
      <c r="R326" s="282"/>
      <c r="S326" s="374"/>
      <c r="T326" s="373">
        <f t="shared" si="158"/>
        <v>300</v>
      </c>
      <c r="U326" s="374"/>
      <c r="V326" s="568">
        <f t="shared" si="153"/>
        <v>5.5469398813962501E-4</v>
      </c>
      <c r="W326" s="328">
        <f t="shared" si="134"/>
        <v>0.99943126937588589</v>
      </c>
      <c r="X326" s="328">
        <f t="shared" si="135"/>
        <v>0.99944530601186032</v>
      </c>
      <c r="Y326" s="328">
        <f t="shared" si="136"/>
        <v>1.4036537461348253E-5</v>
      </c>
      <c r="Z326" s="374"/>
      <c r="AA326" s="571">
        <f t="shared" si="137"/>
        <v>1.007525668474654E-2</v>
      </c>
      <c r="AB326" s="327">
        <f t="shared" si="156"/>
        <v>0.98980518695373654</v>
      </c>
      <c r="AC326" s="327">
        <f t="shared" si="138"/>
        <v>0.98992474331525349</v>
      </c>
      <c r="AD326" s="327">
        <f t="shared" si="139"/>
        <v>1.195492149399513E-4</v>
      </c>
      <c r="AE326" s="383"/>
      <c r="AF326" s="574">
        <f t="shared" si="128"/>
        <v>4.5268430537841908E-2</v>
      </c>
      <c r="AG326" s="376">
        <f t="shared" si="154"/>
        <v>0.95452338221979238</v>
      </c>
      <c r="AH326" s="376">
        <f t="shared" si="140"/>
        <v>0.95473156946215809</v>
      </c>
      <c r="AI326" s="553">
        <f t="shared" si="141"/>
        <v>2.0816557290559423E-4</v>
      </c>
      <c r="AJ326" s="374"/>
      <c r="AK326" s="577">
        <f t="shared" si="129"/>
        <v>5.5640514115299085E-2</v>
      </c>
      <c r="AL326" s="376">
        <f t="shared" si="142"/>
        <v>0.94417208508200112</v>
      </c>
      <c r="AM326" s="376">
        <f t="shared" si="143"/>
        <v>0.94435948588470087</v>
      </c>
      <c r="AN326" s="553">
        <f t="shared" si="144"/>
        <v>1.8738324426614827E-4</v>
      </c>
      <c r="AO326" s="554"/>
      <c r="AP326" s="580">
        <f t="shared" si="130"/>
        <v>3.2540816630042269E-3</v>
      </c>
      <c r="AQ326" s="376">
        <f t="shared" si="145"/>
        <v>0.99668795546245281</v>
      </c>
      <c r="AR326" s="379">
        <f t="shared" si="146"/>
        <v>0.99674591833699577</v>
      </c>
      <c r="AS326" s="376">
        <f t="shared" si="147"/>
        <v>5.796119472800676E-5</v>
      </c>
      <c r="AT326" s="384"/>
      <c r="AU326" s="583">
        <f t="shared" si="131"/>
        <v>0.28272526448935636</v>
      </c>
      <c r="AV326" s="381">
        <f t="shared" si="157"/>
        <v>1.2632793742578436</v>
      </c>
      <c r="AW326" s="376">
        <f t="shared" si="132"/>
        <v>1.2632796497247636</v>
      </c>
      <c r="AX326" s="503">
        <f t="shared" si="155"/>
        <v>2.7546688197155333E-7</v>
      </c>
      <c r="AY326" s="376">
        <f t="shared" si="133"/>
        <v>2.9181127868745289</v>
      </c>
      <c r="AZ326" s="381">
        <f t="shared" si="148"/>
        <v>1.7173350304872438E-3</v>
      </c>
      <c r="BA326" s="586">
        <f t="shared" si="149"/>
        <v>0.15127507510457314</v>
      </c>
      <c r="BB326" s="376">
        <f t="shared" si="150"/>
        <v>0.84850246115882166</v>
      </c>
      <c r="BC326" s="376">
        <f t="shared" si="151"/>
        <v>0.84872492489542684</v>
      </c>
      <c r="BD326" s="376">
        <f t="shared" si="152"/>
        <v>2.2243899338292294E-4</v>
      </c>
      <c r="BE326" s="283"/>
      <c r="BF326" s="283"/>
      <c r="BG326" s="283"/>
      <c r="BH326" s="283"/>
      <c r="BI326" s="283"/>
      <c r="BJ326" s="283"/>
      <c r="BK326" s="283"/>
      <c r="BL326" s="283"/>
      <c r="BM326" s="283"/>
      <c r="BN326" s="283"/>
      <c r="BO326" s="283"/>
      <c r="BP326" s="283"/>
      <c r="BQ326" s="283"/>
      <c r="BR326" s="283"/>
      <c r="BS326" s="283"/>
      <c r="BT326" s="283"/>
      <c r="BU326" s="283"/>
      <c r="BV326" s="283"/>
      <c r="BW326" s="283"/>
      <c r="BX326" s="283"/>
      <c r="BY326" s="283"/>
      <c r="BZ326" s="283"/>
      <c r="CA326" s="283"/>
      <c r="CB326" s="283"/>
      <c r="CC326" s="283"/>
      <c r="CD326" s="283"/>
      <c r="CE326" s="283"/>
      <c r="CF326" s="283"/>
      <c r="CG326" s="283"/>
      <c r="CH326" s="283"/>
      <c r="CI326" s="283"/>
      <c r="CJ326" s="283"/>
      <c r="CK326" s="283"/>
      <c r="CL326" s="283"/>
    </row>
    <row r="327" spans="1:90" ht="14.25" customHeight="1" x14ac:dyDescent="0.2">
      <c r="A327" s="28"/>
      <c r="B327" s="28"/>
      <c r="C327" s="28"/>
      <c r="D327" s="28"/>
      <c r="E327" s="282"/>
      <c r="F327" s="282"/>
      <c r="G327" s="282"/>
      <c r="H327" s="282"/>
      <c r="I327" s="282"/>
      <c r="J327" s="282"/>
      <c r="K327" s="282"/>
      <c r="L327" s="282"/>
      <c r="M327" s="282"/>
      <c r="N327" s="282"/>
      <c r="O327" s="282"/>
      <c r="P327" s="282"/>
      <c r="Q327" s="282"/>
      <c r="R327" s="282"/>
      <c r="S327" s="374"/>
      <c r="T327" s="373">
        <f t="shared" si="158"/>
        <v>301</v>
      </c>
      <c r="U327" s="374"/>
      <c r="V327" s="568">
        <f t="shared" si="153"/>
        <v>5.4100378532895624E-4</v>
      </c>
      <c r="W327" s="328">
        <f t="shared" si="134"/>
        <v>0.99944530601186032</v>
      </c>
      <c r="X327" s="328">
        <f t="shared" si="135"/>
        <v>0.99945899621467105</v>
      </c>
      <c r="Y327" s="328">
        <f t="shared" si="136"/>
        <v>1.3690109100350512E-5</v>
      </c>
      <c r="Z327" s="374"/>
      <c r="AA327" s="571">
        <f t="shared" si="137"/>
        <v>9.9571926228308339E-3</v>
      </c>
      <c r="AB327" s="327">
        <f t="shared" si="156"/>
        <v>0.98992474331525349</v>
      </c>
      <c r="AC327" s="327">
        <f t="shared" si="138"/>
        <v>0.99004280737716921</v>
      </c>
      <c r="AD327" s="327">
        <f t="shared" si="139"/>
        <v>1.1805709262868724E-4</v>
      </c>
      <c r="AE327" s="383"/>
      <c r="AF327" s="574">
        <f t="shared" si="128"/>
        <v>4.5061699681923306E-2</v>
      </c>
      <c r="AG327" s="376">
        <f t="shared" si="154"/>
        <v>0.95473156946215809</v>
      </c>
      <c r="AH327" s="376">
        <f t="shared" si="140"/>
        <v>0.95493830031807669</v>
      </c>
      <c r="AI327" s="553">
        <f t="shared" si="141"/>
        <v>2.0670948856771343E-4</v>
      </c>
      <c r="AJ327" s="374"/>
      <c r="AK327" s="577">
        <f t="shared" si="129"/>
        <v>5.5454326105995551E-2</v>
      </c>
      <c r="AL327" s="376">
        <f t="shared" si="142"/>
        <v>0.94435948588470087</v>
      </c>
      <c r="AM327" s="376">
        <f t="shared" si="143"/>
        <v>0.94454567389400446</v>
      </c>
      <c r="AN327" s="553">
        <f t="shared" si="144"/>
        <v>1.8617067739190585E-4</v>
      </c>
      <c r="AO327" s="554"/>
      <c r="AP327" s="580">
        <f t="shared" si="130"/>
        <v>3.1971397849284156E-3</v>
      </c>
      <c r="AQ327" s="376">
        <f t="shared" si="145"/>
        <v>0.99674591833699577</v>
      </c>
      <c r="AR327" s="379">
        <f t="shared" si="146"/>
        <v>0.99680286021507158</v>
      </c>
      <c r="AS327" s="376">
        <f t="shared" si="147"/>
        <v>5.6940256917825671E-5</v>
      </c>
      <c r="AT327" s="384"/>
      <c r="AU327" s="583">
        <f t="shared" si="131"/>
        <v>0.2827251896997362</v>
      </c>
      <c r="AV327" s="381">
        <f t="shared" si="157"/>
        <v>1.2632796497247636</v>
      </c>
      <c r="AW327" s="376">
        <f t="shared" si="132"/>
        <v>1.2632799142558806</v>
      </c>
      <c r="AX327" s="503">
        <f t="shared" si="155"/>
        <v>2.6453108203927655E-7</v>
      </c>
      <c r="AY327" s="376">
        <f t="shared" si="133"/>
        <v>2.9207303124845163</v>
      </c>
      <c r="AZ327" s="381">
        <f t="shared" si="148"/>
        <v>1.7093306312183974E-3</v>
      </c>
      <c r="BA327" s="586">
        <f t="shared" si="149"/>
        <v>0.15105367537224806</v>
      </c>
      <c r="BB327" s="376">
        <f t="shared" si="150"/>
        <v>0.84872492489542684</v>
      </c>
      <c r="BC327" s="376">
        <f t="shared" si="151"/>
        <v>0.84894632462775199</v>
      </c>
      <c r="BD327" s="376">
        <f t="shared" si="152"/>
        <v>2.2137522521303854E-4</v>
      </c>
      <c r="BE327" s="283"/>
      <c r="BF327" s="283"/>
      <c r="BG327" s="283"/>
      <c r="BH327" s="283"/>
      <c r="BI327" s="283"/>
      <c r="BJ327" s="283"/>
      <c r="BK327" s="283"/>
      <c r="BL327" s="283"/>
      <c r="BM327" s="283"/>
      <c r="BN327" s="283"/>
      <c r="BO327" s="283"/>
      <c r="BP327" s="283"/>
      <c r="BQ327" s="283"/>
      <c r="BR327" s="283"/>
      <c r="BS327" s="283"/>
      <c r="BT327" s="283"/>
      <c r="BU327" s="283"/>
      <c r="BV327" s="283"/>
      <c r="BW327" s="283"/>
      <c r="BX327" s="283"/>
      <c r="BY327" s="283"/>
      <c r="BZ327" s="283"/>
      <c r="CA327" s="283"/>
      <c r="CB327" s="283"/>
      <c r="CC327" s="283"/>
      <c r="CD327" s="283"/>
      <c r="CE327" s="283"/>
      <c r="CF327" s="283"/>
      <c r="CG327" s="283"/>
      <c r="CH327" s="283"/>
      <c r="CI327" s="283"/>
      <c r="CJ327" s="283"/>
      <c r="CK327" s="283"/>
      <c r="CL327" s="283"/>
    </row>
    <row r="328" spans="1:90" ht="14.25" customHeight="1" x14ac:dyDescent="0.2">
      <c r="A328" s="28"/>
      <c r="B328" s="28"/>
      <c r="C328" s="28"/>
      <c r="D328" s="28"/>
      <c r="E328" s="282"/>
      <c r="F328" s="282"/>
      <c r="G328" s="282"/>
      <c r="H328" s="282"/>
      <c r="I328" s="282"/>
      <c r="J328" s="282"/>
      <c r="K328" s="282"/>
      <c r="L328" s="282"/>
      <c r="M328" s="282"/>
      <c r="N328" s="282"/>
      <c r="O328" s="282"/>
      <c r="P328" s="282"/>
      <c r="Q328" s="282"/>
      <c r="R328" s="282"/>
      <c r="S328" s="374"/>
      <c r="T328" s="373">
        <f t="shared" si="158"/>
        <v>302</v>
      </c>
      <c r="U328" s="374"/>
      <c r="V328" s="568">
        <f t="shared" si="153"/>
        <v>5.2765146548980812E-4</v>
      </c>
      <c r="W328" s="328">
        <f t="shared" si="134"/>
        <v>0.99945899621467105</v>
      </c>
      <c r="X328" s="328">
        <f t="shared" si="135"/>
        <v>0.99947234853451017</v>
      </c>
      <c r="Y328" s="328">
        <f t="shared" si="136"/>
        <v>1.3352230697316614E-5</v>
      </c>
      <c r="Z328" s="374"/>
      <c r="AA328" s="571">
        <f t="shared" si="137"/>
        <v>9.8406008814595682E-3</v>
      </c>
      <c r="AB328" s="327">
        <f t="shared" si="156"/>
        <v>0.99004280737716921</v>
      </c>
      <c r="AC328" s="327">
        <f t="shared" si="138"/>
        <v>0.99015939911854045</v>
      </c>
      <c r="AD328" s="327">
        <f t="shared" si="139"/>
        <v>1.1658494481825432E-4</v>
      </c>
      <c r="AE328" s="383"/>
      <c r="AF328" s="574">
        <f t="shared" si="128"/>
        <v>4.4856411205504321E-2</v>
      </c>
      <c r="AG328" s="376">
        <f t="shared" si="154"/>
        <v>0.95493830031807669</v>
      </c>
      <c r="AH328" s="376">
        <f t="shared" si="140"/>
        <v>0.95514358879449568</v>
      </c>
      <c r="AI328" s="553">
        <f t="shared" si="141"/>
        <v>2.0526740618154182E-4</v>
      </c>
      <c r="AJ328" s="374"/>
      <c r="AK328" s="577">
        <f t="shared" si="129"/>
        <v>5.5269339295150446E-2</v>
      </c>
      <c r="AL328" s="376">
        <f t="shared" si="142"/>
        <v>0.94454567389400446</v>
      </c>
      <c r="AM328" s="376">
        <f t="shared" si="143"/>
        <v>0.94473066070484957</v>
      </c>
      <c r="AN328" s="553">
        <f t="shared" si="144"/>
        <v>1.8496970184000983E-4</v>
      </c>
      <c r="AO328" s="554"/>
      <c r="AP328" s="580">
        <f t="shared" si="130"/>
        <v>3.1412007655229335E-3</v>
      </c>
      <c r="AQ328" s="376">
        <f t="shared" si="145"/>
        <v>0.99680286021507158</v>
      </c>
      <c r="AR328" s="379">
        <f t="shared" si="146"/>
        <v>0.99685879923447707</v>
      </c>
      <c r="AS328" s="376">
        <f t="shared" si="147"/>
        <v>5.5937454847665435E-5</v>
      </c>
      <c r="AT328" s="384"/>
      <c r="AU328" s="583">
        <f t="shared" si="131"/>
        <v>0.28272511787921917</v>
      </c>
      <c r="AV328" s="381">
        <f t="shared" si="157"/>
        <v>1.2632799142558806</v>
      </c>
      <c r="AW328" s="376">
        <f t="shared" si="132"/>
        <v>1.2632801682853367</v>
      </c>
      <c r="AX328" s="503">
        <f t="shared" si="155"/>
        <v>2.540294238295715E-7</v>
      </c>
      <c r="AY328" s="376">
        <f t="shared" si="133"/>
        <v>2.9233391564015787</v>
      </c>
      <c r="AZ328" s="381">
        <f t="shared" si="148"/>
        <v>1.7013899034126231E-3</v>
      </c>
      <c r="BA328" s="586">
        <f t="shared" si="149"/>
        <v>0.15083333105387214</v>
      </c>
      <c r="BB328" s="376">
        <f t="shared" si="150"/>
        <v>0.84894632462775199</v>
      </c>
      <c r="BC328" s="376">
        <f t="shared" si="151"/>
        <v>0.84916666894612791</v>
      </c>
      <c r="BD328" s="376">
        <f t="shared" si="152"/>
        <v>2.2032004434946462E-4</v>
      </c>
      <c r="BE328" s="283"/>
      <c r="BF328" s="283"/>
      <c r="BG328" s="283"/>
      <c r="BH328" s="283"/>
      <c r="BI328" s="283"/>
      <c r="BJ328" s="283"/>
      <c r="BK328" s="283"/>
      <c r="BL328" s="283"/>
      <c r="BM328" s="283"/>
      <c r="BN328" s="283"/>
      <c r="BO328" s="283"/>
      <c r="BP328" s="283"/>
      <c r="BQ328" s="283"/>
      <c r="BR328" s="283"/>
      <c r="BS328" s="283"/>
      <c r="BT328" s="283"/>
      <c r="BU328" s="283"/>
      <c r="BV328" s="283"/>
      <c r="BW328" s="283"/>
      <c r="BX328" s="283"/>
      <c r="BY328" s="283"/>
      <c r="BZ328" s="283"/>
      <c r="CA328" s="283"/>
      <c r="CB328" s="283"/>
      <c r="CC328" s="283"/>
      <c r="CD328" s="283"/>
      <c r="CE328" s="283"/>
      <c r="CF328" s="283"/>
      <c r="CG328" s="283"/>
      <c r="CH328" s="283"/>
      <c r="CI328" s="283"/>
      <c r="CJ328" s="283"/>
      <c r="CK328" s="283"/>
      <c r="CL328" s="283"/>
    </row>
    <row r="329" spans="1:90" ht="14.25" customHeight="1" x14ac:dyDescent="0.2">
      <c r="A329" s="28"/>
      <c r="B329" s="28"/>
      <c r="C329" s="28"/>
      <c r="D329" s="28"/>
      <c r="E329" s="282"/>
      <c r="F329" s="282"/>
      <c r="G329" s="282"/>
      <c r="H329" s="282"/>
      <c r="I329" s="282"/>
      <c r="J329" s="282"/>
      <c r="K329" s="282"/>
      <c r="L329" s="282"/>
      <c r="M329" s="282"/>
      <c r="N329" s="282"/>
      <c r="O329" s="282"/>
      <c r="P329" s="282"/>
      <c r="Q329" s="282"/>
      <c r="R329" s="282"/>
      <c r="S329" s="374"/>
      <c r="T329" s="373">
        <f t="shared" si="158"/>
        <v>303</v>
      </c>
      <c r="U329" s="374"/>
      <c r="V329" s="568">
        <f t="shared" si="153"/>
        <v>5.1462868945408935E-4</v>
      </c>
      <c r="W329" s="328">
        <f t="shared" si="134"/>
        <v>0.99947234853451017</v>
      </c>
      <c r="X329" s="328">
        <f t="shared" si="135"/>
        <v>0.99948537131054593</v>
      </c>
      <c r="Y329" s="328">
        <f t="shared" si="136"/>
        <v>1.3022691239816808E-5</v>
      </c>
      <c r="Z329" s="374"/>
      <c r="AA329" s="571">
        <f t="shared" si="137"/>
        <v>9.7254617708598511E-3</v>
      </c>
      <c r="AB329" s="327">
        <f t="shared" si="156"/>
        <v>0.99015939911854045</v>
      </c>
      <c r="AC329" s="327">
        <f t="shared" si="138"/>
        <v>0.99027453822914013</v>
      </c>
      <c r="AD329" s="327">
        <f t="shared" si="139"/>
        <v>1.1513248234662488E-4</v>
      </c>
      <c r="AE329" s="383"/>
      <c r="AF329" s="574">
        <f t="shared" si="128"/>
        <v>4.4652551274772634E-2</v>
      </c>
      <c r="AG329" s="376">
        <f t="shared" si="154"/>
        <v>0.95514358879449568</v>
      </c>
      <c r="AH329" s="376">
        <f t="shared" si="140"/>
        <v>0.95534744872522737</v>
      </c>
      <c r="AI329" s="553">
        <f t="shared" si="141"/>
        <v>2.0383915270794084E-4</v>
      </c>
      <c r="AJ329" s="374"/>
      <c r="AK329" s="577">
        <f t="shared" si="129"/>
        <v>5.5085542234216481E-2</v>
      </c>
      <c r="AL329" s="376">
        <f t="shared" si="142"/>
        <v>0.94473066070484957</v>
      </c>
      <c r="AM329" s="376">
        <f t="shared" si="143"/>
        <v>0.94491445776578353</v>
      </c>
      <c r="AN329" s="553">
        <f t="shared" si="144"/>
        <v>1.8378017128894975E-4</v>
      </c>
      <c r="AO329" s="554"/>
      <c r="AP329" s="580">
        <f t="shared" si="130"/>
        <v>3.0862467928784998E-3</v>
      </c>
      <c r="AQ329" s="376">
        <f t="shared" si="145"/>
        <v>0.99685879923447707</v>
      </c>
      <c r="AR329" s="379">
        <f t="shared" si="146"/>
        <v>0.9969137532071215</v>
      </c>
      <c r="AS329" s="376">
        <f t="shared" si="147"/>
        <v>5.4952462702484439E-5</v>
      </c>
      <c r="AT329" s="384"/>
      <c r="AU329" s="583">
        <f t="shared" si="131"/>
        <v>0.28272504890993289</v>
      </c>
      <c r="AV329" s="381">
        <f t="shared" si="157"/>
        <v>1.2632801682853367</v>
      </c>
      <c r="AW329" s="376">
        <f t="shared" si="132"/>
        <v>1.263280412230039</v>
      </c>
      <c r="AX329" s="503">
        <f t="shared" si="155"/>
        <v>2.4394467246224849E-7</v>
      </c>
      <c r="AY329" s="376">
        <f t="shared" si="133"/>
        <v>2.9259393760254944</v>
      </c>
      <c r="AZ329" s="381">
        <f t="shared" si="148"/>
        <v>1.6935121322656148E-3</v>
      </c>
      <c r="BA329" s="586">
        <f t="shared" si="149"/>
        <v>0.15061403365654116</v>
      </c>
      <c r="BB329" s="376">
        <f t="shared" si="150"/>
        <v>0.84916666894612791</v>
      </c>
      <c r="BC329" s="376">
        <f t="shared" si="151"/>
        <v>0.84938596634345886</v>
      </c>
      <c r="BD329" s="376">
        <f t="shared" si="152"/>
        <v>2.1927335341431764E-4</v>
      </c>
      <c r="BE329" s="283"/>
      <c r="BF329" s="283"/>
      <c r="BG329" s="283"/>
      <c r="BH329" s="283"/>
      <c r="BI329" s="283"/>
      <c r="BJ329" s="283"/>
      <c r="BK329" s="283"/>
      <c r="BL329" s="283"/>
      <c r="BM329" s="283"/>
      <c r="BN329" s="283"/>
      <c r="BO329" s="283"/>
      <c r="BP329" s="283"/>
      <c r="BQ329" s="283"/>
      <c r="BR329" s="283"/>
      <c r="BS329" s="283"/>
      <c r="BT329" s="283"/>
      <c r="BU329" s="283"/>
      <c r="BV329" s="283"/>
      <c r="BW329" s="283"/>
      <c r="BX329" s="283"/>
      <c r="BY329" s="283"/>
      <c r="BZ329" s="283"/>
      <c r="CA329" s="283"/>
      <c r="CB329" s="283"/>
      <c r="CC329" s="283"/>
      <c r="CD329" s="283"/>
      <c r="CE329" s="283"/>
      <c r="CF329" s="283"/>
      <c r="CG329" s="283"/>
      <c r="CH329" s="283"/>
      <c r="CI329" s="283"/>
      <c r="CJ329" s="283"/>
      <c r="CK329" s="283"/>
      <c r="CL329" s="283"/>
    </row>
    <row r="330" spans="1:90" ht="14.25" customHeight="1" x14ac:dyDescent="0.2">
      <c r="A330" s="28"/>
      <c r="B330" s="28"/>
      <c r="C330" s="28"/>
      <c r="D330" s="28"/>
      <c r="E330" s="282"/>
      <c r="F330" s="282"/>
      <c r="G330" s="282"/>
      <c r="H330" s="282"/>
      <c r="I330" s="282"/>
      <c r="J330" s="282"/>
      <c r="K330" s="282"/>
      <c r="L330" s="282"/>
      <c r="M330" s="282"/>
      <c r="N330" s="282"/>
      <c r="O330" s="282"/>
      <c r="P330" s="282"/>
      <c r="Q330" s="282"/>
      <c r="R330" s="282"/>
      <c r="S330" s="374"/>
      <c r="T330" s="373">
        <f t="shared" si="158"/>
        <v>304</v>
      </c>
      <c r="U330" s="374"/>
      <c r="V330" s="568">
        <f t="shared" si="153"/>
        <v>5.0192732386971652E-4</v>
      </c>
      <c r="W330" s="328">
        <f t="shared" si="134"/>
        <v>0.99948537131054593</v>
      </c>
      <c r="X330" s="328">
        <f t="shared" si="135"/>
        <v>0.99949807267613033</v>
      </c>
      <c r="Y330" s="328">
        <f t="shared" si="136"/>
        <v>1.2701284922367329E-5</v>
      </c>
      <c r="Z330" s="374"/>
      <c r="AA330" s="571">
        <f t="shared" si="137"/>
        <v>9.611755885974663E-3</v>
      </c>
      <c r="AB330" s="327">
        <f t="shared" si="156"/>
        <v>0.99027453822914013</v>
      </c>
      <c r="AC330" s="327">
        <f t="shared" si="138"/>
        <v>0.99038824411402537</v>
      </c>
      <c r="AD330" s="327">
        <f t="shared" si="139"/>
        <v>1.1369942061612015E-4</v>
      </c>
      <c r="AE330" s="383"/>
      <c r="AF330" s="574">
        <f t="shared" si="128"/>
        <v>4.4450106226422981E-2</v>
      </c>
      <c r="AG330" s="376">
        <f t="shared" si="154"/>
        <v>0.95534744872522737</v>
      </c>
      <c r="AH330" s="376">
        <f t="shared" si="140"/>
        <v>0.95554989377357702</v>
      </c>
      <c r="AI330" s="553">
        <f t="shared" si="141"/>
        <v>2.0242455773367141E-4</v>
      </c>
      <c r="AJ330" s="374"/>
      <c r="AK330" s="577">
        <f t="shared" si="129"/>
        <v>5.4902923618743486E-2</v>
      </c>
      <c r="AL330" s="376">
        <f t="shared" si="142"/>
        <v>0.94491445776578353</v>
      </c>
      <c r="AM330" s="376">
        <f t="shared" si="143"/>
        <v>0.94509707638125651</v>
      </c>
      <c r="AN330" s="553">
        <f t="shared" si="144"/>
        <v>1.8260194170860444E-4</v>
      </c>
      <c r="AO330" s="554"/>
      <c r="AP330" s="580">
        <f t="shared" si="130"/>
        <v>3.0322603750265742E-3</v>
      </c>
      <c r="AQ330" s="376">
        <f t="shared" si="145"/>
        <v>0.9969137532071215</v>
      </c>
      <c r="AR330" s="379">
        <f t="shared" si="146"/>
        <v>0.99696773962497343</v>
      </c>
      <c r="AS330" s="376">
        <f t="shared" si="147"/>
        <v>5.3984960611486166E-5</v>
      </c>
      <c r="AT330" s="384"/>
      <c r="AU330" s="583">
        <f t="shared" si="131"/>
        <v>0.28272498267868468</v>
      </c>
      <c r="AV330" s="381">
        <f t="shared" si="157"/>
        <v>1.263280412230039</v>
      </c>
      <c r="AW330" s="376">
        <f t="shared" si="132"/>
        <v>1.2632806464903432</v>
      </c>
      <c r="AX330" s="503">
        <f t="shared" si="155"/>
        <v>2.3426027684347872E-7</v>
      </c>
      <c r="AY330" s="376">
        <f t="shared" si="133"/>
        <v>2.9285310281886643</v>
      </c>
      <c r="AZ330" s="381">
        <f t="shared" si="148"/>
        <v>1.6856966133211508E-3</v>
      </c>
      <c r="BA330" s="586">
        <f t="shared" si="149"/>
        <v>0.15039577478335528</v>
      </c>
      <c r="BB330" s="376">
        <f t="shared" si="150"/>
        <v>0.84938596634345886</v>
      </c>
      <c r="BC330" s="376">
        <f t="shared" si="151"/>
        <v>0.84960422521664469</v>
      </c>
      <c r="BD330" s="376">
        <f t="shared" si="152"/>
        <v>2.1823505645068852E-4</v>
      </c>
      <c r="BE330" s="283"/>
      <c r="BF330" s="283"/>
      <c r="BG330" s="283"/>
      <c r="BH330" s="283"/>
      <c r="BI330" s="283"/>
      <c r="BJ330" s="283"/>
      <c r="BK330" s="283"/>
      <c r="BL330" s="283"/>
      <c r="BM330" s="283"/>
      <c r="BN330" s="283"/>
      <c r="BO330" s="283"/>
      <c r="BP330" s="283"/>
      <c r="BQ330" s="283"/>
      <c r="BR330" s="283"/>
      <c r="BS330" s="283"/>
      <c r="BT330" s="283"/>
      <c r="BU330" s="283"/>
      <c r="BV330" s="283"/>
      <c r="BW330" s="283"/>
      <c r="BX330" s="283"/>
      <c r="BY330" s="283"/>
      <c r="BZ330" s="283"/>
      <c r="CA330" s="283"/>
      <c r="CB330" s="283"/>
      <c r="CC330" s="283"/>
      <c r="CD330" s="283"/>
      <c r="CE330" s="283"/>
      <c r="CF330" s="283"/>
      <c r="CG330" s="283"/>
      <c r="CH330" s="283"/>
      <c r="CI330" s="283"/>
      <c r="CJ330" s="283"/>
      <c r="CK330" s="283"/>
      <c r="CL330" s="283"/>
    </row>
    <row r="331" spans="1:90" ht="14.25" customHeight="1" x14ac:dyDescent="0.2">
      <c r="A331" s="28"/>
      <c r="B331" s="28"/>
      <c r="C331" s="28"/>
      <c r="D331" s="28"/>
      <c r="E331" s="282"/>
      <c r="F331" s="282"/>
      <c r="G331" s="282"/>
      <c r="H331" s="282"/>
      <c r="I331" s="282"/>
      <c r="J331" s="282"/>
      <c r="K331" s="282"/>
      <c r="L331" s="282"/>
      <c r="M331" s="282"/>
      <c r="N331" s="282"/>
      <c r="O331" s="282"/>
      <c r="P331" s="282"/>
      <c r="Q331" s="282"/>
      <c r="R331" s="282"/>
      <c r="S331" s="374"/>
      <c r="T331" s="373">
        <f t="shared" si="158"/>
        <v>305</v>
      </c>
      <c r="U331" s="374"/>
      <c r="V331" s="568">
        <f t="shared" si="153"/>
        <v>4.8953943612094404E-4</v>
      </c>
      <c r="W331" s="328">
        <f t="shared" si="134"/>
        <v>0.99949807267613033</v>
      </c>
      <c r="X331" s="328">
        <f t="shared" si="135"/>
        <v>0.99951046056387904</v>
      </c>
      <c r="Y331" s="328">
        <f t="shared" si="136"/>
        <v>1.2387811019198836E-5</v>
      </c>
      <c r="Z331" s="374"/>
      <c r="AA331" s="571">
        <f t="shared" si="137"/>
        <v>9.4994641019738868E-3</v>
      </c>
      <c r="AB331" s="327">
        <f t="shared" si="156"/>
        <v>0.99038824411402537</v>
      </c>
      <c r="AC331" s="327">
        <f t="shared" si="138"/>
        <v>0.99050053589802611</v>
      </c>
      <c r="AD331" s="327">
        <f t="shared" si="139"/>
        <v>1.1228547951436241E-4</v>
      </c>
      <c r="AE331" s="383"/>
      <c r="AF331" s="574">
        <f t="shared" si="128"/>
        <v>4.4249062565077546E-2</v>
      </c>
      <c r="AG331" s="376">
        <f t="shared" si="154"/>
        <v>0.95554989377357702</v>
      </c>
      <c r="AH331" s="376">
        <f t="shared" si="140"/>
        <v>0.95575093743492245</v>
      </c>
      <c r="AI331" s="553">
        <f t="shared" si="141"/>
        <v>2.0102345342276617E-4</v>
      </c>
      <c r="AJ331" s="374"/>
      <c r="AK331" s="577">
        <f t="shared" si="129"/>
        <v>5.4721472286127601E-2</v>
      </c>
      <c r="AL331" s="376">
        <f t="shared" si="142"/>
        <v>0.94509707638125651</v>
      </c>
      <c r="AM331" s="376">
        <f t="shared" si="143"/>
        <v>0.94527852771387244</v>
      </c>
      <c r="AN331" s="553">
        <f t="shared" si="144"/>
        <v>1.8143487131849767E-4</v>
      </c>
      <c r="AO331" s="554"/>
      <c r="AP331" s="580">
        <f t="shared" si="130"/>
        <v>2.9792243341042468E-3</v>
      </c>
      <c r="AQ331" s="376">
        <f t="shared" si="145"/>
        <v>0.99696773962497343</v>
      </c>
      <c r="AR331" s="379">
        <f t="shared" si="146"/>
        <v>0.99702077566589575</v>
      </c>
      <c r="AS331" s="376">
        <f t="shared" si="147"/>
        <v>5.3034634536319736E-5</v>
      </c>
      <c r="AT331" s="384"/>
      <c r="AU331" s="583">
        <f t="shared" si="131"/>
        <v>0.28272491907677538</v>
      </c>
      <c r="AV331" s="381">
        <f t="shared" si="157"/>
        <v>1.2632806464903432</v>
      </c>
      <c r="AW331" s="376">
        <f t="shared" si="132"/>
        <v>1.2632808714507122</v>
      </c>
      <c r="AX331" s="503">
        <f t="shared" si="155"/>
        <v>2.2496034368657547E-7</v>
      </c>
      <c r="AY331" s="376">
        <f t="shared" si="133"/>
        <v>2.93111416916356</v>
      </c>
      <c r="AZ331" s="381">
        <f t="shared" si="148"/>
        <v>1.6779426522878871E-3</v>
      </c>
      <c r="BA331" s="586">
        <f t="shared" si="149"/>
        <v>0.15017854613202444</v>
      </c>
      <c r="BB331" s="376">
        <f t="shared" si="150"/>
        <v>0.84960422521664469</v>
      </c>
      <c r="BC331" s="376">
        <f t="shared" si="151"/>
        <v>0.84982145386797558</v>
      </c>
      <c r="BD331" s="376">
        <f t="shared" si="152"/>
        <v>2.1720505889577524E-4</v>
      </c>
      <c r="BE331" s="283"/>
      <c r="BF331" s="283"/>
      <c r="BG331" s="283"/>
      <c r="BH331" s="283"/>
      <c r="BI331" s="283"/>
      <c r="BJ331" s="283"/>
      <c r="BK331" s="283"/>
      <c r="BL331" s="283"/>
      <c r="BM331" s="283"/>
      <c r="BN331" s="283"/>
      <c r="BO331" s="283"/>
      <c r="BP331" s="283"/>
      <c r="BQ331" s="283"/>
      <c r="BR331" s="283"/>
      <c r="BS331" s="283"/>
      <c r="BT331" s="283"/>
      <c r="BU331" s="283"/>
      <c r="BV331" s="283"/>
      <c r="BW331" s="283"/>
      <c r="BX331" s="283"/>
      <c r="BY331" s="283"/>
      <c r="BZ331" s="283"/>
      <c r="CA331" s="283"/>
      <c r="CB331" s="283"/>
      <c r="CC331" s="283"/>
      <c r="CD331" s="283"/>
      <c r="CE331" s="283"/>
      <c r="CF331" s="283"/>
      <c r="CG331" s="283"/>
      <c r="CH331" s="283"/>
      <c r="CI331" s="283"/>
      <c r="CJ331" s="283"/>
      <c r="CK331" s="283"/>
      <c r="CL331" s="283"/>
    </row>
    <row r="332" spans="1:90" ht="14.25" customHeight="1" x14ac:dyDescent="0.2">
      <c r="A332" s="28"/>
      <c r="B332" s="28"/>
      <c r="C332" s="28"/>
      <c r="D332" s="28"/>
      <c r="E332" s="282"/>
      <c r="F332" s="282"/>
      <c r="G332" s="282"/>
      <c r="H332" s="282"/>
      <c r="I332" s="282"/>
      <c r="J332" s="282"/>
      <c r="K332" s="282"/>
      <c r="L332" s="282"/>
      <c r="M332" s="282"/>
      <c r="N332" s="282"/>
      <c r="O332" s="282"/>
      <c r="P332" s="282"/>
      <c r="Q332" s="282"/>
      <c r="R332" s="282"/>
      <c r="S332" s="374"/>
      <c r="T332" s="373">
        <f t="shared" si="158"/>
        <v>306</v>
      </c>
      <c r="U332" s="374"/>
      <c r="V332" s="568">
        <f t="shared" si="153"/>
        <v>4.7745728937406207E-4</v>
      </c>
      <c r="W332" s="328">
        <f t="shared" si="134"/>
        <v>0.99951046056387904</v>
      </c>
      <c r="X332" s="328">
        <f t="shared" si="135"/>
        <v>0.99952254271062591</v>
      </c>
      <c r="Y332" s="328">
        <f t="shared" si="136"/>
        <v>1.2082073758024059E-5</v>
      </c>
      <c r="Z332" s="374"/>
      <c r="AA332" s="571">
        <f t="shared" si="137"/>
        <v>9.388567569843324E-3</v>
      </c>
      <c r="AB332" s="327">
        <f t="shared" si="156"/>
        <v>0.99050053589802611</v>
      </c>
      <c r="AC332" s="327">
        <f t="shared" si="138"/>
        <v>0.9906114324301567</v>
      </c>
      <c r="AD332" s="327">
        <f t="shared" si="139"/>
        <v>1.108903833374475E-4</v>
      </c>
      <c r="AE332" s="383"/>
      <c r="AF332" s="574">
        <f t="shared" si="128"/>
        <v>4.4049406960751436E-2</v>
      </c>
      <c r="AG332" s="376">
        <f t="shared" si="154"/>
        <v>0.95575093743492245</v>
      </c>
      <c r="AH332" s="376">
        <f t="shared" si="140"/>
        <v>0.95595059303924856</v>
      </c>
      <c r="AI332" s="553">
        <f t="shared" si="141"/>
        <v>1.9963567447234265E-4</v>
      </c>
      <c r="AJ332" s="374"/>
      <c r="AK332" s="577">
        <f t="shared" si="129"/>
        <v>5.4541177213402466E-2</v>
      </c>
      <c r="AL332" s="376">
        <f t="shared" si="142"/>
        <v>0.94527852771387244</v>
      </c>
      <c r="AM332" s="376">
        <f t="shared" si="143"/>
        <v>0.94545882278659754</v>
      </c>
      <c r="AN332" s="553">
        <f t="shared" si="144"/>
        <v>1.8027882054516553E-4</v>
      </c>
      <c r="AO332" s="554"/>
      <c r="AP332" s="580">
        <f t="shared" si="130"/>
        <v>2.9271218006259314E-3</v>
      </c>
      <c r="AQ332" s="376">
        <f t="shared" si="145"/>
        <v>0.99702077566589575</v>
      </c>
      <c r="AR332" s="379">
        <f t="shared" si="146"/>
        <v>0.99707287819937407</v>
      </c>
      <c r="AS332" s="376">
        <f t="shared" si="147"/>
        <v>5.2101176164942586E-5</v>
      </c>
      <c r="AT332" s="384"/>
      <c r="AU332" s="583">
        <f t="shared" si="131"/>
        <v>0.28272485799982139</v>
      </c>
      <c r="AV332" s="381">
        <f t="shared" si="157"/>
        <v>1.2632808714507122</v>
      </c>
      <c r="AW332" s="376">
        <f t="shared" si="132"/>
        <v>1.2632810874803455</v>
      </c>
      <c r="AX332" s="503">
        <f t="shared" si="155"/>
        <v>2.160296099784631E-7</v>
      </c>
      <c r="AY332" s="376">
        <f t="shared" si="133"/>
        <v>2.9336888546700584</v>
      </c>
      <c r="AZ332" s="381">
        <f t="shared" si="148"/>
        <v>1.6702495648599617E-3</v>
      </c>
      <c r="BA332" s="586">
        <f t="shared" si="149"/>
        <v>0.14996233949349688</v>
      </c>
      <c r="BB332" s="376">
        <f t="shared" si="150"/>
        <v>0.84982145386797558</v>
      </c>
      <c r="BC332" s="376">
        <f t="shared" si="151"/>
        <v>0.85003766050650309</v>
      </c>
      <c r="BD332" s="376">
        <f t="shared" si="152"/>
        <v>2.1618326755656891E-4</v>
      </c>
      <c r="BE332" s="283"/>
      <c r="BF332" s="283"/>
      <c r="BG332" s="283"/>
      <c r="BH332" s="283"/>
      <c r="BI332" s="283"/>
      <c r="BJ332" s="283"/>
      <c r="BK332" s="283"/>
      <c r="BL332" s="283"/>
      <c r="BM332" s="283"/>
      <c r="BN332" s="283"/>
      <c r="BO332" s="283"/>
      <c r="BP332" s="283"/>
      <c r="BQ332" s="283"/>
      <c r="BR332" s="283"/>
      <c r="BS332" s="283"/>
      <c r="BT332" s="283"/>
      <c r="BU332" s="283"/>
      <c r="BV332" s="283"/>
      <c r="BW332" s="283"/>
      <c r="BX332" s="283"/>
      <c r="BY332" s="283"/>
      <c r="BZ332" s="283"/>
      <c r="CA332" s="283"/>
      <c r="CB332" s="283"/>
      <c r="CC332" s="283"/>
      <c r="CD332" s="283"/>
      <c r="CE332" s="283"/>
      <c r="CF332" s="283"/>
      <c r="CG332" s="283"/>
      <c r="CH332" s="283"/>
      <c r="CI332" s="283"/>
      <c r="CJ332" s="283"/>
      <c r="CK332" s="283"/>
      <c r="CL332" s="283"/>
    </row>
    <row r="333" spans="1:90" ht="14.25" customHeight="1" x14ac:dyDescent="0.2">
      <c r="A333" s="28"/>
      <c r="B333" s="28"/>
      <c r="C333" s="28"/>
      <c r="D333" s="28"/>
      <c r="E333" s="282"/>
      <c r="F333" s="282"/>
      <c r="G333" s="282"/>
      <c r="H333" s="282"/>
      <c r="I333" s="282"/>
      <c r="J333" s="282"/>
      <c r="K333" s="282"/>
      <c r="L333" s="282"/>
      <c r="M333" s="282"/>
      <c r="N333" s="282"/>
      <c r="O333" s="282"/>
      <c r="P333" s="282"/>
      <c r="Q333" s="282"/>
      <c r="R333" s="282"/>
      <c r="S333" s="374"/>
      <c r="T333" s="373">
        <f t="shared" si="158"/>
        <v>307</v>
      </c>
      <c r="U333" s="374"/>
      <c r="V333" s="568">
        <f t="shared" si="153"/>
        <v>4.6567333774537106E-4</v>
      </c>
      <c r="W333" s="328">
        <f t="shared" si="134"/>
        <v>0.99952254271062591</v>
      </c>
      <c r="X333" s="328">
        <f t="shared" si="135"/>
        <v>0.99953432666225461</v>
      </c>
      <c r="Y333" s="328">
        <f t="shared" si="136"/>
        <v>1.1783882198246332E-5</v>
      </c>
      <c r="Z333" s="374"/>
      <c r="AA333" s="571">
        <f t="shared" si="137"/>
        <v>9.2790477120498344E-3</v>
      </c>
      <c r="AB333" s="327">
        <f t="shared" si="156"/>
        <v>0.9906114324301567</v>
      </c>
      <c r="AC333" s="327">
        <f t="shared" si="138"/>
        <v>0.99072095228795021</v>
      </c>
      <c r="AD333" s="327">
        <f t="shared" si="139"/>
        <v>1.0951386071278435E-4</v>
      </c>
      <c r="AE333" s="383"/>
      <c r="AF333" s="574">
        <f t="shared" si="128"/>
        <v>4.3851126246363892E-2</v>
      </c>
      <c r="AG333" s="376">
        <f t="shared" si="154"/>
        <v>0.95595059303924856</v>
      </c>
      <c r="AH333" s="376">
        <f t="shared" si="140"/>
        <v>0.95614887375363611</v>
      </c>
      <c r="AI333" s="553">
        <f t="shared" si="141"/>
        <v>1.9826105806586281E-4</v>
      </c>
      <c r="AJ333" s="374"/>
      <c r="AK333" s="577">
        <f t="shared" si="129"/>
        <v>5.4362027515071569E-2</v>
      </c>
      <c r="AL333" s="376">
        <f t="shared" si="142"/>
        <v>0.94545882278659754</v>
      </c>
      <c r="AM333" s="376">
        <f t="shared" si="143"/>
        <v>0.94563797248492842</v>
      </c>
      <c r="AN333" s="553">
        <f t="shared" si="144"/>
        <v>1.791336519819664E-4</v>
      </c>
      <c r="AO333" s="554"/>
      <c r="AP333" s="580">
        <f t="shared" si="130"/>
        <v>2.8759362078645268E-3</v>
      </c>
      <c r="AQ333" s="376">
        <f t="shared" si="145"/>
        <v>0.99707287819937407</v>
      </c>
      <c r="AR333" s="379">
        <f t="shared" si="146"/>
        <v>0.99712406379213547</v>
      </c>
      <c r="AS333" s="376">
        <f t="shared" si="147"/>
        <v>5.1184282801264303E-5</v>
      </c>
      <c r="AT333" s="384"/>
      <c r="AU333" s="583">
        <f t="shared" si="131"/>
        <v>0.2827247993475831</v>
      </c>
      <c r="AV333" s="381">
        <f t="shared" si="157"/>
        <v>1.2632810874803455</v>
      </c>
      <c r="AW333" s="376">
        <f t="shared" si="132"/>
        <v>1.2632812949337855</v>
      </c>
      <c r="AX333" s="503">
        <f t="shared" si="155"/>
        <v>2.0745341844374821E-7</v>
      </c>
      <c r="AY333" s="376">
        <f t="shared" si="133"/>
        <v>2.9362551398826517</v>
      </c>
      <c r="AZ333" s="381">
        <f t="shared" si="148"/>
        <v>1.6626166765413438E-3</v>
      </c>
      <c r="BA333" s="586">
        <f t="shared" si="149"/>
        <v>0.14974714675061199</v>
      </c>
      <c r="BB333" s="376">
        <f t="shared" si="150"/>
        <v>0.85003766050650309</v>
      </c>
      <c r="BC333" s="376">
        <f t="shared" si="151"/>
        <v>0.85025285324938804</v>
      </c>
      <c r="BD333" s="376">
        <f t="shared" si="152"/>
        <v>2.1516959058742735E-4</v>
      </c>
      <c r="BE333" s="283"/>
      <c r="BF333" s="283"/>
      <c r="BG333" s="283"/>
      <c r="BH333" s="283"/>
      <c r="BI333" s="283"/>
      <c r="BJ333" s="283"/>
      <c r="BK333" s="283"/>
      <c r="BL333" s="283"/>
      <c r="BM333" s="283"/>
      <c r="BN333" s="283"/>
      <c r="BO333" s="283"/>
      <c r="BP333" s="283"/>
      <c r="BQ333" s="283"/>
      <c r="BR333" s="283"/>
      <c r="BS333" s="283"/>
      <c r="BT333" s="283"/>
      <c r="BU333" s="283"/>
      <c r="BV333" s="283"/>
      <c r="BW333" s="283"/>
      <c r="BX333" s="283"/>
      <c r="BY333" s="283"/>
      <c r="BZ333" s="283"/>
      <c r="CA333" s="283"/>
      <c r="CB333" s="283"/>
      <c r="CC333" s="283"/>
      <c r="CD333" s="283"/>
      <c r="CE333" s="283"/>
      <c r="CF333" s="283"/>
      <c r="CG333" s="283"/>
      <c r="CH333" s="283"/>
      <c r="CI333" s="283"/>
      <c r="CJ333" s="283"/>
      <c r="CK333" s="283"/>
      <c r="CL333" s="283"/>
    </row>
    <row r="334" spans="1:90" ht="14.25" customHeight="1" x14ac:dyDescent="0.2">
      <c r="A334" s="28"/>
      <c r="B334" s="28"/>
      <c r="C334" s="28"/>
      <c r="D334" s="28"/>
      <c r="E334" s="282"/>
      <c r="F334" s="282"/>
      <c r="G334" s="282"/>
      <c r="H334" s="282"/>
      <c r="I334" s="282"/>
      <c r="J334" s="282"/>
      <c r="K334" s="282"/>
      <c r="L334" s="282"/>
      <c r="M334" s="282"/>
      <c r="N334" s="282"/>
      <c r="O334" s="282"/>
      <c r="P334" s="282"/>
      <c r="Q334" s="282"/>
      <c r="R334" s="282"/>
      <c r="S334" s="374"/>
      <c r="T334" s="373">
        <f t="shared" si="158"/>
        <v>308</v>
      </c>
      <c r="U334" s="374"/>
      <c r="V334" s="568">
        <f t="shared" si="153"/>
        <v>4.5418022158841276E-4</v>
      </c>
      <c r="W334" s="328">
        <f t="shared" si="134"/>
        <v>0.99953432666225461</v>
      </c>
      <c r="X334" s="328">
        <f t="shared" si="135"/>
        <v>0.99954581977841161</v>
      </c>
      <c r="Y334" s="328">
        <f t="shared" si="136"/>
        <v>1.149305011138857E-5</v>
      </c>
      <c r="Z334" s="374"/>
      <c r="AA334" s="571">
        <f t="shared" si="137"/>
        <v>9.1708862182813683E-3</v>
      </c>
      <c r="AB334" s="327">
        <f t="shared" si="156"/>
        <v>0.99072095228795021</v>
      </c>
      <c r="AC334" s="327">
        <f t="shared" si="138"/>
        <v>0.99082911378171867</v>
      </c>
      <c r="AD334" s="327">
        <f t="shared" si="139"/>
        <v>1.0815564452504312E-4</v>
      </c>
      <c r="AE334" s="383"/>
      <c r="AF334" s="574">
        <f t="shared" si="128"/>
        <v>4.3654207415295021E-2</v>
      </c>
      <c r="AG334" s="376">
        <f t="shared" si="154"/>
        <v>0.95614887375363611</v>
      </c>
      <c r="AH334" s="376">
        <f t="shared" si="140"/>
        <v>0.95634579258470498</v>
      </c>
      <c r="AI334" s="553">
        <f t="shared" si="141"/>
        <v>1.9689944382850211E-4</v>
      </c>
      <c r="AJ334" s="374"/>
      <c r="AK334" s="577">
        <f t="shared" si="129"/>
        <v>5.4184012440980672E-2</v>
      </c>
      <c r="AL334" s="376">
        <f t="shared" si="142"/>
        <v>0.94563797248492842</v>
      </c>
      <c r="AM334" s="376">
        <f t="shared" si="143"/>
        <v>0.9458159875590193</v>
      </c>
      <c r="AN334" s="553">
        <f t="shared" si="144"/>
        <v>1.7799923034778065E-4</v>
      </c>
      <c r="AO334" s="554"/>
      <c r="AP334" s="580">
        <f t="shared" si="130"/>
        <v>2.8256512863348293E-3</v>
      </c>
      <c r="AQ334" s="376">
        <f t="shared" si="145"/>
        <v>0.99712406379213547</v>
      </c>
      <c r="AR334" s="379">
        <f t="shared" si="146"/>
        <v>0.99717434871366517</v>
      </c>
      <c r="AS334" s="376">
        <f t="shared" si="147"/>
        <v>5.0283657264227344E-5</v>
      </c>
      <c r="AT334" s="384"/>
      <c r="AU334" s="583">
        <f t="shared" si="131"/>
        <v>0.28272474302380041</v>
      </c>
      <c r="AV334" s="381">
        <f t="shared" si="157"/>
        <v>1.2632812949337855</v>
      </c>
      <c r="AW334" s="376">
        <f t="shared" si="132"/>
        <v>1.2632814941514998</v>
      </c>
      <c r="AX334" s="503">
        <f t="shared" si="155"/>
        <v>1.9921769445208071E-7</v>
      </c>
      <c r="AY334" s="376">
        <f t="shared" si="133"/>
        <v>2.9388130794375433</v>
      </c>
      <c r="AZ334" s="381">
        <f t="shared" si="148"/>
        <v>1.6550433224738299E-3</v>
      </c>
      <c r="BA334" s="586">
        <f t="shared" si="149"/>
        <v>0.14953295987677792</v>
      </c>
      <c r="BB334" s="376">
        <f t="shared" si="150"/>
        <v>0.85025285324938804</v>
      </c>
      <c r="BC334" s="376">
        <f t="shared" si="151"/>
        <v>0.85046704012322205</v>
      </c>
      <c r="BD334" s="376">
        <f t="shared" si="152"/>
        <v>2.1416393746309659E-4</v>
      </c>
      <c r="BE334" s="283"/>
      <c r="BF334" s="283"/>
      <c r="BG334" s="283"/>
      <c r="BH334" s="283"/>
      <c r="BI334" s="283"/>
      <c r="BJ334" s="283"/>
      <c r="BK334" s="283"/>
      <c r="BL334" s="283"/>
      <c r="BM334" s="283"/>
      <c r="BN334" s="283"/>
      <c r="BO334" s="283"/>
      <c r="BP334" s="283"/>
      <c r="BQ334" s="283"/>
      <c r="BR334" s="283"/>
      <c r="BS334" s="283"/>
      <c r="BT334" s="283"/>
      <c r="BU334" s="283"/>
      <c r="BV334" s="283"/>
      <c r="BW334" s="283"/>
      <c r="BX334" s="283"/>
      <c r="BY334" s="283"/>
      <c r="BZ334" s="283"/>
      <c r="CA334" s="283"/>
      <c r="CB334" s="283"/>
      <c r="CC334" s="283"/>
      <c r="CD334" s="283"/>
      <c r="CE334" s="283"/>
      <c r="CF334" s="283"/>
      <c r="CG334" s="283"/>
      <c r="CH334" s="283"/>
      <c r="CI334" s="283"/>
      <c r="CJ334" s="283"/>
      <c r="CK334" s="283"/>
      <c r="CL334" s="283"/>
    </row>
    <row r="335" spans="1:90" ht="14.25" customHeight="1" x14ac:dyDescent="0.2">
      <c r="A335" s="28"/>
      <c r="B335" s="28"/>
      <c r="C335" s="28"/>
      <c r="D335" s="28"/>
      <c r="E335" s="282"/>
      <c r="F335" s="282"/>
      <c r="G335" s="282"/>
      <c r="H335" s="282"/>
      <c r="I335" s="282"/>
      <c r="J335" s="282"/>
      <c r="K335" s="282"/>
      <c r="L335" s="282"/>
      <c r="M335" s="282"/>
      <c r="N335" s="282"/>
      <c r="O335" s="282"/>
      <c r="P335" s="282"/>
      <c r="Q335" s="282"/>
      <c r="R335" s="282"/>
      <c r="S335" s="374"/>
      <c r="T335" s="373">
        <f t="shared" si="158"/>
        <v>309</v>
      </c>
      <c r="U335" s="374"/>
      <c r="V335" s="568">
        <f t="shared" si="153"/>
        <v>4.4297076289751615E-4</v>
      </c>
      <c r="W335" s="328">
        <f t="shared" si="134"/>
        <v>0.99954581977841161</v>
      </c>
      <c r="X335" s="328">
        <f t="shared" si="135"/>
        <v>0.99955702923710243</v>
      </c>
      <c r="Y335" s="328">
        <f t="shared" si="136"/>
        <v>1.1209395865074967E-5</v>
      </c>
      <c r="Z335" s="374"/>
      <c r="AA335" s="571">
        <f t="shared" si="137"/>
        <v>9.0640650412603056E-3</v>
      </c>
      <c r="AB335" s="327">
        <f t="shared" si="156"/>
        <v>0.99082911378171867</v>
      </c>
      <c r="AC335" s="327">
        <f t="shared" si="138"/>
        <v>0.99093593495873966</v>
      </c>
      <c r="AD335" s="327">
        <f t="shared" si="139"/>
        <v>1.0681547184221429E-4</v>
      </c>
      <c r="AE335" s="383"/>
      <c r="AF335" s="574">
        <f t="shared" si="128"/>
        <v>4.3458637618984719E-2</v>
      </c>
      <c r="AG335" s="376">
        <f t="shared" si="154"/>
        <v>0.95634579258470498</v>
      </c>
      <c r="AH335" s="376">
        <f t="shared" si="140"/>
        <v>0.95654136238101528</v>
      </c>
      <c r="AI335" s="553">
        <f t="shared" si="141"/>
        <v>1.9555067378429491E-4</v>
      </c>
      <c r="AJ335" s="374"/>
      <c r="AK335" s="577">
        <f t="shared" si="129"/>
        <v>5.400712137422934E-2</v>
      </c>
      <c r="AL335" s="376">
        <f t="shared" si="142"/>
        <v>0.9458159875590193</v>
      </c>
      <c r="AM335" s="376">
        <f t="shared" si="143"/>
        <v>0.94599287862577064</v>
      </c>
      <c r="AN335" s="553">
        <f t="shared" si="144"/>
        <v>1.7687542244904098E-4</v>
      </c>
      <c r="AO335" s="554"/>
      <c r="AP335" s="580">
        <f t="shared" si="130"/>
        <v>2.776251058380419E-3</v>
      </c>
      <c r="AQ335" s="376">
        <f t="shared" si="145"/>
        <v>0.99717434871366517</v>
      </c>
      <c r="AR335" s="379">
        <f t="shared" si="146"/>
        <v>0.99722374894161958</v>
      </c>
      <c r="AS335" s="376">
        <f t="shared" si="147"/>
        <v>4.9399007783224036E-5</v>
      </c>
      <c r="AT335" s="384"/>
      <c r="AU335" s="583">
        <f t="shared" si="131"/>
        <v>0.28272468893603464</v>
      </c>
      <c r="AV335" s="381">
        <f t="shared" si="157"/>
        <v>1.2632814941514998</v>
      </c>
      <c r="AW335" s="376">
        <f t="shared" si="132"/>
        <v>1.2632816854604401</v>
      </c>
      <c r="AX335" s="503">
        <f t="shared" si="155"/>
        <v>1.9130892192631421E-7</v>
      </c>
      <c r="AY335" s="376">
        <f t="shared" si="133"/>
        <v>2.9413627274396266</v>
      </c>
      <c r="AZ335" s="381">
        <f t="shared" si="148"/>
        <v>1.6475288472686082E-3</v>
      </c>
      <c r="BA335" s="586">
        <f t="shared" si="149"/>
        <v>0.1493197709346713</v>
      </c>
      <c r="BB335" s="376">
        <f t="shared" si="150"/>
        <v>0.85046704012322205</v>
      </c>
      <c r="BC335" s="376">
        <f t="shared" si="151"/>
        <v>0.8506802290653287</v>
      </c>
      <c r="BD335" s="376">
        <f t="shared" si="152"/>
        <v>2.1316621895894894E-4</v>
      </c>
      <c r="BE335" s="283"/>
      <c r="BF335" s="283"/>
      <c r="BG335" s="283"/>
      <c r="BH335" s="283"/>
      <c r="BI335" s="283"/>
      <c r="BJ335" s="283"/>
      <c r="BK335" s="283"/>
      <c r="BL335" s="283"/>
      <c r="BM335" s="283"/>
      <c r="BN335" s="283"/>
      <c r="BO335" s="283"/>
      <c r="BP335" s="283"/>
      <c r="BQ335" s="283"/>
      <c r="BR335" s="283"/>
      <c r="BS335" s="283"/>
      <c r="BT335" s="283"/>
      <c r="BU335" s="283"/>
      <c r="BV335" s="283"/>
      <c r="BW335" s="283"/>
      <c r="BX335" s="283"/>
      <c r="BY335" s="283"/>
      <c r="BZ335" s="283"/>
      <c r="CA335" s="283"/>
      <c r="CB335" s="283"/>
      <c r="CC335" s="283"/>
      <c r="CD335" s="283"/>
      <c r="CE335" s="283"/>
      <c r="CF335" s="283"/>
      <c r="CG335" s="283"/>
      <c r="CH335" s="283"/>
      <c r="CI335" s="283"/>
      <c r="CJ335" s="283"/>
      <c r="CK335" s="283"/>
      <c r="CL335" s="283"/>
    </row>
    <row r="336" spans="1:90" ht="14.25" customHeight="1" x14ac:dyDescent="0.2">
      <c r="A336" s="28"/>
      <c r="B336" s="28"/>
      <c r="C336" s="28"/>
      <c r="D336" s="282"/>
      <c r="E336" s="282"/>
      <c r="F336" s="282"/>
      <c r="G336" s="282"/>
      <c r="H336" s="282"/>
      <c r="I336" s="282"/>
      <c r="J336" s="282"/>
      <c r="K336" s="282"/>
      <c r="L336" s="282"/>
      <c r="M336" s="282"/>
      <c r="N336" s="282"/>
      <c r="O336" s="282"/>
      <c r="P336" s="282"/>
      <c r="Q336" s="282"/>
      <c r="R336" s="282"/>
      <c r="S336" s="374"/>
      <c r="T336" s="373">
        <f t="shared" si="158"/>
        <v>310</v>
      </c>
      <c r="U336" s="374"/>
      <c r="V336" s="568">
        <f t="shared" si="153"/>
        <v>4.320379608247864E-4</v>
      </c>
      <c r="W336" s="328">
        <f t="shared" si="134"/>
        <v>0.99955702923710243</v>
      </c>
      <c r="X336" s="328">
        <f t="shared" si="135"/>
        <v>0.9995679620391752</v>
      </c>
      <c r="Y336" s="328">
        <f t="shared" si="136"/>
        <v>1.0932742309899268E-5</v>
      </c>
      <c r="Z336" s="374"/>
      <c r="AA336" s="571">
        <f t="shared" si="137"/>
        <v>8.9585663926288368E-3</v>
      </c>
      <c r="AB336" s="327">
        <f t="shared" si="156"/>
        <v>0.99093593495873966</v>
      </c>
      <c r="AC336" s="327">
        <f t="shared" si="138"/>
        <v>0.99104143360737118</v>
      </c>
      <c r="AD336" s="327">
        <f t="shared" si="139"/>
        <v>1.0549308384477651E-4</v>
      </c>
      <c r="AE336" s="383"/>
      <c r="AF336" s="574">
        <f t="shared" si="128"/>
        <v>4.3264404164575332E-2</v>
      </c>
      <c r="AG336" s="376">
        <f t="shared" si="154"/>
        <v>0.95654136238101528</v>
      </c>
      <c r="AH336" s="376">
        <f t="shared" si="140"/>
        <v>0.95673559583542467</v>
      </c>
      <c r="AI336" s="553">
        <f t="shared" si="141"/>
        <v>1.9421459231316884E-4</v>
      </c>
      <c r="AJ336" s="374"/>
      <c r="AK336" s="577">
        <f t="shared" si="129"/>
        <v>5.383134382912115E-2</v>
      </c>
      <c r="AL336" s="376">
        <f t="shared" si="142"/>
        <v>0.94599287862577064</v>
      </c>
      <c r="AM336" s="376">
        <f t="shared" si="143"/>
        <v>0.94616865617087886</v>
      </c>
      <c r="AN336" s="553">
        <f t="shared" si="144"/>
        <v>1.7576209714065261E-4</v>
      </c>
      <c r="AO336" s="554"/>
      <c r="AP336" s="580">
        <f t="shared" si="130"/>
        <v>2.7277198328614638E-3</v>
      </c>
      <c r="AQ336" s="376">
        <f t="shared" si="145"/>
        <v>0.99722374894161958</v>
      </c>
      <c r="AR336" s="379">
        <f t="shared" si="146"/>
        <v>0.99727228016713854</v>
      </c>
      <c r="AS336" s="376">
        <f t="shared" si="147"/>
        <v>4.8530047898065476E-5</v>
      </c>
      <c r="AT336" s="384"/>
      <c r="AU336" s="583">
        <f t="shared" si="131"/>
        <v>0.28272463699551703</v>
      </c>
      <c r="AV336" s="381">
        <f t="shared" si="157"/>
        <v>1.2632816854604401</v>
      </c>
      <c r="AW336" s="376">
        <f t="shared" si="132"/>
        <v>1.2632818691745775</v>
      </c>
      <c r="AX336" s="503">
        <f t="shared" si="155"/>
        <v>1.8371412058293402E-7</v>
      </c>
      <c r="AY336" s="376">
        <f t="shared" si="133"/>
        <v>2.9439041374693486</v>
      </c>
      <c r="AZ336" s="381">
        <f t="shared" si="148"/>
        <v>1.6400726048413044E-3</v>
      </c>
      <c r="BA336" s="586">
        <f t="shared" si="149"/>
        <v>0.14910757207496089</v>
      </c>
      <c r="BB336" s="376">
        <f t="shared" si="150"/>
        <v>0.8506802290653287</v>
      </c>
      <c r="BC336" s="376">
        <f t="shared" si="151"/>
        <v>0.85089242792503916</v>
      </c>
      <c r="BD336" s="376">
        <f t="shared" si="152"/>
        <v>2.1217634712489275E-4</v>
      </c>
      <c r="BE336" s="283"/>
      <c r="BF336" s="283"/>
      <c r="BG336" s="283"/>
      <c r="BH336" s="283"/>
      <c r="BI336" s="283"/>
      <c r="BJ336" s="283"/>
      <c r="BK336" s="283"/>
      <c r="BL336" s="283"/>
      <c r="BM336" s="283"/>
      <c r="BN336" s="283"/>
      <c r="BO336" s="283"/>
      <c r="BP336" s="283"/>
      <c r="BQ336" s="283"/>
      <c r="BR336" s="283"/>
      <c r="BS336" s="283"/>
      <c r="BT336" s="283"/>
      <c r="BU336" s="283"/>
      <c r="BV336" s="283"/>
      <c r="BW336" s="283"/>
      <c r="BX336" s="283"/>
      <c r="BY336" s="283"/>
      <c r="BZ336" s="283"/>
      <c r="CA336" s="283"/>
      <c r="CB336" s="283"/>
      <c r="CC336" s="283"/>
      <c r="CD336" s="283"/>
      <c r="CE336" s="283"/>
      <c r="CF336" s="283"/>
      <c r="CG336" s="283"/>
      <c r="CH336" s="283"/>
      <c r="CI336" s="283"/>
      <c r="CJ336" s="283"/>
      <c r="CK336" s="283"/>
      <c r="CL336" s="283"/>
    </row>
    <row r="337" spans="1:90" ht="14.25" customHeight="1" x14ac:dyDescent="0.2">
      <c r="A337" s="28"/>
      <c r="B337" s="28"/>
      <c r="C337" s="28"/>
      <c r="D337" s="282"/>
      <c r="E337" s="282"/>
      <c r="F337" s="282"/>
      <c r="G337" s="282"/>
      <c r="H337" s="282"/>
      <c r="I337" s="282"/>
      <c r="J337" s="282"/>
      <c r="K337" s="282"/>
      <c r="L337" s="282"/>
      <c r="M337" s="282"/>
      <c r="N337" s="282"/>
      <c r="O337" s="282"/>
      <c r="P337" s="282"/>
      <c r="Q337" s="282"/>
      <c r="R337" s="282"/>
      <c r="S337" s="374"/>
      <c r="T337" s="373">
        <f t="shared" si="158"/>
        <v>311</v>
      </c>
      <c r="U337" s="374"/>
      <c r="V337" s="568">
        <f t="shared" si="153"/>
        <v>4.2137498730773743E-4</v>
      </c>
      <c r="W337" s="328">
        <f t="shared" si="134"/>
        <v>0.9995679620391752</v>
      </c>
      <c r="X337" s="328">
        <f t="shared" si="135"/>
        <v>0.99957862501269223</v>
      </c>
      <c r="Y337" s="328">
        <f t="shared" si="136"/>
        <v>1.0662916667736333E-5</v>
      </c>
      <c r="Z337" s="374"/>
      <c r="AA337" s="571">
        <f t="shared" si="137"/>
        <v>8.854372738904992E-3</v>
      </c>
      <c r="AB337" s="327">
        <f t="shared" si="156"/>
        <v>0.99104143360737118</v>
      </c>
      <c r="AC337" s="327">
        <f t="shared" si="138"/>
        <v>0.99114562726109501</v>
      </c>
      <c r="AD337" s="327">
        <f t="shared" si="139"/>
        <v>1.0418822575364306E-4</v>
      </c>
      <c r="AE337" s="383"/>
      <c r="AF337" s="574">
        <f t="shared" si="128"/>
        <v>4.3071494512595287E-2</v>
      </c>
      <c r="AG337" s="376">
        <f t="shared" si="154"/>
        <v>0.95673559583542467</v>
      </c>
      <c r="AH337" s="376">
        <f t="shared" si="140"/>
        <v>0.95692850548740471</v>
      </c>
      <c r="AI337" s="553">
        <f t="shared" si="141"/>
        <v>1.9289104610953345E-4</v>
      </c>
      <c r="AJ337" s="374"/>
      <c r="AK337" s="577">
        <f t="shared" si="129"/>
        <v>5.3656669449151533E-2</v>
      </c>
      <c r="AL337" s="376">
        <f t="shared" si="142"/>
        <v>0.94616865617087886</v>
      </c>
      <c r="AM337" s="376">
        <f t="shared" si="143"/>
        <v>0.94634333055084852</v>
      </c>
      <c r="AN337" s="553">
        <f t="shared" si="144"/>
        <v>1.746591252883567E-4</v>
      </c>
      <c r="AO337" s="554"/>
      <c r="AP337" s="580">
        <f t="shared" si="130"/>
        <v>2.6800421999407797E-3</v>
      </c>
      <c r="AQ337" s="376">
        <f t="shared" si="145"/>
        <v>0.99727228016713854</v>
      </c>
      <c r="AR337" s="379">
        <f t="shared" si="146"/>
        <v>0.99731995780005922</v>
      </c>
      <c r="AS337" s="376">
        <f t="shared" si="147"/>
        <v>4.7676496360393728E-5</v>
      </c>
      <c r="AT337" s="384"/>
      <c r="AU337" s="583">
        <f t="shared" si="131"/>
        <v>0.28272458711700288</v>
      </c>
      <c r="AV337" s="381">
        <f t="shared" si="157"/>
        <v>1.2632818691745775</v>
      </c>
      <c r="AW337" s="376">
        <f t="shared" si="132"/>
        <v>1.2632820455954197</v>
      </c>
      <c r="AX337" s="503">
        <f t="shared" si="155"/>
        <v>1.7642082661417646E-7</v>
      </c>
      <c r="AY337" s="376">
        <f t="shared" si="133"/>
        <v>2.9464373625894722</v>
      </c>
      <c r="AZ337" s="381">
        <f t="shared" si="148"/>
        <v>1.6326739582503975E-3</v>
      </c>
      <c r="BA337" s="586">
        <f t="shared" si="149"/>
        <v>0.14889635553505223</v>
      </c>
      <c r="BB337" s="376">
        <f t="shared" si="150"/>
        <v>0.85089242792503916</v>
      </c>
      <c r="BC337" s="376">
        <f t="shared" si="151"/>
        <v>0.8511036444649478</v>
      </c>
      <c r="BD337" s="376">
        <f t="shared" si="152"/>
        <v>2.1119423526561043E-4</v>
      </c>
      <c r="BE337" s="283"/>
      <c r="BF337" s="283"/>
      <c r="BG337" s="283"/>
      <c r="BH337" s="283"/>
      <c r="BI337" s="283"/>
      <c r="BJ337" s="283"/>
      <c r="BK337" s="283"/>
      <c r="BL337" s="283"/>
      <c r="BM337" s="283"/>
      <c r="BN337" s="283"/>
      <c r="BO337" s="283"/>
      <c r="BP337" s="283"/>
      <c r="BQ337" s="283"/>
      <c r="BR337" s="283"/>
      <c r="BS337" s="283"/>
      <c r="BT337" s="283"/>
      <c r="BU337" s="283"/>
      <c r="BV337" s="283"/>
      <c r="BW337" s="283"/>
      <c r="BX337" s="283"/>
      <c r="BY337" s="283"/>
      <c r="BZ337" s="283"/>
      <c r="CA337" s="283"/>
      <c r="CB337" s="283"/>
      <c r="CC337" s="283"/>
      <c r="CD337" s="283"/>
      <c r="CE337" s="283"/>
      <c r="CF337" s="283"/>
      <c r="CG337" s="283"/>
      <c r="CH337" s="283"/>
      <c r="CI337" s="283"/>
      <c r="CJ337" s="283"/>
      <c r="CK337" s="283"/>
      <c r="CL337" s="283"/>
    </row>
    <row r="338" spans="1:90" ht="14.25" customHeight="1" x14ac:dyDescent="0.2">
      <c r="A338" s="28"/>
      <c r="B338" s="28"/>
      <c r="C338" s="28"/>
      <c r="D338" s="282"/>
      <c r="E338" s="282"/>
      <c r="F338" s="282"/>
      <c r="G338" s="282"/>
      <c r="H338" s="282"/>
      <c r="I338" s="282"/>
      <c r="J338" s="282"/>
      <c r="K338" s="282"/>
      <c r="L338" s="282"/>
      <c r="M338" s="282"/>
      <c r="N338" s="282"/>
      <c r="O338" s="282"/>
      <c r="P338" s="282"/>
      <c r="Q338" s="282"/>
      <c r="R338" s="282"/>
      <c r="S338" s="374"/>
      <c r="T338" s="373">
        <f t="shared" si="158"/>
        <v>312</v>
      </c>
      <c r="U338" s="374"/>
      <c r="V338" s="568">
        <f t="shared" si="153"/>
        <v>4.1097518280483773E-4</v>
      </c>
      <c r="W338" s="328">
        <f t="shared" si="134"/>
        <v>0.99957862501269223</v>
      </c>
      <c r="X338" s="328">
        <f t="shared" si="135"/>
        <v>0.99958902481719514</v>
      </c>
      <c r="Y338" s="328">
        <f t="shared" si="136"/>
        <v>1.0399750425160725E-5</v>
      </c>
      <c r="Z338" s="374"/>
      <c r="AA338" s="571">
        <f t="shared" si="137"/>
        <v>8.7514667975079324E-3</v>
      </c>
      <c r="AB338" s="327">
        <f t="shared" si="156"/>
        <v>0.99114562726109501</v>
      </c>
      <c r="AC338" s="327">
        <f t="shared" si="138"/>
        <v>0.99124853320249207</v>
      </c>
      <c r="AD338" s="327">
        <f t="shared" si="139"/>
        <v>1.0290064676232724E-4</v>
      </c>
      <c r="AE338" s="383"/>
      <c r="AF338" s="574">
        <f t="shared" si="128"/>
        <v>4.2879896274684248E-2</v>
      </c>
      <c r="AG338" s="376">
        <f t="shared" si="154"/>
        <v>0.95692850548740471</v>
      </c>
      <c r="AH338" s="376">
        <f t="shared" si="140"/>
        <v>0.95712010372531575</v>
      </c>
      <c r="AI338" s="553">
        <f t="shared" si="141"/>
        <v>1.9157988414086891E-4</v>
      </c>
      <c r="AJ338" s="374"/>
      <c r="AK338" s="577">
        <f t="shared" si="129"/>
        <v>5.348308800503198E-2</v>
      </c>
      <c r="AL338" s="376">
        <f t="shared" si="142"/>
        <v>0.94634333055084852</v>
      </c>
      <c r="AM338" s="376">
        <f t="shared" si="143"/>
        <v>0.94651691199496801</v>
      </c>
      <c r="AN338" s="553">
        <f t="shared" si="144"/>
        <v>1.7356637973231503E-4</v>
      </c>
      <c r="AO338" s="554"/>
      <c r="AP338" s="580">
        <f t="shared" si="130"/>
        <v>2.6332030259667016E-3</v>
      </c>
      <c r="AQ338" s="376">
        <f t="shared" si="145"/>
        <v>0.99731995780005922</v>
      </c>
      <c r="AR338" s="379">
        <f t="shared" si="146"/>
        <v>0.9973667969740333</v>
      </c>
      <c r="AS338" s="376">
        <f t="shared" si="147"/>
        <v>4.6838077037092418E-5</v>
      </c>
      <c r="AT338" s="384"/>
      <c r="AU338" s="583">
        <f t="shared" si="131"/>
        <v>0.28272453921863172</v>
      </c>
      <c r="AV338" s="381">
        <f t="shared" si="157"/>
        <v>1.2632820455954197</v>
      </c>
      <c r="AW338" s="376">
        <f t="shared" si="132"/>
        <v>1.263282215012504</v>
      </c>
      <c r="AX338" s="503">
        <f t="shared" si="155"/>
        <v>1.6941707003947926E-7</v>
      </c>
      <c r="AY338" s="376">
        <f t="shared" si="133"/>
        <v>2.9489624553517206</v>
      </c>
      <c r="AZ338" s="381">
        <f t="shared" si="148"/>
        <v>1.6253322795389792E-3</v>
      </c>
      <c r="BA338" s="586">
        <f t="shared" si="149"/>
        <v>0.14868611363785458</v>
      </c>
      <c r="BB338" s="376">
        <f t="shared" si="150"/>
        <v>0.8511036444649478</v>
      </c>
      <c r="BC338" s="376">
        <f t="shared" si="151"/>
        <v>0.85131388636214544</v>
      </c>
      <c r="BD338" s="376">
        <f t="shared" si="152"/>
        <v>2.1021979791868706E-4</v>
      </c>
      <c r="BE338" s="283"/>
      <c r="BF338" s="283"/>
      <c r="BG338" s="283"/>
      <c r="BH338" s="283"/>
      <c r="BI338" s="283"/>
      <c r="BJ338" s="283"/>
      <c r="BK338" s="283"/>
      <c r="BL338" s="283"/>
      <c r="BM338" s="283"/>
      <c r="BN338" s="283"/>
      <c r="BO338" s="283"/>
      <c r="BP338" s="283"/>
      <c r="BQ338" s="283"/>
      <c r="BR338" s="283"/>
      <c r="BS338" s="283"/>
      <c r="BT338" s="283"/>
      <c r="BU338" s="283"/>
      <c r="BV338" s="283"/>
      <c r="BW338" s="283"/>
      <c r="BX338" s="283"/>
      <c r="BY338" s="283"/>
      <c r="BZ338" s="283"/>
      <c r="CA338" s="283"/>
      <c r="CB338" s="283"/>
      <c r="CC338" s="283"/>
      <c r="CD338" s="283"/>
      <c r="CE338" s="283"/>
      <c r="CF338" s="283"/>
      <c r="CG338" s="283"/>
      <c r="CH338" s="283"/>
      <c r="CI338" s="283"/>
      <c r="CJ338" s="283"/>
      <c r="CK338" s="283"/>
      <c r="CL338" s="283"/>
    </row>
    <row r="339" spans="1:90" ht="14.25" customHeight="1" x14ac:dyDescent="0.2">
      <c r="A339" s="28"/>
      <c r="B339" s="28"/>
      <c r="C339" s="28"/>
      <c r="D339" s="282"/>
      <c r="E339" s="282"/>
      <c r="F339" s="282"/>
      <c r="G339" s="282"/>
      <c r="H339" s="282"/>
      <c r="I339" s="282"/>
      <c r="J339" s="282"/>
      <c r="K339" s="282"/>
      <c r="L339" s="282"/>
      <c r="M339" s="282"/>
      <c r="N339" s="282"/>
      <c r="O339" s="282"/>
      <c r="P339" s="282"/>
      <c r="Q339" s="282"/>
      <c r="R339" s="282"/>
      <c r="S339" s="374"/>
      <c r="T339" s="373">
        <f t="shared" si="158"/>
        <v>313</v>
      </c>
      <c r="U339" s="374"/>
      <c r="V339" s="568">
        <f t="shared" si="153"/>
        <v>4.0083205213630477E-4</v>
      </c>
      <c r="W339" s="328">
        <f t="shared" si="134"/>
        <v>0.99958902481719514</v>
      </c>
      <c r="X339" s="328">
        <f t="shared" si="135"/>
        <v>0.99959916794786374</v>
      </c>
      <c r="Y339" s="328">
        <f t="shared" si="136"/>
        <v>1.0143079227198371E-5</v>
      </c>
      <c r="Z339" s="374"/>
      <c r="AA339" s="571">
        <f t="shared" si="137"/>
        <v>8.6498315328511193E-3</v>
      </c>
      <c r="AB339" s="327">
        <f t="shared" si="156"/>
        <v>0.99124853320249207</v>
      </c>
      <c r="AC339" s="327">
        <f t="shared" si="138"/>
        <v>0.99135016846714885</v>
      </c>
      <c r="AD339" s="327">
        <f t="shared" si="139"/>
        <v>1.0163009996821959E-4</v>
      </c>
      <c r="AE339" s="383"/>
      <c r="AF339" s="574">
        <f t="shared" si="128"/>
        <v>4.2689597211358121E-2</v>
      </c>
      <c r="AG339" s="376">
        <f t="shared" si="154"/>
        <v>0.95712010372531575</v>
      </c>
      <c r="AH339" s="376">
        <f t="shared" si="140"/>
        <v>0.95731040278864188</v>
      </c>
      <c r="AI339" s="553">
        <f t="shared" si="141"/>
        <v>1.9028095760786901E-4</v>
      </c>
      <c r="AJ339" s="374"/>
      <c r="AK339" s="577">
        <f t="shared" si="129"/>
        <v>5.3310589392750983E-2</v>
      </c>
      <c r="AL339" s="376">
        <f t="shared" si="142"/>
        <v>0.94651691199496801</v>
      </c>
      <c r="AM339" s="376">
        <f t="shared" si="143"/>
        <v>0.94668941060724898</v>
      </c>
      <c r="AN339" s="553">
        <f t="shared" si="144"/>
        <v>1.7248373525080574E-4</v>
      </c>
      <c r="AO339" s="554"/>
      <c r="AP339" s="580">
        <f t="shared" si="130"/>
        <v>2.5871874484515445E-3</v>
      </c>
      <c r="AQ339" s="376">
        <f t="shared" si="145"/>
        <v>0.9973667969740333</v>
      </c>
      <c r="AR339" s="379">
        <f t="shared" si="146"/>
        <v>0.99741281255154846</v>
      </c>
      <c r="AS339" s="376">
        <f t="shared" si="147"/>
        <v>4.6014518814696537E-5</v>
      </c>
      <c r="AT339" s="384"/>
      <c r="AU339" s="583">
        <f t="shared" si="131"/>
        <v>0.28272449322179288</v>
      </c>
      <c r="AV339" s="381">
        <f t="shared" si="157"/>
        <v>1.263282215012504</v>
      </c>
      <c r="AW339" s="376">
        <f t="shared" si="132"/>
        <v>1.2632823777038737</v>
      </c>
      <c r="AX339" s="503">
        <f t="shared" si="155"/>
        <v>1.6269135649782385E-7</v>
      </c>
      <c r="AY339" s="376">
        <f t="shared" si="133"/>
        <v>2.9514794678033169</v>
      </c>
      <c r="AZ339" s="381">
        <f t="shared" si="148"/>
        <v>1.6180469495797353E-3</v>
      </c>
      <c r="BA339" s="586">
        <f t="shared" si="149"/>
        <v>0.14847683879057089</v>
      </c>
      <c r="BB339" s="376">
        <f t="shared" si="150"/>
        <v>0.85131388636214544</v>
      </c>
      <c r="BC339" s="376">
        <f t="shared" si="151"/>
        <v>0.85152316120942917</v>
      </c>
      <c r="BD339" s="376">
        <f t="shared" si="152"/>
        <v>2.0925295083040751E-4</v>
      </c>
      <c r="BE339" s="283"/>
      <c r="BF339" s="283"/>
      <c r="BG339" s="283"/>
      <c r="BH339" s="283"/>
      <c r="BI339" s="283"/>
      <c r="BJ339" s="283"/>
      <c r="BK339" s="283"/>
      <c r="BL339" s="283"/>
      <c r="BM339" s="283"/>
      <c r="BN339" s="283"/>
      <c r="BO339" s="283"/>
      <c r="BP339" s="283"/>
      <c r="BQ339" s="283"/>
      <c r="BR339" s="283"/>
      <c r="BS339" s="283"/>
      <c r="BT339" s="283"/>
      <c r="BU339" s="283"/>
      <c r="BV339" s="283"/>
      <c r="BW339" s="283"/>
      <c r="BX339" s="283"/>
      <c r="BY339" s="283"/>
      <c r="BZ339" s="283"/>
      <c r="CA339" s="283"/>
      <c r="CB339" s="283"/>
      <c r="CC339" s="283"/>
      <c r="CD339" s="283"/>
      <c r="CE339" s="283"/>
      <c r="CF339" s="283"/>
      <c r="CG339" s="283"/>
      <c r="CH339" s="283"/>
      <c r="CI339" s="283"/>
      <c r="CJ339" s="283"/>
      <c r="CK339" s="283"/>
      <c r="CL339" s="283"/>
    </row>
    <row r="340" spans="1:90" ht="14.25" customHeight="1" x14ac:dyDescent="0.2">
      <c r="A340" s="28"/>
      <c r="B340" s="28"/>
      <c r="C340" s="28"/>
      <c r="D340" s="282"/>
      <c r="E340" s="282"/>
      <c r="F340" s="282"/>
      <c r="G340" s="282"/>
      <c r="H340" s="282"/>
      <c r="I340" s="282"/>
      <c r="J340" s="282"/>
      <c r="K340" s="282"/>
      <c r="L340" s="282"/>
      <c r="M340" s="282"/>
      <c r="N340" s="282"/>
      <c r="O340" s="282"/>
      <c r="P340" s="282"/>
      <c r="Q340" s="282"/>
      <c r="R340" s="282"/>
      <c r="S340" s="374"/>
      <c r="T340" s="373">
        <f t="shared" si="158"/>
        <v>314</v>
      </c>
      <c r="U340" s="374"/>
      <c r="V340" s="568">
        <f t="shared" si="153"/>
        <v>3.9093926042755228E-4</v>
      </c>
      <c r="W340" s="328">
        <f t="shared" si="134"/>
        <v>0.99959916794786374</v>
      </c>
      <c r="X340" s="328">
        <f t="shared" si="135"/>
        <v>0.99960906073957245</v>
      </c>
      <c r="Y340" s="328">
        <f t="shared" si="136"/>
        <v>9.8927427751860364E-6</v>
      </c>
      <c r="Z340" s="374"/>
      <c r="AA340" s="571">
        <f t="shared" si="137"/>
        <v>8.5494501525023633E-3</v>
      </c>
      <c r="AB340" s="327">
        <f t="shared" si="156"/>
        <v>0.99135016846714885</v>
      </c>
      <c r="AC340" s="327">
        <f t="shared" si="138"/>
        <v>0.99145054984749759</v>
      </c>
      <c r="AD340" s="327">
        <f t="shared" si="139"/>
        <v>1.0037634230652959E-4</v>
      </c>
      <c r="AE340" s="383"/>
      <c r="AF340" s="574">
        <f t="shared" si="128"/>
        <v>4.2500585229813703E-2</v>
      </c>
      <c r="AG340" s="376">
        <f t="shared" si="154"/>
        <v>0.95731040278864188</v>
      </c>
      <c r="AH340" s="376">
        <f t="shared" si="140"/>
        <v>0.9574994147701863</v>
      </c>
      <c r="AI340" s="553">
        <f t="shared" si="141"/>
        <v>1.8899411990525028E-4</v>
      </c>
      <c r="AJ340" s="374"/>
      <c r="AK340" s="577">
        <f t="shared" si="129"/>
        <v>5.3139163631669657E-2</v>
      </c>
      <c r="AL340" s="376">
        <f t="shared" si="142"/>
        <v>0.94668941060724898</v>
      </c>
      <c r="AM340" s="376">
        <f t="shared" si="143"/>
        <v>0.94686083636833029</v>
      </c>
      <c r="AN340" s="553">
        <f t="shared" si="144"/>
        <v>1.7141106852514021E-4</v>
      </c>
      <c r="AO340" s="554"/>
      <c r="AP340" s="580">
        <f t="shared" si="130"/>
        <v>2.5419808711419911E-3</v>
      </c>
      <c r="AQ340" s="376">
        <f t="shared" si="145"/>
        <v>0.99741281255154846</v>
      </c>
      <c r="AR340" s="379">
        <f t="shared" si="146"/>
        <v>0.99745801912885801</v>
      </c>
      <c r="AS340" s="376">
        <f t="shared" si="147"/>
        <v>4.5205555507688011E-5</v>
      </c>
      <c r="AT340" s="384"/>
      <c r="AU340" s="583">
        <f t="shared" si="131"/>
        <v>0.28272444905099664</v>
      </c>
      <c r="AV340" s="381">
        <f t="shared" si="157"/>
        <v>1.2632823777038737</v>
      </c>
      <c r="AW340" s="376">
        <f t="shared" si="132"/>
        <v>1.2632825339365341</v>
      </c>
      <c r="AX340" s="503">
        <f t="shared" si="155"/>
        <v>1.5623264815189941E-7</v>
      </c>
      <c r="AY340" s="376">
        <f t="shared" si="133"/>
        <v>2.9539884514934247</v>
      </c>
      <c r="AZ340" s="381">
        <f t="shared" si="148"/>
        <v>1.6108173579230823E-3</v>
      </c>
      <c r="BA340" s="586">
        <f t="shared" si="149"/>
        <v>0.1482685234835055</v>
      </c>
      <c r="BB340" s="376">
        <f t="shared" si="150"/>
        <v>0.85152316120942917</v>
      </c>
      <c r="BC340" s="376">
        <f t="shared" si="151"/>
        <v>0.8517314765164945</v>
      </c>
      <c r="BD340" s="376">
        <f t="shared" si="152"/>
        <v>2.0829361093832599E-4</v>
      </c>
      <c r="BE340" s="283"/>
      <c r="BF340" s="283"/>
      <c r="BG340" s="283"/>
      <c r="BH340" s="283"/>
      <c r="BI340" s="283"/>
      <c r="BJ340" s="283"/>
      <c r="BK340" s="283"/>
      <c r="BL340" s="283"/>
      <c r="BM340" s="283"/>
      <c r="BN340" s="283"/>
      <c r="BO340" s="283"/>
      <c r="BP340" s="283"/>
      <c r="BQ340" s="283"/>
      <c r="BR340" s="283"/>
      <c r="BS340" s="283"/>
      <c r="BT340" s="283"/>
      <c r="BU340" s="283"/>
      <c r="BV340" s="283"/>
      <c r="BW340" s="283"/>
      <c r="BX340" s="283"/>
      <c r="BY340" s="283"/>
      <c r="BZ340" s="283"/>
      <c r="CA340" s="283"/>
      <c r="CB340" s="283"/>
      <c r="CC340" s="283"/>
      <c r="CD340" s="283"/>
      <c r="CE340" s="283"/>
      <c r="CF340" s="283"/>
      <c r="CG340" s="283"/>
      <c r="CH340" s="283"/>
      <c r="CI340" s="283"/>
      <c r="CJ340" s="283"/>
      <c r="CK340" s="283"/>
      <c r="CL340" s="283"/>
    </row>
    <row r="341" spans="1:90" ht="14.25" customHeight="1" x14ac:dyDescent="0.2">
      <c r="A341" s="28"/>
      <c r="B341" s="28"/>
      <c r="C341" s="28"/>
      <c r="D341" s="282"/>
      <c r="E341" s="282"/>
      <c r="F341" s="282"/>
      <c r="G341" s="282"/>
      <c r="H341" s="282"/>
      <c r="I341" s="282"/>
      <c r="J341" s="282"/>
      <c r="K341" s="282"/>
      <c r="L341" s="282"/>
      <c r="M341" s="282"/>
      <c r="N341" s="282"/>
      <c r="O341" s="282"/>
      <c r="P341" s="282"/>
      <c r="Q341" s="282"/>
      <c r="R341" s="282"/>
      <c r="S341" s="374"/>
      <c r="T341" s="373">
        <f t="shared" si="158"/>
        <v>315</v>
      </c>
      <c r="U341" s="374"/>
      <c r="V341" s="568">
        <f t="shared" si="153"/>
        <v>3.8129062915275496E-4</v>
      </c>
      <c r="W341" s="328">
        <f t="shared" si="134"/>
        <v>0.99960906073957245</v>
      </c>
      <c r="X341" s="328">
        <f t="shared" si="135"/>
        <v>0.99961870937084729</v>
      </c>
      <c r="Y341" s="328">
        <f t="shared" si="136"/>
        <v>9.6485847269622838E-6</v>
      </c>
      <c r="Z341" s="374"/>
      <c r="AA341" s="571">
        <f t="shared" si="137"/>
        <v>8.4503061034091487E-3</v>
      </c>
      <c r="AB341" s="327">
        <f t="shared" si="156"/>
        <v>0.99145054984749759</v>
      </c>
      <c r="AC341" s="327">
        <f t="shared" si="138"/>
        <v>0.99154969389659087</v>
      </c>
      <c r="AD341" s="327">
        <f t="shared" si="139"/>
        <v>9.9139134484449443E-5</v>
      </c>
      <c r="AE341" s="383"/>
      <c r="AF341" s="574">
        <f t="shared" si="128"/>
        <v>4.231284838177074E-2</v>
      </c>
      <c r="AG341" s="376">
        <f t="shared" si="154"/>
        <v>0.9574994147701863</v>
      </c>
      <c r="AH341" s="376">
        <f t="shared" si="140"/>
        <v>0.95768715161822926</v>
      </c>
      <c r="AI341" s="553">
        <f t="shared" si="141"/>
        <v>1.8771922658367135E-4</v>
      </c>
      <c r="AJ341" s="374"/>
      <c r="AK341" s="577">
        <f t="shared" si="129"/>
        <v>5.2968800862652161E-2</v>
      </c>
      <c r="AL341" s="376">
        <f t="shared" si="142"/>
        <v>0.94686083636833029</v>
      </c>
      <c r="AM341" s="376">
        <f t="shared" si="143"/>
        <v>0.94703119913734779</v>
      </c>
      <c r="AN341" s="553">
        <f t="shared" si="144"/>
        <v>1.7034825810502419E-4</v>
      </c>
      <c r="AO341" s="554"/>
      <c r="AP341" s="580">
        <f t="shared" si="130"/>
        <v>2.4975689591828498E-3</v>
      </c>
      <c r="AQ341" s="376">
        <f t="shared" si="145"/>
        <v>0.99745801912885801</v>
      </c>
      <c r="AR341" s="379">
        <f t="shared" si="146"/>
        <v>0.99750243104081715</v>
      </c>
      <c r="AS341" s="376">
        <f t="shared" si="147"/>
        <v>4.4410925764792886E-5</v>
      </c>
      <c r="AT341" s="384"/>
      <c r="AU341" s="583">
        <f t="shared" si="131"/>
        <v>0.28272440663374998</v>
      </c>
      <c r="AV341" s="381">
        <f t="shared" si="157"/>
        <v>1.2632825339365341</v>
      </c>
      <c r="AW341" s="376">
        <f t="shared" si="132"/>
        <v>1.2632826839668905</v>
      </c>
      <c r="AX341" s="503">
        <f t="shared" si="155"/>
        <v>1.5003034514737834E-7</v>
      </c>
      <c r="AY341" s="376">
        <f t="shared" si="133"/>
        <v>2.9564894574794796</v>
      </c>
      <c r="AZ341" s="381">
        <f t="shared" si="148"/>
        <v>1.6036429026484048E-3</v>
      </c>
      <c r="BA341" s="586">
        <f t="shared" si="149"/>
        <v>0.1480611602888961</v>
      </c>
      <c r="BB341" s="376">
        <f t="shared" si="150"/>
        <v>0.8517314765164945</v>
      </c>
      <c r="BC341" s="376">
        <f t="shared" si="151"/>
        <v>0.85193883971110385</v>
      </c>
      <c r="BD341" s="376">
        <f t="shared" si="152"/>
        <v>2.0734169634806232E-4</v>
      </c>
      <c r="BE341" s="283"/>
      <c r="BF341" s="283"/>
      <c r="BG341" s="283"/>
      <c r="BH341" s="283"/>
      <c r="BI341" s="283"/>
      <c r="BJ341" s="283"/>
      <c r="BK341" s="283"/>
      <c r="BL341" s="283"/>
      <c r="BM341" s="283"/>
      <c r="BN341" s="283"/>
      <c r="BO341" s="283"/>
      <c r="BP341" s="283"/>
      <c r="BQ341" s="283"/>
      <c r="BR341" s="283"/>
      <c r="BS341" s="283"/>
      <c r="BT341" s="283"/>
      <c r="BU341" s="283"/>
      <c r="BV341" s="283"/>
      <c r="BW341" s="283"/>
      <c r="BX341" s="283"/>
      <c r="BY341" s="283"/>
      <c r="BZ341" s="283"/>
      <c r="CA341" s="283"/>
      <c r="CB341" s="283"/>
      <c r="CC341" s="283"/>
      <c r="CD341" s="283"/>
      <c r="CE341" s="283"/>
      <c r="CF341" s="283"/>
      <c r="CG341" s="283"/>
      <c r="CH341" s="283"/>
      <c r="CI341" s="283"/>
      <c r="CJ341" s="283"/>
      <c r="CK341" s="283"/>
      <c r="CL341" s="283"/>
    </row>
    <row r="342" spans="1:90" ht="14.25" customHeight="1" x14ac:dyDescent="0.2">
      <c r="A342" s="28"/>
      <c r="B342" s="28"/>
      <c r="C342" s="28"/>
      <c r="D342" s="282"/>
      <c r="E342" s="282"/>
      <c r="F342" s="282"/>
      <c r="G342" s="282"/>
      <c r="H342" s="282"/>
      <c r="I342" s="282"/>
      <c r="J342" s="282"/>
      <c r="K342" s="282"/>
      <c r="L342" s="282"/>
      <c r="M342" s="282"/>
      <c r="N342" s="282"/>
      <c r="O342" s="282"/>
      <c r="P342" s="282"/>
      <c r="Q342" s="282"/>
      <c r="R342" s="282"/>
      <c r="S342" s="374"/>
      <c r="T342" s="373">
        <f t="shared" si="158"/>
        <v>316</v>
      </c>
      <c r="U342" s="374"/>
      <c r="V342" s="568">
        <f t="shared" si="153"/>
        <v>3.7188013227606136E-4</v>
      </c>
      <c r="W342" s="328">
        <f t="shared" si="134"/>
        <v>0.99961870937084729</v>
      </c>
      <c r="X342" s="328">
        <f t="shared" si="135"/>
        <v>0.99962811986772393</v>
      </c>
      <c r="Y342" s="328">
        <f t="shared" si="136"/>
        <v>9.410452598057617E-6</v>
      </c>
      <c r="Z342" s="374"/>
      <c r="AA342" s="571">
        <f t="shared" si="137"/>
        <v>8.3523830681882273E-3</v>
      </c>
      <c r="AB342" s="327">
        <f t="shared" si="156"/>
        <v>0.99154969389659087</v>
      </c>
      <c r="AC342" s="327">
        <f t="shared" si="138"/>
        <v>0.9916476169318118</v>
      </c>
      <c r="AD342" s="327">
        <f t="shared" si="139"/>
        <v>9.7918240916983201E-5</v>
      </c>
      <c r="AE342" s="383"/>
      <c r="AF342" s="574">
        <f t="shared" si="128"/>
        <v>4.2126374861353511E-2</v>
      </c>
      <c r="AG342" s="376">
        <f t="shared" si="154"/>
        <v>0.95768715161822926</v>
      </c>
      <c r="AH342" s="376">
        <f t="shared" si="140"/>
        <v>0.95787362513864649</v>
      </c>
      <c r="AI342" s="553">
        <f t="shared" si="141"/>
        <v>1.8645613531098615E-4</v>
      </c>
      <c r="AJ342" s="374"/>
      <c r="AK342" s="577">
        <f t="shared" si="129"/>
        <v>5.2799491346229868E-2</v>
      </c>
      <c r="AL342" s="376">
        <f t="shared" si="142"/>
        <v>0.94703119913734779</v>
      </c>
      <c r="AM342" s="376">
        <f t="shared" si="143"/>
        <v>0.94720050865377015</v>
      </c>
      <c r="AN342" s="553">
        <f t="shared" si="144"/>
        <v>1.69295184375029E-4</v>
      </c>
      <c r="AO342" s="554"/>
      <c r="AP342" s="580">
        <f t="shared" si="130"/>
        <v>2.4539376343675201E-3</v>
      </c>
      <c r="AQ342" s="376">
        <f t="shared" si="145"/>
        <v>0.99750243104081715</v>
      </c>
      <c r="AR342" s="379">
        <f t="shared" si="146"/>
        <v>0.99754606236563248</v>
      </c>
      <c r="AS342" s="376">
        <f t="shared" si="147"/>
        <v>4.3630372982939036E-5</v>
      </c>
      <c r="AT342" s="384"/>
      <c r="AU342" s="583">
        <f t="shared" si="131"/>
        <v>0.28272436590043809</v>
      </c>
      <c r="AV342" s="381">
        <f t="shared" si="157"/>
        <v>1.2632826839668905</v>
      </c>
      <c r="AW342" s="376">
        <f t="shared" si="132"/>
        <v>1.2632828280411688</v>
      </c>
      <c r="AX342" s="503">
        <f t="shared" si="155"/>
        <v>1.4407426796037015E-7</v>
      </c>
      <c r="AY342" s="376">
        <f t="shared" si="133"/>
        <v>2.9589825363334259</v>
      </c>
      <c r="AZ342" s="381">
        <f t="shared" si="148"/>
        <v>1.596522990218286E-3</v>
      </c>
      <c r="BA342" s="586">
        <f t="shared" si="149"/>
        <v>0.1478547418597615</v>
      </c>
      <c r="BB342" s="376">
        <f t="shared" si="150"/>
        <v>0.85193883971110385</v>
      </c>
      <c r="BC342" s="376">
        <f t="shared" si="151"/>
        <v>0.85214525814023845</v>
      </c>
      <c r="BD342" s="376">
        <f t="shared" si="152"/>
        <v>2.0639712631642659E-4</v>
      </c>
      <c r="BE342" s="283"/>
      <c r="BF342" s="283"/>
      <c r="BG342" s="283"/>
      <c r="BH342" s="283"/>
      <c r="BI342" s="283"/>
      <c r="BJ342" s="283"/>
      <c r="BK342" s="283"/>
      <c r="BL342" s="283"/>
      <c r="BM342" s="283"/>
      <c r="BN342" s="283"/>
      <c r="BO342" s="283"/>
      <c r="BP342" s="283"/>
      <c r="BQ342" s="283"/>
      <c r="BR342" s="283"/>
      <c r="BS342" s="283"/>
      <c r="BT342" s="283"/>
      <c r="BU342" s="283"/>
      <c r="BV342" s="283"/>
      <c r="BW342" s="283"/>
      <c r="BX342" s="283"/>
      <c r="BY342" s="283"/>
      <c r="BZ342" s="283"/>
      <c r="CA342" s="283"/>
      <c r="CB342" s="283"/>
      <c r="CC342" s="283"/>
      <c r="CD342" s="283"/>
      <c r="CE342" s="283"/>
      <c r="CF342" s="283"/>
      <c r="CG342" s="283"/>
      <c r="CH342" s="283"/>
      <c r="CI342" s="283"/>
      <c r="CJ342" s="283"/>
      <c r="CK342" s="283"/>
      <c r="CL342" s="283"/>
    </row>
    <row r="343" spans="1:90" ht="14.25" customHeight="1" x14ac:dyDescent="0.2">
      <c r="A343" s="28"/>
      <c r="B343" s="28"/>
      <c r="C343" s="28"/>
      <c r="D343" s="282"/>
      <c r="E343" s="282"/>
      <c r="F343" s="282"/>
      <c r="G343" s="282"/>
      <c r="H343" s="282"/>
      <c r="I343" s="282"/>
      <c r="J343" s="282"/>
      <c r="K343" s="282"/>
      <c r="L343" s="282"/>
      <c r="M343" s="282"/>
      <c r="N343" s="282"/>
      <c r="O343" s="282"/>
      <c r="P343" s="282"/>
      <c r="Q343" s="282"/>
      <c r="R343" s="282"/>
      <c r="S343" s="374"/>
      <c r="T343" s="373">
        <f t="shared" si="158"/>
        <v>317</v>
      </c>
      <c r="U343" s="374"/>
      <c r="V343" s="568">
        <f t="shared" si="153"/>
        <v>3.6270189248804315E-4</v>
      </c>
      <c r="W343" s="328">
        <f t="shared" si="134"/>
        <v>0.99962811986772393</v>
      </c>
      <c r="X343" s="328">
        <f t="shared" si="135"/>
        <v>0.99963729810751201</v>
      </c>
      <c r="Y343" s="328">
        <f t="shared" si="136"/>
        <v>9.1781976682137056E-6</v>
      </c>
      <c r="Z343" s="374"/>
      <c r="AA343" s="571">
        <f t="shared" si="137"/>
        <v>8.2556649614782089E-3</v>
      </c>
      <c r="AB343" s="327">
        <f t="shared" si="156"/>
        <v>0.9916476169318118</v>
      </c>
      <c r="AC343" s="327">
        <f t="shared" si="138"/>
        <v>0.99174433503852177</v>
      </c>
      <c r="AD343" s="327">
        <f t="shared" si="139"/>
        <v>9.6713429664663231E-5</v>
      </c>
      <c r="AE343" s="383"/>
      <c r="AF343" s="574">
        <f t="shared" si="128"/>
        <v>4.194115300300727E-2</v>
      </c>
      <c r="AG343" s="376">
        <f t="shared" si="154"/>
        <v>0.95787362513864649</v>
      </c>
      <c r="AH343" s="376">
        <f t="shared" si="140"/>
        <v>0.95805884699699273</v>
      </c>
      <c r="AI343" s="553">
        <f t="shared" si="141"/>
        <v>1.852047058368278E-4</v>
      </c>
      <c r="AJ343" s="374"/>
      <c r="AK343" s="577">
        <f t="shared" si="129"/>
        <v>5.263122546079866E-2</v>
      </c>
      <c r="AL343" s="376">
        <f t="shared" si="142"/>
        <v>0.94720050865377015</v>
      </c>
      <c r="AM343" s="376">
        <f t="shared" si="143"/>
        <v>0.94736877453920132</v>
      </c>
      <c r="AN343" s="553">
        <f t="shared" si="144"/>
        <v>1.6825172952106282E-4</v>
      </c>
      <c r="AO343" s="554"/>
      <c r="AP343" s="580">
        <f t="shared" si="130"/>
        <v>2.411073070480052E-3</v>
      </c>
      <c r="AQ343" s="376">
        <f t="shared" si="145"/>
        <v>0.99754606236563248</v>
      </c>
      <c r="AR343" s="379">
        <f t="shared" si="146"/>
        <v>0.99758892692951995</v>
      </c>
      <c r="AS343" s="376">
        <f t="shared" si="147"/>
        <v>4.2863645215218682E-5</v>
      </c>
      <c r="AT343" s="384"/>
      <c r="AU343" s="583">
        <f t="shared" si="131"/>
        <v>0.28272432678420956</v>
      </c>
      <c r="AV343" s="381">
        <f t="shared" si="157"/>
        <v>1.2632828280411688</v>
      </c>
      <c r="AW343" s="376">
        <f t="shared" si="132"/>
        <v>1.2632829663958207</v>
      </c>
      <c r="AX343" s="503">
        <f t="shared" si="155"/>
        <v>1.3835464240941064E-7</v>
      </c>
      <c r="AY343" s="376">
        <f t="shared" si="133"/>
        <v>2.9614677381478502</v>
      </c>
      <c r="AZ343" s="381">
        <f t="shared" si="148"/>
        <v>1.5894570353356975E-3</v>
      </c>
      <c r="BA343" s="586">
        <f t="shared" si="149"/>
        <v>0.14764926092877403</v>
      </c>
      <c r="BB343" s="376">
        <f t="shared" si="150"/>
        <v>0.85214525814023845</v>
      </c>
      <c r="BC343" s="376">
        <f t="shared" si="151"/>
        <v>0.85235073907122594</v>
      </c>
      <c r="BD343" s="376">
        <f t="shared" si="152"/>
        <v>2.0545982122688322E-4</v>
      </c>
      <c r="BE343" s="283"/>
      <c r="BF343" s="283"/>
      <c r="BG343" s="283"/>
      <c r="BH343" s="283"/>
      <c r="BI343" s="283"/>
      <c r="BJ343" s="283"/>
      <c r="BK343" s="283"/>
      <c r="BL343" s="283"/>
      <c r="BM343" s="283"/>
      <c r="BN343" s="283"/>
      <c r="BO343" s="283"/>
      <c r="BP343" s="283"/>
      <c r="BQ343" s="283"/>
      <c r="BR343" s="283"/>
      <c r="BS343" s="283"/>
      <c r="BT343" s="283"/>
      <c r="BU343" s="283"/>
      <c r="BV343" s="283"/>
      <c r="BW343" s="283"/>
      <c r="BX343" s="283"/>
      <c r="BY343" s="283"/>
      <c r="BZ343" s="283"/>
      <c r="CA343" s="283"/>
      <c r="CB343" s="283"/>
      <c r="CC343" s="283"/>
      <c r="CD343" s="283"/>
      <c r="CE343" s="283"/>
      <c r="CF343" s="283"/>
      <c r="CG343" s="283"/>
      <c r="CH343" s="283"/>
      <c r="CI343" s="283"/>
      <c r="CJ343" s="283"/>
      <c r="CK343" s="283"/>
      <c r="CL343" s="283"/>
    </row>
    <row r="344" spans="1:90" ht="14.25" customHeight="1" x14ac:dyDescent="0.2">
      <c r="A344" s="28"/>
      <c r="B344" s="28"/>
      <c r="C344" s="28"/>
      <c r="D344" s="282"/>
      <c r="E344" s="282"/>
      <c r="F344" s="282"/>
      <c r="G344" s="282"/>
      <c r="H344" s="282"/>
      <c r="I344" s="282"/>
      <c r="J344" s="282"/>
      <c r="K344" s="282"/>
      <c r="L344" s="282"/>
      <c r="M344" s="282"/>
      <c r="N344" s="282"/>
      <c r="O344" s="282"/>
      <c r="P344" s="282"/>
      <c r="Q344" s="282"/>
      <c r="R344" s="282"/>
      <c r="S344" s="374"/>
      <c r="T344" s="373">
        <f t="shared" si="158"/>
        <v>318</v>
      </c>
      <c r="U344" s="374"/>
      <c r="V344" s="568">
        <f t="shared" si="153"/>
        <v>3.5375017753503236E-4</v>
      </c>
      <c r="W344" s="328">
        <f t="shared" si="134"/>
        <v>0.99963729810751201</v>
      </c>
      <c r="X344" s="328">
        <f t="shared" si="135"/>
        <v>0.99964624982246497</v>
      </c>
      <c r="Y344" s="328">
        <f t="shared" si="136"/>
        <v>8.9516748864593154E-6</v>
      </c>
      <c r="Z344" s="374"/>
      <c r="AA344" s="571">
        <f t="shared" si="137"/>
        <v>8.1601359263540132E-3</v>
      </c>
      <c r="AB344" s="327">
        <f t="shared" si="156"/>
        <v>0.99174433503852177</v>
      </c>
      <c r="AC344" s="327">
        <f t="shared" si="138"/>
        <v>0.99183986407364599</v>
      </c>
      <c r="AD344" s="327">
        <f t="shared" si="139"/>
        <v>9.5524472371266711E-5</v>
      </c>
      <c r="AE344" s="383"/>
      <c r="AF344" s="574">
        <f t="shared" si="128"/>
        <v>4.1757171279452221E-2</v>
      </c>
      <c r="AG344" s="376">
        <f t="shared" si="154"/>
        <v>0.95805884699699273</v>
      </c>
      <c r="AH344" s="376">
        <f t="shared" si="140"/>
        <v>0.95824282872054778</v>
      </c>
      <c r="AI344" s="553">
        <f t="shared" si="141"/>
        <v>1.8396479995563819E-4</v>
      </c>
      <c r="AJ344" s="374"/>
      <c r="AK344" s="577">
        <f t="shared" si="129"/>
        <v>5.2463993700848477E-2</v>
      </c>
      <c r="AL344" s="376">
        <f t="shared" si="142"/>
        <v>0.94736877453920132</v>
      </c>
      <c r="AM344" s="376">
        <f t="shared" si="143"/>
        <v>0.94753600629915158</v>
      </c>
      <c r="AN344" s="553">
        <f t="shared" si="144"/>
        <v>1.6721777749895139E-4</v>
      </c>
      <c r="AO344" s="554"/>
      <c r="AP344" s="580">
        <f t="shared" si="130"/>
        <v>2.3689616887199172E-3</v>
      </c>
      <c r="AQ344" s="376">
        <f t="shared" si="145"/>
        <v>0.99758892692951995</v>
      </c>
      <c r="AR344" s="379">
        <f t="shared" si="146"/>
        <v>0.99763103831128008</v>
      </c>
      <c r="AS344" s="376">
        <f t="shared" si="147"/>
        <v>4.2110495088398814E-5</v>
      </c>
      <c r="AT344" s="384"/>
      <c r="AU344" s="583">
        <f t="shared" si="131"/>
        <v>0.28272428922086729</v>
      </c>
      <c r="AV344" s="381">
        <f t="shared" si="157"/>
        <v>1.2632829663958207</v>
      </c>
      <c r="AW344" s="376">
        <f t="shared" si="132"/>
        <v>1.26328309925791</v>
      </c>
      <c r="AX344" s="503">
        <f t="shared" si="155"/>
        <v>1.3286208055962589E-7</v>
      </c>
      <c r="AY344" s="376">
        <f t="shared" si="133"/>
        <v>2.963945112542024</v>
      </c>
      <c r="AZ344" s="381">
        <f t="shared" si="148"/>
        <v>1.5824444608040487E-3</v>
      </c>
      <c r="BA344" s="586">
        <f t="shared" si="149"/>
        <v>0.14744471030714687</v>
      </c>
      <c r="BB344" s="376">
        <f t="shared" si="150"/>
        <v>0.85235073907122594</v>
      </c>
      <c r="BC344" s="376">
        <f t="shared" si="151"/>
        <v>0.8525552896928531</v>
      </c>
      <c r="BD344" s="376">
        <f t="shared" si="152"/>
        <v>2.0452970257511804E-4</v>
      </c>
      <c r="BE344" s="283"/>
      <c r="BF344" s="283"/>
      <c r="BG344" s="283"/>
      <c r="BH344" s="283"/>
      <c r="BI344" s="283"/>
      <c r="BJ344" s="283"/>
      <c r="BK344" s="283"/>
      <c r="BL344" s="283"/>
      <c r="BM344" s="283"/>
      <c r="BN344" s="283"/>
      <c r="BO344" s="283"/>
      <c r="BP344" s="283"/>
      <c r="BQ344" s="283"/>
      <c r="BR344" s="283"/>
      <c r="BS344" s="283"/>
      <c r="BT344" s="283"/>
      <c r="BU344" s="283"/>
      <c r="BV344" s="283"/>
      <c r="BW344" s="283"/>
      <c r="BX344" s="283"/>
      <c r="BY344" s="283"/>
      <c r="BZ344" s="283"/>
      <c r="CA344" s="283"/>
      <c r="CB344" s="283"/>
      <c r="CC344" s="283"/>
      <c r="CD344" s="283"/>
      <c r="CE344" s="283"/>
      <c r="CF344" s="283"/>
      <c r="CG344" s="283"/>
      <c r="CH344" s="283"/>
      <c r="CI344" s="283"/>
      <c r="CJ344" s="283"/>
      <c r="CK344" s="283"/>
      <c r="CL344" s="283"/>
    </row>
    <row r="345" spans="1:90" ht="14.25" customHeight="1" x14ac:dyDescent="0.2">
      <c r="A345" s="28"/>
      <c r="B345" s="28"/>
      <c r="C345" s="28"/>
      <c r="D345" s="282"/>
      <c r="E345" s="282"/>
      <c r="F345" s="282"/>
      <c r="G345" s="282"/>
      <c r="H345" s="282"/>
      <c r="I345" s="282"/>
      <c r="J345" s="282"/>
      <c r="K345" s="282"/>
      <c r="L345" s="282"/>
      <c r="M345" s="282"/>
      <c r="N345" s="282"/>
      <c r="O345" s="282"/>
      <c r="P345" s="282"/>
      <c r="Q345" s="282"/>
      <c r="R345" s="282"/>
      <c r="S345" s="374"/>
      <c r="T345" s="373">
        <f t="shared" si="158"/>
        <v>319</v>
      </c>
      <c r="U345" s="374"/>
      <c r="V345" s="568">
        <f t="shared" si="153"/>
        <v>3.4501939663905191E-4</v>
      </c>
      <c r="W345" s="328">
        <f t="shared" si="134"/>
        <v>0.99964624982246497</v>
      </c>
      <c r="X345" s="328">
        <f t="shared" si="135"/>
        <v>0.999654980603361</v>
      </c>
      <c r="Y345" s="328">
        <f t="shared" si="136"/>
        <v>8.7307427828475781E-6</v>
      </c>
      <c r="Z345" s="374"/>
      <c r="AA345" s="571">
        <f t="shared" si="137"/>
        <v>8.0657803308018996E-3</v>
      </c>
      <c r="AB345" s="327">
        <f t="shared" si="156"/>
        <v>0.99183986407364599</v>
      </c>
      <c r="AC345" s="327">
        <f t="shared" si="138"/>
        <v>0.99193421966919815</v>
      </c>
      <c r="AD345" s="327">
        <f t="shared" si="139"/>
        <v>9.4351144202975412E-5</v>
      </c>
      <c r="AE345" s="383"/>
      <c r="AF345" s="574">
        <f t="shared" si="128"/>
        <v>4.1574418299672899E-2</v>
      </c>
      <c r="AG345" s="376">
        <f t="shared" si="154"/>
        <v>0.95824282872054778</v>
      </c>
      <c r="AH345" s="376">
        <f t="shared" si="140"/>
        <v>0.9584255817003271</v>
      </c>
      <c r="AI345" s="553">
        <f t="shared" si="141"/>
        <v>1.8273628147069676E-4</v>
      </c>
      <c r="AJ345" s="374"/>
      <c r="AK345" s="577">
        <f t="shared" si="129"/>
        <v>5.2297786675224896E-2</v>
      </c>
      <c r="AL345" s="376">
        <f t="shared" si="142"/>
        <v>0.94753600629915158</v>
      </c>
      <c r="AM345" s="376">
        <f t="shared" si="143"/>
        <v>0.94770221332477511</v>
      </c>
      <c r="AN345" s="553">
        <f t="shared" si="144"/>
        <v>1.6619321400102027E-4</v>
      </c>
      <c r="AO345" s="554"/>
      <c r="AP345" s="580">
        <f t="shared" si="130"/>
        <v>2.327590153213821E-3</v>
      </c>
      <c r="AQ345" s="376">
        <f t="shared" si="145"/>
        <v>0.99763103831128008</v>
      </c>
      <c r="AR345" s="379">
        <f t="shared" si="146"/>
        <v>0.99767240984678618</v>
      </c>
      <c r="AS345" s="376">
        <f t="shared" si="147"/>
        <v>4.137067971587971E-5</v>
      </c>
      <c r="AT345" s="384"/>
      <c r="AU345" s="583">
        <f t="shared" si="131"/>
        <v>0.28272425314876248</v>
      </c>
      <c r="AV345" s="381">
        <f t="shared" si="157"/>
        <v>1.26328309925791</v>
      </c>
      <c r="AW345" s="376">
        <f t="shared" si="132"/>
        <v>1.2632832268454872</v>
      </c>
      <c r="AX345" s="503">
        <f t="shared" si="155"/>
        <v>1.2758756906539048E-7</v>
      </c>
      <c r="AY345" s="376">
        <f t="shared" si="133"/>
        <v>2.966414708667843</v>
      </c>
      <c r="AZ345" s="381">
        <f t="shared" si="148"/>
        <v>1.5754846973900652E-3</v>
      </c>
      <c r="BA345" s="586">
        <f t="shared" si="149"/>
        <v>0.14724108288354315</v>
      </c>
      <c r="BB345" s="376">
        <f t="shared" si="150"/>
        <v>0.8525552896928531</v>
      </c>
      <c r="BC345" s="376">
        <f t="shared" si="151"/>
        <v>0.8527589171164569</v>
      </c>
      <c r="BD345" s="376">
        <f t="shared" si="152"/>
        <v>2.0360669294716693E-4</v>
      </c>
      <c r="BE345" s="283"/>
      <c r="BF345" s="283"/>
      <c r="BG345" s="283"/>
      <c r="BH345" s="283"/>
      <c r="BI345" s="283"/>
      <c r="BJ345" s="283"/>
      <c r="BK345" s="283"/>
      <c r="BL345" s="283"/>
      <c r="BM345" s="283"/>
      <c r="BN345" s="283"/>
      <c r="BO345" s="283"/>
      <c r="BP345" s="283"/>
      <c r="BQ345" s="283"/>
      <c r="BR345" s="283"/>
      <c r="BS345" s="283"/>
      <c r="BT345" s="283"/>
      <c r="BU345" s="283"/>
      <c r="BV345" s="283"/>
      <c r="BW345" s="283"/>
      <c r="BX345" s="283"/>
      <c r="BY345" s="283"/>
      <c r="BZ345" s="283"/>
      <c r="CA345" s="283"/>
      <c r="CB345" s="283"/>
      <c r="CC345" s="283"/>
      <c r="CD345" s="283"/>
      <c r="CE345" s="283"/>
      <c r="CF345" s="283"/>
      <c r="CG345" s="283"/>
      <c r="CH345" s="283"/>
      <c r="CI345" s="283"/>
      <c r="CJ345" s="283"/>
      <c r="CK345" s="283"/>
      <c r="CL345" s="283"/>
    </row>
    <row r="346" spans="1:90" ht="14.25" customHeight="1" x14ac:dyDescent="0.2">
      <c r="A346" s="28"/>
      <c r="B346" s="28"/>
      <c r="C346" s="28"/>
      <c r="D346" s="282"/>
      <c r="E346" s="282"/>
      <c r="F346" s="282"/>
      <c r="G346" s="282"/>
      <c r="H346" s="282"/>
      <c r="I346" s="282"/>
      <c r="J346" s="282"/>
      <c r="K346" s="282"/>
      <c r="L346" s="282"/>
      <c r="M346" s="282"/>
      <c r="N346" s="282"/>
      <c r="O346" s="282"/>
      <c r="P346" s="282"/>
      <c r="Q346" s="282"/>
      <c r="R346" s="282"/>
      <c r="S346" s="374"/>
      <c r="T346" s="373">
        <f t="shared" si="158"/>
        <v>320</v>
      </c>
      <c r="U346" s="374"/>
      <c r="V346" s="568">
        <f t="shared" si="153"/>
        <v>3.3650409700610503E-4</v>
      </c>
      <c r="W346" s="328">
        <f t="shared" si="134"/>
        <v>0.999654980603361</v>
      </c>
      <c r="X346" s="328">
        <f t="shared" si="135"/>
        <v>0.99966349590299386</v>
      </c>
      <c r="Y346" s="328">
        <f t="shared" si="136"/>
        <v>8.5152633777507702E-6</v>
      </c>
      <c r="Z346" s="374"/>
      <c r="AA346" s="571">
        <f t="shared" si="137"/>
        <v>7.972582764254119E-3</v>
      </c>
      <c r="AB346" s="327">
        <f t="shared" si="156"/>
        <v>0.99193421966919815</v>
      </c>
      <c r="AC346" s="327">
        <f t="shared" si="138"/>
        <v>0.99202741723574583</v>
      </c>
      <c r="AD346" s="327">
        <f t="shared" si="139"/>
        <v>9.3193223789422852E-5</v>
      </c>
      <c r="AE346" s="383"/>
      <c r="AF346" s="574">
        <f t="shared" si="128"/>
        <v>4.1392882806941533E-2</v>
      </c>
      <c r="AG346" s="376">
        <f t="shared" si="154"/>
        <v>0.9584255817003271</v>
      </c>
      <c r="AH346" s="376">
        <f t="shared" si="140"/>
        <v>0.95860711719305847</v>
      </c>
      <c r="AI346" s="553">
        <f t="shared" si="141"/>
        <v>1.8151901616081378E-4</v>
      </c>
      <c r="AJ346" s="374"/>
      <c r="AK346" s="577">
        <f t="shared" si="129"/>
        <v>5.2132595105421224E-2</v>
      </c>
      <c r="AL346" s="376">
        <f t="shared" si="142"/>
        <v>0.94770221332477511</v>
      </c>
      <c r="AM346" s="376">
        <f t="shared" si="143"/>
        <v>0.94786740489457877</v>
      </c>
      <c r="AN346" s="553">
        <f t="shared" si="144"/>
        <v>1.6517792642756213E-4</v>
      </c>
      <c r="AO346" s="554"/>
      <c r="AP346" s="580">
        <f t="shared" si="130"/>
        <v>2.2869453666094497E-3</v>
      </c>
      <c r="AQ346" s="376">
        <f t="shared" si="145"/>
        <v>0.99767240984678618</v>
      </c>
      <c r="AR346" s="379">
        <f t="shared" si="146"/>
        <v>0.99771305463339055</v>
      </c>
      <c r="AS346" s="376">
        <f t="shared" si="147"/>
        <v>4.0643960616204566E-5</v>
      </c>
      <c r="AT346" s="384"/>
      <c r="AU346" s="583">
        <f t="shared" si="131"/>
        <v>0.282724218508694</v>
      </c>
      <c r="AV346" s="381">
        <f t="shared" si="157"/>
        <v>1.2632832268454872</v>
      </c>
      <c r="AW346" s="376">
        <f t="shared" si="132"/>
        <v>1.2632833493679458</v>
      </c>
      <c r="AX346" s="503">
        <f t="shared" si="155"/>
        <v>1.225224510736922E-7</v>
      </c>
      <c r="AY346" s="376">
        <f t="shared" si="133"/>
        <v>2.9688765752156834</v>
      </c>
      <c r="AZ346" s="381">
        <f t="shared" si="148"/>
        <v>1.5685771836893808E-3</v>
      </c>
      <c r="BA346" s="586">
        <f t="shared" si="149"/>
        <v>0.14703837162300204</v>
      </c>
      <c r="BB346" s="376">
        <f t="shared" si="150"/>
        <v>0.8527589171164569</v>
      </c>
      <c r="BC346" s="376">
        <f t="shared" si="151"/>
        <v>0.85296162837699796</v>
      </c>
      <c r="BD346" s="376">
        <f t="shared" si="152"/>
        <v>2.0269071600165223E-4</v>
      </c>
      <c r="BE346" s="283"/>
      <c r="BF346" s="283"/>
      <c r="BG346" s="283"/>
      <c r="BH346" s="283"/>
      <c r="BI346" s="283"/>
      <c r="BJ346" s="283"/>
      <c r="BK346" s="283"/>
      <c r="BL346" s="283"/>
      <c r="BM346" s="283"/>
      <c r="BN346" s="283"/>
      <c r="BO346" s="283"/>
      <c r="BP346" s="283"/>
      <c r="BQ346" s="283"/>
      <c r="BR346" s="283"/>
      <c r="BS346" s="283"/>
      <c r="BT346" s="283"/>
      <c r="BU346" s="283"/>
      <c r="BV346" s="283"/>
      <c r="BW346" s="283"/>
      <c r="BX346" s="283"/>
      <c r="BY346" s="283"/>
      <c r="BZ346" s="283"/>
      <c r="CA346" s="283"/>
      <c r="CB346" s="283"/>
      <c r="CC346" s="283"/>
      <c r="CD346" s="283"/>
      <c r="CE346" s="283"/>
      <c r="CF346" s="283"/>
      <c r="CG346" s="283"/>
      <c r="CH346" s="283"/>
      <c r="CI346" s="283"/>
      <c r="CJ346" s="283"/>
      <c r="CK346" s="283"/>
      <c r="CL346" s="283"/>
    </row>
    <row r="347" spans="1:90" ht="14.25" customHeight="1" x14ac:dyDescent="0.2">
      <c r="A347" s="28"/>
      <c r="B347" s="28"/>
      <c r="C347" s="28"/>
      <c r="D347" s="282"/>
      <c r="E347" s="282"/>
      <c r="F347" s="282"/>
      <c r="G347" s="282"/>
      <c r="H347" s="282"/>
      <c r="I347" s="282"/>
      <c r="J347" s="282"/>
      <c r="K347" s="282"/>
      <c r="L347" s="282"/>
      <c r="M347" s="282"/>
      <c r="N347" s="282"/>
      <c r="O347" s="282"/>
      <c r="P347" s="282"/>
      <c r="Q347" s="282"/>
      <c r="R347" s="282"/>
      <c r="S347" s="374"/>
      <c r="T347" s="373">
        <f t="shared" si="158"/>
        <v>321</v>
      </c>
      <c r="U347" s="374"/>
      <c r="V347" s="568">
        <f t="shared" si="153"/>
        <v>3.2819896042064224E-4</v>
      </c>
      <c r="W347" s="328">
        <f t="shared" si="134"/>
        <v>0.99966349590299386</v>
      </c>
      <c r="X347" s="328">
        <f t="shared" si="135"/>
        <v>0.99967180103957931</v>
      </c>
      <c r="Y347" s="328">
        <f t="shared" si="136"/>
        <v>8.3051020979274526E-6</v>
      </c>
      <c r="Z347" s="374"/>
      <c r="AA347" s="571">
        <f t="shared" si="137"/>
        <v>7.880528034181945E-3</v>
      </c>
      <c r="AB347" s="327">
        <f t="shared" si="156"/>
        <v>0.99202741723574583</v>
      </c>
      <c r="AC347" s="327">
        <f t="shared" si="138"/>
        <v>0.99211947196581807</v>
      </c>
      <c r="AD347" s="327">
        <f t="shared" si="139"/>
        <v>9.2050493165629632E-5</v>
      </c>
      <c r="AE347" s="383"/>
      <c r="AF347" s="574">
        <f t="shared" ref="AF347:AF370" si="159">1-_xlfn.NORM.DIST(LN(T347),$AF$21,$AF$22,TRUE)</f>
        <v>4.1212553676876151E-2</v>
      </c>
      <c r="AG347" s="376">
        <f t="shared" si="154"/>
        <v>0.95860711719305847</v>
      </c>
      <c r="AH347" s="376">
        <f t="shared" si="140"/>
        <v>0.95878744632312385</v>
      </c>
      <c r="AI347" s="553">
        <f t="shared" si="141"/>
        <v>1.8031287174513633E-4</v>
      </c>
      <c r="AJ347" s="374"/>
      <c r="AK347" s="577">
        <f t="shared" ref="AK347:AK370" si="160">(1+(T347/$AK$21)^$AK$22)^-1</f>
        <v>5.1968409823901766E-2</v>
      </c>
      <c r="AL347" s="376">
        <f t="shared" si="142"/>
        <v>0.94786740489457877</v>
      </c>
      <c r="AM347" s="376">
        <f t="shared" si="143"/>
        <v>0.94803159017609828</v>
      </c>
      <c r="AN347" s="553">
        <f t="shared" si="144"/>
        <v>1.6417180385375207E-4</v>
      </c>
      <c r="AO347" s="554"/>
      <c r="AP347" s="580">
        <f t="shared" ref="AP347:AP370" si="161">1-_xlfn.GAMMA.DIST(T347,$AP$21,1/$AP$22,TRUE)</f>
        <v>2.2470144657511515E-3</v>
      </c>
      <c r="AQ347" s="376">
        <f t="shared" si="145"/>
        <v>0.99771305463339055</v>
      </c>
      <c r="AR347" s="379">
        <f t="shared" si="146"/>
        <v>0.99775298553424885</v>
      </c>
      <c r="AS347" s="376">
        <f t="shared" si="147"/>
        <v>3.9930103630458902E-5</v>
      </c>
      <c r="AT347" s="384"/>
      <c r="AU347" s="583">
        <f t="shared" ref="AU347:AU370" si="162">EXP((-$AU$22/$AU$21)*(EXP($AU$21*T347)-1))</f>
        <v>0.28272418524381082</v>
      </c>
      <c r="AV347" s="381">
        <f t="shared" si="157"/>
        <v>1.2632833493679458</v>
      </c>
      <c r="AW347" s="376">
        <f t="shared" ref="AW347:AW370" si="163">($AU$22/$AU$21)*((EXP($AU$21*T347))-1)</f>
        <v>1.2632834670263668</v>
      </c>
      <c r="AX347" s="503">
        <f t="shared" si="155"/>
        <v>1.1765841412270106E-7</v>
      </c>
      <c r="AY347" s="376">
        <f t="shared" ref="AY347:AY370" si="164">(LN(T347)-$AZ$21)/$AZ$22</f>
        <v>2.9713307604201584</v>
      </c>
      <c r="AZ347" s="381">
        <f t="shared" si="148"/>
        <v>1.5617213659948391E-3</v>
      </c>
      <c r="BA347" s="586">
        <f t="shared" si="149"/>
        <v>0.14683656956588384</v>
      </c>
      <c r="BB347" s="376">
        <f t="shared" si="150"/>
        <v>0.85296162837699796</v>
      </c>
      <c r="BC347" s="376">
        <f t="shared" si="151"/>
        <v>0.85316343043411613</v>
      </c>
      <c r="BD347" s="376">
        <f t="shared" si="152"/>
        <v>2.0178169645268529E-4</v>
      </c>
      <c r="BE347" s="283"/>
      <c r="BF347" s="283"/>
      <c r="BG347" s="283"/>
      <c r="BH347" s="283"/>
      <c r="BI347" s="283"/>
      <c r="BJ347" s="283"/>
      <c r="BK347" s="283"/>
      <c r="BL347" s="283"/>
      <c r="BM347" s="283"/>
      <c r="BN347" s="283"/>
      <c r="BO347" s="283"/>
      <c r="BP347" s="283"/>
      <c r="BQ347" s="283"/>
      <c r="BR347" s="283"/>
      <c r="BS347" s="283"/>
      <c r="BT347" s="283"/>
      <c r="BU347" s="283"/>
      <c r="BV347" s="283"/>
      <c r="BW347" s="283"/>
      <c r="BX347" s="283"/>
      <c r="BY347" s="283"/>
      <c r="BZ347" s="283"/>
      <c r="CA347" s="283"/>
      <c r="CB347" s="283"/>
      <c r="CC347" s="283"/>
      <c r="CD347" s="283"/>
      <c r="CE347" s="283"/>
      <c r="CF347" s="283"/>
      <c r="CG347" s="283"/>
      <c r="CH347" s="283"/>
      <c r="CI347" s="283"/>
      <c r="CJ347" s="283"/>
      <c r="CK347" s="283"/>
      <c r="CL347" s="283"/>
    </row>
    <row r="348" spans="1:90" ht="14.25" customHeight="1" x14ac:dyDescent="0.2">
      <c r="A348" s="28"/>
      <c r="B348" s="28"/>
      <c r="C348" s="28"/>
      <c r="D348" s="282"/>
      <c r="E348" s="282"/>
      <c r="F348" s="282"/>
      <c r="G348" s="282"/>
      <c r="H348" s="282"/>
      <c r="I348" s="282"/>
      <c r="J348" s="282"/>
      <c r="K348" s="282"/>
      <c r="L348" s="282"/>
      <c r="M348" s="282"/>
      <c r="N348" s="282"/>
      <c r="O348" s="282"/>
      <c r="P348" s="282"/>
      <c r="Q348" s="282"/>
      <c r="R348" s="282"/>
      <c r="S348" s="374"/>
      <c r="T348" s="373">
        <f t="shared" si="158"/>
        <v>322</v>
      </c>
      <c r="U348" s="374"/>
      <c r="V348" s="568">
        <f t="shared" si="153"/>
        <v>3.2009879992408015E-4</v>
      </c>
      <c r="W348" s="328">
        <f t="shared" ref="W348:W370" si="165">1-V347</f>
        <v>0.99967180103957931</v>
      </c>
      <c r="X348" s="328">
        <f t="shared" ref="X348:X370" si="166">1-V348</f>
        <v>0.99967990120007588</v>
      </c>
      <c r="Y348" s="328">
        <f t="shared" ref="Y348:Y370" si="167">1-EXP(W348-X348)</f>
        <v>8.1001276903691632E-6</v>
      </c>
      <c r="Z348" s="374"/>
      <c r="AA348" s="571">
        <f t="shared" ref="AA348:AA370" si="168">EXP(-1*(T348/$AA$21)^$AA$22)</f>
        <v>7.7896011627460529E-3</v>
      </c>
      <c r="AB348" s="327">
        <f t="shared" si="156"/>
        <v>0.99211947196581807</v>
      </c>
      <c r="AC348" s="327">
        <f t="shared" ref="AC348:AC370" si="169">1-AA348</f>
        <v>0.99221039883725393</v>
      </c>
      <c r="AD348" s="327">
        <f t="shared" ref="AD348:AD370" si="170">1-EXP(AB348-AC348)</f>
        <v>9.0922737713161617E-5</v>
      </c>
      <c r="AE348" s="383"/>
      <c r="AF348" s="574">
        <f t="shared" si="159"/>
        <v>4.1033419915531777E-2</v>
      </c>
      <c r="AG348" s="376">
        <f t="shared" si="154"/>
        <v>0.95878744632312385</v>
      </c>
      <c r="AH348" s="376">
        <f t="shared" ref="AH348:AH370" si="171">1-AF348</f>
        <v>0.95896658008446822</v>
      </c>
      <c r="AI348" s="553">
        <f t="shared" ref="AI348:AI370" si="172">1-EXP(AG348-AH348)</f>
        <v>1.7911771785017461E-4</v>
      </c>
      <c r="AJ348" s="374"/>
      <c r="AK348" s="577">
        <f t="shared" si="160"/>
        <v>5.1805221772454169E-2</v>
      </c>
      <c r="AL348" s="376">
        <f t="shared" ref="AL348:AL370" si="173">1-AK347</f>
        <v>0.94803159017609828</v>
      </c>
      <c r="AM348" s="376">
        <f t="shared" ref="AM348:AM370" si="174">1-AK348</f>
        <v>0.94819477822754583</v>
      </c>
      <c r="AN348" s="553">
        <f t="shared" ref="AN348:AN370" si="175">1-EXP(AL348-AM348)</f>
        <v>1.6317473700178109E-4</v>
      </c>
      <c r="AO348" s="554"/>
      <c r="AP348" s="580">
        <f t="shared" si="161"/>
        <v>2.207784817434888E-3</v>
      </c>
      <c r="AQ348" s="376">
        <f t="shared" ref="AQ348:AQ370" si="176">1-AP347</f>
        <v>0.99775298553424885</v>
      </c>
      <c r="AR348" s="379">
        <f t="shared" ref="AR348:AR370" si="177">1-AP348</f>
        <v>0.99779221518256511</v>
      </c>
      <c r="AS348" s="376">
        <f t="shared" ref="AS348:AS370" si="178">1-EXP(AQ348-AR348)</f>
        <v>3.922887884366677E-5</v>
      </c>
      <c r="AT348" s="384"/>
      <c r="AU348" s="583">
        <f t="shared" si="162"/>
        <v>0.28272415329951905</v>
      </c>
      <c r="AV348" s="381">
        <f t="shared" si="157"/>
        <v>1.2632834670263668</v>
      </c>
      <c r="AW348" s="376">
        <f t="shared" si="163"/>
        <v>1.2632835800138482</v>
      </c>
      <c r="AX348" s="503">
        <f t="shared" si="155"/>
        <v>1.1298747504273621E-7</v>
      </c>
      <c r="AY348" s="376">
        <f t="shared" si="164"/>
        <v>2.9737773120657911</v>
      </c>
      <c r="AZ348" s="381">
        <f t="shared" ref="AZ348:AZ370" si="179">$AZ$24*EXP(ABS($AZ$23)*-AY348)</f>
        <v>1.554916698167385E-3</v>
      </c>
      <c r="BA348" s="586">
        <f t="shared" ref="BA348:BA370" si="180">_xlfn.GAMMA.DIST(AZ348,$AZ$24,1,TRUE)</f>
        <v>0.14663566982683235</v>
      </c>
      <c r="BB348" s="376">
        <f t="shared" ref="BB348:BB370" si="181">1-BA347</f>
        <v>0.85316343043411613</v>
      </c>
      <c r="BC348" s="376">
        <f t="shared" ref="BC348:BC370" si="182">1-BA348</f>
        <v>0.85336433017316771</v>
      </c>
      <c r="BD348" s="376">
        <f t="shared" ref="BD348:BD370" si="183">1-EXP(BB348-BC348)</f>
        <v>2.0087956005032659E-4</v>
      </c>
      <c r="BE348" s="283"/>
      <c r="BF348" s="283"/>
      <c r="BG348" s="283"/>
      <c r="BH348" s="283"/>
      <c r="BI348" s="283"/>
      <c r="BJ348" s="283"/>
      <c r="BK348" s="283"/>
      <c r="BL348" s="283"/>
      <c r="BM348" s="283"/>
      <c r="BN348" s="283"/>
      <c r="BO348" s="283"/>
      <c r="BP348" s="283"/>
      <c r="BQ348" s="283"/>
      <c r="BR348" s="283"/>
      <c r="BS348" s="283"/>
      <c r="BT348" s="283"/>
      <c r="BU348" s="283"/>
      <c r="BV348" s="283"/>
      <c r="BW348" s="283"/>
      <c r="BX348" s="283"/>
      <c r="BY348" s="283"/>
      <c r="BZ348" s="283"/>
      <c r="CA348" s="283"/>
      <c r="CB348" s="283"/>
      <c r="CC348" s="283"/>
      <c r="CD348" s="283"/>
      <c r="CE348" s="283"/>
      <c r="CF348" s="283"/>
      <c r="CG348" s="283"/>
      <c r="CH348" s="283"/>
      <c r="CI348" s="283"/>
      <c r="CJ348" s="283"/>
      <c r="CK348" s="283"/>
      <c r="CL348" s="283"/>
    </row>
    <row r="349" spans="1:90" ht="14.25" customHeight="1" x14ac:dyDescent="0.2">
      <c r="A349" s="28"/>
      <c r="B349" s="28"/>
      <c r="C349" s="28"/>
      <c r="D349" s="282"/>
      <c r="E349" s="282"/>
      <c r="F349" s="282"/>
      <c r="G349" s="282"/>
      <c r="H349" s="282"/>
      <c r="I349" s="282"/>
      <c r="J349" s="282"/>
      <c r="K349" s="282"/>
      <c r="L349" s="282"/>
      <c r="M349" s="282"/>
      <c r="N349" s="282"/>
      <c r="O349" s="282"/>
      <c r="P349" s="282"/>
      <c r="Q349" s="282"/>
      <c r="R349" s="282"/>
      <c r="S349" s="374"/>
      <c r="T349" s="373">
        <f t="shared" si="158"/>
        <v>323</v>
      </c>
      <c r="U349" s="374"/>
      <c r="V349" s="568">
        <f t="shared" ref="V349:V370" si="184">EXP(-1*$V$21*T349)</f>
        <v>3.1219855657529266E-4</v>
      </c>
      <c r="W349" s="328">
        <f t="shared" si="165"/>
        <v>0.99967990120007588</v>
      </c>
      <c r="X349" s="328">
        <f t="shared" si="166"/>
        <v>0.99968780144342473</v>
      </c>
      <c r="Y349" s="328">
        <f t="shared" si="167"/>
        <v>7.9002121420312932E-6</v>
      </c>
      <c r="Z349" s="374"/>
      <c r="AA349" s="571">
        <f t="shared" si="168"/>
        <v>7.6997873835032852E-3</v>
      </c>
      <c r="AB349" s="327">
        <f t="shared" si="156"/>
        <v>0.99221039883725393</v>
      </c>
      <c r="AC349" s="327">
        <f t="shared" si="169"/>
        <v>0.9923002126164967</v>
      </c>
      <c r="AD349" s="327">
        <f t="shared" si="170"/>
        <v>8.9809746106062072E-5</v>
      </c>
      <c r="AE349" s="383"/>
      <c r="AF349" s="574">
        <f t="shared" si="159"/>
        <v>4.0855470657524262E-2</v>
      </c>
      <c r="AG349" s="376">
        <f t="shared" ref="AG349:AG370" si="185">1-AF348</f>
        <v>0.95896658008446822</v>
      </c>
      <c r="AH349" s="376">
        <f t="shared" si="171"/>
        <v>0.95914452934247574</v>
      </c>
      <c r="AI349" s="553">
        <f t="shared" si="172"/>
        <v>1.7793342597738349E-4</v>
      </c>
      <c r="AJ349" s="374"/>
      <c r="AK349" s="577">
        <f t="shared" si="160"/>
        <v>5.1643022000571324E-2</v>
      </c>
      <c r="AL349" s="376">
        <f t="shared" si="173"/>
        <v>0.94819477822754583</v>
      </c>
      <c r="AM349" s="376">
        <f t="shared" si="174"/>
        <v>0.94835697799942864</v>
      </c>
      <c r="AN349" s="553">
        <f t="shared" si="175"/>
        <v>1.6218661821099101E-4</v>
      </c>
      <c r="AO349" s="554"/>
      <c r="AP349" s="580">
        <f t="shared" si="161"/>
        <v>2.1692440142421221E-3</v>
      </c>
      <c r="AQ349" s="376">
        <f t="shared" si="176"/>
        <v>0.99779221518256511</v>
      </c>
      <c r="AR349" s="379">
        <f t="shared" si="177"/>
        <v>0.99783075598575788</v>
      </c>
      <c r="AS349" s="376">
        <f t="shared" si="178"/>
        <v>3.8540060505520835E-5</v>
      </c>
      <c r="AT349" s="384"/>
      <c r="AU349" s="583">
        <f t="shared" si="162"/>
        <v>0.28272412262339186</v>
      </c>
      <c r="AV349" s="381">
        <f t="shared" si="157"/>
        <v>1.2632835800138482</v>
      </c>
      <c r="AW349" s="376">
        <f t="shared" si="163"/>
        <v>1.2632836885158225</v>
      </c>
      <c r="AX349" s="503">
        <f t="shared" si="155"/>
        <v>1.0850196840994641E-7</v>
      </c>
      <c r="AY349" s="376">
        <f t="shared" si="164"/>
        <v>2.9762162774925942</v>
      </c>
      <c r="AZ349" s="381">
        <f t="shared" si="179"/>
        <v>1.5481626415095393E-3</v>
      </c>
      <c r="BA349" s="586">
        <f t="shared" si="180"/>
        <v>0.1464356655937552</v>
      </c>
      <c r="BB349" s="376">
        <f t="shared" si="181"/>
        <v>0.85336433017316771</v>
      </c>
      <c r="BC349" s="376">
        <f t="shared" si="182"/>
        <v>0.8535643344062448</v>
      </c>
      <c r="BD349" s="376">
        <f t="shared" si="183"/>
        <v>1.9998423356382133E-4</v>
      </c>
      <c r="BE349" s="283"/>
      <c r="BF349" s="283"/>
      <c r="BG349" s="283"/>
      <c r="BH349" s="283"/>
      <c r="BI349" s="283"/>
      <c r="BJ349" s="283"/>
      <c r="BK349" s="283"/>
      <c r="BL349" s="283"/>
      <c r="BM349" s="283"/>
      <c r="BN349" s="283"/>
      <c r="BO349" s="283"/>
      <c r="BP349" s="283"/>
      <c r="BQ349" s="283"/>
      <c r="BR349" s="283"/>
      <c r="BS349" s="283"/>
      <c r="BT349" s="283"/>
      <c r="BU349" s="283"/>
      <c r="BV349" s="283"/>
      <c r="BW349" s="283"/>
      <c r="BX349" s="283"/>
      <c r="BY349" s="283"/>
      <c r="BZ349" s="283"/>
      <c r="CA349" s="283"/>
      <c r="CB349" s="283"/>
      <c r="CC349" s="283"/>
      <c r="CD349" s="283"/>
      <c r="CE349" s="283"/>
      <c r="CF349" s="283"/>
      <c r="CG349" s="283"/>
      <c r="CH349" s="283"/>
      <c r="CI349" s="283"/>
      <c r="CJ349" s="283"/>
      <c r="CK349" s="283"/>
      <c r="CL349" s="283"/>
    </row>
    <row r="350" spans="1:90" ht="14.25" customHeight="1" x14ac:dyDescent="0.2">
      <c r="A350" s="28"/>
      <c r="B350" s="28"/>
      <c r="C350" s="28"/>
      <c r="D350" s="282"/>
      <c r="E350" s="282"/>
      <c r="F350" s="282"/>
      <c r="G350" s="282"/>
      <c r="H350" s="282"/>
      <c r="I350" s="282"/>
      <c r="J350" s="282"/>
      <c r="K350" s="282"/>
      <c r="L350" s="282"/>
      <c r="M350" s="282"/>
      <c r="N350" s="282"/>
      <c r="O350" s="282"/>
      <c r="P350" s="282"/>
      <c r="Q350" s="282"/>
      <c r="R350" s="282"/>
      <c r="S350" s="374"/>
      <c r="T350" s="373">
        <f t="shared" si="158"/>
        <v>324</v>
      </c>
      <c r="U350" s="374"/>
      <c r="V350" s="568">
        <f t="shared" si="184"/>
        <v>3.0449329629106224E-4</v>
      </c>
      <c r="W350" s="328">
        <f t="shared" si="165"/>
        <v>0.99968780144342473</v>
      </c>
      <c r="X350" s="328">
        <f t="shared" si="166"/>
        <v>0.99969550670370899</v>
      </c>
      <c r="Y350" s="328">
        <f t="shared" si="167"/>
        <v>7.7052305987868053E-6</v>
      </c>
      <c r="Z350" s="374"/>
      <c r="AA350" s="571">
        <f t="shared" si="168"/>
        <v>7.6110721381684263E-3</v>
      </c>
      <c r="AB350" s="327">
        <f t="shared" si="156"/>
        <v>0.9923002126164967</v>
      </c>
      <c r="AC350" s="327">
        <f t="shared" si="169"/>
        <v>0.99238892786183153</v>
      </c>
      <c r="AD350" s="327">
        <f t="shared" si="170"/>
        <v>8.8711310253786202E-5</v>
      </c>
      <c r="AE350" s="383"/>
      <c r="AF350" s="574">
        <f t="shared" si="159"/>
        <v>4.0678695164186429E-2</v>
      </c>
      <c r="AG350" s="376">
        <f t="shared" si="185"/>
        <v>0.95914452934247574</v>
      </c>
      <c r="AH350" s="376">
        <f t="shared" si="171"/>
        <v>0.95932130483581357</v>
      </c>
      <c r="AI350" s="553">
        <f t="shared" si="172"/>
        <v>1.76759869470966E-4</v>
      </c>
      <c r="AJ350" s="374"/>
      <c r="AK350" s="577">
        <f t="shared" si="160"/>
        <v>5.14818016638618E-2</v>
      </c>
      <c r="AL350" s="376">
        <f t="shared" si="173"/>
        <v>0.94835697799942864</v>
      </c>
      <c r="AM350" s="376">
        <f t="shared" si="174"/>
        <v>0.94851819833613815</v>
      </c>
      <c r="AN350" s="553">
        <f t="shared" si="175"/>
        <v>1.6120734140945281E-4</v>
      </c>
      <c r="AO350" s="554"/>
      <c r="AP350" s="580">
        <f t="shared" si="161"/>
        <v>2.1313798704504228E-3</v>
      </c>
      <c r="AQ350" s="376">
        <f t="shared" si="176"/>
        <v>0.99783075598575788</v>
      </c>
      <c r="AR350" s="379">
        <f t="shared" si="177"/>
        <v>0.99786862012954958</v>
      </c>
      <c r="AS350" s="376">
        <f t="shared" si="178"/>
        <v>3.7863426953999024E-5</v>
      </c>
      <c r="AT350" s="384"/>
      <c r="AU350" s="583">
        <f t="shared" si="162"/>
        <v>0.28272409316508407</v>
      </c>
      <c r="AV350" s="381">
        <f t="shared" si="157"/>
        <v>1.2632836885158225</v>
      </c>
      <c r="AW350" s="376">
        <f t="shared" si="163"/>
        <v>1.2632837927103606</v>
      </c>
      <c r="AX350" s="503">
        <f t="shared" si="155"/>
        <v>1.041945326685223E-7</v>
      </c>
      <c r="AY350" s="376">
        <f t="shared" si="164"/>
        <v>2.9786477036015704</v>
      </c>
      <c r="AZ350" s="381">
        <f t="shared" si="179"/>
        <v>1.541458664641351E-3</v>
      </c>
      <c r="BA350" s="586">
        <f t="shared" si="180"/>
        <v>0.14623655012682102</v>
      </c>
      <c r="BB350" s="376">
        <f t="shared" si="181"/>
        <v>0.8535643344062448</v>
      </c>
      <c r="BC350" s="376">
        <f t="shared" si="182"/>
        <v>0.85376344987317898</v>
      </c>
      <c r="BD350" s="376">
        <f t="shared" si="183"/>
        <v>1.9909564476527919E-4</v>
      </c>
      <c r="BE350" s="283"/>
      <c r="BF350" s="283"/>
      <c r="BG350" s="283"/>
      <c r="BH350" s="283"/>
      <c r="BI350" s="283"/>
      <c r="BJ350" s="283"/>
      <c r="BK350" s="283"/>
      <c r="BL350" s="283"/>
      <c r="BM350" s="283"/>
      <c r="BN350" s="283"/>
      <c r="BO350" s="283"/>
      <c r="BP350" s="283"/>
      <c r="BQ350" s="283"/>
      <c r="BR350" s="283"/>
      <c r="BS350" s="283"/>
      <c r="BT350" s="283"/>
      <c r="BU350" s="283"/>
      <c r="BV350" s="283"/>
      <c r="BW350" s="283"/>
      <c r="BX350" s="283"/>
      <c r="BY350" s="283"/>
      <c r="BZ350" s="283"/>
      <c r="CA350" s="283"/>
      <c r="CB350" s="283"/>
      <c r="CC350" s="283"/>
      <c r="CD350" s="283"/>
      <c r="CE350" s="283"/>
      <c r="CF350" s="283"/>
      <c r="CG350" s="283"/>
      <c r="CH350" s="283"/>
      <c r="CI350" s="283"/>
      <c r="CJ350" s="283"/>
      <c r="CK350" s="283"/>
      <c r="CL350" s="283"/>
    </row>
    <row r="351" spans="1:90" ht="14.25" customHeight="1" x14ac:dyDescent="0.2">
      <c r="A351" s="28"/>
      <c r="B351" s="28"/>
      <c r="C351" s="28"/>
      <c r="D351" s="282"/>
      <c r="E351" s="282"/>
      <c r="F351" s="282"/>
      <c r="G351" s="282"/>
      <c r="H351" s="282"/>
      <c r="I351" s="282"/>
      <c r="J351" s="282"/>
      <c r="K351" s="282"/>
      <c r="L351" s="282"/>
      <c r="M351" s="282"/>
      <c r="N351" s="282"/>
      <c r="O351" s="282"/>
      <c r="P351" s="282"/>
      <c r="Q351" s="282"/>
      <c r="R351" s="282"/>
      <c r="S351" s="374"/>
      <c r="T351" s="373">
        <f t="shared" si="158"/>
        <v>325</v>
      </c>
      <c r="U351" s="374"/>
      <c r="V351" s="568">
        <f t="shared" si="184"/>
        <v>2.9697820676450237E-4</v>
      </c>
      <c r="W351" s="328">
        <f t="shared" si="165"/>
        <v>0.99969550670370899</v>
      </c>
      <c r="X351" s="328">
        <f t="shared" si="166"/>
        <v>0.99970302179323545</v>
      </c>
      <c r="Y351" s="328">
        <f t="shared" si="167"/>
        <v>7.5150612882657342E-6</v>
      </c>
      <c r="Z351" s="374"/>
      <c r="AA351" s="571">
        <f t="shared" si="168"/>
        <v>7.5234410734304705E-3</v>
      </c>
      <c r="AB351" s="327">
        <f t="shared" si="156"/>
        <v>0.99238892786183153</v>
      </c>
      <c r="AC351" s="327">
        <f t="shared" si="169"/>
        <v>0.9924765589265695</v>
      </c>
      <c r="AD351" s="327">
        <f t="shared" si="170"/>
        <v>8.7627225248354534E-5</v>
      </c>
      <c r="AE351" s="383"/>
      <c r="AF351" s="574">
        <f t="shared" si="159"/>
        <v>4.0503082821755299E-2</v>
      </c>
      <c r="AG351" s="376">
        <f t="shared" si="185"/>
        <v>0.95932130483581357</v>
      </c>
      <c r="AH351" s="376">
        <f t="shared" si="171"/>
        <v>0.9594969171782447</v>
      </c>
      <c r="AI351" s="553">
        <f t="shared" si="172"/>
        <v>1.7559692348634304E-4</v>
      </c>
      <c r="AJ351" s="374"/>
      <c r="AK351" s="577">
        <f t="shared" si="160"/>
        <v>5.1321552022488212E-2</v>
      </c>
      <c r="AL351" s="376">
        <f t="shared" si="173"/>
        <v>0.94851819833613815</v>
      </c>
      <c r="AM351" s="376">
        <f t="shared" si="174"/>
        <v>0.94867844797751177</v>
      </c>
      <c r="AN351" s="553">
        <f t="shared" si="175"/>
        <v>1.6023680208565594E-4</v>
      </c>
      <c r="AO351" s="374"/>
      <c r="AP351" s="580">
        <f t="shared" si="161"/>
        <v>2.0941804180195644E-3</v>
      </c>
      <c r="AQ351" s="376">
        <f t="shared" si="176"/>
        <v>0.99786862012954958</v>
      </c>
      <c r="AR351" s="379">
        <f t="shared" si="177"/>
        <v>0.99790581958198044</v>
      </c>
      <c r="AS351" s="376">
        <f t="shared" si="178"/>
        <v>3.7198760539758347E-5</v>
      </c>
      <c r="AT351" s="383"/>
      <c r="AU351" s="583">
        <f t="shared" si="162"/>
        <v>0.28272406487624896</v>
      </c>
      <c r="AV351" s="381">
        <f t="shared" si="157"/>
        <v>1.2632837927103606</v>
      </c>
      <c r="AW351" s="376">
        <f t="shared" si="163"/>
        <v>1.2632838927684638</v>
      </c>
      <c r="AX351" s="503">
        <f t="shared" si="155"/>
        <v>1.0005809814028765E-7</v>
      </c>
      <c r="AY351" s="376">
        <f t="shared" si="164"/>
        <v>2.9810716368601211</v>
      </c>
      <c r="AZ351" s="381">
        <f t="shared" si="179"/>
        <v>1.5348042433788059E-3</v>
      </c>
      <c r="BA351" s="586">
        <f t="shared" si="180"/>
        <v>0.14603831675747259</v>
      </c>
      <c r="BB351" s="376">
        <f t="shared" si="181"/>
        <v>0.85376344987317898</v>
      </c>
      <c r="BC351" s="376">
        <f t="shared" si="182"/>
        <v>0.85396168324252741</v>
      </c>
      <c r="BD351" s="376">
        <f t="shared" si="183"/>
        <v>1.982137224123548E-4</v>
      </c>
      <c r="BE351" s="282"/>
      <c r="BF351" s="282"/>
      <c r="BG351" s="282"/>
      <c r="BH351" s="283"/>
      <c r="BI351" s="283"/>
      <c r="BJ351" s="283"/>
      <c r="BK351" s="283"/>
      <c r="BL351" s="283"/>
      <c r="BM351" s="283"/>
      <c r="BN351" s="283"/>
      <c r="BO351" s="283"/>
      <c r="BP351" s="283"/>
      <c r="BQ351" s="283"/>
      <c r="BR351" s="283"/>
      <c r="BS351" s="283"/>
      <c r="BT351" s="283"/>
      <c r="BU351" s="283"/>
      <c r="BV351" s="283"/>
      <c r="BW351" s="283"/>
      <c r="BX351" s="283"/>
      <c r="BY351" s="283"/>
      <c r="BZ351" s="283"/>
      <c r="CA351" s="283"/>
      <c r="CB351" s="283"/>
      <c r="CC351" s="283"/>
      <c r="CD351" s="283"/>
      <c r="CE351" s="283"/>
      <c r="CF351" s="283"/>
      <c r="CG351" s="283"/>
      <c r="CH351" s="283"/>
      <c r="CI351" s="283"/>
      <c r="CJ351" s="283"/>
      <c r="CK351" s="283"/>
      <c r="CL351" s="283"/>
    </row>
    <row r="352" spans="1:90" ht="14.25" customHeight="1" x14ac:dyDescent="0.2">
      <c r="A352" s="28"/>
      <c r="B352" s="28"/>
      <c r="C352" s="28"/>
      <c r="D352" s="282"/>
      <c r="E352" s="282"/>
      <c r="F352" s="282"/>
      <c r="G352" s="282"/>
      <c r="H352" s="282"/>
      <c r="I352" s="282"/>
      <c r="J352" s="282"/>
      <c r="K352" s="282"/>
      <c r="L352" s="282"/>
      <c r="M352" s="282"/>
      <c r="N352" s="282"/>
      <c r="O352" s="282"/>
      <c r="P352" s="282"/>
      <c r="Q352" s="282"/>
      <c r="R352" s="282"/>
      <c r="S352" s="374"/>
      <c r="T352" s="373">
        <f t="shared" si="158"/>
        <v>326</v>
      </c>
      <c r="U352" s="374"/>
      <c r="V352" s="568">
        <f t="shared" si="184"/>
        <v>2.8964859445954402E-4</v>
      </c>
      <c r="W352" s="328">
        <f t="shared" si="165"/>
        <v>0.99970302179323545</v>
      </c>
      <c r="X352" s="328">
        <f t="shared" si="166"/>
        <v>0.99971035140554043</v>
      </c>
      <c r="Y352" s="328">
        <f t="shared" si="167"/>
        <v>7.3295854434718422E-6</v>
      </c>
      <c r="Z352" s="374"/>
      <c r="AA352" s="571">
        <f t="shared" si="168"/>
        <v>7.436880037821946E-3</v>
      </c>
      <c r="AB352" s="327">
        <f t="shared" si="156"/>
        <v>0.9924765589265695</v>
      </c>
      <c r="AC352" s="327">
        <f t="shared" si="169"/>
        <v>0.99256311996217805</v>
      </c>
      <c r="AD352" s="327">
        <f t="shared" si="170"/>
        <v>8.6557289310174035E-5</v>
      </c>
      <c r="AE352" s="383"/>
      <c r="AF352" s="574">
        <f t="shared" si="159"/>
        <v>4.0328623139590514E-2</v>
      </c>
      <c r="AG352" s="376">
        <f t="shared" si="185"/>
        <v>0.9594969171782447</v>
      </c>
      <c r="AH352" s="376">
        <f t="shared" si="171"/>
        <v>0.95967137686040949</v>
      </c>
      <c r="AI352" s="553">
        <f t="shared" si="172"/>
        <v>1.7444446495940014E-4</v>
      </c>
      <c r="AJ352" s="374"/>
      <c r="AK352" s="577">
        <f t="shared" si="160"/>
        <v>5.116226443963303E-2</v>
      </c>
      <c r="AL352" s="376">
        <f t="shared" si="173"/>
        <v>0.94867844797751177</v>
      </c>
      <c r="AM352" s="376">
        <f t="shared" si="174"/>
        <v>0.94883773556036699</v>
      </c>
      <c r="AN352" s="553">
        <f t="shared" si="175"/>
        <v>1.5927489726175192E-4</v>
      </c>
      <c r="AO352" s="374"/>
      <c r="AP352" s="580">
        <f t="shared" si="161"/>
        <v>2.0576339026512347E-3</v>
      </c>
      <c r="AQ352" s="376">
        <f t="shared" si="176"/>
        <v>0.99790581958198044</v>
      </c>
      <c r="AR352" s="379">
        <f t="shared" si="177"/>
        <v>0.99794236609734877</v>
      </c>
      <c r="AS352" s="376">
        <f t="shared" si="178"/>
        <v>3.65458475525271E-5</v>
      </c>
      <c r="AT352" s="383"/>
      <c r="AU352" s="583">
        <f t="shared" si="162"/>
        <v>0.28272403771045934</v>
      </c>
      <c r="AV352" s="381">
        <f t="shared" si="157"/>
        <v>1.2632838927684638</v>
      </c>
      <c r="AW352" s="376">
        <f t="shared" si="163"/>
        <v>1.263283988854345</v>
      </c>
      <c r="AX352" s="503">
        <f t="shared" si="155"/>
        <v>9.6085876588603014E-8</v>
      </c>
      <c r="AY352" s="376">
        <f t="shared" si="164"/>
        <v>2.9834881233073736</v>
      </c>
      <c r="AZ352" s="381">
        <f t="shared" si="179"/>
        <v>1.5281988606146209E-3</v>
      </c>
      <c r="BA352" s="586">
        <f t="shared" si="180"/>
        <v>0.14584095888745818</v>
      </c>
      <c r="BB352" s="376">
        <f t="shared" si="181"/>
        <v>0.85396168324252741</v>
      </c>
      <c r="BC352" s="376">
        <f t="shared" si="182"/>
        <v>0.85415904111254182</v>
      </c>
      <c r="BD352" s="376">
        <f t="shared" si="183"/>
        <v>1.9733839623115035E-4</v>
      </c>
      <c r="BE352" s="282"/>
      <c r="BF352" s="282"/>
      <c r="BG352" s="282"/>
      <c r="BH352" s="283"/>
      <c r="BI352" s="283"/>
      <c r="BJ352" s="283"/>
      <c r="BK352" s="283"/>
      <c r="BL352" s="283"/>
      <c r="BM352" s="283"/>
      <c r="BN352" s="283"/>
      <c r="BO352" s="283"/>
      <c r="BP352" s="283"/>
      <c r="BQ352" s="283"/>
      <c r="BR352" s="283"/>
      <c r="BS352" s="283"/>
      <c r="BT352" s="283"/>
      <c r="BU352" s="283"/>
      <c r="BV352" s="283"/>
      <c r="BW352" s="283"/>
      <c r="BX352" s="283"/>
      <c r="BY352" s="283"/>
      <c r="BZ352" s="283"/>
      <c r="CA352" s="283"/>
      <c r="CB352" s="283"/>
      <c r="CC352" s="283"/>
      <c r="CD352" s="283"/>
      <c r="CE352" s="283"/>
      <c r="CF352" s="283"/>
      <c r="CG352" s="283"/>
      <c r="CH352" s="283"/>
      <c r="CI352" s="283"/>
      <c r="CJ352" s="283"/>
      <c r="CK352" s="283"/>
      <c r="CL352" s="283"/>
    </row>
    <row r="353" spans="1:90" ht="14.25" customHeight="1" x14ac:dyDescent="0.2">
      <c r="A353" s="28"/>
      <c r="B353" s="28"/>
      <c r="C353" s="28"/>
      <c r="D353" s="282"/>
      <c r="E353" s="282"/>
      <c r="F353" s="282"/>
      <c r="G353" s="282"/>
      <c r="H353" s="282"/>
      <c r="I353" s="282"/>
      <c r="J353" s="282"/>
      <c r="K353" s="282"/>
      <c r="L353" s="282"/>
      <c r="M353" s="282"/>
      <c r="N353" s="282"/>
      <c r="O353" s="282"/>
      <c r="P353" s="282"/>
      <c r="Q353" s="282"/>
      <c r="R353" s="282"/>
      <c r="S353" s="374"/>
      <c r="T353" s="373">
        <f t="shared" si="158"/>
        <v>327</v>
      </c>
      <c r="U353" s="374"/>
      <c r="V353" s="568">
        <f t="shared" si="184"/>
        <v>2.8249988167959177E-4</v>
      </c>
      <c r="W353" s="328">
        <f t="shared" si="165"/>
        <v>0.99971035140554043</v>
      </c>
      <c r="X353" s="328">
        <f t="shared" si="166"/>
        <v>0.99971750011832039</v>
      </c>
      <c r="Y353" s="328">
        <f t="shared" si="167"/>
        <v>7.1486872279535874E-6</v>
      </c>
      <c r="Z353" s="374"/>
      <c r="AA353" s="571">
        <f t="shared" si="168"/>
        <v>7.3513750786404963E-3</v>
      </c>
      <c r="AB353" s="327">
        <f t="shared" si="156"/>
        <v>0.99256311996217805</v>
      </c>
      <c r="AC353" s="327">
        <f t="shared" si="169"/>
        <v>0.99264862492135952</v>
      </c>
      <c r="AD353" s="327">
        <f t="shared" si="170"/>
        <v>8.5501303736634782E-5</v>
      </c>
      <c r="AE353" s="383"/>
      <c r="AF353" s="574">
        <f t="shared" si="159"/>
        <v>4.0155305748422521E-2</v>
      </c>
      <c r="AG353" s="376">
        <f t="shared" si="185"/>
        <v>0.95967137686040949</v>
      </c>
      <c r="AH353" s="376">
        <f t="shared" si="171"/>
        <v>0.95984469425157748</v>
      </c>
      <c r="AI353" s="553">
        <f t="shared" si="172"/>
        <v>1.7330237257662251E-4</v>
      </c>
      <c r="AJ353" s="374"/>
      <c r="AK353" s="577">
        <f t="shared" si="160"/>
        <v>5.1003930379991132E-2</v>
      </c>
      <c r="AL353" s="376">
        <f t="shared" si="173"/>
        <v>0.94883773556036699</v>
      </c>
      <c r="AM353" s="376">
        <f t="shared" si="174"/>
        <v>0.94899606962000882</v>
      </c>
      <c r="AN353" s="553">
        <f t="shared" si="175"/>
        <v>1.5832152546613187E-4</v>
      </c>
      <c r="AO353" s="374"/>
      <c r="AP353" s="580">
        <f t="shared" si="161"/>
        <v>2.0217287799220163E-3</v>
      </c>
      <c r="AQ353" s="376">
        <f t="shared" si="176"/>
        <v>0.99794236609734877</v>
      </c>
      <c r="AR353" s="379">
        <f t="shared" si="177"/>
        <v>0.99797827122007798</v>
      </c>
      <c r="AS353" s="376">
        <f t="shared" si="178"/>
        <v>3.5904478148052199E-5</v>
      </c>
      <c r="AT353" s="383"/>
      <c r="AU353" s="583">
        <f t="shared" si="162"/>
        <v>0.28272401162313093</v>
      </c>
      <c r="AV353" s="381">
        <f t="shared" si="157"/>
        <v>1.263283988854345</v>
      </c>
      <c r="AW353" s="376">
        <f t="shared" si="163"/>
        <v>1.2632840811256985</v>
      </c>
      <c r="AX353" s="503">
        <f t="shared" ref="AX353:AX370" si="186">1-EXP(AV353-AW353)</f>
        <v>9.2271349227956989E-8</v>
      </c>
      <c r="AY353" s="376">
        <f t="shared" si="164"/>
        <v>2.9858972085594311</v>
      </c>
      <c r="AZ353" s="381">
        <f t="shared" si="179"/>
        <v>1.5216420062013679E-3</v>
      </c>
      <c r="BA353" s="586">
        <f t="shared" si="180"/>
        <v>0.14564446998787756</v>
      </c>
      <c r="BB353" s="376">
        <f t="shared" si="181"/>
        <v>0.85415904111254182</v>
      </c>
      <c r="BC353" s="376">
        <f t="shared" si="182"/>
        <v>0.85435553001212239</v>
      </c>
      <c r="BD353" s="376">
        <f t="shared" si="183"/>
        <v>1.9646959690100552E-4</v>
      </c>
      <c r="BE353" s="282"/>
      <c r="BF353" s="282"/>
      <c r="BG353" s="282"/>
      <c r="BH353" s="283"/>
      <c r="BI353" s="283"/>
      <c r="BJ353" s="283"/>
      <c r="BK353" s="283"/>
      <c r="BL353" s="283"/>
      <c r="BM353" s="283"/>
      <c r="BN353" s="283"/>
      <c r="BO353" s="283"/>
      <c r="BP353" s="283"/>
      <c r="BQ353" s="283"/>
      <c r="BR353" s="283"/>
      <c r="BS353" s="283"/>
      <c r="BT353" s="283"/>
      <c r="BU353" s="283"/>
      <c r="BV353" s="283"/>
      <c r="BW353" s="283"/>
      <c r="BX353" s="283"/>
      <c r="BY353" s="283"/>
      <c r="BZ353" s="283"/>
      <c r="CA353" s="283"/>
      <c r="CB353" s="283"/>
      <c r="CC353" s="283"/>
      <c r="CD353" s="283"/>
      <c r="CE353" s="283"/>
      <c r="CF353" s="283"/>
      <c r="CG353" s="283"/>
      <c r="CH353" s="283"/>
      <c r="CI353" s="283"/>
      <c r="CJ353" s="283"/>
      <c r="CK353" s="283"/>
      <c r="CL353" s="283"/>
    </row>
    <row r="354" spans="1:90" ht="14.25" customHeight="1" x14ac:dyDescent="0.2">
      <c r="A354" s="28"/>
      <c r="B354" s="28"/>
      <c r="C354" s="28"/>
      <c r="D354" s="282"/>
      <c r="E354" s="282"/>
      <c r="F354" s="282"/>
      <c r="G354" s="282"/>
      <c r="H354" s="282"/>
      <c r="I354" s="282"/>
      <c r="J354" s="282"/>
      <c r="K354" s="282"/>
      <c r="L354" s="282"/>
      <c r="M354" s="282"/>
      <c r="N354" s="282"/>
      <c r="O354" s="282"/>
      <c r="P354" s="282"/>
      <c r="Q354" s="282"/>
      <c r="R354" s="282"/>
      <c r="S354" s="374"/>
      <c r="T354" s="373">
        <f t="shared" si="158"/>
        <v>328</v>
      </c>
      <c r="U354" s="374"/>
      <c r="V354" s="568">
        <f t="shared" si="184"/>
        <v>2.7552760370853528E-4</v>
      </c>
      <c r="W354" s="328">
        <f t="shared" si="165"/>
        <v>0.99971750011832039</v>
      </c>
      <c r="X354" s="328">
        <f t="shared" si="166"/>
        <v>0.99972447239629147</v>
      </c>
      <c r="Y354" s="328">
        <f t="shared" si="167"/>
        <v>6.9722536648608724E-6</v>
      </c>
      <c r="Z354" s="374"/>
      <c r="AA354" s="571">
        <f t="shared" si="168"/>
        <v>7.2669124389218307E-3</v>
      </c>
      <c r="AB354" s="327">
        <f t="shared" si="156"/>
        <v>0.99264862492135952</v>
      </c>
      <c r="AC354" s="327">
        <f t="shared" si="169"/>
        <v>0.99273308756107814</v>
      </c>
      <c r="AD354" s="327">
        <f t="shared" si="170"/>
        <v>8.4459072850262551E-5</v>
      </c>
      <c r="AE354" s="383"/>
      <c r="AF354" s="574">
        <f t="shared" si="159"/>
        <v>3.9983120398630501E-2</v>
      </c>
      <c r="AG354" s="376">
        <f t="shared" si="185"/>
        <v>0.95984469425157748</v>
      </c>
      <c r="AH354" s="376">
        <f t="shared" si="171"/>
        <v>0.9600168796013695</v>
      </c>
      <c r="AI354" s="553">
        <f t="shared" si="172"/>
        <v>1.7217052674545208E-4</v>
      </c>
      <c r="AJ354" s="374"/>
      <c r="AK354" s="577">
        <f t="shared" si="160"/>
        <v>5.0846541408288988E-2</v>
      </c>
      <c r="AL354" s="376">
        <f t="shared" si="173"/>
        <v>0.94899606962000882</v>
      </c>
      <c r="AM354" s="376">
        <f t="shared" si="174"/>
        <v>0.94915345859171096</v>
      </c>
      <c r="AN354" s="553">
        <f t="shared" si="175"/>
        <v>1.573765867076693E-4</v>
      </c>
      <c r="AO354" s="374"/>
      <c r="AP354" s="580">
        <f t="shared" si="161"/>
        <v>1.9864537114870906E-3</v>
      </c>
      <c r="AQ354" s="376">
        <f t="shared" si="176"/>
        <v>0.99797827122007798</v>
      </c>
      <c r="AR354" s="379">
        <f t="shared" si="177"/>
        <v>0.99801354628851291</v>
      </c>
      <c r="AS354" s="376">
        <f t="shared" si="178"/>
        <v>3.5274446277044902E-5</v>
      </c>
      <c r="AT354" s="383"/>
      <c r="AU354" s="583">
        <f t="shared" si="162"/>
        <v>0.28272398657144965</v>
      </c>
      <c r="AV354" s="381">
        <f t="shared" si="157"/>
        <v>1.2632840811256985</v>
      </c>
      <c r="AW354" s="376">
        <f t="shared" si="163"/>
        <v>1.2632841697339574</v>
      </c>
      <c r="AX354" s="503">
        <f t="shared" si="186"/>
        <v>8.8608255066624508E-8</v>
      </c>
      <c r="AY354" s="376">
        <f t="shared" si="164"/>
        <v>2.9882989378145384</v>
      </c>
      <c r="AZ354" s="381">
        <f t="shared" si="179"/>
        <v>1.515133176836874E-3</v>
      </c>
      <c r="BA354" s="586">
        <f t="shared" si="180"/>
        <v>0.14544884359824428</v>
      </c>
      <c r="BB354" s="376">
        <f t="shared" si="181"/>
        <v>0.85435553001212239</v>
      </c>
      <c r="BC354" s="376">
        <f t="shared" si="182"/>
        <v>0.85455115640175572</v>
      </c>
      <c r="BD354" s="376">
        <f t="shared" si="183"/>
        <v>1.9560725603884332E-4</v>
      </c>
      <c r="BE354" s="282"/>
      <c r="BF354" s="282"/>
      <c r="BG354" s="282"/>
      <c r="BH354" s="283"/>
      <c r="BI354" s="283"/>
      <c r="BJ354" s="283"/>
      <c r="BK354" s="283"/>
      <c r="BL354" s="283"/>
      <c r="BM354" s="283"/>
      <c r="BN354" s="283"/>
      <c r="BO354" s="283"/>
      <c r="BP354" s="283"/>
      <c r="BQ354" s="283"/>
      <c r="BR354" s="283"/>
      <c r="BS354" s="283"/>
      <c r="BT354" s="283"/>
      <c r="BU354" s="283"/>
      <c r="BV354" s="283"/>
      <c r="BW354" s="283"/>
      <c r="BX354" s="283"/>
      <c r="BY354" s="283"/>
      <c r="BZ354" s="283"/>
      <c r="CA354" s="283"/>
      <c r="CB354" s="283"/>
      <c r="CC354" s="283"/>
      <c r="CD354" s="283"/>
      <c r="CE354" s="283"/>
      <c r="CF354" s="283"/>
      <c r="CG354" s="283"/>
      <c r="CH354" s="283"/>
      <c r="CI354" s="283"/>
      <c r="CJ354" s="283"/>
      <c r="CK354" s="283"/>
      <c r="CL354" s="283"/>
    </row>
    <row r="355" spans="1:90" ht="14.25" customHeight="1" x14ac:dyDescent="0.2">
      <c r="A355" s="28"/>
      <c r="B355" s="28"/>
      <c r="C355" s="28"/>
      <c r="D355" s="282"/>
      <c r="E355" s="282"/>
      <c r="F355" s="282"/>
      <c r="G355" s="282"/>
      <c r="H355" s="282"/>
      <c r="I355" s="282"/>
      <c r="J355" s="282"/>
      <c r="K355" s="282"/>
      <c r="L355" s="282"/>
      <c r="M355" s="282"/>
      <c r="N355" s="282"/>
      <c r="O355" s="282"/>
      <c r="P355" s="282"/>
      <c r="Q355" s="282"/>
      <c r="R355" s="282"/>
      <c r="S355" s="374"/>
      <c r="T355" s="373">
        <f t="shared" si="158"/>
        <v>329</v>
      </c>
      <c r="U355" s="374"/>
      <c r="V355" s="568">
        <f t="shared" si="184"/>
        <v>2.6872740602231469E-4</v>
      </c>
      <c r="W355" s="328">
        <f t="shared" si="165"/>
        <v>0.99972447239629147</v>
      </c>
      <c r="X355" s="328">
        <f t="shared" si="166"/>
        <v>0.99973127259397765</v>
      </c>
      <c r="Y355" s="328">
        <f t="shared" si="167"/>
        <v>6.8001745648915701E-6</v>
      </c>
      <c r="Z355" s="374"/>
      <c r="AA355" s="571">
        <f t="shared" si="168"/>
        <v>7.1834785544629244E-3</v>
      </c>
      <c r="AB355" s="327">
        <f t="shared" ref="AB355:AB370" si="187">1-AA354</f>
        <v>0.99273308756107814</v>
      </c>
      <c r="AC355" s="327">
        <f t="shared" si="169"/>
        <v>0.99281652144553711</v>
      </c>
      <c r="AD355" s="327">
        <f t="shared" si="170"/>
        <v>8.3430403949202869E-5</v>
      </c>
      <c r="AE355" s="383"/>
      <c r="AF355" s="574">
        <f t="shared" si="159"/>
        <v>3.9812056958549613E-2</v>
      </c>
      <c r="AG355" s="376">
        <f t="shared" si="185"/>
        <v>0.9600168796013695</v>
      </c>
      <c r="AH355" s="376">
        <f t="shared" si="171"/>
        <v>0.96018794304145039</v>
      </c>
      <c r="AI355" s="553">
        <f t="shared" si="172"/>
        <v>1.7104880956486657E-4</v>
      </c>
      <c r="AJ355" s="374"/>
      <c r="AK355" s="577">
        <f t="shared" si="160"/>
        <v>5.0690089187829163E-2</v>
      </c>
      <c r="AL355" s="376">
        <f t="shared" si="173"/>
        <v>0.94915345859171096</v>
      </c>
      <c r="AM355" s="376">
        <f t="shared" si="174"/>
        <v>0.94930991081217087</v>
      </c>
      <c r="AN355" s="553">
        <f t="shared" si="175"/>
        <v>1.5643998244951884E-4</v>
      </c>
      <c r="AO355" s="374"/>
      <c r="AP355" s="580">
        <f t="shared" si="161"/>
        <v>1.9517975613538852E-3</v>
      </c>
      <c r="AQ355" s="376">
        <f t="shared" si="176"/>
        <v>0.99801354628851291</v>
      </c>
      <c r="AR355" s="379">
        <f t="shared" si="177"/>
        <v>0.99804820243864611</v>
      </c>
      <c r="AS355" s="376">
        <f t="shared" si="178"/>
        <v>3.465554961579187E-5</v>
      </c>
      <c r="AT355" s="383"/>
      <c r="AU355" s="583">
        <f t="shared" si="162"/>
        <v>0.28272396251430093</v>
      </c>
      <c r="AV355" s="381">
        <f t="shared" si="157"/>
        <v>1.2632841697339574</v>
      </c>
      <c r="AW355" s="376">
        <f t="shared" si="163"/>
        <v>1.2632842548245435</v>
      </c>
      <c r="AX355" s="503">
        <f t="shared" si="186"/>
        <v>8.5090582468971832E-8</v>
      </c>
      <c r="AY355" s="376">
        <f t="shared" si="164"/>
        <v>2.9906933558581681</v>
      </c>
      <c r="AZ355" s="381">
        <f t="shared" si="179"/>
        <v>1.5086718759518632E-3</v>
      </c>
      <c r="BA355" s="586">
        <f t="shared" si="180"/>
        <v>0.14525407332556348</v>
      </c>
      <c r="BB355" s="376">
        <f t="shared" si="181"/>
        <v>0.85455115640175572</v>
      </c>
      <c r="BC355" s="376">
        <f t="shared" si="182"/>
        <v>0.8547459266744365</v>
      </c>
      <c r="BD355" s="376">
        <f t="shared" si="183"/>
        <v>1.9475130618262781E-4</v>
      </c>
      <c r="BE355" s="282"/>
      <c r="BF355" s="282"/>
      <c r="BG355" s="282"/>
      <c r="BH355" s="283"/>
      <c r="BI355" s="283"/>
      <c r="BJ355" s="283"/>
      <c r="BK355" s="283"/>
      <c r="BL355" s="283"/>
      <c r="BM355" s="283"/>
      <c r="BN355" s="283"/>
      <c r="BO355" s="283"/>
      <c r="BP355" s="283"/>
      <c r="BQ355" s="283"/>
      <c r="BR355" s="283"/>
      <c r="BS355" s="283"/>
      <c r="BT355" s="283"/>
      <c r="BU355" s="283"/>
      <c r="BV355" s="283"/>
      <c r="BW355" s="283"/>
      <c r="BX355" s="283"/>
      <c r="BY355" s="283"/>
      <c r="BZ355" s="283"/>
      <c r="CA355" s="283"/>
      <c r="CB355" s="283"/>
      <c r="CC355" s="283"/>
      <c r="CD355" s="283"/>
      <c r="CE355" s="283"/>
      <c r="CF355" s="283"/>
      <c r="CG355" s="283"/>
      <c r="CH355" s="283"/>
      <c r="CI355" s="283"/>
      <c r="CJ355" s="283"/>
      <c r="CK355" s="283"/>
      <c r="CL355" s="283"/>
    </row>
    <row r="356" spans="1:90" ht="14.25" customHeight="1" x14ac:dyDescent="0.2">
      <c r="A356" s="28"/>
      <c r="B356" s="28"/>
      <c r="C356" s="28"/>
      <c r="D356" s="282"/>
      <c r="E356" s="282"/>
      <c r="F356" s="282"/>
      <c r="G356" s="282"/>
      <c r="H356" s="282"/>
      <c r="I356" s="282"/>
      <c r="J356" s="282"/>
      <c r="K356" s="282"/>
      <c r="L356" s="282"/>
      <c r="M356" s="282"/>
      <c r="N356" s="282"/>
      <c r="O356" s="282"/>
      <c r="P356" s="282"/>
      <c r="Q356" s="282"/>
      <c r="R356" s="282"/>
      <c r="S356" s="374"/>
      <c r="T356" s="373">
        <f t="shared" si="158"/>
        <v>330</v>
      </c>
      <c r="U356" s="374"/>
      <c r="V356" s="568">
        <f t="shared" si="184"/>
        <v>2.6209504156931429E-4</v>
      </c>
      <c r="W356" s="328">
        <f t="shared" si="165"/>
        <v>0.99973127259397765</v>
      </c>
      <c r="X356" s="328">
        <f t="shared" si="166"/>
        <v>0.99973790495843073</v>
      </c>
      <c r="Y356" s="328">
        <f t="shared" si="167"/>
        <v>6.6323424590120084E-6</v>
      </c>
      <c r="Z356" s="374"/>
      <c r="AA356" s="571">
        <f t="shared" si="168"/>
        <v>7.101060050894727E-3</v>
      </c>
      <c r="AB356" s="327">
        <f t="shared" si="187"/>
        <v>0.99281652144553711</v>
      </c>
      <c r="AC356" s="327">
        <f t="shared" si="169"/>
        <v>0.99289893994910527</v>
      </c>
      <c r="AD356" s="327">
        <f t="shared" si="170"/>
        <v>8.2415107256594844E-5</v>
      </c>
      <c r="AE356" s="383"/>
      <c r="AF356" s="574">
        <f t="shared" si="159"/>
        <v>3.9642105412806217E-2</v>
      </c>
      <c r="AG356" s="376">
        <f t="shared" si="185"/>
        <v>0.96018794304145039</v>
      </c>
      <c r="AH356" s="376">
        <f t="shared" si="171"/>
        <v>0.96035789458719378</v>
      </c>
      <c r="AI356" s="553">
        <f t="shared" si="172"/>
        <v>1.6993710479751289E-4</v>
      </c>
      <c r="AJ356" s="374"/>
      <c r="AK356" s="577">
        <f t="shared" si="160"/>
        <v>5.0534565479060552E-2</v>
      </c>
      <c r="AL356" s="376">
        <f t="shared" si="173"/>
        <v>0.94930991081217087</v>
      </c>
      <c r="AM356" s="376">
        <f t="shared" si="174"/>
        <v>0.94946543452093946</v>
      </c>
      <c r="AN356" s="553">
        <f t="shared" si="175"/>
        <v>1.5551161558358118E-4</v>
      </c>
      <c r="AO356" s="374"/>
      <c r="AP356" s="580">
        <f t="shared" si="161"/>
        <v>1.9177493922246658E-3</v>
      </c>
      <c r="AQ356" s="376">
        <f t="shared" si="176"/>
        <v>0.99804820243864611</v>
      </c>
      <c r="AR356" s="379">
        <f t="shared" si="177"/>
        <v>0.99808225060777533</v>
      </c>
      <c r="AS356" s="376">
        <f t="shared" si="178"/>
        <v>3.4047589496877251E-5</v>
      </c>
      <c r="AT356" s="383"/>
      <c r="AU356" s="583">
        <f t="shared" si="162"/>
        <v>0.28272393941220253</v>
      </c>
      <c r="AV356" s="381">
        <f t="shared" ref="AV356:AV370" si="188">($AU$22/$AU$21)*((EXP($AU$21*T355))-1)</f>
        <v>1.2632842548245435</v>
      </c>
      <c r="AW356" s="376">
        <f t="shared" si="163"/>
        <v>1.2632843365371056</v>
      </c>
      <c r="AX356" s="503">
        <f t="shared" si="186"/>
        <v>8.1712558719360118E-8</v>
      </c>
      <c r="AY356" s="376">
        <f t="shared" si="164"/>
        <v>2.9930805070680351</v>
      </c>
      <c r="AZ356" s="381">
        <f t="shared" si="179"/>
        <v>1.5022576135997659E-3</v>
      </c>
      <c r="BA356" s="586">
        <f t="shared" si="180"/>
        <v>0.14506015284342463</v>
      </c>
      <c r="BB356" s="376">
        <f t="shared" si="181"/>
        <v>0.8547459266744365</v>
      </c>
      <c r="BC356" s="376">
        <f t="shared" si="182"/>
        <v>0.85493984715657534</v>
      </c>
      <c r="BD356" s="376">
        <f t="shared" si="183"/>
        <v>1.9390168077748626E-4</v>
      </c>
      <c r="BE356" s="282"/>
      <c r="BF356" s="282"/>
      <c r="BG356" s="282"/>
      <c r="BH356" s="283"/>
      <c r="BI356" s="283"/>
      <c r="BJ356" s="283"/>
      <c r="BK356" s="283"/>
      <c r="BL356" s="283"/>
      <c r="BM356" s="283"/>
      <c r="BN356" s="283"/>
      <c r="BO356" s="283"/>
      <c r="BP356" s="283"/>
      <c r="BQ356" s="283"/>
      <c r="BR356" s="283"/>
      <c r="BS356" s="283"/>
      <c r="BT356" s="283"/>
      <c r="BU356" s="283"/>
      <c r="BV356" s="283"/>
      <c r="BW356" s="283"/>
      <c r="BX356" s="283"/>
      <c r="BY356" s="283"/>
      <c r="BZ356" s="283"/>
      <c r="CA356" s="283"/>
      <c r="CB356" s="283"/>
      <c r="CC356" s="283"/>
      <c r="CD356" s="283"/>
      <c r="CE356" s="283"/>
      <c r="CF356" s="283"/>
      <c r="CG356" s="283"/>
      <c r="CH356" s="283"/>
      <c r="CI356" s="283"/>
      <c r="CJ356" s="283"/>
      <c r="CK356" s="283"/>
      <c r="CL356" s="283"/>
    </row>
    <row r="357" spans="1:90" ht="14.25" customHeight="1" x14ac:dyDescent="0.2">
      <c r="A357" s="28"/>
      <c r="B357" s="28"/>
      <c r="C357" s="28"/>
      <c r="D357" s="282"/>
      <c r="E357" s="282"/>
      <c r="F357" s="282"/>
      <c r="G357" s="282"/>
      <c r="H357" s="282"/>
      <c r="I357" s="282"/>
      <c r="J357" s="282"/>
      <c r="K357" s="282"/>
      <c r="L357" s="282"/>
      <c r="M357" s="282"/>
      <c r="N357" s="282"/>
      <c r="O357" s="282"/>
      <c r="P357" s="282"/>
      <c r="Q357" s="282"/>
      <c r="R357" s="282"/>
      <c r="S357" s="374"/>
      <c r="T357" s="373">
        <f t="shared" si="158"/>
        <v>331</v>
      </c>
      <c r="U357" s="374"/>
      <c r="V357" s="568">
        <f t="shared" si="184"/>
        <v>2.5562636811786975E-4</v>
      </c>
      <c r="W357" s="328">
        <f t="shared" si="165"/>
        <v>0.99973790495843073</v>
      </c>
      <c r="X357" s="328">
        <f t="shared" si="166"/>
        <v>0.99974437363188218</v>
      </c>
      <c r="Y357" s="328">
        <f t="shared" si="167"/>
        <v>6.4686525296231423E-6</v>
      </c>
      <c r="Z357" s="374"/>
      <c r="AA357" s="571">
        <f t="shared" si="168"/>
        <v>7.0196437408033647E-3</v>
      </c>
      <c r="AB357" s="327">
        <f t="shared" si="187"/>
        <v>0.99289893994910527</v>
      </c>
      <c r="AC357" s="327">
        <f t="shared" si="169"/>
        <v>0.99298035625919667</v>
      </c>
      <c r="AD357" s="327">
        <f t="shared" si="170"/>
        <v>8.1412995873608729E-5</v>
      </c>
      <c r="AE357" s="383"/>
      <c r="AF357" s="574">
        <f t="shared" si="159"/>
        <v>3.9473255860681178E-2</v>
      </c>
      <c r="AG357" s="376">
        <f t="shared" si="185"/>
        <v>0.96035789458719378</v>
      </c>
      <c r="AH357" s="376">
        <f t="shared" si="171"/>
        <v>0.96052674413931882</v>
      </c>
      <c r="AI357" s="553">
        <f t="shared" si="172"/>
        <v>1.6883529784172957E-4</v>
      </c>
      <c r="AJ357" s="374"/>
      <c r="AK357" s="577">
        <f t="shared" si="160"/>
        <v>5.0379962138173008E-2</v>
      </c>
      <c r="AL357" s="376">
        <f t="shared" si="173"/>
        <v>0.94946543452093946</v>
      </c>
      <c r="AM357" s="376">
        <f t="shared" si="174"/>
        <v>0.94962003786182703</v>
      </c>
      <c r="AN357" s="553">
        <f t="shared" si="175"/>
        <v>1.5459139040696623E-4</v>
      </c>
      <c r="AO357" s="374"/>
      <c r="AP357" s="580">
        <f t="shared" si="161"/>
        <v>1.8842984619056313E-3</v>
      </c>
      <c r="AQ357" s="376">
        <f t="shared" si="176"/>
        <v>0.99808225060777533</v>
      </c>
      <c r="AR357" s="379">
        <f t="shared" si="177"/>
        <v>0.99811570153809437</v>
      </c>
      <c r="AS357" s="376">
        <f t="shared" si="178"/>
        <v>3.3450370842902366E-5</v>
      </c>
      <c r="AT357" s="383"/>
      <c r="AU357" s="583">
        <f t="shared" si="162"/>
        <v>0.28272391722723961</v>
      </c>
      <c r="AV357" s="381">
        <f t="shared" si="188"/>
        <v>1.2632843365371056</v>
      </c>
      <c r="AW357" s="376">
        <f t="shared" si="163"/>
        <v>1.2632844150057483</v>
      </c>
      <c r="AX357" s="503">
        <f t="shared" si="186"/>
        <v>7.8468639586048994E-8</v>
      </c>
      <c r="AY357" s="376">
        <f t="shared" si="164"/>
        <v>2.9954604354190284</v>
      </c>
      <c r="AZ357" s="381">
        <f t="shared" si="179"/>
        <v>1.4958899063486635E-3</v>
      </c>
      <c r="BA357" s="586">
        <f t="shared" si="180"/>
        <v>0.14486707589110925</v>
      </c>
      <c r="BB357" s="376">
        <f t="shared" si="181"/>
        <v>0.85493984715657534</v>
      </c>
      <c r="BC357" s="376">
        <f t="shared" si="182"/>
        <v>0.85513292410889075</v>
      </c>
      <c r="BD357" s="376">
        <f t="shared" si="183"/>
        <v>1.9305831416016606E-4</v>
      </c>
      <c r="BE357" s="282"/>
      <c r="BF357" s="282"/>
      <c r="BG357" s="282"/>
      <c r="BH357" s="283"/>
      <c r="BI357" s="283"/>
      <c r="BJ357" s="283"/>
      <c r="BK357" s="283"/>
      <c r="BL357" s="283"/>
      <c r="BM357" s="283"/>
      <c r="BN357" s="283"/>
      <c r="BO357" s="283"/>
      <c r="BP357" s="283"/>
      <c r="BQ357" s="283"/>
      <c r="BR357" s="283"/>
      <c r="BS357" s="283"/>
      <c r="BT357" s="283"/>
      <c r="BU357" s="283"/>
      <c r="BV357" s="283"/>
      <c r="BW357" s="283"/>
      <c r="BX357" s="283"/>
      <c r="BY357" s="283"/>
      <c r="BZ357" s="283"/>
      <c r="CA357" s="283"/>
      <c r="CB357" s="283"/>
      <c r="CC357" s="283"/>
      <c r="CD357" s="283"/>
      <c r="CE357" s="283"/>
      <c r="CF357" s="283"/>
      <c r="CG357" s="283"/>
      <c r="CH357" s="283"/>
      <c r="CI357" s="283"/>
      <c r="CJ357" s="283"/>
      <c r="CK357" s="283"/>
      <c r="CL357" s="283"/>
    </row>
    <row r="358" spans="1:90" ht="14.25" customHeight="1" x14ac:dyDescent="0.2">
      <c r="A358" s="28"/>
      <c r="B358" s="28"/>
      <c r="C358" s="28"/>
      <c r="D358" s="282"/>
      <c r="E358" s="282"/>
      <c r="F358" s="282"/>
      <c r="G358" s="282"/>
      <c r="H358" s="282"/>
      <c r="I358" s="282"/>
      <c r="J358" s="282"/>
      <c r="K358" s="282"/>
      <c r="L358" s="282"/>
      <c r="M358" s="282"/>
      <c r="N358" s="282"/>
      <c r="O358" s="282"/>
      <c r="P358" s="282"/>
      <c r="Q358" s="282"/>
      <c r="R358" s="282"/>
      <c r="S358" s="374"/>
      <c r="T358" s="373">
        <f t="shared" ref="T358:T370" si="189">T357+1</f>
        <v>332</v>
      </c>
      <c r="U358" s="374"/>
      <c r="V358" s="568">
        <f t="shared" si="184"/>
        <v>2.4931734566924842E-4</v>
      </c>
      <c r="W358" s="328">
        <f t="shared" si="165"/>
        <v>0.99974437363188218</v>
      </c>
      <c r="X358" s="328">
        <f t="shared" si="166"/>
        <v>0.99975068265433076</v>
      </c>
      <c r="Y358" s="328">
        <f t="shared" si="167"/>
        <v>6.3090025467227306E-6</v>
      </c>
      <c r="Z358" s="374"/>
      <c r="AA358" s="571">
        <f t="shared" si="168"/>
        <v>6.9392166208989588E-3</v>
      </c>
      <c r="AB358" s="327">
        <f t="shared" si="187"/>
        <v>0.99298035625919667</v>
      </c>
      <c r="AC358" s="327">
        <f t="shared" si="169"/>
        <v>0.99306078337910109</v>
      </c>
      <c r="AD358" s="327">
        <f t="shared" si="170"/>
        <v>8.0423885730263045E-5</v>
      </c>
      <c r="AE358" s="383"/>
      <c r="AF358" s="574">
        <f t="shared" si="159"/>
        <v>3.9305498514500936E-2</v>
      </c>
      <c r="AG358" s="376">
        <f t="shared" si="185"/>
        <v>0.96052674413931882</v>
      </c>
      <c r="AH358" s="376">
        <f t="shared" si="171"/>
        <v>0.96069450148549906</v>
      </c>
      <c r="AI358" s="553">
        <f t="shared" si="172"/>
        <v>1.6774327570345804E-4</v>
      </c>
      <c r="AJ358" s="374"/>
      <c r="AK358" s="577">
        <f t="shared" si="160"/>
        <v>5.0226271115716377E-2</v>
      </c>
      <c r="AL358" s="376">
        <f t="shared" si="173"/>
        <v>0.94962003786182703</v>
      </c>
      <c r="AM358" s="376">
        <f t="shared" si="174"/>
        <v>0.94977372888428357</v>
      </c>
      <c r="AN358" s="553">
        <f t="shared" si="175"/>
        <v>1.5367921259634709E-4</v>
      </c>
      <c r="AO358" s="374"/>
      <c r="AP358" s="580">
        <f t="shared" si="161"/>
        <v>1.8514342197832878E-3</v>
      </c>
      <c r="AQ358" s="376">
        <f t="shared" si="176"/>
        <v>0.99811570153809437</v>
      </c>
      <c r="AR358" s="379">
        <f t="shared" si="177"/>
        <v>0.99814856578021671</v>
      </c>
      <c r="AS358" s="376">
        <f t="shared" si="178"/>
        <v>3.2863702099095171E-5</v>
      </c>
      <c r="AT358" s="383"/>
      <c r="AU358" s="583">
        <f t="shared" si="162"/>
        <v>0.28272389592300251</v>
      </c>
      <c r="AV358" s="381">
        <f t="shared" si="188"/>
        <v>1.2632844150057483</v>
      </c>
      <c r="AW358" s="376">
        <f t="shared" si="163"/>
        <v>1.2632844903592526</v>
      </c>
      <c r="AX358" s="503">
        <f t="shared" si="186"/>
        <v>7.535350143861308E-8</v>
      </c>
      <c r="AY358" s="376">
        <f t="shared" si="164"/>
        <v>2.9978331844880732</v>
      </c>
      <c r="AZ358" s="381">
        <f t="shared" si="179"/>
        <v>1.4895682771753158E-3</v>
      </c>
      <c r="BA358" s="586">
        <f t="shared" si="180"/>
        <v>0.14467483627271396</v>
      </c>
      <c r="BB358" s="376">
        <f t="shared" si="181"/>
        <v>0.85513292410889075</v>
      </c>
      <c r="BC358" s="376">
        <f t="shared" si="182"/>
        <v>0.85532516372728606</v>
      </c>
      <c r="BD358" s="376">
        <f t="shared" si="183"/>
        <v>1.9222114154393566E-4</v>
      </c>
      <c r="BE358" s="282"/>
      <c r="BF358" s="282"/>
      <c r="BG358" s="282"/>
      <c r="BH358" s="283"/>
      <c r="BI358" s="283"/>
      <c r="BJ358" s="283"/>
      <c r="BK358" s="283"/>
      <c r="BL358" s="283"/>
      <c r="BM358" s="283"/>
      <c r="BN358" s="283"/>
      <c r="BO358" s="283"/>
      <c r="BP358" s="283"/>
      <c r="BQ358" s="283"/>
      <c r="BR358" s="283"/>
      <c r="BS358" s="283"/>
      <c r="BT358" s="283"/>
      <c r="BU358" s="283"/>
      <c r="BV358" s="283"/>
      <c r="BW358" s="283"/>
      <c r="BX358" s="283"/>
      <c r="BY358" s="283"/>
      <c r="BZ358" s="283"/>
      <c r="CA358" s="283"/>
      <c r="CB358" s="283"/>
      <c r="CC358" s="283"/>
      <c r="CD358" s="283"/>
      <c r="CE358" s="283"/>
      <c r="CF358" s="283"/>
      <c r="CG358" s="283"/>
      <c r="CH358" s="283"/>
      <c r="CI358" s="283"/>
      <c r="CJ358" s="283"/>
      <c r="CK358" s="283"/>
      <c r="CL358" s="283"/>
    </row>
    <row r="359" spans="1:90" ht="14.25" customHeight="1" x14ac:dyDescent="0.2">
      <c r="A359" s="28"/>
      <c r="B359" s="28"/>
      <c r="C359" s="28"/>
      <c r="D359" s="282"/>
      <c r="E359" s="282"/>
      <c r="F359" s="282"/>
      <c r="G359" s="282"/>
      <c r="H359" s="282"/>
      <c r="I359" s="282"/>
      <c r="J359" s="282"/>
      <c r="K359" s="282"/>
      <c r="L359" s="282"/>
      <c r="M359" s="282"/>
      <c r="N359" s="282"/>
      <c r="O359" s="282"/>
      <c r="P359" s="282"/>
      <c r="Q359" s="282"/>
      <c r="R359" s="282"/>
      <c r="S359" s="374"/>
      <c r="T359" s="373">
        <f t="shared" si="189"/>
        <v>333</v>
      </c>
      <c r="U359" s="374"/>
      <c r="V359" s="568">
        <f t="shared" si="184"/>
        <v>2.4316403393447158E-4</v>
      </c>
      <c r="W359" s="328">
        <f t="shared" si="165"/>
        <v>0.99975068265433076</v>
      </c>
      <c r="X359" s="328">
        <f t="shared" si="166"/>
        <v>0.99975683596606557</v>
      </c>
      <c r="Y359" s="328">
        <f t="shared" si="167"/>
        <v>6.1532928031793332E-6</v>
      </c>
      <c r="Z359" s="374"/>
      <c r="AA359" s="571">
        <f t="shared" si="168"/>
        <v>6.859765869231268E-3</v>
      </c>
      <c r="AB359" s="327">
        <f t="shared" si="187"/>
        <v>0.99306078337910109</v>
      </c>
      <c r="AC359" s="327">
        <f t="shared" si="169"/>
        <v>0.99314023413076868</v>
      </c>
      <c r="AD359" s="327">
        <f t="shared" si="170"/>
        <v>7.9447595540238503E-5</v>
      </c>
      <c r="AE359" s="383"/>
      <c r="AF359" s="574">
        <f t="shared" si="159"/>
        <v>3.9138823698054437E-2</v>
      </c>
      <c r="AG359" s="376">
        <f t="shared" si="185"/>
        <v>0.96069450148549906</v>
      </c>
      <c r="AH359" s="376">
        <f t="shared" si="171"/>
        <v>0.96086117630194556</v>
      </c>
      <c r="AI359" s="553">
        <f t="shared" si="172"/>
        <v>1.666609269709296E-4</v>
      </c>
      <c r="AJ359" s="374"/>
      <c r="AK359" s="577">
        <f t="shared" si="160"/>
        <v>5.0073484455243358E-2</v>
      </c>
      <c r="AL359" s="376">
        <f t="shared" si="173"/>
        <v>0.94977372888428357</v>
      </c>
      <c r="AM359" s="376">
        <f t="shared" si="174"/>
        <v>0.9499265155447566</v>
      </c>
      <c r="AN359" s="553">
        <f t="shared" si="175"/>
        <v>1.5277498918564447E-4</v>
      </c>
      <c r="AO359" s="374"/>
      <c r="AP359" s="580">
        <f t="shared" si="161"/>
        <v>1.8191463033643274E-3</v>
      </c>
      <c r="AQ359" s="376">
        <f t="shared" si="176"/>
        <v>0.99814856578021671</v>
      </c>
      <c r="AR359" s="379">
        <f t="shared" si="177"/>
        <v>0.99818085369663567</v>
      </c>
      <c r="AS359" s="376">
        <f t="shared" si="178"/>
        <v>3.22873951698055E-5</v>
      </c>
      <c r="AT359" s="383"/>
      <c r="AU359" s="583">
        <f t="shared" si="162"/>
        <v>0.2827238754645271</v>
      </c>
      <c r="AV359" s="381">
        <f t="shared" si="188"/>
        <v>1.2632844903592526</v>
      </c>
      <c r="AW359" s="376">
        <f t="shared" si="163"/>
        <v>1.2632845627212865</v>
      </c>
      <c r="AX359" s="503">
        <f t="shared" si="186"/>
        <v>7.2362031255934767E-8</v>
      </c>
      <c r="AY359" s="376">
        <f t="shared" si="164"/>
        <v>3.0001987974589186</v>
      </c>
      <c r="AZ359" s="381">
        <f t="shared" si="179"/>
        <v>1.4832922553612278E-3</v>
      </c>
      <c r="BA359" s="586">
        <f t="shared" si="180"/>
        <v>0.14448342785628662</v>
      </c>
      <c r="BB359" s="376">
        <f t="shared" si="181"/>
        <v>0.85532516372728606</v>
      </c>
      <c r="BC359" s="376">
        <f t="shared" si="182"/>
        <v>0.85551657214371335</v>
      </c>
      <c r="BD359" s="376">
        <f t="shared" si="183"/>
        <v>1.9139009900503989E-4</v>
      </c>
      <c r="BE359" s="282"/>
      <c r="BF359" s="282"/>
      <c r="BG359" s="282"/>
      <c r="BH359" s="283"/>
      <c r="BI359" s="283"/>
      <c r="BJ359" s="283"/>
      <c r="BK359" s="283"/>
      <c r="BL359" s="283"/>
      <c r="BM359" s="283"/>
      <c r="BN359" s="283"/>
      <c r="BO359" s="283"/>
      <c r="BP359" s="283"/>
      <c r="BQ359" s="283"/>
      <c r="BR359" s="283"/>
      <c r="BS359" s="283"/>
      <c r="BT359" s="283"/>
      <c r="BU359" s="283"/>
      <c r="BV359" s="283"/>
      <c r="BW359" s="283"/>
      <c r="BX359" s="283"/>
      <c r="BY359" s="283"/>
      <c r="BZ359" s="283"/>
      <c r="CA359" s="283"/>
      <c r="CB359" s="283"/>
      <c r="CC359" s="283"/>
      <c r="CD359" s="283"/>
      <c r="CE359" s="283"/>
      <c r="CF359" s="283"/>
      <c r="CG359" s="283"/>
      <c r="CH359" s="283"/>
      <c r="CI359" s="283"/>
      <c r="CJ359" s="283"/>
      <c r="CK359" s="283"/>
      <c r="CL359" s="283"/>
    </row>
    <row r="360" spans="1:90" ht="14.25" customHeight="1" x14ac:dyDescent="0.2">
      <c r="A360" s="28"/>
      <c r="B360" s="28"/>
      <c r="C360" s="28"/>
      <c r="D360" s="282"/>
      <c r="E360" s="282"/>
      <c r="F360" s="282"/>
      <c r="G360" s="282"/>
      <c r="H360" s="282"/>
      <c r="I360" s="282"/>
      <c r="J360" s="282"/>
      <c r="K360" s="282"/>
      <c r="L360" s="282"/>
      <c r="M360" s="282"/>
      <c r="N360" s="282"/>
      <c r="O360" s="282"/>
      <c r="P360" s="282"/>
      <c r="Q360" s="282"/>
      <c r="R360" s="282"/>
      <c r="S360" s="374"/>
      <c r="T360" s="373">
        <f t="shared" si="189"/>
        <v>334</v>
      </c>
      <c r="U360" s="374"/>
      <c r="V360" s="568">
        <f t="shared" si="184"/>
        <v>2.3716258987341719E-4</v>
      </c>
      <c r="W360" s="328">
        <f t="shared" si="165"/>
        <v>0.99975683596606557</v>
      </c>
      <c r="X360" s="328">
        <f t="shared" si="166"/>
        <v>0.99976283741012661</v>
      </c>
      <c r="Y360" s="328">
        <f t="shared" si="167"/>
        <v>6.0014260524487995E-6</v>
      </c>
      <c r="Z360" s="374"/>
      <c r="AA360" s="571">
        <f t="shared" si="168"/>
        <v>6.7812788424512493E-3</v>
      </c>
      <c r="AB360" s="327">
        <f t="shared" si="187"/>
        <v>0.99314023413076868</v>
      </c>
      <c r="AC360" s="327">
        <f t="shared" si="169"/>
        <v>0.99321872115754872</v>
      </c>
      <c r="AD360" s="327">
        <f t="shared" si="170"/>
        <v>7.8483946753915568E-5</v>
      </c>
      <c r="AE360" s="383"/>
      <c r="AF360" s="574">
        <f t="shared" si="159"/>
        <v>3.8973221845037487E-2</v>
      </c>
      <c r="AG360" s="376">
        <f t="shared" si="185"/>
        <v>0.96086117630194556</v>
      </c>
      <c r="AH360" s="376">
        <f t="shared" si="171"/>
        <v>0.96102677815496251</v>
      </c>
      <c r="AI360" s="553">
        <f t="shared" si="172"/>
        <v>1.6558814178702086E-4</v>
      </c>
      <c r="AJ360" s="374"/>
      <c r="AK360" s="577">
        <f t="shared" si="160"/>
        <v>4.9921594291975402E-2</v>
      </c>
      <c r="AL360" s="376">
        <f t="shared" si="173"/>
        <v>0.9499265155447566</v>
      </c>
      <c r="AM360" s="376">
        <f t="shared" si="174"/>
        <v>0.9500784057080246</v>
      </c>
      <c r="AN360" s="553">
        <f t="shared" si="175"/>
        <v>1.5187862854115775E-4</v>
      </c>
      <c r="AO360" s="374"/>
      <c r="AP360" s="580">
        <f t="shared" si="161"/>
        <v>1.7874245348793449E-3</v>
      </c>
      <c r="AQ360" s="376">
        <f t="shared" si="176"/>
        <v>0.99818085369663567</v>
      </c>
      <c r="AR360" s="379">
        <f t="shared" si="177"/>
        <v>0.99821257546512066</v>
      </c>
      <c r="AS360" s="376">
        <f t="shared" si="178"/>
        <v>3.1721265355000305E-5</v>
      </c>
      <c r="AT360" s="383"/>
      <c r="AU360" s="583">
        <f t="shared" si="162"/>
        <v>0.28272385581823722</v>
      </c>
      <c r="AV360" s="381">
        <f t="shared" si="188"/>
        <v>1.2632845627212865</v>
      </c>
      <c r="AW360" s="376">
        <f t="shared" si="163"/>
        <v>1.263284632210609</v>
      </c>
      <c r="AX360" s="503">
        <f t="shared" si="186"/>
        <v>6.9489320075888372E-8</v>
      </c>
      <c r="AY360" s="376">
        <f t="shared" si="164"/>
        <v>3.0025573171268518</v>
      </c>
      <c r="AZ360" s="381">
        <f t="shared" si="179"/>
        <v>1.4770613763907012E-3</v>
      </c>
      <c r="BA360" s="586">
        <f t="shared" si="180"/>
        <v>0.14429284457297706</v>
      </c>
      <c r="BB360" s="376">
        <f t="shared" si="181"/>
        <v>0.85551657214371335</v>
      </c>
      <c r="BC360" s="376">
        <f t="shared" si="182"/>
        <v>0.85570715542702291</v>
      </c>
      <c r="BD360" s="376">
        <f t="shared" si="183"/>
        <v>1.9056512346926624E-4</v>
      </c>
      <c r="BE360" s="282"/>
      <c r="BF360" s="282"/>
      <c r="BG360" s="282"/>
      <c r="BH360" s="283"/>
      <c r="BI360" s="283"/>
      <c r="BJ360" s="283"/>
      <c r="BK360" s="283"/>
      <c r="BL360" s="283"/>
      <c r="BM360" s="283"/>
      <c r="BN360" s="283"/>
      <c r="BO360" s="283"/>
      <c r="BP360" s="283"/>
      <c r="BQ360" s="283"/>
      <c r="BR360" s="283"/>
      <c r="BS360" s="283"/>
      <c r="BT360" s="283"/>
      <c r="BU360" s="283"/>
      <c r="BV360" s="283"/>
      <c r="BW360" s="283"/>
      <c r="BX360" s="283"/>
      <c r="BY360" s="283"/>
      <c r="BZ360" s="283"/>
      <c r="CA360" s="283"/>
      <c r="CB360" s="283"/>
      <c r="CC360" s="283"/>
      <c r="CD360" s="283"/>
      <c r="CE360" s="283"/>
      <c r="CF360" s="283"/>
      <c r="CG360" s="283"/>
      <c r="CH360" s="283"/>
      <c r="CI360" s="283"/>
      <c r="CJ360" s="283"/>
      <c r="CK360" s="283"/>
      <c r="CL360" s="283"/>
    </row>
    <row r="361" spans="1:90" ht="14.25" customHeight="1" x14ac:dyDescent="0.2">
      <c r="A361" s="28"/>
      <c r="B361" s="28"/>
      <c r="C361" s="28"/>
      <c r="D361" s="282"/>
      <c r="E361" s="282"/>
      <c r="F361" s="282"/>
      <c r="G361" s="282"/>
      <c r="H361" s="282"/>
      <c r="I361" s="282"/>
      <c r="J361" s="282"/>
      <c r="K361" s="282"/>
      <c r="L361" s="282"/>
      <c r="M361" s="282"/>
      <c r="N361" s="282"/>
      <c r="O361" s="282"/>
      <c r="P361" s="282"/>
      <c r="Q361" s="282"/>
      <c r="R361" s="282"/>
      <c r="S361" s="374"/>
      <c r="T361" s="373">
        <f t="shared" si="189"/>
        <v>335</v>
      </c>
      <c r="U361" s="374"/>
      <c r="V361" s="568">
        <f t="shared" si="184"/>
        <v>2.3130926529465256E-4</v>
      </c>
      <c r="W361" s="328">
        <f t="shared" si="165"/>
        <v>0.99976283741012661</v>
      </c>
      <c r="X361" s="328">
        <f t="shared" si="166"/>
        <v>0.99976869073470531</v>
      </c>
      <c r="Y361" s="328">
        <f t="shared" si="167"/>
        <v>5.8533074480671132E-6</v>
      </c>
      <c r="Z361" s="374"/>
      <c r="AA361" s="571">
        <f t="shared" si="168"/>
        <v>6.7037430731176715E-3</v>
      </c>
      <c r="AB361" s="327">
        <f t="shared" si="187"/>
        <v>0.99321872115754872</v>
      </c>
      <c r="AC361" s="327">
        <f t="shared" si="169"/>
        <v>0.99329625692688228</v>
      </c>
      <c r="AD361" s="327">
        <f t="shared" si="170"/>
        <v>7.7532763513521452E-5</v>
      </c>
      <c r="AE361" s="383"/>
      <c r="AF361" s="574">
        <f t="shared" si="159"/>
        <v>3.880868349752209E-2</v>
      </c>
      <c r="AG361" s="376">
        <f t="shared" si="185"/>
        <v>0.96102677815496251</v>
      </c>
      <c r="AH361" s="376">
        <f t="shared" si="171"/>
        <v>0.96119131650247791</v>
      </c>
      <c r="AI361" s="553">
        <f t="shared" si="172"/>
        <v>1.6452481182394063E-4</v>
      </c>
      <c r="AJ361" s="374"/>
      <c r="AK361" s="577">
        <f t="shared" si="160"/>
        <v>4.9770592851491817E-2</v>
      </c>
      <c r="AL361" s="376">
        <f t="shared" si="173"/>
        <v>0.9500784057080246</v>
      </c>
      <c r="AM361" s="376">
        <f t="shared" si="174"/>
        <v>0.95022940714850823</v>
      </c>
      <c r="AN361" s="553">
        <f t="shared" si="175"/>
        <v>1.5099004033991559E-4</v>
      </c>
      <c r="AO361" s="374"/>
      <c r="AP361" s="580">
        <f t="shared" si="161"/>
        <v>1.7562589179497268E-3</v>
      </c>
      <c r="AQ361" s="376">
        <f t="shared" si="176"/>
        <v>0.99821257546512066</v>
      </c>
      <c r="AR361" s="379">
        <f t="shared" si="177"/>
        <v>0.99824374108205027</v>
      </c>
      <c r="AS361" s="376">
        <f t="shared" si="178"/>
        <v>3.1165131286869929E-5</v>
      </c>
      <c r="AT361" s="383"/>
      <c r="AU361" s="583">
        <f t="shared" si="162"/>
        <v>0.28272383695188963</v>
      </c>
      <c r="AV361" s="381">
        <f t="shared" si="188"/>
        <v>1.263284632210609</v>
      </c>
      <c r="AW361" s="376">
        <f t="shared" si="163"/>
        <v>1.2632846989412645</v>
      </c>
      <c r="AX361" s="503">
        <f t="shared" si="186"/>
        <v>6.6730653225377523E-8</v>
      </c>
      <c r="AY361" s="376">
        <f t="shared" si="164"/>
        <v>3.0049087859033454</v>
      </c>
      <c r="AZ361" s="381">
        <f t="shared" si="179"/>
        <v>1.4708751818508414E-3</v>
      </c>
      <c r="BA361" s="586">
        <f t="shared" si="180"/>
        <v>0.14410308041620207</v>
      </c>
      <c r="BB361" s="376">
        <f t="shared" si="181"/>
        <v>0.85570715542702291</v>
      </c>
      <c r="BC361" s="376">
        <f t="shared" si="182"/>
        <v>0.85589691958379799</v>
      </c>
      <c r="BD361" s="376">
        <f t="shared" si="183"/>
        <v>1.8974615269629069E-4</v>
      </c>
      <c r="BE361" s="282"/>
      <c r="BF361" s="282"/>
      <c r="BG361" s="282"/>
      <c r="BH361" s="283"/>
      <c r="BI361" s="283"/>
      <c r="BJ361" s="283"/>
      <c r="BK361" s="283"/>
      <c r="BL361" s="283"/>
      <c r="BM361" s="283"/>
      <c r="BN361" s="283"/>
      <c r="BO361" s="283"/>
      <c r="BP361" s="283"/>
      <c r="BQ361" s="283"/>
      <c r="BR361" s="283"/>
      <c r="BS361" s="283"/>
      <c r="BT361" s="283"/>
      <c r="BU361" s="283"/>
      <c r="BV361" s="283"/>
      <c r="BW361" s="283"/>
      <c r="BX361" s="283"/>
      <c r="BY361" s="283"/>
      <c r="BZ361" s="283"/>
      <c r="CA361" s="283"/>
      <c r="CB361" s="283"/>
      <c r="CC361" s="283"/>
      <c r="CD361" s="283"/>
      <c r="CE361" s="283"/>
      <c r="CF361" s="283"/>
      <c r="CG361" s="283"/>
      <c r="CH361" s="283"/>
      <c r="CI361" s="283"/>
      <c r="CJ361" s="283"/>
      <c r="CK361" s="283"/>
      <c r="CL361" s="283"/>
    </row>
    <row r="362" spans="1:90" ht="14.25" customHeight="1" x14ac:dyDescent="0.2">
      <c r="A362" s="28"/>
      <c r="B362" s="28"/>
      <c r="C362" s="28"/>
      <c r="D362" s="282"/>
      <c r="E362" s="282"/>
      <c r="F362" s="282"/>
      <c r="G362" s="282"/>
      <c r="H362" s="282"/>
      <c r="I362" s="282"/>
      <c r="J362" s="282"/>
      <c r="K362" s="282"/>
      <c r="L362" s="282"/>
      <c r="M362" s="282"/>
      <c r="N362" s="282"/>
      <c r="O362" s="282"/>
      <c r="P362" s="282"/>
      <c r="Q362" s="282"/>
      <c r="R362" s="282"/>
      <c r="S362" s="374"/>
      <c r="T362" s="373">
        <f t="shared" si="189"/>
        <v>336</v>
      </c>
      <c r="U362" s="374"/>
      <c r="V362" s="568">
        <f t="shared" si="184"/>
        <v>2.2560040451451128E-4</v>
      </c>
      <c r="W362" s="328">
        <f t="shared" si="165"/>
        <v>0.99976869073470531</v>
      </c>
      <c r="X362" s="328">
        <f t="shared" si="166"/>
        <v>0.99977439959548553</v>
      </c>
      <c r="Y362" s="328">
        <f t="shared" si="167"/>
        <v>5.7088444846975506E-6</v>
      </c>
      <c r="Z362" s="374"/>
      <c r="AA362" s="571">
        <f t="shared" si="168"/>
        <v>6.6271462670481054E-3</v>
      </c>
      <c r="AB362" s="327">
        <f t="shared" si="187"/>
        <v>0.99329625692688228</v>
      </c>
      <c r="AC362" s="327">
        <f t="shared" si="169"/>
        <v>0.99337285373295192</v>
      </c>
      <c r="AD362" s="327">
        <f t="shared" si="170"/>
        <v>7.6593872609165281E-5</v>
      </c>
      <c r="AE362" s="383"/>
      <c r="AF362" s="574">
        <f t="shared" si="159"/>
        <v>3.8645199304451427E-2</v>
      </c>
      <c r="AG362" s="376">
        <f t="shared" si="185"/>
        <v>0.96119131650247791</v>
      </c>
      <c r="AH362" s="376">
        <f t="shared" si="171"/>
        <v>0.96135480069554857</v>
      </c>
      <c r="AI362" s="553">
        <f t="shared" si="172"/>
        <v>1.6347083025813891E-4</v>
      </c>
      <c r="AJ362" s="374"/>
      <c r="AK362" s="577">
        <f t="shared" si="160"/>
        <v>4.9620472448440915E-2</v>
      </c>
      <c r="AL362" s="376">
        <f t="shared" si="173"/>
        <v>0.95022940714850823</v>
      </c>
      <c r="AM362" s="376">
        <f t="shared" si="174"/>
        <v>0.95037952755155908</v>
      </c>
      <c r="AN362" s="553">
        <f t="shared" si="175"/>
        <v>1.5010913554702743E-4</v>
      </c>
      <c r="AO362" s="374"/>
      <c r="AP362" s="580">
        <f t="shared" si="161"/>
        <v>1.7256396343144909E-3</v>
      </c>
      <c r="AQ362" s="376">
        <f t="shared" si="176"/>
        <v>0.99824374108205027</v>
      </c>
      <c r="AR362" s="379">
        <f t="shared" si="177"/>
        <v>0.99827436036568551</v>
      </c>
      <c r="AS362" s="376">
        <f t="shared" si="178"/>
        <v>3.0618814869765032E-5</v>
      </c>
      <c r="AT362" s="383"/>
      <c r="AU362" s="583">
        <f t="shared" si="162"/>
        <v>0.28272381883452125</v>
      </c>
      <c r="AV362" s="381">
        <f t="shared" si="188"/>
        <v>1.2632846989412645</v>
      </c>
      <c r="AW362" s="376">
        <f t="shared" si="163"/>
        <v>1.2632847630227695</v>
      </c>
      <c r="AX362" s="503">
        <f t="shared" si="186"/>
        <v>6.4081502992863193E-8</v>
      </c>
      <c r="AY362" s="376">
        <f t="shared" si="164"/>
        <v>3.0072532458206345</v>
      </c>
      <c r="AZ362" s="381">
        <f t="shared" si="179"/>
        <v>1.4647332193334554E-3</v>
      </c>
      <c r="BA362" s="586">
        <f t="shared" si="180"/>
        <v>0.14391412944082294</v>
      </c>
      <c r="BB362" s="376">
        <f t="shared" si="181"/>
        <v>0.85589691958379799</v>
      </c>
      <c r="BC362" s="376">
        <f t="shared" si="182"/>
        <v>0.85608587055917706</v>
      </c>
      <c r="BD362" s="376">
        <f t="shared" si="183"/>
        <v>1.8893312526779837E-4</v>
      </c>
      <c r="BE362" s="282"/>
      <c r="BF362" s="282"/>
      <c r="BG362" s="282"/>
      <c r="BH362" s="283"/>
      <c r="BI362" s="283"/>
      <c r="BJ362" s="283"/>
      <c r="BK362" s="283"/>
      <c r="BL362" s="283"/>
      <c r="BM362" s="283"/>
      <c r="BN362" s="283"/>
      <c r="BO362" s="283"/>
      <c r="BP362" s="283"/>
      <c r="BQ362" s="283"/>
      <c r="BR362" s="283"/>
      <c r="BS362" s="283"/>
      <c r="BT362" s="283"/>
      <c r="BU362" s="283"/>
      <c r="BV362" s="283"/>
      <c r="BW362" s="283"/>
      <c r="BX362" s="283"/>
      <c r="BY362" s="283"/>
      <c r="BZ362" s="283"/>
      <c r="CA362" s="283"/>
      <c r="CB362" s="283"/>
      <c r="CC362" s="283"/>
      <c r="CD362" s="283"/>
      <c r="CE362" s="283"/>
      <c r="CF362" s="283"/>
      <c r="CG362" s="283"/>
      <c r="CH362" s="283"/>
      <c r="CI362" s="283"/>
      <c r="CJ362" s="283"/>
      <c r="CK362" s="283"/>
      <c r="CL362" s="283"/>
    </row>
    <row r="363" spans="1:90" ht="14.25" customHeight="1" x14ac:dyDescent="0.2">
      <c r="A363" s="28"/>
      <c r="B363" s="28"/>
      <c r="C363" s="28"/>
      <c r="D363" s="282"/>
      <c r="E363" s="282"/>
      <c r="F363" s="282"/>
      <c r="G363" s="282"/>
      <c r="H363" s="282"/>
      <c r="I363" s="282"/>
      <c r="J363" s="282"/>
      <c r="K363" s="282"/>
      <c r="L363" s="282"/>
      <c r="M363" s="282"/>
      <c r="N363" s="282"/>
      <c r="O363" s="282"/>
      <c r="P363" s="282"/>
      <c r="Q363" s="282"/>
      <c r="R363" s="282"/>
      <c r="S363" s="374"/>
      <c r="T363" s="373">
        <f t="shared" si="189"/>
        <v>337</v>
      </c>
      <c r="U363" s="374"/>
      <c r="V363" s="568">
        <f t="shared" si="184"/>
        <v>2.2003244207393903E-4</v>
      </c>
      <c r="W363" s="328">
        <f t="shared" si="165"/>
        <v>0.99977439959548553</v>
      </c>
      <c r="X363" s="328">
        <f t="shared" si="166"/>
        <v>0.99977996755792609</v>
      </c>
      <c r="Y363" s="328">
        <f t="shared" si="167"/>
        <v>5.5679469395109038E-6</v>
      </c>
      <c r="Z363" s="374"/>
      <c r="AA363" s="571">
        <f t="shared" si="168"/>
        <v>6.5514763007132855E-3</v>
      </c>
      <c r="AB363" s="327">
        <f t="shared" si="187"/>
        <v>0.99337285373295192</v>
      </c>
      <c r="AC363" s="327">
        <f t="shared" si="169"/>
        <v>0.99344852369928671</v>
      </c>
      <c r="AD363" s="327">
        <f t="shared" si="170"/>
        <v>7.5667103435095306E-5</v>
      </c>
      <c r="AE363" s="383"/>
      <c r="AF363" s="574">
        <f t="shared" si="159"/>
        <v>3.8482760020159268E-2</v>
      </c>
      <c r="AG363" s="376">
        <f t="shared" si="185"/>
        <v>0.96135480069554857</v>
      </c>
      <c r="AH363" s="376">
        <f t="shared" si="171"/>
        <v>0.96151723997984073</v>
      </c>
      <c r="AI363" s="553">
        <f t="shared" si="172"/>
        <v>1.6242609174599298E-4</v>
      </c>
      <c r="AJ363" s="374"/>
      <c r="AK363" s="577">
        <f t="shared" si="160"/>
        <v>4.9471225485273204E-2</v>
      </c>
      <c r="AL363" s="376">
        <f t="shared" si="173"/>
        <v>0.95037952755155908</v>
      </c>
      <c r="AM363" s="376">
        <f t="shared" si="174"/>
        <v>0.95052877451472684</v>
      </c>
      <c r="AN363" s="553">
        <f t="shared" si="175"/>
        <v>1.4923582639381205E-4</v>
      </c>
      <c r="AO363" s="374"/>
      <c r="AP363" s="580">
        <f t="shared" si="161"/>
        <v>1.6955570406183007E-3</v>
      </c>
      <c r="AQ363" s="376">
        <f t="shared" si="176"/>
        <v>0.99827436036568551</v>
      </c>
      <c r="AR363" s="379">
        <f t="shared" si="177"/>
        <v>0.9983044429593817</v>
      </c>
      <c r="AS363" s="376">
        <f t="shared" si="178"/>
        <v>3.0082141219467395E-5</v>
      </c>
      <c r="AT363" s="383"/>
      <c r="AU363" s="583">
        <f t="shared" si="162"/>
        <v>0.28272380143639808</v>
      </c>
      <c r="AV363" s="381">
        <f t="shared" si="188"/>
        <v>1.2632847630227695</v>
      </c>
      <c r="AW363" s="376">
        <f t="shared" si="163"/>
        <v>1.2632848245602932</v>
      </c>
      <c r="AX363" s="503">
        <f t="shared" si="186"/>
        <v>6.1537521856003252E-8</v>
      </c>
      <c r="AY363" s="376">
        <f t="shared" si="164"/>
        <v>3.0095907385362191</v>
      </c>
      <c r="AZ363" s="381">
        <f t="shared" si="179"/>
        <v>1.4586350423388408E-3</v>
      </c>
      <c r="BA363" s="586">
        <f t="shared" si="180"/>
        <v>0.14372598576233742</v>
      </c>
      <c r="BB363" s="376">
        <f t="shared" si="181"/>
        <v>0.85608587055917706</v>
      </c>
      <c r="BC363" s="376">
        <f t="shared" si="182"/>
        <v>0.85627401423766258</v>
      </c>
      <c r="BD363" s="376">
        <f t="shared" si="183"/>
        <v>1.8812598057360574E-4</v>
      </c>
      <c r="BE363" s="282"/>
      <c r="BF363" s="282"/>
      <c r="BG363" s="282"/>
      <c r="BH363" s="283"/>
      <c r="BI363" s="283"/>
      <c r="BJ363" s="283"/>
      <c r="BK363" s="283"/>
      <c r="BL363" s="283"/>
      <c r="BM363" s="283"/>
      <c r="BN363" s="283"/>
      <c r="BO363" s="283"/>
      <c r="BP363" s="283"/>
      <c r="BQ363" s="283"/>
      <c r="BR363" s="283"/>
      <c r="BS363" s="283"/>
      <c r="BT363" s="283"/>
      <c r="BU363" s="283"/>
      <c r="BV363" s="283"/>
      <c r="BW363" s="283"/>
      <c r="BX363" s="283"/>
      <c r="BY363" s="283"/>
      <c r="BZ363" s="283"/>
      <c r="CA363" s="283"/>
      <c r="CB363" s="283"/>
      <c r="CC363" s="283"/>
      <c r="CD363" s="283"/>
      <c r="CE363" s="283"/>
      <c r="CF363" s="283"/>
      <c r="CG363" s="283"/>
      <c r="CH363" s="283"/>
      <c r="CI363" s="283"/>
      <c r="CJ363" s="283"/>
      <c r="CK363" s="283"/>
      <c r="CL363" s="283"/>
    </row>
    <row r="364" spans="1:90" ht="14.25" customHeight="1" x14ac:dyDescent="0.2">
      <c r="A364" s="28"/>
      <c r="B364" s="28"/>
      <c r="C364" s="28"/>
      <c r="D364" s="282"/>
      <c r="E364" s="282"/>
      <c r="F364" s="282"/>
      <c r="G364" s="282"/>
      <c r="H364" s="282"/>
      <c r="I364" s="282"/>
      <c r="J364" s="282"/>
      <c r="K364" s="282"/>
      <c r="L364" s="282"/>
      <c r="M364" s="282"/>
      <c r="N364" s="282"/>
      <c r="O364" s="282"/>
      <c r="P364" s="282"/>
      <c r="Q364" s="282"/>
      <c r="R364" s="282"/>
      <c r="S364" s="374"/>
      <c r="T364" s="373">
        <f t="shared" si="189"/>
        <v>338</v>
      </c>
      <c r="U364" s="374"/>
      <c r="V364" s="568">
        <f t="shared" si="184"/>
        <v>2.1460190051169554E-4</v>
      </c>
      <c r="W364" s="328">
        <f t="shared" si="165"/>
        <v>0.99977996755792609</v>
      </c>
      <c r="X364" s="328">
        <f t="shared" si="166"/>
        <v>0.9997853980994883</v>
      </c>
      <c r="Y364" s="328">
        <f t="shared" si="167"/>
        <v>5.430526816896375E-6</v>
      </c>
      <c r="Z364" s="374"/>
      <c r="AA364" s="571">
        <f t="shared" si="168"/>
        <v>6.4767212186742406E-3</v>
      </c>
      <c r="AB364" s="327">
        <f t="shared" si="187"/>
        <v>0.99344852369928671</v>
      </c>
      <c r="AC364" s="327">
        <f t="shared" si="169"/>
        <v>0.99352327878132574</v>
      </c>
      <c r="AD364" s="327">
        <f t="shared" si="170"/>
        <v>7.4752287947510432E-5</v>
      </c>
      <c r="AE364" s="383"/>
      <c r="AF364" s="574">
        <f t="shared" si="159"/>
        <v>3.8321356502914905E-2</v>
      </c>
      <c r="AG364" s="376">
        <f t="shared" si="185"/>
        <v>0.96151723997984073</v>
      </c>
      <c r="AH364" s="376">
        <f t="shared" si="171"/>
        <v>0.96167864349708509</v>
      </c>
      <c r="AI364" s="553">
        <f t="shared" si="172"/>
        <v>1.6139049239738412E-4</v>
      </c>
      <c r="AJ364" s="374"/>
      <c r="AK364" s="577">
        <f t="shared" si="160"/>
        <v>4.9322844450996245E-2</v>
      </c>
      <c r="AL364" s="376">
        <f t="shared" si="173"/>
        <v>0.95052877451472684</v>
      </c>
      <c r="AM364" s="376">
        <f t="shared" si="174"/>
        <v>0.95067715554900378</v>
      </c>
      <c r="AN364" s="553">
        <f t="shared" si="175"/>
        <v>1.4837002635570418E-4</v>
      </c>
      <c r="AO364" s="374"/>
      <c r="AP364" s="580">
        <f t="shared" si="161"/>
        <v>1.6660016652574328E-3</v>
      </c>
      <c r="AQ364" s="376">
        <f t="shared" si="176"/>
        <v>0.9983044429593817</v>
      </c>
      <c r="AR364" s="379">
        <f t="shared" si="177"/>
        <v>0.99833399833474257</v>
      </c>
      <c r="AS364" s="376">
        <f t="shared" si="178"/>
        <v>2.9554938605014236E-5</v>
      </c>
      <c r="AT364" s="383"/>
      <c r="AU364" s="583">
        <f t="shared" si="162"/>
        <v>0.28272378472896664</v>
      </c>
      <c r="AV364" s="381">
        <f t="shared" si="188"/>
        <v>1.2632848245602932</v>
      </c>
      <c r="AW364" s="376">
        <f t="shared" si="163"/>
        <v>1.2632848836548294</v>
      </c>
      <c r="AX364" s="503">
        <f t="shared" si="186"/>
        <v>5.9094534377024388E-8</v>
      </c>
      <c r="AY364" s="376">
        <f t="shared" si="164"/>
        <v>3.0119213053373128</v>
      </c>
      <c r="AZ364" s="381">
        <f t="shared" si="179"/>
        <v>1.4525802101813601E-3</v>
      </c>
      <c r="BA364" s="586">
        <f t="shared" si="180"/>
        <v>0.14353864355608326</v>
      </c>
      <c r="BB364" s="376">
        <f t="shared" si="181"/>
        <v>0.85627401423766258</v>
      </c>
      <c r="BC364" s="376">
        <f t="shared" si="182"/>
        <v>0.85646135644391674</v>
      </c>
      <c r="BD364" s="376">
        <f t="shared" si="183"/>
        <v>1.8732465879889304E-4</v>
      </c>
      <c r="BE364" s="282"/>
      <c r="BF364" s="282"/>
      <c r="BG364" s="282"/>
      <c r="BH364" s="283"/>
      <c r="BI364" s="283"/>
      <c r="BJ364" s="283"/>
      <c r="BK364" s="283"/>
      <c r="BL364" s="283"/>
      <c r="BM364" s="283"/>
      <c r="BN364" s="283"/>
      <c r="BO364" s="283"/>
      <c r="BP364" s="283"/>
      <c r="BQ364" s="283"/>
      <c r="BR364" s="283"/>
      <c r="BS364" s="283"/>
      <c r="BT364" s="283"/>
      <c r="BU364" s="283"/>
      <c r="BV364" s="283"/>
      <c r="BW364" s="283"/>
      <c r="BX364" s="283"/>
      <c r="BY364" s="283"/>
      <c r="BZ364" s="283"/>
      <c r="CA364" s="283"/>
      <c r="CB364" s="283"/>
      <c r="CC364" s="283"/>
      <c r="CD364" s="283"/>
      <c r="CE364" s="283"/>
      <c r="CF364" s="283"/>
      <c r="CG364" s="283"/>
      <c r="CH364" s="283"/>
      <c r="CI364" s="283"/>
      <c r="CJ364" s="283"/>
      <c r="CK364" s="283"/>
      <c r="CL364" s="283"/>
    </row>
    <row r="365" spans="1:90" ht="14.25" customHeight="1" x14ac:dyDescent="0.2">
      <c r="A365" s="28"/>
      <c r="B365" s="28"/>
      <c r="C365" s="28"/>
      <c r="D365" s="282"/>
      <c r="E365" s="282"/>
      <c r="F365" s="282"/>
      <c r="G365" s="282"/>
      <c r="H365" s="282"/>
      <c r="I365" s="282"/>
      <c r="J365" s="282"/>
      <c r="K365" s="282"/>
      <c r="L365" s="282"/>
      <c r="M365" s="282"/>
      <c r="N365" s="282"/>
      <c r="O365" s="282"/>
      <c r="P365" s="282"/>
      <c r="Q365" s="282"/>
      <c r="R365" s="282"/>
      <c r="S365" s="374"/>
      <c r="T365" s="373">
        <f t="shared" si="189"/>
        <v>339</v>
      </c>
      <c r="U365" s="374"/>
      <c r="V365" s="568">
        <f t="shared" si="184"/>
        <v>2.0930538819250911E-4</v>
      </c>
      <c r="W365" s="328">
        <f t="shared" si="165"/>
        <v>0.9997853980994883</v>
      </c>
      <c r="X365" s="328">
        <f t="shared" si="166"/>
        <v>0.99979069461180747</v>
      </c>
      <c r="Y365" s="328">
        <f t="shared" si="167"/>
        <v>5.2964982927283799E-6</v>
      </c>
      <c r="Z365" s="374"/>
      <c r="AA365" s="571">
        <f t="shared" si="168"/>
        <v>6.4028692310613856E-3</v>
      </c>
      <c r="AB365" s="327">
        <f t="shared" si="187"/>
        <v>0.99352327878132574</v>
      </c>
      <c r="AC365" s="327">
        <f t="shared" si="169"/>
        <v>0.99359713076893863</v>
      </c>
      <c r="AD365" s="327">
        <f t="shared" si="170"/>
        <v>7.384926062203867E-5</v>
      </c>
      <c r="AE365" s="383"/>
      <c r="AF365" s="574">
        <f t="shared" si="159"/>
        <v>3.8160979713489973E-2</v>
      </c>
      <c r="AG365" s="376">
        <f t="shared" si="185"/>
        <v>0.96167864349708509</v>
      </c>
      <c r="AH365" s="376">
        <f t="shared" si="171"/>
        <v>0.96183902028651003</v>
      </c>
      <c r="AI365" s="553">
        <f t="shared" si="172"/>
        <v>1.6036392975515845E-4</v>
      </c>
      <c r="AJ365" s="374"/>
      <c r="AK365" s="577">
        <f t="shared" si="160"/>
        <v>4.9175321919950221E-2</v>
      </c>
      <c r="AL365" s="376">
        <f t="shared" si="173"/>
        <v>0.95067715554900378</v>
      </c>
      <c r="AM365" s="376">
        <f t="shared" si="174"/>
        <v>0.95082467808004978</v>
      </c>
      <c r="AN365" s="553">
        <f t="shared" si="175"/>
        <v>1.4751165013249246E-4</v>
      </c>
      <c r="AO365" s="374"/>
      <c r="AP365" s="580">
        <f t="shared" si="161"/>
        <v>1.6369642052844746E-3</v>
      </c>
      <c r="AQ365" s="376">
        <f t="shared" si="176"/>
        <v>0.99833399833474257</v>
      </c>
      <c r="AR365" s="379">
        <f t="shared" si="177"/>
        <v>0.99836303579471553</v>
      </c>
      <c r="AS365" s="376">
        <f t="shared" si="178"/>
        <v>2.9037038389967407E-5</v>
      </c>
      <c r="AT365" s="383"/>
      <c r="AU365" s="583">
        <f t="shared" si="162"/>
        <v>0.28272376868480703</v>
      </c>
      <c r="AV365" s="381">
        <f t="shared" si="188"/>
        <v>1.2632848836548294</v>
      </c>
      <c r="AW365" s="376">
        <f t="shared" si="163"/>
        <v>1.2632849404033626</v>
      </c>
      <c r="AX365" s="503">
        <f t="shared" si="186"/>
        <v>5.6748531540584679E-8</v>
      </c>
      <c r="AY365" s="376">
        <f t="shared" si="164"/>
        <v>3.0142449871452124</v>
      </c>
      <c r="AZ365" s="381">
        <f t="shared" si="179"/>
        <v>1.4465682878968278E-3</v>
      </c>
      <c r="BA365" s="586">
        <f t="shared" si="180"/>
        <v>0.14335209705645574</v>
      </c>
      <c r="BB365" s="376">
        <f t="shared" si="181"/>
        <v>0.85646135644391674</v>
      </c>
      <c r="BC365" s="376">
        <f t="shared" si="182"/>
        <v>0.85664790294354431</v>
      </c>
      <c r="BD365" s="376">
        <f t="shared" si="183"/>
        <v>1.8652910091121466E-4</v>
      </c>
      <c r="BE365" s="282"/>
      <c r="BF365" s="282"/>
      <c r="BG365" s="282"/>
      <c r="BH365" s="283"/>
      <c r="BI365" s="283"/>
      <c r="BJ365" s="283"/>
      <c r="BK365" s="283"/>
      <c r="BL365" s="283"/>
      <c r="BM365" s="283"/>
      <c r="BN365" s="283"/>
      <c r="BO365" s="283"/>
      <c r="BP365" s="283"/>
      <c r="BQ365" s="283"/>
      <c r="BR365" s="283"/>
      <c r="BS365" s="283"/>
      <c r="BT365" s="283"/>
      <c r="BU365" s="283"/>
      <c r="BV365" s="283"/>
      <c r="BW365" s="283"/>
      <c r="BX365" s="283"/>
      <c r="BY365" s="283"/>
      <c r="BZ365" s="283"/>
      <c r="CA365" s="283"/>
      <c r="CB365" s="283"/>
      <c r="CC365" s="283"/>
      <c r="CD365" s="283"/>
      <c r="CE365" s="283"/>
      <c r="CF365" s="283"/>
      <c r="CG365" s="283"/>
      <c r="CH365" s="283"/>
      <c r="CI365" s="283"/>
      <c r="CJ365" s="283"/>
      <c r="CK365" s="283"/>
      <c r="CL365" s="283"/>
    </row>
    <row r="366" spans="1:90" ht="14.25" customHeight="1" x14ac:dyDescent="0.2">
      <c r="A366" s="28"/>
      <c r="B366" s="28"/>
      <c r="C366" s="28"/>
      <c r="D366" s="282"/>
      <c r="E366" s="282"/>
      <c r="F366" s="282"/>
      <c r="G366" s="282"/>
      <c r="H366" s="282"/>
      <c r="I366" s="282"/>
      <c r="J366" s="282"/>
      <c r="K366" s="282"/>
      <c r="L366" s="282"/>
      <c r="M366" s="282"/>
      <c r="N366" s="282"/>
      <c r="O366" s="282"/>
      <c r="P366" s="282"/>
      <c r="Q366" s="282"/>
      <c r="R366" s="282"/>
      <c r="S366" s="374"/>
      <c r="T366" s="373">
        <f t="shared" si="189"/>
        <v>340</v>
      </c>
      <c r="U366" s="374"/>
      <c r="V366" s="568">
        <f t="shared" si="184"/>
        <v>2.0413959718883987E-4</v>
      </c>
      <c r="W366" s="328">
        <f t="shared" si="165"/>
        <v>0.99979069461180747</v>
      </c>
      <c r="X366" s="328">
        <f t="shared" si="166"/>
        <v>0.99979586040281121</v>
      </c>
      <c r="Y366" s="328">
        <f t="shared" si="167"/>
        <v>5.1657776610758432E-6</v>
      </c>
      <c r="Z366" s="374"/>
      <c r="AA366" s="571">
        <f t="shared" si="168"/>
        <v>6.3299087110947226E-3</v>
      </c>
      <c r="AB366" s="327">
        <f t="shared" si="187"/>
        <v>0.99359713076893863</v>
      </c>
      <c r="AC366" s="327">
        <f t="shared" si="169"/>
        <v>0.99367009128890527</v>
      </c>
      <c r="AD366" s="327">
        <f t="shared" si="170"/>
        <v>7.2957858412658894E-5</v>
      </c>
      <c r="AE366" s="383"/>
      <c r="AF366" s="574">
        <f t="shared" si="159"/>
        <v>3.8001620713750905E-2</v>
      </c>
      <c r="AG366" s="376">
        <f t="shared" si="185"/>
        <v>0.96183902028651003</v>
      </c>
      <c r="AH366" s="376">
        <f t="shared" si="171"/>
        <v>0.96199837928624909</v>
      </c>
      <c r="AI366" s="553">
        <f t="shared" si="172"/>
        <v>1.5934630276814854E-4</v>
      </c>
      <c r="AJ366" s="374"/>
      <c r="AK366" s="577">
        <f t="shared" si="160"/>
        <v>4.9028650550604555E-2</v>
      </c>
      <c r="AL366" s="376">
        <f t="shared" si="173"/>
        <v>0.95082467808004978</v>
      </c>
      <c r="AM366" s="376">
        <f t="shared" si="174"/>
        <v>0.95097134944939543</v>
      </c>
      <c r="AN366" s="553">
        <f t="shared" si="175"/>
        <v>1.4666061362622607E-4</v>
      </c>
      <c r="AO366" s="374"/>
      <c r="AP366" s="580">
        <f t="shared" si="161"/>
        <v>1.6084355233683123E-3</v>
      </c>
      <c r="AQ366" s="376">
        <f t="shared" si="176"/>
        <v>0.99836303579471553</v>
      </c>
      <c r="AR366" s="379">
        <f t="shared" si="177"/>
        <v>0.99839156447663169</v>
      </c>
      <c r="AS366" s="376">
        <f t="shared" si="178"/>
        <v>2.8528274977235313E-5</v>
      </c>
      <c r="AT366" s="383"/>
      <c r="AU366" s="583">
        <f t="shared" si="162"/>
        <v>0.28272375327758781</v>
      </c>
      <c r="AV366" s="381">
        <f t="shared" si="188"/>
        <v>1.2632849404033626</v>
      </c>
      <c r="AW366" s="376">
        <f t="shared" si="163"/>
        <v>1.263284994899027</v>
      </c>
      <c r="AX366" s="503">
        <f t="shared" si="186"/>
        <v>5.4495662982212423E-8</v>
      </c>
      <c r="AY366" s="376">
        <f t="shared" si="164"/>
        <v>3.0165618245196137</v>
      </c>
      <c r="AZ366" s="381">
        <f t="shared" si="179"/>
        <v>1.4405988461516214E-3</v>
      </c>
      <c r="BA366" s="586">
        <f t="shared" si="180"/>
        <v>0.14316634055613731</v>
      </c>
      <c r="BB366" s="376">
        <f t="shared" si="181"/>
        <v>0.85664790294354431</v>
      </c>
      <c r="BC366" s="376">
        <f t="shared" si="182"/>
        <v>0.85683365944386269</v>
      </c>
      <c r="BD366" s="376">
        <f t="shared" si="183"/>
        <v>1.8573924864784264E-4</v>
      </c>
      <c r="BE366" s="282"/>
      <c r="BF366" s="282"/>
      <c r="BG366" s="282"/>
      <c r="BH366" s="283"/>
      <c r="BI366" s="283"/>
      <c r="BJ366" s="283"/>
      <c r="BK366" s="283"/>
      <c r="BL366" s="283"/>
      <c r="BM366" s="283"/>
      <c r="BN366" s="283"/>
      <c r="BO366" s="283"/>
      <c r="BP366" s="283"/>
      <c r="BQ366" s="283"/>
      <c r="BR366" s="283"/>
      <c r="BS366" s="283"/>
      <c r="BT366" s="283"/>
      <c r="BU366" s="283"/>
      <c r="BV366" s="283"/>
      <c r="BW366" s="283"/>
      <c r="BX366" s="283"/>
      <c r="BY366" s="283"/>
      <c r="BZ366" s="283"/>
      <c r="CA366" s="283"/>
      <c r="CB366" s="283"/>
      <c r="CC366" s="283"/>
      <c r="CD366" s="283"/>
      <c r="CE366" s="283"/>
      <c r="CF366" s="283"/>
      <c r="CG366" s="283"/>
      <c r="CH366" s="283"/>
      <c r="CI366" s="283"/>
      <c r="CJ366" s="283"/>
      <c r="CK366" s="283"/>
      <c r="CL366" s="283"/>
    </row>
    <row r="367" spans="1:90" ht="14.25" customHeight="1" x14ac:dyDescent="0.2">
      <c r="A367" s="28"/>
      <c r="B367" s="28"/>
      <c r="C367" s="28"/>
      <c r="D367" s="282"/>
      <c r="E367" s="282"/>
      <c r="F367" s="282"/>
      <c r="G367" s="282"/>
      <c r="H367" s="282"/>
      <c r="I367" s="282"/>
      <c r="J367" s="282"/>
      <c r="K367" s="282"/>
      <c r="L367" s="282"/>
      <c r="M367" s="282"/>
      <c r="N367" s="282"/>
      <c r="O367" s="282"/>
      <c r="P367" s="282"/>
      <c r="Q367" s="282"/>
      <c r="R367" s="282"/>
      <c r="S367" s="374"/>
      <c r="T367" s="373">
        <f t="shared" si="189"/>
        <v>341</v>
      </c>
      <c r="U367" s="374"/>
      <c r="V367" s="568">
        <f t="shared" si="184"/>
        <v>1.9910130121491621E-4</v>
      </c>
      <c r="W367" s="328">
        <f t="shared" si="165"/>
        <v>0.99979586040281121</v>
      </c>
      <c r="X367" s="328">
        <f t="shared" si="166"/>
        <v>0.99980089869878508</v>
      </c>
      <c r="Y367" s="328">
        <f t="shared" si="167"/>
        <v>5.0382832816886491E-6</v>
      </c>
      <c r="Z367" s="374"/>
      <c r="AA367" s="571">
        <f t="shared" si="168"/>
        <v>6.2578281926445115E-3</v>
      </c>
      <c r="AB367" s="327">
        <f t="shared" si="187"/>
        <v>0.99367009128890527</v>
      </c>
      <c r="AC367" s="327">
        <f t="shared" si="169"/>
        <v>0.99374217180735547</v>
      </c>
      <c r="AD367" s="327">
        <f t="shared" si="170"/>
        <v>7.2077920712065868E-5</v>
      </c>
      <c r="AE367" s="383"/>
      <c r="AF367" s="574">
        <f t="shared" si="159"/>
        <v>3.7843270665272266E-2</v>
      </c>
      <c r="AG367" s="376">
        <f t="shared" si="185"/>
        <v>0.96199837928624909</v>
      </c>
      <c r="AH367" s="376">
        <f t="shared" si="171"/>
        <v>0.96215672933472773</v>
      </c>
      <c r="AI367" s="553">
        <f t="shared" si="172"/>
        <v>1.5833751177141142E-4</v>
      </c>
      <c r="AJ367" s="374"/>
      <c r="AK367" s="577">
        <f t="shared" si="160"/>
        <v>4.8882823084374472E-2</v>
      </c>
      <c r="AL367" s="376">
        <f t="shared" si="173"/>
        <v>0.95097134944939543</v>
      </c>
      <c r="AM367" s="376">
        <f t="shared" si="174"/>
        <v>0.95111717691562547</v>
      </c>
      <c r="AN367" s="553">
        <f t="shared" si="175"/>
        <v>1.4581683392189682E-4</v>
      </c>
      <c r="AO367" s="374"/>
      <c r="AP367" s="580">
        <f t="shared" si="161"/>
        <v>1.5804066448120713E-3</v>
      </c>
      <c r="AQ367" s="376">
        <f t="shared" si="176"/>
        <v>0.99839156447663169</v>
      </c>
      <c r="AR367" s="379">
        <f t="shared" si="177"/>
        <v>0.99841959335518793</v>
      </c>
      <c r="AS367" s="376">
        <f t="shared" si="178"/>
        <v>2.8028485750897225E-5</v>
      </c>
      <c r="AT367" s="383"/>
      <c r="AU367" s="583">
        <f t="shared" si="162"/>
        <v>0.28272373848202287</v>
      </c>
      <c r="AV367" s="381">
        <f t="shared" si="188"/>
        <v>1.263284994899027</v>
      </c>
      <c r="AW367" s="376">
        <f t="shared" si="163"/>
        <v>1.26328504723126</v>
      </c>
      <c r="AX367" s="503">
        <f t="shared" si="186"/>
        <v>5.2332231659235617E-8</v>
      </c>
      <c r="AY367" s="376">
        <f t="shared" si="164"/>
        <v>3.0188718576628548</v>
      </c>
      <c r="AZ367" s="381">
        <f t="shared" si="179"/>
        <v>1.4346714611535147E-3</v>
      </c>
      <c r="BA367" s="586">
        <f t="shared" si="180"/>
        <v>0.14298136840533909</v>
      </c>
      <c r="BB367" s="376">
        <f t="shared" si="181"/>
        <v>0.85683365944386269</v>
      </c>
      <c r="BC367" s="376">
        <f t="shared" si="182"/>
        <v>0.85701863159466085</v>
      </c>
      <c r="BD367" s="376">
        <f t="shared" si="183"/>
        <v>1.8495504450466438E-4</v>
      </c>
      <c r="BE367" s="282"/>
      <c r="BF367" s="282"/>
      <c r="BG367" s="282"/>
      <c r="BH367" s="283"/>
      <c r="BI367" s="283"/>
      <c r="BJ367" s="283"/>
      <c r="BK367" s="283"/>
      <c r="BL367" s="283"/>
      <c r="BM367" s="283"/>
      <c r="BN367" s="283"/>
      <c r="BO367" s="283"/>
      <c r="BP367" s="283"/>
      <c r="BQ367" s="283"/>
      <c r="BR367" s="283"/>
      <c r="BS367" s="283"/>
      <c r="BT367" s="283"/>
      <c r="BU367" s="283"/>
      <c r="BV367" s="283"/>
      <c r="BW367" s="283"/>
      <c r="BX367" s="283"/>
      <c r="BY367" s="283"/>
      <c r="BZ367" s="283"/>
      <c r="CA367" s="283"/>
      <c r="CB367" s="283"/>
      <c r="CC367" s="283"/>
      <c r="CD367" s="283"/>
      <c r="CE367" s="283"/>
      <c r="CF367" s="283"/>
      <c r="CG367" s="283"/>
      <c r="CH367" s="283"/>
      <c r="CI367" s="283"/>
      <c r="CJ367" s="283"/>
      <c r="CK367" s="283"/>
      <c r="CL367" s="283"/>
    </row>
    <row r="368" spans="1:90" ht="14.25" customHeight="1" x14ac:dyDescent="0.2">
      <c r="A368" s="28"/>
      <c r="B368" s="28"/>
      <c r="C368" s="28"/>
      <c r="D368" s="282"/>
      <c r="E368" s="282"/>
      <c r="F368" s="282"/>
      <c r="G368" s="282"/>
      <c r="H368" s="282"/>
      <c r="I368" s="282"/>
      <c r="J368" s="282"/>
      <c r="K368" s="282"/>
      <c r="L368" s="282"/>
      <c r="M368" s="282"/>
      <c r="N368" s="282"/>
      <c r="O368" s="282"/>
      <c r="P368" s="282"/>
      <c r="Q368" s="282"/>
      <c r="R368" s="282"/>
      <c r="S368" s="374"/>
      <c r="T368" s="373">
        <f t="shared" si="189"/>
        <v>342</v>
      </c>
      <c r="U368" s="374"/>
      <c r="V368" s="568">
        <f t="shared" si="184"/>
        <v>1.941873536117667E-4</v>
      </c>
      <c r="W368" s="328">
        <f t="shared" si="165"/>
        <v>0.99980089869878508</v>
      </c>
      <c r="X368" s="328">
        <f t="shared" si="166"/>
        <v>0.99980581264638824</v>
      </c>
      <c r="Y368" s="328">
        <f t="shared" si="167"/>
        <v>4.9139355297045384E-6</v>
      </c>
      <c r="Z368" s="374"/>
      <c r="AA368" s="571">
        <f t="shared" si="168"/>
        <v>6.1866163678317102E-3</v>
      </c>
      <c r="AB368" s="327">
        <f t="shared" si="187"/>
        <v>0.99374217180735547</v>
      </c>
      <c r="AC368" s="327">
        <f t="shared" si="169"/>
        <v>0.99381338363216831</v>
      </c>
      <c r="AD368" s="327">
        <f t="shared" si="170"/>
        <v>7.1209289311036095E-5</v>
      </c>
      <c r="AE368" s="383"/>
      <c r="AF368" s="574">
        <f t="shared" si="159"/>
        <v>3.7685920827974728E-2</v>
      </c>
      <c r="AG368" s="376">
        <f t="shared" si="185"/>
        <v>0.96215672933472773</v>
      </c>
      <c r="AH368" s="376">
        <f t="shared" si="171"/>
        <v>0.96231407917202527</v>
      </c>
      <c r="AI368" s="553">
        <f t="shared" si="172"/>
        <v>1.5733745846113756E-4</v>
      </c>
      <c r="AJ368" s="374"/>
      <c r="AK368" s="577">
        <f t="shared" si="160"/>
        <v>4.8737832344457659E-2</v>
      </c>
      <c r="AL368" s="376">
        <f t="shared" si="173"/>
        <v>0.95111717691562547</v>
      </c>
      <c r="AM368" s="376">
        <f t="shared" si="174"/>
        <v>0.95126216765554239</v>
      </c>
      <c r="AN368" s="553">
        <f t="shared" si="175"/>
        <v>1.4498022926756615E-4</v>
      </c>
      <c r="AO368" s="374"/>
      <c r="AP368" s="580">
        <f t="shared" si="161"/>
        <v>1.5528687546229047E-3</v>
      </c>
      <c r="AQ368" s="376">
        <f t="shared" si="176"/>
        <v>0.99841959335518793</v>
      </c>
      <c r="AR368" s="379">
        <f t="shared" si="177"/>
        <v>0.9984471312453771</v>
      </c>
      <c r="AS368" s="376">
        <f t="shared" si="178"/>
        <v>2.7537511024910977E-5</v>
      </c>
      <c r="AT368" s="383"/>
      <c r="AU368" s="583">
        <f t="shared" si="162"/>
        <v>0.28272372427383013</v>
      </c>
      <c r="AV368" s="381">
        <f t="shared" si="188"/>
        <v>1.26328504723126</v>
      </c>
      <c r="AW368" s="376">
        <f t="shared" si="163"/>
        <v>1.2632850974859475</v>
      </c>
      <c r="AX368" s="503">
        <f t="shared" si="186"/>
        <v>5.0254686301265394E-8</v>
      </c>
      <c r="AY368" s="376">
        <f t="shared" si="164"/>
        <v>3.0211751264241062</v>
      </c>
      <c r="AZ368" s="381">
        <f t="shared" si="179"/>
        <v>1.4287857145641632E-3</v>
      </c>
      <c r="BA368" s="586">
        <f t="shared" si="180"/>
        <v>0.14279717501105521</v>
      </c>
      <c r="BB368" s="376">
        <f t="shared" si="181"/>
        <v>0.85701863159466085</v>
      </c>
      <c r="BC368" s="376">
        <f t="shared" si="182"/>
        <v>0.85720282498894473</v>
      </c>
      <c r="BD368" s="376">
        <f t="shared" si="183"/>
        <v>1.8417643172208287E-4</v>
      </c>
      <c r="BE368" s="282"/>
      <c r="BF368" s="282"/>
      <c r="BG368" s="282"/>
      <c r="BH368" s="283"/>
      <c r="BI368" s="283"/>
      <c r="BJ368" s="283"/>
      <c r="BK368" s="283"/>
      <c r="BL368" s="283"/>
      <c r="BM368" s="283"/>
      <c r="BN368" s="283"/>
      <c r="BO368" s="283"/>
      <c r="BP368" s="283"/>
      <c r="BQ368" s="283"/>
      <c r="BR368" s="283"/>
      <c r="BS368" s="283"/>
      <c r="BT368" s="283"/>
      <c r="BU368" s="283"/>
      <c r="BV368" s="283"/>
      <c r="BW368" s="283"/>
      <c r="BX368" s="283"/>
      <c r="BY368" s="283"/>
      <c r="BZ368" s="283"/>
      <c r="CA368" s="283"/>
      <c r="CB368" s="283"/>
      <c r="CC368" s="283"/>
      <c r="CD368" s="283"/>
      <c r="CE368" s="283"/>
      <c r="CF368" s="283"/>
      <c r="CG368" s="283"/>
      <c r="CH368" s="283"/>
      <c r="CI368" s="283"/>
      <c r="CJ368" s="283"/>
      <c r="CK368" s="283"/>
      <c r="CL368" s="283"/>
    </row>
    <row r="369" spans="1:90" ht="14.25" customHeight="1" x14ac:dyDescent="0.2">
      <c r="A369" s="28"/>
      <c r="B369" s="28"/>
      <c r="C369" s="28"/>
      <c r="D369" s="282"/>
      <c r="E369" s="282"/>
      <c r="F369" s="282"/>
      <c r="G369" s="282"/>
      <c r="H369" s="282"/>
      <c r="I369" s="282"/>
      <c r="J369" s="282"/>
      <c r="K369" s="282"/>
      <c r="L369" s="282"/>
      <c r="M369" s="282"/>
      <c r="N369" s="282"/>
      <c r="O369" s="282"/>
      <c r="P369" s="282"/>
      <c r="Q369" s="282"/>
      <c r="R369" s="282"/>
      <c r="S369" s="374"/>
      <c r="T369" s="373">
        <f t="shared" si="189"/>
        <v>343</v>
      </c>
      <c r="U369" s="374"/>
      <c r="V369" s="568">
        <f t="shared" si="184"/>
        <v>1.8939468538197682E-4</v>
      </c>
      <c r="W369" s="328">
        <f t="shared" si="165"/>
        <v>0.99980581264638824</v>
      </c>
      <c r="X369" s="328">
        <f t="shared" si="166"/>
        <v>0.99981060531461807</v>
      </c>
      <c r="Y369" s="328">
        <f t="shared" si="167"/>
        <v>4.7926567450229385E-6</v>
      </c>
      <c r="Z369" s="374"/>
      <c r="AA369" s="571">
        <f t="shared" si="168"/>
        <v>6.1162620846673598E-3</v>
      </c>
      <c r="AB369" s="327">
        <f t="shared" si="187"/>
        <v>0.99381338363216831</v>
      </c>
      <c r="AC369" s="327">
        <f t="shared" si="169"/>
        <v>0.99388373791533269</v>
      </c>
      <c r="AD369" s="327">
        <f t="shared" si="170"/>
        <v>7.0351808359792045E-5</v>
      </c>
      <c r="AE369" s="383"/>
      <c r="AF369" s="574">
        <f t="shared" si="159"/>
        <v>3.7529562558783036E-2</v>
      </c>
      <c r="AG369" s="376">
        <f t="shared" si="185"/>
        <v>0.96231407917202527</v>
      </c>
      <c r="AH369" s="376">
        <f t="shared" si="171"/>
        <v>0.96247043744121696</v>
      </c>
      <c r="AI369" s="553">
        <f t="shared" si="172"/>
        <v>1.5634604587455581E-4</v>
      </c>
      <c r="AJ369" s="374"/>
      <c r="AK369" s="577">
        <f t="shared" si="160"/>
        <v>4.8593671234690231E-2</v>
      </c>
      <c r="AL369" s="376">
        <f t="shared" si="173"/>
        <v>0.95126216765554239</v>
      </c>
      <c r="AM369" s="376">
        <f t="shared" si="174"/>
        <v>0.95140632876530973</v>
      </c>
      <c r="AN369" s="553">
        <f t="shared" si="175"/>
        <v>1.4415071905382604E-4</v>
      </c>
      <c r="AO369" s="374"/>
      <c r="AP369" s="580">
        <f t="shared" si="161"/>
        <v>1.5258131946376263E-3</v>
      </c>
      <c r="AQ369" s="376">
        <f t="shared" si="176"/>
        <v>0.9984471312453771</v>
      </c>
      <c r="AR369" s="379">
        <f t="shared" si="177"/>
        <v>0.99847418680536237</v>
      </c>
      <c r="AS369" s="376">
        <f t="shared" si="178"/>
        <v>2.7055193986935677E-5</v>
      </c>
      <c r="AT369" s="383"/>
      <c r="AU369" s="583">
        <f t="shared" si="162"/>
        <v>0.28272371062969115</v>
      </c>
      <c r="AV369" s="381">
        <f t="shared" si="188"/>
        <v>1.2632850974859475</v>
      </c>
      <c r="AW369" s="376">
        <f t="shared" si="163"/>
        <v>1.2632851457455667</v>
      </c>
      <c r="AX369" s="503">
        <f t="shared" si="186"/>
        <v>4.8259618079526945E-8</v>
      </c>
      <c r="AY369" s="376">
        <f t="shared" si="164"/>
        <v>3.0234716703034938</v>
      </c>
      <c r="AZ369" s="381">
        <f t="shared" si="179"/>
        <v>1.4229411934132286E-3</v>
      </c>
      <c r="BA369" s="586">
        <f t="shared" si="180"/>
        <v>0.14261375483632796</v>
      </c>
      <c r="BB369" s="376">
        <f t="shared" si="181"/>
        <v>0.85720282498894473</v>
      </c>
      <c r="BC369" s="376">
        <f t="shared" si="182"/>
        <v>0.85738624516367201</v>
      </c>
      <c r="BD369" s="376">
        <f t="shared" si="183"/>
        <v>1.8340335427546872E-4</v>
      </c>
      <c r="BE369" s="282"/>
      <c r="BF369" s="282"/>
      <c r="BG369" s="282"/>
      <c r="BH369" s="283"/>
      <c r="BI369" s="283"/>
      <c r="BJ369" s="283"/>
      <c r="BK369" s="283"/>
      <c r="BL369" s="283"/>
      <c r="BM369" s="283"/>
      <c r="BN369" s="283"/>
      <c r="BO369" s="283"/>
      <c r="BP369" s="283"/>
      <c r="BQ369" s="283"/>
      <c r="BR369" s="283"/>
      <c r="BS369" s="283"/>
      <c r="BT369" s="283"/>
      <c r="BU369" s="283"/>
      <c r="BV369" s="283"/>
      <c r="BW369" s="283"/>
      <c r="BX369" s="283"/>
      <c r="BY369" s="283"/>
      <c r="BZ369" s="283"/>
      <c r="CA369" s="283"/>
      <c r="CB369" s="283"/>
      <c r="CC369" s="283"/>
      <c r="CD369" s="283"/>
      <c r="CE369" s="283"/>
      <c r="CF369" s="283"/>
      <c r="CG369" s="283"/>
      <c r="CH369" s="283"/>
      <c r="CI369" s="283"/>
      <c r="CJ369" s="283"/>
      <c r="CK369" s="283"/>
      <c r="CL369" s="283"/>
    </row>
    <row r="370" spans="1:90" ht="14.25" customHeight="1" x14ac:dyDescent="0.2">
      <c r="A370" s="28"/>
      <c r="B370" s="28"/>
      <c r="C370" s="28"/>
      <c r="D370" s="282"/>
      <c r="E370" s="282"/>
      <c r="F370" s="282"/>
      <c r="G370" s="282"/>
      <c r="H370" s="282"/>
      <c r="I370" s="282"/>
      <c r="J370" s="282"/>
      <c r="K370" s="282"/>
      <c r="L370" s="282"/>
      <c r="M370" s="282"/>
      <c r="N370" s="282"/>
      <c r="O370" s="282"/>
      <c r="P370" s="282"/>
      <c r="Q370" s="282"/>
      <c r="R370" s="282"/>
      <c r="S370" s="385"/>
      <c r="T370" s="373">
        <f t="shared" si="189"/>
        <v>344</v>
      </c>
      <c r="U370" s="385"/>
      <c r="V370" s="568">
        <f t="shared" si="184"/>
        <v>1.8472030327295477E-4</v>
      </c>
      <c r="W370" s="328">
        <f t="shared" si="165"/>
        <v>0.99981060531461807</v>
      </c>
      <c r="X370" s="328">
        <f t="shared" si="166"/>
        <v>0.99981527969672701</v>
      </c>
      <c r="Y370" s="328">
        <f t="shared" si="167"/>
        <v>4.674371184010262E-6</v>
      </c>
      <c r="Z370" s="385"/>
      <c r="AA370" s="571">
        <f t="shared" si="168"/>
        <v>6.0467543447303542E-3</v>
      </c>
      <c r="AB370" s="327">
        <f t="shared" si="187"/>
        <v>0.99388373791533269</v>
      </c>
      <c r="AC370" s="327">
        <f t="shared" si="169"/>
        <v>0.99395324565526966</v>
      </c>
      <c r="AD370" s="327">
        <f t="shared" si="170"/>
        <v>6.9505324330032536E-5</v>
      </c>
      <c r="AE370" s="386"/>
      <c r="AF370" s="574">
        <f t="shared" si="159"/>
        <v>3.7374187310307394E-2</v>
      </c>
      <c r="AG370" s="376">
        <f t="shared" si="185"/>
        <v>0.96247043744121696</v>
      </c>
      <c r="AH370" s="376">
        <f t="shared" si="171"/>
        <v>0.96262581268969261</v>
      </c>
      <c r="AI370" s="553">
        <f t="shared" si="172"/>
        <v>1.5536317836684077E-4</v>
      </c>
      <c r="AJ370" s="385"/>
      <c r="AK370" s="577">
        <f t="shared" si="160"/>
        <v>4.8450332738421815E-2</v>
      </c>
      <c r="AL370" s="376">
        <f t="shared" si="173"/>
        <v>0.95140632876530973</v>
      </c>
      <c r="AM370" s="376">
        <f t="shared" si="174"/>
        <v>0.95154966726157819</v>
      </c>
      <c r="AN370" s="553">
        <f t="shared" si="175"/>
        <v>1.4332822379703458E-4</v>
      </c>
      <c r="AO370" s="385"/>
      <c r="AP370" s="580">
        <f t="shared" si="161"/>
        <v>1.4992314606996349E-3</v>
      </c>
      <c r="AQ370" s="376">
        <f t="shared" si="176"/>
        <v>0.99847418680536237</v>
      </c>
      <c r="AR370" s="379">
        <f t="shared" si="177"/>
        <v>0.99850076853930037</v>
      </c>
      <c r="AS370" s="376">
        <f t="shared" si="178"/>
        <v>2.6581380646817365E-5</v>
      </c>
      <c r="AT370" s="386"/>
      <c r="AU370" s="583">
        <f t="shared" si="162"/>
        <v>0.2827236975272136</v>
      </c>
      <c r="AV370" s="381">
        <f t="shared" si="188"/>
        <v>1.2632851457455667</v>
      </c>
      <c r="AW370" s="376">
        <f t="shared" si="163"/>
        <v>1.26328519208932</v>
      </c>
      <c r="AX370" s="503">
        <f t="shared" si="186"/>
        <v>4.6343752169164532E-8</v>
      </c>
      <c r="AY370" s="376">
        <f t="shared" si="164"/>
        <v>3.0257615284561625</v>
      </c>
      <c r="AZ370" s="381">
        <f t="shared" si="179"/>
        <v>1.4171374900141117E-3</v>
      </c>
      <c r="BA370" s="586">
        <f t="shared" si="180"/>
        <v>0.14243110239952536</v>
      </c>
      <c r="BB370" s="376">
        <f t="shared" si="181"/>
        <v>0.85738624516367201</v>
      </c>
      <c r="BC370" s="376">
        <f t="shared" si="182"/>
        <v>0.85756889760047461</v>
      </c>
      <c r="BD370" s="376">
        <f t="shared" si="183"/>
        <v>1.8263575686183753E-4</v>
      </c>
      <c r="BE370" s="282"/>
      <c r="BF370" s="282"/>
      <c r="BG370" s="282"/>
      <c r="BH370" s="283"/>
      <c r="BI370" s="283"/>
      <c r="BJ370" s="283"/>
      <c r="BK370" s="283"/>
      <c r="BL370" s="283"/>
      <c r="BM370" s="283"/>
      <c r="BN370" s="283"/>
      <c r="BO370" s="283"/>
      <c r="BP370" s="283"/>
      <c r="BQ370" s="283"/>
      <c r="BR370" s="283"/>
      <c r="BS370" s="283"/>
      <c r="BT370" s="283"/>
      <c r="BU370" s="283"/>
      <c r="BV370" s="283"/>
      <c r="BW370" s="283"/>
      <c r="BX370" s="283"/>
      <c r="BY370" s="283"/>
      <c r="BZ370" s="283"/>
      <c r="CA370" s="283"/>
      <c r="CB370" s="283"/>
      <c r="CC370" s="283"/>
      <c r="CD370" s="283"/>
      <c r="CE370" s="283"/>
      <c r="CF370" s="283"/>
      <c r="CG370" s="283"/>
      <c r="CH370" s="283"/>
      <c r="CI370" s="283"/>
      <c r="CJ370" s="283"/>
      <c r="CK370" s="283"/>
      <c r="CL370" s="283"/>
    </row>
    <row r="371" spans="1:90" ht="14.25" customHeight="1" x14ac:dyDescent="0.2">
      <c r="A371" s="28"/>
      <c r="B371" s="28"/>
      <c r="C371" s="28"/>
      <c r="D371" s="282"/>
      <c r="E371" s="282"/>
      <c r="F371" s="282"/>
      <c r="G371" s="282"/>
      <c r="H371" s="282"/>
      <c r="I371" s="282"/>
      <c r="J371" s="282"/>
      <c r="K371" s="282"/>
      <c r="L371" s="282"/>
      <c r="M371" s="282"/>
      <c r="N371" s="282"/>
      <c r="O371" s="282"/>
      <c r="P371" s="282"/>
      <c r="Q371" s="282"/>
      <c r="R371" s="282"/>
      <c r="S371" s="282"/>
      <c r="T371" s="3"/>
      <c r="U371" s="282"/>
      <c r="V371" s="282"/>
      <c r="W371" s="282"/>
      <c r="X371" s="282"/>
      <c r="Y371" s="282"/>
      <c r="Z371" s="282"/>
      <c r="AA371" s="282"/>
      <c r="AB371" s="282"/>
      <c r="AC371" s="282"/>
      <c r="AD371" s="282"/>
      <c r="AE371" s="282"/>
      <c r="AF371" s="282"/>
      <c r="AG371" s="282"/>
      <c r="AH371" s="282"/>
      <c r="AI371" s="282"/>
      <c r="AJ371" s="282"/>
      <c r="AK371" s="282"/>
      <c r="AL371" s="282"/>
      <c r="AM371" s="282"/>
      <c r="AN371" s="282"/>
      <c r="AO371" s="282"/>
      <c r="AP371" s="282"/>
      <c r="AQ371" s="282"/>
      <c r="AR371" s="282"/>
      <c r="AS371" s="282"/>
      <c r="AT371" s="282"/>
      <c r="AU371" s="282"/>
      <c r="AV371" s="381">
        <f t="shared" ref="AV371" si="190">($AU$22/$AU$21)*((EXP($AU$21*T370))-1)</f>
        <v>1.26328519208932</v>
      </c>
      <c r="AW371" s="376"/>
      <c r="AX371" s="282"/>
      <c r="AY371" s="282"/>
      <c r="AZ371" s="282"/>
      <c r="BA371" s="372"/>
      <c r="BB371" s="372"/>
      <c r="BC371" s="372"/>
      <c r="BD371" s="372"/>
      <c r="BE371" s="282"/>
      <c r="BF371" s="282"/>
      <c r="BG371" s="282"/>
      <c r="BH371" s="283"/>
      <c r="BI371" s="283"/>
      <c r="BJ371" s="283"/>
      <c r="BK371" s="283"/>
      <c r="BL371" s="283"/>
      <c r="BM371" s="283"/>
      <c r="BN371" s="283"/>
      <c r="BO371" s="283"/>
      <c r="BP371" s="283"/>
      <c r="BQ371" s="283"/>
      <c r="BR371" s="283"/>
      <c r="BS371" s="283"/>
      <c r="BT371" s="283"/>
      <c r="BU371" s="283"/>
      <c r="BV371" s="283"/>
      <c r="BW371" s="283"/>
      <c r="BX371" s="283"/>
      <c r="BY371" s="283"/>
      <c r="BZ371" s="283"/>
      <c r="CA371" s="283"/>
      <c r="CB371" s="283"/>
      <c r="CC371" s="283"/>
      <c r="CD371" s="283"/>
      <c r="CE371" s="283"/>
      <c r="CF371" s="283"/>
      <c r="CG371" s="283"/>
      <c r="CH371" s="283"/>
      <c r="CI371" s="283"/>
      <c r="CJ371" s="283"/>
      <c r="CK371" s="283"/>
      <c r="CL371" s="283"/>
    </row>
    <row r="372" spans="1:90" ht="14.25" customHeight="1" x14ac:dyDescent="0.2">
      <c r="A372" s="28"/>
      <c r="B372" s="28"/>
      <c r="C372" s="28"/>
      <c r="D372" s="282"/>
      <c r="E372" s="282"/>
      <c r="F372" s="282"/>
      <c r="G372" s="282"/>
      <c r="H372" s="282"/>
      <c r="I372" s="282"/>
      <c r="J372" s="282"/>
      <c r="K372" s="282"/>
      <c r="L372" s="282"/>
      <c r="M372" s="282"/>
      <c r="N372" s="282"/>
      <c r="O372" s="282"/>
      <c r="P372" s="282"/>
      <c r="Q372" s="282"/>
      <c r="R372" s="282"/>
      <c r="S372" s="282"/>
      <c r="T372" s="3"/>
      <c r="U372" s="282"/>
      <c r="V372" s="282"/>
      <c r="W372" s="282"/>
      <c r="X372" s="282"/>
      <c r="Y372" s="282"/>
      <c r="Z372" s="282"/>
      <c r="AA372" s="282"/>
      <c r="AB372" s="282"/>
      <c r="AC372" s="282"/>
      <c r="AD372" s="282"/>
      <c r="AE372" s="282"/>
      <c r="AF372" s="282"/>
      <c r="AG372" s="282"/>
      <c r="AH372" s="282"/>
      <c r="AI372" s="282"/>
      <c r="AJ372" s="282"/>
      <c r="AK372" s="282"/>
      <c r="AL372" s="282"/>
      <c r="AM372" s="282"/>
      <c r="AN372" s="282"/>
      <c r="AO372" s="282"/>
      <c r="AP372" s="282"/>
      <c r="AQ372" s="282"/>
      <c r="AR372" s="282"/>
      <c r="AS372" s="282"/>
      <c r="AT372" s="282"/>
      <c r="AU372" s="282"/>
      <c r="AV372" s="282"/>
      <c r="AW372" s="282"/>
      <c r="AX372" s="282"/>
      <c r="AY372" s="282"/>
      <c r="AZ372" s="282"/>
      <c r="BA372" s="372"/>
      <c r="BB372" s="372"/>
      <c r="BC372" s="372"/>
      <c r="BD372" s="372"/>
      <c r="BE372" s="282"/>
      <c r="BF372" s="282"/>
      <c r="BG372" s="282"/>
      <c r="BH372" s="283"/>
      <c r="BI372" s="283"/>
      <c r="BJ372" s="283"/>
      <c r="BK372" s="283"/>
      <c r="BL372" s="283"/>
      <c r="BM372" s="283"/>
      <c r="BN372" s="283"/>
      <c r="BO372" s="283"/>
      <c r="BP372" s="283"/>
      <c r="BQ372" s="283"/>
      <c r="BR372" s="283"/>
      <c r="BS372" s="283"/>
      <c r="BT372" s="283"/>
      <c r="BU372" s="283"/>
      <c r="BV372" s="283"/>
      <c r="BW372" s="283"/>
      <c r="BX372" s="283"/>
      <c r="BY372" s="283"/>
      <c r="BZ372" s="283"/>
      <c r="CA372" s="283"/>
      <c r="CB372" s="283"/>
      <c r="CC372" s="283"/>
      <c r="CD372" s="283"/>
      <c r="CE372" s="283"/>
      <c r="CF372" s="283"/>
      <c r="CG372" s="283"/>
      <c r="CH372" s="283"/>
      <c r="CI372" s="283"/>
      <c r="CJ372" s="283"/>
      <c r="CK372" s="283"/>
      <c r="CL372" s="283"/>
    </row>
    <row r="373" spans="1:90" ht="14.25" customHeight="1" x14ac:dyDescent="0.2">
      <c r="A373" s="28"/>
      <c r="B373" s="28"/>
      <c r="C373" s="28"/>
      <c r="D373" s="282"/>
      <c r="E373" s="282"/>
      <c r="F373" s="282"/>
      <c r="G373" s="282"/>
      <c r="H373" s="282"/>
      <c r="I373" s="282"/>
      <c r="J373" s="282"/>
      <c r="K373" s="282"/>
      <c r="L373" s="282"/>
      <c r="M373" s="282"/>
      <c r="N373" s="282"/>
      <c r="O373" s="282"/>
      <c r="P373" s="282"/>
      <c r="Q373" s="282"/>
      <c r="R373" s="282"/>
      <c r="S373" s="282"/>
      <c r="T373" s="3"/>
      <c r="U373" s="282"/>
      <c r="V373" s="282"/>
      <c r="W373" s="282"/>
      <c r="X373" s="282"/>
      <c r="Y373" s="282"/>
      <c r="Z373" s="282"/>
      <c r="AA373" s="282"/>
      <c r="AB373" s="282"/>
      <c r="AC373" s="282"/>
      <c r="AD373" s="282"/>
      <c r="AE373" s="282"/>
      <c r="AF373" s="282"/>
      <c r="AG373" s="282"/>
      <c r="AH373" s="282"/>
      <c r="AI373" s="282"/>
      <c r="AJ373" s="282"/>
      <c r="AK373" s="282"/>
      <c r="AL373" s="282"/>
      <c r="AM373" s="282"/>
      <c r="AN373" s="282"/>
      <c r="AO373" s="282"/>
      <c r="AP373" s="282"/>
      <c r="AQ373" s="282"/>
      <c r="AR373" s="282"/>
      <c r="AS373" s="282"/>
      <c r="AT373" s="282"/>
      <c r="AU373" s="282"/>
      <c r="AV373" s="282"/>
      <c r="AW373" s="282"/>
      <c r="AX373" s="282"/>
      <c r="AY373" s="282"/>
      <c r="AZ373" s="282"/>
      <c r="BA373" s="372"/>
      <c r="BB373" s="372"/>
      <c r="BC373" s="372"/>
      <c r="BD373" s="372"/>
      <c r="BE373" s="282"/>
      <c r="BF373" s="282"/>
      <c r="BG373" s="282"/>
      <c r="BH373" s="283"/>
      <c r="BI373" s="283"/>
      <c r="BJ373" s="283"/>
      <c r="BK373" s="283"/>
      <c r="BL373" s="283"/>
      <c r="BM373" s="283"/>
      <c r="BN373" s="283"/>
      <c r="BO373" s="283"/>
      <c r="BP373" s="283"/>
      <c r="BQ373" s="283"/>
      <c r="BR373" s="283"/>
      <c r="BS373" s="283"/>
      <c r="BT373" s="283"/>
      <c r="BU373" s="283"/>
      <c r="BV373" s="283"/>
      <c r="BW373" s="283"/>
      <c r="BX373" s="283"/>
      <c r="BY373" s="283"/>
      <c r="BZ373" s="283"/>
      <c r="CA373" s="283"/>
      <c r="CB373" s="283"/>
      <c r="CC373" s="283"/>
      <c r="CD373" s="283"/>
      <c r="CE373" s="283"/>
      <c r="CF373" s="283"/>
      <c r="CG373" s="283"/>
      <c r="CH373" s="283"/>
      <c r="CI373" s="283"/>
      <c r="CJ373" s="283"/>
      <c r="CK373" s="283"/>
      <c r="CL373" s="283"/>
    </row>
    <row r="374" spans="1:90" ht="14.25" customHeight="1" x14ac:dyDescent="0.2">
      <c r="A374" s="28"/>
      <c r="B374" s="28"/>
      <c r="C374" s="28"/>
      <c r="D374" s="282"/>
      <c r="E374" s="282"/>
      <c r="F374" s="282"/>
      <c r="G374" s="282"/>
      <c r="H374" s="282"/>
      <c r="I374" s="282"/>
      <c r="J374" s="282"/>
      <c r="K374" s="282"/>
      <c r="L374" s="282"/>
      <c r="M374" s="282"/>
      <c r="N374" s="282"/>
      <c r="O374" s="282"/>
      <c r="P374" s="282"/>
      <c r="Q374" s="282"/>
      <c r="R374" s="282"/>
      <c r="S374" s="282"/>
      <c r="T374" s="3"/>
      <c r="U374" s="282"/>
      <c r="V374" s="282"/>
      <c r="W374" s="282"/>
      <c r="X374" s="282"/>
      <c r="Y374" s="282"/>
      <c r="Z374" s="282"/>
      <c r="AA374" s="282"/>
      <c r="AB374" s="282"/>
      <c r="AC374" s="282"/>
      <c r="AD374" s="282"/>
      <c r="AE374" s="282"/>
      <c r="AF374" s="282"/>
      <c r="AG374" s="282"/>
      <c r="AH374" s="282"/>
      <c r="AI374" s="282"/>
      <c r="AJ374" s="282"/>
      <c r="AK374" s="282"/>
      <c r="AL374" s="282"/>
      <c r="AM374" s="282"/>
      <c r="AN374" s="282"/>
      <c r="AO374" s="282"/>
      <c r="AP374" s="282"/>
      <c r="AQ374" s="282"/>
      <c r="AR374" s="282"/>
      <c r="AS374" s="282"/>
      <c r="AT374" s="282"/>
      <c r="AU374" s="282"/>
      <c r="AV374" s="282"/>
      <c r="AW374" s="282"/>
      <c r="AX374" s="282"/>
      <c r="AY374" s="282"/>
      <c r="AZ374" s="282"/>
      <c r="BA374" s="372"/>
      <c r="BB374" s="372"/>
      <c r="BC374" s="372"/>
      <c r="BD374" s="372"/>
      <c r="BE374" s="282"/>
      <c r="BF374" s="282"/>
      <c r="BG374" s="282"/>
      <c r="BH374" s="283"/>
      <c r="BI374" s="283"/>
      <c r="BJ374" s="283"/>
      <c r="BK374" s="283"/>
      <c r="BL374" s="283"/>
      <c r="BM374" s="283"/>
      <c r="BN374" s="283"/>
      <c r="BO374" s="283"/>
      <c r="BP374" s="283"/>
      <c r="BQ374" s="283"/>
      <c r="BR374" s="283"/>
      <c r="BS374" s="283"/>
      <c r="BT374" s="283"/>
      <c r="BU374" s="283"/>
      <c r="BV374" s="283"/>
      <c r="BW374" s="283"/>
      <c r="BX374" s="283"/>
      <c r="BY374" s="283"/>
      <c r="BZ374" s="283"/>
      <c r="CA374" s="283"/>
      <c r="CB374" s="283"/>
      <c r="CC374" s="283"/>
      <c r="CD374" s="283"/>
      <c r="CE374" s="283"/>
      <c r="CF374" s="283"/>
      <c r="CG374" s="283"/>
      <c r="CH374" s="283"/>
      <c r="CI374" s="283"/>
      <c r="CJ374" s="283"/>
      <c r="CK374" s="283"/>
      <c r="CL374" s="283"/>
    </row>
    <row r="375" spans="1:90" ht="14.25" customHeight="1" x14ac:dyDescent="0.2">
      <c r="A375" s="28"/>
      <c r="B375" s="28"/>
      <c r="C375" s="28"/>
      <c r="D375" s="282"/>
      <c r="E375" s="282"/>
      <c r="F375" s="282"/>
      <c r="G375" s="282"/>
      <c r="H375" s="282"/>
      <c r="I375" s="282"/>
      <c r="J375" s="282"/>
      <c r="K375" s="282"/>
      <c r="L375" s="282"/>
      <c r="M375" s="282"/>
      <c r="N375" s="282"/>
      <c r="O375" s="282"/>
      <c r="P375" s="282"/>
      <c r="Q375" s="282"/>
      <c r="R375" s="282"/>
      <c r="S375" s="282"/>
      <c r="T375" s="3"/>
      <c r="U375" s="282"/>
      <c r="V375" s="282"/>
      <c r="W375" s="282"/>
      <c r="X375" s="282"/>
      <c r="Y375" s="282"/>
      <c r="Z375" s="282"/>
      <c r="AA375" s="282"/>
      <c r="AB375" s="282"/>
      <c r="AC375" s="282"/>
      <c r="AD375" s="282"/>
      <c r="AE375" s="282"/>
      <c r="AF375" s="282"/>
      <c r="AG375" s="282"/>
      <c r="AH375" s="282"/>
      <c r="AI375" s="282"/>
      <c r="AJ375" s="282"/>
      <c r="AK375" s="282"/>
      <c r="AL375" s="282"/>
      <c r="AM375" s="282"/>
      <c r="AN375" s="282"/>
      <c r="AO375" s="282"/>
      <c r="AP375" s="282"/>
      <c r="AQ375" s="282"/>
      <c r="AR375" s="282"/>
      <c r="AS375" s="282"/>
      <c r="AT375" s="282"/>
      <c r="AU375" s="282"/>
      <c r="AV375" s="282"/>
      <c r="AW375" s="282"/>
      <c r="AX375" s="282"/>
      <c r="AY375" s="282"/>
      <c r="AZ375" s="282"/>
      <c r="BA375" s="372"/>
      <c r="BB375" s="372"/>
      <c r="BC375" s="372"/>
      <c r="BD375" s="372"/>
      <c r="BE375" s="282"/>
      <c r="BF375" s="282"/>
      <c r="BG375" s="282"/>
      <c r="BH375" s="283"/>
      <c r="BI375" s="283"/>
      <c r="BJ375" s="283"/>
      <c r="BK375" s="283"/>
      <c r="BL375" s="283"/>
      <c r="BM375" s="283"/>
      <c r="BN375" s="283"/>
      <c r="BO375" s="283"/>
      <c r="BP375" s="283"/>
      <c r="BQ375" s="283"/>
      <c r="BR375" s="283"/>
      <c r="BS375" s="283"/>
      <c r="BT375" s="283"/>
      <c r="BU375" s="283"/>
      <c r="BV375" s="283"/>
      <c r="BW375" s="283"/>
      <c r="BX375" s="283"/>
      <c r="BY375" s="283"/>
      <c r="BZ375" s="283"/>
      <c r="CA375" s="283"/>
      <c r="CB375" s="283"/>
      <c r="CC375" s="283"/>
      <c r="CD375" s="283"/>
      <c r="CE375" s="283"/>
      <c r="CF375" s="283"/>
      <c r="CG375" s="283"/>
      <c r="CH375" s="283"/>
      <c r="CI375" s="283"/>
      <c r="CJ375" s="283"/>
      <c r="CK375" s="283"/>
      <c r="CL375" s="283"/>
    </row>
    <row r="376" spans="1:90" ht="14.25" customHeight="1" x14ac:dyDescent="0.2">
      <c r="A376" s="28"/>
      <c r="B376" s="28"/>
      <c r="C376" s="28"/>
      <c r="D376" s="282"/>
      <c r="E376" s="282"/>
      <c r="F376" s="282"/>
      <c r="G376" s="282"/>
      <c r="H376" s="282"/>
      <c r="I376" s="282"/>
      <c r="J376" s="282"/>
      <c r="K376" s="282"/>
      <c r="L376" s="282"/>
      <c r="M376" s="282"/>
      <c r="N376" s="282"/>
      <c r="O376" s="282"/>
      <c r="P376" s="282"/>
      <c r="Q376" s="282"/>
      <c r="R376" s="282"/>
      <c r="S376" s="282"/>
      <c r="T376" s="3"/>
      <c r="U376" s="282"/>
      <c r="V376" s="282"/>
      <c r="W376" s="282"/>
      <c r="X376" s="282"/>
      <c r="Y376" s="282"/>
      <c r="Z376" s="282"/>
      <c r="AA376" s="282"/>
      <c r="AB376" s="282"/>
      <c r="AC376" s="282"/>
      <c r="AD376" s="282"/>
      <c r="AE376" s="282"/>
      <c r="AF376" s="282"/>
      <c r="AG376" s="282"/>
      <c r="AH376" s="282"/>
      <c r="AI376" s="282"/>
      <c r="AJ376" s="282"/>
      <c r="AK376" s="282"/>
      <c r="AL376" s="282"/>
      <c r="AM376" s="282"/>
      <c r="AN376" s="282"/>
      <c r="AO376" s="282"/>
      <c r="AP376" s="282"/>
      <c r="AQ376" s="282"/>
      <c r="AR376" s="282"/>
      <c r="AS376" s="282"/>
      <c r="AT376" s="282"/>
      <c r="AU376" s="282"/>
      <c r="AV376" s="282"/>
      <c r="AW376" s="282"/>
      <c r="AX376" s="282"/>
      <c r="AY376" s="282"/>
      <c r="AZ376" s="282"/>
      <c r="BA376" s="372"/>
      <c r="BB376" s="372"/>
      <c r="BC376" s="372"/>
      <c r="BD376" s="372"/>
      <c r="BE376" s="282"/>
      <c r="BF376" s="282"/>
      <c r="BG376" s="282"/>
      <c r="BH376" s="283"/>
      <c r="BI376" s="283"/>
      <c r="BJ376" s="283"/>
      <c r="BK376" s="283"/>
      <c r="BL376" s="283"/>
      <c r="BM376" s="283"/>
      <c r="BN376" s="283"/>
      <c r="BO376" s="283"/>
      <c r="BP376" s="283"/>
      <c r="BQ376" s="283"/>
      <c r="BR376" s="283"/>
      <c r="BS376" s="283"/>
      <c r="BT376" s="283"/>
      <c r="BU376" s="283"/>
      <c r="BV376" s="283"/>
      <c r="BW376" s="283"/>
      <c r="BX376" s="283"/>
      <c r="BY376" s="283"/>
      <c r="BZ376" s="283"/>
      <c r="CA376" s="283"/>
      <c r="CB376" s="283"/>
      <c r="CC376" s="283"/>
      <c r="CD376" s="283"/>
      <c r="CE376" s="283"/>
      <c r="CF376" s="283"/>
      <c r="CG376" s="283"/>
      <c r="CH376" s="283"/>
      <c r="CI376" s="283"/>
      <c r="CJ376" s="283"/>
      <c r="CK376" s="283"/>
      <c r="CL376" s="283"/>
    </row>
    <row r="377" spans="1:90" ht="14.25" customHeight="1" x14ac:dyDescent="0.2">
      <c r="A377" s="28"/>
      <c r="B377" s="28"/>
      <c r="C377" s="28"/>
      <c r="D377" s="282"/>
      <c r="E377" s="282"/>
      <c r="F377" s="282"/>
      <c r="G377" s="282"/>
      <c r="H377" s="282"/>
      <c r="I377" s="282"/>
      <c r="J377" s="282"/>
      <c r="K377" s="282"/>
      <c r="L377" s="282"/>
      <c r="M377" s="282"/>
      <c r="N377" s="282"/>
      <c r="O377" s="282"/>
      <c r="P377" s="282"/>
      <c r="Q377" s="282"/>
      <c r="R377" s="282"/>
      <c r="S377" s="282"/>
      <c r="T377" s="3"/>
      <c r="U377" s="282"/>
      <c r="V377" s="282"/>
      <c r="W377" s="282"/>
      <c r="X377" s="282"/>
      <c r="Y377" s="282"/>
      <c r="Z377" s="282"/>
      <c r="AA377" s="282"/>
      <c r="AB377" s="282"/>
      <c r="AC377" s="282"/>
      <c r="AD377" s="282"/>
      <c r="AE377" s="282"/>
      <c r="AF377" s="282"/>
      <c r="AG377" s="282"/>
      <c r="AH377" s="282"/>
      <c r="AI377" s="282"/>
      <c r="AJ377" s="282"/>
      <c r="AK377" s="282"/>
      <c r="AL377" s="282"/>
      <c r="AM377" s="282"/>
      <c r="AN377" s="282"/>
      <c r="AO377" s="282"/>
      <c r="AP377" s="282"/>
      <c r="AQ377" s="282"/>
      <c r="AR377" s="282"/>
      <c r="AS377" s="282"/>
      <c r="AT377" s="282"/>
      <c r="AU377" s="282"/>
      <c r="AV377" s="282"/>
      <c r="AW377" s="282"/>
      <c r="AX377" s="282"/>
      <c r="AY377" s="282"/>
      <c r="AZ377" s="282"/>
      <c r="BA377" s="372"/>
      <c r="BB377" s="372"/>
      <c r="BC377" s="372"/>
      <c r="BD377" s="372"/>
      <c r="BE377" s="282"/>
      <c r="BF377" s="282"/>
      <c r="BG377" s="282"/>
      <c r="BH377" s="283"/>
      <c r="BI377" s="283"/>
      <c r="BJ377" s="283"/>
      <c r="BK377" s="283"/>
      <c r="BL377" s="283"/>
      <c r="BM377" s="283"/>
      <c r="BN377" s="283"/>
      <c r="BO377" s="283"/>
      <c r="BP377" s="283"/>
      <c r="BQ377" s="283"/>
      <c r="BR377" s="283"/>
      <c r="BS377" s="283"/>
      <c r="BT377" s="283"/>
      <c r="BU377" s="283"/>
      <c r="BV377" s="283"/>
      <c r="BW377" s="283"/>
      <c r="BX377" s="283"/>
      <c r="BY377" s="283"/>
      <c r="BZ377" s="283"/>
      <c r="CA377" s="283"/>
      <c r="CB377" s="283"/>
      <c r="CC377" s="283"/>
      <c r="CD377" s="283"/>
      <c r="CE377" s="283"/>
      <c r="CF377" s="283"/>
      <c r="CG377" s="283"/>
      <c r="CH377" s="283"/>
      <c r="CI377" s="283"/>
      <c r="CJ377" s="283"/>
      <c r="CK377" s="283"/>
      <c r="CL377" s="283"/>
    </row>
    <row r="378" spans="1:90" ht="14.25" customHeight="1" x14ac:dyDescent="0.2">
      <c r="A378" s="28"/>
      <c r="B378" s="28"/>
      <c r="C378" s="28"/>
      <c r="D378" s="282"/>
      <c r="E378" s="282"/>
      <c r="F378" s="282"/>
      <c r="G378" s="282"/>
      <c r="H378" s="282"/>
      <c r="I378" s="282"/>
      <c r="J378" s="282"/>
      <c r="K378" s="282"/>
      <c r="L378" s="282"/>
      <c r="M378" s="282"/>
      <c r="N378" s="282"/>
      <c r="O378" s="282"/>
      <c r="P378" s="282"/>
      <c r="Q378" s="282"/>
      <c r="R378" s="282"/>
      <c r="S378" s="282"/>
      <c r="T378" s="3"/>
      <c r="U378" s="282"/>
      <c r="V378" s="282"/>
      <c r="W378" s="282"/>
      <c r="X378" s="282"/>
      <c r="Y378" s="282"/>
      <c r="Z378" s="282"/>
      <c r="AA378" s="282"/>
      <c r="AB378" s="282"/>
      <c r="AC378" s="282"/>
      <c r="AD378" s="282"/>
      <c r="AE378" s="282"/>
      <c r="AF378" s="282"/>
      <c r="AG378" s="282"/>
      <c r="AH378" s="282"/>
      <c r="AI378" s="282"/>
      <c r="AJ378" s="282"/>
      <c r="AK378" s="282"/>
      <c r="AL378" s="282"/>
      <c r="AM378" s="282"/>
      <c r="AN378" s="282"/>
      <c r="AO378" s="282"/>
      <c r="AP378" s="282"/>
      <c r="AQ378" s="282"/>
      <c r="AR378" s="282"/>
      <c r="AS378" s="282"/>
      <c r="AT378" s="282"/>
      <c r="AU378" s="282"/>
      <c r="AV378" s="282"/>
      <c r="AW378" s="282"/>
      <c r="AX378" s="282"/>
      <c r="AY378" s="282"/>
      <c r="AZ378" s="282"/>
      <c r="BA378" s="372"/>
      <c r="BB378" s="372"/>
      <c r="BC378" s="372"/>
      <c r="BD378" s="372"/>
      <c r="BE378" s="282"/>
      <c r="BF378" s="282"/>
      <c r="BG378" s="282"/>
      <c r="BH378" s="283"/>
      <c r="BI378" s="283"/>
      <c r="BJ378" s="283"/>
      <c r="BK378" s="283"/>
      <c r="BL378" s="283"/>
      <c r="BM378" s="283"/>
      <c r="BN378" s="283"/>
      <c r="BO378" s="283"/>
      <c r="BP378" s="283"/>
      <c r="BQ378" s="283"/>
      <c r="BR378" s="283"/>
      <c r="BS378" s="283"/>
      <c r="BT378" s="283"/>
      <c r="BU378" s="283"/>
      <c r="BV378" s="283"/>
      <c r="BW378" s="283"/>
      <c r="BX378" s="283"/>
      <c r="BY378" s="283"/>
      <c r="BZ378" s="283"/>
      <c r="CA378" s="283"/>
      <c r="CB378" s="283"/>
      <c r="CC378" s="283"/>
      <c r="CD378" s="283"/>
      <c r="CE378" s="283"/>
      <c r="CF378" s="283"/>
      <c r="CG378" s="283"/>
      <c r="CH378" s="283"/>
      <c r="CI378" s="283"/>
      <c r="CJ378" s="283"/>
      <c r="CK378" s="283"/>
      <c r="CL378" s="283"/>
    </row>
    <row r="379" spans="1:90" ht="14.25" customHeight="1" x14ac:dyDescent="0.2">
      <c r="A379" s="28"/>
      <c r="B379" s="28"/>
      <c r="C379" s="28"/>
      <c r="D379" s="282"/>
      <c r="E379" s="282"/>
      <c r="F379" s="282"/>
      <c r="G379" s="282"/>
      <c r="H379" s="282"/>
      <c r="I379" s="282"/>
      <c r="J379" s="282"/>
      <c r="K379" s="282"/>
      <c r="L379" s="282"/>
      <c r="M379" s="282"/>
      <c r="N379" s="282"/>
      <c r="O379" s="282"/>
      <c r="P379" s="282"/>
      <c r="Q379" s="282"/>
      <c r="R379" s="282"/>
      <c r="S379" s="282"/>
      <c r="T379" s="3"/>
      <c r="U379" s="282"/>
      <c r="V379" s="282"/>
      <c r="W379" s="282"/>
      <c r="X379" s="282"/>
      <c r="Y379" s="282"/>
      <c r="Z379" s="282"/>
      <c r="AA379" s="282"/>
      <c r="AB379" s="282"/>
      <c r="AC379" s="282"/>
      <c r="AD379" s="282"/>
      <c r="AE379" s="282"/>
      <c r="AF379" s="282"/>
      <c r="AG379" s="282"/>
      <c r="AH379" s="282"/>
      <c r="AI379" s="282"/>
      <c r="AJ379" s="282"/>
      <c r="AK379" s="282"/>
      <c r="AL379" s="282"/>
      <c r="AM379" s="282"/>
      <c r="AN379" s="282"/>
      <c r="AO379" s="282"/>
      <c r="AP379" s="282"/>
      <c r="AQ379" s="282"/>
      <c r="AR379" s="282"/>
      <c r="AS379" s="282"/>
      <c r="AT379" s="282"/>
      <c r="AU379" s="282"/>
      <c r="AV379" s="282"/>
      <c r="AW379" s="282"/>
      <c r="AX379" s="282"/>
      <c r="AY379" s="282"/>
      <c r="AZ379" s="282"/>
      <c r="BA379" s="372"/>
      <c r="BB379" s="372"/>
      <c r="BC379" s="372"/>
      <c r="BD379" s="372"/>
      <c r="BE379" s="282"/>
      <c r="BF379" s="282"/>
      <c r="BG379" s="282"/>
      <c r="BH379" s="283"/>
      <c r="BI379" s="283"/>
      <c r="BJ379" s="283"/>
      <c r="BK379" s="283"/>
      <c r="BL379" s="283"/>
      <c r="BM379" s="283"/>
      <c r="BN379" s="283"/>
      <c r="BO379" s="283"/>
      <c r="BP379" s="283"/>
      <c r="BQ379" s="283"/>
      <c r="BR379" s="283"/>
      <c r="BS379" s="283"/>
      <c r="BT379" s="283"/>
      <c r="BU379" s="283"/>
      <c r="BV379" s="283"/>
      <c r="BW379" s="283"/>
      <c r="BX379" s="283"/>
      <c r="BY379" s="283"/>
      <c r="BZ379" s="283"/>
      <c r="CA379" s="283"/>
      <c r="CB379" s="283"/>
      <c r="CC379" s="283"/>
      <c r="CD379" s="283"/>
      <c r="CE379" s="283"/>
      <c r="CF379" s="283"/>
      <c r="CG379" s="283"/>
      <c r="CH379" s="283"/>
      <c r="CI379" s="283"/>
      <c r="CJ379" s="283"/>
      <c r="CK379" s="283"/>
      <c r="CL379" s="283"/>
    </row>
    <row r="380" spans="1:90" ht="14.25" customHeight="1" x14ac:dyDescent="0.2">
      <c r="A380" s="28"/>
      <c r="B380" s="28"/>
      <c r="C380" s="28"/>
      <c r="D380" s="282"/>
      <c r="E380" s="282"/>
      <c r="F380" s="282"/>
      <c r="G380" s="282"/>
      <c r="H380" s="282"/>
      <c r="I380" s="282"/>
      <c r="J380" s="282"/>
      <c r="K380" s="282"/>
      <c r="L380" s="282"/>
      <c r="M380" s="282"/>
      <c r="N380" s="282"/>
      <c r="O380" s="282"/>
      <c r="P380" s="282"/>
      <c r="Q380" s="282"/>
      <c r="R380" s="282"/>
      <c r="S380" s="282"/>
      <c r="T380" s="3"/>
      <c r="U380" s="282"/>
      <c r="V380" s="282"/>
      <c r="W380" s="282"/>
      <c r="X380" s="282"/>
      <c r="Y380" s="282"/>
      <c r="Z380" s="282"/>
      <c r="AA380" s="282"/>
      <c r="AB380" s="282"/>
      <c r="AC380" s="282"/>
      <c r="AD380" s="282"/>
      <c r="AE380" s="282"/>
      <c r="AF380" s="282"/>
      <c r="AG380" s="282"/>
      <c r="AH380" s="282"/>
      <c r="AI380" s="282"/>
      <c r="AJ380" s="282"/>
      <c r="AK380" s="282"/>
      <c r="AL380" s="282"/>
      <c r="AM380" s="282"/>
      <c r="AN380" s="282"/>
      <c r="AO380" s="282"/>
      <c r="AP380" s="282"/>
      <c r="AQ380" s="282"/>
      <c r="AR380" s="282"/>
      <c r="AS380" s="282"/>
      <c r="AT380" s="282"/>
      <c r="AU380" s="282"/>
      <c r="AV380" s="282"/>
      <c r="AW380" s="282"/>
      <c r="AX380" s="282"/>
      <c r="AY380" s="282"/>
      <c r="AZ380" s="282"/>
      <c r="BA380" s="372"/>
      <c r="BB380" s="372"/>
      <c r="BC380" s="372"/>
      <c r="BD380" s="372"/>
      <c r="BE380" s="282"/>
      <c r="BF380" s="282"/>
      <c r="BG380" s="282"/>
      <c r="BH380" s="283"/>
      <c r="BI380" s="283"/>
      <c r="BJ380" s="283"/>
      <c r="BK380" s="283"/>
      <c r="BL380" s="283"/>
      <c r="BM380" s="283"/>
      <c r="BN380" s="283"/>
      <c r="BO380" s="283"/>
      <c r="BP380" s="283"/>
      <c r="BQ380" s="283"/>
      <c r="BR380" s="283"/>
      <c r="BS380" s="283"/>
      <c r="BT380" s="283"/>
      <c r="BU380" s="283"/>
      <c r="BV380" s="283"/>
      <c r="BW380" s="283"/>
      <c r="BX380" s="283"/>
      <c r="BY380" s="283"/>
      <c r="BZ380" s="283"/>
      <c r="CA380" s="283"/>
      <c r="CB380" s="283"/>
      <c r="CC380" s="283"/>
      <c r="CD380" s="283"/>
      <c r="CE380" s="283"/>
      <c r="CF380" s="283"/>
      <c r="CG380" s="283"/>
      <c r="CH380" s="283"/>
      <c r="CI380" s="283"/>
      <c r="CJ380" s="283"/>
      <c r="CK380" s="283"/>
      <c r="CL380" s="283"/>
    </row>
    <row r="381" spans="1:90" ht="14.25" customHeight="1" x14ac:dyDescent="0.2">
      <c r="A381" s="28"/>
      <c r="B381" s="28"/>
      <c r="C381" s="28"/>
      <c r="D381" s="282"/>
      <c r="E381" s="282"/>
      <c r="F381" s="282"/>
      <c r="G381" s="282"/>
      <c r="H381" s="282"/>
      <c r="I381" s="282"/>
      <c r="J381" s="282"/>
      <c r="K381" s="282"/>
      <c r="L381" s="282"/>
      <c r="M381" s="282"/>
      <c r="N381" s="282"/>
      <c r="O381" s="282"/>
      <c r="P381" s="282"/>
      <c r="Q381" s="282"/>
      <c r="R381" s="282"/>
      <c r="S381" s="282"/>
      <c r="T381" s="3"/>
      <c r="U381" s="282"/>
      <c r="V381" s="282"/>
      <c r="W381" s="282"/>
      <c r="X381" s="282"/>
      <c r="Y381" s="282"/>
      <c r="Z381" s="282"/>
      <c r="AA381" s="282"/>
      <c r="AB381" s="282"/>
      <c r="AC381" s="282"/>
      <c r="AD381" s="282"/>
      <c r="AE381" s="282"/>
      <c r="AF381" s="282"/>
      <c r="AG381" s="282"/>
      <c r="AH381" s="282"/>
      <c r="AI381" s="282"/>
      <c r="AJ381" s="282"/>
      <c r="AK381" s="282"/>
      <c r="AL381" s="282"/>
      <c r="AM381" s="282"/>
      <c r="AN381" s="282"/>
      <c r="AO381" s="282"/>
      <c r="AP381" s="282"/>
      <c r="AQ381" s="282"/>
      <c r="AR381" s="282"/>
      <c r="AS381" s="282"/>
      <c r="AT381" s="282"/>
      <c r="AU381" s="282"/>
      <c r="AV381" s="282"/>
      <c r="AW381" s="282"/>
      <c r="AX381" s="282"/>
      <c r="AY381" s="282"/>
      <c r="AZ381" s="282"/>
      <c r="BA381" s="372"/>
      <c r="BB381" s="372"/>
      <c r="BC381" s="372"/>
      <c r="BD381" s="372"/>
      <c r="BE381" s="282"/>
      <c r="BF381" s="282"/>
      <c r="BG381" s="282"/>
      <c r="BH381" s="283"/>
      <c r="BI381" s="283"/>
      <c r="BJ381" s="283"/>
      <c r="BK381" s="283"/>
      <c r="BL381" s="283"/>
      <c r="BM381" s="283"/>
      <c r="BN381" s="283"/>
      <c r="BO381" s="283"/>
      <c r="BP381" s="283"/>
      <c r="BQ381" s="283"/>
      <c r="BR381" s="283"/>
      <c r="BS381" s="283"/>
      <c r="BT381" s="283"/>
      <c r="BU381" s="283"/>
      <c r="BV381" s="283"/>
      <c r="BW381" s="283"/>
      <c r="BX381" s="283"/>
      <c r="BY381" s="283"/>
      <c r="BZ381" s="283"/>
      <c r="CA381" s="283"/>
      <c r="CB381" s="283"/>
      <c r="CC381" s="283"/>
      <c r="CD381" s="283"/>
      <c r="CE381" s="283"/>
      <c r="CF381" s="283"/>
      <c r="CG381" s="283"/>
      <c r="CH381" s="283"/>
      <c r="CI381" s="283"/>
      <c r="CJ381" s="283"/>
      <c r="CK381" s="283"/>
      <c r="CL381" s="283"/>
    </row>
    <row r="382" spans="1:90" ht="14.25" customHeight="1" x14ac:dyDescent="0.2">
      <c r="A382" s="28"/>
      <c r="B382" s="28"/>
      <c r="C382" s="28"/>
      <c r="D382" s="282"/>
      <c r="E382" s="282"/>
      <c r="F382" s="282"/>
      <c r="G382" s="282"/>
      <c r="H382" s="282"/>
      <c r="I382" s="282"/>
      <c r="J382" s="282"/>
      <c r="K382" s="282"/>
      <c r="L382" s="282"/>
      <c r="M382" s="282"/>
      <c r="N382" s="282"/>
      <c r="O382" s="282"/>
      <c r="P382" s="282"/>
      <c r="Q382" s="282"/>
      <c r="R382" s="282"/>
      <c r="S382" s="282"/>
      <c r="T382" s="3"/>
      <c r="U382" s="282"/>
      <c r="V382" s="282"/>
      <c r="W382" s="282"/>
      <c r="X382" s="282"/>
      <c r="Y382" s="282"/>
      <c r="Z382" s="282"/>
      <c r="AA382" s="282"/>
      <c r="AB382" s="282"/>
      <c r="AC382" s="282"/>
      <c r="AD382" s="282"/>
      <c r="AE382" s="282"/>
      <c r="AF382" s="282"/>
      <c r="AG382" s="282"/>
      <c r="AH382" s="282"/>
      <c r="AI382" s="282"/>
      <c r="AJ382" s="282"/>
      <c r="AK382" s="282"/>
      <c r="AL382" s="282"/>
      <c r="AM382" s="282"/>
      <c r="AN382" s="282"/>
      <c r="AO382" s="282"/>
      <c r="AP382" s="282"/>
      <c r="AQ382" s="282"/>
      <c r="AR382" s="282"/>
      <c r="AS382" s="282"/>
      <c r="AT382" s="282"/>
      <c r="AU382" s="282"/>
      <c r="AV382" s="282"/>
      <c r="AW382" s="282"/>
      <c r="AX382" s="282"/>
      <c r="AY382" s="282"/>
      <c r="AZ382" s="282"/>
      <c r="BA382" s="372"/>
      <c r="BB382" s="372"/>
      <c r="BC382" s="372"/>
      <c r="BD382" s="372"/>
      <c r="BE382" s="282"/>
      <c r="BF382" s="282"/>
      <c r="BG382" s="282"/>
      <c r="BH382" s="283"/>
      <c r="BI382" s="283"/>
      <c r="BJ382" s="283"/>
      <c r="BK382" s="283"/>
      <c r="BL382" s="283"/>
      <c r="BM382" s="283"/>
      <c r="BN382" s="283"/>
      <c r="BO382" s="283"/>
      <c r="BP382" s="283"/>
      <c r="BQ382" s="283"/>
      <c r="BR382" s="283"/>
      <c r="BS382" s="283"/>
      <c r="BT382" s="283"/>
      <c r="BU382" s="283"/>
      <c r="BV382" s="283"/>
      <c r="BW382" s="283"/>
      <c r="BX382" s="283"/>
      <c r="BY382" s="283"/>
      <c r="BZ382" s="283"/>
      <c r="CA382" s="283"/>
      <c r="CB382" s="283"/>
      <c r="CC382" s="283"/>
      <c r="CD382" s="283"/>
      <c r="CE382" s="283"/>
      <c r="CF382" s="283"/>
      <c r="CG382" s="283"/>
      <c r="CH382" s="283"/>
      <c r="CI382" s="283"/>
      <c r="CJ382" s="283"/>
      <c r="CK382" s="283"/>
      <c r="CL382" s="283"/>
    </row>
    <row r="383" spans="1:90" ht="14.25" customHeight="1" x14ac:dyDescent="0.2">
      <c r="A383" s="28"/>
      <c r="B383" s="28"/>
      <c r="C383" s="28"/>
      <c r="D383" s="282"/>
      <c r="E383" s="282"/>
      <c r="F383" s="282"/>
      <c r="G383" s="282"/>
      <c r="H383" s="282"/>
      <c r="I383" s="282"/>
      <c r="J383" s="282"/>
      <c r="K383" s="282"/>
      <c r="L383" s="282"/>
      <c r="M383" s="282"/>
      <c r="N383" s="282"/>
      <c r="O383" s="282"/>
      <c r="P383" s="282"/>
      <c r="Q383" s="282"/>
      <c r="R383" s="282"/>
      <c r="S383" s="282"/>
      <c r="T383" s="3"/>
      <c r="U383" s="282"/>
      <c r="V383" s="282"/>
      <c r="W383" s="282"/>
      <c r="X383" s="282"/>
      <c r="Y383" s="282"/>
      <c r="Z383" s="282"/>
      <c r="AA383" s="282"/>
      <c r="AB383" s="282"/>
      <c r="AC383" s="282"/>
      <c r="AD383" s="282"/>
      <c r="AE383" s="282"/>
      <c r="AF383" s="282"/>
      <c r="AG383" s="282"/>
      <c r="AH383" s="282"/>
      <c r="AI383" s="282"/>
      <c r="AJ383" s="282"/>
      <c r="AK383" s="282"/>
      <c r="AL383" s="282"/>
      <c r="AM383" s="282"/>
      <c r="AN383" s="282"/>
      <c r="AO383" s="282"/>
      <c r="AP383" s="282"/>
      <c r="AQ383" s="282"/>
      <c r="AR383" s="282"/>
      <c r="AS383" s="282"/>
      <c r="AT383" s="282"/>
      <c r="AU383" s="282"/>
      <c r="AV383" s="282"/>
      <c r="AW383" s="282"/>
      <c r="AX383" s="282"/>
      <c r="AY383" s="282"/>
      <c r="AZ383" s="282"/>
      <c r="BA383" s="372"/>
      <c r="BB383" s="372"/>
      <c r="BC383" s="372"/>
      <c r="BD383" s="372"/>
      <c r="BE383" s="282"/>
      <c r="BF383" s="282"/>
      <c r="BG383" s="282"/>
      <c r="BH383" s="283"/>
      <c r="BI383" s="283"/>
      <c r="BJ383" s="283"/>
      <c r="BK383" s="283"/>
      <c r="BL383" s="283"/>
      <c r="BM383" s="283"/>
      <c r="BN383" s="283"/>
      <c r="BO383" s="283"/>
      <c r="BP383" s="283"/>
      <c r="BQ383" s="283"/>
      <c r="BR383" s="283"/>
      <c r="BS383" s="283"/>
      <c r="BT383" s="283"/>
      <c r="BU383" s="283"/>
      <c r="BV383" s="283"/>
      <c r="BW383" s="283"/>
      <c r="BX383" s="283"/>
      <c r="BY383" s="283"/>
      <c r="BZ383" s="283"/>
      <c r="CA383" s="283"/>
      <c r="CB383" s="283"/>
      <c r="CC383" s="283"/>
      <c r="CD383" s="283"/>
      <c r="CE383" s="283"/>
      <c r="CF383" s="283"/>
      <c r="CG383" s="283"/>
      <c r="CH383" s="283"/>
      <c r="CI383" s="283"/>
      <c r="CJ383" s="283"/>
      <c r="CK383" s="283"/>
      <c r="CL383" s="283"/>
    </row>
    <row r="384" spans="1:90" ht="14.25" customHeight="1" x14ac:dyDescent="0.2">
      <c r="A384" s="28"/>
      <c r="B384" s="28"/>
      <c r="C384" s="28"/>
      <c r="D384" s="282"/>
      <c r="E384" s="282"/>
      <c r="F384" s="282"/>
      <c r="G384" s="282"/>
      <c r="H384" s="282"/>
      <c r="I384" s="282"/>
      <c r="J384" s="282"/>
      <c r="K384" s="282"/>
      <c r="L384" s="282"/>
      <c r="M384" s="282"/>
      <c r="N384" s="282"/>
      <c r="O384" s="282"/>
      <c r="P384" s="282"/>
      <c r="Q384" s="282"/>
      <c r="R384" s="282"/>
      <c r="S384" s="282"/>
      <c r="T384" s="3"/>
      <c r="U384" s="282"/>
      <c r="V384" s="282"/>
      <c r="W384" s="282"/>
      <c r="X384" s="282"/>
      <c r="Y384" s="282"/>
      <c r="Z384" s="282"/>
      <c r="AA384" s="282"/>
      <c r="AB384" s="282"/>
      <c r="AC384" s="282"/>
      <c r="AD384" s="282"/>
      <c r="AE384" s="282"/>
      <c r="AF384" s="282"/>
      <c r="AG384" s="282"/>
      <c r="AH384" s="282"/>
      <c r="AI384" s="282"/>
      <c r="AJ384" s="282"/>
      <c r="AK384" s="282"/>
      <c r="AL384" s="282"/>
      <c r="AM384" s="282"/>
      <c r="AN384" s="282"/>
      <c r="AO384" s="282"/>
      <c r="AP384" s="282"/>
      <c r="AQ384" s="282"/>
      <c r="AR384" s="282"/>
      <c r="AS384" s="282"/>
      <c r="AT384" s="282"/>
      <c r="AU384" s="282"/>
      <c r="AV384" s="282"/>
      <c r="AW384" s="282"/>
      <c r="AX384" s="282"/>
      <c r="AY384" s="282"/>
      <c r="AZ384" s="282"/>
      <c r="BA384" s="372"/>
      <c r="BB384" s="372"/>
      <c r="BC384" s="372"/>
      <c r="BD384" s="372"/>
      <c r="BE384" s="282"/>
      <c r="BF384" s="282"/>
      <c r="BG384" s="282"/>
      <c r="BH384" s="283"/>
      <c r="BI384" s="283"/>
      <c r="BJ384" s="283"/>
      <c r="BK384" s="283"/>
      <c r="BL384" s="283"/>
      <c r="BM384" s="283"/>
      <c r="BN384" s="283"/>
      <c r="BO384" s="283"/>
      <c r="BP384" s="283"/>
      <c r="BQ384" s="283"/>
      <c r="BR384" s="283"/>
      <c r="BS384" s="283"/>
      <c r="BT384" s="283"/>
      <c r="BU384" s="283"/>
      <c r="BV384" s="283"/>
      <c r="BW384" s="283"/>
      <c r="BX384" s="283"/>
      <c r="BY384" s="283"/>
      <c r="BZ384" s="283"/>
      <c r="CA384" s="283"/>
      <c r="CB384" s="283"/>
      <c r="CC384" s="283"/>
      <c r="CD384" s="283"/>
      <c r="CE384" s="283"/>
      <c r="CF384" s="283"/>
      <c r="CG384" s="283"/>
      <c r="CH384" s="283"/>
      <c r="CI384" s="283"/>
      <c r="CJ384" s="283"/>
      <c r="CK384" s="283"/>
      <c r="CL384" s="283"/>
    </row>
    <row r="385" spans="1:90" ht="14.25" customHeight="1" x14ac:dyDescent="0.2">
      <c r="A385" s="28"/>
      <c r="B385" s="28"/>
      <c r="C385" s="28"/>
      <c r="D385" s="282"/>
      <c r="E385" s="282"/>
      <c r="F385" s="282"/>
      <c r="G385" s="282"/>
      <c r="H385" s="282"/>
      <c r="I385" s="282"/>
      <c r="J385" s="282"/>
      <c r="K385" s="282"/>
      <c r="L385" s="282"/>
      <c r="M385" s="282"/>
      <c r="N385" s="282"/>
      <c r="O385" s="282"/>
      <c r="P385" s="282"/>
      <c r="Q385" s="282"/>
      <c r="R385" s="282"/>
      <c r="S385" s="282"/>
      <c r="T385" s="3"/>
      <c r="U385" s="282"/>
      <c r="V385" s="282"/>
      <c r="W385" s="282"/>
      <c r="X385" s="282"/>
      <c r="Y385" s="282"/>
      <c r="Z385" s="282"/>
      <c r="AA385" s="282"/>
      <c r="AB385" s="282"/>
      <c r="AC385" s="282"/>
      <c r="AD385" s="282"/>
      <c r="AE385" s="282"/>
      <c r="AF385" s="282"/>
      <c r="AG385" s="282"/>
      <c r="AH385" s="282"/>
      <c r="AI385" s="282"/>
      <c r="AJ385" s="282"/>
      <c r="AK385" s="282"/>
      <c r="AL385" s="282"/>
      <c r="AM385" s="282"/>
      <c r="AN385" s="282"/>
      <c r="AO385" s="282"/>
      <c r="AP385" s="282"/>
      <c r="AQ385" s="282"/>
      <c r="AR385" s="282"/>
      <c r="AS385" s="282"/>
      <c r="AT385" s="282"/>
      <c r="AU385" s="282"/>
      <c r="AV385" s="282"/>
      <c r="AW385" s="282"/>
      <c r="AX385" s="282"/>
      <c r="AY385" s="282"/>
      <c r="AZ385" s="282"/>
      <c r="BA385" s="372"/>
      <c r="BB385" s="372"/>
      <c r="BC385" s="372"/>
      <c r="BD385" s="372"/>
      <c r="BE385" s="282"/>
      <c r="BF385" s="282"/>
      <c r="BG385" s="282"/>
      <c r="BH385" s="283"/>
      <c r="BI385" s="283"/>
      <c r="BJ385" s="283"/>
      <c r="BK385" s="283"/>
      <c r="BL385" s="283"/>
      <c r="BM385" s="283"/>
      <c r="BN385" s="283"/>
      <c r="BO385" s="283"/>
      <c r="BP385" s="283"/>
      <c r="BQ385" s="283"/>
      <c r="BR385" s="283"/>
      <c r="BS385" s="283"/>
      <c r="BT385" s="283"/>
      <c r="BU385" s="283"/>
      <c r="BV385" s="283"/>
      <c r="BW385" s="283"/>
      <c r="BX385" s="283"/>
      <c r="BY385" s="283"/>
      <c r="BZ385" s="283"/>
      <c r="CA385" s="283"/>
      <c r="CB385" s="283"/>
      <c r="CC385" s="283"/>
      <c r="CD385" s="283"/>
      <c r="CE385" s="283"/>
      <c r="CF385" s="283"/>
      <c r="CG385" s="283"/>
      <c r="CH385" s="283"/>
      <c r="CI385" s="283"/>
      <c r="CJ385" s="283"/>
      <c r="CK385" s="283"/>
      <c r="CL385" s="283"/>
    </row>
    <row r="386" spans="1:90" ht="14.25" customHeight="1" x14ac:dyDescent="0.2">
      <c r="A386" s="28"/>
      <c r="B386" s="28"/>
      <c r="C386" s="28"/>
      <c r="D386" s="282"/>
      <c r="E386" s="282"/>
      <c r="F386" s="282"/>
      <c r="G386" s="282"/>
      <c r="H386" s="282"/>
      <c r="I386" s="282"/>
      <c r="J386" s="282"/>
      <c r="K386" s="282"/>
      <c r="L386" s="282"/>
      <c r="M386" s="282"/>
      <c r="N386" s="282"/>
      <c r="O386" s="282"/>
      <c r="P386" s="282"/>
      <c r="Q386" s="282"/>
      <c r="R386" s="282"/>
      <c r="S386" s="282"/>
      <c r="T386" s="3"/>
      <c r="U386" s="282"/>
      <c r="V386" s="282"/>
      <c r="W386" s="282"/>
      <c r="X386" s="282"/>
      <c r="Y386" s="282"/>
      <c r="Z386" s="282"/>
      <c r="AA386" s="282"/>
      <c r="AB386" s="282"/>
      <c r="AC386" s="282"/>
      <c r="AD386" s="282"/>
      <c r="AE386" s="282"/>
      <c r="AF386" s="282"/>
      <c r="AG386" s="282"/>
      <c r="AH386" s="282"/>
      <c r="AI386" s="282"/>
      <c r="AJ386" s="282"/>
      <c r="AK386" s="282"/>
      <c r="AL386" s="282"/>
      <c r="AM386" s="282"/>
      <c r="AN386" s="282"/>
      <c r="AO386" s="282"/>
      <c r="AP386" s="282"/>
      <c r="AQ386" s="282"/>
      <c r="AR386" s="282"/>
      <c r="AS386" s="282"/>
      <c r="AT386" s="282"/>
      <c r="AU386" s="282"/>
      <c r="AV386" s="282"/>
      <c r="AW386" s="282"/>
      <c r="AX386" s="282"/>
      <c r="AY386" s="282"/>
      <c r="AZ386" s="282"/>
      <c r="BA386" s="372"/>
      <c r="BB386" s="372"/>
      <c r="BC386" s="372"/>
      <c r="BD386" s="372"/>
      <c r="BE386" s="282"/>
      <c r="BF386" s="282"/>
      <c r="BG386" s="282"/>
      <c r="BH386" s="283"/>
      <c r="BI386" s="283"/>
      <c r="BJ386" s="283"/>
      <c r="BK386" s="283"/>
      <c r="BL386" s="283"/>
      <c r="BM386" s="283"/>
      <c r="BN386" s="283"/>
      <c r="BO386" s="283"/>
      <c r="BP386" s="283"/>
      <c r="BQ386" s="283"/>
      <c r="BR386" s="283"/>
      <c r="BS386" s="283"/>
      <c r="BT386" s="283"/>
      <c r="BU386" s="283"/>
      <c r="BV386" s="283"/>
      <c r="BW386" s="283"/>
      <c r="BX386" s="283"/>
      <c r="BY386" s="283"/>
      <c r="BZ386" s="283"/>
      <c r="CA386" s="283"/>
      <c r="CB386" s="283"/>
      <c r="CC386" s="283"/>
      <c r="CD386" s="283"/>
      <c r="CE386" s="283"/>
      <c r="CF386" s="283"/>
      <c r="CG386" s="283"/>
      <c r="CH386" s="283"/>
      <c r="CI386" s="283"/>
      <c r="CJ386" s="283"/>
      <c r="CK386" s="283"/>
      <c r="CL386" s="283"/>
    </row>
    <row r="387" spans="1:90" ht="14.25" customHeight="1" x14ac:dyDescent="0.2">
      <c r="A387" s="28"/>
      <c r="B387" s="28"/>
      <c r="C387" s="28"/>
      <c r="D387" s="282"/>
      <c r="E387" s="282"/>
      <c r="F387" s="282"/>
      <c r="G387" s="282"/>
      <c r="H387" s="282"/>
      <c r="I387" s="282"/>
      <c r="J387" s="282"/>
      <c r="K387" s="282"/>
      <c r="L387" s="282"/>
      <c r="M387" s="282"/>
      <c r="N387" s="282"/>
      <c r="O387" s="282"/>
      <c r="P387" s="282"/>
      <c r="Q387" s="282"/>
      <c r="R387" s="282"/>
      <c r="S387" s="282"/>
      <c r="T387" s="3"/>
      <c r="U387" s="282"/>
      <c r="V387" s="282"/>
      <c r="W387" s="282"/>
      <c r="X387" s="282"/>
      <c r="Y387" s="282"/>
      <c r="Z387" s="282"/>
      <c r="AA387" s="282"/>
      <c r="AB387" s="282"/>
      <c r="AC387" s="282"/>
      <c r="AD387" s="282"/>
      <c r="AE387" s="282"/>
      <c r="AF387" s="282"/>
      <c r="AG387" s="282"/>
      <c r="AH387" s="282"/>
      <c r="AI387" s="282"/>
      <c r="AJ387" s="282"/>
      <c r="AK387" s="282"/>
      <c r="AL387" s="282"/>
      <c r="AM387" s="282"/>
      <c r="AN387" s="282"/>
      <c r="AO387" s="282"/>
      <c r="AP387" s="282"/>
      <c r="AQ387" s="282"/>
      <c r="AR387" s="282"/>
      <c r="AS387" s="282"/>
      <c r="AT387" s="282"/>
      <c r="AU387" s="282"/>
      <c r="AV387" s="282"/>
      <c r="AW387" s="282"/>
      <c r="AX387" s="282"/>
      <c r="AY387" s="282"/>
      <c r="AZ387" s="282"/>
      <c r="BA387" s="372"/>
      <c r="BB387" s="372"/>
      <c r="BC387" s="372"/>
      <c r="BD387" s="372"/>
      <c r="BE387" s="282"/>
      <c r="BF387" s="282"/>
      <c r="BG387" s="282"/>
      <c r="BH387" s="283"/>
      <c r="BI387" s="283"/>
      <c r="BJ387" s="283"/>
      <c r="BK387" s="283"/>
      <c r="BL387" s="283"/>
      <c r="BM387" s="283"/>
      <c r="BN387" s="283"/>
      <c r="BO387" s="283"/>
      <c r="BP387" s="283"/>
      <c r="BQ387" s="283"/>
      <c r="BR387" s="283"/>
      <c r="BS387" s="283"/>
      <c r="BT387" s="283"/>
      <c r="BU387" s="283"/>
      <c r="BV387" s="283"/>
      <c r="BW387" s="283"/>
      <c r="BX387" s="283"/>
      <c r="BY387" s="283"/>
      <c r="BZ387" s="283"/>
      <c r="CA387" s="283"/>
      <c r="CB387" s="283"/>
      <c r="CC387" s="283"/>
      <c r="CD387" s="283"/>
      <c r="CE387" s="283"/>
      <c r="CF387" s="283"/>
      <c r="CG387" s="283"/>
      <c r="CH387" s="283"/>
      <c r="CI387" s="283"/>
      <c r="CJ387" s="283"/>
      <c r="CK387" s="283"/>
      <c r="CL387" s="283"/>
    </row>
    <row r="388" spans="1:90" ht="14.25" customHeight="1" x14ac:dyDescent="0.2">
      <c r="A388" s="28"/>
      <c r="B388" s="28"/>
      <c r="C388" s="28"/>
      <c r="D388" s="282"/>
      <c r="E388" s="282"/>
      <c r="F388" s="282"/>
      <c r="G388" s="282"/>
      <c r="H388" s="282"/>
      <c r="I388" s="282"/>
      <c r="J388" s="282"/>
      <c r="K388" s="282"/>
      <c r="L388" s="282"/>
      <c r="M388" s="282"/>
      <c r="N388" s="282"/>
      <c r="O388" s="282"/>
      <c r="P388" s="282"/>
      <c r="Q388" s="282"/>
      <c r="R388" s="282"/>
      <c r="S388" s="282"/>
      <c r="T388" s="3"/>
      <c r="U388" s="282"/>
      <c r="V388" s="282"/>
      <c r="W388" s="282"/>
      <c r="X388" s="282"/>
      <c r="Y388" s="282"/>
      <c r="Z388" s="282"/>
      <c r="AA388" s="282"/>
      <c r="AB388" s="282"/>
      <c r="AC388" s="282"/>
      <c r="AD388" s="282"/>
      <c r="AE388" s="282"/>
      <c r="AF388" s="282"/>
      <c r="AG388" s="282"/>
      <c r="AH388" s="282"/>
      <c r="AI388" s="282"/>
      <c r="AJ388" s="282"/>
      <c r="AK388" s="282"/>
      <c r="AL388" s="282"/>
      <c r="AM388" s="282"/>
      <c r="AN388" s="282"/>
      <c r="AO388" s="282"/>
      <c r="AP388" s="282"/>
      <c r="AQ388" s="282"/>
      <c r="AR388" s="282"/>
      <c r="AS388" s="282"/>
      <c r="AT388" s="282"/>
      <c r="AU388" s="282"/>
      <c r="AV388" s="282"/>
      <c r="AW388" s="282"/>
      <c r="AX388" s="282"/>
      <c r="AY388" s="282"/>
      <c r="AZ388" s="282"/>
      <c r="BA388" s="372"/>
      <c r="BB388" s="372"/>
      <c r="BC388" s="372"/>
      <c r="BD388" s="372"/>
      <c r="BE388" s="282"/>
      <c r="BF388" s="282"/>
      <c r="BG388" s="282"/>
      <c r="BH388" s="283"/>
      <c r="BI388" s="283"/>
      <c r="BJ388" s="283"/>
      <c r="BK388" s="283"/>
      <c r="BL388" s="283"/>
      <c r="BM388" s="283"/>
      <c r="BN388" s="283"/>
      <c r="BO388" s="283"/>
      <c r="BP388" s="283"/>
      <c r="BQ388" s="283"/>
      <c r="BR388" s="283"/>
      <c r="BS388" s="283"/>
      <c r="BT388" s="283"/>
      <c r="BU388" s="283"/>
      <c r="BV388" s="283"/>
      <c r="BW388" s="283"/>
      <c r="BX388" s="283"/>
      <c r="BY388" s="283"/>
      <c r="BZ388" s="283"/>
      <c r="CA388" s="283"/>
      <c r="CB388" s="283"/>
      <c r="CC388" s="283"/>
      <c r="CD388" s="283"/>
      <c r="CE388" s="283"/>
      <c r="CF388" s="283"/>
      <c r="CG388" s="283"/>
      <c r="CH388" s="283"/>
      <c r="CI388" s="283"/>
      <c r="CJ388" s="283"/>
      <c r="CK388" s="283"/>
      <c r="CL388" s="283"/>
    </row>
    <row r="389" spans="1:90" ht="14.25" customHeight="1" x14ac:dyDescent="0.2">
      <c r="A389" s="28"/>
      <c r="B389" s="28"/>
      <c r="C389" s="28"/>
      <c r="D389" s="282"/>
      <c r="E389" s="282"/>
      <c r="F389" s="282"/>
      <c r="G389" s="282"/>
      <c r="H389" s="282"/>
      <c r="I389" s="282"/>
      <c r="J389" s="282"/>
      <c r="K389" s="282"/>
      <c r="L389" s="282"/>
      <c r="M389" s="282"/>
      <c r="N389" s="282"/>
      <c r="O389" s="282"/>
      <c r="P389" s="282"/>
      <c r="Q389" s="282"/>
      <c r="R389" s="282"/>
      <c r="S389" s="282"/>
      <c r="T389" s="3"/>
      <c r="U389" s="282"/>
      <c r="V389" s="282"/>
      <c r="W389" s="282"/>
      <c r="X389" s="282"/>
      <c r="Y389" s="282"/>
      <c r="Z389" s="282"/>
      <c r="AA389" s="282"/>
      <c r="AB389" s="282"/>
      <c r="AC389" s="282"/>
      <c r="AD389" s="282"/>
      <c r="AE389" s="282"/>
      <c r="AF389" s="282"/>
      <c r="AG389" s="282"/>
      <c r="AH389" s="282"/>
      <c r="AI389" s="282"/>
      <c r="AJ389" s="282"/>
      <c r="AK389" s="282"/>
      <c r="AL389" s="282"/>
      <c r="AM389" s="282"/>
      <c r="AN389" s="282"/>
      <c r="AO389" s="282"/>
      <c r="AP389" s="282"/>
      <c r="AQ389" s="282"/>
      <c r="AR389" s="282"/>
      <c r="AS389" s="282"/>
      <c r="AT389" s="282"/>
      <c r="AU389" s="282"/>
      <c r="AV389" s="282"/>
      <c r="AW389" s="282"/>
      <c r="AX389" s="282"/>
      <c r="AY389" s="282"/>
      <c r="AZ389" s="282"/>
      <c r="BA389" s="372"/>
      <c r="BB389" s="372"/>
      <c r="BC389" s="372"/>
      <c r="BD389" s="372"/>
      <c r="BE389" s="282"/>
      <c r="BF389" s="282"/>
      <c r="BG389" s="282"/>
      <c r="BH389" s="283"/>
      <c r="BI389" s="283"/>
      <c r="BJ389" s="283"/>
      <c r="BK389" s="283"/>
      <c r="BL389" s="283"/>
      <c r="BM389" s="283"/>
      <c r="BN389" s="283"/>
      <c r="BO389" s="283"/>
      <c r="BP389" s="283"/>
      <c r="BQ389" s="283"/>
      <c r="BR389" s="283"/>
      <c r="BS389" s="283"/>
      <c r="BT389" s="283"/>
      <c r="BU389" s="283"/>
      <c r="BV389" s="283"/>
      <c r="BW389" s="283"/>
      <c r="BX389" s="283"/>
      <c r="BY389" s="283"/>
      <c r="BZ389" s="283"/>
      <c r="CA389" s="283"/>
      <c r="CB389" s="283"/>
      <c r="CC389" s="283"/>
      <c r="CD389" s="283"/>
      <c r="CE389" s="283"/>
      <c r="CF389" s="283"/>
      <c r="CG389" s="283"/>
      <c r="CH389" s="283"/>
      <c r="CI389" s="283"/>
      <c r="CJ389" s="283"/>
      <c r="CK389" s="283"/>
      <c r="CL389" s="283"/>
    </row>
    <row r="390" spans="1:90" ht="14.25" customHeight="1" x14ac:dyDescent="0.2">
      <c r="A390" s="28"/>
      <c r="B390" s="28"/>
      <c r="C390" s="28"/>
      <c r="D390" s="282"/>
      <c r="E390" s="282"/>
      <c r="F390" s="282"/>
      <c r="G390" s="282"/>
      <c r="H390" s="282"/>
      <c r="I390" s="282"/>
      <c r="J390" s="282"/>
      <c r="K390" s="282"/>
      <c r="L390" s="282"/>
      <c r="M390" s="282"/>
      <c r="N390" s="282"/>
      <c r="O390" s="282"/>
      <c r="P390" s="282"/>
      <c r="Q390" s="282"/>
      <c r="R390" s="282"/>
      <c r="S390" s="282"/>
      <c r="T390" s="3"/>
      <c r="U390" s="282"/>
      <c r="V390" s="282"/>
      <c r="W390" s="282"/>
      <c r="X390" s="282"/>
      <c r="Y390" s="282"/>
      <c r="Z390" s="282"/>
      <c r="AA390" s="282"/>
      <c r="AB390" s="282"/>
      <c r="AC390" s="282"/>
      <c r="AD390" s="282"/>
      <c r="AE390" s="282"/>
      <c r="AF390" s="282"/>
      <c r="AG390" s="282"/>
      <c r="AH390" s="282"/>
      <c r="AI390" s="282"/>
      <c r="AJ390" s="282"/>
      <c r="AK390" s="282"/>
      <c r="AL390" s="282"/>
      <c r="AM390" s="282"/>
      <c r="AN390" s="282"/>
      <c r="AO390" s="282"/>
      <c r="AP390" s="282"/>
      <c r="AQ390" s="282"/>
      <c r="AR390" s="282"/>
      <c r="AS390" s="282"/>
      <c r="AT390" s="282"/>
      <c r="AU390" s="282"/>
      <c r="AV390" s="282"/>
      <c r="AW390" s="282"/>
      <c r="AX390" s="282"/>
      <c r="AY390" s="282"/>
      <c r="AZ390" s="282"/>
      <c r="BA390" s="372"/>
      <c r="BB390" s="372"/>
      <c r="BC390" s="372"/>
      <c r="BD390" s="372"/>
      <c r="BE390" s="282"/>
      <c r="BF390" s="282"/>
      <c r="BG390" s="282"/>
      <c r="BH390" s="283"/>
      <c r="BI390" s="283"/>
      <c r="BJ390" s="283"/>
      <c r="BK390" s="283"/>
      <c r="BL390" s="283"/>
      <c r="BM390" s="283"/>
      <c r="BN390" s="283"/>
      <c r="BO390" s="283"/>
      <c r="BP390" s="283"/>
      <c r="BQ390" s="283"/>
      <c r="BR390" s="283"/>
      <c r="BS390" s="283"/>
      <c r="BT390" s="283"/>
      <c r="BU390" s="283"/>
      <c r="BV390" s="283"/>
      <c r="BW390" s="283"/>
      <c r="BX390" s="283"/>
      <c r="BY390" s="283"/>
      <c r="BZ390" s="283"/>
      <c r="CA390" s="283"/>
      <c r="CB390" s="283"/>
      <c r="CC390" s="283"/>
      <c r="CD390" s="283"/>
      <c r="CE390" s="283"/>
      <c r="CF390" s="283"/>
      <c r="CG390" s="283"/>
      <c r="CH390" s="283"/>
      <c r="CI390" s="283"/>
      <c r="CJ390" s="283"/>
      <c r="CK390" s="283"/>
      <c r="CL390" s="283"/>
    </row>
    <row r="391" spans="1:90" ht="14.25" customHeight="1" x14ac:dyDescent="0.2">
      <c r="A391" s="28"/>
      <c r="B391" s="28"/>
      <c r="C391" s="28"/>
      <c r="D391" s="282"/>
      <c r="E391" s="282"/>
      <c r="F391" s="282"/>
      <c r="G391" s="282"/>
      <c r="H391" s="282"/>
      <c r="I391" s="282"/>
      <c r="J391" s="282"/>
      <c r="K391" s="282"/>
      <c r="L391" s="282"/>
      <c r="M391" s="282"/>
      <c r="N391" s="282"/>
      <c r="O391" s="282"/>
      <c r="P391" s="282"/>
      <c r="Q391" s="282"/>
      <c r="R391" s="282"/>
      <c r="S391" s="282"/>
      <c r="T391" s="3"/>
      <c r="U391" s="282"/>
      <c r="V391" s="282"/>
      <c r="W391" s="282"/>
      <c r="X391" s="282"/>
      <c r="Y391" s="282"/>
      <c r="Z391" s="282"/>
      <c r="AA391" s="282"/>
      <c r="AB391" s="282"/>
      <c r="AC391" s="282"/>
      <c r="AD391" s="282"/>
      <c r="AE391" s="282"/>
      <c r="AF391" s="282"/>
      <c r="AG391" s="282"/>
      <c r="AH391" s="282"/>
      <c r="AI391" s="282"/>
      <c r="AJ391" s="282"/>
      <c r="AK391" s="282"/>
      <c r="AL391" s="282"/>
      <c r="AM391" s="282"/>
      <c r="AN391" s="282"/>
      <c r="AO391" s="282"/>
      <c r="AP391" s="282"/>
      <c r="AQ391" s="282"/>
      <c r="AR391" s="282"/>
      <c r="AS391" s="282"/>
      <c r="AT391" s="282"/>
      <c r="AU391" s="282"/>
      <c r="AV391" s="282"/>
      <c r="AW391" s="282"/>
      <c r="AX391" s="282"/>
      <c r="AY391" s="282"/>
      <c r="AZ391" s="282"/>
      <c r="BA391" s="372"/>
      <c r="BB391" s="372"/>
      <c r="BC391" s="372"/>
      <c r="BD391" s="372"/>
      <c r="BE391" s="282"/>
      <c r="BF391" s="282"/>
      <c r="BG391" s="282"/>
      <c r="BH391" s="283"/>
      <c r="BI391" s="283"/>
      <c r="BJ391" s="283"/>
      <c r="BK391" s="283"/>
      <c r="BL391" s="283"/>
      <c r="BM391" s="283"/>
      <c r="BN391" s="283"/>
      <c r="BO391" s="283"/>
      <c r="BP391" s="283"/>
      <c r="BQ391" s="283"/>
      <c r="BR391" s="283"/>
      <c r="BS391" s="283"/>
      <c r="BT391" s="283"/>
      <c r="BU391" s="283"/>
      <c r="BV391" s="283"/>
      <c r="BW391" s="283"/>
      <c r="BX391" s="283"/>
      <c r="BY391" s="283"/>
      <c r="BZ391" s="283"/>
      <c r="CA391" s="283"/>
      <c r="CB391" s="283"/>
      <c r="CC391" s="283"/>
      <c r="CD391" s="283"/>
      <c r="CE391" s="283"/>
      <c r="CF391" s="283"/>
      <c r="CG391" s="283"/>
      <c r="CH391" s="283"/>
      <c r="CI391" s="283"/>
      <c r="CJ391" s="283"/>
      <c r="CK391" s="283"/>
      <c r="CL391" s="283"/>
    </row>
    <row r="392" spans="1:90" ht="14.25" customHeight="1" x14ac:dyDescent="0.2">
      <c r="A392" s="28"/>
      <c r="B392" s="28"/>
      <c r="C392" s="28"/>
      <c r="D392" s="282"/>
      <c r="E392" s="282"/>
      <c r="F392" s="282"/>
      <c r="G392" s="282"/>
      <c r="H392" s="282"/>
      <c r="I392" s="282"/>
      <c r="J392" s="282"/>
      <c r="K392" s="282"/>
      <c r="L392" s="282"/>
      <c r="M392" s="282"/>
      <c r="N392" s="282"/>
      <c r="O392" s="282"/>
      <c r="P392" s="282"/>
      <c r="Q392" s="282"/>
      <c r="R392" s="282"/>
      <c r="S392" s="282"/>
      <c r="T392" s="3"/>
      <c r="U392" s="282"/>
      <c r="V392" s="282"/>
      <c r="W392" s="282"/>
      <c r="X392" s="282"/>
      <c r="Y392" s="282"/>
      <c r="Z392" s="282"/>
      <c r="AA392" s="282"/>
      <c r="AB392" s="282"/>
      <c r="AC392" s="282"/>
      <c r="AD392" s="282"/>
      <c r="AE392" s="282"/>
      <c r="AF392" s="282"/>
      <c r="AG392" s="282"/>
      <c r="AH392" s="282"/>
      <c r="AI392" s="282"/>
      <c r="AJ392" s="282"/>
      <c r="AK392" s="282"/>
      <c r="AL392" s="282"/>
      <c r="AM392" s="282"/>
      <c r="AN392" s="282"/>
      <c r="AO392" s="282"/>
      <c r="AP392" s="282"/>
      <c r="AQ392" s="282"/>
      <c r="AR392" s="282"/>
      <c r="AS392" s="282"/>
      <c r="AT392" s="282"/>
      <c r="AU392" s="282"/>
      <c r="AV392" s="282"/>
      <c r="AW392" s="282"/>
      <c r="AX392" s="282"/>
      <c r="AY392" s="282"/>
      <c r="AZ392" s="282"/>
      <c r="BA392" s="372"/>
      <c r="BB392" s="372"/>
      <c r="BC392" s="372"/>
      <c r="BD392" s="372"/>
      <c r="BE392" s="282"/>
      <c r="BF392" s="282"/>
      <c r="BG392" s="282"/>
      <c r="BH392" s="283"/>
      <c r="BI392" s="282"/>
      <c r="BJ392" s="283"/>
      <c r="BK392" s="283"/>
      <c r="BL392" s="283"/>
      <c r="BM392" s="282"/>
      <c r="BN392" s="283"/>
      <c r="BO392" s="283"/>
      <c r="BP392" s="283"/>
      <c r="BQ392" s="283"/>
      <c r="BR392" s="283"/>
      <c r="BS392" s="283"/>
      <c r="BT392" s="283"/>
      <c r="BU392" s="283"/>
      <c r="BV392" s="283"/>
      <c r="BW392" s="283"/>
      <c r="BX392" s="283"/>
      <c r="BY392" s="283"/>
      <c r="BZ392" s="283"/>
      <c r="CA392" s="283"/>
      <c r="CB392" s="283"/>
      <c r="CC392" s="283"/>
      <c r="CD392" s="283"/>
      <c r="CE392" s="283"/>
      <c r="CF392" s="283"/>
      <c r="CG392" s="283"/>
      <c r="CH392" s="283"/>
      <c r="CI392" s="283"/>
      <c r="CJ392" s="283"/>
      <c r="CK392" s="283"/>
      <c r="CL392" s="283"/>
    </row>
    <row r="393" spans="1:90" ht="14.25" customHeight="1" x14ac:dyDescent="0.2">
      <c r="A393" s="28"/>
      <c r="B393" s="28"/>
      <c r="C393" s="28"/>
      <c r="D393" s="282"/>
      <c r="E393" s="282"/>
      <c r="F393" s="282"/>
      <c r="G393" s="282"/>
      <c r="H393" s="282"/>
      <c r="I393" s="282"/>
      <c r="J393" s="282"/>
      <c r="K393" s="282"/>
      <c r="L393" s="282"/>
      <c r="M393" s="282"/>
      <c r="N393" s="282"/>
      <c r="O393" s="282"/>
      <c r="P393" s="282"/>
      <c r="Q393" s="282"/>
      <c r="R393" s="282"/>
      <c r="S393" s="282"/>
      <c r="T393" s="3"/>
      <c r="U393" s="282"/>
      <c r="V393" s="282"/>
      <c r="W393" s="282"/>
      <c r="X393" s="282"/>
      <c r="Y393" s="282"/>
      <c r="Z393" s="282"/>
      <c r="AA393" s="282"/>
      <c r="AB393" s="282"/>
      <c r="AC393" s="282"/>
      <c r="AD393" s="282"/>
      <c r="AE393" s="282"/>
      <c r="AF393" s="282"/>
      <c r="AG393" s="282"/>
      <c r="AH393" s="282"/>
      <c r="AI393" s="282"/>
      <c r="AJ393" s="282"/>
      <c r="AK393" s="282"/>
      <c r="AL393" s="282"/>
      <c r="AM393" s="282"/>
      <c r="AN393" s="282"/>
      <c r="AO393" s="282"/>
      <c r="AP393" s="282"/>
      <c r="AQ393" s="282"/>
      <c r="AR393" s="282"/>
      <c r="AS393" s="282"/>
      <c r="AT393" s="282"/>
      <c r="AU393" s="282"/>
      <c r="AV393" s="282"/>
      <c r="AW393" s="282"/>
      <c r="AX393" s="282"/>
      <c r="AY393" s="282"/>
      <c r="AZ393" s="282"/>
      <c r="BA393" s="372"/>
      <c r="BB393" s="372"/>
      <c r="BC393" s="372"/>
      <c r="BD393" s="372"/>
      <c r="BE393" s="282"/>
      <c r="BF393" s="282"/>
      <c r="BG393" s="282"/>
      <c r="BH393" s="283"/>
      <c r="BI393" s="282"/>
      <c r="BJ393" s="283"/>
      <c r="BK393" s="283"/>
      <c r="BL393" s="283"/>
      <c r="BM393" s="282"/>
      <c r="BN393" s="283"/>
      <c r="BO393" s="283"/>
      <c r="BP393" s="283"/>
      <c r="BQ393" s="283"/>
      <c r="BR393" s="283"/>
      <c r="BS393" s="283"/>
      <c r="BT393" s="283"/>
      <c r="BU393" s="283"/>
      <c r="BV393" s="283"/>
      <c r="BW393" s="283"/>
      <c r="BX393" s="283"/>
      <c r="BY393" s="283"/>
      <c r="BZ393" s="283"/>
      <c r="CA393" s="283"/>
      <c r="CB393" s="283"/>
      <c r="CC393" s="283"/>
      <c r="CD393" s="283"/>
      <c r="CE393" s="283"/>
      <c r="CF393" s="283"/>
      <c r="CG393" s="283"/>
      <c r="CH393" s="283"/>
      <c r="CI393" s="283"/>
      <c r="CJ393" s="283"/>
      <c r="CK393" s="283"/>
      <c r="CL393" s="283"/>
    </row>
    <row r="394" spans="1:90" ht="14.25" customHeight="1" x14ac:dyDescent="0.2">
      <c r="A394" s="28"/>
      <c r="B394" s="28"/>
      <c r="C394" s="28"/>
      <c r="D394" s="282"/>
      <c r="E394" s="282"/>
      <c r="F394" s="282"/>
      <c r="G394" s="282"/>
      <c r="H394" s="282"/>
      <c r="I394" s="282"/>
      <c r="J394" s="282"/>
      <c r="K394" s="282"/>
      <c r="L394" s="282"/>
      <c r="M394" s="282"/>
      <c r="N394" s="282"/>
      <c r="O394" s="282"/>
      <c r="P394" s="282"/>
      <c r="Q394" s="282"/>
      <c r="R394" s="282"/>
      <c r="S394" s="282"/>
      <c r="T394" s="3"/>
      <c r="U394" s="282"/>
      <c r="V394" s="282"/>
      <c r="W394" s="282"/>
      <c r="X394" s="282"/>
      <c r="Y394" s="282"/>
      <c r="Z394" s="282"/>
      <c r="AA394" s="282"/>
      <c r="AB394" s="282"/>
      <c r="AC394" s="282"/>
      <c r="AD394" s="282"/>
      <c r="AE394" s="282"/>
      <c r="AF394" s="282"/>
      <c r="AG394" s="282"/>
      <c r="AH394" s="282"/>
      <c r="AI394" s="282"/>
      <c r="AJ394" s="282"/>
      <c r="AK394" s="282"/>
      <c r="AL394" s="282"/>
      <c r="AM394" s="282"/>
      <c r="AN394" s="282"/>
      <c r="AO394" s="282"/>
      <c r="AP394" s="282"/>
      <c r="AQ394" s="282"/>
      <c r="AR394" s="282"/>
      <c r="AS394" s="282"/>
      <c r="AT394" s="282"/>
      <c r="AU394" s="282"/>
      <c r="AV394" s="282"/>
      <c r="AW394" s="282"/>
      <c r="AX394" s="282"/>
      <c r="AY394" s="282"/>
      <c r="AZ394" s="282"/>
      <c r="BA394" s="372"/>
      <c r="BB394" s="372"/>
      <c r="BC394" s="372"/>
      <c r="BD394" s="372"/>
      <c r="BE394" s="282"/>
      <c r="BF394" s="282"/>
      <c r="BG394" s="282"/>
      <c r="BH394" s="283"/>
      <c r="BI394" s="282"/>
      <c r="BJ394" s="283"/>
      <c r="BK394" s="283"/>
      <c r="BL394" s="283"/>
      <c r="BM394" s="282"/>
      <c r="BN394" s="283"/>
      <c r="BO394" s="283"/>
      <c r="BP394" s="283"/>
      <c r="BQ394" s="283"/>
      <c r="BR394" s="283"/>
      <c r="BS394" s="283"/>
      <c r="BT394" s="283"/>
      <c r="BU394" s="283"/>
      <c r="BV394" s="283"/>
      <c r="BW394" s="283"/>
      <c r="BX394" s="283"/>
      <c r="BY394" s="283"/>
      <c r="BZ394" s="283"/>
      <c r="CA394" s="283"/>
      <c r="CB394" s="283"/>
      <c r="CC394" s="283"/>
      <c r="CD394" s="283"/>
      <c r="CE394" s="283"/>
      <c r="CF394" s="283"/>
      <c r="CG394" s="283"/>
      <c r="CH394" s="283"/>
      <c r="CI394" s="283"/>
      <c r="CJ394" s="283"/>
      <c r="CK394" s="283"/>
      <c r="CL394" s="283"/>
    </row>
    <row r="395" spans="1:90" ht="14.25" customHeight="1" x14ac:dyDescent="0.2">
      <c r="A395" s="28"/>
      <c r="B395" s="28"/>
      <c r="C395" s="28"/>
      <c r="D395" s="282"/>
      <c r="E395" s="282"/>
      <c r="F395" s="282"/>
      <c r="G395" s="282"/>
      <c r="H395" s="282"/>
      <c r="I395" s="282"/>
      <c r="J395" s="282"/>
      <c r="K395" s="282"/>
      <c r="L395" s="282"/>
      <c r="M395" s="282"/>
      <c r="N395" s="282"/>
      <c r="O395" s="282"/>
      <c r="P395" s="282"/>
      <c r="Q395" s="282"/>
      <c r="R395" s="282"/>
      <c r="S395" s="282"/>
      <c r="T395" s="3"/>
      <c r="U395" s="282"/>
      <c r="V395" s="282"/>
      <c r="W395" s="282"/>
      <c r="X395" s="282"/>
      <c r="Y395" s="282"/>
      <c r="Z395" s="282"/>
      <c r="AA395" s="282"/>
      <c r="AB395" s="282"/>
      <c r="AC395" s="282"/>
      <c r="AD395" s="282"/>
      <c r="AE395" s="282"/>
      <c r="AF395" s="282"/>
      <c r="AG395" s="282"/>
      <c r="AH395" s="282"/>
      <c r="AI395" s="282"/>
      <c r="AJ395" s="282"/>
      <c r="AK395" s="282"/>
      <c r="AL395" s="282"/>
      <c r="AM395" s="282"/>
      <c r="AN395" s="282"/>
      <c r="AO395" s="282"/>
      <c r="AP395" s="282"/>
      <c r="AQ395" s="282"/>
      <c r="AR395" s="282"/>
      <c r="AS395" s="282"/>
      <c r="AT395" s="282"/>
      <c r="AU395" s="282"/>
      <c r="AV395" s="282"/>
      <c r="AW395" s="282"/>
      <c r="AX395" s="282"/>
      <c r="AY395" s="282"/>
      <c r="AZ395" s="282"/>
      <c r="BA395" s="372"/>
      <c r="BB395" s="372"/>
      <c r="BC395" s="372"/>
      <c r="BD395" s="372"/>
      <c r="BE395" s="282"/>
      <c r="BF395" s="282"/>
      <c r="BG395" s="282"/>
      <c r="BH395" s="283"/>
      <c r="BI395" s="282"/>
      <c r="BJ395" s="283"/>
      <c r="BK395" s="283"/>
      <c r="BL395" s="283"/>
      <c r="BM395" s="282"/>
      <c r="BN395" s="283"/>
      <c r="BO395" s="283"/>
      <c r="BP395" s="283"/>
      <c r="BQ395" s="283"/>
      <c r="BR395" s="283"/>
      <c r="BS395" s="283"/>
      <c r="BT395" s="283"/>
      <c r="BU395" s="283"/>
      <c r="BV395" s="283"/>
      <c r="BW395" s="283"/>
      <c r="BX395" s="283"/>
      <c r="BY395" s="283"/>
      <c r="BZ395" s="283"/>
      <c r="CA395" s="283"/>
      <c r="CB395" s="283"/>
      <c r="CC395" s="283"/>
      <c r="CD395" s="283"/>
      <c r="CE395" s="283"/>
      <c r="CF395" s="283"/>
      <c r="CG395" s="283"/>
      <c r="CH395" s="283"/>
      <c r="CI395" s="283"/>
      <c r="CJ395" s="283"/>
      <c r="CK395" s="283"/>
      <c r="CL395" s="283"/>
    </row>
    <row r="396" spans="1:90" ht="14.25" customHeight="1" x14ac:dyDescent="0.2">
      <c r="A396" s="28"/>
      <c r="B396" s="28"/>
      <c r="C396" s="28"/>
      <c r="D396" s="282"/>
      <c r="E396" s="282"/>
      <c r="F396" s="282"/>
      <c r="G396" s="282"/>
      <c r="H396" s="282"/>
      <c r="I396" s="282"/>
      <c r="J396" s="282"/>
      <c r="K396" s="282"/>
      <c r="L396" s="282"/>
      <c r="M396" s="282"/>
      <c r="N396" s="282"/>
      <c r="O396" s="282"/>
      <c r="P396" s="282"/>
      <c r="Q396" s="282"/>
      <c r="R396" s="282"/>
      <c r="S396" s="282"/>
      <c r="T396" s="3"/>
      <c r="U396" s="282"/>
      <c r="V396" s="282"/>
      <c r="W396" s="282"/>
      <c r="X396" s="282"/>
      <c r="Y396" s="282"/>
      <c r="Z396" s="282"/>
      <c r="AA396" s="282"/>
      <c r="AB396" s="282"/>
      <c r="AC396" s="282"/>
      <c r="AD396" s="282"/>
      <c r="AE396" s="282"/>
      <c r="AF396" s="282"/>
      <c r="AG396" s="282"/>
      <c r="AH396" s="282"/>
      <c r="AI396" s="282"/>
      <c r="AJ396" s="282"/>
      <c r="AK396" s="282"/>
      <c r="AL396" s="282"/>
      <c r="AM396" s="282"/>
      <c r="AN396" s="282"/>
      <c r="AO396" s="282"/>
      <c r="AP396" s="282"/>
      <c r="AQ396" s="282"/>
      <c r="AR396" s="282"/>
      <c r="AS396" s="282"/>
      <c r="AT396" s="282"/>
      <c r="AU396" s="282"/>
      <c r="AV396" s="282"/>
      <c r="AW396" s="282"/>
      <c r="AX396" s="282"/>
      <c r="AY396" s="282"/>
      <c r="AZ396" s="282"/>
      <c r="BA396" s="372"/>
      <c r="BB396" s="372"/>
      <c r="BC396" s="372"/>
      <c r="BD396" s="372"/>
      <c r="BE396" s="282"/>
      <c r="BF396" s="282"/>
      <c r="BG396" s="282"/>
      <c r="BH396" s="283"/>
      <c r="BI396" s="282"/>
      <c r="BJ396" s="283"/>
      <c r="BK396" s="283"/>
      <c r="BL396" s="283"/>
      <c r="BM396" s="282"/>
      <c r="BN396" s="283"/>
      <c r="BO396" s="283"/>
      <c r="BP396" s="283"/>
      <c r="BQ396" s="283"/>
      <c r="BR396" s="283"/>
      <c r="BS396" s="283"/>
      <c r="BT396" s="283"/>
      <c r="BU396" s="283"/>
      <c r="BV396" s="283"/>
      <c r="BW396" s="283"/>
      <c r="BX396" s="283"/>
      <c r="BY396" s="283"/>
      <c r="BZ396" s="283"/>
      <c r="CA396" s="283"/>
      <c r="CB396" s="283"/>
      <c r="CC396" s="283"/>
      <c r="CD396" s="283"/>
      <c r="CE396" s="283"/>
      <c r="CF396" s="283"/>
      <c r="CG396" s="283"/>
      <c r="CH396" s="283"/>
      <c r="CI396" s="283"/>
      <c r="CJ396" s="283"/>
      <c r="CK396" s="283"/>
      <c r="CL396" s="283"/>
    </row>
    <row r="397" spans="1:90" ht="14.25" customHeight="1" x14ac:dyDescent="0.2">
      <c r="A397" s="28"/>
      <c r="B397" s="28"/>
      <c r="C397" s="28"/>
      <c r="D397" s="282"/>
      <c r="E397" s="282"/>
      <c r="F397" s="282"/>
      <c r="G397" s="282"/>
      <c r="H397" s="282"/>
      <c r="I397" s="282"/>
      <c r="J397" s="282"/>
      <c r="K397" s="282"/>
      <c r="L397" s="282"/>
      <c r="M397" s="282"/>
      <c r="N397" s="282"/>
      <c r="O397" s="282"/>
      <c r="P397" s="282"/>
      <c r="Q397" s="282"/>
      <c r="R397" s="282"/>
      <c r="S397" s="282"/>
      <c r="T397" s="3"/>
      <c r="U397" s="282"/>
      <c r="V397" s="282"/>
      <c r="W397" s="282"/>
      <c r="X397" s="282"/>
      <c r="Y397" s="282"/>
      <c r="Z397" s="282"/>
      <c r="AA397" s="282"/>
      <c r="AB397" s="282"/>
      <c r="AC397" s="282"/>
      <c r="AD397" s="282"/>
      <c r="AE397" s="282"/>
      <c r="AF397" s="282"/>
      <c r="AG397" s="282"/>
      <c r="AH397" s="282"/>
      <c r="AI397" s="282"/>
      <c r="AJ397" s="282"/>
      <c r="AK397" s="282"/>
      <c r="AL397" s="282"/>
      <c r="AM397" s="282"/>
      <c r="AN397" s="282"/>
      <c r="AO397" s="282"/>
      <c r="AP397" s="282"/>
      <c r="AQ397" s="282"/>
      <c r="AR397" s="282"/>
      <c r="AS397" s="282"/>
      <c r="AT397" s="282"/>
      <c r="AU397" s="282"/>
      <c r="AV397" s="282"/>
      <c r="AW397" s="282"/>
      <c r="AX397" s="282"/>
      <c r="AY397" s="282"/>
      <c r="AZ397" s="282"/>
      <c r="BA397" s="372"/>
      <c r="BB397" s="372"/>
      <c r="BC397" s="372"/>
      <c r="BD397" s="372"/>
      <c r="BE397" s="282"/>
      <c r="BF397" s="282"/>
      <c r="BG397" s="282"/>
      <c r="BH397" s="283"/>
      <c r="BI397" s="282"/>
      <c r="BJ397" s="283"/>
      <c r="BK397" s="283"/>
      <c r="BL397" s="283"/>
      <c r="BM397" s="282"/>
      <c r="BN397" s="283"/>
      <c r="BO397" s="283"/>
      <c r="BP397" s="283"/>
      <c r="BQ397" s="283"/>
      <c r="BR397" s="283"/>
      <c r="BS397" s="283"/>
      <c r="BT397" s="283"/>
      <c r="BU397" s="283"/>
      <c r="BV397" s="283"/>
      <c r="BW397" s="283"/>
      <c r="BX397" s="283"/>
      <c r="BY397" s="283"/>
      <c r="BZ397" s="283"/>
      <c r="CA397" s="283"/>
      <c r="CB397" s="283"/>
      <c r="CC397" s="283"/>
      <c r="CD397" s="283"/>
      <c r="CE397" s="283"/>
      <c r="CF397" s="283"/>
      <c r="CG397" s="283"/>
      <c r="CH397" s="283"/>
      <c r="CI397" s="283"/>
      <c r="CJ397" s="283"/>
      <c r="CK397" s="283"/>
      <c r="CL397" s="283"/>
    </row>
    <row r="398" spans="1:90" ht="14.25" customHeight="1" x14ac:dyDescent="0.2">
      <c r="A398" s="28"/>
      <c r="B398" s="28"/>
      <c r="C398" s="28"/>
      <c r="D398" s="282"/>
      <c r="E398" s="282"/>
      <c r="F398" s="282"/>
      <c r="G398" s="282"/>
      <c r="H398" s="282"/>
      <c r="I398" s="282"/>
      <c r="J398" s="282"/>
      <c r="K398" s="282"/>
      <c r="L398" s="282"/>
      <c r="M398" s="282"/>
      <c r="N398" s="282"/>
      <c r="O398" s="282"/>
      <c r="P398" s="282"/>
      <c r="Q398" s="282"/>
      <c r="R398" s="282"/>
      <c r="S398" s="282"/>
      <c r="T398" s="3"/>
      <c r="U398" s="282"/>
      <c r="V398" s="282"/>
      <c r="W398" s="282"/>
      <c r="X398" s="282"/>
      <c r="Y398" s="282"/>
      <c r="Z398" s="282"/>
      <c r="AA398" s="282"/>
      <c r="AB398" s="282"/>
      <c r="AC398" s="282"/>
      <c r="AD398" s="282"/>
      <c r="AE398" s="282"/>
      <c r="AF398" s="282"/>
      <c r="AG398" s="282"/>
      <c r="AH398" s="282"/>
      <c r="AI398" s="282"/>
      <c r="AJ398" s="282"/>
      <c r="AK398" s="282"/>
      <c r="AL398" s="282"/>
      <c r="AM398" s="282"/>
      <c r="AN398" s="282"/>
      <c r="AO398" s="282"/>
      <c r="AP398" s="282"/>
      <c r="AQ398" s="282"/>
      <c r="AR398" s="282"/>
      <c r="AS398" s="282"/>
      <c r="AT398" s="282"/>
      <c r="AU398" s="282"/>
      <c r="AV398" s="282"/>
      <c r="AW398" s="282"/>
      <c r="AX398" s="282"/>
      <c r="AY398" s="282"/>
      <c r="AZ398" s="282"/>
      <c r="BA398" s="372"/>
      <c r="BB398" s="372"/>
      <c r="BC398" s="372"/>
      <c r="BD398" s="372"/>
      <c r="BE398" s="282"/>
      <c r="BF398" s="282"/>
      <c r="BG398" s="282"/>
      <c r="BH398" s="283"/>
      <c r="BI398" s="282"/>
      <c r="BJ398" s="283"/>
      <c r="BK398" s="283"/>
      <c r="BL398" s="283"/>
      <c r="BM398" s="282"/>
      <c r="BN398" s="283"/>
      <c r="BO398" s="283"/>
      <c r="BP398" s="283"/>
      <c r="BQ398" s="283"/>
      <c r="BR398" s="283"/>
      <c r="BS398" s="283"/>
      <c r="BT398" s="283"/>
      <c r="BU398" s="283"/>
      <c r="BV398" s="283"/>
      <c r="BW398" s="283"/>
      <c r="BX398" s="283"/>
      <c r="BY398" s="283"/>
      <c r="BZ398" s="283"/>
      <c r="CA398" s="283"/>
      <c r="CB398" s="283"/>
      <c r="CC398" s="283"/>
      <c r="CD398" s="283"/>
      <c r="CE398" s="283"/>
      <c r="CF398" s="283"/>
      <c r="CG398" s="283"/>
      <c r="CH398" s="283"/>
      <c r="CI398" s="283"/>
      <c r="CJ398" s="283"/>
      <c r="CK398" s="283"/>
      <c r="CL398" s="283"/>
    </row>
    <row r="399" spans="1:90" ht="14.25" customHeight="1" x14ac:dyDescent="0.2">
      <c r="A399" s="28"/>
      <c r="B399" s="28"/>
      <c r="C399" s="28"/>
      <c r="D399" s="282"/>
      <c r="E399" s="282"/>
      <c r="F399" s="282"/>
      <c r="G399" s="282"/>
      <c r="H399" s="282"/>
      <c r="I399" s="282"/>
      <c r="J399" s="282"/>
      <c r="K399" s="282"/>
      <c r="L399" s="282"/>
      <c r="M399" s="282"/>
      <c r="N399" s="282"/>
      <c r="O399" s="282"/>
      <c r="P399" s="282"/>
      <c r="Q399" s="282"/>
      <c r="R399" s="282"/>
      <c r="S399" s="282"/>
      <c r="T399" s="3"/>
      <c r="U399" s="282"/>
      <c r="V399" s="282"/>
      <c r="W399" s="282"/>
      <c r="X399" s="282"/>
      <c r="Y399" s="282"/>
      <c r="Z399" s="282"/>
      <c r="AA399" s="282"/>
      <c r="AB399" s="282"/>
      <c r="AC399" s="282"/>
      <c r="AD399" s="282"/>
      <c r="AE399" s="282"/>
      <c r="AF399" s="282"/>
      <c r="AG399" s="282"/>
      <c r="AH399" s="282"/>
      <c r="AI399" s="282"/>
      <c r="AJ399" s="282"/>
      <c r="AK399" s="282"/>
      <c r="AL399" s="282"/>
      <c r="AM399" s="282"/>
      <c r="AN399" s="282"/>
      <c r="AO399" s="282"/>
      <c r="AP399" s="282"/>
      <c r="AQ399" s="282"/>
      <c r="AR399" s="282"/>
      <c r="AS399" s="282"/>
      <c r="AT399" s="282"/>
      <c r="AU399" s="282"/>
      <c r="AV399" s="282"/>
      <c r="AW399" s="282"/>
      <c r="AX399" s="282"/>
      <c r="AY399" s="282"/>
      <c r="AZ399" s="282"/>
      <c r="BA399" s="372"/>
      <c r="BB399" s="372"/>
      <c r="BC399" s="372"/>
      <c r="BD399" s="372"/>
      <c r="BE399" s="282"/>
      <c r="BF399" s="282"/>
      <c r="BG399" s="282"/>
      <c r="BH399" s="283"/>
      <c r="BI399" s="282"/>
      <c r="BJ399" s="283"/>
      <c r="BK399" s="283"/>
      <c r="BL399" s="283"/>
      <c r="BM399" s="282"/>
      <c r="BN399" s="283"/>
      <c r="BO399" s="283"/>
      <c r="BP399" s="283"/>
      <c r="BQ399" s="283"/>
      <c r="BR399" s="283"/>
      <c r="BS399" s="283"/>
      <c r="BT399" s="283"/>
      <c r="BU399" s="283"/>
      <c r="BV399" s="283"/>
      <c r="BW399" s="283"/>
      <c r="BX399" s="283"/>
      <c r="BY399" s="283"/>
      <c r="BZ399" s="283"/>
      <c r="CA399" s="283"/>
      <c r="CB399" s="283"/>
      <c r="CC399" s="283"/>
      <c r="CD399" s="283"/>
      <c r="CE399" s="283"/>
      <c r="CF399" s="283"/>
      <c r="CG399" s="283"/>
      <c r="CH399" s="283"/>
      <c r="CI399" s="283"/>
      <c r="CJ399" s="283"/>
      <c r="CK399" s="283"/>
      <c r="CL399" s="283"/>
    </row>
    <row r="400" spans="1:90" ht="14.25" customHeight="1" x14ac:dyDescent="0.2">
      <c r="A400" s="28"/>
      <c r="B400" s="28"/>
      <c r="C400" s="28"/>
      <c r="D400" s="282"/>
      <c r="E400" s="282"/>
      <c r="F400" s="282"/>
      <c r="G400" s="282"/>
      <c r="H400" s="282"/>
      <c r="I400" s="282"/>
      <c r="J400" s="282"/>
      <c r="K400" s="282"/>
      <c r="L400" s="282"/>
      <c r="M400" s="282"/>
      <c r="N400" s="282"/>
      <c r="O400" s="282"/>
      <c r="P400" s="282"/>
      <c r="Q400" s="282"/>
      <c r="R400" s="282"/>
      <c r="S400" s="282"/>
      <c r="T400" s="3"/>
      <c r="U400" s="282"/>
      <c r="V400" s="282"/>
      <c r="W400" s="282"/>
      <c r="X400" s="282"/>
      <c r="Y400" s="282"/>
      <c r="Z400" s="282"/>
      <c r="AA400" s="282"/>
      <c r="AB400" s="282"/>
      <c r="AC400" s="282"/>
      <c r="AD400" s="282"/>
      <c r="AE400" s="282"/>
      <c r="AF400" s="282"/>
      <c r="AG400" s="282"/>
      <c r="AH400" s="282"/>
      <c r="AI400" s="282"/>
      <c r="AJ400" s="282"/>
      <c r="AK400" s="282"/>
      <c r="AL400" s="282"/>
      <c r="AM400" s="282"/>
      <c r="AN400" s="282"/>
      <c r="AO400" s="282"/>
      <c r="AP400" s="282"/>
      <c r="AQ400" s="282"/>
      <c r="AR400" s="282"/>
      <c r="AS400" s="282"/>
      <c r="AT400" s="282"/>
      <c r="AU400" s="282"/>
      <c r="AV400" s="282"/>
      <c r="AW400" s="282"/>
      <c r="AX400" s="282"/>
      <c r="AY400" s="282"/>
      <c r="AZ400" s="282"/>
      <c r="BA400" s="372"/>
      <c r="BB400" s="372"/>
      <c r="BC400" s="372"/>
      <c r="BD400" s="372"/>
      <c r="BE400" s="282"/>
      <c r="BF400" s="282"/>
      <c r="BG400" s="282"/>
      <c r="BH400" s="283"/>
      <c r="BI400" s="282"/>
      <c r="BJ400" s="283"/>
      <c r="BK400" s="283"/>
      <c r="BL400" s="283"/>
      <c r="BM400" s="282"/>
      <c r="BN400" s="283"/>
      <c r="BO400" s="283"/>
      <c r="BP400" s="283"/>
      <c r="BQ400" s="283"/>
      <c r="BR400" s="283"/>
      <c r="BS400" s="283"/>
      <c r="BT400" s="283"/>
      <c r="BU400" s="283"/>
      <c r="BV400" s="283"/>
      <c r="BW400" s="283"/>
      <c r="BX400" s="283"/>
      <c r="BY400" s="283"/>
      <c r="BZ400" s="283"/>
      <c r="CA400" s="283"/>
      <c r="CB400" s="283"/>
      <c r="CC400" s="283"/>
      <c r="CD400" s="283"/>
      <c r="CE400" s="283"/>
      <c r="CF400" s="283"/>
      <c r="CG400" s="283"/>
      <c r="CH400" s="283"/>
      <c r="CI400" s="283"/>
      <c r="CJ400" s="283"/>
      <c r="CK400" s="283"/>
      <c r="CL400" s="283"/>
    </row>
    <row r="401" spans="1:90" ht="14.25" customHeight="1" x14ac:dyDescent="0.2">
      <c r="A401" s="28"/>
      <c r="B401" s="28"/>
      <c r="C401" s="28"/>
      <c r="D401" s="282"/>
      <c r="E401" s="282"/>
      <c r="F401" s="282"/>
      <c r="G401" s="282"/>
      <c r="H401" s="282"/>
      <c r="I401" s="282"/>
      <c r="J401" s="282"/>
      <c r="K401" s="282"/>
      <c r="L401" s="282"/>
      <c r="M401" s="282"/>
      <c r="N401" s="282"/>
      <c r="O401" s="282"/>
      <c r="P401" s="282"/>
      <c r="Q401" s="282"/>
      <c r="R401" s="282"/>
      <c r="S401" s="282"/>
      <c r="T401" s="3"/>
      <c r="U401" s="282"/>
      <c r="V401" s="282"/>
      <c r="W401" s="282"/>
      <c r="X401" s="282"/>
      <c r="Y401" s="282"/>
      <c r="Z401" s="282"/>
      <c r="AA401" s="282"/>
      <c r="AB401" s="282"/>
      <c r="AC401" s="282"/>
      <c r="AD401" s="282"/>
      <c r="AE401" s="282"/>
      <c r="AF401" s="282"/>
      <c r="AG401" s="282"/>
      <c r="AH401" s="282"/>
      <c r="AI401" s="282"/>
      <c r="AJ401" s="282"/>
      <c r="AK401" s="282"/>
      <c r="AL401" s="282"/>
      <c r="AM401" s="282"/>
      <c r="AN401" s="282"/>
      <c r="AO401" s="282"/>
      <c r="AP401" s="282"/>
      <c r="AQ401" s="282"/>
      <c r="AR401" s="282"/>
      <c r="AS401" s="282"/>
      <c r="AT401" s="282"/>
      <c r="AU401" s="282"/>
      <c r="AV401" s="282"/>
      <c r="AW401" s="282"/>
      <c r="AX401" s="282"/>
      <c r="AY401" s="282"/>
      <c r="AZ401" s="282"/>
      <c r="BA401" s="372"/>
      <c r="BB401" s="372"/>
      <c r="BC401" s="372"/>
      <c r="BD401" s="372"/>
      <c r="BE401" s="282"/>
      <c r="BF401" s="282"/>
      <c r="BG401" s="282"/>
      <c r="BH401" s="283"/>
      <c r="BI401" s="282"/>
      <c r="BJ401" s="283"/>
      <c r="BK401" s="283"/>
      <c r="BL401" s="283"/>
      <c r="BM401" s="282"/>
      <c r="BN401" s="283"/>
      <c r="BO401" s="283"/>
      <c r="BP401" s="283"/>
      <c r="BQ401" s="283"/>
      <c r="BR401" s="283"/>
      <c r="BS401" s="283"/>
      <c r="BT401" s="283"/>
      <c r="BU401" s="283"/>
      <c r="BV401" s="283"/>
      <c r="BW401" s="283"/>
      <c r="BX401" s="283"/>
      <c r="BY401" s="283"/>
      <c r="BZ401" s="283"/>
      <c r="CA401" s="283"/>
      <c r="CB401" s="283"/>
      <c r="CC401" s="283"/>
      <c r="CD401" s="283"/>
      <c r="CE401" s="283"/>
      <c r="CF401" s="283"/>
      <c r="CG401" s="283"/>
      <c r="CH401" s="283"/>
      <c r="CI401" s="283"/>
      <c r="CJ401" s="283"/>
      <c r="CK401" s="283"/>
      <c r="CL401" s="283"/>
    </row>
    <row r="402" spans="1:90" ht="14.25" customHeight="1" x14ac:dyDescent="0.2">
      <c r="A402" s="28"/>
      <c r="B402" s="28"/>
      <c r="C402" s="28"/>
      <c r="D402" s="282"/>
      <c r="E402" s="282"/>
      <c r="F402" s="282"/>
      <c r="G402" s="282"/>
      <c r="H402" s="282"/>
      <c r="I402" s="282"/>
      <c r="J402" s="282"/>
      <c r="K402" s="282"/>
      <c r="L402" s="282"/>
      <c r="M402" s="282"/>
      <c r="N402" s="282"/>
      <c r="O402" s="282"/>
      <c r="P402" s="282"/>
      <c r="Q402" s="282"/>
      <c r="R402" s="282"/>
      <c r="S402" s="282"/>
      <c r="T402" s="3"/>
      <c r="U402" s="282"/>
      <c r="V402" s="282"/>
      <c r="W402" s="282"/>
      <c r="X402" s="282"/>
      <c r="Y402" s="282"/>
      <c r="Z402" s="282"/>
      <c r="AA402" s="282"/>
      <c r="AB402" s="282"/>
      <c r="AC402" s="282"/>
      <c r="AD402" s="282"/>
      <c r="AE402" s="282"/>
      <c r="AF402" s="282"/>
      <c r="AG402" s="282"/>
      <c r="AH402" s="282"/>
      <c r="AI402" s="282"/>
      <c r="AJ402" s="282"/>
      <c r="AK402" s="282"/>
      <c r="AL402" s="282"/>
      <c r="AM402" s="282"/>
      <c r="AN402" s="282"/>
      <c r="AO402" s="282"/>
      <c r="AP402" s="282"/>
      <c r="AQ402" s="282"/>
      <c r="AR402" s="282"/>
      <c r="AS402" s="282"/>
      <c r="AT402" s="282"/>
      <c r="AU402" s="282"/>
      <c r="AV402" s="282"/>
      <c r="AW402" s="282"/>
      <c r="AX402" s="282"/>
      <c r="AY402" s="282"/>
      <c r="AZ402" s="282"/>
      <c r="BA402" s="372"/>
      <c r="BB402" s="372"/>
      <c r="BC402" s="372"/>
      <c r="BD402" s="372"/>
      <c r="BE402" s="282"/>
      <c r="BF402" s="282"/>
      <c r="BG402" s="282"/>
      <c r="BH402" s="283"/>
      <c r="BI402" s="282"/>
      <c r="BJ402" s="283"/>
      <c r="BK402" s="283"/>
      <c r="BL402" s="283"/>
      <c r="BM402" s="282"/>
      <c r="BN402" s="283"/>
      <c r="BO402" s="283"/>
      <c r="BP402" s="283"/>
      <c r="BQ402" s="283"/>
      <c r="BR402" s="283"/>
      <c r="BS402" s="283"/>
      <c r="BT402" s="283"/>
      <c r="BU402" s="283"/>
      <c r="BV402" s="283"/>
      <c r="BW402" s="283"/>
      <c r="BX402" s="283"/>
      <c r="BY402" s="283"/>
      <c r="BZ402" s="283"/>
      <c r="CA402" s="283"/>
      <c r="CB402" s="283"/>
      <c r="CC402" s="283"/>
      <c r="CD402" s="283"/>
      <c r="CE402" s="283"/>
      <c r="CF402" s="283"/>
      <c r="CG402" s="283"/>
      <c r="CH402" s="283"/>
      <c r="CI402" s="283"/>
      <c r="CJ402" s="283"/>
      <c r="CK402" s="283"/>
      <c r="CL402" s="283"/>
    </row>
    <row r="403" spans="1:90" ht="14.25" customHeight="1" x14ac:dyDescent="0.2">
      <c r="A403" s="28"/>
      <c r="B403" s="28"/>
      <c r="C403" s="28"/>
      <c r="D403" s="282"/>
      <c r="E403" s="282"/>
      <c r="F403" s="282"/>
      <c r="G403" s="282"/>
      <c r="H403" s="282"/>
      <c r="I403" s="282"/>
      <c r="J403" s="282"/>
      <c r="K403" s="282"/>
      <c r="L403" s="282"/>
      <c r="M403" s="282"/>
      <c r="N403" s="282"/>
      <c r="O403" s="282"/>
      <c r="P403" s="282"/>
      <c r="Q403" s="282"/>
      <c r="R403" s="282"/>
      <c r="S403" s="282"/>
      <c r="T403" s="3"/>
      <c r="U403" s="282"/>
      <c r="V403" s="282"/>
      <c r="W403" s="282"/>
      <c r="X403" s="282"/>
      <c r="Y403" s="282"/>
      <c r="Z403" s="282"/>
      <c r="AA403" s="282"/>
      <c r="AB403" s="282"/>
      <c r="AC403" s="282"/>
      <c r="AD403" s="282"/>
      <c r="AE403" s="282"/>
      <c r="AF403" s="282"/>
      <c r="AG403" s="282"/>
      <c r="AH403" s="282"/>
      <c r="AI403" s="282"/>
      <c r="AJ403" s="282"/>
      <c r="AK403" s="282"/>
      <c r="AL403" s="282"/>
      <c r="AM403" s="282"/>
      <c r="AN403" s="282"/>
      <c r="AO403" s="282"/>
      <c r="AP403" s="282"/>
      <c r="AQ403" s="282"/>
      <c r="AR403" s="282"/>
      <c r="AS403" s="282"/>
      <c r="AT403" s="282"/>
      <c r="AU403" s="282"/>
      <c r="AV403" s="282"/>
      <c r="AW403" s="282"/>
      <c r="AX403" s="282"/>
      <c r="AY403" s="282"/>
      <c r="AZ403" s="282"/>
      <c r="BA403" s="372"/>
      <c r="BB403" s="372"/>
      <c r="BC403" s="372"/>
      <c r="BD403" s="372"/>
      <c r="BE403" s="282"/>
      <c r="BF403" s="282"/>
      <c r="BG403" s="282"/>
      <c r="BH403" s="283"/>
      <c r="BI403" s="282"/>
      <c r="BJ403" s="283"/>
      <c r="BK403" s="283"/>
      <c r="BL403" s="283"/>
      <c r="BM403" s="282"/>
      <c r="BN403" s="283"/>
      <c r="BO403" s="283"/>
      <c r="BP403" s="283"/>
      <c r="BQ403" s="283"/>
      <c r="BR403" s="283"/>
      <c r="BS403" s="283"/>
      <c r="BT403" s="283"/>
      <c r="BU403" s="283"/>
      <c r="BV403" s="283"/>
      <c r="BW403" s="283"/>
      <c r="BX403" s="283"/>
      <c r="BY403" s="283"/>
      <c r="BZ403" s="283"/>
      <c r="CA403" s="283"/>
      <c r="CB403" s="283"/>
      <c r="CC403" s="283"/>
      <c r="CD403" s="283"/>
      <c r="CE403" s="283"/>
      <c r="CF403" s="283"/>
      <c r="CG403" s="283"/>
      <c r="CH403" s="283"/>
      <c r="CI403" s="283"/>
      <c r="CJ403" s="283"/>
      <c r="CK403" s="283"/>
      <c r="CL403" s="283"/>
    </row>
    <row r="404" spans="1:90" ht="14.25" customHeight="1" x14ac:dyDescent="0.2">
      <c r="A404" s="28"/>
      <c r="B404" s="28"/>
      <c r="C404" s="28"/>
      <c r="D404" s="282"/>
      <c r="E404" s="282"/>
      <c r="F404" s="282"/>
      <c r="G404" s="282"/>
      <c r="H404" s="282"/>
      <c r="I404" s="282"/>
      <c r="J404" s="282"/>
      <c r="K404" s="282"/>
      <c r="L404" s="282"/>
      <c r="M404" s="282"/>
      <c r="N404" s="282"/>
      <c r="O404" s="282"/>
      <c r="P404" s="282"/>
      <c r="Q404" s="282"/>
      <c r="R404" s="282"/>
      <c r="S404" s="282"/>
      <c r="T404" s="3"/>
      <c r="U404" s="282"/>
      <c r="V404" s="282"/>
      <c r="W404" s="282"/>
      <c r="X404" s="282"/>
      <c r="Y404" s="282"/>
      <c r="Z404" s="282"/>
      <c r="AA404" s="282"/>
      <c r="AB404" s="282"/>
      <c r="AC404" s="282"/>
      <c r="AD404" s="282"/>
      <c r="AE404" s="282"/>
      <c r="AF404" s="282"/>
      <c r="AG404" s="282"/>
      <c r="AH404" s="282"/>
      <c r="AI404" s="282"/>
      <c r="AJ404" s="282"/>
      <c r="AK404" s="282"/>
      <c r="AL404" s="282"/>
      <c r="AM404" s="282"/>
      <c r="AN404" s="282"/>
      <c r="AO404" s="282"/>
      <c r="AP404" s="282"/>
      <c r="AQ404" s="282"/>
      <c r="AR404" s="282"/>
      <c r="AS404" s="282"/>
      <c r="AT404" s="282"/>
      <c r="AU404" s="282"/>
      <c r="AV404" s="282"/>
      <c r="AW404" s="282"/>
      <c r="AX404" s="282"/>
      <c r="AY404" s="282"/>
      <c r="AZ404" s="282"/>
      <c r="BA404" s="372"/>
      <c r="BB404" s="372"/>
      <c r="BC404" s="372"/>
      <c r="BD404" s="372"/>
      <c r="BE404" s="282"/>
      <c r="BF404" s="282"/>
      <c r="BG404" s="282"/>
      <c r="BH404" s="283"/>
      <c r="BI404" s="282"/>
      <c r="BJ404" s="283"/>
      <c r="BK404" s="283"/>
      <c r="BL404" s="283"/>
      <c r="BM404" s="282"/>
      <c r="BN404" s="283"/>
      <c r="BO404" s="283"/>
      <c r="BP404" s="283"/>
      <c r="BQ404" s="283"/>
      <c r="BR404" s="283"/>
      <c r="BS404" s="283"/>
      <c r="BT404" s="283"/>
      <c r="BU404" s="283"/>
      <c r="BV404" s="283"/>
      <c r="BW404" s="283"/>
      <c r="BX404" s="283"/>
      <c r="BY404" s="283"/>
      <c r="BZ404" s="283"/>
      <c r="CA404" s="283"/>
      <c r="CB404" s="283"/>
      <c r="CC404" s="283"/>
      <c r="CD404" s="283"/>
      <c r="CE404" s="283"/>
      <c r="CF404" s="283"/>
      <c r="CG404" s="283"/>
      <c r="CH404" s="283"/>
      <c r="CI404" s="283"/>
      <c r="CJ404" s="283"/>
      <c r="CK404" s="283"/>
      <c r="CL404" s="283"/>
    </row>
    <row r="405" spans="1:90" ht="14.25" customHeight="1" x14ac:dyDescent="0.2">
      <c r="A405" s="28"/>
      <c r="B405" s="28"/>
      <c r="C405" s="28"/>
      <c r="D405" s="282"/>
      <c r="E405" s="282"/>
      <c r="F405" s="282"/>
      <c r="G405" s="282"/>
      <c r="H405" s="282"/>
      <c r="I405" s="282"/>
      <c r="J405" s="282"/>
      <c r="K405" s="282"/>
      <c r="L405" s="282"/>
      <c r="M405" s="282"/>
      <c r="N405" s="282"/>
      <c r="O405" s="282"/>
      <c r="P405" s="282"/>
      <c r="Q405" s="282"/>
      <c r="R405" s="282"/>
      <c r="S405" s="282"/>
      <c r="T405" s="3"/>
      <c r="U405" s="282"/>
      <c r="V405" s="282"/>
      <c r="W405" s="282"/>
      <c r="X405" s="282"/>
      <c r="Y405" s="282"/>
      <c r="Z405" s="282"/>
      <c r="AA405" s="282"/>
      <c r="AB405" s="282"/>
      <c r="AC405" s="282"/>
      <c r="AD405" s="282"/>
      <c r="AE405" s="282"/>
      <c r="AF405" s="282"/>
      <c r="AG405" s="282"/>
      <c r="AH405" s="282"/>
      <c r="AI405" s="282"/>
      <c r="AJ405" s="282"/>
      <c r="AK405" s="282"/>
      <c r="AL405" s="282"/>
      <c r="AM405" s="282"/>
      <c r="AN405" s="282"/>
      <c r="AO405" s="282"/>
      <c r="AP405" s="282"/>
      <c r="AQ405" s="282"/>
      <c r="AR405" s="282"/>
      <c r="AS405" s="282"/>
      <c r="AT405" s="282"/>
      <c r="AU405" s="282"/>
      <c r="AV405" s="282"/>
      <c r="AW405" s="282"/>
      <c r="AX405" s="282"/>
      <c r="AY405" s="282"/>
      <c r="AZ405" s="282"/>
      <c r="BA405" s="372"/>
      <c r="BB405" s="372"/>
      <c r="BC405" s="372"/>
      <c r="BD405" s="372"/>
      <c r="BE405" s="282"/>
      <c r="BF405" s="282"/>
      <c r="BG405" s="282"/>
      <c r="BH405" s="283"/>
      <c r="BI405" s="282"/>
      <c r="BJ405" s="283"/>
      <c r="BK405" s="283"/>
      <c r="BL405" s="283"/>
      <c r="BM405" s="282"/>
      <c r="BN405" s="283"/>
      <c r="BO405" s="283"/>
      <c r="BP405" s="283"/>
      <c r="BQ405" s="283"/>
      <c r="BR405" s="283"/>
      <c r="BS405" s="283"/>
      <c r="BT405" s="283"/>
      <c r="BU405" s="283"/>
      <c r="BV405" s="283"/>
      <c r="BW405" s="283"/>
      <c r="BX405" s="283"/>
      <c r="BY405" s="283"/>
      <c r="BZ405" s="283"/>
      <c r="CA405" s="283"/>
      <c r="CB405" s="283"/>
      <c r="CC405" s="283"/>
      <c r="CD405" s="283"/>
      <c r="CE405" s="283"/>
      <c r="CF405" s="283"/>
      <c r="CG405" s="283"/>
      <c r="CH405" s="283"/>
      <c r="CI405" s="283"/>
      <c r="CJ405" s="283"/>
      <c r="CK405" s="283"/>
      <c r="CL405" s="283"/>
    </row>
    <row r="406" spans="1:90" ht="14.25" customHeight="1" x14ac:dyDescent="0.2">
      <c r="A406" s="28"/>
      <c r="B406" s="28"/>
      <c r="C406" s="28"/>
      <c r="D406" s="282"/>
      <c r="E406" s="282"/>
      <c r="F406" s="282"/>
      <c r="G406" s="282"/>
      <c r="H406" s="282"/>
      <c r="I406" s="282"/>
      <c r="J406" s="282"/>
      <c r="K406" s="282"/>
      <c r="L406" s="282"/>
      <c r="M406" s="282"/>
      <c r="N406" s="282"/>
      <c r="O406" s="282"/>
      <c r="P406" s="282"/>
      <c r="Q406" s="282"/>
      <c r="R406" s="282"/>
      <c r="S406" s="282"/>
      <c r="T406" s="3"/>
      <c r="U406" s="282"/>
      <c r="V406" s="282"/>
      <c r="W406" s="282"/>
      <c r="X406" s="282"/>
      <c r="Y406" s="282"/>
      <c r="Z406" s="282"/>
      <c r="AA406" s="282"/>
      <c r="AB406" s="282"/>
      <c r="AC406" s="282"/>
      <c r="AD406" s="282"/>
      <c r="AE406" s="282"/>
      <c r="AF406" s="282"/>
      <c r="AG406" s="282"/>
      <c r="AH406" s="282"/>
      <c r="AI406" s="282"/>
      <c r="AJ406" s="282"/>
      <c r="AK406" s="282"/>
      <c r="AL406" s="282"/>
      <c r="AM406" s="282"/>
      <c r="AN406" s="282"/>
      <c r="AO406" s="282"/>
      <c r="AP406" s="282"/>
      <c r="AQ406" s="282"/>
      <c r="AR406" s="282"/>
      <c r="AS406" s="282"/>
      <c r="AT406" s="282"/>
      <c r="AU406" s="282"/>
      <c r="AV406" s="282"/>
      <c r="AW406" s="282"/>
      <c r="AX406" s="282"/>
      <c r="AY406" s="282"/>
      <c r="AZ406" s="282"/>
      <c r="BA406" s="372"/>
      <c r="BB406" s="372"/>
      <c r="BC406" s="372"/>
      <c r="BD406" s="372"/>
      <c r="BE406" s="282"/>
      <c r="BF406" s="282"/>
      <c r="BG406" s="282"/>
      <c r="BH406" s="283"/>
      <c r="BI406" s="282"/>
      <c r="BJ406" s="283"/>
      <c r="BK406" s="283"/>
      <c r="BL406" s="283"/>
      <c r="BM406" s="282"/>
      <c r="BN406" s="283"/>
      <c r="BO406" s="283"/>
      <c r="BP406" s="283"/>
      <c r="BQ406" s="283"/>
      <c r="BR406" s="283"/>
      <c r="BS406" s="283"/>
      <c r="BT406" s="283"/>
      <c r="BU406" s="283"/>
      <c r="BV406" s="283"/>
      <c r="BW406" s="283"/>
      <c r="BX406" s="283"/>
      <c r="BY406" s="283"/>
      <c r="BZ406" s="283"/>
      <c r="CA406" s="283"/>
      <c r="CB406" s="283"/>
      <c r="CC406" s="283"/>
      <c r="CD406" s="283"/>
      <c r="CE406" s="283"/>
      <c r="CF406" s="283"/>
      <c r="CG406" s="283"/>
      <c r="CH406" s="283"/>
      <c r="CI406" s="283"/>
      <c r="CJ406" s="283"/>
      <c r="CK406" s="283"/>
      <c r="CL406" s="283"/>
    </row>
    <row r="407" spans="1:90" ht="14.25" customHeight="1" x14ac:dyDescent="0.2">
      <c r="A407" s="28"/>
      <c r="B407" s="28"/>
      <c r="C407" s="28"/>
      <c r="D407" s="282"/>
      <c r="E407" s="282"/>
      <c r="F407" s="282"/>
      <c r="G407" s="282"/>
      <c r="H407" s="282"/>
      <c r="I407" s="282"/>
      <c r="J407" s="282"/>
      <c r="K407" s="282"/>
      <c r="L407" s="282"/>
      <c r="M407" s="282"/>
      <c r="N407" s="282"/>
      <c r="O407" s="282"/>
      <c r="P407" s="282"/>
      <c r="Q407" s="282"/>
      <c r="R407" s="282"/>
      <c r="S407" s="282"/>
      <c r="T407" s="3"/>
      <c r="U407" s="282"/>
      <c r="V407" s="282"/>
      <c r="W407" s="282"/>
      <c r="X407" s="282"/>
      <c r="Y407" s="282"/>
      <c r="Z407" s="282"/>
      <c r="AA407" s="282"/>
      <c r="AB407" s="282"/>
      <c r="AC407" s="282"/>
      <c r="AD407" s="282"/>
      <c r="AE407" s="282"/>
      <c r="AF407" s="282"/>
      <c r="AG407" s="282"/>
      <c r="AH407" s="282"/>
      <c r="AI407" s="282"/>
      <c r="AJ407" s="282"/>
      <c r="AK407" s="282"/>
      <c r="AL407" s="282"/>
      <c r="AM407" s="282"/>
      <c r="AN407" s="282"/>
      <c r="AO407" s="282"/>
      <c r="AP407" s="282"/>
      <c r="AQ407" s="282"/>
      <c r="AR407" s="282"/>
      <c r="AS407" s="282"/>
      <c r="AT407" s="282"/>
      <c r="AU407" s="282"/>
      <c r="AV407" s="282"/>
      <c r="AW407" s="282"/>
      <c r="AX407" s="282"/>
      <c r="AY407" s="282"/>
      <c r="AZ407" s="282"/>
      <c r="BA407" s="372"/>
      <c r="BB407" s="372"/>
      <c r="BC407" s="372"/>
      <c r="BD407" s="372"/>
      <c r="BE407" s="282"/>
      <c r="BF407" s="282"/>
      <c r="BG407" s="282"/>
      <c r="BH407" s="283"/>
      <c r="BI407" s="282"/>
      <c r="BJ407" s="283"/>
      <c r="BK407" s="283"/>
      <c r="BL407" s="283"/>
      <c r="BM407" s="282"/>
      <c r="BN407" s="283"/>
      <c r="BO407" s="283"/>
      <c r="BP407" s="283"/>
      <c r="BQ407" s="283"/>
      <c r="BR407" s="283"/>
      <c r="BS407" s="283"/>
      <c r="BT407" s="283"/>
      <c r="BU407" s="283"/>
      <c r="BV407" s="283"/>
      <c r="BW407" s="283"/>
      <c r="BX407" s="283"/>
      <c r="BY407" s="283"/>
      <c r="BZ407" s="283"/>
      <c r="CA407" s="283"/>
      <c r="CB407" s="283"/>
      <c r="CC407" s="283"/>
      <c r="CD407" s="283"/>
      <c r="CE407" s="283"/>
      <c r="CF407" s="283"/>
      <c r="CG407" s="283"/>
      <c r="CH407" s="283"/>
      <c r="CI407" s="283"/>
      <c r="CJ407" s="283"/>
      <c r="CK407" s="283"/>
      <c r="CL407" s="283"/>
    </row>
    <row r="408" spans="1:90" ht="14.25" customHeight="1" x14ac:dyDescent="0.2">
      <c r="A408" s="28"/>
      <c r="B408" s="28"/>
      <c r="C408" s="28"/>
      <c r="D408" s="282"/>
      <c r="E408" s="282"/>
      <c r="F408" s="282"/>
      <c r="G408" s="282"/>
      <c r="H408" s="282"/>
      <c r="I408" s="282"/>
      <c r="J408" s="282"/>
      <c r="K408" s="282"/>
      <c r="L408" s="282"/>
      <c r="M408" s="282"/>
      <c r="N408" s="282"/>
      <c r="O408" s="282"/>
      <c r="P408" s="282"/>
      <c r="Q408" s="282"/>
      <c r="R408" s="282"/>
      <c r="S408" s="282"/>
      <c r="T408" s="3"/>
      <c r="U408" s="282"/>
      <c r="V408" s="282"/>
      <c r="W408" s="282"/>
      <c r="X408" s="282"/>
      <c r="Y408" s="282"/>
      <c r="Z408" s="282"/>
      <c r="AA408" s="282"/>
      <c r="AB408" s="282"/>
      <c r="AC408" s="282"/>
      <c r="AD408" s="282"/>
      <c r="AE408" s="282"/>
      <c r="AF408" s="282"/>
      <c r="AG408" s="282"/>
      <c r="AH408" s="282"/>
      <c r="AI408" s="282"/>
      <c r="AJ408" s="282"/>
      <c r="AK408" s="282"/>
      <c r="AL408" s="282"/>
      <c r="AM408" s="282"/>
      <c r="AN408" s="282"/>
      <c r="AO408" s="282"/>
      <c r="AP408" s="282"/>
      <c r="AQ408" s="282"/>
      <c r="AR408" s="282"/>
      <c r="AS408" s="282"/>
      <c r="AT408" s="282"/>
      <c r="AU408" s="282"/>
      <c r="AV408" s="282"/>
      <c r="AW408" s="282"/>
      <c r="AX408" s="282"/>
      <c r="AY408" s="282"/>
      <c r="AZ408" s="282"/>
      <c r="BA408" s="372"/>
      <c r="BB408" s="372"/>
      <c r="BC408" s="372"/>
      <c r="BD408" s="372"/>
      <c r="BE408" s="282"/>
      <c r="BF408" s="282"/>
      <c r="BG408" s="282"/>
      <c r="BH408" s="283"/>
      <c r="BI408" s="282"/>
      <c r="BJ408" s="283"/>
      <c r="BK408" s="283"/>
      <c r="BL408" s="283"/>
      <c r="BM408" s="282"/>
      <c r="BN408" s="283"/>
      <c r="BO408" s="283"/>
      <c r="BP408" s="283"/>
      <c r="BQ408" s="283"/>
      <c r="BR408" s="283"/>
      <c r="BS408" s="283"/>
      <c r="BT408" s="283"/>
      <c r="BU408" s="283"/>
      <c r="BV408" s="283"/>
      <c r="BW408" s="283"/>
      <c r="BX408" s="283"/>
      <c r="BY408" s="283"/>
      <c r="BZ408" s="283"/>
      <c r="CA408" s="283"/>
      <c r="CB408" s="283"/>
      <c r="CC408" s="283"/>
      <c r="CD408" s="283"/>
      <c r="CE408" s="283"/>
      <c r="CF408" s="283"/>
      <c r="CG408" s="283"/>
      <c r="CH408" s="283"/>
      <c r="CI408" s="283"/>
      <c r="CJ408" s="283"/>
      <c r="CK408" s="283"/>
      <c r="CL408" s="283"/>
    </row>
    <row r="409" spans="1:90" ht="14.25" customHeight="1" x14ac:dyDescent="0.2">
      <c r="A409" s="28"/>
      <c r="B409" s="28"/>
      <c r="C409" s="28"/>
      <c r="D409" s="282"/>
      <c r="E409" s="282"/>
      <c r="F409" s="282"/>
      <c r="G409" s="282"/>
      <c r="H409" s="282"/>
      <c r="I409" s="282"/>
      <c r="J409" s="282"/>
      <c r="K409" s="282"/>
      <c r="L409" s="282"/>
      <c r="M409" s="282"/>
      <c r="N409" s="282"/>
      <c r="O409" s="282"/>
      <c r="P409" s="282"/>
      <c r="Q409" s="282"/>
      <c r="R409" s="282"/>
      <c r="S409" s="282"/>
      <c r="T409" s="3"/>
      <c r="U409" s="282"/>
      <c r="V409" s="282"/>
      <c r="W409" s="282"/>
      <c r="X409" s="282"/>
      <c r="Y409" s="282"/>
      <c r="Z409" s="282"/>
      <c r="AA409" s="282"/>
      <c r="AB409" s="282"/>
      <c r="AC409" s="282"/>
      <c r="AD409" s="282"/>
      <c r="AE409" s="282"/>
      <c r="AF409" s="282"/>
      <c r="AG409" s="282"/>
      <c r="AH409" s="282"/>
      <c r="AI409" s="282"/>
      <c r="AJ409" s="282"/>
      <c r="AK409" s="282"/>
      <c r="AL409" s="282"/>
      <c r="AM409" s="282"/>
      <c r="AN409" s="282"/>
      <c r="AO409" s="282"/>
      <c r="AP409" s="282"/>
      <c r="AQ409" s="282"/>
      <c r="AR409" s="282"/>
      <c r="AS409" s="282"/>
      <c r="AT409" s="282"/>
      <c r="AU409" s="282"/>
      <c r="AV409" s="282"/>
      <c r="AW409" s="282"/>
      <c r="AX409" s="282"/>
      <c r="AY409" s="282"/>
      <c r="AZ409" s="282"/>
      <c r="BA409" s="372"/>
      <c r="BB409" s="372"/>
      <c r="BC409" s="372"/>
      <c r="BD409" s="372"/>
      <c r="BE409" s="282"/>
      <c r="BF409" s="282"/>
      <c r="BG409" s="282"/>
      <c r="BH409" s="283"/>
      <c r="BI409" s="282"/>
      <c r="BJ409" s="283"/>
      <c r="BK409" s="283"/>
      <c r="BL409" s="283"/>
      <c r="BM409" s="282"/>
      <c r="BN409" s="283"/>
      <c r="BO409" s="283"/>
      <c r="BP409" s="283"/>
      <c r="BQ409" s="283"/>
      <c r="BR409" s="283"/>
      <c r="BS409" s="283"/>
      <c r="BT409" s="283"/>
      <c r="BU409" s="283"/>
      <c r="BV409" s="283"/>
      <c r="BW409" s="283"/>
      <c r="BX409" s="283"/>
      <c r="BY409" s="283"/>
      <c r="BZ409" s="283"/>
      <c r="CA409" s="283"/>
      <c r="CB409" s="283"/>
      <c r="CC409" s="283"/>
      <c r="CD409" s="283"/>
      <c r="CE409" s="283"/>
      <c r="CF409" s="283"/>
      <c r="CG409" s="283"/>
      <c r="CH409" s="283"/>
      <c r="CI409" s="283"/>
      <c r="CJ409" s="283"/>
      <c r="CK409" s="283"/>
      <c r="CL409" s="283"/>
    </row>
    <row r="410" spans="1:90" ht="14.25" customHeight="1" x14ac:dyDescent="0.2">
      <c r="A410" s="28"/>
      <c r="B410" s="28"/>
      <c r="C410" s="28"/>
      <c r="D410" s="282"/>
      <c r="E410" s="282"/>
      <c r="F410" s="282"/>
      <c r="G410" s="282"/>
      <c r="H410" s="282"/>
      <c r="I410" s="282"/>
      <c r="J410" s="282"/>
      <c r="K410" s="282"/>
      <c r="L410" s="282"/>
      <c r="M410" s="282"/>
      <c r="N410" s="282"/>
      <c r="O410" s="282"/>
      <c r="P410" s="282"/>
      <c r="Q410" s="282"/>
      <c r="R410" s="282"/>
      <c r="S410" s="282"/>
      <c r="T410" s="3"/>
      <c r="U410" s="282"/>
      <c r="V410" s="282"/>
      <c r="W410" s="282"/>
      <c r="X410" s="282"/>
      <c r="Y410" s="282"/>
      <c r="Z410" s="282"/>
      <c r="AA410" s="282"/>
      <c r="AB410" s="282"/>
      <c r="AC410" s="282"/>
      <c r="AD410" s="282"/>
      <c r="AE410" s="282"/>
      <c r="AF410" s="282"/>
      <c r="AG410" s="282"/>
      <c r="AH410" s="282"/>
      <c r="AI410" s="282"/>
      <c r="AJ410" s="282"/>
      <c r="AK410" s="282"/>
      <c r="AL410" s="282"/>
      <c r="AM410" s="282"/>
      <c r="AN410" s="282"/>
      <c r="AO410" s="282"/>
      <c r="AP410" s="282"/>
      <c r="AQ410" s="282"/>
      <c r="AR410" s="282"/>
      <c r="AS410" s="282"/>
      <c r="AT410" s="282"/>
      <c r="AU410" s="282"/>
      <c r="AV410" s="282"/>
      <c r="AW410" s="282"/>
      <c r="AX410" s="282"/>
      <c r="AY410" s="282"/>
      <c r="AZ410" s="282"/>
      <c r="BA410" s="372"/>
      <c r="BB410" s="372"/>
      <c r="BC410" s="372"/>
      <c r="BD410" s="372"/>
      <c r="BE410" s="282"/>
      <c r="BF410" s="282"/>
      <c r="BG410" s="282"/>
      <c r="BH410" s="283"/>
      <c r="BI410" s="282"/>
      <c r="BJ410" s="283"/>
      <c r="BK410" s="283"/>
      <c r="BL410" s="283"/>
      <c r="BM410" s="282"/>
      <c r="BN410" s="283"/>
      <c r="BO410" s="283"/>
      <c r="BP410" s="283"/>
      <c r="BQ410" s="283"/>
      <c r="BR410" s="283"/>
      <c r="BS410" s="283"/>
      <c r="BT410" s="283"/>
      <c r="BU410" s="283"/>
      <c r="BV410" s="283"/>
      <c r="BW410" s="283"/>
      <c r="BX410" s="283"/>
      <c r="BY410" s="283"/>
      <c r="BZ410" s="283"/>
      <c r="CA410" s="283"/>
      <c r="CB410" s="283"/>
      <c r="CC410" s="283"/>
      <c r="CD410" s="283"/>
      <c r="CE410" s="283"/>
      <c r="CF410" s="283"/>
      <c r="CG410" s="283"/>
      <c r="CH410" s="283"/>
      <c r="CI410" s="283"/>
      <c r="CJ410" s="283"/>
      <c r="CK410" s="283"/>
      <c r="CL410" s="283"/>
    </row>
    <row r="411" spans="1:90" ht="14.25" customHeight="1" x14ac:dyDescent="0.2">
      <c r="A411" s="28"/>
      <c r="B411" s="28"/>
      <c r="C411" s="28"/>
      <c r="D411" s="282"/>
      <c r="E411" s="282"/>
      <c r="F411" s="282"/>
      <c r="G411" s="282"/>
      <c r="H411" s="282"/>
      <c r="I411" s="282"/>
      <c r="J411" s="282"/>
      <c r="K411" s="282"/>
      <c r="L411" s="282"/>
      <c r="M411" s="282"/>
      <c r="N411" s="282"/>
      <c r="O411" s="282"/>
      <c r="P411" s="282"/>
      <c r="Q411" s="282"/>
      <c r="R411" s="282"/>
      <c r="S411" s="282"/>
      <c r="T411" s="3"/>
      <c r="U411" s="282"/>
      <c r="V411" s="282"/>
      <c r="W411" s="282"/>
      <c r="X411" s="282"/>
      <c r="Y411" s="282"/>
      <c r="Z411" s="282"/>
      <c r="AA411" s="282"/>
      <c r="AB411" s="282"/>
      <c r="AC411" s="282"/>
      <c r="AD411" s="282"/>
      <c r="AE411" s="282"/>
      <c r="AF411" s="282"/>
      <c r="AG411" s="282"/>
      <c r="AH411" s="282"/>
      <c r="AI411" s="282"/>
      <c r="AJ411" s="282"/>
      <c r="AK411" s="282"/>
      <c r="AL411" s="282"/>
      <c r="AM411" s="282"/>
      <c r="AN411" s="282"/>
      <c r="AO411" s="282"/>
      <c r="AP411" s="282"/>
      <c r="AQ411" s="282"/>
      <c r="AR411" s="282"/>
      <c r="AS411" s="282"/>
      <c r="AT411" s="282"/>
      <c r="AU411" s="282"/>
      <c r="AV411" s="282"/>
      <c r="AW411" s="282"/>
      <c r="AX411" s="282"/>
      <c r="AY411" s="282"/>
      <c r="AZ411" s="282"/>
      <c r="BA411" s="372"/>
      <c r="BB411" s="372"/>
      <c r="BC411" s="372"/>
      <c r="BD411" s="372"/>
      <c r="BE411" s="282"/>
      <c r="BF411" s="282"/>
      <c r="BG411" s="282"/>
      <c r="BH411" s="283"/>
      <c r="BI411" s="282"/>
      <c r="BJ411" s="283"/>
      <c r="BK411" s="283"/>
      <c r="BL411" s="283"/>
      <c r="BM411" s="282"/>
      <c r="BN411" s="283"/>
      <c r="BO411" s="283"/>
      <c r="BP411" s="283"/>
      <c r="BQ411" s="283"/>
      <c r="BR411" s="283"/>
      <c r="BS411" s="283"/>
      <c r="BT411" s="283"/>
      <c r="BU411" s="283"/>
      <c r="BV411" s="283"/>
      <c r="BW411" s="283"/>
      <c r="BX411" s="283"/>
      <c r="BY411" s="283"/>
      <c r="BZ411" s="283"/>
      <c r="CA411" s="283"/>
      <c r="CB411" s="283"/>
      <c r="CC411" s="283"/>
      <c r="CD411" s="283"/>
      <c r="CE411" s="283"/>
      <c r="CF411" s="283"/>
      <c r="CG411" s="283"/>
      <c r="CH411" s="283"/>
      <c r="CI411" s="283"/>
      <c r="CJ411" s="283"/>
      <c r="CK411" s="283"/>
      <c r="CL411" s="283"/>
    </row>
    <row r="412" spans="1:90" ht="14.25" customHeight="1" x14ac:dyDescent="0.2">
      <c r="A412" s="28"/>
      <c r="B412" s="28"/>
      <c r="C412" s="28"/>
      <c r="D412" s="282"/>
      <c r="E412" s="282"/>
      <c r="F412" s="282"/>
      <c r="G412" s="282"/>
      <c r="H412" s="282"/>
      <c r="I412" s="282"/>
      <c r="J412" s="282"/>
      <c r="K412" s="282"/>
      <c r="L412" s="282"/>
      <c r="M412" s="282"/>
      <c r="N412" s="282"/>
      <c r="O412" s="282"/>
      <c r="P412" s="282"/>
      <c r="Q412" s="282"/>
      <c r="R412" s="282"/>
      <c r="S412" s="282"/>
      <c r="T412" s="3"/>
      <c r="U412" s="282"/>
      <c r="V412" s="282"/>
      <c r="W412" s="282"/>
      <c r="X412" s="282"/>
      <c r="Y412" s="282"/>
      <c r="Z412" s="282"/>
      <c r="AA412" s="282"/>
      <c r="AB412" s="282"/>
      <c r="AC412" s="282"/>
      <c r="AD412" s="282"/>
      <c r="AE412" s="282"/>
      <c r="AF412" s="282"/>
      <c r="AG412" s="282"/>
      <c r="AH412" s="282"/>
      <c r="AI412" s="282"/>
      <c r="AJ412" s="282"/>
      <c r="AK412" s="282"/>
      <c r="AL412" s="282"/>
      <c r="AM412" s="282"/>
      <c r="AN412" s="282"/>
      <c r="AO412" s="282"/>
      <c r="AP412" s="282"/>
      <c r="AQ412" s="282"/>
      <c r="AR412" s="282"/>
      <c r="AS412" s="282"/>
      <c r="AT412" s="282"/>
      <c r="AU412" s="282"/>
      <c r="AV412" s="282"/>
      <c r="AW412" s="282"/>
      <c r="AX412" s="282"/>
      <c r="AY412" s="282"/>
      <c r="AZ412" s="282"/>
      <c r="BA412" s="372"/>
      <c r="BB412" s="372"/>
      <c r="BC412" s="372"/>
      <c r="BD412" s="372"/>
      <c r="BE412" s="282"/>
      <c r="BF412" s="282"/>
      <c r="BG412" s="282"/>
      <c r="BH412" s="283"/>
      <c r="BI412" s="282"/>
      <c r="BJ412" s="283"/>
      <c r="BK412" s="283"/>
      <c r="BL412" s="283"/>
      <c r="BM412" s="282"/>
      <c r="BN412" s="283"/>
      <c r="BO412" s="283"/>
      <c r="BP412" s="283"/>
      <c r="BQ412" s="283"/>
      <c r="BR412" s="283"/>
      <c r="BS412" s="283"/>
      <c r="BT412" s="283"/>
      <c r="BU412" s="283"/>
      <c r="BV412" s="283"/>
      <c r="BW412" s="283"/>
      <c r="BX412" s="283"/>
      <c r="BY412" s="283"/>
      <c r="BZ412" s="283"/>
      <c r="CA412" s="283"/>
      <c r="CB412" s="283"/>
      <c r="CC412" s="283"/>
      <c r="CD412" s="283"/>
      <c r="CE412" s="283"/>
      <c r="CF412" s="283"/>
      <c r="CG412" s="283"/>
      <c r="CH412" s="283"/>
      <c r="CI412" s="283"/>
      <c r="CJ412" s="283"/>
      <c r="CK412" s="283"/>
      <c r="CL412" s="283"/>
    </row>
    <row r="413" spans="1:90" ht="14.25" customHeight="1" x14ac:dyDescent="0.2">
      <c r="A413" s="28"/>
      <c r="B413" s="28"/>
      <c r="C413" s="28"/>
      <c r="D413" s="282"/>
      <c r="E413" s="282"/>
      <c r="F413" s="282"/>
      <c r="G413" s="282"/>
      <c r="H413" s="282"/>
      <c r="I413" s="282"/>
      <c r="J413" s="282"/>
      <c r="K413" s="282"/>
      <c r="L413" s="282"/>
      <c r="M413" s="282"/>
      <c r="N413" s="282"/>
      <c r="O413" s="282"/>
      <c r="P413" s="282"/>
      <c r="Q413" s="282"/>
      <c r="R413" s="282"/>
      <c r="S413" s="282"/>
      <c r="T413" s="3"/>
      <c r="U413" s="282"/>
      <c r="V413" s="282"/>
      <c r="W413" s="282"/>
      <c r="X413" s="282"/>
      <c r="Y413" s="282"/>
      <c r="Z413" s="282"/>
      <c r="AA413" s="282"/>
      <c r="AB413" s="282"/>
      <c r="AC413" s="282"/>
      <c r="AD413" s="282"/>
      <c r="AE413" s="282"/>
      <c r="AF413" s="282"/>
      <c r="AG413" s="282"/>
      <c r="AH413" s="282"/>
      <c r="AI413" s="282"/>
      <c r="AJ413" s="282"/>
      <c r="AK413" s="282"/>
      <c r="AL413" s="282"/>
      <c r="AM413" s="282"/>
      <c r="AN413" s="282"/>
      <c r="AO413" s="282"/>
      <c r="AP413" s="282"/>
      <c r="AQ413" s="282"/>
      <c r="AR413" s="282"/>
      <c r="AS413" s="282"/>
      <c r="AT413" s="282"/>
      <c r="AU413" s="282"/>
      <c r="AV413" s="282"/>
      <c r="AW413" s="282"/>
      <c r="AX413" s="282"/>
      <c r="AY413" s="282"/>
      <c r="AZ413" s="282"/>
      <c r="BA413" s="372"/>
      <c r="BB413" s="372"/>
      <c r="BC413" s="372"/>
      <c r="BD413" s="372"/>
      <c r="BE413" s="282"/>
      <c r="BF413" s="282"/>
      <c r="BG413" s="282"/>
      <c r="BH413" s="283"/>
      <c r="BI413" s="282"/>
      <c r="BJ413" s="283"/>
      <c r="BK413" s="283"/>
      <c r="BL413" s="283"/>
      <c r="BM413" s="282"/>
      <c r="BN413" s="283"/>
      <c r="BO413" s="283"/>
      <c r="BP413" s="283"/>
      <c r="BQ413" s="283"/>
      <c r="BR413" s="283"/>
      <c r="BS413" s="283"/>
      <c r="BT413" s="283"/>
      <c r="BU413" s="283"/>
      <c r="BV413" s="283"/>
      <c r="BW413" s="283"/>
      <c r="BX413" s="283"/>
      <c r="BY413" s="283"/>
      <c r="BZ413" s="283"/>
      <c r="CA413" s="283"/>
      <c r="CB413" s="283"/>
      <c r="CC413" s="283"/>
      <c r="CD413" s="283"/>
      <c r="CE413" s="283"/>
      <c r="CF413" s="283"/>
      <c r="CG413" s="283"/>
      <c r="CH413" s="283"/>
      <c r="CI413" s="283"/>
      <c r="CJ413" s="283"/>
      <c r="CK413" s="283"/>
      <c r="CL413" s="283"/>
    </row>
    <row r="414" spans="1:90" ht="14.25" customHeight="1" x14ac:dyDescent="0.2">
      <c r="A414" s="28"/>
      <c r="B414" s="28"/>
      <c r="C414" s="28"/>
      <c r="D414" s="282"/>
      <c r="E414" s="282"/>
      <c r="F414" s="282"/>
      <c r="G414" s="282"/>
      <c r="H414" s="282"/>
      <c r="I414" s="282"/>
      <c r="J414" s="282"/>
      <c r="K414" s="282"/>
      <c r="L414" s="282"/>
      <c r="M414" s="282"/>
      <c r="N414" s="282"/>
      <c r="O414" s="282"/>
      <c r="P414" s="282"/>
      <c r="Q414" s="282"/>
      <c r="R414" s="282"/>
      <c r="S414" s="282"/>
      <c r="T414" s="282"/>
      <c r="U414" s="282"/>
      <c r="V414" s="282"/>
      <c r="W414" s="282"/>
      <c r="X414" s="282"/>
      <c r="Y414" s="282"/>
      <c r="Z414" s="282"/>
      <c r="AA414" s="282"/>
      <c r="AB414" s="282"/>
      <c r="AC414" s="282"/>
      <c r="AD414" s="282"/>
      <c r="AE414" s="282"/>
      <c r="AF414" s="282"/>
      <c r="AG414" s="282"/>
      <c r="AH414" s="282"/>
      <c r="AI414" s="282"/>
      <c r="AJ414" s="282"/>
      <c r="AK414" s="282"/>
      <c r="AL414" s="282"/>
      <c r="AM414" s="282"/>
      <c r="AN414" s="282"/>
      <c r="AO414" s="282"/>
      <c r="AP414" s="282"/>
      <c r="AQ414" s="282"/>
      <c r="AR414" s="282"/>
      <c r="AS414" s="282"/>
      <c r="AT414" s="282"/>
      <c r="AU414" s="282"/>
      <c r="AV414" s="282"/>
      <c r="AW414" s="282"/>
      <c r="AX414" s="282"/>
      <c r="AY414" s="282"/>
      <c r="AZ414" s="282"/>
      <c r="BA414" s="372"/>
      <c r="BB414" s="372"/>
      <c r="BC414" s="372"/>
      <c r="BD414" s="372"/>
      <c r="BE414" s="282"/>
      <c r="BF414" s="282"/>
      <c r="BG414" s="282"/>
      <c r="BH414" s="283"/>
      <c r="BI414" s="282"/>
      <c r="BJ414" s="283"/>
      <c r="BK414" s="283"/>
      <c r="BL414" s="283"/>
      <c r="BM414" s="282"/>
      <c r="BN414" s="283"/>
      <c r="BO414" s="283"/>
      <c r="BP414" s="283"/>
      <c r="BQ414" s="283"/>
      <c r="BR414" s="283"/>
      <c r="BS414" s="283"/>
      <c r="BT414" s="283"/>
      <c r="BU414" s="283"/>
      <c r="BV414" s="283"/>
      <c r="BW414" s="283"/>
      <c r="BX414" s="283"/>
      <c r="BY414" s="283"/>
      <c r="BZ414" s="283"/>
      <c r="CA414" s="283"/>
      <c r="CB414" s="283"/>
      <c r="CC414" s="283"/>
      <c r="CD414" s="283"/>
      <c r="CE414" s="283"/>
      <c r="CF414" s="283"/>
      <c r="CG414" s="283"/>
      <c r="CH414" s="283"/>
      <c r="CI414" s="283"/>
      <c r="CJ414" s="283"/>
      <c r="CK414" s="283"/>
      <c r="CL414" s="283"/>
    </row>
    <row r="415" spans="1:90" ht="14.25" customHeight="1" x14ac:dyDescent="0.2">
      <c r="A415" s="28"/>
      <c r="B415" s="28"/>
      <c r="C415" s="28"/>
      <c r="D415" s="282"/>
      <c r="E415" s="282"/>
      <c r="F415" s="282"/>
      <c r="G415" s="282"/>
      <c r="H415" s="282"/>
      <c r="I415" s="282"/>
      <c r="J415" s="282"/>
      <c r="K415" s="282"/>
      <c r="L415" s="282"/>
      <c r="M415" s="282"/>
      <c r="N415" s="282"/>
      <c r="O415" s="282"/>
      <c r="P415" s="282"/>
      <c r="Q415" s="282"/>
      <c r="R415" s="282"/>
      <c r="S415" s="282"/>
      <c r="T415" s="282"/>
      <c r="U415" s="282"/>
      <c r="V415" s="282"/>
      <c r="W415" s="282"/>
      <c r="X415" s="282"/>
      <c r="Y415" s="282"/>
      <c r="Z415" s="282"/>
      <c r="AA415" s="282"/>
      <c r="AB415" s="282"/>
      <c r="AC415" s="282"/>
      <c r="AD415" s="282"/>
      <c r="AE415" s="282"/>
      <c r="AF415" s="282"/>
      <c r="AG415" s="282"/>
      <c r="AH415" s="282"/>
      <c r="AI415" s="282"/>
      <c r="AJ415" s="282"/>
      <c r="AK415" s="282"/>
      <c r="AL415" s="282"/>
      <c r="AM415" s="282"/>
      <c r="AN415" s="282"/>
      <c r="AO415" s="282"/>
      <c r="AP415" s="282"/>
      <c r="AQ415" s="282"/>
      <c r="AR415" s="282"/>
      <c r="AS415" s="282"/>
      <c r="AT415" s="282"/>
      <c r="AU415" s="282"/>
      <c r="AV415" s="282"/>
      <c r="AW415" s="282"/>
      <c r="AX415" s="282"/>
      <c r="AY415" s="282"/>
      <c r="AZ415" s="282"/>
      <c r="BA415" s="372"/>
      <c r="BB415" s="372"/>
      <c r="BC415" s="372"/>
      <c r="BD415" s="372"/>
      <c r="BE415" s="282"/>
      <c r="BF415" s="282"/>
      <c r="BG415" s="282"/>
      <c r="BH415" s="283"/>
      <c r="BI415" s="282"/>
      <c r="BJ415" s="283"/>
      <c r="BK415" s="283"/>
      <c r="BL415" s="283"/>
      <c r="BM415" s="282"/>
      <c r="BN415" s="283"/>
      <c r="BO415" s="283"/>
      <c r="BP415" s="283"/>
      <c r="BQ415" s="283"/>
      <c r="BR415" s="283"/>
      <c r="BS415" s="283"/>
      <c r="BT415" s="283"/>
      <c r="BU415" s="283"/>
      <c r="BV415" s="283"/>
      <c r="BW415" s="283"/>
      <c r="BX415" s="283"/>
      <c r="BY415" s="283"/>
      <c r="BZ415" s="283"/>
      <c r="CA415" s="283"/>
      <c r="CB415" s="283"/>
      <c r="CC415" s="283"/>
      <c r="CD415" s="283"/>
      <c r="CE415" s="283"/>
      <c r="CF415" s="283"/>
      <c r="CG415" s="283"/>
      <c r="CH415" s="283"/>
      <c r="CI415" s="283"/>
      <c r="CJ415" s="283"/>
      <c r="CK415" s="283"/>
      <c r="CL415" s="283"/>
    </row>
    <row r="416" spans="1:90" ht="14.25" customHeight="1" x14ac:dyDescent="0.2">
      <c r="A416" s="28"/>
      <c r="B416" s="28"/>
      <c r="C416" s="28"/>
      <c r="D416" s="282"/>
      <c r="E416" s="282"/>
      <c r="F416" s="282"/>
      <c r="G416" s="282"/>
      <c r="H416" s="282"/>
      <c r="I416" s="282"/>
      <c r="J416" s="282"/>
      <c r="K416" s="282"/>
      <c r="L416" s="282"/>
      <c r="M416" s="282"/>
      <c r="N416" s="282"/>
      <c r="O416" s="282"/>
      <c r="P416" s="282"/>
      <c r="Q416" s="282"/>
      <c r="R416" s="282"/>
      <c r="S416" s="282"/>
      <c r="T416" s="282"/>
      <c r="U416" s="282"/>
      <c r="V416" s="282"/>
      <c r="W416" s="282"/>
      <c r="X416" s="282"/>
      <c r="Y416" s="282"/>
      <c r="Z416" s="282"/>
      <c r="AA416" s="282"/>
      <c r="AB416" s="282"/>
      <c r="AC416" s="282"/>
      <c r="AD416" s="282"/>
      <c r="AE416" s="282"/>
      <c r="AF416" s="282"/>
      <c r="AG416" s="282"/>
      <c r="AH416" s="282"/>
      <c r="AI416" s="282"/>
      <c r="AJ416" s="282"/>
      <c r="AK416" s="282"/>
      <c r="AL416" s="282"/>
      <c r="AM416" s="282"/>
      <c r="AN416" s="282"/>
      <c r="AO416" s="282"/>
      <c r="AP416" s="282"/>
      <c r="AQ416" s="282"/>
      <c r="AR416" s="282"/>
      <c r="AS416" s="282"/>
      <c r="AT416" s="282"/>
      <c r="AU416" s="282"/>
      <c r="AV416" s="282"/>
      <c r="AW416" s="282"/>
      <c r="AX416" s="282"/>
      <c r="AY416" s="282"/>
      <c r="AZ416" s="282"/>
      <c r="BA416" s="372"/>
      <c r="BB416" s="372"/>
      <c r="BC416" s="372"/>
      <c r="BD416" s="372"/>
      <c r="BE416" s="282"/>
      <c r="BF416" s="282"/>
      <c r="BG416" s="282"/>
      <c r="BH416" s="283"/>
      <c r="BI416" s="282"/>
      <c r="BJ416" s="283"/>
      <c r="BK416" s="283"/>
      <c r="BL416" s="283"/>
      <c r="BM416" s="282"/>
      <c r="BN416" s="283"/>
      <c r="BO416" s="283"/>
      <c r="BP416" s="283"/>
      <c r="BQ416" s="283"/>
      <c r="BR416" s="283"/>
      <c r="BS416" s="283"/>
      <c r="BT416" s="283"/>
      <c r="BU416" s="283"/>
      <c r="BV416" s="283"/>
      <c r="BW416" s="283"/>
      <c r="BX416" s="283"/>
      <c r="BY416" s="283"/>
      <c r="BZ416" s="283"/>
      <c r="CA416" s="283"/>
      <c r="CB416" s="283"/>
      <c r="CC416" s="283"/>
      <c r="CD416" s="283"/>
      <c r="CE416" s="283"/>
      <c r="CF416" s="283"/>
      <c r="CG416" s="283"/>
      <c r="CH416" s="283"/>
      <c r="CI416" s="283"/>
      <c r="CJ416" s="283"/>
      <c r="CK416" s="283"/>
      <c r="CL416" s="283"/>
    </row>
    <row r="417" spans="1:90" ht="14.25" customHeight="1" x14ac:dyDescent="0.2">
      <c r="A417" s="28"/>
      <c r="B417" s="28"/>
      <c r="C417" s="28"/>
      <c r="D417" s="282"/>
      <c r="E417" s="282"/>
      <c r="F417" s="282"/>
      <c r="G417" s="282"/>
      <c r="H417" s="282"/>
      <c r="I417" s="282"/>
      <c r="J417" s="282"/>
      <c r="K417" s="282"/>
      <c r="L417" s="282"/>
      <c r="M417" s="282"/>
      <c r="N417" s="282"/>
      <c r="O417" s="282"/>
      <c r="P417" s="282"/>
      <c r="Q417" s="282"/>
      <c r="R417" s="282"/>
      <c r="S417" s="282"/>
      <c r="T417" s="282"/>
      <c r="U417" s="282"/>
      <c r="V417" s="282"/>
      <c r="W417" s="282"/>
      <c r="X417" s="282"/>
      <c r="Y417" s="282"/>
      <c r="Z417" s="282"/>
      <c r="AA417" s="282"/>
      <c r="AB417" s="282"/>
      <c r="AC417" s="282"/>
      <c r="AD417" s="282"/>
      <c r="AE417" s="282"/>
      <c r="AF417" s="282"/>
      <c r="AG417" s="282"/>
      <c r="AH417" s="282"/>
      <c r="AI417" s="282"/>
      <c r="AJ417" s="282"/>
      <c r="AK417" s="282"/>
      <c r="AL417" s="282"/>
      <c r="AM417" s="282"/>
      <c r="AN417" s="282"/>
      <c r="AO417" s="282"/>
      <c r="AP417" s="282"/>
      <c r="AQ417" s="282"/>
      <c r="AR417" s="282"/>
      <c r="AS417" s="282"/>
      <c r="AT417" s="282"/>
      <c r="AU417" s="282"/>
      <c r="AV417" s="282"/>
      <c r="AW417" s="282"/>
      <c r="AX417" s="282"/>
      <c r="AY417" s="282"/>
      <c r="AZ417" s="282"/>
      <c r="BA417" s="372"/>
      <c r="BB417" s="372"/>
      <c r="BC417" s="372"/>
      <c r="BD417" s="372"/>
      <c r="BE417" s="282"/>
      <c r="BF417" s="282"/>
      <c r="BG417" s="282"/>
      <c r="BH417" s="283"/>
      <c r="BI417" s="282"/>
      <c r="BJ417" s="283"/>
      <c r="BK417" s="283"/>
      <c r="BL417" s="283"/>
      <c r="BM417" s="282"/>
      <c r="BN417" s="283"/>
      <c r="BO417" s="283"/>
      <c r="BP417" s="283"/>
      <c r="BQ417" s="283"/>
      <c r="BR417" s="283"/>
      <c r="BS417" s="283"/>
      <c r="BT417" s="283"/>
      <c r="BU417" s="283"/>
      <c r="BV417" s="283"/>
      <c r="BW417" s="283"/>
      <c r="BX417" s="283"/>
      <c r="BY417" s="283"/>
      <c r="BZ417" s="283"/>
      <c r="CA417" s="283"/>
      <c r="CB417" s="283"/>
      <c r="CC417" s="283"/>
      <c r="CD417" s="283"/>
      <c r="CE417" s="283"/>
      <c r="CF417" s="283"/>
      <c r="CG417" s="283"/>
      <c r="CH417" s="283"/>
      <c r="CI417" s="283"/>
      <c r="CJ417" s="283"/>
      <c r="CK417" s="283"/>
      <c r="CL417" s="283"/>
    </row>
    <row r="418" spans="1:90" ht="14.25" customHeight="1" x14ac:dyDescent="0.2">
      <c r="A418" s="28"/>
      <c r="B418" s="28"/>
      <c r="C418" s="28"/>
      <c r="D418" s="282"/>
      <c r="E418" s="282"/>
      <c r="F418" s="282"/>
      <c r="G418" s="282"/>
      <c r="H418" s="282"/>
      <c r="I418" s="282"/>
      <c r="J418" s="282"/>
      <c r="K418" s="282"/>
      <c r="L418" s="282"/>
      <c r="M418" s="282"/>
      <c r="N418" s="282"/>
      <c r="O418" s="282"/>
      <c r="P418" s="282"/>
      <c r="Q418" s="282"/>
      <c r="R418" s="282"/>
      <c r="S418" s="282"/>
      <c r="T418" s="282"/>
      <c r="U418" s="282"/>
      <c r="V418" s="282"/>
      <c r="W418" s="282"/>
      <c r="X418" s="282"/>
      <c r="Y418" s="282"/>
      <c r="Z418" s="282"/>
      <c r="AA418" s="282"/>
      <c r="AB418" s="282"/>
      <c r="AC418" s="282"/>
      <c r="AD418" s="282"/>
      <c r="AE418" s="282"/>
      <c r="AF418" s="282"/>
      <c r="AG418" s="282"/>
      <c r="AH418" s="282"/>
      <c r="AI418" s="282"/>
      <c r="AJ418" s="282"/>
      <c r="AK418" s="282"/>
      <c r="AL418" s="282"/>
      <c r="AM418" s="282"/>
      <c r="AN418" s="282"/>
      <c r="AO418" s="282"/>
      <c r="AP418" s="282"/>
      <c r="AQ418" s="282"/>
      <c r="AR418" s="282"/>
      <c r="AS418" s="282"/>
      <c r="AT418" s="282"/>
      <c r="AU418" s="282"/>
      <c r="AV418" s="282"/>
      <c r="AW418" s="282"/>
      <c r="AX418" s="282"/>
      <c r="AY418" s="282"/>
      <c r="AZ418" s="282"/>
      <c r="BA418" s="372"/>
      <c r="BB418" s="372"/>
      <c r="BC418" s="372"/>
      <c r="BD418" s="372"/>
      <c r="BE418" s="282"/>
      <c r="BF418" s="282"/>
      <c r="BG418" s="282"/>
      <c r="BH418" s="283"/>
      <c r="BI418" s="282"/>
      <c r="BJ418" s="283"/>
      <c r="BK418" s="283"/>
      <c r="BL418" s="283"/>
      <c r="BM418" s="282"/>
      <c r="BN418" s="283"/>
      <c r="BO418" s="283"/>
      <c r="BP418" s="283"/>
      <c r="BQ418" s="283"/>
      <c r="BR418" s="283"/>
      <c r="BS418" s="283"/>
      <c r="BT418" s="283"/>
      <c r="BU418" s="283"/>
      <c r="BV418" s="283"/>
      <c r="BW418" s="283"/>
      <c r="BX418" s="283"/>
      <c r="BY418" s="283"/>
      <c r="BZ418" s="283"/>
      <c r="CA418" s="283"/>
      <c r="CB418" s="283"/>
      <c r="CC418" s="283"/>
      <c r="CD418" s="283"/>
      <c r="CE418" s="283"/>
      <c r="CF418" s="283"/>
      <c r="CG418" s="283"/>
      <c r="CH418" s="283"/>
      <c r="CI418" s="283"/>
      <c r="CJ418" s="283"/>
      <c r="CK418" s="283"/>
      <c r="CL418" s="283"/>
    </row>
    <row r="419" spans="1:90" ht="14.25" customHeight="1" x14ac:dyDescent="0.2">
      <c r="A419" s="28"/>
      <c r="B419" s="28"/>
      <c r="C419" s="28"/>
      <c r="D419" s="282"/>
      <c r="E419" s="282"/>
      <c r="F419" s="282"/>
      <c r="G419" s="282"/>
      <c r="H419" s="282"/>
      <c r="I419" s="282"/>
      <c r="J419" s="282"/>
      <c r="K419" s="282"/>
      <c r="L419" s="282"/>
      <c r="M419" s="282"/>
      <c r="N419" s="282"/>
      <c r="O419" s="282"/>
      <c r="P419" s="282"/>
      <c r="Q419" s="282"/>
      <c r="R419" s="282"/>
      <c r="S419" s="282"/>
      <c r="T419" s="282"/>
      <c r="U419" s="282"/>
      <c r="V419" s="282"/>
      <c r="W419" s="282"/>
      <c r="X419" s="282"/>
      <c r="Y419" s="282"/>
      <c r="Z419" s="282"/>
      <c r="AA419" s="282"/>
      <c r="AB419" s="282"/>
      <c r="AC419" s="282"/>
      <c r="AD419" s="282"/>
      <c r="AE419" s="282"/>
      <c r="AF419" s="282"/>
      <c r="AG419" s="282"/>
      <c r="AH419" s="282"/>
      <c r="AI419" s="282"/>
      <c r="AJ419" s="282"/>
      <c r="AK419" s="282"/>
      <c r="AL419" s="282"/>
      <c r="AM419" s="282"/>
      <c r="AN419" s="282"/>
      <c r="AO419" s="282"/>
      <c r="AP419" s="282"/>
      <c r="AQ419" s="282"/>
      <c r="AR419" s="282"/>
      <c r="AS419" s="282"/>
      <c r="AT419" s="282"/>
      <c r="AU419" s="282"/>
      <c r="AV419" s="282"/>
      <c r="AW419" s="282"/>
      <c r="AX419" s="282"/>
      <c r="AY419" s="282"/>
      <c r="AZ419" s="282"/>
      <c r="BA419" s="372"/>
      <c r="BB419" s="372"/>
      <c r="BC419" s="372"/>
      <c r="BD419" s="372"/>
      <c r="BE419" s="282"/>
      <c r="BF419" s="282"/>
      <c r="BG419" s="282"/>
      <c r="BH419" s="283"/>
      <c r="BI419" s="282"/>
      <c r="BJ419" s="283"/>
      <c r="BK419" s="283"/>
      <c r="BL419" s="283"/>
      <c r="BM419" s="282"/>
      <c r="BN419" s="283"/>
      <c r="BO419" s="283"/>
      <c r="BP419" s="283"/>
      <c r="BQ419" s="283"/>
      <c r="BR419" s="283"/>
      <c r="BS419" s="283"/>
      <c r="BT419" s="283"/>
      <c r="BU419" s="283"/>
      <c r="BV419" s="283"/>
      <c r="BW419" s="283"/>
      <c r="BX419" s="283"/>
      <c r="BY419" s="283"/>
      <c r="BZ419" s="283"/>
      <c r="CA419" s="283"/>
      <c r="CB419" s="283"/>
      <c r="CC419" s="283"/>
      <c r="CD419" s="283"/>
      <c r="CE419" s="283"/>
      <c r="CF419" s="283"/>
      <c r="CG419" s="283"/>
      <c r="CH419" s="283"/>
      <c r="CI419" s="283"/>
      <c r="CJ419" s="283"/>
      <c r="CK419" s="283"/>
      <c r="CL419" s="283"/>
    </row>
    <row r="420" spans="1:90" ht="14.25" customHeight="1" x14ac:dyDescent="0.2">
      <c r="A420" s="28"/>
      <c r="B420" s="28"/>
      <c r="C420" s="28"/>
      <c r="D420" s="282"/>
      <c r="E420" s="282"/>
      <c r="F420" s="282"/>
      <c r="G420" s="282"/>
      <c r="H420" s="282"/>
      <c r="I420" s="282"/>
      <c r="J420" s="282"/>
      <c r="K420" s="282"/>
      <c r="L420" s="282"/>
      <c r="M420" s="282"/>
      <c r="N420" s="282"/>
      <c r="O420" s="282"/>
      <c r="P420" s="282"/>
      <c r="Q420" s="282"/>
      <c r="R420" s="282"/>
      <c r="S420" s="282"/>
      <c r="T420" s="282"/>
      <c r="U420" s="282"/>
      <c r="V420" s="282"/>
      <c r="W420" s="282"/>
      <c r="X420" s="282"/>
      <c r="Y420" s="282"/>
      <c r="Z420" s="282"/>
      <c r="AA420" s="282"/>
      <c r="AB420" s="282"/>
      <c r="AC420" s="282"/>
      <c r="AD420" s="282"/>
      <c r="AE420" s="282"/>
      <c r="AF420" s="282"/>
      <c r="AG420" s="282"/>
      <c r="AH420" s="282"/>
      <c r="AI420" s="282"/>
      <c r="AJ420" s="282"/>
      <c r="AK420" s="282"/>
      <c r="AL420" s="282"/>
      <c r="AM420" s="282"/>
      <c r="AN420" s="282"/>
      <c r="AO420" s="282"/>
      <c r="AP420" s="282"/>
      <c r="AQ420" s="282"/>
      <c r="AR420" s="282"/>
      <c r="AS420" s="282"/>
      <c r="AT420" s="282"/>
      <c r="AU420" s="282"/>
      <c r="AV420" s="282"/>
      <c r="AW420" s="282"/>
      <c r="AX420" s="282"/>
      <c r="AY420" s="282"/>
      <c r="AZ420" s="282"/>
      <c r="BA420" s="372"/>
      <c r="BB420" s="372"/>
      <c r="BC420" s="372"/>
      <c r="BD420" s="372"/>
      <c r="BE420" s="282"/>
      <c r="BF420" s="282"/>
      <c r="BG420" s="282"/>
      <c r="BH420" s="283"/>
      <c r="BI420" s="282"/>
      <c r="BJ420" s="283"/>
      <c r="BK420" s="283"/>
      <c r="BL420" s="283"/>
      <c r="BM420" s="282"/>
      <c r="BN420" s="283"/>
      <c r="BO420" s="283"/>
      <c r="BP420" s="283"/>
      <c r="BQ420" s="283"/>
      <c r="BR420" s="283"/>
      <c r="BS420" s="283"/>
      <c r="BT420" s="283"/>
      <c r="BU420" s="283"/>
      <c r="BV420" s="283"/>
      <c r="BW420" s="283"/>
      <c r="BX420" s="283"/>
      <c r="BY420" s="283"/>
      <c r="BZ420" s="283"/>
      <c r="CA420" s="283"/>
      <c r="CB420" s="283"/>
      <c r="CC420" s="283"/>
      <c r="CD420" s="283"/>
      <c r="CE420" s="283"/>
      <c r="CF420" s="283"/>
      <c r="CG420" s="283"/>
      <c r="CH420" s="283"/>
      <c r="CI420" s="283"/>
      <c r="CJ420" s="283"/>
      <c r="CK420" s="283"/>
      <c r="CL420" s="283"/>
    </row>
    <row r="421" spans="1:90" ht="14.25" customHeight="1" x14ac:dyDescent="0.2">
      <c r="A421" s="28"/>
      <c r="B421" s="28"/>
      <c r="C421" s="28"/>
      <c r="D421" s="282"/>
      <c r="E421" s="282"/>
      <c r="F421" s="282"/>
      <c r="G421" s="282"/>
      <c r="H421" s="282"/>
      <c r="I421" s="282"/>
      <c r="J421" s="282"/>
      <c r="K421" s="282"/>
      <c r="L421" s="282"/>
      <c r="M421" s="282"/>
      <c r="N421" s="282"/>
      <c r="O421" s="282"/>
      <c r="P421" s="282"/>
      <c r="Q421" s="282"/>
      <c r="R421" s="282"/>
      <c r="S421" s="282"/>
      <c r="T421" s="282"/>
      <c r="U421" s="282"/>
      <c r="V421" s="282"/>
      <c r="W421" s="282"/>
      <c r="X421" s="282"/>
      <c r="Y421" s="282"/>
      <c r="Z421" s="282"/>
      <c r="AA421" s="282"/>
      <c r="AB421" s="282"/>
      <c r="AC421" s="282"/>
      <c r="AD421" s="282"/>
      <c r="AE421" s="282"/>
      <c r="AF421" s="282"/>
      <c r="AG421" s="282"/>
      <c r="AH421" s="282"/>
      <c r="AI421" s="282"/>
      <c r="AJ421" s="282"/>
      <c r="AK421" s="282"/>
      <c r="AL421" s="282"/>
      <c r="AM421" s="282"/>
      <c r="AN421" s="282"/>
      <c r="AO421" s="282"/>
      <c r="AP421" s="282"/>
      <c r="AQ421" s="282"/>
      <c r="AR421" s="282"/>
      <c r="AS421" s="282"/>
      <c r="AT421" s="282"/>
      <c r="AU421" s="282"/>
      <c r="AV421" s="282"/>
      <c r="AW421" s="282"/>
      <c r="AX421" s="282"/>
      <c r="AY421" s="282"/>
      <c r="AZ421" s="282"/>
      <c r="BA421" s="372"/>
      <c r="BB421" s="372"/>
      <c r="BC421" s="372"/>
      <c r="BD421" s="372"/>
      <c r="BE421" s="282"/>
      <c r="BF421" s="282"/>
      <c r="BG421" s="282"/>
      <c r="BH421" s="283"/>
      <c r="BI421" s="282"/>
      <c r="BJ421" s="283"/>
      <c r="BK421" s="283"/>
      <c r="BL421" s="283"/>
      <c r="BM421" s="282"/>
      <c r="BN421" s="283"/>
      <c r="BO421" s="283"/>
      <c r="BP421" s="283"/>
      <c r="BQ421" s="283"/>
      <c r="BR421" s="283"/>
      <c r="BS421" s="283"/>
      <c r="BT421" s="283"/>
      <c r="BU421" s="283"/>
      <c r="BV421" s="283"/>
      <c r="BW421" s="283"/>
      <c r="BX421" s="283"/>
      <c r="BY421" s="283"/>
      <c r="BZ421" s="283"/>
      <c r="CA421" s="283"/>
      <c r="CB421" s="283"/>
      <c r="CC421" s="283"/>
      <c r="CD421" s="283"/>
      <c r="CE421" s="283"/>
      <c r="CF421" s="283"/>
      <c r="CG421" s="283"/>
      <c r="CH421" s="283"/>
      <c r="CI421" s="283"/>
      <c r="CJ421" s="283"/>
      <c r="CK421" s="283"/>
      <c r="CL421" s="283"/>
    </row>
    <row r="422" spans="1:90" ht="14.25" customHeight="1" x14ac:dyDescent="0.2">
      <c r="A422" s="28"/>
      <c r="B422" s="28"/>
      <c r="C422" s="28"/>
      <c r="D422" s="282"/>
      <c r="E422" s="282"/>
      <c r="F422" s="282"/>
      <c r="G422" s="282"/>
      <c r="H422" s="282"/>
      <c r="I422" s="282"/>
      <c r="J422" s="282"/>
      <c r="K422" s="282"/>
      <c r="L422" s="282"/>
      <c r="M422" s="282"/>
      <c r="N422" s="282"/>
      <c r="O422" s="282"/>
      <c r="P422" s="282"/>
      <c r="Q422" s="282"/>
      <c r="R422" s="282"/>
      <c r="S422" s="282"/>
      <c r="T422" s="282"/>
      <c r="U422" s="282"/>
      <c r="V422" s="282"/>
      <c r="W422" s="282"/>
      <c r="X422" s="282"/>
      <c r="Y422" s="282"/>
      <c r="Z422" s="282"/>
      <c r="AA422" s="282"/>
      <c r="AB422" s="282"/>
      <c r="AC422" s="282"/>
      <c r="AD422" s="282"/>
      <c r="AE422" s="282"/>
      <c r="AF422" s="282"/>
      <c r="AG422" s="282"/>
      <c r="AH422" s="282"/>
      <c r="AI422" s="282"/>
      <c r="AJ422" s="282"/>
      <c r="AK422" s="282"/>
      <c r="AL422" s="282"/>
      <c r="AM422" s="282"/>
      <c r="AN422" s="282"/>
      <c r="AO422" s="282"/>
      <c r="AP422" s="282"/>
      <c r="AQ422" s="282"/>
      <c r="AR422" s="282"/>
      <c r="AS422" s="282"/>
      <c r="AT422" s="282"/>
      <c r="AU422" s="282"/>
      <c r="AV422" s="282"/>
      <c r="AW422" s="282"/>
      <c r="AX422" s="282"/>
      <c r="AY422" s="282"/>
      <c r="AZ422" s="282"/>
      <c r="BA422" s="372"/>
      <c r="BB422" s="372"/>
      <c r="BC422" s="372"/>
      <c r="BD422" s="372"/>
      <c r="BE422" s="282"/>
      <c r="BF422" s="282"/>
      <c r="BG422" s="282"/>
      <c r="BH422" s="283"/>
      <c r="BI422" s="282"/>
      <c r="BJ422" s="283"/>
      <c r="BK422" s="283"/>
      <c r="BL422" s="283"/>
      <c r="BM422" s="282"/>
      <c r="BN422" s="283"/>
      <c r="BO422" s="283"/>
      <c r="BP422" s="283"/>
      <c r="BQ422" s="283"/>
      <c r="BR422" s="283"/>
      <c r="BS422" s="283"/>
      <c r="BT422" s="283"/>
      <c r="BU422" s="283"/>
      <c r="BV422" s="283"/>
      <c r="BW422" s="283"/>
      <c r="BX422" s="283"/>
      <c r="BY422" s="283"/>
      <c r="BZ422" s="283"/>
      <c r="CA422" s="283"/>
      <c r="CB422" s="283"/>
      <c r="CC422" s="283"/>
      <c r="CD422" s="283"/>
      <c r="CE422" s="283"/>
      <c r="CF422" s="283"/>
      <c r="CG422" s="283"/>
      <c r="CH422" s="283"/>
      <c r="CI422" s="283"/>
      <c r="CJ422" s="283"/>
      <c r="CK422" s="283"/>
      <c r="CL422" s="283"/>
    </row>
    <row r="423" spans="1:90" ht="14.25" customHeight="1" x14ac:dyDescent="0.2">
      <c r="A423" s="28"/>
      <c r="B423" s="28"/>
      <c r="C423" s="28"/>
      <c r="D423" s="282"/>
      <c r="E423" s="282"/>
      <c r="F423" s="282"/>
      <c r="G423" s="282"/>
      <c r="H423" s="282"/>
      <c r="I423" s="282"/>
      <c r="J423" s="282"/>
      <c r="K423" s="282"/>
      <c r="L423" s="282"/>
      <c r="M423" s="282"/>
      <c r="N423" s="282"/>
      <c r="O423" s="282"/>
      <c r="P423" s="282"/>
      <c r="Q423" s="282"/>
      <c r="R423" s="282"/>
      <c r="S423" s="282"/>
      <c r="T423" s="282"/>
      <c r="U423" s="282"/>
      <c r="V423" s="282"/>
      <c r="W423" s="282"/>
      <c r="X423" s="282"/>
      <c r="Y423" s="282"/>
      <c r="Z423" s="282"/>
      <c r="AA423" s="282"/>
      <c r="AB423" s="282"/>
      <c r="AC423" s="282"/>
      <c r="AD423" s="282"/>
      <c r="AE423" s="282"/>
      <c r="AF423" s="282"/>
      <c r="AG423" s="282"/>
      <c r="AH423" s="282"/>
      <c r="AI423" s="282"/>
      <c r="AJ423" s="282"/>
      <c r="AK423" s="282"/>
      <c r="AL423" s="282"/>
      <c r="AM423" s="282"/>
      <c r="AN423" s="282"/>
      <c r="AO423" s="282"/>
      <c r="AP423" s="282"/>
      <c r="AQ423" s="282"/>
      <c r="AR423" s="282"/>
      <c r="AS423" s="282"/>
      <c r="AT423" s="282"/>
      <c r="AU423" s="282"/>
      <c r="AV423" s="282"/>
      <c r="AW423" s="282"/>
      <c r="AX423" s="282"/>
      <c r="AY423" s="282"/>
      <c r="AZ423" s="282"/>
      <c r="BA423" s="372"/>
      <c r="BB423" s="372"/>
      <c r="BC423" s="372"/>
      <c r="BD423" s="372"/>
      <c r="BE423" s="282"/>
      <c r="BF423" s="282"/>
      <c r="BG423" s="282"/>
      <c r="BH423" s="283"/>
      <c r="BI423" s="282"/>
      <c r="BJ423" s="283"/>
      <c r="BK423" s="283"/>
      <c r="BL423" s="283"/>
      <c r="BM423" s="282"/>
      <c r="BN423" s="283"/>
      <c r="BO423" s="283"/>
      <c r="BP423" s="283"/>
      <c r="BQ423" s="283"/>
      <c r="BR423" s="283"/>
      <c r="BS423" s="283"/>
      <c r="BT423" s="283"/>
      <c r="BU423" s="283"/>
      <c r="BV423" s="283"/>
      <c r="BW423" s="283"/>
      <c r="BX423" s="283"/>
      <c r="BY423" s="283"/>
      <c r="BZ423" s="283"/>
      <c r="CA423" s="283"/>
      <c r="CB423" s="283"/>
      <c r="CC423" s="283"/>
      <c r="CD423" s="283"/>
      <c r="CE423" s="283"/>
      <c r="CF423" s="283"/>
      <c r="CG423" s="283"/>
      <c r="CH423" s="283"/>
      <c r="CI423" s="283"/>
      <c r="CJ423" s="283"/>
      <c r="CK423" s="283"/>
      <c r="CL423" s="283"/>
    </row>
    <row r="424" spans="1:90" ht="14.25" customHeight="1" x14ac:dyDescent="0.2">
      <c r="A424" s="28"/>
      <c r="B424" s="28"/>
      <c r="C424" s="28"/>
      <c r="D424" s="282"/>
      <c r="E424" s="282"/>
      <c r="F424" s="282"/>
      <c r="G424" s="282"/>
      <c r="H424" s="282"/>
      <c r="I424" s="282"/>
      <c r="J424" s="282"/>
      <c r="K424" s="282"/>
      <c r="L424" s="282"/>
      <c r="M424" s="282"/>
      <c r="N424" s="282"/>
      <c r="O424" s="282"/>
      <c r="P424" s="282"/>
      <c r="Q424" s="282"/>
      <c r="R424" s="282"/>
      <c r="S424" s="282"/>
      <c r="T424" s="282"/>
      <c r="U424" s="282"/>
      <c r="V424" s="282"/>
      <c r="W424" s="282"/>
      <c r="X424" s="282"/>
      <c r="Y424" s="282"/>
      <c r="Z424" s="282"/>
      <c r="AA424" s="282"/>
      <c r="AB424" s="282"/>
      <c r="AC424" s="282"/>
      <c r="AD424" s="282"/>
      <c r="AE424" s="282"/>
      <c r="AF424" s="282"/>
      <c r="AG424" s="282"/>
      <c r="AH424" s="282"/>
      <c r="AI424" s="282"/>
      <c r="AJ424" s="282"/>
      <c r="AK424" s="282"/>
      <c r="AL424" s="282"/>
      <c r="AM424" s="282"/>
      <c r="AN424" s="282"/>
      <c r="AO424" s="282"/>
      <c r="AP424" s="282"/>
      <c r="AQ424" s="282"/>
      <c r="AR424" s="282"/>
      <c r="AS424" s="282"/>
      <c r="AT424" s="282"/>
      <c r="AU424" s="282"/>
      <c r="AV424" s="282"/>
      <c r="AW424" s="282"/>
      <c r="AX424" s="282"/>
      <c r="AY424" s="282"/>
      <c r="AZ424" s="282"/>
      <c r="BA424" s="372"/>
      <c r="BB424" s="372"/>
      <c r="BC424" s="372"/>
      <c r="BD424" s="372"/>
      <c r="BE424" s="282"/>
      <c r="BF424" s="282"/>
      <c r="BG424" s="282"/>
      <c r="BH424" s="283"/>
      <c r="BI424" s="282"/>
      <c r="BJ424" s="283"/>
      <c r="BK424" s="283"/>
      <c r="BL424" s="283"/>
      <c r="BM424" s="282"/>
      <c r="BN424" s="283"/>
      <c r="BO424" s="283"/>
      <c r="BP424" s="283"/>
      <c r="BQ424" s="283"/>
      <c r="BR424" s="283"/>
      <c r="BS424" s="283"/>
      <c r="BT424" s="283"/>
      <c r="BU424" s="283"/>
      <c r="BV424" s="283"/>
      <c r="BW424" s="283"/>
      <c r="BX424" s="283"/>
      <c r="BY424" s="283"/>
      <c r="BZ424" s="283"/>
      <c r="CA424" s="283"/>
      <c r="CB424" s="283"/>
      <c r="CC424" s="283"/>
      <c r="CD424" s="283"/>
      <c r="CE424" s="283"/>
      <c r="CF424" s="283"/>
      <c r="CG424" s="283"/>
      <c r="CH424" s="283"/>
      <c r="CI424" s="283"/>
      <c r="CJ424" s="283"/>
      <c r="CK424" s="283"/>
      <c r="CL424" s="283"/>
    </row>
    <row r="425" spans="1:90" ht="14.25" customHeight="1" x14ac:dyDescent="0.2">
      <c r="A425" s="28"/>
      <c r="B425" s="28"/>
      <c r="C425" s="28"/>
      <c r="D425" s="282"/>
      <c r="E425" s="282"/>
      <c r="F425" s="282"/>
      <c r="G425" s="282"/>
      <c r="H425" s="282"/>
      <c r="I425" s="282"/>
      <c r="J425" s="282"/>
      <c r="K425" s="282"/>
      <c r="L425" s="282"/>
      <c r="M425" s="282"/>
      <c r="N425" s="282"/>
      <c r="O425" s="282"/>
      <c r="P425" s="282"/>
      <c r="Q425" s="282"/>
      <c r="R425" s="282"/>
      <c r="S425" s="282"/>
      <c r="T425" s="282"/>
      <c r="U425" s="282"/>
      <c r="V425" s="282"/>
      <c r="W425" s="282"/>
      <c r="X425" s="282"/>
      <c r="Y425" s="282"/>
      <c r="Z425" s="282"/>
      <c r="AA425" s="282"/>
      <c r="AB425" s="282"/>
      <c r="AC425" s="282"/>
      <c r="AD425" s="282"/>
      <c r="AE425" s="282"/>
      <c r="AF425" s="282"/>
      <c r="AG425" s="282"/>
      <c r="AH425" s="282"/>
      <c r="AI425" s="282"/>
      <c r="AJ425" s="282"/>
      <c r="AK425" s="282"/>
      <c r="AL425" s="282"/>
      <c r="AM425" s="282"/>
      <c r="AN425" s="282"/>
      <c r="AO425" s="282"/>
      <c r="AP425" s="282"/>
      <c r="AQ425" s="282"/>
      <c r="AR425" s="282"/>
      <c r="AS425" s="282"/>
      <c r="AT425" s="282"/>
      <c r="AU425" s="282"/>
      <c r="AV425" s="282"/>
      <c r="AW425" s="282"/>
      <c r="AX425" s="282"/>
      <c r="AY425" s="282"/>
      <c r="AZ425" s="282"/>
      <c r="BA425" s="372"/>
      <c r="BB425" s="372"/>
      <c r="BC425" s="372"/>
      <c r="BD425" s="372"/>
      <c r="BE425" s="282"/>
      <c r="BF425" s="282"/>
      <c r="BG425" s="282"/>
      <c r="BH425" s="283"/>
      <c r="BI425" s="282"/>
      <c r="BJ425" s="283"/>
      <c r="BK425" s="283"/>
      <c r="BL425" s="283"/>
      <c r="BM425" s="282"/>
      <c r="BN425" s="283"/>
      <c r="BO425" s="283"/>
      <c r="BP425" s="283"/>
      <c r="BQ425" s="283"/>
      <c r="BR425" s="283"/>
      <c r="BS425" s="283"/>
      <c r="BT425" s="283"/>
      <c r="BU425" s="283"/>
      <c r="BV425" s="283"/>
      <c r="BW425" s="283"/>
      <c r="BX425" s="283"/>
      <c r="BY425" s="283"/>
      <c r="BZ425" s="283"/>
      <c r="CA425" s="283"/>
      <c r="CB425" s="283"/>
      <c r="CC425" s="283"/>
      <c r="CD425" s="283"/>
      <c r="CE425" s="283"/>
      <c r="CF425" s="283"/>
      <c r="CG425" s="283"/>
      <c r="CH425" s="283"/>
      <c r="CI425" s="283"/>
      <c r="CJ425" s="283"/>
      <c r="CK425" s="283"/>
      <c r="CL425" s="283"/>
    </row>
    <row r="426" spans="1:90" ht="14.25" customHeight="1" x14ac:dyDescent="0.2">
      <c r="A426" s="28"/>
      <c r="B426" s="28"/>
      <c r="C426" s="28"/>
      <c r="D426" s="282"/>
      <c r="E426" s="282"/>
      <c r="F426" s="282"/>
      <c r="G426" s="282"/>
      <c r="H426" s="282"/>
      <c r="I426" s="282"/>
      <c r="J426" s="282"/>
      <c r="K426" s="282"/>
      <c r="L426" s="282"/>
      <c r="M426" s="282"/>
      <c r="N426" s="282"/>
      <c r="O426" s="282"/>
      <c r="P426" s="282"/>
      <c r="Q426" s="282"/>
      <c r="R426" s="282"/>
      <c r="S426" s="282"/>
      <c r="T426" s="282"/>
      <c r="U426" s="282"/>
      <c r="V426" s="282"/>
      <c r="W426" s="282"/>
      <c r="X426" s="282"/>
      <c r="Y426" s="282"/>
      <c r="Z426" s="282"/>
      <c r="AA426" s="282"/>
      <c r="AB426" s="282"/>
      <c r="AC426" s="282"/>
      <c r="AD426" s="282"/>
      <c r="AE426" s="282"/>
      <c r="AF426" s="282"/>
      <c r="AG426" s="282"/>
      <c r="AH426" s="282"/>
      <c r="AI426" s="282"/>
      <c r="AJ426" s="282"/>
      <c r="AK426" s="282"/>
      <c r="AL426" s="282"/>
      <c r="AM426" s="282"/>
      <c r="AN426" s="282"/>
      <c r="AO426" s="282"/>
      <c r="AP426" s="282"/>
      <c r="AQ426" s="282"/>
      <c r="AR426" s="282"/>
      <c r="AS426" s="282"/>
      <c r="AT426" s="282"/>
      <c r="AU426" s="282"/>
      <c r="AV426" s="282"/>
      <c r="AW426" s="282"/>
      <c r="AX426" s="282"/>
      <c r="AY426" s="282"/>
      <c r="AZ426" s="282"/>
      <c r="BA426" s="372"/>
      <c r="BB426" s="372"/>
      <c r="BC426" s="372"/>
      <c r="BD426" s="372"/>
      <c r="BE426" s="282"/>
      <c r="BF426" s="282"/>
      <c r="BG426" s="282"/>
      <c r="BH426" s="283"/>
      <c r="BI426" s="282"/>
      <c r="BJ426" s="283"/>
      <c r="BK426" s="283"/>
      <c r="BL426" s="283"/>
      <c r="BM426" s="282"/>
      <c r="BN426" s="283"/>
      <c r="BO426" s="283"/>
      <c r="BP426" s="283"/>
      <c r="BQ426" s="283"/>
      <c r="BR426" s="283"/>
      <c r="BS426" s="283"/>
      <c r="BT426" s="283"/>
      <c r="BU426" s="283"/>
      <c r="BV426" s="283"/>
      <c r="BW426" s="283"/>
      <c r="BX426" s="283"/>
      <c r="BY426" s="283"/>
      <c r="BZ426" s="283"/>
      <c r="CA426" s="283"/>
      <c r="CB426" s="283"/>
      <c r="CC426" s="283"/>
      <c r="CD426" s="283"/>
      <c r="CE426" s="283"/>
      <c r="CF426" s="283"/>
      <c r="CG426" s="283"/>
      <c r="CH426" s="283"/>
      <c r="CI426" s="283"/>
      <c r="CJ426" s="283"/>
      <c r="CK426" s="283"/>
      <c r="CL426" s="283"/>
    </row>
    <row r="427" spans="1:90" ht="14.25" customHeight="1" x14ac:dyDescent="0.2">
      <c r="A427" s="28"/>
      <c r="B427" s="28"/>
      <c r="C427" s="28"/>
      <c r="D427" s="282"/>
      <c r="E427" s="282"/>
      <c r="F427" s="282"/>
      <c r="G427" s="282"/>
      <c r="H427" s="282"/>
      <c r="I427" s="282"/>
      <c r="J427" s="282"/>
      <c r="K427" s="282"/>
      <c r="L427" s="282"/>
      <c r="M427" s="282"/>
      <c r="N427" s="282"/>
      <c r="O427" s="282"/>
      <c r="P427" s="282"/>
      <c r="Q427" s="282"/>
      <c r="R427" s="282"/>
      <c r="S427" s="282"/>
      <c r="T427" s="282"/>
      <c r="U427" s="282"/>
      <c r="V427" s="282"/>
      <c r="W427" s="282"/>
      <c r="X427" s="282"/>
      <c r="Y427" s="282"/>
      <c r="Z427" s="282"/>
      <c r="AA427" s="282"/>
      <c r="AB427" s="282"/>
      <c r="AC427" s="282"/>
      <c r="AD427" s="282"/>
      <c r="AE427" s="282"/>
      <c r="AF427" s="282"/>
      <c r="AG427" s="282"/>
      <c r="AH427" s="282"/>
      <c r="AI427" s="282"/>
      <c r="AJ427" s="282"/>
      <c r="AK427" s="282"/>
      <c r="AL427" s="282"/>
      <c r="AM427" s="282"/>
      <c r="AN427" s="282"/>
      <c r="AO427" s="282"/>
      <c r="AP427" s="282"/>
      <c r="AQ427" s="282"/>
      <c r="AR427" s="282"/>
      <c r="AS427" s="282"/>
      <c r="AT427" s="282"/>
      <c r="AU427" s="282"/>
      <c r="AV427" s="282"/>
      <c r="AW427" s="282"/>
      <c r="AX427" s="282"/>
      <c r="AY427" s="282"/>
      <c r="AZ427" s="282"/>
      <c r="BA427" s="372"/>
      <c r="BB427" s="372"/>
      <c r="BC427" s="372"/>
      <c r="BD427" s="372"/>
      <c r="BE427" s="282"/>
      <c r="BF427" s="282"/>
      <c r="BG427" s="282"/>
      <c r="BH427" s="283"/>
      <c r="BI427" s="282"/>
      <c r="BJ427" s="283"/>
      <c r="BK427" s="283"/>
      <c r="BL427" s="283"/>
      <c r="BM427" s="282"/>
      <c r="BN427" s="283"/>
      <c r="BO427" s="283"/>
      <c r="BP427" s="283"/>
      <c r="BQ427" s="283"/>
      <c r="BR427" s="283"/>
      <c r="BS427" s="283"/>
      <c r="BT427" s="283"/>
      <c r="BU427" s="283"/>
      <c r="BV427" s="283"/>
      <c r="BW427" s="283"/>
      <c r="BX427" s="283"/>
      <c r="BY427" s="283"/>
      <c r="BZ427" s="283"/>
      <c r="CA427" s="283"/>
      <c r="CB427" s="283"/>
      <c r="CC427" s="283"/>
      <c r="CD427" s="283"/>
      <c r="CE427" s="283"/>
      <c r="CF427" s="283"/>
      <c r="CG427" s="283"/>
      <c r="CH427" s="283"/>
      <c r="CI427" s="283"/>
      <c r="CJ427" s="283"/>
      <c r="CK427" s="283"/>
      <c r="CL427" s="283"/>
    </row>
    <row r="428" spans="1:90" ht="14.25" customHeight="1" x14ac:dyDescent="0.2">
      <c r="A428" s="28"/>
      <c r="B428" s="28"/>
      <c r="C428" s="28"/>
      <c r="D428" s="282"/>
      <c r="E428" s="282"/>
      <c r="F428" s="282"/>
      <c r="G428" s="282"/>
      <c r="H428" s="282"/>
      <c r="I428" s="282"/>
      <c r="J428" s="282"/>
      <c r="K428" s="282"/>
      <c r="L428" s="282"/>
      <c r="M428" s="282"/>
      <c r="N428" s="282"/>
      <c r="O428" s="282"/>
      <c r="P428" s="282"/>
      <c r="Q428" s="282"/>
      <c r="R428" s="282"/>
      <c r="S428" s="282"/>
      <c r="T428" s="282"/>
      <c r="U428" s="282"/>
      <c r="V428" s="282"/>
      <c r="W428" s="282"/>
      <c r="X428" s="282"/>
      <c r="Y428" s="282"/>
      <c r="Z428" s="282"/>
      <c r="AA428" s="282"/>
      <c r="AB428" s="282"/>
      <c r="AC428" s="282"/>
      <c r="AD428" s="282"/>
      <c r="AE428" s="282"/>
      <c r="AF428" s="282"/>
      <c r="AG428" s="282"/>
      <c r="AH428" s="282"/>
      <c r="AI428" s="282"/>
      <c r="AJ428" s="282"/>
      <c r="AK428" s="282"/>
      <c r="AL428" s="282"/>
      <c r="AM428" s="282"/>
      <c r="AN428" s="282"/>
      <c r="AO428" s="282"/>
      <c r="AP428" s="282"/>
      <c r="AQ428" s="282"/>
      <c r="AR428" s="282"/>
      <c r="AS428" s="282"/>
      <c r="AT428" s="282"/>
      <c r="AU428" s="282"/>
      <c r="AV428" s="282"/>
      <c r="AW428" s="282"/>
      <c r="AX428" s="282"/>
      <c r="AY428" s="282"/>
      <c r="AZ428" s="282"/>
      <c r="BA428" s="372"/>
      <c r="BB428" s="372"/>
      <c r="BC428" s="372"/>
      <c r="BD428" s="372"/>
      <c r="BE428" s="282"/>
      <c r="BF428" s="282"/>
      <c r="BG428" s="282"/>
      <c r="BH428" s="283"/>
      <c r="BI428" s="282"/>
      <c r="BJ428" s="283"/>
      <c r="BK428" s="283"/>
      <c r="BL428" s="283"/>
      <c r="BM428" s="282"/>
      <c r="BN428" s="283"/>
      <c r="BO428" s="283"/>
      <c r="BP428" s="283"/>
      <c r="BQ428" s="283"/>
      <c r="BR428" s="283"/>
      <c r="BS428" s="283"/>
      <c r="BT428" s="283"/>
      <c r="BU428" s="283"/>
      <c r="BV428" s="283"/>
      <c r="BW428" s="283"/>
      <c r="BX428" s="283"/>
      <c r="BY428" s="283"/>
      <c r="BZ428" s="283"/>
      <c r="CA428" s="283"/>
      <c r="CB428" s="283"/>
      <c r="CC428" s="283"/>
      <c r="CD428" s="283"/>
      <c r="CE428" s="283"/>
      <c r="CF428" s="283"/>
      <c r="CG428" s="283"/>
      <c r="CH428" s="283"/>
      <c r="CI428" s="283"/>
      <c r="CJ428" s="283"/>
      <c r="CK428" s="283"/>
      <c r="CL428" s="283"/>
    </row>
    <row r="429" spans="1:90" ht="14.25" customHeight="1" x14ac:dyDescent="0.2">
      <c r="A429" s="28"/>
      <c r="B429" s="28"/>
      <c r="C429" s="28"/>
      <c r="D429" s="282"/>
      <c r="E429" s="282"/>
      <c r="F429" s="282"/>
      <c r="G429" s="282"/>
      <c r="H429" s="282"/>
      <c r="I429" s="282"/>
      <c r="J429" s="282"/>
      <c r="K429" s="282"/>
      <c r="L429" s="282"/>
      <c r="M429" s="282"/>
      <c r="N429" s="282"/>
      <c r="O429" s="282"/>
      <c r="P429" s="282"/>
      <c r="Q429" s="282"/>
      <c r="R429" s="282"/>
      <c r="S429" s="282"/>
      <c r="T429" s="282"/>
      <c r="U429" s="282"/>
      <c r="V429" s="282"/>
      <c r="W429" s="282"/>
      <c r="X429" s="282"/>
      <c r="Y429" s="282"/>
      <c r="Z429" s="282"/>
      <c r="AA429" s="282"/>
      <c r="AB429" s="282"/>
      <c r="AC429" s="282"/>
      <c r="AD429" s="282"/>
      <c r="AE429" s="282"/>
      <c r="AF429" s="282"/>
      <c r="AG429" s="282"/>
      <c r="AH429" s="282"/>
      <c r="AI429" s="282"/>
      <c r="AJ429" s="282"/>
      <c r="AK429" s="282"/>
      <c r="AL429" s="282"/>
      <c r="AM429" s="282"/>
      <c r="AN429" s="282"/>
      <c r="AO429" s="282"/>
      <c r="AP429" s="282"/>
      <c r="AQ429" s="282"/>
      <c r="AR429" s="282"/>
      <c r="AS429" s="282"/>
      <c r="AT429" s="282"/>
      <c r="AU429" s="282"/>
      <c r="AV429" s="282"/>
      <c r="AW429" s="282"/>
      <c r="AX429" s="282"/>
      <c r="AY429" s="282"/>
      <c r="AZ429" s="282"/>
      <c r="BA429" s="372"/>
      <c r="BB429" s="372"/>
      <c r="BC429" s="372"/>
      <c r="BD429" s="372"/>
      <c r="BE429" s="282"/>
      <c r="BF429" s="282"/>
      <c r="BG429" s="282"/>
      <c r="BH429" s="283"/>
      <c r="BI429" s="282"/>
      <c r="BJ429" s="283"/>
      <c r="BK429" s="283"/>
      <c r="BL429" s="283"/>
      <c r="BM429" s="282"/>
      <c r="BN429" s="283"/>
      <c r="BO429" s="283"/>
      <c r="BP429" s="283"/>
      <c r="BQ429" s="283"/>
      <c r="BR429" s="283"/>
      <c r="BS429" s="283"/>
      <c r="BT429" s="283"/>
      <c r="BU429" s="283"/>
      <c r="BV429" s="283"/>
      <c r="BW429" s="283"/>
      <c r="BX429" s="283"/>
      <c r="BY429" s="283"/>
      <c r="BZ429" s="283"/>
      <c r="CA429" s="283"/>
      <c r="CB429" s="283"/>
      <c r="CC429" s="283"/>
      <c r="CD429" s="283"/>
      <c r="CE429" s="283"/>
      <c r="CF429" s="283"/>
      <c r="CG429" s="283"/>
      <c r="CH429" s="283"/>
      <c r="CI429" s="283"/>
      <c r="CJ429" s="283"/>
      <c r="CK429" s="283"/>
      <c r="CL429" s="283"/>
    </row>
    <row r="430" spans="1:90" ht="14.25" customHeight="1" x14ac:dyDescent="0.2">
      <c r="A430" s="28"/>
      <c r="B430" s="28"/>
      <c r="C430" s="28"/>
      <c r="D430" s="282"/>
      <c r="E430" s="282"/>
      <c r="F430" s="282"/>
      <c r="G430" s="282"/>
      <c r="H430" s="282"/>
      <c r="I430" s="282"/>
      <c r="J430" s="282"/>
      <c r="K430" s="282"/>
      <c r="L430" s="282"/>
      <c r="M430" s="282"/>
      <c r="N430" s="282"/>
      <c r="O430" s="282"/>
      <c r="P430" s="282"/>
      <c r="Q430" s="282"/>
      <c r="R430" s="282"/>
      <c r="S430" s="282"/>
      <c r="T430" s="282"/>
      <c r="U430" s="282"/>
      <c r="V430" s="282"/>
      <c r="W430" s="282"/>
      <c r="X430" s="282"/>
      <c r="Y430" s="282"/>
      <c r="Z430" s="282"/>
      <c r="AA430" s="282"/>
      <c r="AB430" s="282"/>
      <c r="AC430" s="282"/>
      <c r="AD430" s="282"/>
      <c r="AE430" s="282"/>
      <c r="AF430" s="282"/>
      <c r="AG430" s="282"/>
      <c r="AH430" s="282"/>
      <c r="AI430" s="282"/>
      <c r="AJ430" s="282"/>
      <c r="AK430" s="282"/>
      <c r="AL430" s="282"/>
      <c r="AM430" s="282"/>
      <c r="AN430" s="282"/>
      <c r="AO430" s="282"/>
      <c r="AP430" s="282"/>
      <c r="AQ430" s="282"/>
      <c r="AR430" s="282"/>
      <c r="AS430" s="282"/>
      <c r="AT430" s="282"/>
      <c r="AU430" s="282"/>
      <c r="AV430" s="282"/>
      <c r="AW430" s="282"/>
      <c r="AX430" s="282"/>
      <c r="AY430" s="282"/>
      <c r="AZ430" s="282"/>
      <c r="BA430" s="372"/>
      <c r="BB430" s="372"/>
      <c r="BC430" s="372"/>
      <c r="BD430" s="372"/>
      <c r="BE430" s="282"/>
      <c r="BF430" s="282"/>
      <c r="BG430" s="282"/>
      <c r="BH430" s="283"/>
      <c r="BI430" s="282"/>
      <c r="BJ430" s="283"/>
      <c r="BK430" s="283"/>
      <c r="BL430" s="283"/>
      <c r="BM430" s="282"/>
      <c r="BN430" s="283"/>
      <c r="BO430" s="283"/>
      <c r="BP430" s="283"/>
      <c r="BQ430" s="283"/>
      <c r="BR430" s="283"/>
      <c r="BS430" s="283"/>
      <c r="BT430" s="283"/>
      <c r="BU430" s="283"/>
      <c r="BV430" s="283"/>
      <c r="BW430" s="283"/>
      <c r="BX430" s="283"/>
      <c r="BY430" s="283"/>
      <c r="BZ430" s="283"/>
      <c r="CA430" s="283"/>
      <c r="CB430" s="283"/>
      <c r="CC430" s="283"/>
      <c r="CD430" s="283"/>
      <c r="CE430" s="283"/>
      <c r="CF430" s="283"/>
      <c r="CG430" s="283"/>
      <c r="CH430" s="283"/>
      <c r="CI430" s="283"/>
      <c r="CJ430" s="283"/>
      <c r="CK430" s="283"/>
      <c r="CL430" s="283"/>
    </row>
    <row r="431" spans="1:90" ht="14.25" customHeight="1" x14ac:dyDescent="0.2">
      <c r="A431" s="28"/>
      <c r="B431" s="28"/>
      <c r="C431" s="28"/>
      <c r="D431" s="282"/>
      <c r="E431" s="282"/>
      <c r="F431" s="282"/>
      <c r="G431" s="282"/>
      <c r="H431" s="282"/>
      <c r="I431" s="282"/>
      <c r="J431" s="282"/>
      <c r="K431" s="282"/>
      <c r="L431" s="282"/>
      <c r="M431" s="282"/>
      <c r="N431" s="282"/>
      <c r="O431" s="282"/>
      <c r="P431" s="282"/>
      <c r="Q431" s="282"/>
      <c r="R431" s="282"/>
      <c r="S431" s="282"/>
      <c r="T431" s="282"/>
      <c r="U431" s="282"/>
      <c r="V431" s="282"/>
      <c r="W431" s="282"/>
      <c r="X431" s="282"/>
      <c r="Y431" s="282"/>
      <c r="Z431" s="282"/>
      <c r="AA431" s="282"/>
      <c r="AB431" s="282"/>
      <c r="AC431" s="282"/>
      <c r="AD431" s="282"/>
      <c r="AE431" s="282"/>
      <c r="AF431" s="282"/>
      <c r="AG431" s="282"/>
      <c r="AH431" s="282"/>
      <c r="AI431" s="282"/>
      <c r="AJ431" s="282"/>
      <c r="AK431" s="282"/>
      <c r="AL431" s="282"/>
      <c r="AM431" s="282"/>
      <c r="AN431" s="282"/>
      <c r="AO431" s="282"/>
      <c r="AP431" s="282"/>
      <c r="AQ431" s="282"/>
      <c r="AR431" s="282"/>
      <c r="AS431" s="282"/>
      <c r="AT431" s="282"/>
      <c r="AU431" s="282"/>
      <c r="AV431" s="282"/>
      <c r="AW431" s="282"/>
      <c r="AX431" s="282"/>
      <c r="AY431" s="282"/>
      <c r="AZ431" s="282"/>
      <c r="BA431" s="372"/>
      <c r="BB431" s="372"/>
      <c r="BC431" s="372"/>
      <c r="BD431" s="372"/>
      <c r="BE431" s="282"/>
      <c r="BF431" s="282"/>
      <c r="BG431" s="282"/>
      <c r="BH431" s="283"/>
      <c r="BI431" s="282"/>
      <c r="BJ431" s="283"/>
      <c r="BK431" s="283"/>
      <c r="BL431" s="283"/>
      <c r="BM431" s="282"/>
      <c r="BN431" s="283"/>
      <c r="BO431" s="283"/>
      <c r="BP431" s="283"/>
      <c r="BQ431" s="283"/>
      <c r="BR431" s="283"/>
      <c r="BS431" s="283"/>
      <c r="BT431" s="283"/>
      <c r="BU431" s="283"/>
      <c r="BV431" s="283"/>
      <c r="BW431" s="283"/>
      <c r="BX431" s="283"/>
      <c r="BY431" s="283"/>
      <c r="BZ431" s="283"/>
      <c r="CA431" s="283"/>
      <c r="CB431" s="283"/>
      <c r="CC431" s="283"/>
      <c r="CD431" s="283"/>
      <c r="CE431" s="283"/>
      <c r="CF431" s="283"/>
      <c r="CG431" s="283"/>
      <c r="CH431" s="283"/>
      <c r="CI431" s="283"/>
      <c r="CJ431" s="283"/>
      <c r="CK431" s="283"/>
      <c r="CL431" s="283"/>
    </row>
    <row r="432" spans="1:90" ht="14.25" customHeight="1" x14ac:dyDescent="0.2">
      <c r="A432" s="28"/>
      <c r="B432" s="28"/>
      <c r="C432" s="28"/>
      <c r="D432" s="282"/>
      <c r="E432" s="282"/>
      <c r="F432" s="282"/>
      <c r="G432" s="282"/>
      <c r="H432" s="282"/>
      <c r="I432" s="282"/>
      <c r="J432" s="282"/>
      <c r="K432" s="282"/>
      <c r="L432" s="282"/>
      <c r="M432" s="282"/>
      <c r="N432" s="282"/>
      <c r="O432" s="282"/>
      <c r="P432" s="282"/>
      <c r="Q432" s="282"/>
      <c r="R432" s="282"/>
      <c r="S432" s="282"/>
      <c r="T432" s="282"/>
      <c r="U432" s="282"/>
      <c r="V432" s="282"/>
      <c r="W432" s="282"/>
      <c r="X432" s="282"/>
      <c r="Y432" s="282"/>
      <c r="Z432" s="282"/>
      <c r="AA432" s="282"/>
      <c r="AB432" s="282"/>
      <c r="AC432" s="282"/>
      <c r="AD432" s="282"/>
      <c r="AE432" s="282"/>
      <c r="AF432" s="282"/>
      <c r="AG432" s="282"/>
      <c r="AH432" s="282"/>
      <c r="AI432" s="282"/>
      <c r="AJ432" s="282"/>
      <c r="AK432" s="282"/>
      <c r="AL432" s="282"/>
      <c r="AM432" s="282"/>
      <c r="AN432" s="282"/>
      <c r="AO432" s="282"/>
      <c r="AP432" s="282"/>
      <c r="AQ432" s="282"/>
      <c r="AR432" s="282"/>
      <c r="AS432" s="282"/>
      <c r="AT432" s="282"/>
      <c r="AU432" s="282"/>
      <c r="AV432" s="282"/>
      <c r="AW432" s="282"/>
      <c r="AX432" s="282"/>
      <c r="AY432" s="282"/>
      <c r="AZ432" s="282"/>
      <c r="BA432" s="372"/>
      <c r="BB432" s="372"/>
      <c r="BC432" s="372"/>
      <c r="BD432" s="372"/>
      <c r="BE432" s="282"/>
      <c r="BF432" s="282"/>
      <c r="BG432" s="282"/>
      <c r="BH432" s="283"/>
      <c r="BI432" s="282"/>
      <c r="BJ432" s="283"/>
      <c r="BK432" s="283"/>
      <c r="BL432" s="283"/>
      <c r="BM432" s="282"/>
      <c r="BN432" s="283"/>
      <c r="BO432" s="283"/>
      <c r="BP432" s="283"/>
      <c r="BQ432" s="283"/>
      <c r="BR432" s="283"/>
      <c r="BS432" s="283"/>
      <c r="BT432" s="283"/>
      <c r="BU432" s="283"/>
      <c r="BV432" s="283"/>
      <c r="BW432" s="283"/>
      <c r="BX432" s="283"/>
      <c r="BY432" s="283"/>
      <c r="BZ432" s="283"/>
      <c r="CA432" s="283"/>
      <c r="CB432" s="283"/>
      <c r="CC432" s="283"/>
      <c r="CD432" s="283"/>
      <c r="CE432" s="283"/>
      <c r="CF432" s="283"/>
      <c r="CG432" s="283"/>
      <c r="CH432" s="283"/>
      <c r="CI432" s="283"/>
      <c r="CJ432" s="283"/>
      <c r="CK432" s="283"/>
      <c r="CL432" s="283"/>
    </row>
    <row r="433" spans="1:90" ht="14.25" customHeight="1" x14ac:dyDescent="0.2">
      <c r="A433" s="28"/>
      <c r="B433" s="28"/>
      <c r="C433" s="28"/>
      <c r="D433" s="282"/>
      <c r="E433" s="282"/>
      <c r="F433" s="282"/>
      <c r="G433" s="282"/>
      <c r="H433" s="282"/>
      <c r="I433" s="282"/>
      <c r="J433" s="282"/>
      <c r="K433" s="282"/>
      <c r="L433" s="282"/>
      <c r="M433" s="282"/>
      <c r="N433" s="282"/>
      <c r="O433" s="282"/>
      <c r="P433" s="282"/>
      <c r="Q433" s="282"/>
      <c r="R433" s="282"/>
      <c r="S433" s="282"/>
      <c r="T433" s="282"/>
      <c r="U433" s="282"/>
      <c r="V433" s="282"/>
      <c r="W433" s="282"/>
      <c r="X433" s="282"/>
      <c r="Y433" s="282"/>
      <c r="Z433" s="282"/>
      <c r="AA433" s="282"/>
      <c r="AB433" s="282"/>
      <c r="AC433" s="282"/>
      <c r="AD433" s="282"/>
      <c r="AE433" s="282"/>
      <c r="AF433" s="282"/>
      <c r="AG433" s="282"/>
      <c r="AH433" s="282"/>
      <c r="AI433" s="282"/>
      <c r="AJ433" s="282"/>
      <c r="AK433" s="282"/>
      <c r="AL433" s="282"/>
      <c r="AM433" s="282"/>
      <c r="AN433" s="282"/>
      <c r="AO433" s="282"/>
      <c r="AP433" s="282"/>
      <c r="AQ433" s="282"/>
      <c r="AR433" s="282"/>
      <c r="AS433" s="282"/>
      <c r="AT433" s="282"/>
      <c r="AU433" s="282"/>
      <c r="AV433" s="282"/>
      <c r="AW433" s="282"/>
      <c r="AX433" s="282"/>
      <c r="AY433" s="282"/>
      <c r="AZ433" s="282"/>
      <c r="BA433" s="372"/>
      <c r="BB433" s="372"/>
      <c r="BC433" s="372"/>
      <c r="BD433" s="372"/>
      <c r="BE433" s="282"/>
      <c r="BF433" s="282"/>
      <c r="BG433" s="282"/>
      <c r="BH433" s="283"/>
      <c r="BI433" s="282"/>
      <c r="BJ433" s="283"/>
      <c r="BK433" s="283"/>
      <c r="BL433" s="283"/>
      <c r="BM433" s="282"/>
      <c r="BN433" s="283"/>
      <c r="BO433" s="283"/>
      <c r="BP433" s="283"/>
      <c r="BQ433" s="283"/>
      <c r="BR433" s="283"/>
      <c r="BS433" s="283"/>
      <c r="BT433" s="283"/>
      <c r="BU433" s="283"/>
      <c r="BV433" s="283"/>
      <c r="BW433" s="283"/>
      <c r="BX433" s="283"/>
      <c r="BY433" s="283"/>
      <c r="BZ433" s="283"/>
      <c r="CA433" s="283"/>
      <c r="CB433" s="283"/>
      <c r="CC433" s="283"/>
      <c r="CD433" s="283"/>
      <c r="CE433" s="283"/>
      <c r="CF433" s="283"/>
      <c r="CG433" s="283"/>
      <c r="CH433" s="283"/>
      <c r="CI433" s="283"/>
      <c r="CJ433" s="283"/>
      <c r="CK433" s="283"/>
      <c r="CL433" s="283"/>
    </row>
    <row r="434" spans="1:90" ht="14.25" customHeight="1" x14ac:dyDescent="0.2">
      <c r="A434" s="28"/>
      <c r="B434" s="28"/>
      <c r="C434" s="28"/>
      <c r="D434" s="282"/>
      <c r="E434" s="282"/>
      <c r="F434" s="282"/>
      <c r="G434" s="282"/>
      <c r="H434" s="282"/>
      <c r="I434" s="282"/>
      <c r="J434" s="282"/>
      <c r="K434" s="282"/>
      <c r="L434" s="282"/>
      <c r="M434" s="282"/>
      <c r="N434" s="282"/>
      <c r="O434" s="282"/>
      <c r="P434" s="282"/>
      <c r="Q434" s="282"/>
      <c r="R434" s="282"/>
      <c r="S434" s="282"/>
      <c r="T434" s="282"/>
      <c r="U434" s="282"/>
      <c r="V434" s="282"/>
      <c r="W434" s="282"/>
      <c r="X434" s="282"/>
      <c r="Y434" s="282"/>
      <c r="Z434" s="282"/>
      <c r="AA434" s="282"/>
      <c r="AB434" s="282"/>
      <c r="AC434" s="282"/>
      <c r="AD434" s="282"/>
      <c r="AE434" s="282"/>
      <c r="AF434" s="282"/>
      <c r="AG434" s="282"/>
      <c r="AH434" s="282"/>
      <c r="AI434" s="282"/>
      <c r="AJ434" s="282"/>
      <c r="AK434" s="282"/>
      <c r="AL434" s="282"/>
      <c r="AM434" s="282"/>
      <c r="AN434" s="282"/>
      <c r="AO434" s="282"/>
      <c r="AP434" s="282"/>
      <c r="AQ434" s="282"/>
      <c r="AR434" s="282"/>
      <c r="AS434" s="282"/>
      <c r="AT434" s="282"/>
      <c r="AU434" s="282"/>
      <c r="AV434" s="282"/>
      <c r="AW434" s="282"/>
      <c r="AX434" s="282"/>
      <c r="AY434" s="282"/>
      <c r="AZ434" s="282"/>
      <c r="BA434" s="372"/>
      <c r="BB434" s="372"/>
      <c r="BC434" s="372"/>
      <c r="BD434" s="372"/>
      <c r="BE434" s="282"/>
      <c r="BF434" s="282"/>
      <c r="BG434" s="282"/>
      <c r="BH434" s="283"/>
      <c r="BI434" s="282"/>
      <c r="BJ434" s="283"/>
      <c r="BK434" s="283"/>
      <c r="BL434" s="283"/>
      <c r="BM434" s="282"/>
      <c r="BN434" s="283"/>
      <c r="BO434" s="283"/>
      <c r="BP434" s="283"/>
      <c r="BQ434" s="283"/>
      <c r="BR434" s="283"/>
      <c r="BS434" s="283"/>
      <c r="BT434" s="283"/>
      <c r="BU434" s="283"/>
      <c r="BV434" s="283"/>
      <c r="BW434" s="283"/>
      <c r="BX434" s="283"/>
      <c r="BY434" s="283"/>
      <c r="BZ434" s="283"/>
      <c r="CA434" s="283"/>
      <c r="CB434" s="283"/>
      <c r="CC434" s="283"/>
      <c r="CD434" s="283"/>
      <c r="CE434" s="283"/>
      <c r="CF434" s="283"/>
      <c r="CG434" s="283"/>
      <c r="CH434" s="283"/>
      <c r="CI434" s="283"/>
      <c r="CJ434" s="283"/>
      <c r="CK434" s="283"/>
      <c r="CL434" s="283"/>
    </row>
    <row r="435" spans="1:90" ht="14.25" customHeight="1" x14ac:dyDescent="0.2">
      <c r="A435" s="28"/>
      <c r="B435" s="28"/>
      <c r="C435" s="28"/>
      <c r="D435" s="282"/>
      <c r="E435" s="282"/>
      <c r="F435" s="282"/>
      <c r="G435" s="282"/>
      <c r="H435" s="282"/>
      <c r="I435" s="282"/>
      <c r="J435" s="282"/>
      <c r="K435" s="282"/>
      <c r="L435" s="282"/>
      <c r="M435" s="282"/>
      <c r="N435" s="282"/>
      <c r="O435" s="282"/>
      <c r="P435" s="282"/>
      <c r="Q435" s="282"/>
      <c r="R435" s="282"/>
      <c r="S435" s="282"/>
      <c r="T435" s="282"/>
      <c r="U435" s="282"/>
      <c r="V435" s="282"/>
      <c r="W435" s="282"/>
      <c r="X435" s="282"/>
      <c r="Y435" s="282"/>
      <c r="Z435" s="282"/>
      <c r="AA435" s="282"/>
      <c r="AB435" s="282"/>
      <c r="AC435" s="282"/>
      <c r="AD435" s="282"/>
      <c r="AE435" s="282"/>
      <c r="AF435" s="282"/>
      <c r="AG435" s="282"/>
      <c r="AH435" s="282"/>
      <c r="AI435" s="282"/>
      <c r="AJ435" s="282"/>
      <c r="AK435" s="282"/>
      <c r="AL435" s="282"/>
      <c r="AM435" s="282"/>
      <c r="AN435" s="282"/>
      <c r="AO435" s="282"/>
      <c r="AP435" s="282"/>
      <c r="AQ435" s="282"/>
      <c r="AR435" s="282"/>
      <c r="AS435" s="282"/>
      <c r="AT435" s="282"/>
      <c r="AU435" s="282"/>
      <c r="AV435" s="282"/>
      <c r="AW435" s="282"/>
      <c r="AX435" s="282"/>
      <c r="AY435" s="282"/>
      <c r="AZ435" s="282"/>
      <c r="BA435" s="372"/>
      <c r="BB435" s="372"/>
      <c r="BC435" s="372"/>
      <c r="BD435" s="372"/>
      <c r="BE435" s="282"/>
      <c r="BF435" s="282"/>
      <c r="BG435" s="282"/>
      <c r="BH435" s="283"/>
      <c r="BI435" s="282"/>
      <c r="BJ435" s="283"/>
      <c r="BK435" s="283"/>
      <c r="BL435" s="283"/>
      <c r="BM435" s="282"/>
      <c r="BN435" s="283"/>
      <c r="BO435" s="283"/>
      <c r="BP435" s="283"/>
      <c r="BQ435" s="283"/>
      <c r="BR435" s="283"/>
      <c r="BS435" s="283"/>
      <c r="BT435" s="283"/>
      <c r="BU435" s="283"/>
      <c r="BV435" s="283"/>
      <c r="BW435" s="283"/>
      <c r="BX435" s="283"/>
      <c r="BY435" s="283"/>
      <c r="BZ435" s="283"/>
      <c r="CA435" s="283"/>
      <c r="CB435" s="283"/>
      <c r="CC435" s="283"/>
      <c r="CD435" s="283"/>
      <c r="CE435" s="283"/>
      <c r="CF435" s="283"/>
      <c r="CG435" s="283"/>
      <c r="CH435" s="283"/>
      <c r="CI435" s="283"/>
      <c r="CJ435" s="283"/>
      <c r="CK435" s="283"/>
      <c r="CL435" s="283"/>
    </row>
    <row r="436" spans="1:90" ht="14.25" customHeight="1" x14ac:dyDescent="0.2">
      <c r="A436" s="28"/>
      <c r="B436" s="28"/>
      <c r="C436" s="28"/>
      <c r="D436" s="282"/>
      <c r="E436" s="282"/>
      <c r="F436" s="282"/>
      <c r="G436" s="282"/>
      <c r="H436" s="282"/>
      <c r="I436" s="282"/>
      <c r="J436" s="282"/>
      <c r="K436" s="282"/>
      <c r="L436" s="282"/>
      <c r="M436" s="282"/>
      <c r="N436" s="282"/>
      <c r="O436" s="282"/>
      <c r="P436" s="282"/>
      <c r="Q436" s="282"/>
      <c r="R436" s="282"/>
      <c r="S436" s="282"/>
      <c r="T436" s="282"/>
      <c r="U436" s="282"/>
      <c r="V436" s="282"/>
      <c r="W436" s="282"/>
      <c r="X436" s="282"/>
      <c r="Y436" s="282"/>
      <c r="Z436" s="282"/>
      <c r="AA436" s="282"/>
      <c r="AB436" s="282"/>
      <c r="AC436" s="282"/>
      <c r="AD436" s="282"/>
      <c r="AE436" s="282"/>
      <c r="AF436" s="282"/>
      <c r="AG436" s="282"/>
      <c r="AH436" s="282"/>
      <c r="AI436" s="282"/>
      <c r="AJ436" s="282"/>
      <c r="AK436" s="282"/>
      <c r="AL436" s="282"/>
      <c r="AM436" s="282"/>
      <c r="AN436" s="282"/>
      <c r="AO436" s="282"/>
      <c r="AP436" s="282"/>
      <c r="AQ436" s="282"/>
      <c r="AR436" s="282"/>
      <c r="AS436" s="282"/>
      <c r="AT436" s="282"/>
      <c r="AU436" s="282"/>
      <c r="AV436" s="282"/>
      <c r="AW436" s="282"/>
      <c r="AX436" s="282"/>
      <c r="AY436" s="282"/>
      <c r="AZ436" s="282"/>
      <c r="BA436" s="372"/>
      <c r="BB436" s="372"/>
      <c r="BC436" s="372"/>
      <c r="BD436" s="372"/>
      <c r="BE436" s="282"/>
      <c r="BF436" s="282"/>
      <c r="BG436" s="282"/>
      <c r="BH436" s="283"/>
      <c r="BI436" s="282"/>
      <c r="BJ436" s="283"/>
      <c r="BK436" s="283"/>
      <c r="BL436" s="283"/>
      <c r="BM436" s="282"/>
      <c r="BN436" s="283"/>
      <c r="BO436" s="283"/>
      <c r="BP436" s="283"/>
      <c r="BQ436" s="283"/>
      <c r="BR436" s="283"/>
      <c r="BS436" s="283"/>
      <c r="BT436" s="283"/>
      <c r="BU436" s="283"/>
      <c r="BV436" s="283"/>
      <c r="BW436" s="283"/>
      <c r="BX436" s="283"/>
      <c r="BY436" s="283"/>
      <c r="BZ436" s="283"/>
      <c r="CA436" s="283"/>
      <c r="CB436" s="283"/>
      <c r="CC436" s="283"/>
      <c r="CD436" s="283"/>
      <c r="CE436" s="283"/>
      <c r="CF436" s="283"/>
      <c r="CG436" s="283"/>
      <c r="CH436" s="283"/>
      <c r="CI436" s="283"/>
      <c r="CJ436" s="283"/>
      <c r="CK436" s="283"/>
      <c r="CL436" s="283"/>
    </row>
    <row r="437" spans="1:90" ht="14.25" customHeight="1" x14ac:dyDescent="0.2">
      <c r="A437" s="28"/>
      <c r="B437" s="28"/>
      <c r="C437" s="28"/>
      <c r="D437" s="282"/>
      <c r="E437" s="282"/>
      <c r="F437" s="282"/>
      <c r="G437" s="282"/>
      <c r="H437" s="282"/>
      <c r="I437" s="282"/>
      <c r="J437" s="282"/>
      <c r="K437" s="282"/>
      <c r="L437" s="282"/>
      <c r="M437" s="282"/>
      <c r="N437" s="282"/>
      <c r="O437" s="282"/>
      <c r="P437" s="282"/>
      <c r="Q437" s="282"/>
      <c r="R437" s="282"/>
      <c r="S437" s="282"/>
      <c r="T437" s="282"/>
      <c r="U437" s="282"/>
      <c r="V437" s="282"/>
      <c r="W437" s="282"/>
      <c r="X437" s="282"/>
      <c r="Y437" s="282"/>
      <c r="Z437" s="282"/>
      <c r="AA437" s="282"/>
      <c r="AB437" s="282"/>
      <c r="AC437" s="282"/>
      <c r="AD437" s="282"/>
      <c r="AE437" s="282"/>
      <c r="AF437" s="282"/>
      <c r="AG437" s="282"/>
      <c r="AH437" s="282"/>
      <c r="AI437" s="282"/>
      <c r="AJ437" s="282"/>
      <c r="AK437" s="282"/>
      <c r="AL437" s="282"/>
      <c r="AM437" s="282"/>
      <c r="AN437" s="282"/>
      <c r="AO437" s="282"/>
      <c r="AP437" s="282"/>
      <c r="AQ437" s="282"/>
      <c r="AR437" s="282"/>
      <c r="AS437" s="282"/>
      <c r="AT437" s="282"/>
      <c r="AU437" s="282"/>
      <c r="AV437" s="282"/>
      <c r="AW437" s="282"/>
      <c r="AX437" s="282"/>
      <c r="AY437" s="282"/>
      <c r="AZ437" s="282"/>
      <c r="BA437" s="372"/>
      <c r="BB437" s="372"/>
      <c r="BC437" s="372"/>
      <c r="BD437" s="372"/>
      <c r="BE437" s="282"/>
      <c r="BF437" s="282"/>
      <c r="BG437" s="282"/>
      <c r="BH437" s="283"/>
      <c r="BI437" s="282"/>
      <c r="BJ437" s="283"/>
      <c r="BK437" s="283"/>
      <c r="BL437" s="283"/>
      <c r="BM437" s="282"/>
      <c r="BN437" s="283"/>
      <c r="BO437" s="283"/>
      <c r="BP437" s="283"/>
      <c r="BQ437" s="283"/>
      <c r="BR437" s="283"/>
      <c r="BS437" s="283"/>
      <c r="BT437" s="283"/>
      <c r="BU437" s="283"/>
      <c r="BV437" s="283"/>
      <c r="BW437" s="283"/>
      <c r="BX437" s="283"/>
      <c r="BY437" s="283"/>
      <c r="BZ437" s="283"/>
      <c r="CA437" s="283"/>
      <c r="CB437" s="283"/>
      <c r="CC437" s="283"/>
      <c r="CD437" s="283"/>
      <c r="CE437" s="283"/>
      <c r="CF437" s="283"/>
      <c r="CG437" s="283"/>
      <c r="CH437" s="283"/>
      <c r="CI437" s="283"/>
      <c r="CJ437" s="283"/>
      <c r="CK437" s="283"/>
      <c r="CL437" s="283"/>
    </row>
    <row r="438" spans="1:90" ht="14.25" customHeight="1" x14ac:dyDescent="0.2">
      <c r="A438" s="28"/>
      <c r="B438" s="28"/>
      <c r="C438" s="28"/>
      <c r="D438" s="282"/>
      <c r="E438" s="282"/>
      <c r="F438" s="282"/>
      <c r="G438" s="282"/>
      <c r="H438" s="282"/>
      <c r="I438" s="282"/>
      <c r="J438" s="282"/>
      <c r="K438" s="282"/>
      <c r="L438" s="282"/>
      <c r="M438" s="282"/>
      <c r="N438" s="282"/>
      <c r="O438" s="282"/>
      <c r="P438" s="282"/>
      <c r="Q438" s="282"/>
      <c r="R438" s="282"/>
      <c r="S438" s="282"/>
      <c r="T438" s="282"/>
      <c r="U438" s="282"/>
      <c r="V438" s="282"/>
      <c r="W438" s="282"/>
      <c r="X438" s="282"/>
      <c r="Y438" s="282"/>
      <c r="Z438" s="282"/>
      <c r="AA438" s="282"/>
      <c r="AB438" s="282"/>
      <c r="AC438" s="282"/>
      <c r="AD438" s="282"/>
      <c r="AE438" s="282"/>
      <c r="AF438" s="282"/>
      <c r="AG438" s="282"/>
      <c r="AH438" s="282"/>
      <c r="AI438" s="282"/>
      <c r="AJ438" s="282"/>
      <c r="AK438" s="282"/>
      <c r="AL438" s="282"/>
      <c r="AM438" s="282"/>
      <c r="AN438" s="282"/>
      <c r="AO438" s="282"/>
      <c r="AP438" s="282"/>
      <c r="AQ438" s="282"/>
      <c r="AR438" s="282"/>
      <c r="AS438" s="282"/>
      <c r="AT438" s="282"/>
      <c r="AU438" s="282"/>
      <c r="AV438" s="282"/>
      <c r="AW438" s="282"/>
      <c r="AX438" s="282"/>
      <c r="AY438" s="282"/>
      <c r="AZ438" s="282"/>
      <c r="BA438" s="372"/>
      <c r="BB438" s="372"/>
      <c r="BC438" s="372"/>
      <c r="BD438" s="372"/>
      <c r="BE438" s="282"/>
      <c r="BF438" s="282"/>
      <c r="BG438" s="282"/>
      <c r="BH438" s="283"/>
      <c r="BI438" s="282"/>
      <c r="BJ438" s="283"/>
      <c r="BK438" s="283"/>
      <c r="BL438" s="283"/>
      <c r="BM438" s="282"/>
      <c r="BN438" s="283"/>
      <c r="BO438" s="283"/>
      <c r="BP438" s="283"/>
      <c r="BQ438" s="283"/>
      <c r="BR438" s="283"/>
      <c r="BS438" s="283"/>
      <c r="BT438" s="283"/>
      <c r="BU438" s="283"/>
      <c r="BV438" s="283"/>
      <c r="BW438" s="283"/>
      <c r="BX438" s="283"/>
      <c r="BY438" s="283"/>
      <c r="BZ438" s="283"/>
      <c r="CA438" s="283"/>
      <c r="CB438" s="283"/>
      <c r="CC438" s="283"/>
      <c r="CD438" s="283"/>
      <c r="CE438" s="283"/>
      <c r="CF438" s="283"/>
      <c r="CG438" s="283"/>
      <c r="CH438" s="283"/>
      <c r="CI438" s="283"/>
      <c r="CJ438" s="283"/>
      <c r="CK438" s="283"/>
      <c r="CL438" s="283"/>
    </row>
    <row r="439" spans="1:90" ht="14.25" customHeight="1" x14ac:dyDescent="0.2">
      <c r="A439" s="28"/>
      <c r="B439" s="28"/>
      <c r="C439" s="28"/>
      <c r="D439" s="282"/>
      <c r="E439" s="282"/>
      <c r="F439" s="282"/>
      <c r="G439" s="282"/>
      <c r="H439" s="282"/>
      <c r="I439" s="282"/>
      <c r="J439" s="282"/>
      <c r="K439" s="282"/>
      <c r="L439" s="282"/>
      <c r="M439" s="282"/>
      <c r="N439" s="282"/>
      <c r="O439" s="282"/>
      <c r="P439" s="282"/>
      <c r="Q439" s="282"/>
      <c r="R439" s="282"/>
      <c r="S439" s="282"/>
      <c r="T439" s="282"/>
      <c r="U439" s="282"/>
      <c r="V439" s="282"/>
      <c r="W439" s="282"/>
      <c r="X439" s="282"/>
      <c r="Y439" s="282"/>
      <c r="Z439" s="282"/>
      <c r="AA439" s="282"/>
      <c r="AB439" s="282"/>
      <c r="AC439" s="282"/>
      <c r="AD439" s="282"/>
      <c r="AE439" s="282"/>
      <c r="AF439" s="282"/>
      <c r="AG439" s="282"/>
      <c r="AH439" s="282"/>
      <c r="AI439" s="282"/>
      <c r="AJ439" s="282"/>
      <c r="AK439" s="282"/>
      <c r="AL439" s="282"/>
      <c r="AM439" s="282"/>
      <c r="AN439" s="282"/>
      <c r="AO439" s="282"/>
      <c r="AP439" s="282"/>
      <c r="AQ439" s="282"/>
      <c r="AR439" s="282"/>
      <c r="AS439" s="282"/>
      <c r="AT439" s="282"/>
      <c r="AU439" s="282"/>
      <c r="AV439" s="282"/>
      <c r="AW439" s="282"/>
      <c r="AX439" s="282"/>
      <c r="AY439" s="282"/>
      <c r="AZ439" s="282"/>
      <c r="BA439" s="372"/>
      <c r="BB439" s="372"/>
      <c r="BC439" s="372"/>
      <c r="BD439" s="372"/>
      <c r="BE439" s="282"/>
      <c r="BF439" s="282"/>
      <c r="BG439" s="282"/>
      <c r="BH439" s="283"/>
      <c r="BI439" s="282"/>
      <c r="BJ439" s="283"/>
      <c r="BK439" s="283"/>
      <c r="BL439" s="283"/>
      <c r="BM439" s="282"/>
      <c r="BN439" s="283"/>
      <c r="BO439" s="283"/>
      <c r="BP439" s="283"/>
      <c r="BQ439" s="283"/>
      <c r="BR439" s="283"/>
      <c r="BS439" s="283"/>
      <c r="BT439" s="283"/>
      <c r="BU439" s="283"/>
      <c r="BV439" s="283"/>
      <c r="BW439" s="283"/>
      <c r="BX439" s="283"/>
      <c r="BY439" s="283"/>
      <c r="BZ439" s="283"/>
      <c r="CA439" s="283"/>
      <c r="CB439" s="283"/>
      <c r="CC439" s="283"/>
      <c r="CD439" s="283"/>
      <c r="CE439" s="283"/>
      <c r="CF439" s="283"/>
      <c r="CG439" s="283"/>
      <c r="CH439" s="283"/>
      <c r="CI439" s="283"/>
      <c r="CJ439" s="283"/>
      <c r="CK439" s="283"/>
      <c r="CL439" s="283"/>
    </row>
    <row r="440" spans="1:90" ht="14.25" customHeight="1" x14ac:dyDescent="0.2">
      <c r="A440" s="28"/>
      <c r="B440" s="28"/>
      <c r="C440" s="28"/>
      <c r="D440" s="282"/>
      <c r="E440" s="282"/>
      <c r="F440" s="282"/>
      <c r="G440" s="282"/>
      <c r="H440" s="282"/>
      <c r="I440" s="282"/>
      <c r="J440" s="282"/>
      <c r="K440" s="282"/>
      <c r="L440" s="282"/>
      <c r="M440" s="282"/>
      <c r="N440" s="282"/>
      <c r="O440" s="282"/>
      <c r="P440" s="282"/>
      <c r="Q440" s="282"/>
      <c r="R440" s="282"/>
      <c r="S440" s="282"/>
      <c r="T440" s="282"/>
      <c r="U440" s="282"/>
      <c r="V440" s="282"/>
      <c r="W440" s="282"/>
      <c r="X440" s="282"/>
      <c r="Y440" s="282"/>
      <c r="Z440" s="282"/>
      <c r="AA440" s="282"/>
      <c r="AB440" s="282"/>
      <c r="AC440" s="282"/>
      <c r="AD440" s="282"/>
      <c r="AE440" s="282"/>
      <c r="AF440" s="282"/>
      <c r="AG440" s="282"/>
      <c r="AH440" s="282"/>
      <c r="AI440" s="282"/>
      <c r="AJ440" s="282"/>
      <c r="AK440" s="282"/>
      <c r="AL440" s="282"/>
      <c r="AM440" s="282"/>
      <c r="AN440" s="282"/>
      <c r="AO440" s="282"/>
      <c r="AP440" s="282"/>
      <c r="AQ440" s="282"/>
      <c r="AR440" s="282"/>
      <c r="AS440" s="282"/>
      <c r="AT440" s="282"/>
      <c r="AU440" s="282"/>
      <c r="AV440" s="282"/>
      <c r="AW440" s="282"/>
      <c r="AX440" s="282"/>
      <c r="AY440" s="282"/>
      <c r="AZ440" s="282"/>
      <c r="BA440" s="282"/>
      <c r="BB440" s="282"/>
      <c r="BC440" s="282"/>
      <c r="BD440" s="282"/>
      <c r="BE440" s="282"/>
      <c r="BF440" s="282"/>
      <c r="BG440" s="282"/>
      <c r="BH440" s="283"/>
      <c r="BI440" s="282"/>
      <c r="BJ440" s="283"/>
      <c r="BK440" s="283"/>
      <c r="BL440" s="283"/>
      <c r="BM440" s="282"/>
      <c r="BN440" s="282"/>
      <c r="BO440" s="282"/>
      <c r="BP440" s="282"/>
      <c r="BQ440" s="282"/>
      <c r="BR440" s="282"/>
      <c r="BS440" s="282"/>
      <c r="BT440" s="282"/>
      <c r="BU440" s="283"/>
      <c r="BV440" s="283"/>
      <c r="BW440" s="283"/>
      <c r="BX440" s="283"/>
      <c r="BY440" s="283"/>
      <c r="BZ440" s="283"/>
      <c r="CA440" s="283"/>
      <c r="CB440" s="283"/>
      <c r="CC440" s="283"/>
      <c r="CD440" s="283"/>
      <c r="CE440" s="283"/>
      <c r="CF440" s="283"/>
      <c r="CG440" s="283"/>
      <c r="CH440" s="283"/>
      <c r="CI440" s="283"/>
      <c r="CJ440" s="283"/>
      <c r="CK440" s="283"/>
      <c r="CL440" s="283"/>
    </row>
    <row r="441" spans="1:90" ht="14.25" customHeight="1" x14ac:dyDescent="0.2">
      <c r="A441" s="28"/>
      <c r="B441" s="28"/>
      <c r="C441" s="28"/>
      <c r="D441" s="282"/>
      <c r="E441" s="282"/>
      <c r="F441" s="282"/>
      <c r="G441" s="282"/>
      <c r="H441" s="282"/>
      <c r="I441" s="282"/>
      <c r="J441" s="282"/>
      <c r="K441" s="282"/>
      <c r="L441" s="282"/>
      <c r="M441" s="282"/>
      <c r="N441" s="282"/>
      <c r="O441" s="282"/>
      <c r="P441" s="282"/>
      <c r="Q441" s="282"/>
      <c r="R441" s="282"/>
      <c r="S441" s="282"/>
      <c r="T441" s="282"/>
      <c r="U441" s="282"/>
      <c r="V441" s="282"/>
      <c r="W441" s="282"/>
      <c r="X441" s="282"/>
      <c r="Y441" s="282"/>
      <c r="Z441" s="282"/>
      <c r="AA441" s="282"/>
      <c r="AB441" s="282"/>
      <c r="AC441" s="282"/>
      <c r="AD441" s="282"/>
      <c r="AE441" s="282"/>
      <c r="AF441" s="282"/>
      <c r="AG441" s="282"/>
      <c r="AH441" s="282"/>
      <c r="AI441" s="282"/>
      <c r="AJ441" s="282"/>
      <c r="AK441" s="282"/>
      <c r="AL441" s="282"/>
      <c r="AM441" s="282"/>
      <c r="AN441" s="282"/>
      <c r="AO441" s="282"/>
      <c r="AP441" s="282"/>
      <c r="AQ441" s="282"/>
      <c r="AR441" s="282"/>
      <c r="AS441" s="282"/>
      <c r="AT441" s="282"/>
      <c r="AU441" s="282"/>
      <c r="AV441" s="282"/>
      <c r="AW441" s="282"/>
      <c r="AX441" s="282"/>
      <c r="AY441" s="282"/>
      <c r="AZ441" s="282"/>
      <c r="BA441" s="282"/>
      <c r="BB441" s="282"/>
      <c r="BC441" s="282"/>
      <c r="BD441" s="282"/>
      <c r="BE441" s="282"/>
      <c r="BF441" s="282"/>
      <c r="BG441" s="282"/>
      <c r="BH441" s="283"/>
      <c r="BI441" s="282"/>
      <c r="BJ441" s="283"/>
      <c r="BK441" s="283"/>
      <c r="BL441" s="283"/>
      <c r="BM441" s="282"/>
      <c r="BN441" s="282"/>
      <c r="BO441" s="282"/>
      <c r="BP441" s="282"/>
      <c r="BQ441" s="282"/>
      <c r="BR441" s="282"/>
      <c r="BS441" s="282"/>
      <c r="BT441" s="282"/>
      <c r="BU441" s="283"/>
      <c r="BV441" s="283"/>
      <c r="BW441" s="283"/>
      <c r="BX441" s="283"/>
      <c r="BY441" s="283"/>
      <c r="BZ441" s="283"/>
      <c r="CA441" s="283"/>
      <c r="CB441" s="283"/>
      <c r="CC441" s="283"/>
      <c r="CD441" s="283"/>
      <c r="CE441" s="283"/>
      <c r="CF441" s="283"/>
      <c r="CG441" s="283"/>
      <c r="CH441" s="283"/>
      <c r="CI441" s="283"/>
      <c r="CJ441" s="283"/>
      <c r="CK441" s="283"/>
      <c r="CL441" s="283"/>
    </row>
    <row r="442" spans="1:90" ht="14.25" customHeight="1" x14ac:dyDescent="0.2">
      <c r="A442" s="28"/>
      <c r="B442" s="28"/>
      <c r="C442" s="28"/>
      <c r="D442" s="282"/>
      <c r="E442" s="282"/>
      <c r="F442" s="282"/>
      <c r="G442" s="282"/>
      <c r="H442" s="282"/>
      <c r="I442" s="282"/>
      <c r="J442" s="282"/>
      <c r="K442" s="282"/>
      <c r="L442" s="282"/>
      <c r="M442" s="282"/>
      <c r="N442" s="282"/>
      <c r="O442" s="282"/>
      <c r="P442" s="282"/>
      <c r="Q442" s="282"/>
      <c r="R442" s="282"/>
      <c r="S442" s="282"/>
      <c r="T442" s="282"/>
      <c r="U442" s="282"/>
      <c r="V442" s="282"/>
      <c r="W442" s="282"/>
      <c r="X442" s="282"/>
      <c r="Y442" s="282"/>
      <c r="Z442" s="282"/>
      <c r="AA442" s="282"/>
      <c r="AB442" s="282"/>
      <c r="AC442" s="282"/>
      <c r="AD442" s="282"/>
      <c r="AE442" s="282"/>
      <c r="AF442" s="282"/>
      <c r="AG442" s="282"/>
      <c r="AH442" s="282"/>
      <c r="AI442" s="282"/>
      <c r="AJ442" s="282"/>
      <c r="AK442" s="282"/>
      <c r="AL442" s="282"/>
      <c r="AM442" s="282"/>
      <c r="AN442" s="282"/>
      <c r="AO442" s="282"/>
      <c r="AP442" s="282"/>
      <c r="AQ442" s="282"/>
      <c r="AR442" s="282"/>
      <c r="AS442" s="282"/>
      <c r="AT442" s="282"/>
      <c r="AU442" s="282"/>
      <c r="AV442" s="282"/>
      <c r="AW442" s="282"/>
      <c r="AX442" s="282"/>
      <c r="AY442" s="282"/>
      <c r="AZ442" s="282"/>
      <c r="BA442" s="282"/>
      <c r="BB442" s="282"/>
      <c r="BC442" s="282"/>
      <c r="BD442" s="282"/>
      <c r="BE442" s="282"/>
      <c r="BF442" s="282"/>
      <c r="BG442" s="282"/>
      <c r="BH442" s="283"/>
      <c r="BI442" s="282"/>
      <c r="BJ442" s="283"/>
      <c r="BK442" s="283"/>
      <c r="BL442" s="283"/>
      <c r="BM442" s="282"/>
      <c r="BN442" s="282"/>
      <c r="BO442" s="282"/>
      <c r="BP442" s="282"/>
      <c r="BQ442" s="282"/>
      <c r="BR442" s="282"/>
      <c r="BS442" s="282"/>
      <c r="BT442" s="282"/>
      <c r="BU442" s="283"/>
      <c r="BV442" s="283"/>
      <c r="BW442" s="283"/>
      <c r="BX442" s="283"/>
      <c r="BY442" s="283"/>
      <c r="BZ442" s="283"/>
      <c r="CA442" s="283"/>
      <c r="CB442" s="283"/>
      <c r="CC442" s="283"/>
      <c r="CD442" s="283"/>
      <c r="CE442" s="283"/>
      <c r="CF442" s="283"/>
      <c r="CG442" s="283"/>
      <c r="CH442" s="283"/>
      <c r="CI442" s="283"/>
      <c r="CJ442" s="283"/>
      <c r="CK442" s="283"/>
      <c r="CL442" s="283"/>
    </row>
    <row r="443" spans="1:90" ht="14.25" customHeight="1" x14ac:dyDescent="0.2">
      <c r="A443" s="28"/>
      <c r="B443" s="28"/>
      <c r="C443" s="28"/>
      <c r="D443" s="282"/>
      <c r="E443" s="282"/>
      <c r="F443" s="282"/>
      <c r="G443" s="282"/>
      <c r="H443" s="282"/>
      <c r="I443" s="282"/>
      <c r="J443" s="282"/>
      <c r="K443" s="282"/>
      <c r="L443" s="282"/>
      <c r="M443" s="282"/>
      <c r="N443" s="282"/>
      <c r="O443" s="282"/>
      <c r="P443" s="282"/>
      <c r="Q443" s="282"/>
      <c r="R443" s="282"/>
      <c r="S443" s="282"/>
      <c r="T443" s="282"/>
      <c r="U443" s="282"/>
      <c r="V443" s="282"/>
      <c r="W443" s="282"/>
      <c r="X443" s="282"/>
      <c r="Y443" s="282"/>
      <c r="Z443" s="282"/>
      <c r="AA443" s="282"/>
      <c r="AB443" s="282"/>
      <c r="AC443" s="282"/>
      <c r="AD443" s="282"/>
      <c r="AE443" s="282"/>
      <c r="AF443" s="282"/>
      <c r="AG443" s="282"/>
      <c r="AH443" s="282"/>
      <c r="AI443" s="282"/>
      <c r="AJ443" s="282"/>
      <c r="AK443" s="282"/>
      <c r="AL443" s="282"/>
      <c r="AM443" s="282"/>
      <c r="AN443" s="282"/>
      <c r="AO443" s="282"/>
      <c r="AP443" s="282"/>
      <c r="AQ443" s="282"/>
      <c r="AR443" s="282"/>
      <c r="AS443" s="282"/>
      <c r="AT443" s="282"/>
      <c r="AU443" s="282"/>
      <c r="AV443" s="282"/>
      <c r="AW443" s="282"/>
      <c r="AX443" s="282"/>
      <c r="AY443" s="282"/>
      <c r="AZ443" s="282"/>
      <c r="BA443" s="282"/>
      <c r="BB443" s="282"/>
      <c r="BC443" s="282"/>
      <c r="BD443" s="282"/>
      <c r="BE443" s="282"/>
      <c r="BF443" s="282"/>
      <c r="BG443" s="282"/>
      <c r="BH443" s="283"/>
      <c r="BI443" s="282"/>
      <c r="BJ443" s="283"/>
      <c r="BK443" s="283"/>
      <c r="BL443" s="283"/>
      <c r="BM443" s="282"/>
      <c r="BN443" s="282"/>
      <c r="BO443" s="282"/>
      <c r="BP443" s="282"/>
      <c r="BQ443" s="282"/>
      <c r="BR443" s="282"/>
      <c r="BS443" s="282"/>
      <c r="BT443" s="282"/>
      <c r="BU443" s="283"/>
      <c r="BV443" s="283"/>
      <c r="BW443" s="283"/>
      <c r="BX443" s="283"/>
      <c r="BY443" s="283"/>
      <c r="BZ443" s="283"/>
      <c r="CA443" s="283"/>
      <c r="CB443" s="283"/>
      <c r="CC443" s="283"/>
      <c r="CD443" s="283"/>
      <c r="CE443" s="283"/>
      <c r="CF443" s="283"/>
      <c r="CG443" s="283"/>
      <c r="CH443" s="283"/>
      <c r="CI443" s="283"/>
      <c r="CJ443" s="283"/>
      <c r="CK443" s="283"/>
      <c r="CL443" s="283"/>
    </row>
    <row r="444" spans="1:90" ht="14.25" customHeight="1" x14ac:dyDescent="0.2">
      <c r="A444" s="28"/>
      <c r="B444" s="28"/>
      <c r="C444" s="28"/>
      <c r="D444" s="282"/>
      <c r="E444" s="282"/>
      <c r="F444" s="282"/>
      <c r="G444" s="282"/>
      <c r="H444" s="282"/>
      <c r="I444" s="282"/>
      <c r="J444" s="282"/>
      <c r="K444" s="282"/>
      <c r="L444" s="282"/>
      <c r="M444" s="282"/>
      <c r="N444" s="282"/>
      <c r="O444" s="282"/>
      <c r="P444" s="282"/>
      <c r="Q444" s="282"/>
      <c r="R444" s="282"/>
      <c r="S444" s="282"/>
      <c r="T444" s="282"/>
      <c r="U444" s="282"/>
      <c r="V444" s="282"/>
      <c r="W444" s="282"/>
      <c r="X444" s="282"/>
      <c r="Y444" s="282"/>
      <c r="Z444" s="282"/>
      <c r="AA444" s="282"/>
      <c r="AB444" s="282"/>
      <c r="AC444" s="282"/>
      <c r="AD444" s="282"/>
      <c r="AE444" s="282"/>
      <c r="AF444" s="282"/>
      <c r="AG444" s="282"/>
      <c r="AH444" s="282"/>
      <c r="AI444" s="282"/>
      <c r="AJ444" s="282"/>
      <c r="AK444" s="282"/>
      <c r="AL444" s="282"/>
      <c r="AM444" s="282"/>
      <c r="AN444" s="282"/>
      <c r="AO444" s="282"/>
      <c r="AP444" s="282"/>
      <c r="AQ444" s="282"/>
      <c r="AR444" s="282"/>
      <c r="AS444" s="282"/>
      <c r="AT444" s="282"/>
      <c r="AU444" s="282"/>
      <c r="AV444" s="282"/>
      <c r="AW444" s="282"/>
      <c r="AX444" s="282"/>
      <c r="AY444" s="282"/>
      <c r="AZ444" s="282"/>
      <c r="BA444" s="282"/>
      <c r="BB444" s="282"/>
      <c r="BC444" s="282"/>
      <c r="BD444" s="282"/>
      <c r="BE444" s="282"/>
      <c r="BF444" s="282"/>
      <c r="BG444" s="282"/>
      <c r="BH444" s="283"/>
      <c r="BI444" s="282"/>
      <c r="BJ444" s="283"/>
      <c r="BK444" s="283"/>
      <c r="BL444" s="283"/>
      <c r="BM444" s="282"/>
      <c r="BN444" s="282"/>
      <c r="BO444" s="282"/>
      <c r="BP444" s="282"/>
      <c r="BQ444" s="282"/>
      <c r="BR444" s="282"/>
      <c r="BS444" s="282"/>
      <c r="BT444" s="282"/>
      <c r="BU444" s="283"/>
      <c r="BV444" s="283"/>
      <c r="BW444" s="283"/>
      <c r="BX444" s="283"/>
      <c r="BY444" s="283"/>
      <c r="BZ444" s="283"/>
      <c r="CA444" s="283"/>
      <c r="CB444" s="283"/>
      <c r="CC444" s="283"/>
      <c r="CD444" s="283"/>
      <c r="CE444" s="283"/>
      <c r="CF444" s="283"/>
      <c r="CG444" s="283"/>
      <c r="CH444" s="283"/>
      <c r="CI444" s="283"/>
      <c r="CJ444" s="283"/>
      <c r="CK444" s="283"/>
      <c r="CL444" s="283"/>
    </row>
    <row r="445" spans="1:90" ht="14.25" customHeight="1" x14ac:dyDescent="0.2">
      <c r="A445" s="28"/>
      <c r="B445" s="28"/>
      <c r="C445" s="28"/>
      <c r="D445" s="282"/>
      <c r="E445" s="282"/>
      <c r="F445" s="282"/>
      <c r="G445" s="282"/>
      <c r="H445" s="282"/>
      <c r="I445" s="282"/>
      <c r="J445" s="282"/>
      <c r="K445" s="282"/>
      <c r="L445" s="282"/>
      <c r="M445" s="282"/>
      <c r="N445" s="282"/>
      <c r="O445" s="282"/>
      <c r="P445" s="282"/>
      <c r="Q445" s="282"/>
      <c r="R445" s="282"/>
      <c r="S445" s="282"/>
      <c r="T445" s="282"/>
      <c r="U445" s="282"/>
      <c r="V445" s="282"/>
      <c r="W445" s="282"/>
      <c r="X445" s="282"/>
      <c r="Y445" s="282"/>
      <c r="Z445" s="282"/>
      <c r="AA445" s="282"/>
      <c r="AB445" s="282"/>
      <c r="AC445" s="282"/>
      <c r="AD445" s="282"/>
      <c r="AE445" s="282"/>
      <c r="AF445" s="282"/>
      <c r="AG445" s="282"/>
      <c r="AH445" s="282"/>
      <c r="AI445" s="282"/>
      <c r="AJ445" s="282"/>
      <c r="AK445" s="282"/>
      <c r="AL445" s="282"/>
      <c r="AM445" s="282"/>
      <c r="AN445" s="282"/>
      <c r="AO445" s="282"/>
      <c r="AP445" s="282"/>
      <c r="AQ445" s="282"/>
      <c r="AR445" s="282"/>
      <c r="AS445" s="282"/>
      <c r="AT445" s="282"/>
      <c r="AU445" s="282"/>
      <c r="AV445" s="282"/>
      <c r="AW445" s="282"/>
      <c r="AX445" s="282"/>
      <c r="AY445" s="282"/>
      <c r="AZ445" s="282"/>
      <c r="BA445" s="282"/>
      <c r="BB445" s="282"/>
      <c r="BC445" s="282"/>
      <c r="BD445" s="282"/>
      <c r="BE445" s="282"/>
      <c r="BF445" s="282"/>
      <c r="BG445" s="282"/>
      <c r="BH445" s="283"/>
      <c r="BI445" s="282"/>
      <c r="BJ445" s="283"/>
      <c r="BK445" s="283"/>
      <c r="BL445" s="283"/>
      <c r="BM445" s="282"/>
      <c r="BN445" s="282"/>
      <c r="BO445" s="282"/>
      <c r="BP445" s="282"/>
      <c r="BQ445" s="282"/>
      <c r="BR445" s="282"/>
      <c r="BS445" s="282"/>
      <c r="BT445" s="282"/>
      <c r="BU445" s="283"/>
      <c r="BV445" s="283"/>
      <c r="BW445" s="283"/>
      <c r="BX445" s="283"/>
      <c r="BY445" s="283"/>
      <c r="BZ445" s="283"/>
      <c r="CA445" s="283"/>
      <c r="CB445" s="283"/>
      <c r="CC445" s="283"/>
      <c r="CD445" s="283"/>
      <c r="CE445" s="283"/>
      <c r="CF445" s="283"/>
      <c r="CG445" s="283"/>
      <c r="CH445" s="283"/>
      <c r="CI445" s="283"/>
      <c r="CJ445" s="283"/>
      <c r="CK445" s="283"/>
      <c r="CL445" s="283"/>
    </row>
    <row r="446" spans="1:90" ht="14.25" customHeight="1" x14ac:dyDescent="0.2">
      <c r="A446" s="28"/>
      <c r="B446" s="28"/>
      <c r="C446" s="28"/>
      <c r="D446" s="282"/>
      <c r="E446" s="282"/>
      <c r="F446" s="282"/>
      <c r="G446" s="282"/>
      <c r="H446" s="282"/>
      <c r="I446" s="282"/>
      <c r="J446" s="282"/>
      <c r="K446" s="282"/>
      <c r="L446" s="282"/>
      <c r="M446" s="282"/>
      <c r="N446" s="282"/>
      <c r="O446" s="282"/>
      <c r="P446" s="282"/>
      <c r="Q446" s="282"/>
      <c r="R446" s="282"/>
      <c r="S446" s="282"/>
      <c r="T446" s="282"/>
      <c r="U446" s="282"/>
      <c r="V446" s="282"/>
      <c r="W446" s="282"/>
      <c r="X446" s="282"/>
      <c r="Y446" s="282"/>
      <c r="Z446" s="282"/>
      <c r="AA446" s="282"/>
      <c r="AB446" s="282"/>
      <c r="AC446" s="282"/>
      <c r="AD446" s="282"/>
      <c r="AE446" s="282"/>
      <c r="AF446" s="282"/>
      <c r="AG446" s="282"/>
      <c r="AH446" s="282"/>
      <c r="AI446" s="282"/>
      <c r="AJ446" s="282"/>
      <c r="AK446" s="282"/>
      <c r="AL446" s="282"/>
      <c r="AM446" s="282"/>
      <c r="AN446" s="282"/>
      <c r="AO446" s="282"/>
      <c r="AP446" s="282"/>
      <c r="AQ446" s="282"/>
      <c r="AR446" s="282"/>
      <c r="AS446" s="282"/>
      <c r="AT446" s="282"/>
      <c r="AU446" s="282"/>
      <c r="AV446" s="282"/>
      <c r="AW446" s="282"/>
      <c r="AX446" s="282"/>
      <c r="AY446" s="282"/>
      <c r="AZ446" s="282"/>
      <c r="BA446" s="282"/>
      <c r="BB446" s="282"/>
      <c r="BC446" s="282"/>
      <c r="BD446" s="282"/>
      <c r="BE446" s="282"/>
      <c r="BF446" s="282"/>
      <c r="BG446" s="282"/>
      <c r="BH446" s="283"/>
      <c r="BI446" s="282"/>
      <c r="BJ446" s="283"/>
      <c r="BK446" s="283"/>
      <c r="BL446" s="283"/>
      <c r="BM446" s="282"/>
      <c r="BN446" s="282"/>
      <c r="BO446" s="282"/>
      <c r="BP446" s="282"/>
      <c r="BQ446" s="282"/>
      <c r="BR446" s="282"/>
      <c r="BS446" s="282"/>
      <c r="BT446" s="282"/>
      <c r="BU446" s="283"/>
      <c r="BV446" s="283"/>
      <c r="BW446" s="283"/>
      <c r="BX446" s="283"/>
      <c r="BY446" s="283"/>
      <c r="BZ446" s="283"/>
      <c r="CA446" s="283"/>
      <c r="CB446" s="283"/>
      <c r="CC446" s="283"/>
      <c r="CD446" s="283"/>
      <c r="CE446" s="283"/>
      <c r="CF446" s="283"/>
      <c r="CG446" s="283"/>
      <c r="CH446" s="283"/>
      <c r="CI446" s="283"/>
      <c r="CJ446" s="283"/>
      <c r="CK446" s="283"/>
      <c r="CL446" s="283"/>
    </row>
    <row r="447" spans="1:90" ht="14.25" customHeight="1" x14ac:dyDescent="0.2">
      <c r="A447" s="28"/>
      <c r="B447" s="28"/>
      <c r="C447" s="28"/>
      <c r="D447" s="282"/>
      <c r="E447" s="282"/>
      <c r="F447" s="282"/>
      <c r="G447" s="282"/>
      <c r="H447" s="282"/>
      <c r="I447" s="282"/>
      <c r="J447" s="282"/>
      <c r="K447" s="282"/>
      <c r="L447" s="282"/>
      <c r="M447" s="282"/>
      <c r="N447" s="282"/>
      <c r="O447" s="282"/>
      <c r="P447" s="282"/>
      <c r="Q447" s="282"/>
      <c r="R447" s="282"/>
      <c r="S447" s="282"/>
      <c r="T447" s="282"/>
      <c r="U447" s="282"/>
      <c r="V447" s="282"/>
      <c r="W447" s="282"/>
      <c r="X447" s="282"/>
      <c r="Y447" s="282"/>
      <c r="Z447" s="282"/>
      <c r="AA447" s="282"/>
      <c r="AB447" s="282"/>
      <c r="AC447" s="282"/>
      <c r="AD447" s="282"/>
      <c r="AE447" s="282"/>
      <c r="AF447" s="282"/>
      <c r="AG447" s="282"/>
      <c r="AH447" s="282"/>
      <c r="AI447" s="282"/>
      <c r="AJ447" s="282"/>
      <c r="AK447" s="282"/>
      <c r="AL447" s="282"/>
      <c r="AM447" s="282"/>
      <c r="AN447" s="282"/>
      <c r="AO447" s="282"/>
      <c r="AP447" s="282"/>
      <c r="AQ447" s="282"/>
      <c r="AR447" s="282"/>
      <c r="AS447" s="282"/>
      <c r="AT447" s="282"/>
      <c r="AU447" s="282"/>
      <c r="AV447" s="282"/>
      <c r="AW447" s="282"/>
      <c r="AX447" s="282"/>
      <c r="AY447" s="282"/>
      <c r="AZ447" s="282"/>
      <c r="BA447" s="282"/>
      <c r="BB447" s="282"/>
      <c r="BC447" s="282"/>
      <c r="BD447" s="282"/>
      <c r="BE447" s="282"/>
      <c r="BF447" s="282"/>
      <c r="BG447" s="282"/>
      <c r="BH447" s="283"/>
      <c r="BI447" s="282"/>
      <c r="BJ447" s="283"/>
      <c r="BK447" s="283"/>
      <c r="BL447" s="283"/>
      <c r="BM447" s="282"/>
      <c r="BN447" s="282"/>
      <c r="BO447" s="282"/>
      <c r="BP447" s="282"/>
      <c r="BQ447" s="282"/>
      <c r="BR447" s="282"/>
      <c r="BS447" s="282"/>
      <c r="BT447" s="282"/>
      <c r="BU447" s="283"/>
      <c r="BV447" s="283"/>
      <c r="BW447" s="283"/>
      <c r="BX447" s="283"/>
      <c r="BY447" s="283"/>
      <c r="BZ447" s="283"/>
      <c r="CA447" s="283"/>
      <c r="CB447" s="283"/>
      <c r="CC447" s="283"/>
      <c r="CD447" s="283"/>
      <c r="CE447" s="283"/>
      <c r="CF447" s="283"/>
      <c r="CG447" s="283"/>
      <c r="CH447" s="283"/>
      <c r="CI447" s="283"/>
      <c r="CJ447" s="283"/>
      <c r="CK447" s="283"/>
      <c r="CL447" s="283"/>
    </row>
    <row r="448" spans="1:90" ht="14.25" customHeight="1" x14ac:dyDescent="0.2">
      <c r="A448" s="28"/>
      <c r="B448" s="28"/>
      <c r="C448" s="28"/>
      <c r="D448" s="282"/>
      <c r="E448" s="282"/>
      <c r="F448" s="282"/>
      <c r="G448" s="282"/>
      <c r="H448" s="282"/>
      <c r="I448" s="282"/>
      <c r="J448" s="282"/>
      <c r="K448" s="282"/>
      <c r="L448" s="282"/>
      <c r="M448" s="282"/>
      <c r="N448" s="282"/>
      <c r="O448" s="282"/>
      <c r="P448" s="282"/>
      <c r="Q448" s="282"/>
      <c r="R448" s="282"/>
      <c r="S448" s="282"/>
      <c r="T448" s="282"/>
      <c r="U448" s="282"/>
      <c r="V448" s="282"/>
      <c r="W448" s="282"/>
      <c r="X448" s="282"/>
      <c r="Y448" s="282"/>
      <c r="Z448" s="282"/>
      <c r="AA448" s="282"/>
      <c r="AB448" s="282"/>
      <c r="AC448" s="282"/>
      <c r="AD448" s="282"/>
      <c r="AE448" s="282"/>
      <c r="AF448" s="282"/>
      <c r="AG448" s="282"/>
      <c r="AH448" s="282"/>
      <c r="AI448" s="282"/>
      <c r="AJ448" s="282"/>
      <c r="AK448" s="282"/>
      <c r="AL448" s="282"/>
      <c r="AM448" s="282"/>
      <c r="AN448" s="282"/>
      <c r="AO448" s="282"/>
      <c r="AP448" s="282"/>
      <c r="AQ448" s="282"/>
      <c r="AR448" s="282"/>
      <c r="AS448" s="282"/>
      <c r="AT448" s="282"/>
      <c r="AU448" s="282"/>
      <c r="AV448" s="282"/>
      <c r="AW448" s="282"/>
      <c r="AX448" s="282"/>
      <c r="AY448" s="282"/>
      <c r="AZ448" s="282"/>
      <c r="BA448" s="282"/>
      <c r="BB448" s="282"/>
      <c r="BC448" s="282"/>
      <c r="BD448" s="282"/>
      <c r="BE448" s="282"/>
      <c r="BF448" s="282"/>
      <c r="BG448" s="282"/>
      <c r="BH448" s="283"/>
      <c r="BI448" s="282"/>
      <c r="BJ448" s="283"/>
      <c r="BK448" s="283"/>
      <c r="BL448" s="283"/>
      <c r="BM448" s="282"/>
      <c r="BN448" s="282"/>
      <c r="BO448" s="282"/>
      <c r="BP448" s="282"/>
      <c r="BQ448" s="282"/>
      <c r="BR448" s="282"/>
      <c r="BS448" s="282"/>
      <c r="BT448" s="282"/>
      <c r="BU448" s="283"/>
      <c r="BV448" s="283"/>
      <c r="BW448" s="283"/>
      <c r="BX448" s="283"/>
      <c r="BY448" s="283"/>
      <c r="BZ448" s="283"/>
      <c r="CA448" s="283"/>
      <c r="CB448" s="283"/>
      <c r="CC448" s="283"/>
      <c r="CD448" s="283"/>
      <c r="CE448" s="283"/>
      <c r="CF448" s="283"/>
      <c r="CG448" s="283"/>
      <c r="CH448" s="283"/>
      <c r="CI448" s="283"/>
      <c r="CJ448" s="283"/>
      <c r="CK448" s="283"/>
      <c r="CL448" s="283"/>
    </row>
    <row r="449" spans="1:90" ht="14.25" customHeight="1" x14ac:dyDescent="0.2">
      <c r="A449" s="28"/>
      <c r="B449" s="28"/>
      <c r="C449" s="28"/>
      <c r="D449" s="282"/>
      <c r="E449" s="282"/>
      <c r="F449" s="282"/>
      <c r="G449" s="282"/>
      <c r="H449" s="282"/>
      <c r="I449" s="282"/>
      <c r="J449" s="282"/>
      <c r="K449" s="282"/>
      <c r="L449" s="282"/>
      <c r="M449" s="282"/>
      <c r="N449" s="282"/>
      <c r="O449" s="282"/>
      <c r="P449" s="282"/>
      <c r="Q449" s="282"/>
      <c r="R449" s="282"/>
      <c r="S449" s="282"/>
      <c r="T449" s="282"/>
      <c r="U449" s="282"/>
      <c r="V449" s="282"/>
      <c r="W449" s="282"/>
      <c r="X449" s="282"/>
      <c r="Y449" s="282"/>
      <c r="Z449" s="282"/>
      <c r="AA449" s="282"/>
      <c r="AB449" s="282"/>
      <c r="AC449" s="282"/>
      <c r="AD449" s="282"/>
      <c r="AE449" s="282"/>
      <c r="AF449" s="282"/>
      <c r="AG449" s="282"/>
      <c r="AH449" s="282"/>
      <c r="AI449" s="282"/>
      <c r="AJ449" s="282"/>
      <c r="AK449" s="282"/>
      <c r="AL449" s="282"/>
      <c r="AM449" s="282"/>
      <c r="AN449" s="282"/>
      <c r="AO449" s="282"/>
      <c r="AP449" s="282"/>
      <c r="AQ449" s="282"/>
      <c r="AR449" s="282"/>
      <c r="AS449" s="282"/>
      <c r="AT449" s="282"/>
      <c r="AU449" s="282"/>
      <c r="AV449" s="282"/>
      <c r="AW449" s="282"/>
      <c r="AX449" s="282"/>
      <c r="AY449" s="282"/>
      <c r="AZ449" s="282"/>
      <c r="BA449" s="282"/>
      <c r="BB449" s="282"/>
      <c r="BC449" s="282"/>
      <c r="BD449" s="282"/>
      <c r="BE449" s="282"/>
      <c r="BF449" s="282"/>
      <c r="BG449" s="282"/>
      <c r="BH449" s="283"/>
      <c r="BI449" s="282"/>
      <c r="BJ449" s="283"/>
      <c r="BK449" s="283"/>
      <c r="BL449" s="283"/>
      <c r="BM449" s="282"/>
      <c r="BN449" s="282"/>
      <c r="BO449" s="282"/>
      <c r="BP449" s="282"/>
      <c r="BQ449" s="282"/>
      <c r="BR449" s="282"/>
      <c r="BS449" s="282"/>
      <c r="BT449" s="282"/>
      <c r="BU449" s="283"/>
      <c r="BV449" s="283"/>
      <c r="BW449" s="283"/>
      <c r="BX449" s="283"/>
      <c r="BY449" s="283"/>
      <c r="BZ449" s="283"/>
      <c r="CA449" s="283"/>
      <c r="CB449" s="283"/>
      <c r="CC449" s="283"/>
      <c r="CD449" s="283"/>
      <c r="CE449" s="283"/>
      <c r="CF449" s="283"/>
      <c r="CG449" s="283"/>
      <c r="CH449" s="283"/>
      <c r="CI449" s="283"/>
      <c r="CJ449" s="283"/>
      <c r="CK449" s="283"/>
      <c r="CL449" s="283"/>
    </row>
    <row r="450" spans="1:90" ht="14.25" customHeight="1" x14ac:dyDescent="0.2">
      <c r="A450" s="28"/>
      <c r="B450" s="28"/>
      <c r="C450" s="28"/>
      <c r="D450" s="282"/>
      <c r="E450" s="282"/>
      <c r="F450" s="282"/>
      <c r="G450" s="282"/>
      <c r="H450" s="282"/>
      <c r="I450" s="282"/>
      <c r="J450" s="282"/>
      <c r="K450" s="282"/>
      <c r="L450" s="282"/>
      <c r="M450" s="282"/>
      <c r="N450" s="282"/>
      <c r="O450" s="282"/>
      <c r="P450" s="282"/>
      <c r="Q450" s="282"/>
      <c r="R450" s="282"/>
      <c r="S450" s="282"/>
      <c r="T450" s="282"/>
      <c r="U450" s="282"/>
      <c r="V450" s="282"/>
      <c r="W450" s="282"/>
      <c r="X450" s="282"/>
      <c r="Y450" s="282"/>
      <c r="Z450" s="282"/>
      <c r="AA450" s="282"/>
      <c r="AB450" s="282"/>
      <c r="AC450" s="282"/>
      <c r="AD450" s="282"/>
      <c r="AE450" s="282"/>
      <c r="AF450" s="282"/>
      <c r="AG450" s="282"/>
      <c r="AH450" s="282"/>
      <c r="AI450" s="282"/>
      <c r="AJ450" s="282"/>
      <c r="AK450" s="282"/>
      <c r="AL450" s="282"/>
      <c r="AM450" s="282"/>
      <c r="AN450" s="282"/>
      <c r="AO450" s="282"/>
      <c r="AP450" s="282"/>
      <c r="AQ450" s="282"/>
      <c r="AR450" s="282"/>
      <c r="AS450" s="282"/>
      <c r="AT450" s="282"/>
      <c r="AU450" s="282"/>
      <c r="AV450" s="282"/>
      <c r="AW450" s="282"/>
      <c r="AX450" s="282"/>
      <c r="AY450" s="282"/>
      <c r="AZ450" s="282"/>
      <c r="BA450" s="282"/>
      <c r="BB450" s="282"/>
      <c r="BC450" s="282"/>
      <c r="BD450" s="282"/>
      <c r="BE450" s="282"/>
      <c r="BF450" s="282"/>
      <c r="BG450" s="282"/>
      <c r="BH450" s="283"/>
      <c r="BI450" s="282"/>
      <c r="BJ450" s="283"/>
      <c r="BK450" s="283"/>
      <c r="BL450" s="283"/>
      <c r="BM450" s="282"/>
      <c r="BN450" s="282"/>
      <c r="BO450" s="282"/>
      <c r="BP450" s="282"/>
      <c r="BQ450" s="282"/>
      <c r="BR450" s="282"/>
      <c r="BS450" s="282"/>
      <c r="BT450" s="282"/>
      <c r="BU450" s="283"/>
      <c r="BV450" s="283"/>
      <c r="BW450" s="283"/>
      <c r="BX450" s="283"/>
      <c r="BY450" s="283"/>
      <c r="BZ450" s="283"/>
      <c r="CA450" s="283"/>
      <c r="CB450" s="283"/>
      <c r="CC450" s="283"/>
      <c r="CD450" s="283"/>
      <c r="CE450" s="283"/>
      <c r="CF450" s="283"/>
      <c r="CG450" s="283"/>
      <c r="CH450" s="283"/>
      <c r="CI450" s="283"/>
      <c r="CJ450" s="283"/>
      <c r="CK450" s="283"/>
      <c r="CL450" s="283"/>
    </row>
    <row r="451" spans="1:90" ht="14.25" customHeight="1" x14ac:dyDescent="0.2">
      <c r="A451" s="28"/>
      <c r="B451" s="28"/>
      <c r="C451" s="28"/>
      <c r="D451" s="282"/>
      <c r="E451" s="282"/>
      <c r="F451" s="282"/>
      <c r="G451" s="282"/>
      <c r="H451" s="282"/>
      <c r="I451" s="282"/>
      <c r="J451" s="282"/>
      <c r="K451" s="282"/>
      <c r="L451" s="282"/>
      <c r="M451" s="282"/>
      <c r="N451" s="282"/>
      <c r="O451" s="282"/>
      <c r="P451" s="282"/>
      <c r="Q451" s="282"/>
      <c r="R451" s="282"/>
      <c r="S451" s="282"/>
      <c r="T451" s="282"/>
      <c r="U451" s="282"/>
      <c r="V451" s="282"/>
      <c r="W451" s="282"/>
      <c r="X451" s="282"/>
      <c r="Y451" s="282"/>
      <c r="Z451" s="282"/>
      <c r="AA451" s="282"/>
      <c r="AB451" s="282"/>
      <c r="AC451" s="282"/>
      <c r="AD451" s="282"/>
      <c r="AE451" s="282"/>
      <c r="AF451" s="282"/>
      <c r="AG451" s="282"/>
      <c r="AH451" s="282"/>
      <c r="AI451" s="282"/>
      <c r="AJ451" s="282"/>
      <c r="AK451" s="282"/>
      <c r="AL451" s="282"/>
      <c r="AM451" s="282"/>
      <c r="AN451" s="282"/>
      <c r="AO451" s="282"/>
      <c r="AP451" s="282"/>
      <c r="AQ451" s="282"/>
      <c r="AR451" s="282"/>
      <c r="AS451" s="282"/>
      <c r="AT451" s="282"/>
      <c r="AU451" s="282"/>
      <c r="AV451" s="282"/>
      <c r="AW451" s="282"/>
      <c r="AX451" s="282"/>
      <c r="AY451" s="282"/>
      <c r="AZ451" s="282"/>
      <c r="BA451" s="282"/>
      <c r="BB451" s="282"/>
      <c r="BC451" s="282"/>
      <c r="BD451" s="282"/>
      <c r="BE451" s="282"/>
      <c r="BF451" s="282"/>
      <c r="BG451" s="282"/>
      <c r="BH451" s="283"/>
      <c r="BI451" s="282"/>
      <c r="BJ451" s="283"/>
      <c r="BK451" s="283"/>
      <c r="BL451" s="283"/>
      <c r="BM451" s="282"/>
      <c r="BN451" s="282"/>
      <c r="BO451" s="282"/>
      <c r="BP451" s="282"/>
      <c r="BQ451" s="282"/>
      <c r="BR451" s="282"/>
      <c r="BS451" s="282"/>
      <c r="BT451" s="282"/>
      <c r="BU451" s="283"/>
      <c r="BV451" s="283"/>
      <c r="BW451" s="283"/>
      <c r="BX451" s="283"/>
      <c r="BY451" s="283"/>
      <c r="BZ451" s="283"/>
      <c r="CA451" s="283"/>
      <c r="CB451" s="283"/>
      <c r="CC451" s="283"/>
      <c r="CD451" s="283"/>
      <c r="CE451" s="283"/>
      <c r="CF451" s="283"/>
      <c r="CG451" s="283"/>
      <c r="CH451" s="283"/>
      <c r="CI451" s="283"/>
      <c r="CJ451" s="283"/>
      <c r="CK451" s="283"/>
      <c r="CL451" s="283"/>
    </row>
    <row r="452" spans="1:90" ht="14.25" customHeight="1" x14ac:dyDescent="0.2">
      <c r="A452" s="28"/>
      <c r="B452" s="28"/>
      <c r="C452" s="28"/>
      <c r="D452" s="282"/>
      <c r="E452" s="282"/>
      <c r="F452" s="282"/>
      <c r="G452" s="282"/>
      <c r="H452" s="282"/>
      <c r="I452" s="282"/>
      <c r="J452" s="282"/>
      <c r="K452" s="282"/>
      <c r="L452" s="282"/>
      <c r="M452" s="282"/>
      <c r="N452" s="282"/>
      <c r="O452" s="282"/>
      <c r="P452" s="282"/>
      <c r="Q452" s="282"/>
      <c r="R452" s="282"/>
      <c r="S452" s="282"/>
      <c r="T452" s="282"/>
      <c r="U452" s="282"/>
      <c r="V452" s="282"/>
      <c r="W452" s="282"/>
      <c r="X452" s="282"/>
      <c r="Y452" s="282"/>
      <c r="Z452" s="282"/>
      <c r="AA452" s="282"/>
      <c r="AB452" s="282"/>
      <c r="AC452" s="282"/>
      <c r="AD452" s="282"/>
      <c r="AE452" s="282"/>
      <c r="AF452" s="282"/>
      <c r="AG452" s="282"/>
      <c r="AH452" s="282"/>
      <c r="AI452" s="282"/>
      <c r="AJ452" s="282"/>
      <c r="AK452" s="282"/>
      <c r="AL452" s="282"/>
      <c r="AM452" s="282"/>
      <c r="AN452" s="282"/>
      <c r="AO452" s="282"/>
      <c r="AP452" s="282"/>
      <c r="AQ452" s="282"/>
      <c r="AR452" s="282"/>
      <c r="AS452" s="282"/>
      <c r="AT452" s="282"/>
      <c r="AU452" s="282"/>
      <c r="AV452" s="282"/>
      <c r="AW452" s="282"/>
      <c r="AX452" s="282"/>
      <c r="AY452" s="282"/>
      <c r="AZ452" s="282"/>
      <c r="BA452" s="282"/>
      <c r="BB452" s="282"/>
      <c r="BC452" s="282"/>
      <c r="BD452" s="282"/>
      <c r="BE452" s="282"/>
      <c r="BF452" s="282"/>
      <c r="BG452" s="282"/>
      <c r="BH452" s="283"/>
      <c r="BI452" s="282"/>
      <c r="BJ452" s="283"/>
      <c r="BK452" s="283"/>
      <c r="BL452" s="283"/>
      <c r="BM452" s="282"/>
      <c r="BN452" s="282"/>
      <c r="BO452" s="282"/>
      <c r="BP452" s="282"/>
      <c r="BQ452" s="282"/>
      <c r="BR452" s="282"/>
      <c r="BS452" s="282"/>
      <c r="BT452" s="282"/>
      <c r="BU452" s="283"/>
      <c r="BV452" s="283"/>
      <c r="BW452" s="283"/>
      <c r="BX452" s="283"/>
      <c r="BY452" s="283"/>
      <c r="BZ452" s="283"/>
      <c r="CA452" s="283"/>
      <c r="CB452" s="283"/>
      <c r="CC452" s="283"/>
      <c r="CD452" s="283"/>
      <c r="CE452" s="283"/>
      <c r="CF452" s="283"/>
      <c r="CG452" s="283"/>
      <c r="CH452" s="283"/>
      <c r="CI452" s="283"/>
      <c r="CJ452" s="283"/>
      <c r="CK452" s="283"/>
      <c r="CL452" s="283"/>
    </row>
    <row r="453" spans="1:90" ht="14.25" customHeight="1" x14ac:dyDescent="0.2">
      <c r="A453" s="28"/>
      <c r="B453" s="28"/>
      <c r="C453" s="28"/>
      <c r="D453" s="282"/>
      <c r="E453" s="282"/>
      <c r="F453" s="282"/>
      <c r="G453" s="282"/>
      <c r="H453" s="282"/>
      <c r="I453" s="282"/>
      <c r="J453" s="282"/>
      <c r="K453" s="282"/>
      <c r="L453" s="282"/>
      <c r="M453" s="282"/>
      <c r="N453" s="282"/>
      <c r="O453" s="282"/>
      <c r="P453" s="282"/>
      <c r="Q453" s="282"/>
      <c r="R453" s="282"/>
      <c r="S453" s="282"/>
      <c r="T453" s="282"/>
      <c r="U453" s="282"/>
      <c r="V453" s="282"/>
      <c r="W453" s="282"/>
      <c r="X453" s="282"/>
      <c r="Y453" s="282"/>
      <c r="Z453" s="282"/>
      <c r="AA453" s="282"/>
      <c r="AB453" s="282"/>
      <c r="AC453" s="282"/>
      <c r="AD453" s="282"/>
      <c r="AE453" s="282"/>
      <c r="AF453" s="282"/>
      <c r="AG453" s="282"/>
      <c r="AH453" s="282"/>
      <c r="AI453" s="282"/>
      <c r="AJ453" s="282"/>
      <c r="AK453" s="282"/>
      <c r="AL453" s="282"/>
      <c r="AM453" s="282"/>
      <c r="AN453" s="282"/>
      <c r="AO453" s="282"/>
      <c r="AP453" s="282"/>
      <c r="AQ453" s="282"/>
      <c r="AR453" s="282"/>
      <c r="AS453" s="282"/>
      <c r="AT453" s="282"/>
      <c r="AU453" s="282"/>
      <c r="AV453" s="282"/>
      <c r="AW453" s="282"/>
      <c r="AX453" s="282"/>
      <c r="AY453" s="282"/>
      <c r="AZ453" s="282"/>
      <c r="BA453" s="282"/>
      <c r="BB453" s="282"/>
      <c r="BC453" s="282"/>
      <c r="BD453" s="282"/>
      <c r="BE453" s="282"/>
      <c r="BF453" s="282"/>
      <c r="BG453" s="282"/>
      <c r="BH453" s="283"/>
      <c r="BI453" s="282"/>
      <c r="BJ453" s="283"/>
      <c r="BK453" s="283"/>
      <c r="BL453" s="283"/>
      <c r="BM453" s="282"/>
      <c r="BN453" s="282"/>
      <c r="BO453" s="282"/>
      <c r="BP453" s="282"/>
      <c r="BQ453" s="282"/>
      <c r="BR453" s="282"/>
      <c r="BS453" s="282"/>
      <c r="BT453" s="282"/>
      <c r="BU453" s="283"/>
      <c r="BV453" s="283"/>
      <c r="BW453" s="283"/>
      <c r="BX453" s="283"/>
      <c r="BY453" s="283"/>
      <c r="BZ453" s="283"/>
      <c r="CA453" s="283"/>
      <c r="CB453" s="283"/>
      <c r="CC453" s="283"/>
      <c r="CD453" s="283"/>
      <c r="CE453" s="283"/>
      <c r="CF453" s="283"/>
      <c r="CG453" s="283"/>
      <c r="CH453" s="283"/>
      <c r="CI453" s="283"/>
      <c r="CJ453" s="283"/>
      <c r="CK453" s="283"/>
      <c r="CL453" s="283"/>
    </row>
    <row r="454" spans="1:90" ht="14.25" customHeight="1" x14ac:dyDescent="0.2">
      <c r="A454" s="28"/>
      <c r="B454" s="28"/>
      <c r="C454" s="28"/>
      <c r="D454" s="282"/>
      <c r="E454" s="282"/>
      <c r="F454" s="282"/>
      <c r="G454" s="282"/>
      <c r="H454" s="282"/>
      <c r="I454" s="282"/>
      <c r="J454" s="282"/>
      <c r="K454" s="282"/>
      <c r="L454" s="282"/>
      <c r="M454" s="282"/>
      <c r="N454" s="282"/>
      <c r="O454" s="282"/>
      <c r="P454" s="282"/>
      <c r="Q454" s="282"/>
      <c r="R454" s="282"/>
      <c r="S454" s="282"/>
      <c r="T454" s="282"/>
      <c r="U454" s="282"/>
      <c r="V454" s="282"/>
      <c r="W454" s="282"/>
      <c r="X454" s="282"/>
      <c r="Y454" s="282"/>
      <c r="Z454" s="282"/>
      <c r="AA454" s="282"/>
      <c r="AB454" s="282"/>
      <c r="AC454" s="282"/>
      <c r="AD454" s="282"/>
      <c r="AE454" s="282"/>
      <c r="AF454" s="282"/>
      <c r="AG454" s="282"/>
      <c r="AH454" s="282"/>
      <c r="AI454" s="282"/>
      <c r="AJ454" s="282"/>
      <c r="AK454" s="282"/>
      <c r="AL454" s="282"/>
      <c r="AM454" s="282"/>
      <c r="AN454" s="282"/>
      <c r="AO454" s="282"/>
      <c r="AP454" s="282"/>
      <c r="AQ454" s="282"/>
      <c r="AR454" s="282"/>
      <c r="AS454" s="282"/>
      <c r="AT454" s="282"/>
      <c r="AU454" s="282"/>
      <c r="AV454" s="282"/>
      <c r="AW454" s="282"/>
      <c r="AX454" s="282"/>
      <c r="AY454" s="282"/>
      <c r="AZ454" s="282"/>
      <c r="BA454" s="282"/>
      <c r="BB454" s="282"/>
      <c r="BC454" s="282"/>
      <c r="BD454" s="282"/>
      <c r="BE454" s="282"/>
      <c r="BF454" s="282"/>
      <c r="BG454" s="282"/>
      <c r="BH454" s="283"/>
      <c r="BI454" s="282"/>
      <c r="BJ454" s="283"/>
      <c r="BK454" s="283"/>
      <c r="BL454" s="283"/>
      <c r="BM454" s="282"/>
      <c r="BN454" s="282"/>
      <c r="BO454" s="282"/>
      <c r="BP454" s="282"/>
      <c r="BQ454" s="282"/>
      <c r="BR454" s="282"/>
      <c r="BS454" s="282"/>
      <c r="BT454" s="282"/>
      <c r="BU454" s="283"/>
      <c r="BV454" s="283"/>
      <c r="BW454" s="283"/>
      <c r="BX454" s="283"/>
      <c r="BY454" s="283"/>
      <c r="BZ454" s="283"/>
      <c r="CA454" s="283"/>
      <c r="CB454" s="283"/>
      <c r="CC454" s="283"/>
      <c r="CD454" s="283"/>
      <c r="CE454" s="283"/>
      <c r="CF454" s="283"/>
      <c r="CG454" s="283"/>
      <c r="CH454" s="283"/>
      <c r="CI454" s="283"/>
      <c r="CJ454" s="283"/>
      <c r="CK454" s="283"/>
      <c r="CL454" s="283"/>
    </row>
    <row r="455" spans="1:90" ht="14.25" customHeight="1" x14ac:dyDescent="0.2">
      <c r="A455" s="28"/>
      <c r="B455" s="28"/>
      <c r="C455" s="28"/>
      <c r="D455" s="282"/>
      <c r="E455" s="282"/>
      <c r="F455" s="282"/>
      <c r="G455" s="282"/>
      <c r="H455" s="282"/>
      <c r="I455" s="282"/>
      <c r="J455" s="282"/>
      <c r="K455" s="282"/>
      <c r="L455" s="282"/>
      <c r="M455" s="282"/>
      <c r="N455" s="282"/>
      <c r="O455" s="282"/>
      <c r="P455" s="282"/>
      <c r="Q455" s="282"/>
      <c r="R455" s="282"/>
      <c r="S455" s="282"/>
      <c r="T455" s="282"/>
      <c r="U455" s="282"/>
      <c r="V455" s="282"/>
      <c r="W455" s="282"/>
      <c r="X455" s="282"/>
      <c r="Y455" s="282"/>
      <c r="Z455" s="282"/>
      <c r="AA455" s="282"/>
      <c r="AB455" s="282"/>
      <c r="AC455" s="282"/>
      <c r="AD455" s="282"/>
      <c r="AE455" s="282"/>
      <c r="AF455" s="282"/>
      <c r="AG455" s="282"/>
      <c r="AH455" s="282"/>
      <c r="AI455" s="282"/>
      <c r="AJ455" s="282"/>
      <c r="AK455" s="282"/>
      <c r="AL455" s="282"/>
      <c r="AM455" s="282"/>
      <c r="AN455" s="282"/>
      <c r="AO455" s="282"/>
      <c r="AP455" s="282"/>
      <c r="AQ455" s="282"/>
      <c r="AR455" s="282"/>
      <c r="AS455" s="282"/>
      <c r="AT455" s="282"/>
      <c r="AU455" s="282"/>
      <c r="AV455" s="282"/>
      <c r="AW455" s="282"/>
      <c r="AX455" s="282"/>
      <c r="AY455" s="282"/>
      <c r="AZ455" s="282"/>
      <c r="BA455" s="282"/>
      <c r="BB455" s="282"/>
      <c r="BC455" s="282"/>
      <c r="BD455" s="282"/>
      <c r="BE455" s="282"/>
      <c r="BF455" s="282"/>
      <c r="BG455" s="282"/>
      <c r="BH455" s="283"/>
      <c r="BI455" s="282"/>
      <c r="BJ455" s="283"/>
      <c r="BK455" s="283"/>
      <c r="BL455" s="283"/>
      <c r="BM455" s="282"/>
      <c r="BN455" s="282"/>
      <c r="BO455" s="282"/>
      <c r="BP455" s="282"/>
      <c r="BQ455" s="282"/>
      <c r="BR455" s="282"/>
      <c r="BS455" s="282"/>
      <c r="BT455" s="282"/>
      <c r="BU455" s="283"/>
      <c r="BV455" s="283"/>
      <c r="BW455" s="283"/>
      <c r="BX455" s="283"/>
      <c r="BY455" s="283"/>
      <c r="BZ455" s="283"/>
      <c r="CA455" s="283"/>
      <c r="CB455" s="283"/>
      <c r="CC455" s="283"/>
      <c r="CD455" s="283"/>
      <c r="CE455" s="283"/>
      <c r="CF455" s="283"/>
      <c r="CG455" s="283"/>
      <c r="CH455" s="283"/>
      <c r="CI455" s="283"/>
      <c r="CJ455" s="283"/>
      <c r="CK455" s="283"/>
      <c r="CL455" s="283"/>
    </row>
    <row r="456" spans="1:90" ht="14.25" customHeight="1" x14ac:dyDescent="0.2">
      <c r="A456" s="28"/>
      <c r="B456" s="28"/>
      <c r="C456" s="28"/>
      <c r="D456" s="282"/>
      <c r="E456" s="282"/>
      <c r="F456" s="282"/>
      <c r="G456" s="282"/>
      <c r="H456" s="282"/>
      <c r="I456" s="282"/>
      <c r="J456" s="282"/>
      <c r="K456" s="282"/>
      <c r="L456" s="282"/>
      <c r="M456" s="282"/>
      <c r="N456" s="282"/>
      <c r="O456" s="282"/>
      <c r="P456" s="282"/>
      <c r="Q456" s="282"/>
      <c r="R456" s="282"/>
      <c r="S456" s="282"/>
      <c r="T456" s="282"/>
      <c r="U456" s="282"/>
      <c r="V456" s="282"/>
      <c r="W456" s="282"/>
      <c r="X456" s="282"/>
      <c r="Y456" s="282"/>
      <c r="Z456" s="282"/>
      <c r="AA456" s="282"/>
      <c r="AB456" s="282"/>
      <c r="AC456" s="282"/>
      <c r="AD456" s="282"/>
      <c r="AE456" s="282"/>
      <c r="AF456" s="282"/>
      <c r="AG456" s="282"/>
      <c r="AH456" s="282"/>
      <c r="AI456" s="282"/>
      <c r="AJ456" s="282"/>
      <c r="AK456" s="282"/>
      <c r="AL456" s="282"/>
      <c r="AM456" s="282"/>
      <c r="AN456" s="282"/>
      <c r="AO456" s="282"/>
      <c r="AP456" s="282"/>
      <c r="AQ456" s="282"/>
      <c r="AR456" s="282"/>
      <c r="AS456" s="282"/>
      <c r="AT456" s="282"/>
      <c r="AU456" s="282"/>
      <c r="AV456" s="282"/>
      <c r="AW456" s="282"/>
      <c r="AX456" s="282"/>
      <c r="AY456" s="282"/>
      <c r="AZ456" s="282"/>
      <c r="BA456" s="282"/>
      <c r="BB456" s="282"/>
      <c r="BC456" s="282"/>
      <c r="BD456" s="282"/>
      <c r="BE456" s="282"/>
      <c r="BF456" s="282"/>
      <c r="BG456" s="282"/>
      <c r="BH456" s="283"/>
      <c r="BI456" s="282"/>
      <c r="BJ456" s="283"/>
      <c r="BK456" s="283"/>
      <c r="BL456" s="283"/>
      <c r="BM456" s="282"/>
      <c r="BN456" s="282"/>
      <c r="BO456" s="282"/>
      <c r="BP456" s="282"/>
      <c r="BQ456" s="282"/>
      <c r="BR456" s="282"/>
      <c r="BS456" s="282"/>
      <c r="BT456" s="282"/>
      <c r="BU456" s="283"/>
      <c r="BV456" s="283"/>
      <c r="BW456" s="283"/>
      <c r="BX456" s="283"/>
      <c r="BY456" s="283"/>
      <c r="BZ456" s="283"/>
      <c r="CA456" s="283"/>
      <c r="CB456" s="283"/>
      <c r="CC456" s="283"/>
      <c r="CD456" s="283"/>
      <c r="CE456" s="283"/>
      <c r="CF456" s="283"/>
      <c r="CG456" s="283"/>
      <c r="CH456" s="283"/>
      <c r="CI456" s="283"/>
      <c r="CJ456" s="283"/>
      <c r="CK456" s="283"/>
      <c r="CL456" s="283"/>
    </row>
    <row r="457" spans="1:90" ht="14.25" customHeight="1" x14ac:dyDescent="0.2">
      <c r="A457" s="28"/>
      <c r="B457" s="28"/>
      <c r="C457" s="28"/>
      <c r="D457" s="282"/>
      <c r="E457" s="282"/>
      <c r="F457" s="282"/>
      <c r="G457" s="282"/>
      <c r="H457" s="282"/>
      <c r="I457" s="282"/>
      <c r="J457" s="282"/>
      <c r="K457" s="282"/>
      <c r="L457" s="282"/>
      <c r="M457" s="282"/>
      <c r="N457" s="282"/>
      <c r="O457" s="282"/>
      <c r="P457" s="282"/>
      <c r="Q457" s="282"/>
      <c r="R457" s="282"/>
      <c r="S457" s="282"/>
      <c r="T457" s="282"/>
      <c r="U457" s="282"/>
      <c r="V457" s="282"/>
      <c r="W457" s="282"/>
      <c r="X457" s="282"/>
      <c r="Y457" s="282"/>
      <c r="Z457" s="282"/>
      <c r="AA457" s="282"/>
      <c r="AB457" s="282"/>
      <c r="AC457" s="282"/>
      <c r="AD457" s="282"/>
      <c r="AE457" s="282"/>
      <c r="AF457" s="282"/>
      <c r="AG457" s="282"/>
      <c r="AH457" s="282"/>
      <c r="AI457" s="282"/>
      <c r="AJ457" s="282"/>
      <c r="AK457" s="282"/>
      <c r="AL457" s="282"/>
      <c r="AM457" s="282"/>
      <c r="AN457" s="282"/>
      <c r="AO457" s="282"/>
      <c r="AP457" s="282"/>
      <c r="AQ457" s="282"/>
      <c r="AR457" s="282"/>
      <c r="AS457" s="282"/>
      <c r="AT457" s="282"/>
      <c r="AU457" s="282"/>
      <c r="AV457" s="282"/>
      <c r="AW457" s="282"/>
      <c r="AX457" s="282"/>
      <c r="AY457" s="282"/>
      <c r="AZ457" s="282"/>
      <c r="BA457" s="282"/>
      <c r="BB457" s="282"/>
      <c r="BC457" s="282"/>
      <c r="BD457" s="282"/>
      <c r="BE457" s="282"/>
      <c r="BF457" s="282"/>
      <c r="BG457" s="282"/>
      <c r="BH457" s="283"/>
      <c r="BI457" s="282"/>
      <c r="BJ457" s="283"/>
      <c r="BK457" s="283"/>
      <c r="BL457" s="283"/>
      <c r="BM457" s="282"/>
      <c r="BN457" s="282"/>
      <c r="BO457" s="282"/>
      <c r="BP457" s="282"/>
      <c r="BQ457" s="282"/>
      <c r="BR457" s="282"/>
      <c r="BS457" s="282"/>
      <c r="BT457" s="282"/>
      <c r="BU457" s="283"/>
      <c r="BV457" s="283"/>
      <c r="BW457" s="283"/>
      <c r="BX457" s="283"/>
      <c r="BY457" s="283"/>
      <c r="BZ457" s="283"/>
      <c r="CA457" s="283"/>
      <c r="CB457" s="283"/>
      <c r="CC457" s="283"/>
      <c r="CD457" s="283"/>
      <c r="CE457" s="283"/>
      <c r="CF457" s="283"/>
      <c r="CG457" s="283"/>
      <c r="CH457" s="283"/>
      <c r="CI457" s="283"/>
      <c r="CJ457" s="283"/>
      <c r="CK457" s="283"/>
      <c r="CL457" s="283"/>
    </row>
    <row r="458" spans="1:90" ht="14.25" customHeight="1" x14ac:dyDescent="0.2">
      <c r="A458" s="28"/>
      <c r="B458" s="28"/>
      <c r="C458" s="28"/>
      <c r="D458" s="282"/>
      <c r="E458" s="282"/>
      <c r="F458" s="282"/>
      <c r="G458" s="282"/>
      <c r="H458" s="282"/>
      <c r="I458" s="282"/>
      <c r="J458" s="282"/>
      <c r="K458" s="282"/>
      <c r="L458" s="282"/>
      <c r="M458" s="282"/>
      <c r="N458" s="282"/>
      <c r="O458" s="282"/>
      <c r="P458" s="282"/>
      <c r="Q458" s="282"/>
      <c r="R458" s="282"/>
      <c r="S458" s="282"/>
      <c r="T458" s="282"/>
      <c r="U458" s="282"/>
      <c r="V458" s="282"/>
      <c r="W458" s="282"/>
      <c r="X458" s="282"/>
      <c r="Y458" s="282"/>
      <c r="Z458" s="282"/>
      <c r="AA458" s="282"/>
      <c r="AB458" s="282"/>
      <c r="AC458" s="282"/>
      <c r="AD458" s="282"/>
      <c r="AE458" s="282"/>
      <c r="AF458" s="282"/>
      <c r="AG458" s="282"/>
      <c r="AH458" s="282"/>
      <c r="AI458" s="282"/>
      <c r="AJ458" s="282"/>
      <c r="AK458" s="282"/>
      <c r="AL458" s="282"/>
      <c r="AM458" s="282"/>
      <c r="AN458" s="282"/>
      <c r="AO458" s="282"/>
      <c r="AP458" s="282"/>
      <c r="AQ458" s="282"/>
      <c r="AR458" s="282"/>
      <c r="AS458" s="282"/>
      <c r="AT458" s="282"/>
      <c r="AU458" s="282"/>
      <c r="AV458" s="282"/>
      <c r="AW458" s="282"/>
      <c r="AX458" s="282"/>
      <c r="AY458" s="282"/>
      <c r="AZ458" s="282"/>
      <c r="BA458" s="282"/>
      <c r="BB458" s="282"/>
      <c r="BC458" s="282"/>
      <c r="BD458" s="282"/>
      <c r="BE458" s="282"/>
      <c r="BF458" s="282"/>
      <c r="BG458" s="282"/>
      <c r="BH458" s="283"/>
      <c r="BI458" s="282"/>
      <c r="BJ458" s="283"/>
      <c r="BK458" s="283"/>
      <c r="BL458" s="283"/>
      <c r="BM458" s="282"/>
      <c r="BN458" s="282"/>
      <c r="BO458" s="282"/>
      <c r="BP458" s="282"/>
      <c r="BQ458" s="282"/>
      <c r="BR458" s="282"/>
      <c r="BS458" s="282"/>
      <c r="BT458" s="282"/>
      <c r="BU458" s="283"/>
      <c r="BV458" s="283"/>
      <c r="BW458" s="283"/>
      <c r="BX458" s="283"/>
      <c r="BY458" s="283"/>
      <c r="BZ458" s="283"/>
      <c r="CA458" s="283"/>
      <c r="CB458" s="283"/>
      <c r="CC458" s="283"/>
      <c r="CD458" s="283"/>
      <c r="CE458" s="283"/>
      <c r="CF458" s="283"/>
      <c r="CG458" s="283"/>
      <c r="CH458" s="283"/>
      <c r="CI458" s="283"/>
      <c r="CJ458" s="283"/>
      <c r="CK458" s="283"/>
      <c r="CL458" s="283"/>
    </row>
    <row r="459" spans="1:90" ht="14.25" customHeight="1" x14ac:dyDescent="0.2">
      <c r="A459" s="28"/>
      <c r="B459" s="28"/>
      <c r="C459" s="28"/>
      <c r="D459" s="282"/>
      <c r="E459" s="282"/>
      <c r="F459" s="282"/>
      <c r="G459" s="282"/>
      <c r="H459" s="282"/>
      <c r="I459" s="282"/>
      <c r="J459" s="282"/>
      <c r="K459" s="282"/>
      <c r="L459" s="282"/>
      <c r="M459" s="282"/>
      <c r="N459" s="282"/>
      <c r="O459" s="282"/>
      <c r="P459" s="282"/>
      <c r="Q459" s="282"/>
      <c r="R459" s="282"/>
      <c r="S459" s="282"/>
      <c r="T459" s="282"/>
      <c r="U459" s="282"/>
      <c r="V459" s="282"/>
      <c r="W459" s="282"/>
      <c r="X459" s="282"/>
      <c r="Y459" s="282"/>
      <c r="Z459" s="282"/>
      <c r="AA459" s="282"/>
      <c r="AB459" s="282"/>
      <c r="AC459" s="282"/>
      <c r="AD459" s="282"/>
      <c r="AE459" s="282"/>
      <c r="AF459" s="282"/>
      <c r="AG459" s="282"/>
      <c r="AH459" s="282"/>
      <c r="AI459" s="282"/>
      <c r="AJ459" s="282"/>
      <c r="AK459" s="282"/>
      <c r="AL459" s="282"/>
      <c r="AM459" s="282"/>
      <c r="AN459" s="282"/>
      <c r="AO459" s="282"/>
      <c r="AP459" s="282"/>
      <c r="AQ459" s="282"/>
      <c r="AR459" s="282"/>
      <c r="AS459" s="282"/>
      <c r="AT459" s="282"/>
      <c r="AU459" s="282"/>
      <c r="AV459" s="282"/>
      <c r="AW459" s="282"/>
      <c r="AX459" s="282"/>
      <c r="AY459" s="282"/>
      <c r="AZ459" s="282"/>
      <c r="BA459" s="282"/>
      <c r="BB459" s="282"/>
      <c r="BC459" s="282"/>
      <c r="BD459" s="282"/>
      <c r="BE459" s="282"/>
      <c r="BF459" s="282"/>
      <c r="BG459" s="282"/>
      <c r="BH459" s="283"/>
      <c r="BI459" s="282"/>
      <c r="BJ459" s="283"/>
      <c r="BK459" s="283"/>
      <c r="BL459" s="283"/>
      <c r="BM459" s="282"/>
      <c r="BN459" s="282"/>
      <c r="BO459" s="282"/>
      <c r="BP459" s="282"/>
      <c r="BQ459" s="282"/>
      <c r="BR459" s="282"/>
      <c r="BS459" s="282"/>
      <c r="BT459" s="282"/>
      <c r="BU459" s="283"/>
      <c r="BV459" s="283"/>
      <c r="BW459" s="283"/>
      <c r="BX459" s="283"/>
      <c r="BY459" s="283"/>
      <c r="BZ459" s="283"/>
      <c r="CA459" s="283"/>
      <c r="CB459" s="283"/>
      <c r="CC459" s="283"/>
      <c r="CD459" s="283"/>
      <c r="CE459" s="283"/>
      <c r="CF459" s="283"/>
      <c r="CG459" s="283"/>
      <c r="CH459" s="283"/>
      <c r="CI459" s="283"/>
      <c r="CJ459" s="283"/>
      <c r="CK459" s="283"/>
      <c r="CL459" s="283"/>
    </row>
    <row r="460" spans="1:90" ht="14.25" customHeight="1" x14ac:dyDescent="0.2">
      <c r="A460" s="28"/>
      <c r="B460" s="28"/>
      <c r="C460" s="28"/>
      <c r="D460" s="282"/>
      <c r="E460" s="282"/>
      <c r="F460" s="282"/>
      <c r="G460" s="282"/>
      <c r="H460" s="282"/>
      <c r="I460" s="282"/>
      <c r="J460" s="282"/>
      <c r="K460" s="282"/>
      <c r="L460" s="282"/>
      <c r="M460" s="282"/>
      <c r="N460" s="282"/>
      <c r="O460" s="282"/>
      <c r="P460" s="282"/>
      <c r="Q460" s="282"/>
      <c r="R460" s="282"/>
      <c r="S460" s="282"/>
      <c r="T460" s="282"/>
      <c r="U460" s="282"/>
      <c r="V460" s="282"/>
      <c r="W460" s="282"/>
      <c r="X460" s="282"/>
      <c r="Y460" s="282"/>
      <c r="Z460" s="282"/>
      <c r="AA460" s="282"/>
      <c r="AB460" s="282"/>
      <c r="AC460" s="282"/>
      <c r="AD460" s="282"/>
      <c r="AE460" s="282"/>
      <c r="AF460" s="282"/>
      <c r="AG460" s="282"/>
      <c r="AH460" s="282"/>
      <c r="AI460" s="282"/>
      <c r="AJ460" s="282"/>
      <c r="AK460" s="282"/>
      <c r="AL460" s="282"/>
      <c r="AM460" s="282"/>
      <c r="AN460" s="282"/>
      <c r="AO460" s="282"/>
      <c r="AP460" s="282"/>
      <c r="AQ460" s="282"/>
      <c r="AR460" s="282"/>
      <c r="AS460" s="282"/>
      <c r="AT460" s="282"/>
      <c r="AU460" s="282"/>
      <c r="AV460" s="282"/>
      <c r="AW460" s="282"/>
      <c r="AX460" s="282"/>
      <c r="AY460" s="282"/>
      <c r="AZ460" s="282"/>
      <c r="BA460" s="282"/>
      <c r="BB460" s="282"/>
      <c r="BC460" s="282"/>
      <c r="BD460" s="282"/>
      <c r="BE460" s="282"/>
      <c r="BF460" s="282"/>
      <c r="BG460" s="282"/>
      <c r="BH460" s="283"/>
      <c r="BI460" s="282"/>
      <c r="BJ460" s="283"/>
      <c r="BK460" s="283"/>
      <c r="BL460" s="283"/>
      <c r="BM460" s="282"/>
      <c r="BN460" s="282"/>
      <c r="BO460" s="282"/>
      <c r="BP460" s="282"/>
      <c r="BQ460" s="282"/>
      <c r="BR460" s="282"/>
      <c r="BS460" s="282"/>
      <c r="BT460" s="282"/>
      <c r="BU460" s="283"/>
      <c r="BV460" s="283"/>
      <c r="BW460" s="283"/>
      <c r="BX460" s="283"/>
      <c r="BY460" s="283"/>
      <c r="BZ460" s="283"/>
      <c r="CA460" s="283"/>
      <c r="CB460" s="283"/>
      <c r="CC460" s="283"/>
      <c r="CD460" s="283"/>
      <c r="CE460" s="283"/>
      <c r="CF460" s="283"/>
      <c r="CG460" s="283"/>
      <c r="CH460" s="283"/>
      <c r="CI460" s="283"/>
      <c r="CJ460" s="283"/>
      <c r="CK460" s="283"/>
      <c r="CL460" s="283"/>
    </row>
    <row r="461" spans="1:90" ht="14.25" customHeight="1" x14ac:dyDescent="0.2">
      <c r="A461" s="28"/>
      <c r="B461" s="28"/>
      <c r="C461" s="28"/>
      <c r="D461" s="282"/>
      <c r="E461" s="282"/>
      <c r="F461" s="282"/>
      <c r="G461" s="282"/>
      <c r="H461" s="282"/>
      <c r="I461" s="282"/>
      <c r="J461" s="282"/>
      <c r="K461" s="282"/>
      <c r="L461" s="282"/>
      <c r="M461" s="282"/>
      <c r="N461" s="282"/>
      <c r="O461" s="282"/>
      <c r="P461" s="282"/>
      <c r="Q461" s="282"/>
      <c r="R461" s="282"/>
      <c r="S461" s="282"/>
      <c r="T461" s="282"/>
      <c r="U461" s="282"/>
      <c r="V461" s="282"/>
      <c r="W461" s="282"/>
      <c r="X461" s="282"/>
      <c r="Y461" s="282"/>
      <c r="Z461" s="282"/>
      <c r="AA461" s="282"/>
      <c r="AB461" s="282"/>
      <c r="AC461" s="282"/>
      <c r="AD461" s="282"/>
      <c r="AE461" s="282"/>
      <c r="AF461" s="282"/>
      <c r="AG461" s="282"/>
      <c r="AH461" s="282"/>
      <c r="AI461" s="282"/>
      <c r="AJ461" s="282"/>
      <c r="AK461" s="282"/>
      <c r="AL461" s="282"/>
      <c r="AM461" s="282"/>
      <c r="AN461" s="282"/>
      <c r="AO461" s="282"/>
      <c r="AP461" s="282"/>
      <c r="AQ461" s="282"/>
      <c r="AR461" s="282"/>
      <c r="AS461" s="282"/>
      <c r="AT461" s="282"/>
      <c r="AU461" s="282"/>
      <c r="AV461" s="282"/>
      <c r="AW461" s="282"/>
      <c r="AX461" s="282"/>
      <c r="AY461" s="282"/>
      <c r="AZ461" s="282"/>
      <c r="BA461" s="282"/>
      <c r="BB461" s="282"/>
      <c r="BC461" s="282"/>
      <c r="BD461" s="282"/>
      <c r="BE461" s="282"/>
      <c r="BF461" s="282"/>
      <c r="BG461" s="282"/>
      <c r="BH461" s="283"/>
      <c r="BI461" s="282"/>
      <c r="BJ461" s="283"/>
      <c r="BK461" s="283"/>
      <c r="BL461" s="283"/>
      <c r="BM461" s="282"/>
      <c r="BN461" s="282"/>
      <c r="BO461" s="282"/>
      <c r="BP461" s="282"/>
      <c r="BQ461" s="282"/>
      <c r="BR461" s="282"/>
      <c r="BS461" s="282"/>
      <c r="BT461" s="282"/>
      <c r="BU461" s="283"/>
      <c r="BV461" s="283"/>
      <c r="BW461" s="283"/>
      <c r="BX461" s="283"/>
      <c r="BY461" s="283"/>
      <c r="BZ461" s="283"/>
      <c r="CA461" s="283"/>
      <c r="CB461" s="283"/>
      <c r="CC461" s="283"/>
      <c r="CD461" s="283"/>
      <c r="CE461" s="283"/>
      <c r="CF461" s="283"/>
      <c r="CG461" s="283"/>
      <c r="CH461" s="283"/>
      <c r="CI461" s="283"/>
      <c r="CJ461" s="283"/>
      <c r="CK461" s="283"/>
      <c r="CL461" s="283"/>
    </row>
    <row r="462" spans="1:90" ht="14.25" customHeight="1" x14ac:dyDescent="0.2">
      <c r="A462" s="28"/>
      <c r="B462" s="28"/>
      <c r="C462" s="28"/>
      <c r="D462" s="282"/>
      <c r="E462" s="282"/>
      <c r="F462" s="282"/>
      <c r="G462" s="282"/>
      <c r="H462" s="282"/>
      <c r="I462" s="282"/>
      <c r="J462" s="282"/>
      <c r="K462" s="282"/>
      <c r="L462" s="282"/>
      <c r="M462" s="282"/>
      <c r="N462" s="282"/>
      <c r="O462" s="282"/>
      <c r="P462" s="282"/>
      <c r="Q462" s="282"/>
      <c r="R462" s="282"/>
      <c r="S462" s="282"/>
      <c r="T462" s="282"/>
      <c r="U462" s="282"/>
      <c r="V462" s="282"/>
      <c r="W462" s="282"/>
      <c r="X462" s="282"/>
      <c r="Y462" s="282"/>
      <c r="Z462" s="282"/>
      <c r="AA462" s="282"/>
      <c r="AB462" s="282"/>
      <c r="AC462" s="282"/>
      <c r="AD462" s="282"/>
      <c r="AE462" s="282"/>
      <c r="AF462" s="282"/>
      <c r="AG462" s="282"/>
      <c r="AH462" s="282"/>
      <c r="AI462" s="282"/>
      <c r="AJ462" s="282"/>
      <c r="AK462" s="282"/>
      <c r="AL462" s="282"/>
      <c r="AM462" s="282"/>
      <c r="AN462" s="282"/>
      <c r="AO462" s="282"/>
      <c r="AP462" s="282"/>
      <c r="AQ462" s="282"/>
      <c r="AR462" s="282"/>
      <c r="AS462" s="282"/>
      <c r="AT462" s="282"/>
      <c r="AU462" s="282"/>
      <c r="AV462" s="282"/>
      <c r="AW462" s="282"/>
      <c r="AX462" s="282"/>
      <c r="AY462" s="282"/>
      <c r="AZ462" s="282"/>
      <c r="BA462" s="282"/>
      <c r="BB462" s="282"/>
      <c r="BC462" s="282"/>
      <c r="BD462" s="282"/>
      <c r="BE462" s="282"/>
      <c r="BF462" s="282"/>
      <c r="BG462" s="282"/>
      <c r="BH462" s="283"/>
      <c r="BI462" s="282"/>
      <c r="BJ462" s="283"/>
      <c r="BK462" s="283"/>
      <c r="BL462" s="283"/>
      <c r="BM462" s="282"/>
      <c r="BN462" s="282"/>
      <c r="BO462" s="282"/>
      <c r="BP462" s="282"/>
      <c r="BQ462" s="282"/>
      <c r="BR462" s="282"/>
      <c r="BS462" s="282"/>
      <c r="BT462" s="282"/>
      <c r="BU462" s="283"/>
      <c r="BV462" s="283"/>
      <c r="BW462" s="283"/>
      <c r="BX462" s="283"/>
      <c r="BY462" s="283"/>
      <c r="BZ462" s="283"/>
      <c r="CA462" s="283"/>
      <c r="CB462" s="283"/>
      <c r="CC462" s="283"/>
      <c r="CD462" s="283"/>
      <c r="CE462" s="283"/>
      <c r="CF462" s="283"/>
      <c r="CG462" s="283"/>
      <c r="CH462" s="283"/>
      <c r="CI462" s="283"/>
      <c r="CJ462" s="283"/>
      <c r="CK462" s="283"/>
      <c r="CL462" s="283"/>
    </row>
    <row r="463" spans="1:90" ht="14.25" customHeight="1" x14ac:dyDescent="0.2">
      <c r="A463" s="28"/>
      <c r="B463" s="28"/>
      <c r="C463" s="28"/>
      <c r="D463" s="282"/>
      <c r="E463" s="282"/>
      <c r="F463" s="282"/>
      <c r="G463" s="282"/>
      <c r="H463" s="282"/>
      <c r="I463" s="282"/>
      <c r="J463" s="282"/>
      <c r="K463" s="282"/>
      <c r="L463" s="282"/>
      <c r="M463" s="282"/>
      <c r="N463" s="282"/>
      <c r="O463" s="282"/>
      <c r="P463" s="282"/>
      <c r="Q463" s="282"/>
      <c r="R463" s="282"/>
      <c r="S463" s="282"/>
      <c r="T463" s="282"/>
      <c r="U463" s="282"/>
      <c r="V463" s="282"/>
      <c r="W463" s="282"/>
      <c r="X463" s="282"/>
      <c r="Y463" s="282"/>
      <c r="Z463" s="282"/>
      <c r="AA463" s="282"/>
      <c r="AB463" s="282"/>
      <c r="AC463" s="282"/>
      <c r="AD463" s="282"/>
      <c r="AE463" s="282"/>
      <c r="AF463" s="282"/>
      <c r="AG463" s="282"/>
      <c r="AH463" s="282"/>
      <c r="AI463" s="282"/>
      <c r="AJ463" s="282"/>
      <c r="AK463" s="282"/>
      <c r="AL463" s="282"/>
      <c r="AM463" s="282"/>
      <c r="AN463" s="282"/>
      <c r="AO463" s="282"/>
      <c r="AP463" s="282"/>
      <c r="AQ463" s="282"/>
      <c r="AR463" s="282"/>
      <c r="AS463" s="282"/>
      <c r="AT463" s="282"/>
      <c r="AU463" s="282"/>
      <c r="AV463" s="282"/>
      <c r="AW463" s="282"/>
      <c r="AX463" s="282"/>
      <c r="AY463" s="282"/>
      <c r="AZ463" s="282"/>
      <c r="BA463" s="282"/>
      <c r="BB463" s="282"/>
      <c r="BC463" s="282"/>
      <c r="BD463" s="282"/>
      <c r="BE463" s="282"/>
      <c r="BF463" s="282"/>
      <c r="BG463" s="282"/>
      <c r="BH463" s="283"/>
      <c r="BI463" s="282"/>
      <c r="BJ463" s="283"/>
      <c r="BK463" s="283"/>
      <c r="BL463" s="283"/>
      <c r="BM463" s="282"/>
      <c r="BN463" s="282"/>
      <c r="BO463" s="282"/>
      <c r="BP463" s="282"/>
      <c r="BQ463" s="282"/>
      <c r="BR463" s="282"/>
      <c r="BS463" s="282"/>
      <c r="BT463" s="282"/>
      <c r="BU463" s="283"/>
      <c r="BV463" s="283"/>
      <c r="BW463" s="283"/>
      <c r="BX463" s="283"/>
      <c r="BY463" s="283"/>
      <c r="BZ463" s="283"/>
      <c r="CA463" s="283"/>
      <c r="CB463" s="283"/>
      <c r="CC463" s="283"/>
      <c r="CD463" s="283"/>
      <c r="CE463" s="283"/>
      <c r="CF463" s="283"/>
      <c r="CG463" s="283"/>
      <c r="CH463" s="283"/>
      <c r="CI463" s="283"/>
      <c r="CJ463" s="283"/>
      <c r="CK463" s="283"/>
      <c r="CL463" s="283"/>
    </row>
    <row r="464" spans="1:90" ht="14.25" customHeight="1" x14ac:dyDescent="0.2">
      <c r="A464" s="28"/>
      <c r="B464" s="28"/>
      <c r="C464" s="28"/>
      <c r="D464" s="282"/>
      <c r="E464" s="282"/>
      <c r="F464" s="282"/>
      <c r="G464" s="282"/>
      <c r="H464" s="282"/>
      <c r="I464" s="282"/>
      <c r="J464" s="282"/>
      <c r="K464" s="282"/>
      <c r="L464" s="282"/>
      <c r="M464" s="282"/>
      <c r="N464" s="282"/>
      <c r="O464" s="282"/>
      <c r="P464" s="282"/>
      <c r="Q464" s="282"/>
      <c r="R464" s="282"/>
      <c r="S464" s="282"/>
      <c r="T464" s="282"/>
      <c r="U464" s="282"/>
      <c r="V464" s="282"/>
      <c r="W464" s="282"/>
      <c r="X464" s="282"/>
      <c r="Y464" s="282"/>
      <c r="Z464" s="282"/>
      <c r="AA464" s="282"/>
      <c r="AB464" s="282"/>
      <c r="AC464" s="282"/>
      <c r="AD464" s="282"/>
      <c r="AE464" s="282"/>
      <c r="AF464" s="282"/>
      <c r="AG464" s="282"/>
      <c r="AH464" s="282"/>
      <c r="AI464" s="282"/>
      <c r="AJ464" s="282"/>
      <c r="AK464" s="282"/>
      <c r="AL464" s="282"/>
      <c r="AM464" s="282"/>
      <c r="AN464" s="282"/>
      <c r="AO464" s="282"/>
      <c r="AP464" s="282"/>
      <c r="AQ464" s="282"/>
      <c r="AR464" s="282"/>
      <c r="AS464" s="282"/>
      <c r="AT464" s="282"/>
      <c r="AU464" s="282"/>
      <c r="AV464" s="282"/>
      <c r="AW464" s="282"/>
      <c r="AX464" s="282"/>
      <c r="AY464" s="282"/>
      <c r="AZ464" s="282"/>
      <c r="BA464" s="282"/>
      <c r="BB464" s="282"/>
      <c r="BC464" s="282"/>
      <c r="BD464" s="282"/>
      <c r="BE464" s="282"/>
      <c r="BF464" s="282"/>
      <c r="BG464" s="282"/>
      <c r="BH464" s="283"/>
      <c r="BI464" s="282"/>
      <c r="BJ464" s="283"/>
      <c r="BK464" s="283"/>
      <c r="BL464" s="283"/>
      <c r="BM464" s="282"/>
      <c r="BN464" s="282"/>
      <c r="BO464" s="282"/>
      <c r="BP464" s="282"/>
      <c r="BQ464" s="282"/>
      <c r="BR464" s="282"/>
      <c r="BS464" s="282"/>
      <c r="BT464" s="282"/>
      <c r="BU464" s="283"/>
      <c r="BV464" s="283"/>
      <c r="BW464" s="283"/>
      <c r="BX464" s="283"/>
      <c r="BY464" s="283"/>
      <c r="BZ464" s="283"/>
      <c r="CA464" s="283"/>
      <c r="CB464" s="283"/>
      <c r="CC464" s="283"/>
      <c r="CD464" s="283"/>
      <c r="CE464" s="283"/>
      <c r="CF464" s="283"/>
      <c r="CG464" s="283"/>
      <c r="CH464" s="283"/>
      <c r="CI464" s="283"/>
      <c r="CJ464" s="283"/>
      <c r="CK464" s="283"/>
      <c r="CL464" s="283"/>
    </row>
    <row r="465" spans="1:90" ht="14.25" customHeight="1" x14ac:dyDescent="0.2">
      <c r="A465" s="28"/>
      <c r="B465" s="28"/>
      <c r="C465" s="28"/>
      <c r="D465" s="282"/>
      <c r="E465" s="282"/>
      <c r="F465" s="282"/>
      <c r="G465" s="282"/>
      <c r="H465" s="282"/>
      <c r="I465" s="282"/>
      <c r="J465" s="282"/>
      <c r="K465" s="282"/>
      <c r="L465" s="282"/>
      <c r="M465" s="282"/>
      <c r="N465" s="282"/>
      <c r="O465" s="282"/>
      <c r="P465" s="282"/>
      <c r="Q465" s="282"/>
      <c r="R465" s="282"/>
      <c r="S465" s="282"/>
      <c r="T465" s="282"/>
      <c r="U465" s="282"/>
      <c r="V465" s="282"/>
      <c r="W465" s="282"/>
      <c r="X465" s="282"/>
      <c r="Y465" s="282"/>
      <c r="Z465" s="282"/>
      <c r="AA465" s="282"/>
      <c r="AB465" s="282"/>
      <c r="AC465" s="282"/>
      <c r="AD465" s="282"/>
      <c r="AE465" s="282"/>
      <c r="AF465" s="282"/>
      <c r="AG465" s="282"/>
      <c r="AH465" s="282"/>
      <c r="AI465" s="282"/>
      <c r="AJ465" s="282"/>
      <c r="AK465" s="282"/>
      <c r="AL465" s="282"/>
      <c r="AM465" s="282"/>
      <c r="AN465" s="282"/>
      <c r="AO465" s="282"/>
      <c r="AP465" s="282"/>
      <c r="AQ465" s="282"/>
      <c r="AR465" s="282"/>
      <c r="AS465" s="282"/>
      <c r="AT465" s="282"/>
      <c r="AU465" s="282"/>
      <c r="AV465" s="282"/>
      <c r="AW465" s="282"/>
      <c r="AX465" s="282"/>
      <c r="AY465" s="282"/>
      <c r="AZ465" s="282"/>
      <c r="BA465" s="282"/>
      <c r="BB465" s="282"/>
      <c r="BC465" s="282"/>
      <c r="BD465" s="282"/>
      <c r="BE465" s="282"/>
      <c r="BF465" s="282"/>
      <c r="BG465" s="282"/>
      <c r="BH465" s="283"/>
      <c r="BI465" s="282"/>
      <c r="BJ465" s="283"/>
      <c r="BK465" s="283"/>
      <c r="BL465" s="283"/>
      <c r="BM465" s="282"/>
      <c r="BN465" s="282"/>
      <c r="BO465" s="282"/>
      <c r="BP465" s="282"/>
      <c r="BQ465" s="282"/>
      <c r="BR465" s="282"/>
      <c r="BS465" s="282"/>
      <c r="BT465" s="282"/>
      <c r="BU465" s="283"/>
      <c r="BV465" s="283"/>
      <c r="BW465" s="283"/>
      <c r="BX465" s="283"/>
      <c r="BY465" s="283"/>
      <c r="BZ465" s="283"/>
      <c r="CA465" s="283"/>
      <c r="CB465" s="283"/>
      <c r="CC465" s="283"/>
      <c r="CD465" s="283"/>
      <c r="CE465" s="283"/>
      <c r="CF465" s="283"/>
      <c r="CG465" s="283"/>
      <c r="CH465" s="283"/>
      <c r="CI465" s="283"/>
      <c r="CJ465" s="283"/>
      <c r="CK465" s="283"/>
      <c r="CL465" s="283"/>
    </row>
    <row r="466" spans="1:90" ht="14.25" customHeight="1" x14ac:dyDescent="0.2">
      <c r="A466" s="28"/>
      <c r="B466" s="28"/>
      <c r="C466" s="28"/>
      <c r="D466" s="282"/>
      <c r="E466" s="282"/>
      <c r="F466" s="282"/>
      <c r="G466" s="282"/>
      <c r="H466" s="282"/>
      <c r="I466" s="282"/>
      <c r="J466" s="282"/>
      <c r="K466" s="282"/>
      <c r="L466" s="282"/>
      <c r="M466" s="282"/>
      <c r="N466" s="282"/>
      <c r="O466" s="282"/>
      <c r="P466" s="282"/>
      <c r="Q466" s="282"/>
      <c r="R466" s="282"/>
      <c r="S466" s="282"/>
      <c r="T466" s="282"/>
      <c r="U466" s="282"/>
      <c r="V466" s="282"/>
      <c r="W466" s="282"/>
      <c r="X466" s="282"/>
      <c r="Y466" s="282"/>
      <c r="Z466" s="282"/>
      <c r="AA466" s="282"/>
      <c r="AB466" s="282"/>
      <c r="AC466" s="282"/>
      <c r="AD466" s="282"/>
      <c r="AE466" s="282"/>
      <c r="AF466" s="282"/>
      <c r="AG466" s="282"/>
      <c r="AH466" s="282"/>
      <c r="AI466" s="282"/>
      <c r="AJ466" s="282"/>
      <c r="AK466" s="282"/>
      <c r="AL466" s="282"/>
      <c r="AM466" s="282"/>
      <c r="AN466" s="282"/>
      <c r="AO466" s="282"/>
      <c r="AP466" s="282"/>
      <c r="AQ466" s="282"/>
      <c r="AR466" s="282"/>
      <c r="AS466" s="282"/>
      <c r="AT466" s="282"/>
      <c r="AU466" s="282"/>
      <c r="AV466" s="282"/>
      <c r="AW466" s="282"/>
      <c r="AX466" s="282"/>
      <c r="AY466" s="282"/>
      <c r="AZ466" s="282"/>
      <c r="BA466" s="282"/>
      <c r="BB466" s="282"/>
      <c r="BC466" s="282"/>
      <c r="BD466" s="282"/>
      <c r="BE466" s="282"/>
      <c r="BF466" s="282"/>
      <c r="BG466" s="282"/>
      <c r="BH466" s="283"/>
      <c r="BI466" s="282"/>
      <c r="BJ466" s="283"/>
      <c r="BK466" s="283"/>
      <c r="BL466" s="283"/>
      <c r="BM466" s="282"/>
      <c r="BN466" s="282"/>
      <c r="BO466" s="282"/>
      <c r="BP466" s="282"/>
      <c r="BQ466" s="282"/>
      <c r="BR466" s="282"/>
      <c r="BS466" s="282"/>
      <c r="BT466" s="282"/>
      <c r="BU466" s="283"/>
      <c r="BV466" s="283"/>
      <c r="BW466" s="283"/>
      <c r="BX466" s="283"/>
      <c r="BY466" s="283"/>
      <c r="BZ466" s="283"/>
      <c r="CA466" s="283"/>
      <c r="CB466" s="283"/>
      <c r="CC466" s="283"/>
      <c r="CD466" s="283"/>
      <c r="CE466" s="283"/>
      <c r="CF466" s="283"/>
      <c r="CG466" s="283"/>
      <c r="CH466" s="283"/>
      <c r="CI466" s="283"/>
      <c r="CJ466" s="283"/>
      <c r="CK466" s="283"/>
      <c r="CL466" s="283"/>
    </row>
    <row r="467" spans="1:90" ht="14.25" customHeight="1" x14ac:dyDescent="0.2">
      <c r="A467" s="28"/>
      <c r="B467" s="28"/>
      <c r="C467" s="28"/>
      <c r="D467" s="282"/>
      <c r="E467" s="282"/>
      <c r="F467" s="282"/>
      <c r="G467" s="282"/>
      <c r="H467" s="282"/>
      <c r="I467" s="282"/>
      <c r="J467" s="282"/>
      <c r="K467" s="282"/>
      <c r="L467" s="282"/>
      <c r="M467" s="282"/>
      <c r="N467" s="282"/>
      <c r="O467" s="282"/>
      <c r="P467" s="282"/>
      <c r="Q467" s="282"/>
      <c r="R467" s="282"/>
      <c r="S467" s="282"/>
      <c r="T467" s="282"/>
      <c r="U467" s="282"/>
      <c r="V467" s="282"/>
      <c r="W467" s="282"/>
      <c r="X467" s="282"/>
      <c r="Y467" s="282"/>
      <c r="Z467" s="282"/>
      <c r="AA467" s="282"/>
      <c r="AB467" s="282"/>
      <c r="AC467" s="282"/>
      <c r="AD467" s="282"/>
      <c r="AE467" s="282"/>
      <c r="AF467" s="282"/>
      <c r="AG467" s="282"/>
      <c r="AH467" s="282"/>
      <c r="AI467" s="282"/>
      <c r="AJ467" s="282"/>
      <c r="AK467" s="282"/>
      <c r="AL467" s="282"/>
      <c r="AM467" s="282"/>
      <c r="AN467" s="282"/>
      <c r="AO467" s="282"/>
      <c r="AP467" s="282"/>
      <c r="AQ467" s="282"/>
      <c r="AR467" s="282"/>
      <c r="AS467" s="282"/>
      <c r="AT467" s="282"/>
      <c r="AU467" s="282"/>
      <c r="AV467" s="282"/>
      <c r="AW467" s="282"/>
      <c r="AX467" s="282"/>
      <c r="AY467" s="282"/>
      <c r="AZ467" s="282"/>
      <c r="BA467" s="282"/>
      <c r="BB467" s="282"/>
      <c r="BC467" s="282"/>
      <c r="BD467" s="282"/>
      <c r="BE467" s="282"/>
      <c r="BF467" s="282"/>
      <c r="BG467" s="282"/>
      <c r="BH467" s="283"/>
      <c r="BI467" s="282"/>
      <c r="BJ467" s="283"/>
      <c r="BK467" s="283"/>
      <c r="BL467" s="283"/>
      <c r="BM467" s="282"/>
      <c r="BN467" s="282"/>
      <c r="BO467" s="282"/>
      <c r="BP467" s="282"/>
      <c r="BQ467" s="282"/>
      <c r="BR467" s="282"/>
      <c r="BS467" s="282"/>
      <c r="BT467" s="282"/>
      <c r="BU467" s="283"/>
      <c r="BV467" s="283"/>
      <c r="BW467" s="283"/>
      <c r="BX467" s="283"/>
      <c r="BY467" s="283"/>
      <c r="BZ467" s="283"/>
      <c r="CA467" s="283"/>
      <c r="CB467" s="283"/>
      <c r="CC467" s="283"/>
      <c r="CD467" s="283"/>
      <c r="CE467" s="283"/>
      <c r="CF467" s="283"/>
      <c r="CG467" s="283"/>
      <c r="CH467" s="283"/>
      <c r="CI467" s="283"/>
      <c r="CJ467" s="283"/>
      <c r="CK467" s="283"/>
      <c r="CL467" s="283"/>
    </row>
    <row r="468" spans="1:90" ht="14.25" customHeight="1" x14ac:dyDescent="0.2">
      <c r="A468" s="28"/>
      <c r="B468" s="28"/>
      <c r="C468" s="28"/>
      <c r="D468" s="282"/>
      <c r="E468" s="282"/>
      <c r="F468" s="282"/>
      <c r="G468" s="282"/>
      <c r="H468" s="282"/>
      <c r="I468" s="282"/>
      <c r="J468" s="282"/>
      <c r="K468" s="282"/>
      <c r="L468" s="282"/>
      <c r="M468" s="282"/>
      <c r="N468" s="282"/>
      <c r="O468" s="282"/>
      <c r="P468" s="282"/>
      <c r="Q468" s="282"/>
      <c r="R468" s="282"/>
      <c r="S468" s="282"/>
      <c r="T468" s="282"/>
      <c r="U468" s="282"/>
      <c r="V468" s="282"/>
      <c r="W468" s="282"/>
      <c r="X468" s="282"/>
      <c r="Y468" s="282"/>
      <c r="Z468" s="282"/>
      <c r="AA468" s="282"/>
      <c r="AB468" s="282"/>
      <c r="AC468" s="282"/>
      <c r="AD468" s="282"/>
      <c r="AE468" s="282"/>
      <c r="AF468" s="282"/>
      <c r="AG468" s="282"/>
      <c r="AH468" s="282"/>
      <c r="AI468" s="282"/>
      <c r="AJ468" s="282"/>
      <c r="AK468" s="282"/>
      <c r="AL468" s="282"/>
      <c r="AM468" s="282"/>
      <c r="AN468" s="282"/>
      <c r="AO468" s="282"/>
      <c r="AP468" s="282"/>
      <c r="AQ468" s="282"/>
      <c r="AR468" s="282"/>
      <c r="AS468" s="282"/>
      <c r="AT468" s="282"/>
      <c r="AU468" s="282"/>
      <c r="AV468" s="282"/>
      <c r="AW468" s="282"/>
      <c r="AX468" s="282"/>
      <c r="AY468" s="282"/>
      <c r="AZ468" s="282"/>
      <c r="BA468" s="282"/>
      <c r="BB468" s="282"/>
      <c r="BC468" s="282"/>
      <c r="BD468" s="282"/>
      <c r="BE468" s="282"/>
      <c r="BF468" s="282"/>
      <c r="BG468" s="282"/>
      <c r="BH468" s="283"/>
      <c r="BI468" s="282"/>
      <c r="BJ468" s="283"/>
      <c r="BK468" s="283"/>
      <c r="BL468" s="283"/>
      <c r="BM468" s="282"/>
      <c r="BN468" s="282"/>
      <c r="BO468" s="282"/>
      <c r="BP468" s="282"/>
      <c r="BQ468" s="282"/>
      <c r="BR468" s="282"/>
      <c r="BS468" s="282"/>
      <c r="BT468" s="282"/>
      <c r="BU468" s="283"/>
      <c r="BV468" s="283"/>
      <c r="BW468" s="283"/>
      <c r="BX468" s="283"/>
      <c r="BY468" s="283"/>
      <c r="BZ468" s="283"/>
      <c r="CA468" s="283"/>
      <c r="CB468" s="283"/>
      <c r="CC468" s="283"/>
      <c r="CD468" s="283"/>
      <c r="CE468" s="283"/>
      <c r="CF468" s="283"/>
      <c r="CG468" s="283"/>
      <c r="CH468" s="283"/>
      <c r="CI468" s="283"/>
      <c r="CJ468" s="283"/>
      <c r="CK468" s="283"/>
      <c r="CL468" s="283"/>
    </row>
    <row r="469" spans="1:90" ht="14.25" customHeight="1" x14ac:dyDescent="0.2">
      <c r="A469" s="28"/>
      <c r="B469" s="28"/>
      <c r="C469" s="28"/>
      <c r="D469" s="282"/>
      <c r="E469" s="282"/>
      <c r="F469" s="282"/>
      <c r="G469" s="282"/>
      <c r="H469" s="282"/>
      <c r="I469" s="282"/>
      <c r="J469" s="282"/>
      <c r="K469" s="282"/>
      <c r="L469" s="282"/>
      <c r="M469" s="282"/>
      <c r="N469" s="282"/>
      <c r="O469" s="282"/>
      <c r="P469" s="282"/>
      <c r="Q469" s="282"/>
      <c r="R469" s="282"/>
      <c r="S469" s="282"/>
      <c r="T469" s="282"/>
      <c r="U469" s="282"/>
      <c r="V469" s="282"/>
      <c r="W469" s="282"/>
      <c r="X469" s="282"/>
      <c r="Y469" s="282"/>
      <c r="Z469" s="282"/>
      <c r="AA469" s="282"/>
      <c r="AB469" s="282"/>
      <c r="AC469" s="282"/>
      <c r="AD469" s="282"/>
      <c r="AE469" s="282"/>
      <c r="AF469" s="282"/>
      <c r="AG469" s="282"/>
      <c r="AH469" s="282"/>
      <c r="AI469" s="282"/>
      <c r="AJ469" s="282"/>
      <c r="AK469" s="282"/>
      <c r="AL469" s="282"/>
      <c r="AM469" s="282"/>
      <c r="AN469" s="282"/>
      <c r="AO469" s="282"/>
      <c r="AP469" s="282"/>
      <c r="AQ469" s="282"/>
      <c r="AR469" s="282"/>
      <c r="AS469" s="282"/>
      <c r="AT469" s="282"/>
      <c r="AU469" s="282"/>
      <c r="AV469" s="282"/>
      <c r="AW469" s="282"/>
      <c r="AX469" s="282"/>
      <c r="AY469" s="282"/>
      <c r="AZ469" s="282"/>
      <c r="BA469" s="282"/>
      <c r="BB469" s="282"/>
      <c r="BC469" s="282"/>
      <c r="BD469" s="282"/>
      <c r="BE469" s="282"/>
      <c r="BF469" s="282"/>
      <c r="BG469" s="282"/>
      <c r="BH469" s="283"/>
      <c r="BI469" s="282"/>
      <c r="BJ469" s="283"/>
      <c r="BK469" s="283"/>
      <c r="BL469" s="283"/>
      <c r="BM469" s="282"/>
      <c r="BN469" s="282"/>
      <c r="BO469" s="282"/>
      <c r="BP469" s="282"/>
      <c r="BQ469" s="282"/>
      <c r="BR469" s="282"/>
      <c r="BS469" s="282"/>
      <c r="BT469" s="282"/>
      <c r="BU469" s="283"/>
      <c r="BV469" s="283"/>
      <c r="BW469" s="283"/>
      <c r="BX469" s="283"/>
      <c r="BY469" s="283"/>
      <c r="BZ469" s="283"/>
      <c r="CA469" s="283"/>
      <c r="CB469" s="283"/>
      <c r="CC469" s="283"/>
      <c r="CD469" s="283"/>
      <c r="CE469" s="283"/>
      <c r="CF469" s="283"/>
      <c r="CG469" s="283"/>
      <c r="CH469" s="283"/>
      <c r="CI469" s="283"/>
      <c r="CJ469" s="283"/>
      <c r="CK469" s="283"/>
      <c r="CL469" s="283"/>
    </row>
    <row r="470" spans="1:90" ht="14.25" customHeight="1" x14ac:dyDescent="0.2">
      <c r="A470" s="28"/>
      <c r="B470" s="28"/>
      <c r="C470" s="28"/>
      <c r="D470" s="282"/>
      <c r="E470" s="282"/>
      <c r="F470" s="282"/>
      <c r="G470" s="282"/>
      <c r="H470" s="282"/>
      <c r="I470" s="282"/>
      <c r="J470" s="282"/>
      <c r="K470" s="282"/>
      <c r="L470" s="282"/>
      <c r="M470" s="282"/>
      <c r="N470" s="282"/>
      <c r="O470" s="282"/>
      <c r="P470" s="282"/>
      <c r="Q470" s="282"/>
      <c r="R470" s="282"/>
      <c r="S470" s="282"/>
      <c r="T470" s="282"/>
      <c r="U470" s="282"/>
      <c r="V470" s="282"/>
      <c r="W470" s="282"/>
      <c r="X470" s="282"/>
      <c r="Y470" s="282"/>
      <c r="Z470" s="282"/>
      <c r="AA470" s="282"/>
      <c r="AB470" s="282"/>
      <c r="AC470" s="282"/>
      <c r="AD470" s="282"/>
      <c r="AE470" s="282"/>
      <c r="AF470" s="282"/>
      <c r="AG470" s="282"/>
      <c r="AH470" s="282"/>
      <c r="AI470" s="282"/>
      <c r="AJ470" s="282"/>
      <c r="AK470" s="282"/>
      <c r="AL470" s="282"/>
      <c r="AM470" s="282"/>
      <c r="AN470" s="282"/>
      <c r="AO470" s="282"/>
      <c r="AP470" s="282"/>
      <c r="AQ470" s="282"/>
      <c r="AR470" s="282"/>
      <c r="AS470" s="282"/>
      <c r="AT470" s="282"/>
      <c r="AU470" s="282"/>
      <c r="AV470" s="282"/>
      <c r="AW470" s="282"/>
      <c r="AX470" s="282"/>
      <c r="AY470" s="282"/>
      <c r="AZ470" s="282"/>
      <c r="BA470" s="282"/>
      <c r="BB470" s="282"/>
      <c r="BC470" s="282"/>
      <c r="BD470" s="282"/>
      <c r="BE470" s="282"/>
      <c r="BF470" s="282"/>
      <c r="BG470" s="282"/>
      <c r="BH470" s="283"/>
      <c r="BI470" s="282"/>
      <c r="BJ470" s="283"/>
      <c r="BK470" s="283"/>
      <c r="BL470" s="283"/>
      <c r="BM470" s="282"/>
      <c r="BN470" s="282"/>
      <c r="BO470" s="282"/>
      <c r="BP470" s="282"/>
      <c r="BQ470" s="282"/>
      <c r="BR470" s="282"/>
      <c r="BS470" s="282"/>
      <c r="BT470" s="282"/>
      <c r="BU470" s="283"/>
      <c r="BV470" s="283"/>
      <c r="BW470" s="283"/>
      <c r="BX470" s="283"/>
      <c r="BY470" s="283"/>
      <c r="BZ470" s="283"/>
      <c r="CA470" s="283"/>
      <c r="CB470" s="283"/>
      <c r="CC470" s="283"/>
      <c r="CD470" s="283"/>
      <c r="CE470" s="283"/>
      <c r="CF470" s="283"/>
      <c r="CG470" s="283"/>
      <c r="CH470" s="283"/>
      <c r="CI470" s="283"/>
      <c r="CJ470" s="283"/>
      <c r="CK470" s="283"/>
      <c r="CL470" s="283"/>
    </row>
    <row r="471" spans="1:90" ht="14.25" customHeight="1" x14ac:dyDescent="0.2">
      <c r="A471" s="28"/>
      <c r="B471" s="28"/>
      <c r="C471" s="28"/>
      <c r="D471" s="282"/>
      <c r="E471" s="282"/>
      <c r="F471" s="282"/>
      <c r="G471" s="282"/>
      <c r="H471" s="282"/>
      <c r="I471" s="282"/>
      <c r="J471" s="282"/>
      <c r="K471" s="282"/>
      <c r="L471" s="282"/>
      <c r="M471" s="282"/>
      <c r="N471" s="282"/>
      <c r="O471" s="282"/>
      <c r="P471" s="282"/>
      <c r="Q471" s="282"/>
      <c r="R471" s="282"/>
      <c r="S471" s="282"/>
      <c r="T471" s="282"/>
      <c r="U471" s="282"/>
      <c r="V471" s="282"/>
      <c r="W471" s="282"/>
      <c r="X471" s="282"/>
      <c r="Y471" s="282"/>
      <c r="Z471" s="282"/>
      <c r="AA471" s="282"/>
      <c r="AB471" s="282"/>
      <c r="AC471" s="282"/>
      <c r="AD471" s="282"/>
      <c r="AE471" s="282"/>
      <c r="AF471" s="282"/>
      <c r="AG471" s="282"/>
      <c r="AH471" s="282"/>
      <c r="AI471" s="282"/>
      <c r="AJ471" s="282"/>
      <c r="AK471" s="282"/>
      <c r="AL471" s="282"/>
      <c r="AM471" s="282"/>
      <c r="AN471" s="282"/>
      <c r="AO471" s="282"/>
      <c r="AP471" s="282"/>
      <c r="AQ471" s="282"/>
      <c r="AR471" s="282"/>
      <c r="AS471" s="282"/>
      <c r="AT471" s="282"/>
      <c r="AU471" s="282"/>
      <c r="AV471" s="282"/>
      <c r="AW471" s="282"/>
      <c r="AX471" s="282"/>
      <c r="AY471" s="282"/>
      <c r="AZ471" s="282"/>
      <c r="BA471" s="282"/>
      <c r="BB471" s="282"/>
      <c r="BC471" s="282"/>
      <c r="BD471" s="282"/>
      <c r="BE471" s="282"/>
      <c r="BF471" s="282"/>
      <c r="BG471" s="282"/>
      <c r="BH471" s="283"/>
      <c r="BI471" s="282"/>
      <c r="BJ471" s="283"/>
      <c r="BK471" s="283"/>
      <c r="BL471" s="283"/>
      <c r="BM471" s="282"/>
      <c r="BN471" s="282"/>
      <c r="BO471" s="282"/>
      <c r="BP471" s="282"/>
      <c r="BQ471" s="282"/>
      <c r="BR471" s="282"/>
      <c r="BS471" s="282"/>
      <c r="BT471" s="282"/>
      <c r="BU471" s="283"/>
      <c r="BV471" s="283"/>
      <c r="BW471" s="283"/>
      <c r="BX471" s="283"/>
      <c r="BY471" s="283"/>
      <c r="BZ471" s="283"/>
      <c r="CA471" s="283"/>
      <c r="CB471" s="283"/>
      <c r="CC471" s="283"/>
      <c r="CD471" s="283"/>
      <c r="CE471" s="283"/>
      <c r="CF471" s="283"/>
      <c r="CG471" s="283"/>
      <c r="CH471" s="283"/>
      <c r="CI471" s="283"/>
      <c r="CJ471" s="283"/>
      <c r="CK471" s="283"/>
      <c r="CL471" s="283"/>
    </row>
    <row r="472" spans="1:90" ht="14.25" customHeight="1" x14ac:dyDescent="0.2">
      <c r="A472" s="28"/>
      <c r="B472" s="28"/>
      <c r="C472" s="28"/>
      <c r="D472" s="282"/>
      <c r="E472" s="282"/>
      <c r="F472" s="282"/>
      <c r="G472" s="282"/>
      <c r="H472" s="282"/>
      <c r="I472" s="282"/>
      <c r="J472" s="282"/>
      <c r="K472" s="282"/>
      <c r="L472" s="282"/>
      <c r="M472" s="282"/>
      <c r="N472" s="282"/>
      <c r="O472" s="282"/>
      <c r="P472" s="282"/>
      <c r="Q472" s="282"/>
      <c r="R472" s="282"/>
      <c r="S472" s="282"/>
      <c r="T472" s="282"/>
      <c r="U472" s="282"/>
      <c r="V472" s="282"/>
      <c r="W472" s="282"/>
      <c r="X472" s="282"/>
      <c r="Y472" s="282"/>
      <c r="Z472" s="282"/>
      <c r="AA472" s="282"/>
      <c r="AB472" s="282"/>
      <c r="AC472" s="282"/>
      <c r="AD472" s="282"/>
      <c r="AE472" s="282"/>
      <c r="AF472" s="282"/>
      <c r="AG472" s="282"/>
      <c r="AH472" s="282"/>
      <c r="AI472" s="282"/>
      <c r="AJ472" s="282"/>
      <c r="AK472" s="282"/>
      <c r="AL472" s="282"/>
      <c r="AM472" s="282"/>
      <c r="AN472" s="282"/>
      <c r="AO472" s="282"/>
      <c r="AP472" s="282"/>
      <c r="AQ472" s="282"/>
      <c r="AR472" s="282"/>
      <c r="AS472" s="282"/>
      <c r="AT472" s="282"/>
      <c r="AU472" s="282"/>
      <c r="AV472" s="282"/>
      <c r="AW472" s="282"/>
      <c r="AX472" s="282"/>
      <c r="AY472" s="282"/>
      <c r="AZ472" s="282"/>
      <c r="BA472" s="282"/>
      <c r="BB472" s="282"/>
      <c r="BC472" s="282"/>
      <c r="BD472" s="282"/>
      <c r="BE472" s="282"/>
      <c r="BF472" s="282"/>
      <c r="BG472" s="282"/>
      <c r="BH472" s="283"/>
      <c r="BI472" s="282"/>
      <c r="BJ472" s="283"/>
      <c r="BK472" s="283"/>
      <c r="BL472" s="283"/>
      <c r="BM472" s="282"/>
      <c r="BN472" s="282"/>
      <c r="BO472" s="282"/>
      <c r="BP472" s="282"/>
      <c r="BQ472" s="282"/>
      <c r="BR472" s="282"/>
      <c r="BS472" s="282"/>
      <c r="BT472" s="282"/>
      <c r="BU472" s="283"/>
      <c r="BV472" s="283"/>
      <c r="BW472" s="283"/>
      <c r="BX472" s="283"/>
      <c r="BY472" s="283"/>
      <c r="BZ472" s="283"/>
      <c r="CA472" s="283"/>
      <c r="CB472" s="283"/>
      <c r="CC472" s="283"/>
      <c r="CD472" s="283"/>
      <c r="CE472" s="283"/>
      <c r="CF472" s="283"/>
      <c r="CG472" s="283"/>
      <c r="CH472" s="283"/>
      <c r="CI472" s="283"/>
      <c r="CJ472" s="283"/>
      <c r="CK472" s="283"/>
      <c r="CL472" s="283"/>
    </row>
    <row r="473" spans="1:90" ht="14.25" customHeight="1" x14ac:dyDescent="0.2">
      <c r="A473" s="28"/>
      <c r="B473" s="28"/>
      <c r="C473" s="28"/>
      <c r="D473" s="282"/>
      <c r="E473" s="282"/>
      <c r="F473" s="282"/>
      <c r="G473" s="282"/>
      <c r="H473" s="282"/>
      <c r="I473" s="282"/>
      <c r="J473" s="282"/>
      <c r="K473" s="282"/>
      <c r="L473" s="282"/>
      <c r="M473" s="282"/>
      <c r="N473" s="282"/>
      <c r="O473" s="282"/>
      <c r="P473" s="282"/>
      <c r="Q473" s="282"/>
      <c r="R473" s="282"/>
      <c r="S473" s="282"/>
      <c r="T473" s="282"/>
      <c r="U473" s="282"/>
      <c r="V473" s="282"/>
      <c r="W473" s="282"/>
      <c r="X473" s="282"/>
      <c r="Y473" s="282"/>
      <c r="Z473" s="282"/>
      <c r="AA473" s="282"/>
      <c r="AB473" s="282"/>
      <c r="AC473" s="282"/>
      <c r="AD473" s="282"/>
      <c r="AE473" s="282"/>
      <c r="AF473" s="282"/>
      <c r="AG473" s="282"/>
      <c r="AH473" s="282"/>
      <c r="AI473" s="282"/>
      <c r="AJ473" s="282"/>
      <c r="AK473" s="282"/>
      <c r="AL473" s="282"/>
      <c r="AM473" s="282"/>
      <c r="AN473" s="282"/>
      <c r="AO473" s="282"/>
      <c r="AP473" s="282"/>
      <c r="AQ473" s="282"/>
      <c r="AR473" s="282"/>
      <c r="AS473" s="282"/>
      <c r="AT473" s="282"/>
      <c r="AU473" s="282"/>
      <c r="AV473" s="282"/>
      <c r="AW473" s="282"/>
      <c r="AX473" s="282"/>
      <c r="AY473" s="282"/>
      <c r="AZ473" s="282"/>
      <c r="BA473" s="282"/>
      <c r="BB473" s="282"/>
      <c r="BC473" s="282"/>
      <c r="BD473" s="282"/>
      <c r="BE473" s="282"/>
      <c r="BF473" s="282"/>
      <c r="BG473" s="282"/>
      <c r="BH473" s="283"/>
      <c r="BI473" s="282"/>
      <c r="BJ473" s="283"/>
      <c r="BK473" s="283"/>
      <c r="BL473" s="283"/>
      <c r="BM473" s="282"/>
      <c r="BN473" s="282"/>
      <c r="BO473" s="282"/>
      <c r="BP473" s="282"/>
      <c r="BQ473" s="282"/>
      <c r="BR473" s="282"/>
      <c r="BS473" s="282"/>
      <c r="BT473" s="282"/>
      <c r="BU473" s="283"/>
      <c r="BV473" s="283"/>
      <c r="BW473" s="283"/>
      <c r="BX473" s="283"/>
      <c r="BY473" s="283"/>
      <c r="BZ473" s="283"/>
      <c r="CA473" s="283"/>
      <c r="CB473" s="283"/>
      <c r="CC473" s="283"/>
      <c r="CD473" s="283"/>
      <c r="CE473" s="283"/>
      <c r="CF473" s="283"/>
      <c r="CG473" s="283"/>
      <c r="CH473" s="283"/>
      <c r="CI473" s="283"/>
      <c r="CJ473" s="283"/>
      <c r="CK473" s="283"/>
      <c r="CL473" s="283"/>
    </row>
    <row r="474" spans="1:90" ht="14.25" customHeight="1" x14ac:dyDescent="0.2">
      <c r="A474" s="28"/>
      <c r="B474" s="28"/>
      <c r="C474" s="28"/>
      <c r="D474" s="282"/>
      <c r="E474" s="282"/>
      <c r="F474" s="282"/>
      <c r="G474" s="282"/>
      <c r="H474" s="282"/>
      <c r="I474" s="282"/>
      <c r="J474" s="282"/>
      <c r="K474" s="282"/>
      <c r="L474" s="282"/>
      <c r="M474" s="282"/>
      <c r="N474" s="282"/>
      <c r="O474" s="282"/>
      <c r="P474" s="282"/>
      <c r="Q474" s="282"/>
      <c r="R474" s="282"/>
      <c r="S474" s="282"/>
      <c r="T474" s="282"/>
      <c r="U474" s="282"/>
      <c r="V474" s="282"/>
      <c r="W474" s="282"/>
      <c r="X474" s="282"/>
      <c r="Y474" s="282"/>
      <c r="Z474" s="282"/>
      <c r="AA474" s="282"/>
      <c r="AB474" s="282"/>
      <c r="AC474" s="282"/>
      <c r="AD474" s="282"/>
      <c r="AE474" s="282"/>
      <c r="AF474" s="282"/>
      <c r="AG474" s="282"/>
      <c r="AH474" s="282"/>
      <c r="AI474" s="282"/>
      <c r="AJ474" s="282"/>
      <c r="AK474" s="282"/>
      <c r="AL474" s="282"/>
      <c r="AM474" s="282"/>
      <c r="AN474" s="282"/>
      <c r="AO474" s="282"/>
      <c r="AP474" s="282"/>
      <c r="AQ474" s="282"/>
      <c r="AR474" s="282"/>
      <c r="AS474" s="282"/>
      <c r="AT474" s="282"/>
      <c r="AU474" s="282"/>
      <c r="AV474" s="282"/>
      <c r="AW474" s="282"/>
      <c r="AX474" s="282"/>
      <c r="AY474" s="282"/>
      <c r="AZ474" s="282"/>
      <c r="BA474" s="282"/>
      <c r="BB474" s="282"/>
      <c r="BC474" s="282"/>
      <c r="BD474" s="282"/>
      <c r="BE474" s="282"/>
      <c r="BF474" s="282"/>
      <c r="BG474" s="282"/>
      <c r="BH474" s="283"/>
      <c r="BI474" s="282"/>
      <c r="BJ474" s="283"/>
      <c r="BK474" s="283"/>
      <c r="BL474" s="283"/>
      <c r="BM474" s="282"/>
      <c r="BN474" s="282"/>
      <c r="BO474" s="282"/>
      <c r="BP474" s="282"/>
      <c r="BQ474" s="282"/>
      <c r="BR474" s="282"/>
      <c r="BS474" s="282"/>
      <c r="BT474" s="282"/>
      <c r="BU474" s="283"/>
      <c r="BV474" s="283"/>
      <c r="BW474" s="283"/>
      <c r="BX474" s="283"/>
      <c r="BY474" s="283"/>
      <c r="BZ474" s="283"/>
      <c r="CA474" s="283"/>
      <c r="CB474" s="283"/>
      <c r="CC474" s="283"/>
      <c r="CD474" s="283"/>
      <c r="CE474" s="283"/>
      <c r="CF474" s="283"/>
      <c r="CG474" s="283"/>
      <c r="CH474" s="283"/>
      <c r="CI474" s="283"/>
      <c r="CJ474" s="283"/>
      <c r="CK474" s="283"/>
      <c r="CL474" s="283"/>
    </row>
    <row r="475" spans="1:90" ht="14.25" customHeight="1" x14ac:dyDescent="0.2">
      <c r="A475" s="28"/>
      <c r="B475" s="28"/>
      <c r="C475" s="28"/>
      <c r="D475" s="282"/>
      <c r="E475" s="282"/>
      <c r="F475" s="282"/>
      <c r="G475" s="282"/>
      <c r="H475" s="282"/>
      <c r="I475" s="282"/>
      <c r="J475" s="282"/>
      <c r="K475" s="282"/>
      <c r="L475" s="282"/>
      <c r="M475" s="282"/>
      <c r="N475" s="282"/>
      <c r="O475" s="282"/>
      <c r="P475" s="282"/>
      <c r="Q475" s="282"/>
      <c r="R475" s="282"/>
      <c r="S475" s="282"/>
      <c r="T475" s="282"/>
      <c r="U475" s="282"/>
      <c r="V475" s="282"/>
      <c r="W475" s="282"/>
      <c r="X475" s="282"/>
      <c r="Y475" s="282"/>
      <c r="Z475" s="282"/>
      <c r="AA475" s="282"/>
      <c r="AB475" s="282"/>
      <c r="AC475" s="282"/>
      <c r="AD475" s="282"/>
      <c r="AE475" s="282"/>
      <c r="AF475" s="282"/>
      <c r="AG475" s="282"/>
      <c r="AH475" s="282"/>
      <c r="AI475" s="282"/>
      <c r="AJ475" s="282"/>
      <c r="AK475" s="282"/>
      <c r="AL475" s="282"/>
      <c r="AM475" s="282"/>
      <c r="AN475" s="282"/>
      <c r="AO475" s="282"/>
      <c r="AP475" s="282"/>
      <c r="AQ475" s="282"/>
      <c r="AR475" s="282"/>
      <c r="AS475" s="282"/>
      <c r="AT475" s="282"/>
      <c r="AU475" s="282"/>
      <c r="AV475" s="282"/>
      <c r="AW475" s="282"/>
      <c r="AX475" s="282"/>
      <c r="AY475" s="282"/>
      <c r="AZ475" s="282"/>
      <c r="BA475" s="282"/>
      <c r="BB475" s="282"/>
      <c r="BC475" s="282"/>
      <c r="BD475" s="282"/>
      <c r="BE475" s="282"/>
      <c r="BF475" s="282"/>
      <c r="BG475" s="282"/>
      <c r="BH475" s="283"/>
      <c r="BI475" s="282"/>
      <c r="BJ475" s="283"/>
      <c r="BK475" s="283"/>
      <c r="BL475" s="283"/>
      <c r="BM475" s="282"/>
      <c r="BN475" s="282"/>
      <c r="BO475" s="282"/>
      <c r="BP475" s="282"/>
      <c r="BQ475" s="282"/>
      <c r="BR475" s="282"/>
      <c r="BS475" s="282"/>
      <c r="BT475" s="282"/>
      <c r="BU475" s="283"/>
      <c r="BV475" s="283"/>
      <c r="BW475" s="283"/>
      <c r="BX475" s="283"/>
      <c r="BY475" s="283"/>
      <c r="BZ475" s="283"/>
      <c r="CA475" s="283"/>
      <c r="CB475" s="283"/>
      <c r="CC475" s="283"/>
      <c r="CD475" s="283"/>
      <c r="CE475" s="283"/>
      <c r="CF475" s="283"/>
      <c r="CG475" s="283"/>
      <c r="CH475" s="283"/>
      <c r="CI475" s="283"/>
      <c r="CJ475" s="283"/>
      <c r="CK475" s="283"/>
      <c r="CL475" s="283"/>
    </row>
    <row r="476" spans="1:90" ht="14.25" customHeight="1" x14ac:dyDescent="0.2">
      <c r="A476" s="28"/>
      <c r="B476" s="28"/>
      <c r="C476" s="28"/>
      <c r="D476" s="282"/>
      <c r="E476" s="282"/>
      <c r="F476" s="282"/>
      <c r="G476" s="282"/>
      <c r="H476" s="282"/>
      <c r="I476" s="282"/>
      <c r="J476" s="282"/>
      <c r="K476" s="282"/>
      <c r="L476" s="282"/>
      <c r="M476" s="282"/>
      <c r="N476" s="282"/>
      <c r="O476" s="282"/>
      <c r="P476" s="282"/>
      <c r="Q476" s="282"/>
      <c r="R476" s="282"/>
      <c r="S476" s="282"/>
      <c r="T476" s="282"/>
      <c r="U476" s="282"/>
      <c r="V476" s="282"/>
      <c r="W476" s="282"/>
      <c r="X476" s="282"/>
      <c r="Y476" s="282"/>
      <c r="Z476" s="282"/>
      <c r="AA476" s="282"/>
      <c r="AB476" s="282"/>
      <c r="AC476" s="282"/>
      <c r="AD476" s="282"/>
      <c r="AE476" s="282"/>
      <c r="AF476" s="282"/>
      <c r="AG476" s="282"/>
      <c r="AH476" s="282"/>
      <c r="AI476" s="282"/>
      <c r="AJ476" s="282"/>
      <c r="AK476" s="282"/>
      <c r="AL476" s="282"/>
      <c r="AM476" s="282"/>
      <c r="AN476" s="282"/>
      <c r="AO476" s="282"/>
      <c r="AP476" s="282"/>
      <c r="AQ476" s="282"/>
      <c r="AR476" s="282"/>
      <c r="AS476" s="282"/>
      <c r="AT476" s="282"/>
      <c r="AU476" s="282"/>
      <c r="AV476" s="282"/>
      <c r="AW476" s="282"/>
      <c r="AX476" s="282"/>
      <c r="AY476" s="282"/>
      <c r="AZ476" s="282"/>
      <c r="BA476" s="282"/>
      <c r="BB476" s="282"/>
      <c r="BC476" s="282"/>
      <c r="BD476" s="282"/>
      <c r="BE476" s="282"/>
      <c r="BF476" s="282"/>
      <c r="BG476" s="282"/>
      <c r="BH476" s="283"/>
      <c r="BI476" s="282"/>
      <c r="BJ476" s="283"/>
      <c r="BK476" s="283"/>
      <c r="BL476" s="283"/>
      <c r="BM476" s="282"/>
      <c r="BN476" s="282"/>
      <c r="BO476" s="282"/>
      <c r="BP476" s="282"/>
      <c r="BQ476" s="282"/>
      <c r="BR476" s="282"/>
      <c r="BS476" s="282"/>
      <c r="BT476" s="282"/>
      <c r="BU476" s="283"/>
      <c r="BV476" s="283"/>
      <c r="BW476" s="283"/>
      <c r="BX476" s="283"/>
      <c r="BY476" s="283"/>
      <c r="BZ476" s="283"/>
      <c r="CA476" s="283"/>
      <c r="CB476" s="283"/>
      <c r="CC476" s="283"/>
      <c r="CD476" s="283"/>
      <c r="CE476" s="283"/>
      <c r="CF476" s="283"/>
      <c r="CG476" s="283"/>
      <c r="CH476" s="283"/>
      <c r="CI476" s="283"/>
      <c r="CJ476" s="283"/>
      <c r="CK476" s="283"/>
      <c r="CL476" s="283"/>
    </row>
    <row r="477" spans="1:90" ht="14.25" customHeight="1" x14ac:dyDescent="0.2">
      <c r="A477" s="28"/>
      <c r="B477" s="28"/>
      <c r="C477" s="28"/>
      <c r="D477" s="282"/>
      <c r="E477" s="282"/>
      <c r="F477" s="282"/>
      <c r="G477" s="282"/>
      <c r="H477" s="282"/>
      <c r="I477" s="282"/>
      <c r="J477" s="282"/>
      <c r="K477" s="282"/>
      <c r="L477" s="282"/>
      <c r="M477" s="282"/>
      <c r="N477" s="282"/>
      <c r="O477" s="282"/>
      <c r="P477" s="282"/>
      <c r="Q477" s="282"/>
      <c r="R477" s="282"/>
      <c r="S477" s="282"/>
      <c r="T477" s="282"/>
      <c r="U477" s="282"/>
      <c r="V477" s="282"/>
      <c r="W477" s="282"/>
      <c r="X477" s="282"/>
      <c r="Y477" s="282"/>
      <c r="Z477" s="282"/>
      <c r="AA477" s="282"/>
      <c r="AB477" s="282"/>
      <c r="AC477" s="282"/>
      <c r="AD477" s="282"/>
      <c r="AE477" s="282"/>
      <c r="AF477" s="282"/>
      <c r="AG477" s="282"/>
      <c r="AH477" s="282"/>
      <c r="AI477" s="282"/>
      <c r="AJ477" s="282"/>
      <c r="AK477" s="282"/>
      <c r="AL477" s="282"/>
      <c r="AM477" s="282"/>
      <c r="AN477" s="282"/>
      <c r="AO477" s="282"/>
      <c r="AP477" s="282"/>
      <c r="AQ477" s="282"/>
      <c r="AR477" s="282"/>
      <c r="AS477" s="282"/>
      <c r="AT477" s="282"/>
      <c r="AU477" s="282"/>
      <c r="AV477" s="282"/>
      <c r="AW477" s="282"/>
      <c r="AX477" s="282"/>
      <c r="AY477" s="282"/>
      <c r="AZ477" s="282"/>
      <c r="BA477" s="282"/>
      <c r="BB477" s="282"/>
      <c r="BC477" s="282"/>
      <c r="BD477" s="282"/>
      <c r="BE477" s="282"/>
      <c r="BF477" s="282"/>
      <c r="BG477" s="282"/>
      <c r="BH477" s="283"/>
      <c r="BI477" s="282"/>
      <c r="BJ477" s="283"/>
      <c r="BK477" s="283"/>
      <c r="BL477" s="283"/>
      <c r="BM477" s="282"/>
      <c r="BN477" s="282"/>
      <c r="BO477" s="282"/>
      <c r="BP477" s="282"/>
      <c r="BQ477" s="282"/>
      <c r="BR477" s="282"/>
      <c r="BS477" s="282"/>
      <c r="BT477" s="282"/>
      <c r="BU477" s="283"/>
      <c r="BV477" s="283"/>
      <c r="BW477" s="283"/>
      <c r="BX477" s="283"/>
      <c r="BY477" s="283"/>
      <c r="BZ477" s="283"/>
      <c r="CA477" s="283"/>
      <c r="CB477" s="283"/>
      <c r="CC477" s="283"/>
      <c r="CD477" s="283"/>
      <c r="CE477" s="283"/>
      <c r="CF477" s="283"/>
      <c r="CG477" s="283"/>
      <c r="CH477" s="283"/>
      <c r="CI477" s="283"/>
      <c r="CJ477" s="283"/>
      <c r="CK477" s="283"/>
      <c r="CL477" s="283"/>
    </row>
    <row r="478" spans="1:90" ht="14.25" customHeight="1" x14ac:dyDescent="0.2">
      <c r="A478" s="28"/>
      <c r="B478" s="28"/>
      <c r="C478" s="28"/>
      <c r="D478" s="282"/>
      <c r="E478" s="282"/>
      <c r="F478" s="282"/>
      <c r="G478" s="282"/>
      <c r="H478" s="282"/>
      <c r="I478" s="282"/>
      <c r="J478" s="282"/>
      <c r="K478" s="282"/>
      <c r="L478" s="282"/>
      <c r="M478" s="282"/>
      <c r="N478" s="282"/>
      <c r="O478" s="282"/>
      <c r="P478" s="282"/>
      <c r="Q478" s="282"/>
      <c r="R478" s="282"/>
      <c r="S478" s="282"/>
      <c r="T478" s="282"/>
      <c r="U478" s="282"/>
      <c r="V478" s="282"/>
      <c r="W478" s="282"/>
      <c r="X478" s="282"/>
      <c r="Y478" s="282"/>
      <c r="Z478" s="282"/>
      <c r="AA478" s="282"/>
      <c r="AB478" s="282"/>
      <c r="AC478" s="282"/>
      <c r="AD478" s="282"/>
      <c r="AE478" s="282"/>
      <c r="AF478" s="282"/>
      <c r="AG478" s="282"/>
      <c r="AH478" s="282"/>
      <c r="AI478" s="282"/>
      <c r="AJ478" s="282"/>
      <c r="AK478" s="282"/>
      <c r="AL478" s="282"/>
      <c r="AM478" s="282"/>
      <c r="AN478" s="282"/>
      <c r="AO478" s="282"/>
      <c r="AP478" s="282"/>
      <c r="AQ478" s="282"/>
      <c r="AR478" s="282"/>
      <c r="AS478" s="282"/>
      <c r="AT478" s="282"/>
      <c r="AU478" s="282"/>
      <c r="AV478" s="282"/>
      <c r="AW478" s="282"/>
      <c r="AX478" s="282"/>
      <c r="AY478" s="282"/>
      <c r="AZ478" s="282"/>
      <c r="BA478" s="282"/>
      <c r="BB478" s="282"/>
      <c r="BC478" s="282"/>
      <c r="BD478" s="282"/>
      <c r="BE478" s="282"/>
      <c r="BF478" s="282"/>
      <c r="BG478" s="282"/>
      <c r="BH478" s="283"/>
      <c r="BI478" s="282"/>
      <c r="BJ478" s="283"/>
      <c r="BK478" s="283"/>
      <c r="BL478" s="283"/>
      <c r="BM478" s="282"/>
      <c r="BN478" s="282"/>
      <c r="BO478" s="282"/>
      <c r="BP478" s="282"/>
      <c r="BQ478" s="282"/>
      <c r="BR478" s="282"/>
      <c r="BS478" s="282"/>
      <c r="BT478" s="282"/>
      <c r="BU478" s="283"/>
      <c r="BV478" s="283"/>
      <c r="BW478" s="283"/>
      <c r="BX478" s="283"/>
      <c r="BY478" s="283"/>
      <c r="BZ478" s="283"/>
      <c r="CA478" s="283"/>
      <c r="CB478" s="283"/>
      <c r="CC478" s="283"/>
      <c r="CD478" s="283"/>
      <c r="CE478" s="283"/>
      <c r="CF478" s="283"/>
      <c r="CG478" s="283"/>
      <c r="CH478" s="283"/>
      <c r="CI478" s="283"/>
      <c r="CJ478" s="283"/>
      <c r="CK478" s="283"/>
      <c r="CL478" s="283"/>
    </row>
    <row r="479" spans="1:90" ht="14.25" customHeight="1" x14ac:dyDescent="0.2">
      <c r="A479" s="28"/>
      <c r="B479" s="28"/>
      <c r="C479" s="28"/>
      <c r="D479" s="282"/>
      <c r="E479" s="282"/>
      <c r="F479" s="282"/>
      <c r="G479" s="282"/>
      <c r="H479" s="282"/>
      <c r="I479" s="282"/>
      <c r="J479" s="282"/>
      <c r="K479" s="282"/>
      <c r="L479" s="282"/>
      <c r="M479" s="282"/>
      <c r="N479" s="282"/>
      <c r="O479" s="282"/>
      <c r="P479" s="282"/>
      <c r="Q479" s="282"/>
      <c r="R479" s="282"/>
      <c r="S479" s="282"/>
      <c r="T479" s="282"/>
      <c r="U479" s="282"/>
      <c r="V479" s="282"/>
      <c r="W479" s="282"/>
      <c r="X479" s="282"/>
      <c r="Y479" s="282"/>
      <c r="Z479" s="282"/>
      <c r="AA479" s="282"/>
      <c r="AB479" s="282"/>
      <c r="AC479" s="282"/>
      <c r="AD479" s="282"/>
      <c r="AE479" s="282"/>
      <c r="AF479" s="282"/>
      <c r="AG479" s="282"/>
      <c r="AH479" s="282"/>
      <c r="AI479" s="282"/>
      <c r="AJ479" s="282"/>
      <c r="AK479" s="282"/>
      <c r="AL479" s="282"/>
      <c r="AM479" s="282"/>
      <c r="AN479" s="282"/>
      <c r="AO479" s="282"/>
      <c r="AP479" s="282"/>
      <c r="AQ479" s="282"/>
      <c r="AR479" s="282"/>
      <c r="AS479" s="282"/>
      <c r="AT479" s="282"/>
      <c r="AU479" s="282"/>
      <c r="AV479" s="282"/>
      <c r="AW479" s="282"/>
      <c r="AX479" s="282"/>
      <c r="AY479" s="282"/>
      <c r="AZ479" s="282"/>
      <c r="BA479" s="282"/>
      <c r="BB479" s="282"/>
      <c r="BC479" s="282"/>
      <c r="BD479" s="282"/>
      <c r="BE479" s="282"/>
      <c r="BF479" s="282"/>
      <c r="BG479" s="282"/>
      <c r="BH479" s="283"/>
      <c r="BI479" s="282"/>
      <c r="BJ479" s="283"/>
      <c r="BK479" s="283"/>
      <c r="BL479" s="283"/>
      <c r="BM479" s="282"/>
      <c r="BN479" s="282"/>
      <c r="BO479" s="282"/>
      <c r="BP479" s="282"/>
      <c r="BQ479" s="282"/>
      <c r="BR479" s="282"/>
      <c r="BS479" s="282"/>
      <c r="BT479" s="282"/>
      <c r="BU479" s="283"/>
      <c r="BV479" s="283"/>
      <c r="BW479" s="283"/>
      <c r="BX479" s="283"/>
      <c r="BY479" s="283"/>
      <c r="BZ479" s="283"/>
      <c r="CA479" s="283"/>
      <c r="CB479" s="283"/>
      <c r="CC479" s="283"/>
      <c r="CD479" s="283"/>
      <c r="CE479" s="283"/>
      <c r="CF479" s="283"/>
      <c r="CG479" s="283"/>
      <c r="CH479" s="283"/>
      <c r="CI479" s="283"/>
      <c r="CJ479" s="283"/>
      <c r="CK479" s="283"/>
      <c r="CL479" s="283"/>
    </row>
    <row r="480" spans="1:90" ht="14.25" customHeight="1" x14ac:dyDescent="0.2">
      <c r="A480" s="28"/>
      <c r="B480" s="28"/>
      <c r="C480" s="28"/>
      <c r="D480" s="282"/>
      <c r="E480" s="282"/>
      <c r="F480" s="282"/>
      <c r="G480" s="282"/>
      <c r="H480" s="282"/>
      <c r="I480" s="282"/>
      <c r="J480" s="282"/>
      <c r="K480" s="282"/>
      <c r="L480" s="282"/>
      <c r="M480" s="282"/>
      <c r="N480" s="282"/>
      <c r="O480" s="282"/>
      <c r="P480" s="282"/>
      <c r="Q480" s="282"/>
      <c r="R480" s="282"/>
      <c r="S480" s="282"/>
      <c r="T480" s="282"/>
      <c r="U480" s="282"/>
      <c r="V480" s="282"/>
      <c r="W480" s="282"/>
      <c r="X480" s="282"/>
      <c r="Y480" s="282"/>
      <c r="Z480" s="282"/>
      <c r="AA480" s="282"/>
      <c r="AB480" s="282"/>
      <c r="AC480" s="282"/>
      <c r="AD480" s="282"/>
      <c r="AE480" s="282"/>
      <c r="AF480" s="282"/>
      <c r="AG480" s="282"/>
      <c r="AH480" s="282"/>
      <c r="AI480" s="282"/>
      <c r="AJ480" s="282"/>
      <c r="AK480" s="282"/>
      <c r="AL480" s="282"/>
      <c r="AM480" s="282"/>
      <c r="AN480" s="282"/>
      <c r="AO480" s="282"/>
      <c r="AP480" s="282"/>
      <c r="AQ480" s="282"/>
      <c r="AR480" s="282"/>
      <c r="AS480" s="282"/>
      <c r="AT480" s="282"/>
      <c r="AU480" s="282"/>
      <c r="AV480" s="282"/>
      <c r="AW480" s="282"/>
      <c r="AX480" s="282"/>
      <c r="AY480" s="282"/>
      <c r="AZ480" s="282"/>
      <c r="BA480" s="282"/>
      <c r="BB480" s="282"/>
      <c r="BC480" s="282"/>
      <c r="BD480" s="282"/>
      <c r="BE480" s="282"/>
      <c r="BF480" s="282"/>
      <c r="BG480" s="282"/>
      <c r="BH480" s="283"/>
      <c r="BI480" s="282"/>
      <c r="BJ480" s="283"/>
      <c r="BK480" s="283"/>
      <c r="BL480" s="283"/>
      <c r="BM480" s="282"/>
      <c r="BN480" s="282"/>
      <c r="BO480" s="282"/>
      <c r="BP480" s="282"/>
      <c r="BQ480" s="282"/>
      <c r="BR480" s="282"/>
      <c r="BS480" s="282"/>
      <c r="BT480" s="282"/>
      <c r="BU480" s="283"/>
      <c r="BV480" s="283"/>
      <c r="BW480" s="283"/>
      <c r="BX480" s="283"/>
      <c r="BY480" s="283"/>
      <c r="BZ480" s="283"/>
      <c r="CA480" s="283"/>
      <c r="CB480" s="283"/>
      <c r="CC480" s="283"/>
      <c r="CD480" s="283"/>
      <c r="CE480" s="283"/>
      <c r="CF480" s="283"/>
      <c r="CG480" s="283"/>
      <c r="CH480" s="283"/>
      <c r="CI480" s="283"/>
      <c r="CJ480" s="283"/>
      <c r="CK480" s="283"/>
      <c r="CL480" s="283"/>
    </row>
    <row r="481" spans="1:90" ht="14.25" customHeight="1" x14ac:dyDescent="0.2">
      <c r="A481" s="28"/>
      <c r="B481" s="28"/>
      <c r="C481" s="28"/>
      <c r="D481" s="282"/>
      <c r="E481" s="282"/>
      <c r="F481" s="282"/>
      <c r="G481" s="282"/>
      <c r="H481" s="282"/>
      <c r="I481" s="282"/>
      <c r="J481" s="282"/>
      <c r="K481" s="282"/>
      <c r="L481" s="282"/>
      <c r="M481" s="282"/>
      <c r="N481" s="282"/>
      <c r="O481" s="282"/>
      <c r="P481" s="282"/>
      <c r="Q481" s="282"/>
      <c r="R481" s="282"/>
      <c r="S481" s="282"/>
      <c r="T481" s="282"/>
      <c r="U481" s="282"/>
      <c r="V481" s="282"/>
      <c r="W481" s="282"/>
      <c r="X481" s="282"/>
      <c r="Y481" s="282"/>
      <c r="Z481" s="282"/>
      <c r="AA481" s="282"/>
      <c r="AB481" s="282"/>
      <c r="AC481" s="282"/>
      <c r="AD481" s="282"/>
      <c r="AE481" s="282"/>
      <c r="AF481" s="282"/>
      <c r="AG481" s="282"/>
      <c r="AH481" s="282"/>
      <c r="AI481" s="282"/>
      <c r="AJ481" s="282"/>
      <c r="AK481" s="282"/>
      <c r="AL481" s="282"/>
      <c r="AM481" s="282"/>
      <c r="AN481" s="282"/>
      <c r="AO481" s="282"/>
      <c r="AP481" s="282"/>
      <c r="AQ481" s="282"/>
      <c r="AR481" s="282"/>
      <c r="AS481" s="282"/>
      <c r="AT481" s="282"/>
      <c r="AU481" s="282"/>
      <c r="AV481" s="282"/>
      <c r="AW481" s="282"/>
      <c r="AX481" s="282"/>
      <c r="AY481" s="282"/>
      <c r="AZ481" s="282"/>
      <c r="BA481" s="282"/>
      <c r="BB481" s="282"/>
      <c r="BC481" s="282"/>
      <c r="BD481" s="282"/>
      <c r="BE481" s="282"/>
      <c r="BF481" s="282"/>
      <c r="BG481" s="282"/>
      <c r="BH481" s="283"/>
      <c r="BI481" s="282"/>
      <c r="BJ481" s="283"/>
      <c r="BK481" s="283"/>
      <c r="BL481" s="283"/>
      <c r="BM481" s="282"/>
      <c r="BN481" s="282"/>
      <c r="BO481" s="282"/>
      <c r="BP481" s="282"/>
      <c r="BQ481" s="282"/>
      <c r="BR481" s="282"/>
      <c r="BS481" s="282"/>
      <c r="BT481" s="282"/>
      <c r="BU481" s="283"/>
      <c r="BV481" s="283"/>
      <c r="BW481" s="283"/>
      <c r="BX481" s="283"/>
      <c r="BY481" s="283"/>
      <c r="BZ481" s="283"/>
      <c r="CA481" s="283"/>
      <c r="CB481" s="283"/>
      <c r="CC481" s="283"/>
      <c r="CD481" s="283"/>
      <c r="CE481" s="283"/>
      <c r="CF481" s="283"/>
      <c r="CG481" s="283"/>
      <c r="CH481" s="283"/>
      <c r="CI481" s="283"/>
      <c r="CJ481" s="283"/>
      <c r="CK481" s="283"/>
      <c r="CL481" s="283"/>
    </row>
    <row r="482" spans="1:90" ht="14.25" customHeight="1" x14ac:dyDescent="0.2">
      <c r="A482" s="28"/>
      <c r="B482" s="28"/>
      <c r="C482" s="28"/>
      <c r="D482" s="282"/>
      <c r="E482" s="282"/>
      <c r="F482" s="282"/>
      <c r="G482" s="282"/>
      <c r="H482" s="282"/>
      <c r="I482" s="282"/>
      <c r="J482" s="282"/>
      <c r="K482" s="282"/>
      <c r="L482" s="282"/>
      <c r="M482" s="282"/>
      <c r="N482" s="282"/>
      <c r="O482" s="282"/>
      <c r="P482" s="282"/>
      <c r="Q482" s="282"/>
      <c r="R482" s="282"/>
      <c r="S482" s="282"/>
      <c r="T482" s="282"/>
      <c r="U482" s="282"/>
      <c r="V482" s="282"/>
      <c r="W482" s="282"/>
      <c r="X482" s="282"/>
      <c r="Y482" s="282"/>
      <c r="Z482" s="282"/>
      <c r="AA482" s="282"/>
      <c r="AB482" s="282"/>
      <c r="AC482" s="282"/>
      <c r="AD482" s="282"/>
      <c r="AE482" s="282"/>
      <c r="AF482" s="282"/>
      <c r="AG482" s="282"/>
      <c r="AH482" s="282"/>
      <c r="AI482" s="282"/>
      <c r="AJ482" s="282"/>
      <c r="AK482" s="282"/>
      <c r="AL482" s="282"/>
      <c r="AM482" s="282"/>
      <c r="AN482" s="282"/>
      <c r="AO482" s="282"/>
      <c r="AP482" s="282"/>
      <c r="AQ482" s="282"/>
      <c r="AR482" s="282"/>
      <c r="AS482" s="282"/>
      <c r="AT482" s="282"/>
      <c r="AU482" s="282"/>
      <c r="AV482" s="282"/>
      <c r="AW482" s="282"/>
      <c r="AX482" s="282"/>
      <c r="AY482" s="282"/>
      <c r="AZ482" s="282"/>
      <c r="BA482" s="282"/>
      <c r="BB482" s="282"/>
      <c r="BC482" s="282"/>
      <c r="BD482" s="282"/>
      <c r="BE482" s="282"/>
      <c r="BF482" s="282"/>
      <c r="BG482" s="282"/>
      <c r="BH482" s="283"/>
      <c r="BI482" s="282"/>
      <c r="BJ482" s="283"/>
      <c r="BK482" s="283"/>
      <c r="BL482" s="283"/>
      <c r="BM482" s="282"/>
      <c r="BN482" s="282"/>
      <c r="BO482" s="282"/>
      <c r="BP482" s="282"/>
      <c r="BQ482" s="282"/>
      <c r="BR482" s="282"/>
      <c r="BS482" s="282"/>
      <c r="BT482" s="282"/>
      <c r="BU482" s="283"/>
      <c r="BV482" s="283"/>
      <c r="BW482" s="283"/>
      <c r="BX482" s="283"/>
      <c r="BY482" s="283"/>
      <c r="BZ482" s="283"/>
      <c r="CA482" s="283"/>
      <c r="CB482" s="283"/>
      <c r="CC482" s="283"/>
      <c r="CD482" s="283"/>
      <c r="CE482" s="283"/>
      <c r="CF482" s="283"/>
      <c r="CG482" s="283"/>
      <c r="CH482" s="283"/>
      <c r="CI482" s="283"/>
      <c r="CJ482" s="283"/>
      <c r="CK482" s="283"/>
      <c r="CL482" s="283"/>
    </row>
    <row r="483" spans="1:90" ht="14.25" customHeight="1" x14ac:dyDescent="0.2">
      <c r="A483" s="28"/>
      <c r="B483" s="28"/>
      <c r="C483" s="28"/>
      <c r="D483" s="282"/>
      <c r="E483" s="282"/>
      <c r="F483" s="282"/>
      <c r="G483" s="282"/>
      <c r="H483" s="282"/>
      <c r="I483" s="282"/>
      <c r="J483" s="282"/>
      <c r="K483" s="282"/>
      <c r="L483" s="282"/>
      <c r="M483" s="282"/>
      <c r="N483" s="282"/>
      <c r="O483" s="282"/>
      <c r="P483" s="282"/>
      <c r="Q483" s="282"/>
      <c r="R483" s="282"/>
      <c r="S483" s="282"/>
      <c r="T483" s="282"/>
      <c r="U483" s="282"/>
      <c r="V483" s="282"/>
      <c r="W483" s="282"/>
      <c r="X483" s="282"/>
      <c r="Y483" s="282"/>
      <c r="Z483" s="282"/>
      <c r="AA483" s="282"/>
      <c r="AB483" s="282"/>
      <c r="AC483" s="282"/>
      <c r="AD483" s="282"/>
      <c r="AE483" s="282"/>
      <c r="AF483" s="282"/>
      <c r="AG483" s="282"/>
      <c r="AH483" s="282"/>
      <c r="AI483" s="282"/>
      <c r="AJ483" s="282"/>
      <c r="AK483" s="282"/>
      <c r="AL483" s="282"/>
      <c r="AM483" s="282"/>
      <c r="AN483" s="282"/>
      <c r="AO483" s="282"/>
      <c r="AP483" s="282"/>
      <c r="AQ483" s="282"/>
      <c r="AR483" s="282"/>
      <c r="AS483" s="282"/>
      <c r="AT483" s="282"/>
      <c r="AU483" s="282"/>
      <c r="AV483" s="282"/>
      <c r="AW483" s="282"/>
      <c r="AX483" s="282"/>
      <c r="AY483" s="282"/>
      <c r="AZ483" s="282"/>
      <c r="BA483" s="282"/>
      <c r="BB483" s="282"/>
      <c r="BC483" s="282"/>
      <c r="BD483" s="282"/>
      <c r="BE483" s="282"/>
      <c r="BF483" s="282"/>
      <c r="BG483" s="282"/>
      <c r="BH483" s="283"/>
      <c r="BI483" s="282"/>
      <c r="BJ483" s="283"/>
      <c r="BK483" s="283"/>
      <c r="BL483" s="283"/>
      <c r="BM483" s="282"/>
      <c r="BN483" s="282"/>
      <c r="BO483" s="282"/>
      <c r="BP483" s="282"/>
      <c r="BQ483" s="282"/>
      <c r="BR483" s="282"/>
      <c r="BS483" s="282"/>
      <c r="BT483" s="282"/>
      <c r="BU483" s="283"/>
      <c r="BV483" s="283"/>
      <c r="BW483" s="283"/>
      <c r="BX483" s="283"/>
      <c r="BY483" s="283"/>
      <c r="BZ483" s="283"/>
      <c r="CA483" s="283"/>
      <c r="CB483" s="283"/>
      <c r="CC483" s="283"/>
      <c r="CD483" s="283"/>
      <c r="CE483" s="283"/>
      <c r="CF483" s="283"/>
      <c r="CG483" s="283"/>
      <c r="CH483" s="283"/>
      <c r="CI483" s="283"/>
      <c r="CJ483" s="283"/>
      <c r="CK483" s="283"/>
      <c r="CL483" s="283"/>
    </row>
    <row r="484" spans="1:90" ht="14.25" customHeight="1" x14ac:dyDescent="0.2">
      <c r="A484" s="28"/>
      <c r="B484" s="28"/>
      <c r="C484" s="28"/>
      <c r="D484" s="282"/>
      <c r="E484" s="282"/>
      <c r="F484" s="282"/>
      <c r="G484" s="282"/>
      <c r="H484" s="282"/>
      <c r="I484" s="282"/>
      <c r="J484" s="282"/>
      <c r="K484" s="282"/>
      <c r="L484" s="282"/>
      <c r="M484" s="282"/>
      <c r="N484" s="282"/>
      <c r="O484" s="282"/>
      <c r="P484" s="282"/>
      <c r="Q484" s="282"/>
      <c r="R484" s="282"/>
      <c r="S484" s="282"/>
      <c r="T484" s="282"/>
      <c r="U484" s="282"/>
      <c r="V484" s="282"/>
      <c r="W484" s="282"/>
      <c r="X484" s="282"/>
      <c r="Y484" s="282"/>
      <c r="Z484" s="282"/>
      <c r="AA484" s="282"/>
      <c r="AB484" s="282"/>
      <c r="AC484" s="282"/>
      <c r="AD484" s="282"/>
      <c r="AE484" s="282"/>
      <c r="AF484" s="282"/>
      <c r="AG484" s="282"/>
      <c r="AH484" s="282"/>
      <c r="AI484" s="282"/>
      <c r="AJ484" s="282"/>
      <c r="AK484" s="282"/>
      <c r="AL484" s="282"/>
      <c r="AM484" s="282"/>
      <c r="AN484" s="282"/>
      <c r="AO484" s="282"/>
      <c r="AP484" s="282"/>
      <c r="AQ484" s="282"/>
      <c r="AR484" s="282"/>
      <c r="AS484" s="282"/>
      <c r="AT484" s="282"/>
      <c r="AU484" s="282"/>
      <c r="AV484" s="282"/>
      <c r="AW484" s="282"/>
      <c r="AX484" s="282"/>
      <c r="AY484" s="282"/>
      <c r="AZ484" s="282"/>
      <c r="BA484" s="282"/>
      <c r="BB484" s="282"/>
      <c r="BC484" s="282"/>
      <c r="BD484" s="282"/>
      <c r="BE484" s="282"/>
      <c r="BF484" s="282"/>
      <c r="BG484" s="282"/>
      <c r="BH484" s="283"/>
      <c r="BI484" s="282"/>
      <c r="BJ484" s="283"/>
      <c r="BK484" s="283"/>
      <c r="BL484" s="283"/>
      <c r="BM484" s="282"/>
      <c r="BN484" s="282"/>
      <c r="BO484" s="282"/>
      <c r="BP484" s="282"/>
      <c r="BQ484" s="282"/>
      <c r="BR484" s="282"/>
      <c r="BS484" s="282"/>
      <c r="BT484" s="282"/>
      <c r="BU484" s="283"/>
      <c r="BV484" s="283"/>
      <c r="BW484" s="283"/>
      <c r="BX484" s="283"/>
      <c r="BY484" s="283"/>
      <c r="BZ484" s="283"/>
      <c r="CA484" s="283"/>
      <c r="CB484" s="283"/>
      <c r="CC484" s="283"/>
      <c r="CD484" s="283"/>
      <c r="CE484" s="283"/>
      <c r="CF484" s="283"/>
      <c r="CG484" s="283"/>
      <c r="CH484" s="283"/>
      <c r="CI484" s="283"/>
      <c r="CJ484" s="283"/>
      <c r="CK484" s="283"/>
      <c r="CL484" s="283"/>
    </row>
    <row r="485" spans="1:90" ht="14.25" customHeight="1" x14ac:dyDescent="0.2">
      <c r="A485" s="28"/>
      <c r="B485" s="28"/>
      <c r="C485" s="28"/>
      <c r="D485" s="282"/>
      <c r="E485" s="282"/>
      <c r="F485" s="282"/>
      <c r="G485" s="282"/>
      <c r="H485" s="282"/>
      <c r="I485" s="282"/>
      <c r="J485" s="282"/>
      <c r="K485" s="282"/>
      <c r="L485" s="282"/>
      <c r="M485" s="282"/>
      <c r="N485" s="282"/>
      <c r="O485" s="282"/>
      <c r="P485" s="282"/>
      <c r="Q485" s="282"/>
      <c r="R485" s="282"/>
      <c r="S485" s="282"/>
      <c r="T485" s="282"/>
      <c r="U485" s="282"/>
      <c r="V485" s="282"/>
      <c r="W485" s="282"/>
      <c r="X485" s="282"/>
      <c r="Y485" s="282"/>
      <c r="Z485" s="282"/>
      <c r="AA485" s="282"/>
      <c r="AB485" s="282"/>
      <c r="AC485" s="282"/>
      <c r="AD485" s="282"/>
      <c r="AE485" s="282"/>
      <c r="AF485" s="282"/>
      <c r="AG485" s="282"/>
      <c r="AH485" s="282"/>
      <c r="AI485" s="282"/>
      <c r="AJ485" s="282"/>
      <c r="AK485" s="282"/>
      <c r="AL485" s="282"/>
      <c r="AM485" s="282"/>
      <c r="AN485" s="282"/>
      <c r="AO485" s="282"/>
      <c r="AP485" s="282"/>
      <c r="AQ485" s="282"/>
      <c r="AR485" s="282"/>
      <c r="AS485" s="282"/>
      <c r="AT485" s="282"/>
      <c r="AU485" s="282"/>
      <c r="AV485" s="282"/>
      <c r="AW485" s="282"/>
      <c r="AX485" s="282"/>
      <c r="AY485" s="282"/>
      <c r="AZ485" s="282"/>
      <c r="BA485" s="282"/>
      <c r="BB485" s="282"/>
      <c r="BC485" s="282"/>
      <c r="BD485" s="282"/>
      <c r="BE485" s="282"/>
      <c r="BF485" s="282"/>
      <c r="BG485" s="282"/>
      <c r="BH485" s="283"/>
      <c r="BI485" s="282"/>
      <c r="BJ485" s="283"/>
      <c r="BK485" s="283"/>
      <c r="BL485" s="283"/>
      <c r="BM485" s="282"/>
      <c r="BN485" s="282"/>
      <c r="BO485" s="282"/>
      <c r="BP485" s="282"/>
      <c r="BQ485" s="282"/>
      <c r="BR485" s="282"/>
      <c r="BS485" s="282"/>
      <c r="BT485" s="282"/>
      <c r="BU485" s="283"/>
      <c r="BV485" s="283"/>
      <c r="BW485" s="283"/>
      <c r="BX485" s="283"/>
      <c r="BY485" s="283"/>
      <c r="BZ485" s="283"/>
      <c r="CA485" s="283"/>
      <c r="CB485" s="283"/>
      <c r="CC485" s="283"/>
      <c r="CD485" s="283"/>
      <c r="CE485" s="283"/>
      <c r="CF485" s="283"/>
      <c r="CG485" s="283"/>
      <c r="CH485" s="283"/>
      <c r="CI485" s="283"/>
      <c r="CJ485" s="283"/>
      <c r="CK485" s="283"/>
      <c r="CL485" s="283"/>
    </row>
    <row r="486" spans="1:90" ht="14.25" customHeight="1" x14ac:dyDescent="0.2">
      <c r="A486" s="28"/>
      <c r="B486" s="28"/>
      <c r="C486" s="28"/>
      <c r="D486" s="282"/>
      <c r="E486" s="282"/>
      <c r="F486" s="282"/>
      <c r="G486" s="282"/>
      <c r="H486" s="282"/>
      <c r="I486" s="282"/>
      <c r="J486" s="282"/>
      <c r="K486" s="282"/>
      <c r="L486" s="282"/>
      <c r="M486" s="282"/>
      <c r="N486" s="282"/>
      <c r="O486" s="282"/>
      <c r="P486" s="282"/>
      <c r="Q486" s="282"/>
      <c r="R486" s="282"/>
      <c r="S486" s="282"/>
      <c r="T486" s="282"/>
      <c r="U486" s="282"/>
      <c r="V486" s="282"/>
      <c r="W486" s="282"/>
      <c r="X486" s="282"/>
      <c r="Y486" s="282"/>
      <c r="Z486" s="282"/>
      <c r="AA486" s="282"/>
      <c r="AB486" s="282"/>
      <c r="AC486" s="282"/>
      <c r="AD486" s="282"/>
      <c r="AE486" s="282"/>
      <c r="AF486" s="282"/>
      <c r="AG486" s="282"/>
      <c r="AH486" s="282"/>
      <c r="AI486" s="282"/>
      <c r="AJ486" s="282"/>
      <c r="AK486" s="282"/>
      <c r="AL486" s="282"/>
      <c r="AM486" s="282"/>
      <c r="AN486" s="282"/>
      <c r="AO486" s="282"/>
      <c r="AP486" s="282"/>
      <c r="AQ486" s="282"/>
      <c r="AR486" s="282"/>
      <c r="AS486" s="282"/>
      <c r="AT486" s="282"/>
      <c r="AU486" s="282"/>
      <c r="AV486" s="282"/>
      <c r="AW486" s="282"/>
      <c r="AX486" s="282"/>
      <c r="AY486" s="282"/>
      <c r="AZ486" s="282"/>
      <c r="BA486" s="282"/>
      <c r="BB486" s="282"/>
      <c r="BC486" s="282"/>
      <c r="BD486" s="282"/>
      <c r="BE486" s="282"/>
      <c r="BF486" s="282"/>
      <c r="BG486" s="282"/>
      <c r="BH486" s="282"/>
      <c r="BI486" s="282"/>
      <c r="BJ486" s="282"/>
      <c r="BK486" s="282"/>
      <c r="BL486" s="282"/>
      <c r="BM486" s="282"/>
      <c r="BN486" s="282"/>
      <c r="BO486" s="282"/>
      <c r="BP486" s="282"/>
      <c r="BQ486" s="282"/>
      <c r="BR486" s="282"/>
      <c r="BS486" s="282"/>
      <c r="BT486" s="282"/>
      <c r="BU486" s="283"/>
      <c r="BV486" s="283"/>
      <c r="BW486" s="283"/>
      <c r="BX486" s="283"/>
      <c r="BY486" s="283"/>
      <c r="BZ486" s="283"/>
      <c r="CA486" s="283"/>
      <c r="CB486" s="283"/>
      <c r="CC486" s="283"/>
      <c r="CD486" s="283"/>
      <c r="CE486" s="283"/>
      <c r="CF486" s="283"/>
      <c r="CG486" s="283"/>
      <c r="CH486" s="283"/>
      <c r="CI486" s="283"/>
      <c r="CJ486" s="283"/>
      <c r="CK486" s="283"/>
      <c r="CL486" s="283"/>
    </row>
    <row r="487" spans="1:90" ht="14.25" customHeight="1" x14ac:dyDescent="0.2">
      <c r="A487" s="28"/>
      <c r="B487" s="28"/>
      <c r="C487" s="28"/>
      <c r="D487" s="282"/>
      <c r="E487" s="282"/>
      <c r="F487" s="282"/>
      <c r="G487" s="282"/>
      <c r="H487" s="282"/>
      <c r="I487" s="282"/>
      <c r="J487" s="282"/>
      <c r="K487" s="282"/>
      <c r="L487" s="282"/>
      <c r="M487" s="282"/>
      <c r="N487" s="282"/>
      <c r="O487" s="282"/>
      <c r="P487" s="282"/>
      <c r="Q487" s="282"/>
      <c r="R487" s="282"/>
      <c r="S487" s="282"/>
      <c r="T487" s="282"/>
      <c r="U487" s="282"/>
      <c r="V487" s="282"/>
      <c r="W487" s="282"/>
      <c r="X487" s="282"/>
      <c r="Y487" s="282"/>
      <c r="Z487" s="282"/>
      <c r="AA487" s="282"/>
      <c r="AB487" s="282"/>
      <c r="AC487" s="282"/>
      <c r="AD487" s="282"/>
      <c r="AE487" s="282"/>
      <c r="AF487" s="282"/>
      <c r="AG487" s="282"/>
      <c r="AH487" s="282"/>
      <c r="AI487" s="282"/>
      <c r="AJ487" s="282"/>
      <c r="AK487" s="282"/>
      <c r="AL487" s="282"/>
      <c r="AM487" s="282"/>
      <c r="AN487" s="282"/>
      <c r="AO487" s="282"/>
      <c r="AP487" s="282"/>
      <c r="AQ487" s="282"/>
      <c r="AR487" s="282"/>
      <c r="AS487" s="282"/>
      <c r="AT487" s="282"/>
      <c r="AU487" s="282"/>
      <c r="AV487" s="282"/>
      <c r="AW487" s="282"/>
      <c r="AX487" s="282"/>
      <c r="AY487" s="282"/>
      <c r="AZ487" s="282"/>
      <c r="BA487" s="282"/>
      <c r="BB487" s="282"/>
      <c r="BC487" s="282"/>
      <c r="BD487" s="282"/>
      <c r="BE487" s="282"/>
      <c r="BF487" s="282"/>
      <c r="BG487" s="282"/>
      <c r="BH487" s="282"/>
      <c r="BI487" s="282"/>
      <c r="BJ487" s="282"/>
      <c r="BK487" s="282"/>
      <c r="BL487" s="282"/>
      <c r="BM487" s="282"/>
      <c r="BN487" s="282"/>
      <c r="BO487" s="282"/>
      <c r="BP487" s="282"/>
      <c r="BQ487" s="282"/>
      <c r="BR487" s="282"/>
      <c r="BS487" s="282"/>
      <c r="BT487" s="282"/>
      <c r="BU487" s="283"/>
      <c r="BV487" s="283"/>
      <c r="BW487" s="283"/>
      <c r="BX487" s="283"/>
      <c r="BY487" s="283"/>
      <c r="BZ487" s="283"/>
      <c r="CA487" s="283"/>
      <c r="CB487" s="283"/>
      <c r="CC487" s="283"/>
      <c r="CD487" s="283"/>
      <c r="CE487" s="283"/>
      <c r="CF487" s="283"/>
      <c r="CG487" s="283"/>
      <c r="CH487" s="283"/>
      <c r="CI487" s="283"/>
      <c r="CJ487" s="283"/>
      <c r="CK487" s="283"/>
      <c r="CL487" s="283"/>
    </row>
    <row r="488" spans="1:90" ht="14.25" customHeight="1" x14ac:dyDescent="0.2">
      <c r="A488" s="28"/>
      <c r="B488" s="28"/>
      <c r="C488" s="28"/>
      <c r="D488" s="282"/>
      <c r="E488" s="282"/>
      <c r="F488" s="282"/>
      <c r="G488" s="282"/>
      <c r="H488" s="282"/>
      <c r="I488" s="282"/>
      <c r="J488" s="282"/>
      <c r="K488" s="282"/>
      <c r="L488" s="282"/>
      <c r="M488" s="282"/>
      <c r="N488" s="282"/>
      <c r="O488" s="282"/>
      <c r="P488" s="282"/>
      <c r="Q488" s="282"/>
      <c r="R488" s="282"/>
      <c r="S488" s="282"/>
      <c r="T488" s="282"/>
      <c r="U488" s="282"/>
      <c r="V488" s="282"/>
      <c r="W488" s="282"/>
      <c r="X488" s="282"/>
      <c r="Y488" s="282"/>
      <c r="Z488" s="282"/>
      <c r="AA488" s="282"/>
      <c r="AB488" s="282"/>
      <c r="AC488" s="282"/>
      <c r="AD488" s="282"/>
      <c r="AE488" s="282"/>
      <c r="AF488" s="282"/>
      <c r="AG488" s="282"/>
      <c r="AH488" s="282"/>
      <c r="AI488" s="282"/>
      <c r="AJ488" s="282"/>
      <c r="AK488" s="282"/>
      <c r="AL488" s="282"/>
      <c r="AM488" s="282"/>
      <c r="AN488" s="282"/>
      <c r="AO488" s="282"/>
      <c r="AP488" s="282"/>
      <c r="AQ488" s="282"/>
      <c r="AR488" s="282"/>
      <c r="AS488" s="282"/>
      <c r="AT488" s="282"/>
      <c r="AU488" s="282"/>
      <c r="AV488" s="282"/>
      <c r="AW488" s="282"/>
      <c r="AX488" s="282"/>
      <c r="AY488" s="282"/>
      <c r="AZ488" s="282"/>
      <c r="BA488" s="282"/>
      <c r="BB488" s="282"/>
      <c r="BC488" s="282"/>
      <c r="BD488" s="282"/>
      <c r="BE488" s="282"/>
      <c r="BF488" s="282"/>
      <c r="BG488" s="282"/>
      <c r="BH488" s="282"/>
      <c r="BI488" s="282"/>
      <c r="BJ488" s="282"/>
      <c r="BK488" s="282"/>
      <c r="BL488" s="282"/>
      <c r="BM488" s="282"/>
      <c r="BN488" s="282"/>
      <c r="BO488" s="282"/>
      <c r="BP488" s="282"/>
      <c r="BQ488" s="282"/>
      <c r="BR488" s="282"/>
      <c r="BS488" s="282"/>
      <c r="BT488" s="282"/>
      <c r="BU488" s="283"/>
      <c r="BV488" s="283"/>
      <c r="BW488" s="283"/>
      <c r="BX488" s="283"/>
      <c r="BY488" s="283"/>
      <c r="BZ488" s="283"/>
      <c r="CA488" s="283"/>
      <c r="CB488" s="283"/>
      <c r="CC488" s="283"/>
      <c r="CD488" s="283"/>
      <c r="CE488" s="283"/>
      <c r="CF488" s="283"/>
      <c r="CG488" s="283"/>
      <c r="CH488" s="283"/>
      <c r="CI488" s="283"/>
      <c r="CJ488" s="283"/>
      <c r="CK488" s="283"/>
      <c r="CL488" s="283"/>
    </row>
    <row r="489" spans="1:90" ht="14.25" customHeight="1" x14ac:dyDescent="0.2">
      <c r="A489" s="28"/>
      <c r="B489" s="28"/>
      <c r="C489" s="28"/>
      <c r="D489" s="282"/>
      <c r="E489" s="282"/>
      <c r="F489" s="282"/>
      <c r="G489" s="282"/>
      <c r="H489" s="282"/>
      <c r="I489" s="282"/>
      <c r="J489" s="282"/>
      <c r="K489" s="282"/>
      <c r="L489" s="282"/>
      <c r="M489" s="282"/>
      <c r="N489" s="282"/>
      <c r="O489" s="282"/>
      <c r="P489" s="282"/>
      <c r="Q489" s="282"/>
      <c r="R489" s="282"/>
      <c r="S489" s="282"/>
      <c r="T489" s="282"/>
      <c r="U489" s="282"/>
      <c r="V489" s="282"/>
      <c r="W489" s="282"/>
      <c r="X489" s="282"/>
      <c r="Y489" s="282"/>
      <c r="Z489" s="282"/>
      <c r="AA489" s="282"/>
      <c r="AB489" s="282"/>
      <c r="AC489" s="282"/>
      <c r="AD489" s="282"/>
      <c r="AE489" s="282"/>
      <c r="AF489" s="282"/>
      <c r="AG489" s="282"/>
      <c r="AH489" s="282"/>
      <c r="AI489" s="282"/>
      <c r="AJ489" s="282"/>
      <c r="AK489" s="282"/>
      <c r="AL489" s="282"/>
      <c r="AM489" s="282"/>
      <c r="AN489" s="282"/>
      <c r="AO489" s="282"/>
      <c r="AP489" s="282"/>
      <c r="AQ489" s="282"/>
      <c r="AR489" s="282"/>
      <c r="AS489" s="282"/>
      <c r="AT489" s="282"/>
      <c r="AU489" s="282"/>
      <c r="AV489" s="282"/>
      <c r="AW489" s="282"/>
      <c r="AX489" s="282"/>
      <c r="AY489" s="282"/>
      <c r="AZ489" s="282"/>
      <c r="BA489" s="282"/>
      <c r="BB489" s="282"/>
      <c r="BC489" s="282"/>
      <c r="BD489" s="282"/>
      <c r="BE489" s="282"/>
      <c r="BF489" s="282"/>
      <c r="BG489" s="282"/>
      <c r="BH489" s="282"/>
      <c r="BI489" s="282"/>
      <c r="BJ489" s="282"/>
      <c r="BK489" s="282"/>
      <c r="BL489" s="282"/>
      <c r="BM489" s="282"/>
      <c r="BN489" s="282"/>
      <c r="BO489" s="282"/>
      <c r="BP489" s="282"/>
      <c r="BQ489" s="282"/>
      <c r="BR489" s="282"/>
      <c r="BS489" s="282"/>
      <c r="BT489" s="282"/>
      <c r="BU489" s="283"/>
      <c r="BV489" s="283"/>
      <c r="BW489" s="283"/>
      <c r="BX489" s="283"/>
      <c r="BY489" s="283"/>
      <c r="BZ489" s="283"/>
      <c r="CA489" s="283"/>
      <c r="CB489" s="283"/>
      <c r="CC489" s="283"/>
      <c r="CD489" s="283"/>
      <c r="CE489" s="283"/>
      <c r="CF489" s="283"/>
      <c r="CG489" s="283"/>
      <c r="CH489" s="283"/>
      <c r="CI489" s="283"/>
      <c r="CJ489" s="283"/>
      <c r="CK489" s="283"/>
      <c r="CL489" s="283"/>
    </row>
    <row r="490" spans="1:90" ht="14.25" customHeight="1" x14ac:dyDescent="0.2">
      <c r="A490" s="28"/>
      <c r="B490" s="28"/>
      <c r="C490" s="28"/>
      <c r="D490" s="282"/>
      <c r="E490" s="282"/>
      <c r="F490" s="282"/>
      <c r="G490" s="282"/>
      <c r="H490" s="282"/>
      <c r="I490" s="282"/>
      <c r="J490" s="282"/>
      <c r="K490" s="282"/>
      <c r="L490" s="282"/>
      <c r="M490" s="282"/>
      <c r="N490" s="282"/>
      <c r="O490" s="282"/>
      <c r="P490" s="282"/>
      <c r="Q490" s="282"/>
      <c r="R490" s="282"/>
      <c r="S490" s="282"/>
      <c r="T490" s="282"/>
      <c r="U490" s="282"/>
      <c r="V490" s="282"/>
      <c r="W490" s="282"/>
      <c r="X490" s="282"/>
      <c r="Y490" s="282"/>
      <c r="Z490" s="282"/>
      <c r="AA490" s="282"/>
      <c r="AB490" s="282"/>
      <c r="AC490" s="282"/>
      <c r="AD490" s="282"/>
      <c r="AE490" s="282"/>
      <c r="AF490" s="282"/>
      <c r="AG490" s="282"/>
      <c r="AH490" s="282"/>
      <c r="AI490" s="282"/>
      <c r="AJ490" s="282"/>
      <c r="AK490" s="282"/>
      <c r="AL490" s="282"/>
      <c r="AM490" s="282"/>
      <c r="AN490" s="282"/>
      <c r="AO490" s="282"/>
      <c r="AP490" s="282"/>
      <c r="AQ490" s="282"/>
      <c r="AR490" s="282"/>
      <c r="AS490" s="282"/>
      <c r="AT490" s="282"/>
      <c r="AU490" s="282"/>
      <c r="AV490" s="282"/>
      <c r="AW490" s="282"/>
      <c r="AX490" s="282"/>
      <c r="AY490" s="282"/>
      <c r="AZ490" s="282"/>
      <c r="BA490" s="282"/>
      <c r="BB490" s="282"/>
      <c r="BC490" s="282"/>
      <c r="BD490" s="282"/>
      <c r="BE490" s="282"/>
      <c r="BF490" s="282"/>
      <c r="BG490" s="282"/>
      <c r="BH490" s="282"/>
      <c r="BI490" s="282"/>
      <c r="BJ490" s="282"/>
      <c r="BK490" s="282"/>
      <c r="BL490" s="282"/>
      <c r="BM490" s="282"/>
      <c r="BN490" s="282"/>
      <c r="BO490" s="282"/>
      <c r="BP490" s="282"/>
      <c r="BQ490" s="282"/>
      <c r="BR490" s="282"/>
      <c r="BS490" s="282"/>
      <c r="BT490" s="282"/>
      <c r="BU490" s="283"/>
      <c r="BV490" s="283"/>
      <c r="BW490" s="283"/>
      <c r="BX490" s="283"/>
      <c r="BY490" s="283"/>
      <c r="BZ490" s="283"/>
      <c r="CA490" s="283"/>
      <c r="CB490" s="283"/>
      <c r="CC490" s="283"/>
      <c r="CD490" s="283"/>
      <c r="CE490" s="283"/>
      <c r="CF490" s="283"/>
      <c r="CG490" s="283"/>
      <c r="CH490" s="283"/>
      <c r="CI490" s="283"/>
      <c r="CJ490" s="283"/>
      <c r="CK490" s="283"/>
      <c r="CL490" s="283"/>
    </row>
    <row r="491" spans="1:90" ht="14.25" customHeight="1" x14ac:dyDescent="0.2">
      <c r="A491" s="28"/>
      <c r="B491" s="28"/>
      <c r="C491" s="28"/>
      <c r="D491" s="282"/>
      <c r="E491" s="282"/>
      <c r="F491" s="282"/>
      <c r="G491" s="282"/>
      <c r="H491" s="282"/>
      <c r="I491" s="282"/>
      <c r="J491" s="282"/>
      <c r="K491" s="282"/>
      <c r="L491" s="282"/>
      <c r="M491" s="282"/>
      <c r="N491" s="282"/>
      <c r="O491" s="282"/>
      <c r="P491" s="282"/>
      <c r="Q491" s="282"/>
      <c r="R491" s="282"/>
      <c r="S491" s="282"/>
      <c r="T491" s="282"/>
      <c r="U491" s="282"/>
      <c r="V491" s="282"/>
      <c r="W491" s="282"/>
      <c r="X491" s="282"/>
      <c r="Y491" s="282"/>
      <c r="Z491" s="282"/>
      <c r="AA491" s="282"/>
      <c r="AB491" s="282"/>
      <c r="AC491" s="282"/>
      <c r="AD491" s="282"/>
      <c r="AE491" s="282"/>
      <c r="AF491" s="282"/>
      <c r="AG491" s="282"/>
      <c r="AH491" s="282"/>
      <c r="AI491" s="282"/>
      <c r="AJ491" s="282"/>
      <c r="AK491" s="282"/>
      <c r="AL491" s="282"/>
      <c r="AM491" s="282"/>
      <c r="AN491" s="282"/>
      <c r="AO491" s="282"/>
      <c r="AP491" s="282"/>
      <c r="AQ491" s="282"/>
      <c r="AR491" s="282"/>
      <c r="AS491" s="282"/>
      <c r="AT491" s="282"/>
      <c r="AU491" s="282"/>
      <c r="AV491" s="282"/>
      <c r="AW491" s="282"/>
      <c r="AX491" s="282"/>
      <c r="AY491" s="282"/>
      <c r="AZ491" s="282"/>
      <c r="BA491" s="282"/>
      <c r="BB491" s="282"/>
      <c r="BC491" s="282"/>
      <c r="BD491" s="282"/>
      <c r="BE491" s="282"/>
      <c r="BF491" s="282"/>
      <c r="BG491" s="282"/>
      <c r="BH491" s="282"/>
      <c r="BI491" s="282"/>
      <c r="BJ491" s="282"/>
      <c r="BK491" s="282"/>
      <c r="BL491" s="282"/>
      <c r="BM491" s="282"/>
      <c r="BN491" s="282"/>
      <c r="BO491" s="282"/>
      <c r="BP491" s="282"/>
      <c r="BQ491" s="282"/>
      <c r="BR491" s="282"/>
      <c r="BS491" s="282"/>
      <c r="BT491" s="282"/>
      <c r="BU491" s="283"/>
      <c r="BV491" s="283"/>
      <c r="BW491" s="283"/>
      <c r="BX491" s="283"/>
      <c r="BY491" s="283"/>
      <c r="BZ491" s="283"/>
      <c r="CA491" s="283"/>
      <c r="CB491" s="283"/>
      <c r="CC491" s="283"/>
      <c r="CD491" s="283"/>
      <c r="CE491" s="283"/>
      <c r="CF491" s="283"/>
      <c r="CG491" s="283"/>
      <c r="CH491" s="283"/>
      <c r="CI491" s="283"/>
      <c r="CJ491" s="283"/>
      <c r="CK491" s="283"/>
      <c r="CL491" s="283"/>
    </row>
    <row r="492" spans="1:90" ht="14.25" customHeight="1" x14ac:dyDescent="0.2">
      <c r="A492" s="28"/>
      <c r="B492" s="28"/>
      <c r="C492" s="28"/>
      <c r="D492" s="282"/>
      <c r="E492" s="282"/>
      <c r="F492" s="282"/>
      <c r="G492" s="282"/>
      <c r="H492" s="282"/>
      <c r="I492" s="282"/>
      <c r="J492" s="282"/>
      <c r="K492" s="282"/>
      <c r="L492" s="282"/>
      <c r="M492" s="282"/>
      <c r="N492" s="282"/>
      <c r="O492" s="282"/>
      <c r="P492" s="282"/>
      <c r="Q492" s="282"/>
      <c r="R492" s="282"/>
      <c r="S492" s="282"/>
      <c r="T492" s="282"/>
      <c r="U492" s="282"/>
      <c r="V492" s="282"/>
      <c r="W492" s="282"/>
      <c r="X492" s="282"/>
      <c r="Y492" s="282"/>
      <c r="Z492" s="282"/>
      <c r="AA492" s="282"/>
      <c r="AB492" s="282"/>
      <c r="AC492" s="282"/>
      <c r="AD492" s="282"/>
      <c r="AE492" s="282"/>
      <c r="AF492" s="282"/>
      <c r="AG492" s="282"/>
      <c r="AH492" s="282"/>
      <c r="AI492" s="282"/>
      <c r="AJ492" s="282"/>
      <c r="AK492" s="282"/>
      <c r="AL492" s="282"/>
      <c r="AM492" s="282"/>
      <c r="AN492" s="282"/>
      <c r="AO492" s="282"/>
      <c r="AP492" s="282"/>
      <c r="AQ492" s="282"/>
      <c r="AR492" s="282"/>
      <c r="AS492" s="282"/>
      <c r="AT492" s="282"/>
      <c r="AU492" s="282"/>
      <c r="AV492" s="282"/>
      <c r="AW492" s="282"/>
      <c r="AX492" s="282"/>
      <c r="AY492" s="282"/>
      <c r="AZ492" s="282"/>
      <c r="BA492" s="282"/>
      <c r="BB492" s="282"/>
      <c r="BC492" s="282"/>
      <c r="BD492" s="282"/>
      <c r="BE492" s="282"/>
      <c r="BF492" s="282"/>
      <c r="BG492" s="282"/>
      <c r="BH492" s="282"/>
      <c r="BI492" s="282"/>
      <c r="BJ492" s="282"/>
      <c r="BK492" s="282"/>
      <c r="BL492" s="282"/>
      <c r="BM492" s="282"/>
      <c r="BN492" s="282"/>
      <c r="BO492" s="282"/>
      <c r="BP492" s="282"/>
      <c r="BQ492" s="282"/>
      <c r="BR492" s="282"/>
      <c r="BS492" s="282"/>
      <c r="BT492" s="282"/>
      <c r="BU492" s="283"/>
      <c r="BV492" s="283"/>
      <c r="BW492" s="283"/>
      <c r="BX492" s="283"/>
      <c r="BY492" s="283"/>
      <c r="BZ492" s="283"/>
      <c r="CA492" s="283"/>
      <c r="CB492" s="283"/>
      <c r="CC492" s="283"/>
      <c r="CD492" s="283"/>
      <c r="CE492" s="283"/>
      <c r="CF492" s="283"/>
      <c r="CG492" s="283"/>
      <c r="CH492" s="283"/>
      <c r="CI492" s="283"/>
      <c r="CJ492" s="283"/>
      <c r="CK492" s="283"/>
      <c r="CL492" s="283"/>
    </row>
    <row r="493" spans="1:90" ht="14.25" customHeight="1" x14ac:dyDescent="0.2">
      <c r="A493" s="28"/>
      <c r="B493" s="28"/>
      <c r="C493" s="28"/>
      <c r="D493" s="282"/>
      <c r="E493" s="282"/>
      <c r="F493" s="282"/>
      <c r="G493" s="282"/>
      <c r="H493" s="282"/>
      <c r="I493" s="282"/>
      <c r="J493" s="282"/>
      <c r="K493" s="282"/>
      <c r="L493" s="282"/>
      <c r="M493" s="282"/>
      <c r="N493" s="282"/>
      <c r="O493" s="282"/>
      <c r="P493" s="282"/>
      <c r="Q493" s="282"/>
      <c r="R493" s="282"/>
      <c r="S493" s="282"/>
      <c r="T493" s="282"/>
      <c r="U493" s="282"/>
      <c r="V493" s="282"/>
      <c r="W493" s="282"/>
      <c r="X493" s="282"/>
      <c r="Y493" s="282"/>
      <c r="Z493" s="282"/>
      <c r="AA493" s="282"/>
      <c r="AB493" s="282"/>
      <c r="AC493" s="282"/>
      <c r="AD493" s="282"/>
      <c r="AE493" s="282"/>
      <c r="AF493" s="282"/>
      <c r="AG493" s="282"/>
      <c r="AH493" s="282"/>
      <c r="AI493" s="282"/>
      <c r="AJ493" s="282"/>
      <c r="AK493" s="282"/>
      <c r="AL493" s="282"/>
      <c r="AM493" s="282"/>
      <c r="AN493" s="282"/>
      <c r="AO493" s="282"/>
      <c r="AP493" s="282"/>
      <c r="AQ493" s="282"/>
      <c r="AR493" s="282"/>
      <c r="AS493" s="282"/>
      <c r="AT493" s="282"/>
      <c r="AU493" s="282"/>
      <c r="AV493" s="282"/>
      <c r="AW493" s="282"/>
      <c r="AX493" s="282"/>
      <c r="AY493" s="282"/>
      <c r="AZ493" s="282"/>
      <c r="BA493" s="282"/>
      <c r="BB493" s="282"/>
      <c r="BC493" s="282"/>
      <c r="BD493" s="282"/>
      <c r="BE493" s="282"/>
      <c r="BF493" s="282"/>
      <c r="BG493" s="282"/>
      <c r="BH493" s="282"/>
      <c r="BI493" s="282"/>
      <c r="BJ493" s="282"/>
      <c r="BK493" s="282"/>
      <c r="BL493" s="282"/>
      <c r="BM493" s="282"/>
      <c r="BN493" s="282"/>
      <c r="BO493" s="282"/>
      <c r="BP493" s="282"/>
      <c r="BQ493" s="282"/>
      <c r="BR493" s="282"/>
      <c r="BS493" s="282"/>
      <c r="BT493" s="282"/>
      <c r="BU493" s="283"/>
      <c r="BV493" s="283"/>
      <c r="BW493" s="283"/>
      <c r="BX493" s="283"/>
      <c r="BY493" s="283"/>
      <c r="BZ493" s="283"/>
      <c r="CA493" s="283"/>
      <c r="CB493" s="283"/>
      <c r="CC493" s="283"/>
      <c r="CD493" s="283"/>
      <c r="CE493" s="283"/>
      <c r="CF493" s="283"/>
      <c r="CG493" s="283"/>
      <c r="CH493" s="283"/>
      <c r="CI493" s="283"/>
      <c r="CJ493" s="283"/>
      <c r="CK493" s="283"/>
      <c r="CL493" s="283"/>
    </row>
    <row r="494" spans="1:90" ht="14.25" customHeight="1" x14ac:dyDescent="0.2">
      <c r="A494" s="28"/>
      <c r="B494" s="28"/>
      <c r="C494" s="28"/>
      <c r="D494" s="282"/>
      <c r="E494" s="282"/>
      <c r="F494" s="282"/>
      <c r="G494" s="282"/>
      <c r="H494" s="282"/>
      <c r="I494" s="282"/>
      <c r="J494" s="282"/>
      <c r="K494" s="282"/>
      <c r="L494" s="282"/>
      <c r="M494" s="282"/>
      <c r="N494" s="282"/>
      <c r="O494" s="282"/>
      <c r="P494" s="282"/>
      <c r="Q494" s="282"/>
      <c r="R494" s="282"/>
      <c r="S494" s="282"/>
      <c r="T494" s="282"/>
      <c r="U494" s="282"/>
      <c r="V494" s="282"/>
      <c r="W494" s="282"/>
      <c r="X494" s="282"/>
      <c r="Y494" s="282"/>
      <c r="Z494" s="282"/>
      <c r="AA494" s="282"/>
      <c r="AB494" s="282"/>
      <c r="AC494" s="282"/>
      <c r="AD494" s="282"/>
      <c r="AE494" s="282"/>
      <c r="AF494" s="282"/>
      <c r="AG494" s="282"/>
      <c r="AH494" s="282"/>
      <c r="AI494" s="282"/>
      <c r="AJ494" s="282"/>
      <c r="AK494" s="282"/>
      <c r="AL494" s="282"/>
      <c r="AM494" s="282"/>
      <c r="AN494" s="282"/>
      <c r="AO494" s="282"/>
      <c r="AP494" s="282"/>
      <c r="AQ494" s="282"/>
      <c r="AR494" s="282"/>
      <c r="AS494" s="282"/>
      <c r="AT494" s="282"/>
      <c r="AU494" s="282"/>
      <c r="AV494" s="282"/>
      <c r="AW494" s="282"/>
      <c r="AX494" s="282"/>
      <c r="AY494" s="282"/>
      <c r="AZ494" s="282"/>
      <c r="BA494" s="282"/>
      <c r="BB494" s="282"/>
      <c r="BC494" s="282"/>
      <c r="BD494" s="282"/>
      <c r="BE494" s="282"/>
      <c r="BF494" s="282"/>
      <c r="BG494" s="282"/>
      <c r="BH494" s="282"/>
      <c r="BI494" s="282"/>
      <c r="BJ494" s="282"/>
      <c r="BK494" s="282"/>
      <c r="BL494" s="282"/>
      <c r="BM494" s="282"/>
      <c r="BN494" s="282"/>
      <c r="BO494" s="282"/>
      <c r="BP494" s="282"/>
      <c r="BQ494" s="282"/>
      <c r="BR494" s="282"/>
      <c r="BS494" s="282"/>
      <c r="BT494" s="282"/>
      <c r="BU494" s="283"/>
      <c r="BV494" s="283"/>
      <c r="BW494" s="283"/>
      <c r="BX494" s="283"/>
      <c r="BY494" s="283"/>
      <c r="BZ494" s="283"/>
      <c r="CA494" s="283"/>
      <c r="CB494" s="283"/>
      <c r="CC494" s="283"/>
      <c r="CD494" s="283"/>
      <c r="CE494" s="283"/>
      <c r="CF494" s="283"/>
      <c r="CG494" s="283"/>
      <c r="CH494" s="283"/>
      <c r="CI494" s="283"/>
      <c r="CJ494" s="283"/>
      <c r="CK494" s="283"/>
      <c r="CL494" s="283"/>
    </row>
    <row r="495" spans="1:90" ht="14.25" customHeight="1" x14ac:dyDescent="0.2">
      <c r="A495" s="28"/>
      <c r="B495" s="28"/>
      <c r="C495" s="28"/>
      <c r="D495" s="282"/>
      <c r="E495" s="282"/>
      <c r="F495" s="282"/>
      <c r="G495" s="282"/>
      <c r="H495" s="282"/>
      <c r="I495" s="282"/>
      <c r="J495" s="282"/>
      <c r="K495" s="282"/>
      <c r="L495" s="282"/>
      <c r="M495" s="282"/>
      <c r="N495" s="282"/>
      <c r="O495" s="282"/>
      <c r="P495" s="282"/>
      <c r="Q495" s="282"/>
      <c r="R495" s="282"/>
      <c r="S495" s="282"/>
      <c r="T495" s="282"/>
      <c r="U495" s="282"/>
      <c r="V495" s="282"/>
      <c r="W495" s="282"/>
      <c r="X495" s="282"/>
      <c r="Y495" s="282"/>
      <c r="Z495" s="282"/>
      <c r="AA495" s="282"/>
      <c r="AB495" s="282"/>
      <c r="AC495" s="282"/>
      <c r="AD495" s="282"/>
      <c r="AE495" s="282"/>
      <c r="AF495" s="282"/>
      <c r="AG495" s="282"/>
      <c r="AH495" s="282"/>
      <c r="AI495" s="282"/>
      <c r="AJ495" s="282"/>
      <c r="AK495" s="282"/>
      <c r="AL495" s="282"/>
      <c r="AM495" s="282"/>
      <c r="AN495" s="282"/>
      <c r="AO495" s="282"/>
      <c r="AP495" s="282"/>
      <c r="AQ495" s="282"/>
      <c r="AR495" s="282"/>
      <c r="AS495" s="282"/>
      <c r="AT495" s="282"/>
      <c r="AU495" s="282"/>
      <c r="AV495" s="282"/>
      <c r="AW495" s="282"/>
      <c r="AX495" s="282"/>
      <c r="AY495" s="282"/>
      <c r="AZ495" s="282"/>
      <c r="BA495" s="282"/>
      <c r="BB495" s="282"/>
      <c r="BC495" s="282"/>
      <c r="BD495" s="282"/>
      <c r="BE495" s="282"/>
      <c r="BF495" s="282"/>
      <c r="BG495" s="282"/>
      <c r="BH495" s="282"/>
      <c r="BI495" s="282"/>
      <c r="BJ495" s="282"/>
      <c r="BK495" s="282"/>
      <c r="BL495" s="282"/>
      <c r="BM495" s="282"/>
      <c r="BN495" s="282"/>
      <c r="BO495" s="282"/>
      <c r="BP495" s="282"/>
      <c r="BQ495" s="282"/>
      <c r="BR495" s="282"/>
      <c r="BS495" s="282"/>
      <c r="BT495" s="282"/>
      <c r="BU495" s="283"/>
      <c r="BV495" s="283"/>
      <c r="BW495" s="283"/>
      <c r="BX495" s="283"/>
      <c r="BY495" s="283"/>
      <c r="BZ495" s="283"/>
      <c r="CA495" s="283"/>
      <c r="CB495" s="283"/>
      <c r="CC495" s="283"/>
      <c r="CD495" s="283"/>
      <c r="CE495" s="283"/>
      <c r="CF495" s="283"/>
      <c r="CG495" s="283"/>
      <c r="CH495" s="283"/>
      <c r="CI495" s="283"/>
      <c r="CJ495" s="283"/>
      <c r="CK495" s="283"/>
      <c r="CL495" s="283"/>
    </row>
    <row r="496" spans="1:90" ht="14.25" customHeight="1" x14ac:dyDescent="0.2">
      <c r="A496" s="28"/>
      <c r="B496" s="28"/>
      <c r="C496" s="28"/>
      <c r="D496" s="282"/>
      <c r="E496" s="282"/>
      <c r="F496" s="282"/>
      <c r="G496" s="282"/>
      <c r="H496" s="282"/>
      <c r="I496" s="282"/>
      <c r="J496" s="282"/>
      <c r="K496" s="282"/>
      <c r="L496" s="282"/>
      <c r="M496" s="282"/>
      <c r="N496" s="282"/>
      <c r="O496" s="282"/>
      <c r="P496" s="282"/>
      <c r="Q496" s="282"/>
      <c r="R496" s="282"/>
      <c r="S496" s="282"/>
      <c r="T496" s="282"/>
      <c r="U496" s="282"/>
      <c r="V496" s="282"/>
      <c r="W496" s="282"/>
      <c r="X496" s="282"/>
      <c r="Y496" s="282"/>
      <c r="Z496" s="282"/>
      <c r="AA496" s="282"/>
      <c r="AB496" s="282"/>
      <c r="AC496" s="282"/>
      <c r="AD496" s="282"/>
      <c r="AE496" s="282"/>
      <c r="AF496" s="282"/>
      <c r="AG496" s="282"/>
      <c r="AH496" s="282"/>
      <c r="AI496" s="282"/>
      <c r="AJ496" s="282"/>
      <c r="AK496" s="282"/>
      <c r="AL496" s="282"/>
      <c r="AM496" s="282"/>
      <c r="AN496" s="282"/>
      <c r="AO496" s="282"/>
      <c r="AP496" s="282"/>
      <c r="AQ496" s="282"/>
      <c r="AR496" s="282"/>
      <c r="AS496" s="282"/>
      <c r="AT496" s="282"/>
      <c r="AU496" s="282"/>
      <c r="AV496" s="282"/>
      <c r="AW496" s="282"/>
      <c r="AX496" s="282"/>
      <c r="AY496" s="282"/>
      <c r="AZ496" s="282"/>
      <c r="BA496" s="282"/>
      <c r="BB496" s="282"/>
      <c r="BC496" s="282"/>
      <c r="BD496" s="282"/>
      <c r="BE496" s="282"/>
      <c r="BF496" s="282"/>
      <c r="BG496" s="282"/>
      <c r="BH496" s="282"/>
      <c r="BI496" s="282"/>
      <c r="BJ496" s="282"/>
      <c r="BK496" s="282"/>
      <c r="BL496" s="282"/>
      <c r="BM496" s="282"/>
      <c r="BN496" s="282"/>
      <c r="BO496" s="282"/>
      <c r="BP496" s="282"/>
      <c r="BQ496" s="282"/>
      <c r="BR496" s="282"/>
      <c r="BS496" s="282"/>
      <c r="BT496" s="282"/>
      <c r="BU496" s="283"/>
      <c r="BV496" s="283"/>
      <c r="BW496" s="283"/>
      <c r="BX496" s="283"/>
      <c r="BY496" s="283"/>
      <c r="BZ496" s="283"/>
      <c r="CA496" s="283"/>
      <c r="CB496" s="283"/>
      <c r="CC496" s="283"/>
      <c r="CD496" s="283"/>
      <c r="CE496" s="283"/>
      <c r="CF496" s="283"/>
      <c r="CG496" s="283"/>
      <c r="CH496" s="283"/>
      <c r="CI496" s="283"/>
      <c r="CJ496" s="283"/>
      <c r="CK496" s="283"/>
      <c r="CL496" s="283"/>
    </row>
    <row r="497" spans="1:90" ht="14.25" customHeight="1" x14ac:dyDescent="0.2">
      <c r="A497" s="28"/>
      <c r="B497" s="28"/>
      <c r="C497" s="28"/>
      <c r="D497" s="282"/>
      <c r="E497" s="282"/>
      <c r="F497" s="282"/>
      <c r="G497" s="282"/>
      <c r="H497" s="282"/>
      <c r="I497" s="282"/>
      <c r="J497" s="282"/>
      <c r="K497" s="282"/>
      <c r="L497" s="282"/>
      <c r="M497" s="282"/>
      <c r="N497" s="282"/>
      <c r="O497" s="282"/>
      <c r="P497" s="282"/>
      <c r="Q497" s="282"/>
      <c r="R497" s="282"/>
      <c r="S497" s="282"/>
      <c r="T497" s="282"/>
      <c r="U497" s="282"/>
      <c r="V497" s="282"/>
      <c r="W497" s="282"/>
      <c r="X497" s="282"/>
      <c r="Y497" s="282"/>
      <c r="Z497" s="282"/>
      <c r="AA497" s="282"/>
      <c r="AB497" s="282"/>
      <c r="AC497" s="282"/>
      <c r="AD497" s="282"/>
      <c r="AE497" s="282"/>
      <c r="AF497" s="282"/>
      <c r="AG497" s="282"/>
      <c r="AH497" s="282"/>
      <c r="AI497" s="282"/>
      <c r="AJ497" s="282"/>
      <c r="AK497" s="282"/>
      <c r="AL497" s="282"/>
      <c r="AM497" s="282"/>
      <c r="AN497" s="282"/>
      <c r="AO497" s="282"/>
      <c r="AP497" s="282"/>
      <c r="AQ497" s="282"/>
      <c r="AR497" s="282"/>
      <c r="AS497" s="282"/>
      <c r="AT497" s="282"/>
      <c r="AU497" s="282"/>
      <c r="AV497" s="282"/>
      <c r="AW497" s="282"/>
      <c r="AX497" s="282"/>
      <c r="AY497" s="282"/>
      <c r="AZ497" s="282"/>
      <c r="BA497" s="282"/>
      <c r="BB497" s="282"/>
      <c r="BC497" s="282"/>
      <c r="BD497" s="282"/>
      <c r="BE497" s="282"/>
      <c r="BF497" s="282"/>
      <c r="BG497" s="282"/>
      <c r="BH497" s="282"/>
      <c r="BI497" s="282"/>
      <c r="BJ497" s="282"/>
      <c r="BK497" s="282"/>
      <c r="BL497" s="282"/>
      <c r="BM497" s="282"/>
      <c r="BN497" s="282"/>
      <c r="BO497" s="282"/>
      <c r="BP497" s="282"/>
      <c r="BQ497" s="282"/>
      <c r="BR497" s="282"/>
      <c r="BS497" s="282"/>
      <c r="BT497" s="282"/>
      <c r="BU497" s="283"/>
      <c r="BV497" s="283"/>
      <c r="BW497" s="283"/>
      <c r="BX497" s="283"/>
      <c r="BY497" s="283"/>
      <c r="BZ497" s="283"/>
      <c r="CA497" s="283"/>
      <c r="CB497" s="283"/>
      <c r="CC497" s="283"/>
      <c r="CD497" s="283"/>
      <c r="CE497" s="283"/>
      <c r="CF497" s="283"/>
      <c r="CG497" s="283"/>
      <c r="CH497" s="283"/>
      <c r="CI497" s="283"/>
      <c r="CJ497" s="283"/>
      <c r="CK497" s="283"/>
      <c r="CL497" s="283"/>
    </row>
    <row r="498" spans="1:90" ht="14.25" customHeight="1" x14ac:dyDescent="0.2">
      <c r="A498" s="28"/>
      <c r="B498" s="28"/>
      <c r="C498" s="28"/>
      <c r="D498" s="282"/>
      <c r="E498" s="282"/>
      <c r="F498" s="282"/>
      <c r="G498" s="282"/>
      <c r="H498" s="282"/>
      <c r="I498" s="282"/>
      <c r="J498" s="282"/>
      <c r="K498" s="282"/>
      <c r="L498" s="282"/>
      <c r="M498" s="282"/>
      <c r="N498" s="282"/>
      <c r="O498" s="282"/>
      <c r="P498" s="282"/>
      <c r="Q498" s="282"/>
      <c r="R498" s="282"/>
      <c r="S498" s="282"/>
      <c r="T498" s="282"/>
      <c r="U498" s="282"/>
      <c r="V498" s="282"/>
      <c r="W498" s="282"/>
      <c r="X498" s="282"/>
      <c r="Y498" s="282"/>
      <c r="Z498" s="282"/>
      <c r="AA498" s="282"/>
      <c r="AB498" s="282"/>
      <c r="AC498" s="282"/>
      <c r="AD498" s="282"/>
      <c r="AE498" s="282"/>
      <c r="AF498" s="282"/>
      <c r="AG498" s="282"/>
      <c r="AH498" s="282"/>
      <c r="AI498" s="282"/>
      <c r="AJ498" s="282"/>
      <c r="AK498" s="282"/>
      <c r="AL498" s="282"/>
      <c r="AM498" s="282"/>
      <c r="AN498" s="282"/>
      <c r="AO498" s="282"/>
      <c r="AP498" s="282"/>
      <c r="AQ498" s="282"/>
      <c r="AR498" s="282"/>
      <c r="AS498" s="282"/>
      <c r="AT498" s="282"/>
      <c r="AU498" s="282"/>
      <c r="AV498" s="282"/>
      <c r="AW498" s="282"/>
      <c r="AX498" s="282"/>
      <c r="AY498" s="282"/>
      <c r="AZ498" s="282"/>
      <c r="BA498" s="282"/>
      <c r="BB498" s="282"/>
      <c r="BC498" s="282"/>
      <c r="BD498" s="282"/>
      <c r="BE498" s="282"/>
      <c r="BF498" s="282"/>
      <c r="BG498" s="282"/>
      <c r="BH498" s="282"/>
      <c r="BI498" s="282"/>
      <c r="BJ498" s="282"/>
      <c r="BK498" s="282"/>
      <c r="BL498" s="282"/>
      <c r="BM498" s="282"/>
      <c r="BN498" s="282"/>
      <c r="BO498" s="282"/>
      <c r="BP498" s="282"/>
      <c r="BQ498" s="282"/>
      <c r="BR498" s="282"/>
      <c r="BS498" s="282"/>
      <c r="BT498" s="282"/>
      <c r="BU498" s="283"/>
      <c r="BV498" s="283"/>
      <c r="BW498" s="283"/>
      <c r="BX498" s="283"/>
      <c r="BY498" s="283"/>
      <c r="BZ498" s="283"/>
      <c r="CA498" s="283"/>
      <c r="CB498" s="283"/>
      <c r="CC498" s="283"/>
      <c r="CD498" s="283"/>
      <c r="CE498" s="283"/>
      <c r="CF498" s="283"/>
      <c r="CG498" s="283"/>
      <c r="CH498" s="283"/>
      <c r="CI498" s="283"/>
      <c r="CJ498" s="283"/>
      <c r="CK498" s="283"/>
      <c r="CL498" s="283"/>
    </row>
    <row r="499" spans="1:90" ht="14.25" customHeight="1" x14ac:dyDescent="0.2">
      <c r="A499" s="28"/>
      <c r="B499" s="28"/>
      <c r="C499" s="28"/>
      <c r="D499" s="282"/>
      <c r="E499" s="282"/>
      <c r="F499" s="282"/>
      <c r="G499" s="282"/>
      <c r="H499" s="282"/>
      <c r="I499" s="282"/>
      <c r="J499" s="282"/>
      <c r="K499" s="282"/>
      <c r="L499" s="282"/>
      <c r="M499" s="282"/>
      <c r="N499" s="282"/>
      <c r="O499" s="282"/>
      <c r="P499" s="282"/>
      <c r="Q499" s="282"/>
      <c r="R499" s="282"/>
      <c r="S499" s="282"/>
      <c r="T499" s="282"/>
      <c r="U499" s="282"/>
      <c r="V499" s="282"/>
      <c r="W499" s="282"/>
      <c r="X499" s="282"/>
      <c r="Y499" s="282"/>
      <c r="Z499" s="282"/>
      <c r="AA499" s="282"/>
      <c r="AB499" s="282"/>
      <c r="AC499" s="282"/>
      <c r="AD499" s="282"/>
      <c r="AE499" s="282"/>
      <c r="AF499" s="282"/>
      <c r="AG499" s="282"/>
      <c r="AH499" s="282"/>
      <c r="AI499" s="282"/>
      <c r="AJ499" s="282"/>
      <c r="AK499" s="282"/>
      <c r="AL499" s="282"/>
      <c r="AM499" s="282"/>
      <c r="AN499" s="282"/>
      <c r="AO499" s="282"/>
      <c r="AP499" s="282"/>
      <c r="AQ499" s="282"/>
      <c r="AR499" s="282"/>
      <c r="AS499" s="282"/>
      <c r="AT499" s="282"/>
      <c r="AU499" s="282"/>
      <c r="AV499" s="282"/>
      <c r="AW499" s="282"/>
      <c r="AX499" s="282"/>
      <c r="AY499" s="282"/>
      <c r="AZ499" s="282"/>
      <c r="BA499" s="282"/>
      <c r="BB499" s="282"/>
      <c r="BC499" s="282"/>
      <c r="BD499" s="282"/>
      <c r="BE499" s="282"/>
      <c r="BF499" s="282"/>
      <c r="BG499" s="282"/>
      <c r="BH499" s="282"/>
      <c r="BI499" s="282"/>
      <c r="BJ499" s="282"/>
      <c r="BK499" s="282"/>
      <c r="BL499" s="282"/>
      <c r="BM499" s="282"/>
      <c r="BN499" s="282"/>
      <c r="BO499" s="282"/>
      <c r="BP499" s="282"/>
      <c r="BQ499" s="282"/>
      <c r="BR499" s="282"/>
      <c r="BS499" s="282"/>
      <c r="BT499" s="282"/>
      <c r="BU499" s="283"/>
      <c r="BV499" s="283"/>
      <c r="BW499" s="283"/>
      <c r="BX499" s="283"/>
      <c r="BY499" s="283"/>
      <c r="BZ499" s="283"/>
      <c r="CA499" s="283"/>
      <c r="CB499" s="283"/>
      <c r="CC499" s="283"/>
      <c r="CD499" s="283"/>
      <c r="CE499" s="283"/>
      <c r="CF499" s="283"/>
      <c r="CG499" s="283"/>
      <c r="CH499" s="283"/>
      <c r="CI499" s="283"/>
      <c r="CJ499" s="283"/>
      <c r="CK499" s="283"/>
      <c r="CL499" s="283"/>
    </row>
    <row r="500" spans="1:90" ht="14.25" customHeight="1" x14ac:dyDescent="0.2">
      <c r="A500" s="28"/>
      <c r="B500" s="28"/>
      <c r="C500" s="28"/>
      <c r="D500" s="282"/>
      <c r="E500" s="282"/>
      <c r="F500" s="282"/>
      <c r="G500" s="282"/>
      <c r="H500" s="282"/>
      <c r="I500" s="282"/>
      <c r="J500" s="282"/>
      <c r="K500" s="282"/>
      <c r="L500" s="282"/>
      <c r="M500" s="282"/>
      <c r="N500" s="282"/>
      <c r="O500" s="282"/>
      <c r="P500" s="282"/>
      <c r="Q500" s="282"/>
      <c r="R500" s="282"/>
      <c r="S500" s="282"/>
      <c r="T500" s="282"/>
      <c r="U500" s="282"/>
      <c r="V500" s="282"/>
      <c r="W500" s="282"/>
      <c r="X500" s="282"/>
      <c r="Y500" s="282"/>
      <c r="Z500" s="282"/>
      <c r="AA500" s="282"/>
      <c r="AB500" s="282"/>
      <c r="AC500" s="282"/>
      <c r="AD500" s="282"/>
      <c r="AE500" s="282"/>
      <c r="AF500" s="282"/>
      <c r="AG500" s="282"/>
      <c r="AH500" s="282"/>
      <c r="AI500" s="282"/>
      <c r="AJ500" s="282"/>
      <c r="AK500" s="282"/>
      <c r="AL500" s="282"/>
      <c r="AM500" s="282"/>
      <c r="AN500" s="282"/>
      <c r="AO500" s="282"/>
      <c r="AP500" s="282"/>
      <c r="AQ500" s="282"/>
      <c r="AR500" s="282"/>
      <c r="AS500" s="282"/>
      <c r="AT500" s="282"/>
      <c r="AU500" s="282"/>
      <c r="AV500" s="282"/>
      <c r="AW500" s="282"/>
      <c r="AX500" s="282"/>
      <c r="AY500" s="282"/>
      <c r="AZ500" s="282"/>
      <c r="BA500" s="282"/>
      <c r="BB500" s="282"/>
      <c r="BC500" s="282"/>
      <c r="BD500" s="282"/>
      <c r="BE500" s="282"/>
      <c r="BF500" s="282"/>
      <c r="BG500" s="282"/>
      <c r="BH500" s="282"/>
      <c r="BI500" s="282"/>
      <c r="BJ500" s="282"/>
      <c r="BK500" s="282"/>
      <c r="BL500" s="282"/>
      <c r="BM500" s="282"/>
      <c r="BN500" s="282"/>
      <c r="BO500" s="282"/>
      <c r="BP500" s="282"/>
      <c r="BQ500" s="282"/>
      <c r="BR500" s="282"/>
      <c r="BS500" s="282"/>
      <c r="BT500" s="282"/>
      <c r="BU500" s="283"/>
      <c r="BV500" s="283"/>
      <c r="BW500" s="283"/>
      <c r="BX500" s="283"/>
      <c r="BY500" s="283"/>
      <c r="BZ500" s="283"/>
      <c r="CA500" s="283"/>
      <c r="CB500" s="283"/>
      <c r="CC500" s="283"/>
      <c r="CD500" s="283"/>
      <c r="CE500" s="283"/>
      <c r="CF500" s="283"/>
      <c r="CG500" s="283"/>
      <c r="CH500" s="283"/>
      <c r="CI500" s="283"/>
      <c r="CJ500" s="283"/>
      <c r="CK500" s="283"/>
      <c r="CL500" s="283"/>
    </row>
    <row r="501" spans="1:90" ht="14.25" customHeight="1" x14ac:dyDescent="0.2">
      <c r="A501" s="28"/>
      <c r="B501" s="28"/>
      <c r="C501" s="28"/>
      <c r="D501" s="282"/>
      <c r="E501" s="282"/>
      <c r="F501" s="282"/>
      <c r="G501" s="282"/>
      <c r="H501" s="282"/>
      <c r="I501" s="282"/>
      <c r="J501" s="282"/>
      <c r="K501" s="282"/>
      <c r="L501" s="282"/>
      <c r="M501" s="282"/>
      <c r="N501" s="282"/>
      <c r="O501" s="282"/>
      <c r="P501" s="282"/>
      <c r="Q501" s="282"/>
      <c r="R501" s="282"/>
      <c r="S501" s="282"/>
      <c r="T501" s="282"/>
      <c r="U501" s="282"/>
      <c r="V501" s="282"/>
      <c r="W501" s="282"/>
      <c r="X501" s="282"/>
      <c r="Y501" s="282"/>
      <c r="Z501" s="282"/>
      <c r="AA501" s="282"/>
      <c r="AB501" s="282"/>
      <c r="AC501" s="282"/>
      <c r="AD501" s="282"/>
      <c r="AE501" s="282"/>
      <c r="AF501" s="282"/>
      <c r="AG501" s="282"/>
      <c r="AH501" s="282"/>
      <c r="AI501" s="282"/>
      <c r="AJ501" s="282"/>
      <c r="AK501" s="282"/>
      <c r="AL501" s="282"/>
      <c r="AM501" s="282"/>
      <c r="AN501" s="282"/>
      <c r="AO501" s="282"/>
      <c r="AP501" s="282"/>
      <c r="AQ501" s="282"/>
      <c r="AR501" s="282"/>
      <c r="AS501" s="282"/>
      <c r="AT501" s="282"/>
      <c r="AU501" s="282"/>
      <c r="AV501" s="282"/>
      <c r="AW501" s="282"/>
      <c r="AX501" s="282"/>
      <c r="AY501" s="282"/>
      <c r="AZ501" s="282"/>
      <c r="BA501" s="282"/>
      <c r="BB501" s="282"/>
      <c r="BC501" s="282"/>
      <c r="BD501" s="282"/>
      <c r="BE501" s="282"/>
      <c r="BF501" s="282"/>
      <c r="BG501" s="282"/>
      <c r="BH501" s="282"/>
      <c r="BI501" s="282"/>
      <c r="BJ501" s="282"/>
      <c r="BK501" s="282"/>
      <c r="BL501" s="282"/>
      <c r="BM501" s="282"/>
      <c r="BN501" s="282"/>
      <c r="BO501" s="282"/>
      <c r="BP501" s="282"/>
      <c r="BQ501" s="282"/>
      <c r="BR501" s="282"/>
      <c r="BS501" s="282"/>
      <c r="BT501" s="282"/>
      <c r="BU501" s="283"/>
      <c r="BV501" s="283"/>
      <c r="BW501" s="283"/>
      <c r="BX501" s="283"/>
      <c r="BY501" s="283"/>
      <c r="BZ501" s="283"/>
      <c r="CA501" s="283"/>
      <c r="CB501" s="283"/>
      <c r="CC501" s="283"/>
      <c r="CD501" s="283"/>
      <c r="CE501" s="283"/>
      <c r="CF501" s="283"/>
      <c r="CG501" s="283"/>
      <c r="CH501" s="283"/>
      <c r="CI501" s="283"/>
      <c r="CJ501" s="283"/>
      <c r="CK501" s="283"/>
      <c r="CL501" s="283"/>
    </row>
    <row r="502" spans="1:90" ht="14.25" customHeight="1" x14ac:dyDescent="0.2">
      <c r="A502" s="28"/>
      <c r="B502" s="28"/>
      <c r="C502" s="28"/>
      <c r="D502" s="282"/>
      <c r="E502" s="282"/>
      <c r="F502" s="282"/>
      <c r="G502" s="282"/>
      <c r="H502" s="282"/>
      <c r="I502" s="282"/>
      <c r="J502" s="282"/>
      <c r="K502" s="282"/>
      <c r="L502" s="282"/>
      <c r="M502" s="282"/>
      <c r="N502" s="282"/>
      <c r="O502" s="282"/>
      <c r="P502" s="282"/>
      <c r="Q502" s="282"/>
      <c r="R502" s="282"/>
      <c r="S502" s="282"/>
      <c r="T502" s="282"/>
      <c r="U502" s="282"/>
      <c r="V502" s="282"/>
      <c r="W502" s="282"/>
      <c r="X502" s="282"/>
      <c r="Y502" s="282"/>
      <c r="Z502" s="282"/>
      <c r="AA502" s="282"/>
      <c r="AB502" s="282"/>
      <c r="AC502" s="282"/>
      <c r="AD502" s="282"/>
      <c r="AE502" s="282"/>
      <c r="AF502" s="282"/>
      <c r="AG502" s="282"/>
      <c r="AH502" s="282"/>
      <c r="AI502" s="282"/>
      <c r="AJ502" s="282"/>
      <c r="AK502" s="282"/>
      <c r="AL502" s="282"/>
      <c r="AM502" s="282"/>
      <c r="AN502" s="282"/>
      <c r="AO502" s="282"/>
      <c r="AP502" s="282"/>
      <c r="AQ502" s="282"/>
      <c r="AR502" s="282"/>
      <c r="AS502" s="282"/>
      <c r="AT502" s="282"/>
      <c r="AU502" s="282"/>
      <c r="AV502" s="282"/>
      <c r="AW502" s="282"/>
      <c r="AX502" s="282"/>
      <c r="AY502" s="282"/>
      <c r="AZ502" s="282"/>
      <c r="BA502" s="282"/>
      <c r="BB502" s="282"/>
      <c r="BC502" s="282"/>
      <c r="BD502" s="282"/>
      <c r="BE502" s="282"/>
      <c r="BF502" s="282"/>
      <c r="BG502" s="282"/>
      <c r="BH502" s="282"/>
      <c r="BI502" s="282"/>
      <c r="BJ502" s="282"/>
      <c r="BK502" s="282"/>
      <c r="BL502" s="282"/>
      <c r="BM502" s="282"/>
      <c r="BN502" s="282"/>
      <c r="BO502" s="282"/>
      <c r="BP502" s="282"/>
      <c r="BQ502" s="282"/>
      <c r="BR502" s="282"/>
      <c r="BS502" s="282"/>
      <c r="BT502" s="282"/>
      <c r="BU502" s="283"/>
      <c r="BV502" s="283"/>
      <c r="BW502" s="283"/>
      <c r="BX502" s="283"/>
      <c r="BY502" s="283"/>
      <c r="BZ502" s="283"/>
      <c r="CA502" s="283"/>
      <c r="CB502" s="283"/>
      <c r="CC502" s="283"/>
      <c r="CD502" s="283"/>
      <c r="CE502" s="283"/>
      <c r="CF502" s="283"/>
      <c r="CG502" s="283"/>
      <c r="CH502" s="283"/>
      <c r="CI502" s="283"/>
      <c r="CJ502" s="283"/>
      <c r="CK502" s="283"/>
      <c r="CL502" s="283"/>
    </row>
    <row r="503" spans="1:90" ht="14.25" customHeight="1" x14ac:dyDescent="0.2">
      <c r="A503" s="28"/>
      <c r="B503" s="28"/>
      <c r="C503" s="28"/>
      <c r="D503" s="282"/>
      <c r="E503" s="282"/>
      <c r="F503" s="282"/>
      <c r="G503" s="282"/>
      <c r="H503" s="282"/>
      <c r="I503" s="282"/>
      <c r="J503" s="282"/>
      <c r="K503" s="282"/>
      <c r="L503" s="282"/>
      <c r="M503" s="282"/>
      <c r="N503" s="282"/>
      <c r="O503" s="282"/>
      <c r="P503" s="282"/>
      <c r="Q503" s="282"/>
      <c r="R503" s="282"/>
      <c r="S503" s="282"/>
      <c r="T503" s="282"/>
      <c r="U503" s="282"/>
      <c r="V503" s="282"/>
      <c r="W503" s="282"/>
      <c r="X503" s="282"/>
      <c r="Y503" s="282"/>
      <c r="Z503" s="282"/>
      <c r="AA503" s="282"/>
      <c r="AB503" s="282"/>
      <c r="AC503" s="282"/>
      <c r="AD503" s="282"/>
      <c r="AE503" s="282"/>
      <c r="AF503" s="282"/>
      <c r="AG503" s="282"/>
      <c r="AH503" s="282"/>
      <c r="AI503" s="282"/>
      <c r="AJ503" s="282"/>
      <c r="AK503" s="282"/>
      <c r="AL503" s="282"/>
      <c r="AM503" s="282"/>
      <c r="AN503" s="282"/>
      <c r="AO503" s="282"/>
      <c r="AP503" s="282"/>
      <c r="AQ503" s="282"/>
      <c r="AR503" s="282"/>
      <c r="AS503" s="282"/>
      <c r="AT503" s="282"/>
      <c r="AU503" s="282"/>
      <c r="AV503" s="282"/>
      <c r="AW503" s="282"/>
      <c r="AX503" s="282"/>
      <c r="AY503" s="282"/>
      <c r="AZ503" s="282"/>
      <c r="BA503" s="282"/>
      <c r="BB503" s="282"/>
      <c r="BC503" s="282"/>
      <c r="BD503" s="282"/>
      <c r="BE503" s="282"/>
      <c r="BF503" s="282"/>
      <c r="BG503" s="282"/>
      <c r="BH503" s="282"/>
      <c r="BI503" s="282"/>
      <c r="BJ503" s="282"/>
      <c r="BK503" s="282"/>
      <c r="BL503" s="282"/>
      <c r="BM503" s="282"/>
      <c r="BN503" s="282"/>
      <c r="BO503" s="282"/>
      <c r="BP503" s="282"/>
      <c r="BQ503" s="282"/>
      <c r="BR503" s="282"/>
      <c r="BS503" s="282"/>
      <c r="BT503" s="282"/>
      <c r="BU503" s="283"/>
      <c r="BV503" s="283"/>
      <c r="BW503" s="283"/>
      <c r="BX503" s="283"/>
      <c r="BY503" s="283"/>
      <c r="BZ503" s="283"/>
      <c r="CA503" s="283"/>
      <c r="CB503" s="283"/>
      <c r="CC503" s="283"/>
      <c r="CD503" s="283"/>
      <c r="CE503" s="283"/>
      <c r="CF503" s="283"/>
      <c r="CG503" s="283"/>
      <c r="CH503" s="283"/>
      <c r="CI503" s="283"/>
      <c r="CJ503" s="283"/>
      <c r="CK503" s="283"/>
      <c r="CL503" s="283"/>
    </row>
    <row r="504" spans="1:90" ht="14.25" customHeight="1" x14ac:dyDescent="0.2">
      <c r="A504" s="28"/>
      <c r="B504" s="28"/>
      <c r="C504" s="28"/>
      <c r="D504" s="282"/>
      <c r="E504" s="282"/>
      <c r="F504" s="282"/>
      <c r="G504" s="282"/>
      <c r="H504" s="282"/>
      <c r="I504" s="282"/>
      <c r="J504" s="282"/>
      <c r="K504" s="282"/>
      <c r="L504" s="282"/>
      <c r="M504" s="282"/>
      <c r="N504" s="282"/>
      <c r="O504" s="282"/>
      <c r="P504" s="282"/>
      <c r="Q504" s="282"/>
      <c r="R504" s="282"/>
      <c r="S504" s="282"/>
      <c r="T504" s="282"/>
      <c r="U504" s="282"/>
      <c r="V504" s="282"/>
      <c r="W504" s="282"/>
      <c r="X504" s="282"/>
      <c r="Y504" s="282"/>
      <c r="Z504" s="282"/>
      <c r="AA504" s="282"/>
      <c r="AB504" s="282"/>
      <c r="AC504" s="282"/>
      <c r="AD504" s="282"/>
      <c r="AE504" s="282"/>
      <c r="AF504" s="282"/>
      <c r="AG504" s="282"/>
      <c r="AH504" s="282"/>
      <c r="AI504" s="282"/>
      <c r="AJ504" s="282"/>
      <c r="AK504" s="282"/>
      <c r="AL504" s="282"/>
      <c r="AM504" s="282"/>
      <c r="AN504" s="282"/>
      <c r="AO504" s="282"/>
      <c r="AP504" s="282"/>
      <c r="AQ504" s="282"/>
      <c r="AR504" s="282"/>
      <c r="AS504" s="282"/>
      <c r="AT504" s="282"/>
      <c r="AU504" s="282"/>
      <c r="AV504" s="282"/>
      <c r="AW504" s="282"/>
      <c r="AX504" s="282"/>
      <c r="AY504" s="282"/>
      <c r="AZ504" s="282"/>
      <c r="BA504" s="282"/>
      <c r="BB504" s="282"/>
      <c r="BC504" s="282"/>
      <c r="BD504" s="282"/>
      <c r="BE504" s="282"/>
      <c r="BF504" s="282"/>
      <c r="BG504" s="282"/>
      <c r="BH504" s="282"/>
      <c r="BI504" s="282"/>
      <c r="BJ504" s="282"/>
      <c r="BK504" s="282"/>
      <c r="BL504" s="282"/>
      <c r="BM504" s="282"/>
      <c r="BN504" s="282"/>
      <c r="BO504" s="282"/>
      <c r="BP504" s="282"/>
      <c r="BQ504" s="282"/>
      <c r="BR504" s="282"/>
      <c r="BS504" s="282"/>
      <c r="BT504" s="282"/>
      <c r="BU504" s="283"/>
      <c r="BV504" s="283"/>
      <c r="BW504" s="283"/>
      <c r="BX504" s="283"/>
      <c r="BY504" s="283"/>
      <c r="BZ504" s="283"/>
      <c r="CA504" s="283"/>
      <c r="CB504" s="283"/>
      <c r="CC504" s="283"/>
      <c r="CD504" s="283"/>
      <c r="CE504" s="283"/>
      <c r="CF504" s="283"/>
      <c r="CG504" s="283"/>
      <c r="CH504" s="283"/>
      <c r="CI504" s="283"/>
      <c r="CJ504" s="283"/>
      <c r="CK504" s="283"/>
      <c r="CL504" s="283"/>
    </row>
    <row r="505" spans="1:90" ht="14.25" customHeight="1" x14ac:dyDescent="0.2">
      <c r="A505" s="28"/>
      <c r="B505" s="28"/>
      <c r="C505" s="28"/>
      <c r="D505" s="282"/>
      <c r="E505" s="282"/>
      <c r="F505" s="282"/>
      <c r="G505" s="282"/>
      <c r="H505" s="282"/>
      <c r="I505" s="282"/>
      <c r="J505" s="282"/>
      <c r="K505" s="282"/>
      <c r="L505" s="282"/>
      <c r="M505" s="282"/>
      <c r="N505" s="282"/>
      <c r="O505" s="282"/>
      <c r="P505" s="282"/>
      <c r="Q505" s="282"/>
      <c r="R505" s="282"/>
      <c r="S505" s="282"/>
      <c r="T505" s="282"/>
      <c r="U505" s="282"/>
      <c r="V505" s="282"/>
      <c r="W505" s="282"/>
      <c r="X505" s="282"/>
      <c r="Y505" s="282"/>
      <c r="Z505" s="282"/>
      <c r="AA505" s="282"/>
      <c r="AB505" s="282"/>
      <c r="AC505" s="282"/>
      <c r="AD505" s="282"/>
      <c r="AE505" s="282"/>
      <c r="AF505" s="282"/>
      <c r="AG505" s="282"/>
      <c r="AH505" s="282"/>
      <c r="AI505" s="282"/>
      <c r="AJ505" s="282"/>
      <c r="AK505" s="282"/>
      <c r="AL505" s="282"/>
      <c r="AM505" s="282"/>
      <c r="AN505" s="282"/>
      <c r="AO505" s="282"/>
      <c r="AP505" s="282"/>
      <c r="AQ505" s="282"/>
      <c r="AR505" s="282"/>
      <c r="AS505" s="282"/>
      <c r="AT505" s="282"/>
      <c r="AU505" s="282"/>
      <c r="AV505" s="282"/>
      <c r="AW505" s="282"/>
      <c r="AX505" s="282"/>
      <c r="AY505" s="282"/>
      <c r="AZ505" s="282"/>
      <c r="BA505" s="282"/>
      <c r="BB505" s="282"/>
      <c r="BC505" s="282"/>
      <c r="BD505" s="282"/>
      <c r="BE505" s="282"/>
      <c r="BF505" s="282"/>
      <c r="BG505" s="282"/>
      <c r="BH505" s="282"/>
      <c r="BI505" s="282"/>
      <c r="BJ505" s="282"/>
      <c r="BK505" s="282"/>
      <c r="BL505" s="282"/>
      <c r="BM505" s="282"/>
      <c r="BN505" s="282"/>
      <c r="BO505" s="282"/>
      <c r="BP505" s="282"/>
      <c r="BQ505" s="282"/>
      <c r="BR505" s="282"/>
      <c r="BS505" s="282"/>
      <c r="BT505" s="282"/>
      <c r="BU505" s="283"/>
      <c r="BV505" s="283"/>
      <c r="BW505" s="283"/>
      <c r="BX505" s="283"/>
      <c r="BY505" s="283"/>
      <c r="BZ505" s="283"/>
      <c r="CA505" s="283"/>
      <c r="CB505" s="283"/>
      <c r="CC505" s="283"/>
      <c r="CD505" s="283"/>
      <c r="CE505" s="283"/>
      <c r="CF505" s="283"/>
      <c r="CG505" s="283"/>
      <c r="CH505" s="283"/>
      <c r="CI505" s="283"/>
      <c r="CJ505" s="283"/>
      <c r="CK505" s="283"/>
      <c r="CL505" s="283"/>
    </row>
    <row r="506" spans="1:90" ht="14.25" customHeight="1" x14ac:dyDescent="0.2">
      <c r="A506" s="28"/>
      <c r="B506" s="28"/>
      <c r="C506" s="28"/>
      <c r="D506" s="282"/>
      <c r="E506" s="282"/>
      <c r="F506" s="282"/>
      <c r="G506" s="282"/>
      <c r="H506" s="282"/>
      <c r="I506" s="282"/>
      <c r="J506" s="282"/>
      <c r="K506" s="282"/>
      <c r="L506" s="282"/>
      <c r="M506" s="282"/>
      <c r="N506" s="282"/>
      <c r="O506" s="282"/>
      <c r="P506" s="282"/>
      <c r="Q506" s="282"/>
      <c r="R506" s="282"/>
      <c r="S506" s="282"/>
      <c r="T506" s="282"/>
      <c r="U506" s="282"/>
      <c r="V506" s="282"/>
      <c r="W506" s="282"/>
      <c r="X506" s="282"/>
      <c r="Y506" s="282"/>
      <c r="Z506" s="282"/>
      <c r="AA506" s="282"/>
      <c r="AB506" s="282"/>
      <c r="AC506" s="282"/>
      <c r="AD506" s="282"/>
      <c r="AE506" s="282"/>
      <c r="AF506" s="282"/>
      <c r="AG506" s="282"/>
      <c r="AH506" s="282"/>
      <c r="AI506" s="282"/>
      <c r="AJ506" s="282"/>
      <c r="AK506" s="282"/>
      <c r="AL506" s="282"/>
      <c r="AM506" s="282"/>
      <c r="AN506" s="282"/>
      <c r="AO506" s="282"/>
      <c r="AP506" s="282"/>
      <c r="AQ506" s="282"/>
      <c r="AR506" s="282"/>
      <c r="AS506" s="282"/>
      <c r="AT506" s="282"/>
      <c r="AU506" s="282"/>
      <c r="AV506" s="282"/>
      <c r="AW506" s="282"/>
      <c r="AX506" s="282"/>
      <c r="AY506" s="282"/>
      <c r="AZ506" s="282"/>
      <c r="BA506" s="282"/>
      <c r="BB506" s="282"/>
      <c r="BC506" s="282"/>
      <c r="BD506" s="282"/>
      <c r="BE506" s="282"/>
      <c r="BF506" s="282"/>
      <c r="BG506" s="282"/>
      <c r="BH506" s="282"/>
      <c r="BI506" s="282"/>
      <c r="BJ506" s="282"/>
      <c r="BK506" s="282"/>
      <c r="BL506" s="282"/>
      <c r="BM506" s="282"/>
      <c r="BN506" s="282"/>
      <c r="BO506" s="282"/>
      <c r="BP506" s="282"/>
      <c r="BQ506" s="282"/>
      <c r="BR506" s="282"/>
      <c r="BS506" s="282"/>
      <c r="BT506" s="282"/>
      <c r="BU506" s="283"/>
      <c r="BV506" s="283"/>
      <c r="BW506" s="283"/>
      <c r="BX506" s="283"/>
      <c r="BY506" s="283"/>
      <c r="BZ506" s="283"/>
      <c r="CA506" s="283"/>
      <c r="CB506" s="283"/>
      <c r="CC506" s="283"/>
      <c r="CD506" s="283"/>
      <c r="CE506" s="283"/>
      <c r="CF506" s="283"/>
      <c r="CG506" s="283"/>
      <c r="CH506" s="283"/>
      <c r="CI506" s="283"/>
      <c r="CJ506" s="283"/>
      <c r="CK506" s="283"/>
      <c r="CL506" s="283"/>
    </row>
    <row r="507" spans="1:90" ht="14.25" customHeight="1" x14ac:dyDescent="0.2">
      <c r="A507" s="28"/>
      <c r="B507" s="28"/>
      <c r="C507" s="28"/>
      <c r="D507" s="282"/>
      <c r="E507" s="282"/>
      <c r="F507" s="282"/>
      <c r="G507" s="282"/>
      <c r="H507" s="282"/>
      <c r="I507" s="282"/>
      <c r="J507" s="282"/>
      <c r="K507" s="282"/>
      <c r="L507" s="282"/>
      <c r="M507" s="282"/>
      <c r="N507" s="282"/>
      <c r="O507" s="282"/>
      <c r="P507" s="282"/>
      <c r="Q507" s="282"/>
      <c r="R507" s="282"/>
      <c r="S507" s="282"/>
      <c r="T507" s="282"/>
      <c r="U507" s="282"/>
      <c r="V507" s="282"/>
      <c r="W507" s="282"/>
      <c r="X507" s="282"/>
      <c r="Y507" s="282"/>
      <c r="Z507" s="282"/>
      <c r="AA507" s="282"/>
      <c r="AB507" s="282"/>
      <c r="AC507" s="282"/>
      <c r="AD507" s="282"/>
      <c r="AE507" s="282"/>
      <c r="AF507" s="282"/>
      <c r="AG507" s="282"/>
      <c r="AH507" s="282"/>
      <c r="AI507" s="282"/>
      <c r="AJ507" s="282"/>
      <c r="AK507" s="282"/>
      <c r="AL507" s="282"/>
      <c r="AM507" s="282"/>
      <c r="AN507" s="282"/>
      <c r="AO507" s="282"/>
      <c r="AP507" s="282"/>
      <c r="AQ507" s="282"/>
      <c r="AR507" s="282"/>
      <c r="AS507" s="282"/>
      <c r="AT507" s="282"/>
      <c r="AU507" s="282"/>
      <c r="AV507" s="282"/>
      <c r="AW507" s="282"/>
      <c r="AX507" s="282"/>
      <c r="AY507" s="282"/>
      <c r="AZ507" s="282"/>
      <c r="BA507" s="282"/>
      <c r="BB507" s="282"/>
      <c r="BC507" s="282"/>
      <c r="BD507" s="282"/>
      <c r="BE507" s="282"/>
      <c r="BF507" s="282"/>
      <c r="BG507" s="282"/>
      <c r="BH507" s="282"/>
      <c r="BI507" s="282"/>
      <c r="BJ507" s="282"/>
      <c r="BK507" s="282"/>
      <c r="BL507" s="282"/>
      <c r="BM507" s="282"/>
      <c r="BN507" s="282"/>
      <c r="BO507" s="282"/>
      <c r="BP507" s="282"/>
      <c r="BQ507" s="282"/>
      <c r="BR507" s="282"/>
      <c r="BS507" s="282"/>
      <c r="BT507" s="282"/>
      <c r="BU507" s="283"/>
      <c r="BV507" s="283"/>
      <c r="BW507" s="283"/>
      <c r="BX507" s="283"/>
      <c r="BY507" s="283"/>
      <c r="BZ507" s="283"/>
      <c r="CA507" s="283"/>
      <c r="CB507" s="283"/>
      <c r="CC507" s="283"/>
      <c r="CD507" s="283"/>
      <c r="CE507" s="283"/>
      <c r="CF507" s="283"/>
      <c r="CG507" s="283"/>
      <c r="CH507" s="283"/>
      <c r="CI507" s="283"/>
      <c r="CJ507" s="283"/>
      <c r="CK507" s="283"/>
      <c r="CL507" s="283"/>
    </row>
    <row r="508" spans="1:90" ht="14.25" customHeight="1" x14ac:dyDescent="0.2">
      <c r="A508" s="28"/>
      <c r="B508" s="28"/>
      <c r="C508" s="28"/>
      <c r="D508" s="282"/>
      <c r="E508" s="282"/>
      <c r="F508" s="282"/>
      <c r="G508" s="282"/>
      <c r="H508" s="282"/>
      <c r="I508" s="282"/>
      <c r="J508" s="282"/>
      <c r="K508" s="282"/>
      <c r="L508" s="282"/>
      <c r="M508" s="282"/>
      <c r="N508" s="282"/>
      <c r="O508" s="282"/>
      <c r="P508" s="282"/>
      <c r="Q508" s="282"/>
      <c r="R508" s="282"/>
      <c r="S508" s="282"/>
      <c r="T508" s="282"/>
      <c r="U508" s="282"/>
      <c r="V508" s="282"/>
      <c r="W508" s="282"/>
      <c r="X508" s="282"/>
      <c r="Y508" s="282"/>
      <c r="Z508" s="282"/>
      <c r="AA508" s="282"/>
      <c r="AB508" s="282"/>
      <c r="AC508" s="282"/>
      <c r="AD508" s="282"/>
      <c r="AE508" s="282"/>
      <c r="AF508" s="282"/>
      <c r="AG508" s="282"/>
      <c r="AH508" s="282"/>
      <c r="AI508" s="282"/>
      <c r="AJ508" s="282"/>
      <c r="AK508" s="282"/>
      <c r="AL508" s="282"/>
      <c r="AM508" s="282"/>
      <c r="AN508" s="282"/>
      <c r="AO508" s="282"/>
      <c r="AP508" s="282"/>
      <c r="AQ508" s="282"/>
      <c r="AR508" s="282"/>
      <c r="AS508" s="282"/>
      <c r="AT508" s="282"/>
      <c r="AU508" s="282"/>
      <c r="AV508" s="282"/>
      <c r="AW508" s="282"/>
      <c r="AX508" s="282"/>
      <c r="AY508" s="282"/>
      <c r="AZ508" s="282"/>
      <c r="BA508" s="282"/>
      <c r="BB508" s="282"/>
      <c r="BC508" s="282"/>
      <c r="BD508" s="282"/>
      <c r="BE508" s="282"/>
      <c r="BF508" s="282"/>
      <c r="BG508" s="282"/>
      <c r="BH508" s="282"/>
      <c r="BI508" s="282"/>
      <c r="BJ508" s="282"/>
      <c r="BK508" s="282"/>
      <c r="BL508" s="282"/>
      <c r="BM508" s="282"/>
      <c r="BN508" s="282"/>
      <c r="BO508" s="282"/>
      <c r="BP508" s="282"/>
      <c r="BQ508" s="282"/>
      <c r="BR508" s="282"/>
      <c r="BS508" s="282"/>
      <c r="BT508" s="282"/>
      <c r="BU508" s="283"/>
      <c r="BV508" s="283"/>
      <c r="BW508" s="283"/>
      <c r="BX508" s="283"/>
      <c r="BY508" s="283"/>
      <c r="BZ508" s="283"/>
      <c r="CA508" s="283"/>
      <c r="CB508" s="283"/>
      <c r="CC508" s="283"/>
      <c r="CD508" s="283"/>
      <c r="CE508" s="283"/>
      <c r="CF508" s="283"/>
      <c r="CG508" s="283"/>
      <c r="CH508" s="283"/>
      <c r="CI508" s="283"/>
      <c r="CJ508" s="283"/>
      <c r="CK508" s="283"/>
      <c r="CL508" s="283"/>
    </row>
    <row r="509" spans="1:90" ht="14.25" customHeight="1" x14ac:dyDescent="0.2">
      <c r="A509" s="28"/>
      <c r="B509" s="28"/>
      <c r="C509" s="28"/>
      <c r="D509" s="282"/>
      <c r="E509" s="282"/>
      <c r="F509" s="282"/>
      <c r="G509" s="282"/>
      <c r="H509" s="282"/>
      <c r="I509" s="282"/>
      <c r="J509" s="282"/>
      <c r="K509" s="282"/>
      <c r="L509" s="282"/>
      <c r="M509" s="282"/>
      <c r="N509" s="282"/>
      <c r="O509" s="282"/>
      <c r="P509" s="282"/>
      <c r="Q509" s="282"/>
      <c r="R509" s="282"/>
      <c r="S509" s="282"/>
      <c r="T509" s="282"/>
      <c r="U509" s="282"/>
      <c r="V509" s="282"/>
      <c r="W509" s="282"/>
      <c r="X509" s="282"/>
      <c r="Y509" s="282"/>
      <c r="Z509" s="282"/>
      <c r="AA509" s="282"/>
      <c r="AB509" s="282"/>
      <c r="AC509" s="282"/>
      <c r="AD509" s="282"/>
      <c r="AE509" s="282"/>
      <c r="AF509" s="282"/>
      <c r="AG509" s="282"/>
      <c r="AH509" s="282"/>
      <c r="AI509" s="282"/>
      <c r="AJ509" s="282"/>
      <c r="AK509" s="282"/>
      <c r="AL509" s="282"/>
      <c r="AM509" s="282"/>
      <c r="AN509" s="282"/>
      <c r="AO509" s="282"/>
      <c r="AP509" s="282"/>
      <c r="AQ509" s="282"/>
      <c r="AR509" s="282"/>
      <c r="AS509" s="282"/>
      <c r="AT509" s="282"/>
      <c r="AU509" s="282"/>
      <c r="AV509" s="282"/>
      <c r="AW509" s="282"/>
      <c r="AX509" s="282"/>
      <c r="AY509" s="282"/>
      <c r="AZ509" s="282"/>
      <c r="BA509" s="282"/>
      <c r="BB509" s="282"/>
      <c r="BC509" s="282"/>
      <c r="BD509" s="282"/>
      <c r="BE509" s="282"/>
      <c r="BF509" s="282"/>
      <c r="BG509" s="282"/>
      <c r="BH509" s="282"/>
      <c r="BI509" s="282"/>
      <c r="BJ509" s="282"/>
      <c r="BK509" s="282"/>
      <c r="BL509" s="282"/>
      <c r="BM509" s="282"/>
      <c r="BN509" s="282"/>
      <c r="BO509" s="282"/>
      <c r="BP509" s="282"/>
      <c r="BQ509" s="282"/>
      <c r="BR509" s="282"/>
      <c r="BS509" s="282"/>
      <c r="BT509" s="282"/>
      <c r="BU509" s="283"/>
      <c r="BV509" s="283"/>
      <c r="BW509" s="283"/>
      <c r="BX509" s="283"/>
      <c r="BY509" s="283"/>
      <c r="BZ509" s="283"/>
      <c r="CA509" s="283"/>
      <c r="CB509" s="283"/>
      <c r="CC509" s="283"/>
      <c r="CD509" s="283"/>
      <c r="CE509" s="283"/>
      <c r="CF509" s="283"/>
      <c r="CG509" s="283"/>
      <c r="CH509" s="283"/>
      <c r="CI509" s="283"/>
      <c r="CJ509" s="283"/>
      <c r="CK509" s="283"/>
      <c r="CL509" s="283"/>
    </row>
    <row r="510" spans="1:90" ht="14.25" customHeight="1" x14ac:dyDescent="0.2">
      <c r="A510" s="28"/>
      <c r="B510" s="28"/>
      <c r="C510" s="28"/>
      <c r="D510" s="282"/>
      <c r="E510" s="282"/>
      <c r="F510" s="282"/>
      <c r="G510" s="282"/>
      <c r="H510" s="282"/>
      <c r="I510" s="282"/>
      <c r="J510" s="282"/>
      <c r="K510" s="282"/>
      <c r="L510" s="282"/>
      <c r="M510" s="282"/>
      <c r="N510" s="282"/>
      <c r="O510" s="282"/>
      <c r="P510" s="282"/>
      <c r="Q510" s="282"/>
      <c r="R510" s="282"/>
      <c r="S510" s="282"/>
      <c r="T510" s="282"/>
      <c r="U510" s="282"/>
      <c r="V510" s="282"/>
      <c r="W510" s="282"/>
      <c r="X510" s="282"/>
      <c r="Y510" s="282"/>
      <c r="Z510" s="282"/>
      <c r="AA510" s="282"/>
      <c r="AB510" s="282"/>
      <c r="AC510" s="282"/>
      <c r="AD510" s="282"/>
      <c r="AE510" s="282"/>
      <c r="AF510" s="282"/>
      <c r="AG510" s="282"/>
      <c r="AH510" s="282"/>
      <c r="AI510" s="282"/>
      <c r="AJ510" s="282"/>
      <c r="AK510" s="282"/>
      <c r="AL510" s="282"/>
      <c r="AM510" s="282"/>
      <c r="AN510" s="282"/>
      <c r="AO510" s="282"/>
      <c r="AP510" s="282"/>
      <c r="AQ510" s="282"/>
      <c r="AR510" s="282"/>
      <c r="AS510" s="282"/>
      <c r="AT510" s="282"/>
      <c r="AU510" s="282"/>
      <c r="AV510" s="282"/>
      <c r="AW510" s="282"/>
      <c r="AX510" s="282"/>
      <c r="AY510" s="282"/>
      <c r="AZ510" s="282"/>
      <c r="BA510" s="282"/>
      <c r="BB510" s="282"/>
      <c r="BC510" s="282"/>
      <c r="BD510" s="282"/>
      <c r="BE510" s="282"/>
      <c r="BF510" s="282"/>
      <c r="BG510" s="282"/>
      <c r="BH510" s="282"/>
      <c r="BI510" s="282"/>
      <c r="BJ510" s="282"/>
      <c r="BK510" s="282"/>
      <c r="BL510" s="282"/>
      <c r="BM510" s="282"/>
      <c r="BN510" s="282"/>
      <c r="BO510" s="282"/>
      <c r="BP510" s="282"/>
      <c r="BQ510" s="282"/>
      <c r="BR510" s="282"/>
      <c r="BS510" s="282"/>
      <c r="BT510" s="282"/>
      <c r="BU510" s="283"/>
      <c r="BV510" s="283"/>
      <c r="BW510" s="283"/>
      <c r="BX510" s="283"/>
      <c r="BY510" s="283"/>
      <c r="BZ510" s="283"/>
      <c r="CA510" s="283"/>
      <c r="CB510" s="283"/>
      <c r="CC510" s="283"/>
      <c r="CD510" s="283"/>
      <c r="CE510" s="283"/>
      <c r="CF510" s="283"/>
      <c r="CG510" s="283"/>
      <c r="CH510" s="283"/>
      <c r="CI510" s="283"/>
      <c r="CJ510" s="283"/>
      <c r="CK510" s="283"/>
      <c r="CL510" s="283"/>
    </row>
    <row r="511" spans="1:90" ht="14.25" customHeight="1" x14ac:dyDescent="0.2">
      <c r="A511" s="28"/>
      <c r="B511" s="28"/>
      <c r="C511" s="28"/>
      <c r="D511" s="282"/>
      <c r="E511" s="282"/>
      <c r="F511" s="282"/>
      <c r="G511" s="282"/>
      <c r="H511" s="282"/>
      <c r="I511" s="282"/>
      <c r="J511" s="282"/>
      <c r="K511" s="282"/>
      <c r="L511" s="282"/>
      <c r="M511" s="282"/>
      <c r="N511" s="282"/>
      <c r="O511" s="282"/>
      <c r="P511" s="282"/>
      <c r="Q511" s="282"/>
      <c r="R511" s="282"/>
      <c r="S511" s="282"/>
      <c r="T511" s="282"/>
      <c r="U511" s="282"/>
      <c r="V511" s="282"/>
      <c r="W511" s="282"/>
      <c r="X511" s="282"/>
      <c r="Y511" s="282"/>
      <c r="Z511" s="282"/>
      <c r="AA511" s="282"/>
      <c r="AB511" s="282"/>
      <c r="AC511" s="282"/>
      <c r="AD511" s="282"/>
      <c r="AE511" s="282"/>
      <c r="AF511" s="282"/>
      <c r="AG511" s="282"/>
      <c r="AH511" s="282"/>
      <c r="AI511" s="282"/>
      <c r="AJ511" s="282"/>
      <c r="AK511" s="282"/>
      <c r="AL511" s="282"/>
      <c r="AM511" s="282"/>
      <c r="AN511" s="282"/>
      <c r="AO511" s="282"/>
      <c r="AP511" s="282"/>
      <c r="AQ511" s="282"/>
      <c r="AR511" s="282"/>
      <c r="AS511" s="282"/>
      <c r="AT511" s="282"/>
      <c r="AU511" s="282"/>
      <c r="AV511" s="282"/>
      <c r="AW511" s="282"/>
      <c r="AX511" s="282"/>
      <c r="AY511" s="282"/>
      <c r="AZ511" s="282"/>
      <c r="BA511" s="282"/>
      <c r="BB511" s="282"/>
      <c r="BC511" s="282"/>
      <c r="BD511" s="282"/>
      <c r="BE511" s="282"/>
      <c r="BF511" s="282"/>
      <c r="BG511" s="282"/>
      <c r="BH511" s="282"/>
      <c r="BI511" s="282"/>
      <c r="BJ511" s="282"/>
      <c r="BK511" s="282"/>
      <c r="BL511" s="282"/>
      <c r="BM511" s="282"/>
      <c r="BN511" s="282"/>
      <c r="BO511" s="282"/>
      <c r="BP511" s="282"/>
      <c r="BQ511" s="282"/>
      <c r="BR511" s="282"/>
      <c r="BS511" s="282"/>
      <c r="BT511" s="282"/>
      <c r="BU511" s="283"/>
      <c r="BV511" s="283"/>
      <c r="BW511" s="283"/>
      <c r="BX511" s="283"/>
      <c r="BY511" s="283"/>
      <c r="BZ511" s="283"/>
      <c r="CA511" s="283"/>
      <c r="CB511" s="283"/>
      <c r="CC511" s="283"/>
      <c r="CD511" s="283"/>
      <c r="CE511" s="283"/>
      <c r="CF511" s="283"/>
      <c r="CG511" s="283"/>
      <c r="CH511" s="283"/>
      <c r="CI511" s="283"/>
      <c r="CJ511" s="283"/>
      <c r="CK511" s="283"/>
      <c r="CL511" s="283"/>
    </row>
    <row r="512" spans="1:90" ht="14.25" customHeight="1" x14ac:dyDescent="0.2">
      <c r="A512" s="28"/>
      <c r="B512" s="28"/>
      <c r="C512" s="28"/>
      <c r="D512" s="282"/>
      <c r="E512" s="282"/>
      <c r="F512" s="282"/>
      <c r="G512" s="282"/>
      <c r="H512" s="282"/>
      <c r="I512" s="282"/>
      <c r="J512" s="282"/>
      <c r="K512" s="282"/>
      <c r="L512" s="282"/>
      <c r="M512" s="282"/>
      <c r="N512" s="282"/>
      <c r="O512" s="282"/>
      <c r="P512" s="282"/>
      <c r="Q512" s="282"/>
      <c r="R512" s="282"/>
      <c r="S512" s="282"/>
      <c r="T512" s="282"/>
      <c r="U512" s="282"/>
      <c r="V512" s="282"/>
      <c r="W512" s="282"/>
      <c r="X512" s="282"/>
      <c r="Y512" s="282"/>
      <c r="Z512" s="282"/>
      <c r="AA512" s="282"/>
      <c r="AB512" s="282"/>
      <c r="AC512" s="282"/>
      <c r="AD512" s="282"/>
      <c r="AE512" s="282"/>
      <c r="AF512" s="282"/>
      <c r="AG512" s="282"/>
      <c r="AH512" s="282"/>
      <c r="AI512" s="282"/>
      <c r="AJ512" s="282"/>
      <c r="AK512" s="282"/>
      <c r="AL512" s="282"/>
      <c r="AM512" s="282"/>
      <c r="AN512" s="282"/>
      <c r="AO512" s="282"/>
      <c r="AP512" s="282"/>
      <c r="AQ512" s="282"/>
      <c r="AR512" s="282"/>
      <c r="AS512" s="282"/>
      <c r="AT512" s="282"/>
      <c r="AU512" s="282"/>
      <c r="AV512" s="282"/>
      <c r="AW512" s="282"/>
      <c r="AX512" s="282"/>
      <c r="AY512" s="282"/>
      <c r="AZ512" s="282"/>
      <c r="BA512" s="282"/>
      <c r="BB512" s="282"/>
      <c r="BC512" s="282"/>
      <c r="BD512" s="282"/>
      <c r="BE512" s="282"/>
      <c r="BF512" s="282"/>
      <c r="BG512" s="282"/>
      <c r="BH512" s="282"/>
      <c r="BI512" s="282"/>
      <c r="BJ512" s="282"/>
      <c r="BK512" s="282"/>
      <c r="BL512" s="282"/>
      <c r="BM512" s="282"/>
      <c r="BN512" s="282"/>
      <c r="BO512" s="282"/>
      <c r="BP512" s="282"/>
      <c r="BQ512" s="282"/>
      <c r="BR512" s="282"/>
      <c r="BS512" s="282"/>
      <c r="BT512" s="282"/>
      <c r="BU512" s="283"/>
      <c r="BV512" s="283"/>
      <c r="BW512" s="283"/>
      <c r="BX512" s="283"/>
      <c r="BY512" s="283"/>
      <c r="BZ512" s="283"/>
      <c r="CA512" s="283"/>
      <c r="CB512" s="283"/>
      <c r="CC512" s="283"/>
      <c r="CD512" s="283"/>
      <c r="CE512" s="283"/>
      <c r="CF512" s="283"/>
      <c r="CG512" s="283"/>
      <c r="CH512" s="283"/>
      <c r="CI512" s="283"/>
      <c r="CJ512" s="283"/>
      <c r="CK512" s="283"/>
      <c r="CL512" s="283"/>
    </row>
    <row r="513" spans="1:90" ht="14.25" customHeight="1" x14ac:dyDescent="0.2">
      <c r="A513" s="28"/>
      <c r="B513" s="28"/>
      <c r="C513" s="28"/>
      <c r="D513" s="282"/>
      <c r="E513" s="282"/>
      <c r="F513" s="282"/>
      <c r="G513" s="282"/>
      <c r="H513" s="282"/>
      <c r="I513" s="282"/>
      <c r="J513" s="282"/>
      <c r="K513" s="282"/>
      <c r="L513" s="282"/>
      <c r="M513" s="282"/>
      <c r="N513" s="282"/>
      <c r="O513" s="282"/>
      <c r="P513" s="282"/>
      <c r="Q513" s="282"/>
      <c r="R513" s="282"/>
      <c r="S513" s="282"/>
      <c r="T513" s="282"/>
      <c r="U513" s="282"/>
      <c r="V513" s="282"/>
      <c r="W513" s="282"/>
      <c r="X513" s="282"/>
      <c r="Y513" s="282"/>
      <c r="Z513" s="282"/>
      <c r="AA513" s="282"/>
      <c r="AB513" s="282"/>
      <c r="AC513" s="282"/>
      <c r="AD513" s="282"/>
      <c r="AE513" s="282"/>
      <c r="AF513" s="282"/>
      <c r="AG513" s="282"/>
      <c r="AH513" s="282"/>
      <c r="AI513" s="282"/>
      <c r="AJ513" s="282"/>
      <c r="AK513" s="282"/>
      <c r="AL513" s="282"/>
      <c r="AM513" s="282"/>
      <c r="AN513" s="282"/>
      <c r="AO513" s="282"/>
      <c r="AP513" s="282"/>
      <c r="AQ513" s="282"/>
      <c r="AR513" s="282"/>
      <c r="AS513" s="282"/>
      <c r="AT513" s="282"/>
      <c r="AU513" s="282"/>
      <c r="AV513" s="282"/>
      <c r="AW513" s="282"/>
      <c r="AX513" s="282"/>
      <c r="AY513" s="282"/>
      <c r="AZ513" s="282"/>
      <c r="BA513" s="282"/>
      <c r="BB513" s="282"/>
      <c r="BC513" s="282"/>
      <c r="BD513" s="282"/>
      <c r="BE513" s="282"/>
      <c r="BF513" s="282"/>
      <c r="BG513" s="282"/>
      <c r="BH513" s="282"/>
      <c r="BI513" s="282"/>
      <c r="BJ513" s="282"/>
      <c r="BK513" s="282"/>
      <c r="BL513" s="282"/>
      <c r="BM513" s="282"/>
      <c r="BN513" s="282"/>
      <c r="BO513" s="282"/>
      <c r="BP513" s="282"/>
      <c r="BQ513" s="282"/>
      <c r="BR513" s="282"/>
      <c r="BS513" s="282"/>
      <c r="BT513" s="282"/>
      <c r="BU513" s="283"/>
      <c r="BV513" s="283"/>
      <c r="BW513" s="283"/>
      <c r="BX513" s="283"/>
      <c r="BY513" s="283"/>
      <c r="BZ513" s="283"/>
      <c r="CA513" s="283"/>
      <c r="CB513" s="283"/>
      <c r="CC513" s="283"/>
      <c r="CD513" s="283"/>
      <c r="CE513" s="283"/>
      <c r="CF513" s="283"/>
      <c r="CG513" s="283"/>
      <c r="CH513" s="283"/>
      <c r="CI513" s="283"/>
      <c r="CJ513" s="283"/>
      <c r="CK513" s="283"/>
      <c r="CL513" s="283"/>
    </row>
    <row r="514" spans="1:90" ht="14.25" customHeight="1" x14ac:dyDescent="0.2">
      <c r="A514" s="28"/>
      <c r="B514" s="28"/>
      <c r="C514" s="28"/>
      <c r="D514" s="282"/>
      <c r="E514" s="282"/>
      <c r="F514" s="282"/>
      <c r="G514" s="282"/>
      <c r="H514" s="282"/>
      <c r="I514" s="282"/>
      <c r="J514" s="282"/>
      <c r="K514" s="282"/>
      <c r="L514" s="282"/>
      <c r="M514" s="282"/>
      <c r="N514" s="282"/>
      <c r="O514" s="282"/>
      <c r="P514" s="282"/>
      <c r="Q514" s="282"/>
      <c r="R514" s="282"/>
      <c r="S514" s="282"/>
      <c r="T514" s="282"/>
      <c r="U514" s="282"/>
      <c r="V514" s="282"/>
      <c r="W514" s="282"/>
      <c r="X514" s="282"/>
      <c r="Y514" s="282"/>
      <c r="Z514" s="282"/>
      <c r="AA514" s="282"/>
      <c r="AB514" s="282"/>
      <c r="AC514" s="282"/>
      <c r="AD514" s="282"/>
      <c r="AE514" s="282"/>
      <c r="AF514" s="282"/>
      <c r="AG514" s="282"/>
      <c r="AH514" s="282"/>
      <c r="AI514" s="282"/>
      <c r="AJ514" s="282"/>
      <c r="AK514" s="282"/>
      <c r="AL514" s="282"/>
      <c r="AM514" s="282"/>
      <c r="AN514" s="282"/>
      <c r="AO514" s="282"/>
      <c r="AP514" s="282"/>
      <c r="AQ514" s="282"/>
      <c r="AR514" s="282"/>
      <c r="AS514" s="282"/>
      <c r="AT514" s="282"/>
      <c r="AU514" s="282"/>
      <c r="AV514" s="282"/>
      <c r="AW514" s="282"/>
      <c r="AX514" s="282"/>
      <c r="AY514" s="282"/>
      <c r="AZ514" s="282"/>
      <c r="BA514" s="282"/>
      <c r="BB514" s="282"/>
      <c r="BC514" s="282"/>
      <c r="BD514" s="282"/>
      <c r="BE514" s="282"/>
      <c r="BF514" s="282"/>
      <c r="BG514" s="282"/>
      <c r="BH514" s="282"/>
      <c r="BI514" s="282"/>
      <c r="BJ514" s="282"/>
      <c r="BK514" s="282"/>
      <c r="BL514" s="282"/>
      <c r="BM514" s="282"/>
      <c r="BN514" s="282"/>
      <c r="BO514" s="282"/>
      <c r="BP514" s="282"/>
      <c r="BQ514" s="282"/>
      <c r="BR514" s="282"/>
      <c r="BS514" s="282"/>
      <c r="BT514" s="282"/>
      <c r="BU514" s="283"/>
      <c r="BV514" s="283"/>
      <c r="BW514" s="283"/>
      <c r="BX514" s="283"/>
      <c r="BY514" s="283"/>
      <c r="BZ514" s="283"/>
      <c r="CA514" s="283"/>
      <c r="CB514" s="283"/>
      <c r="CC514" s="283"/>
      <c r="CD514" s="283"/>
      <c r="CE514" s="283"/>
      <c r="CF514" s="283"/>
      <c r="CG514" s="283"/>
      <c r="CH514" s="283"/>
      <c r="CI514" s="283"/>
      <c r="CJ514" s="283"/>
      <c r="CK514" s="283"/>
      <c r="CL514" s="283"/>
    </row>
    <row r="515" spans="1:90" ht="14.25" customHeight="1" x14ac:dyDescent="0.2">
      <c r="A515" s="28"/>
      <c r="B515" s="28"/>
      <c r="C515" s="28"/>
      <c r="D515" s="282"/>
      <c r="E515" s="282"/>
      <c r="F515" s="282"/>
      <c r="G515" s="282"/>
      <c r="H515" s="282"/>
      <c r="I515" s="282"/>
      <c r="J515" s="282"/>
      <c r="K515" s="282"/>
      <c r="L515" s="282"/>
      <c r="M515" s="282"/>
      <c r="N515" s="282"/>
      <c r="O515" s="282"/>
      <c r="P515" s="282"/>
      <c r="Q515" s="282"/>
      <c r="R515" s="282"/>
      <c r="S515" s="282"/>
      <c r="T515" s="282"/>
      <c r="U515" s="282"/>
      <c r="V515" s="282"/>
      <c r="W515" s="282"/>
      <c r="X515" s="282"/>
      <c r="Y515" s="282"/>
      <c r="Z515" s="282"/>
      <c r="AA515" s="282"/>
      <c r="AB515" s="282"/>
      <c r="AC515" s="282"/>
      <c r="AD515" s="282"/>
      <c r="AE515" s="282"/>
      <c r="AF515" s="282"/>
      <c r="AG515" s="282"/>
      <c r="AH515" s="282"/>
      <c r="AI515" s="282"/>
      <c r="AJ515" s="282"/>
      <c r="AK515" s="282"/>
      <c r="AL515" s="282"/>
      <c r="AM515" s="282"/>
      <c r="AN515" s="282"/>
      <c r="AO515" s="282"/>
      <c r="AP515" s="282"/>
      <c r="AQ515" s="282"/>
      <c r="AR515" s="282"/>
      <c r="AS515" s="282"/>
      <c r="AT515" s="282"/>
      <c r="AU515" s="282"/>
      <c r="AV515" s="282"/>
      <c r="AW515" s="282"/>
      <c r="AX515" s="282"/>
      <c r="AY515" s="282"/>
      <c r="AZ515" s="282"/>
      <c r="BA515" s="282"/>
      <c r="BB515" s="282"/>
      <c r="BC515" s="282"/>
      <c r="BD515" s="282"/>
      <c r="BE515" s="282"/>
      <c r="BF515" s="282"/>
      <c r="BG515" s="282"/>
      <c r="BH515" s="282"/>
      <c r="BI515" s="282"/>
      <c r="BJ515" s="282"/>
      <c r="BK515" s="282"/>
      <c r="BL515" s="282"/>
      <c r="BM515" s="282"/>
      <c r="BN515" s="282"/>
      <c r="BO515" s="282"/>
      <c r="BP515" s="282"/>
      <c r="BQ515" s="282"/>
      <c r="BR515" s="282"/>
      <c r="BS515" s="282"/>
      <c r="BT515" s="282"/>
      <c r="BU515" s="283"/>
      <c r="BV515" s="283"/>
      <c r="BW515" s="283"/>
      <c r="BX515" s="283"/>
      <c r="BY515" s="283"/>
      <c r="BZ515" s="283"/>
      <c r="CA515" s="283"/>
      <c r="CB515" s="283"/>
      <c r="CC515" s="283"/>
      <c r="CD515" s="283"/>
      <c r="CE515" s="283"/>
      <c r="CF515" s="283"/>
      <c r="CG515" s="283"/>
      <c r="CH515" s="283"/>
      <c r="CI515" s="283"/>
      <c r="CJ515" s="283"/>
      <c r="CK515" s="283"/>
      <c r="CL515" s="283"/>
    </row>
    <row r="516" spans="1:90" ht="14.25" customHeight="1" x14ac:dyDescent="0.2">
      <c r="A516" s="28"/>
      <c r="B516" s="28"/>
      <c r="C516" s="28"/>
      <c r="D516" s="282"/>
      <c r="E516" s="282"/>
      <c r="F516" s="282"/>
      <c r="G516" s="282"/>
      <c r="H516" s="282"/>
      <c r="I516" s="282"/>
      <c r="J516" s="282"/>
      <c r="K516" s="282"/>
      <c r="L516" s="282"/>
      <c r="M516" s="282"/>
      <c r="N516" s="282"/>
      <c r="O516" s="282"/>
      <c r="P516" s="282"/>
      <c r="Q516" s="282"/>
      <c r="R516" s="282"/>
      <c r="S516" s="282"/>
      <c r="T516" s="282"/>
      <c r="U516" s="282"/>
      <c r="V516" s="282"/>
      <c r="W516" s="282"/>
      <c r="X516" s="282"/>
      <c r="Y516" s="282"/>
      <c r="Z516" s="282"/>
      <c r="AA516" s="282"/>
      <c r="AB516" s="282"/>
      <c r="AC516" s="282"/>
      <c r="AD516" s="282"/>
      <c r="AE516" s="282"/>
      <c r="AF516" s="282"/>
      <c r="AG516" s="282"/>
      <c r="AH516" s="282"/>
      <c r="AI516" s="282"/>
      <c r="AJ516" s="282"/>
      <c r="AK516" s="282"/>
      <c r="AL516" s="282"/>
      <c r="AM516" s="282"/>
      <c r="AN516" s="282"/>
      <c r="AO516" s="282"/>
      <c r="AP516" s="282"/>
      <c r="AQ516" s="282"/>
      <c r="AR516" s="282"/>
      <c r="AS516" s="282"/>
      <c r="AT516" s="282"/>
      <c r="AU516" s="282"/>
      <c r="AV516" s="282"/>
      <c r="AW516" s="282"/>
      <c r="AX516" s="282"/>
      <c r="AY516" s="282"/>
      <c r="AZ516" s="282"/>
      <c r="BA516" s="282"/>
      <c r="BB516" s="282"/>
      <c r="BC516" s="282"/>
      <c r="BD516" s="282"/>
      <c r="BE516" s="282"/>
      <c r="BF516" s="282"/>
      <c r="BG516" s="282"/>
      <c r="BH516" s="282"/>
      <c r="BI516" s="282"/>
      <c r="BJ516" s="282"/>
      <c r="BK516" s="282"/>
      <c r="BL516" s="282"/>
      <c r="BM516" s="282"/>
      <c r="BN516" s="282"/>
      <c r="BO516" s="282"/>
      <c r="BP516" s="282"/>
      <c r="BQ516" s="282"/>
      <c r="BR516" s="282"/>
      <c r="BS516" s="282"/>
      <c r="BT516" s="282"/>
      <c r="BU516" s="283"/>
      <c r="BV516" s="283"/>
      <c r="BW516" s="283"/>
      <c r="BX516" s="283"/>
      <c r="BY516" s="283"/>
      <c r="BZ516" s="283"/>
      <c r="CA516" s="283"/>
      <c r="CB516" s="283"/>
      <c r="CC516" s="283"/>
      <c r="CD516" s="283"/>
      <c r="CE516" s="283"/>
      <c r="CF516" s="283"/>
      <c r="CG516" s="283"/>
      <c r="CH516" s="283"/>
      <c r="CI516" s="283"/>
      <c r="CJ516" s="283"/>
      <c r="CK516" s="283"/>
      <c r="CL516" s="283"/>
    </row>
    <row r="517" spans="1:90" ht="14.25" customHeight="1" x14ac:dyDescent="0.2">
      <c r="A517" s="28"/>
      <c r="B517" s="28"/>
      <c r="C517" s="28"/>
      <c r="D517" s="282"/>
      <c r="E517" s="282"/>
      <c r="F517" s="282"/>
      <c r="G517" s="282"/>
      <c r="H517" s="282"/>
      <c r="I517" s="282"/>
      <c r="J517" s="282"/>
      <c r="K517" s="282"/>
      <c r="L517" s="282"/>
      <c r="M517" s="282"/>
      <c r="N517" s="282"/>
      <c r="O517" s="282"/>
      <c r="P517" s="282"/>
      <c r="Q517" s="282"/>
      <c r="R517" s="282"/>
      <c r="S517" s="282"/>
      <c r="T517" s="282"/>
      <c r="U517" s="282"/>
      <c r="V517" s="282"/>
      <c r="W517" s="282"/>
      <c r="X517" s="282"/>
      <c r="Y517" s="282"/>
      <c r="Z517" s="282"/>
      <c r="AA517" s="282"/>
      <c r="AB517" s="282"/>
      <c r="AC517" s="282"/>
      <c r="AD517" s="282"/>
      <c r="AE517" s="282"/>
      <c r="AF517" s="282"/>
      <c r="AG517" s="282"/>
      <c r="AH517" s="282"/>
      <c r="AI517" s="282"/>
      <c r="AJ517" s="282"/>
      <c r="AK517" s="282"/>
      <c r="AL517" s="282"/>
      <c r="AM517" s="282"/>
      <c r="AN517" s="282"/>
      <c r="AO517" s="282"/>
      <c r="AP517" s="282"/>
      <c r="AQ517" s="282"/>
      <c r="AR517" s="282"/>
      <c r="AS517" s="282"/>
      <c r="AT517" s="282"/>
      <c r="AU517" s="282"/>
      <c r="AV517" s="282"/>
      <c r="AW517" s="282"/>
      <c r="AX517" s="282"/>
      <c r="AY517" s="282"/>
      <c r="AZ517" s="282"/>
      <c r="BA517" s="282"/>
      <c r="BB517" s="282"/>
      <c r="BC517" s="282"/>
      <c r="BD517" s="282"/>
      <c r="BE517" s="282"/>
      <c r="BF517" s="282"/>
      <c r="BG517" s="282"/>
      <c r="BH517" s="282"/>
      <c r="BI517" s="282"/>
      <c r="BJ517" s="282"/>
      <c r="BK517" s="282"/>
      <c r="BL517" s="282"/>
      <c r="BM517" s="282"/>
      <c r="BN517" s="282"/>
      <c r="BO517" s="282"/>
      <c r="BP517" s="282"/>
      <c r="BQ517" s="282"/>
      <c r="BR517" s="282"/>
      <c r="BS517" s="282"/>
      <c r="BT517" s="282"/>
      <c r="BU517" s="283"/>
      <c r="BV517" s="283"/>
      <c r="BW517" s="283"/>
      <c r="BX517" s="283"/>
      <c r="BY517" s="283"/>
      <c r="BZ517" s="283"/>
      <c r="CA517" s="283"/>
      <c r="CB517" s="283"/>
      <c r="CC517" s="283"/>
      <c r="CD517" s="283"/>
      <c r="CE517" s="283"/>
      <c r="CF517" s="283"/>
      <c r="CG517" s="283"/>
      <c r="CH517" s="283"/>
      <c r="CI517" s="283"/>
      <c r="CJ517" s="283"/>
      <c r="CK517" s="283"/>
      <c r="CL517" s="283"/>
    </row>
    <row r="518" spans="1:90" ht="14.25" customHeight="1" x14ac:dyDescent="0.2">
      <c r="A518" s="28"/>
      <c r="B518" s="28"/>
      <c r="C518" s="28"/>
      <c r="D518" s="282"/>
      <c r="E518" s="282"/>
      <c r="F518" s="282"/>
      <c r="G518" s="282"/>
      <c r="H518" s="282"/>
      <c r="I518" s="282"/>
      <c r="J518" s="282"/>
      <c r="K518" s="282"/>
      <c r="L518" s="282"/>
      <c r="M518" s="282"/>
      <c r="N518" s="282"/>
      <c r="O518" s="282"/>
      <c r="P518" s="282"/>
      <c r="Q518" s="282"/>
      <c r="R518" s="282"/>
      <c r="S518" s="282"/>
      <c r="T518" s="282"/>
      <c r="U518" s="282"/>
      <c r="V518" s="282"/>
      <c r="W518" s="282"/>
      <c r="X518" s="282"/>
      <c r="Y518" s="282"/>
      <c r="Z518" s="282"/>
      <c r="AA518" s="282"/>
      <c r="AB518" s="282"/>
      <c r="AC518" s="282"/>
      <c r="AD518" s="282"/>
      <c r="AE518" s="282"/>
      <c r="AF518" s="282"/>
      <c r="AG518" s="282"/>
      <c r="AH518" s="282"/>
      <c r="AI518" s="282"/>
      <c r="AJ518" s="282"/>
      <c r="AK518" s="282"/>
      <c r="AL518" s="282"/>
      <c r="AM518" s="282"/>
      <c r="AN518" s="282"/>
      <c r="AO518" s="282"/>
      <c r="AP518" s="282"/>
      <c r="AQ518" s="282"/>
      <c r="AR518" s="282"/>
      <c r="AS518" s="282"/>
      <c r="AT518" s="282"/>
      <c r="AU518" s="282"/>
      <c r="AV518" s="282"/>
      <c r="AW518" s="282"/>
      <c r="AX518" s="282"/>
      <c r="AY518" s="282"/>
      <c r="AZ518" s="282"/>
      <c r="BA518" s="282"/>
      <c r="BB518" s="282"/>
      <c r="BC518" s="282"/>
      <c r="BD518" s="282"/>
      <c r="BE518" s="282"/>
      <c r="BF518" s="282"/>
      <c r="BG518" s="282"/>
      <c r="BH518" s="282"/>
      <c r="BI518" s="282"/>
      <c r="BJ518" s="282"/>
      <c r="BK518" s="282"/>
      <c r="BL518" s="282"/>
      <c r="BM518" s="282"/>
      <c r="BN518" s="282"/>
      <c r="BO518" s="282"/>
      <c r="BP518" s="282"/>
      <c r="BQ518" s="282"/>
      <c r="BR518" s="282"/>
      <c r="BS518" s="282"/>
      <c r="BT518" s="282"/>
      <c r="BU518" s="283"/>
      <c r="BV518" s="283"/>
      <c r="BW518" s="283"/>
      <c r="BX518" s="283"/>
      <c r="BY518" s="283"/>
      <c r="BZ518" s="283"/>
      <c r="CA518" s="283"/>
      <c r="CB518" s="283"/>
      <c r="CC518" s="283"/>
      <c r="CD518" s="283"/>
      <c r="CE518" s="283"/>
      <c r="CF518" s="283"/>
      <c r="CG518" s="283"/>
      <c r="CH518" s="283"/>
      <c r="CI518" s="283"/>
      <c r="CJ518" s="283"/>
      <c r="CK518" s="283"/>
      <c r="CL518" s="283"/>
    </row>
    <row r="519" spans="1:90" ht="14.25" customHeight="1" x14ac:dyDescent="0.2">
      <c r="A519" s="28"/>
      <c r="B519" s="28"/>
      <c r="C519" s="28"/>
      <c r="D519" s="282"/>
      <c r="E519" s="282"/>
      <c r="F519" s="282"/>
      <c r="G519" s="282"/>
      <c r="H519" s="282"/>
      <c r="I519" s="282"/>
      <c r="J519" s="282"/>
      <c r="K519" s="282"/>
      <c r="L519" s="282"/>
      <c r="M519" s="282"/>
      <c r="N519" s="282"/>
      <c r="O519" s="282"/>
      <c r="P519" s="282"/>
      <c r="Q519" s="282"/>
      <c r="R519" s="282"/>
      <c r="S519" s="282"/>
      <c r="T519" s="282"/>
      <c r="U519" s="282"/>
      <c r="V519" s="282"/>
      <c r="W519" s="282"/>
      <c r="X519" s="282"/>
      <c r="Y519" s="282"/>
      <c r="Z519" s="282"/>
      <c r="AA519" s="282"/>
      <c r="AB519" s="282"/>
      <c r="AC519" s="282"/>
      <c r="AD519" s="282"/>
      <c r="AE519" s="282"/>
      <c r="AF519" s="282"/>
      <c r="AG519" s="282"/>
      <c r="AH519" s="282"/>
      <c r="AI519" s="282"/>
      <c r="AJ519" s="282"/>
      <c r="AK519" s="282"/>
      <c r="AL519" s="282"/>
      <c r="AM519" s="282"/>
      <c r="AN519" s="282"/>
      <c r="AO519" s="282"/>
      <c r="AP519" s="282"/>
      <c r="AQ519" s="282"/>
      <c r="AR519" s="282"/>
      <c r="AS519" s="282"/>
      <c r="AT519" s="282"/>
      <c r="AU519" s="282"/>
      <c r="AV519" s="282"/>
      <c r="AW519" s="282"/>
      <c r="AX519" s="282"/>
      <c r="AY519" s="282"/>
      <c r="AZ519" s="282"/>
      <c r="BA519" s="282"/>
      <c r="BB519" s="282"/>
      <c r="BC519" s="282"/>
      <c r="BD519" s="282"/>
      <c r="BE519" s="282"/>
      <c r="BF519" s="282"/>
      <c r="BG519" s="282"/>
      <c r="BH519" s="282"/>
      <c r="BI519" s="282"/>
      <c r="BJ519" s="282"/>
      <c r="BK519" s="282"/>
      <c r="BL519" s="282"/>
      <c r="BM519" s="282"/>
      <c r="BN519" s="282"/>
      <c r="BO519" s="282"/>
      <c r="BP519" s="282"/>
      <c r="BQ519" s="282"/>
      <c r="BR519" s="282"/>
      <c r="BS519" s="282"/>
      <c r="BT519" s="282"/>
      <c r="BU519" s="283"/>
      <c r="BV519" s="283"/>
      <c r="BW519" s="283"/>
      <c r="BX519" s="283"/>
      <c r="BY519" s="283"/>
      <c r="BZ519" s="283"/>
      <c r="CA519" s="283"/>
      <c r="CB519" s="283"/>
      <c r="CC519" s="283"/>
      <c r="CD519" s="283"/>
      <c r="CE519" s="283"/>
      <c r="CF519" s="283"/>
      <c r="CG519" s="283"/>
      <c r="CH519" s="283"/>
      <c r="CI519" s="283"/>
      <c r="CJ519" s="283"/>
      <c r="CK519" s="283"/>
      <c r="CL519" s="283"/>
    </row>
    <row r="520" spans="1:90" ht="14.25" customHeight="1" x14ac:dyDescent="0.2">
      <c r="A520" s="28"/>
      <c r="B520" s="28"/>
      <c r="C520" s="28"/>
      <c r="D520" s="282"/>
      <c r="E520" s="282"/>
      <c r="F520" s="282"/>
      <c r="G520" s="282"/>
      <c r="H520" s="282"/>
      <c r="I520" s="282"/>
      <c r="J520" s="282"/>
      <c r="K520" s="282"/>
      <c r="L520" s="282"/>
      <c r="M520" s="282"/>
      <c r="N520" s="282"/>
      <c r="O520" s="282"/>
      <c r="P520" s="282"/>
      <c r="Q520" s="282"/>
      <c r="R520" s="282"/>
      <c r="S520" s="282"/>
      <c r="T520" s="282"/>
      <c r="U520" s="282"/>
      <c r="V520" s="282"/>
      <c r="W520" s="282"/>
      <c r="X520" s="282"/>
      <c r="Y520" s="282"/>
      <c r="Z520" s="282"/>
      <c r="AA520" s="282"/>
      <c r="AB520" s="282"/>
      <c r="AC520" s="282"/>
      <c r="AD520" s="282"/>
      <c r="AE520" s="282"/>
      <c r="AF520" s="282"/>
      <c r="AG520" s="282"/>
      <c r="AH520" s="282"/>
      <c r="AI520" s="282"/>
      <c r="AJ520" s="282"/>
      <c r="AK520" s="282"/>
      <c r="AL520" s="282"/>
      <c r="AM520" s="282"/>
      <c r="AN520" s="282"/>
      <c r="AO520" s="282"/>
      <c r="AP520" s="282"/>
      <c r="AQ520" s="282"/>
      <c r="AR520" s="282"/>
      <c r="AS520" s="282"/>
      <c r="AT520" s="282"/>
      <c r="AU520" s="282"/>
      <c r="AV520" s="282"/>
      <c r="AW520" s="282"/>
      <c r="AX520" s="282"/>
      <c r="AY520" s="282"/>
      <c r="AZ520" s="282"/>
      <c r="BA520" s="282"/>
      <c r="BB520" s="282"/>
      <c r="BC520" s="282"/>
      <c r="BD520" s="282"/>
      <c r="BE520" s="282"/>
      <c r="BF520" s="282"/>
      <c r="BG520" s="282"/>
      <c r="BH520" s="282"/>
      <c r="BI520" s="282"/>
      <c r="BJ520" s="282"/>
      <c r="BK520" s="282"/>
      <c r="BL520" s="282"/>
      <c r="BM520" s="282"/>
      <c r="BN520" s="282"/>
      <c r="BO520" s="282"/>
      <c r="BP520" s="282"/>
      <c r="BQ520" s="282"/>
      <c r="BR520" s="282"/>
      <c r="BS520" s="282"/>
      <c r="BT520" s="282"/>
      <c r="BU520" s="283"/>
      <c r="BV520" s="283"/>
      <c r="BW520" s="283"/>
      <c r="BX520" s="283"/>
      <c r="BY520" s="283"/>
      <c r="BZ520" s="283"/>
      <c r="CA520" s="283"/>
      <c r="CB520" s="283"/>
      <c r="CC520" s="283"/>
      <c r="CD520" s="283"/>
      <c r="CE520" s="283"/>
      <c r="CF520" s="283"/>
      <c r="CG520" s="283"/>
      <c r="CH520" s="283"/>
      <c r="CI520" s="283"/>
      <c r="CJ520" s="283"/>
      <c r="CK520" s="283"/>
      <c r="CL520" s="283"/>
    </row>
    <row r="521" spans="1:90" ht="14.25" customHeight="1" x14ac:dyDescent="0.2">
      <c r="A521" s="28"/>
      <c r="B521" s="28"/>
      <c r="C521" s="28"/>
      <c r="D521" s="282"/>
      <c r="E521" s="282"/>
      <c r="F521" s="282"/>
      <c r="G521" s="282"/>
      <c r="H521" s="282"/>
      <c r="I521" s="282"/>
      <c r="J521" s="282"/>
      <c r="K521" s="282"/>
      <c r="L521" s="282"/>
      <c r="M521" s="282"/>
      <c r="N521" s="282"/>
      <c r="O521" s="282"/>
      <c r="P521" s="282"/>
      <c r="Q521" s="282"/>
      <c r="R521" s="282"/>
      <c r="S521" s="282"/>
      <c r="T521" s="282"/>
      <c r="U521" s="282"/>
      <c r="V521" s="282"/>
      <c r="W521" s="282"/>
      <c r="X521" s="282"/>
      <c r="Y521" s="282"/>
      <c r="Z521" s="282"/>
      <c r="AA521" s="282"/>
      <c r="AB521" s="282"/>
      <c r="AC521" s="282"/>
      <c r="AD521" s="282"/>
      <c r="AE521" s="282"/>
      <c r="AF521" s="282"/>
      <c r="AG521" s="282"/>
      <c r="AH521" s="282"/>
      <c r="AI521" s="282"/>
      <c r="AJ521" s="282"/>
      <c r="AK521" s="282"/>
      <c r="AL521" s="282"/>
      <c r="AM521" s="282"/>
      <c r="AN521" s="282"/>
      <c r="AO521" s="282"/>
      <c r="AP521" s="282"/>
      <c r="AQ521" s="282"/>
      <c r="AR521" s="282"/>
      <c r="AS521" s="282"/>
      <c r="AT521" s="282"/>
      <c r="AU521" s="282"/>
      <c r="AV521" s="282"/>
      <c r="AW521" s="282"/>
      <c r="AX521" s="282"/>
      <c r="AY521" s="282"/>
      <c r="AZ521" s="282"/>
      <c r="BA521" s="282"/>
      <c r="BB521" s="282"/>
      <c r="BC521" s="282"/>
      <c r="BD521" s="282"/>
      <c r="BE521" s="282"/>
      <c r="BF521" s="282"/>
      <c r="BG521" s="282"/>
      <c r="BH521" s="282"/>
      <c r="BI521" s="282"/>
      <c r="BJ521" s="282"/>
      <c r="BK521" s="282"/>
      <c r="BL521" s="282"/>
      <c r="BM521" s="282"/>
      <c r="BN521" s="282"/>
      <c r="BO521" s="282"/>
      <c r="BP521" s="282"/>
      <c r="BQ521" s="282"/>
      <c r="BR521" s="282"/>
      <c r="BS521" s="282"/>
      <c r="BT521" s="282"/>
      <c r="BU521" s="283"/>
      <c r="BV521" s="283"/>
      <c r="BW521" s="283"/>
      <c r="BX521" s="283"/>
      <c r="BY521" s="283"/>
      <c r="BZ521" s="283"/>
      <c r="CA521" s="283"/>
      <c r="CB521" s="283"/>
      <c r="CC521" s="283"/>
      <c r="CD521" s="283"/>
      <c r="CE521" s="283"/>
      <c r="CF521" s="283"/>
      <c r="CG521" s="283"/>
      <c r="CH521" s="283"/>
      <c r="CI521" s="283"/>
      <c r="CJ521" s="283"/>
      <c r="CK521" s="283"/>
      <c r="CL521" s="283"/>
    </row>
    <row r="522" spans="1:90" ht="14.25" customHeight="1" x14ac:dyDescent="0.2">
      <c r="A522" s="28"/>
      <c r="B522" s="28"/>
      <c r="C522" s="28"/>
      <c r="D522" s="282"/>
      <c r="E522" s="282"/>
      <c r="F522" s="282"/>
      <c r="G522" s="282"/>
      <c r="H522" s="282"/>
      <c r="I522" s="282"/>
      <c r="J522" s="282"/>
      <c r="K522" s="282"/>
      <c r="L522" s="282"/>
      <c r="M522" s="282"/>
      <c r="N522" s="282"/>
      <c r="O522" s="282"/>
      <c r="P522" s="282"/>
      <c r="Q522" s="282"/>
      <c r="R522" s="282"/>
      <c r="S522" s="282"/>
      <c r="T522" s="282"/>
      <c r="U522" s="282"/>
      <c r="V522" s="282"/>
      <c r="W522" s="282"/>
      <c r="X522" s="282"/>
      <c r="Y522" s="282"/>
      <c r="Z522" s="282"/>
      <c r="AA522" s="282"/>
      <c r="AB522" s="282"/>
      <c r="AC522" s="282"/>
      <c r="AD522" s="282"/>
      <c r="AE522" s="282"/>
      <c r="AF522" s="282"/>
      <c r="AG522" s="282"/>
      <c r="AH522" s="282"/>
      <c r="AI522" s="282"/>
      <c r="AJ522" s="282"/>
      <c r="AK522" s="282"/>
      <c r="AL522" s="282"/>
      <c r="AM522" s="282"/>
      <c r="AN522" s="282"/>
      <c r="AO522" s="282"/>
      <c r="AP522" s="282"/>
      <c r="AQ522" s="282"/>
      <c r="AR522" s="282"/>
      <c r="AS522" s="282"/>
      <c r="AT522" s="282"/>
      <c r="AU522" s="282"/>
      <c r="AV522" s="282"/>
      <c r="AW522" s="282"/>
      <c r="AX522" s="282"/>
      <c r="AY522" s="282"/>
      <c r="AZ522" s="282"/>
      <c r="BA522" s="282"/>
      <c r="BB522" s="282"/>
      <c r="BC522" s="282"/>
      <c r="BD522" s="282"/>
      <c r="BE522" s="282"/>
      <c r="BF522" s="282"/>
      <c r="BG522" s="282"/>
      <c r="BH522" s="282"/>
      <c r="BI522" s="282"/>
      <c r="BJ522" s="282"/>
      <c r="BK522" s="282"/>
      <c r="BL522" s="282"/>
      <c r="BM522" s="282"/>
      <c r="BN522" s="282"/>
      <c r="BO522" s="282"/>
      <c r="BP522" s="282"/>
      <c r="BQ522" s="282"/>
      <c r="BR522" s="282"/>
      <c r="BS522" s="282"/>
      <c r="BT522" s="282"/>
      <c r="BU522" s="283"/>
      <c r="BV522" s="283"/>
      <c r="BW522" s="283"/>
      <c r="BX522" s="283"/>
      <c r="BY522" s="283"/>
      <c r="BZ522" s="283"/>
      <c r="CA522" s="283"/>
      <c r="CB522" s="283"/>
      <c r="CC522" s="283"/>
      <c r="CD522" s="283"/>
      <c r="CE522" s="283"/>
      <c r="CF522" s="283"/>
      <c r="CG522" s="283"/>
      <c r="CH522" s="283"/>
      <c r="CI522" s="283"/>
      <c r="CJ522" s="283"/>
      <c r="CK522" s="283"/>
      <c r="CL522" s="283"/>
    </row>
    <row r="523" spans="1:90" ht="14.25" customHeight="1" x14ac:dyDescent="0.2">
      <c r="A523" s="28"/>
      <c r="B523" s="28"/>
      <c r="C523" s="28"/>
      <c r="D523" s="282"/>
      <c r="E523" s="282"/>
      <c r="F523" s="282"/>
      <c r="G523" s="282"/>
      <c r="H523" s="282"/>
      <c r="I523" s="282"/>
      <c r="J523" s="282"/>
      <c r="K523" s="282"/>
      <c r="L523" s="282"/>
      <c r="M523" s="282"/>
      <c r="N523" s="282"/>
      <c r="O523" s="282"/>
      <c r="P523" s="282"/>
      <c r="Q523" s="282"/>
      <c r="R523" s="282"/>
      <c r="S523" s="282"/>
      <c r="T523" s="282"/>
      <c r="U523" s="282"/>
      <c r="V523" s="282"/>
      <c r="W523" s="282"/>
      <c r="X523" s="282"/>
      <c r="Y523" s="282"/>
      <c r="Z523" s="282"/>
      <c r="AA523" s="282"/>
      <c r="AB523" s="282"/>
      <c r="AC523" s="282"/>
      <c r="AD523" s="282"/>
      <c r="AE523" s="282"/>
      <c r="AF523" s="282"/>
      <c r="AG523" s="282"/>
      <c r="AH523" s="282"/>
      <c r="AI523" s="282"/>
      <c r="AJ523" s="282"/>
      <c r="AK523" s="282"/>
      <c r="AL523" s="282"/>
      <c r="AM523" s="282"/>
      <c r="AN523" s="282"/>
      <c r="AO523" s="282"/>
      <c r="AP523" s="282"/>
      <c r="AQ523" s="282"/>
      <c r="AR523" s="282"/>
      <c r="AS523" s="282"/>
      <c r="AT523" s="282"/>
      <c r="AU523" s="282"/>
      <c r="AV523" s="282"/>
      <c r="AW523" s="282"/>
      <c r="AX523" s="282"/>
      <c r="AY523" s="282"/>
      <c r="AZ523" s="282"/>
      <c r="BA523" s="282"/>
      <c r="BB523" s="282"/>
      <c r="BC523" s="282"/>
      <c r="BD523" s="282"/>
      <c r="BE523" s="282"/>
      <c r="BF523" s="282"/>
      <c r="BG523" s="282"/>
      <c r="BH523" s="282"/>
      <c r="BI523" s="282"/>
      <c r="BJ523" s="282"/>
      <c r="BK523" s="282"/>
      <c r="BL523" s="282"/>
      <c r="BM523" s="282"/>
      <c r="BN523" s="282"/>
      <c r="BO523" s="282"/>
      <c r="BP523" s="282"/>
      <c r="BQ523" s="282"/>
      <c r="BR523" s="282"/>
      <c r="BS523" s="282"/>
      <c r="BT523" s="282"/>
      <c r="BU523" s="283"/>
      <c r="BV523" s="283"/>
      <c r="BW523" s="283"/>
      <c r="BX523" s="283"/>
      <c r="BY523" s="283"/>
      <c r="BZ523" s="283"/>
      <c r="CA523" s="283"/>
      <c r="CB523" s="283"/>
      <c r="CC523" s="283"/>
      <c r="CD523" s="283"/>
      <c r="CE523" s="283"/>
      <c r="CF523" s="283"/>
      <c r="CG523" s="283"/>
      <c r="CH523" s="283"/>
      <c r="CI523" s="283"/>
      <c r="CJ523" s="283"/>
      <c r="CK523" s="283"/>
      <c r="CL523" s="283"/>
    </row>
    <row r="524" spans="1:90" ht="14.25" customHeight="1" x14ac:dyDescent="0.2">
      <c r="A524" s="28"/>
      <c r="B524" s="28"/>
      <c r="C524" s="28"/>
      <c r="D524" s="282"/>
      <c r="E524" s="282"/>
      <c r="F524" s="282"/>
      <c r="G524" s="282"/>
      <c r="H524" s="282"/>
      <c r="I524" s="282"/>
      <c r="J524" s="282"/>
      <c r="K524" s="282"/>
      <c r="L524" s="282"/>
      <c r="M524" s="282"/>
      <c r="N524" s="282"/>
      <c r="O524" s="282"/>
      <c r="P524" s="282"/>
      <c r="Q524" s="282"/>
      <c r="R524" s="282"/>
      <c r="S524" s="282"/>
      <c r="T524" s="282"/>
      <c r="U524" s="282"/>
      <c r="V524" s="282"/>
      <c r="W524" s="282"/>
      <c r="X524" s="282"/>
      <c r="Y524" s="282"/>
      <c r="Z524" s="282"/>
      <c r="AA524" s="282"/>
      <c r="AB524" s="282"/>
      <c r="AC524" s="282"/>
      <c r="AD524" s="282"/>
      <c r="AE524" s="282"/>
      <c r="AF524" s="282"/>
      <c r="AG524" s="282"/>
      <c r="AH524" s="282"/>
      <c r="AI524" s="282"/>
      <c r="AJ524" s="282"/>
      <c r="AK524" s="282"/>
      <c r="AL524" s="282"/>
      <c r="AM524" s="282"/>
      <c r="AN524" s="282"/>
      <c r="AO524" s="282"/>
      <c r="AP524" s="282"/>
      <c r="AQ524" s="282"/>
      <c r="AR524" s="282"/>
      <c r="AS524" s="282"/>
      <c r="AT524" s="282"/>
      <c r="AU524" s="282"/>
      <c r="AV524" s="282"/>
      <c r="AW524" s="282"/>
      <c r="AX524" s="282"/>
      <c r="AY524" s="282"/>
      <c r="AZ524" s="282"/>
      <c r="BA524" s="282"/>
      <c r="BB524" s="282"/>
      <c r="BC524" s="282"/>
      <c r="BD524" s="282"/>
      <c r="BE524" s="282"/>
      <c r="BF524" s="282"/>
      <c r="BG524" s="282"/>
      <c r="BH524" s="282"/>
      <c r="BI524" s="282"/>
      <c r="BJ524" s="282"/>
      <c r="BK524" s="282"/>
      <c r="BL524" s="282"/>
      <c r="BM524" s="282"/>
      <c r="BN524" s="282"/>
      <c r="BO524" s="282"/>
      <c r="BP524" s="282"/>
      <c r="BQ524" s="282"/>
      <c r="BR524" s="282"/>
      <c r="BS524" s="282"/>
      <c r="BT524" s="282"/>
      <c r="BU524" s="283"/>
      <c r="BV524" s="283"/>
      <c r="BW524" s="283"/>
      <c r="BX524" s="283"/>
      <c r="BY524" s="283"/>
      <c r="BZ524" s="283"/>
      <c r="CA524" s="283"/>
      <c r="CB524" s="283"/>
      <c r="CC524" s="283"/>
      <c r="CD524" s="283"/>
      <c r="CE524" s="283"/>
      <c r="CF524" s="283"/>
      <c r="CG524" s="283"/>
      <c r="CH524" s="283"/>
      <c r="CI524" s="283"/>
      <c r="CJ524" s="283"/>
      <c r="CK524" s="283"/>
      <c r="CL524" s="283"/>
    </row>
    <row r="525" spans="1:90" ht="14.25" customHeight="1" x14ac:dyDescent="0.2">
      <c r="A525" s="28"/>
      <c r="B525" s="28"/>
      <c r="C525" s="28"/>
      <c r="D525" s="282"/>
      <c r="E525" s="282"/>
      <c r="F525" s="282"/>
      <c r="G525" s="282"/>
      <c r="H525" s="282"/>
      <c r="I525" s="282"/>
      <c r="J525" s="282"/>
      <c r="K525" s="282"/>
      <c r="L525" s="282"/>
      <c r="M525" s="282"/>
      <c r="N525" s="282"/>
      <c r="O525" s="282"/>
      <c r="P525" s="282"/>
      <c r="Q525" s="282"/>
      <c r="R525" s="282"/>
      <c r="S525" s="282"/>
      <c r="T525" s="282"/>
      <c r="U525" s="282"/>
      <c r="V525" s="282"/>
      <c r="W525" s="282"/>
      <c r="X525" s="282"/>
      <c r="Y525" s="282"/>
      <c r="Z525" s="282"/>
      <c r="AA525" s="282"/>
      <c r="AB525" s="282"/>
      <c r="AC525" s="282"/>
      <c r="AD525" s="282"/>
      <c r="AE525" s="282"/>
      <c r="AF525" s="282"/>
      <c r="AG525" s="282"/>
      <c r="AH525" s="282"/>
      <c r="AI525" s="282"/>
      <c r="AJ525" s="282"/>
      <c r="AK525" s="282"/>
      <c r="AL525" s="282"/>
      <c r="AM525" s="282"/>
      <c r="AN525" s="282"/>
      <c r="AO525" s="282"/>
      <c r="AP525" s="282"/>
      <c r="AQ525" s="282"/>
      <c r="AR525" s="282"/>
      <c r="AS525" s="282"/>
      <c r="AT525" s="282"/>
      <c r="AU525" s="282"/>
      <c r="AV525" s="282"/>
      <c r="AW525" s="282"/>
      <c r="AX525" s="282"/>
      <c r="AY525" s="282"/>
      <c r="AZ525" s="282"/>
      <c r="BA525" s="282"/>
      <c r="BB525" s="282"/>
      <c r="BC525" s="282"/>
      <c r="BD525" s="282"/>
      <c r="BE525" s="282"/>
      <c r="BF525" s="282"/>
      <c r="BG525" s="282"/>
      <c r="BH525" s="282"/>
      <c r="BI525" s="282"/>
      <c r="BJ525" s="282"/>
      <c r="BK525" s="282"/>
      <c r="BL525" s="282"/>
      <c r="BM525" s="282"/>
      <c r="BN525" s="282"/>
      <c r="BO525" s="282"/>
      <c r="BP525" s="282"/>
      <c r="BQ525" s="282"/>
      <c r="BR525" s="282"/>
      <c r="BS525" s="282"/>
      <c r="BT525" s="282"/>
      <c r="BU525" s="283"/>
      <c r="BV525" s="283"/>
      <c r="BW525" s="283"/>
      <c r="BX525" s="283"/>
      <c r="BY525" s="283"/>
      <c r="BZ525" s="283"/>
      <c r="CA525" s="283"/>
      <c r="CB525" s="283"/>
      <c r="CC525" s="283"/>
      <c r="CD525" s="283"/>
      <c r="CE525" s="283"/>
      <c r="CF525" s="283"/>
      <c r="CG525" s="283"/>
      <c r="CH525" s="283"/>
      <c r="CI525" s="283"/>
      <c r="CJ525" s="283"/>
      <c r="CK525" s="283"/>
      <c r="CL525" s="283"/>
    </row>
    <row r="526" spans="1:90" ht="14.25" customHeight="1" x14ac:dyDescent="0.2">
      <c r="A526" s="28"/>
      <c r="B526" s="28"/>
      <c r="C526" s="28"/>
      <c r="D526" s="282"/>
      <c r="E526" s="282"/>
      <c r="F526" s="282"/>
      <c r="G526" s="282"/>
      <c r="H526" s="282"/>
      <c r="I526" s="282"/>
      <c r="J526" s="282"/>
      <c r="K526" s="282"/>
      <c r="L526" s="282"/>
      <c r="M526" s="282"/>
      <c r="N526" s="282"/>
      <c r="O526" s="282"/>
      <c r="P526" s="282"/>
      <c r="Q526" s="282"/>
      <c r="R526" s="282"/>
      <c r="S526" s="282"/>
      <c r="T526" s="282"/>
      <c r="U526" s="282"/>
      <c r="V526" s="282"/>
      <c r="W526" s="282"/>
      <c r="X526" s="282"/>
      <c r="Y526" s="282"/>
      <c r="Z526" s="282"/>
      <c r="AA526" s="282"/>
      <c r="AB526" s="282"/>
      <c r="AC526" s="282"/>
      <c r="AD526" s="282"/>
      <c r="AE526" s="282"/>
      <c r="AF526" s="282"/>
      <c r="AG526" s="282"/>
      <c r="AH526" s="282"/>
      <c r="AI526" s="282"/>
      <c r="AJ526" s="282"/>
      <c r="AK526" s="282"/>
      <c r="AL526" s="282"/>
      <c r="AM526" s="282"/>
      <c r="AN526" s="282"/>
      <c r="AO526" s="282"/>
      <c r="AP526" s="282"/>
      <c r="AQ526" s="282"/>
      <c r="AR526" s="282"/>
      <c r="AS526" s="282"/>
      <c r="AT526" s="282"/>
      <c r="AU526" s="282"/>
      <c r="AV526" s="282"/>
      <c r="AW526" s="282"/>
      <c r="AX526" s="282"/>
      <c r="AY526" s="282"/>
      <c r="AZ526" s="282"/>
      <c r="BA526" s="282"/>
      <c r="BB526" s="282"/>
      <c r="BC526" s="282"/>
      <c r="BD526" s="282"/>
      <c r="BE526" s="282"/>
      <c r="BF526" s="282"/>
      <c r="BG526" s="282"/>
      <c r="BH526" s="282"/>
      <c r="BI526" s="282"/>
      <c r="BJ526" s="282"/>
      <c r="BK526" s="282"/>
      <c r="BL526" s="282"/>
      <c r="BM526" s="282"/>
      <c r="BN526" s="282"/>
      <c r="BO526" s="282"/>
      <c r="BP526" s="282"/>
      <c r="BQ526" s="282"/>
      <c r="BR526" s="282"/>
      <c r="BS526" s="282"/>
      <c r="BT526" s="282"/>
      <c r="BU526" s="283"/>
      <c r="BV526" s="283"/>
      <c r="BW526" s="283"/>
      <c r="BX526" s="283"/>
      <c r="BY526" s="283"/>
      <c r="BZ526" s="283"/>
      <c r="CA526" s="283"/>
      <c r="CB526" s="283"/>
      <c r="CC526" s="283"/>
      <c r="CD526" s="283"/>
      <c r="CE526" s="283"/>
      <c r="CF526" s="283"/>
      <c r="CG526" s="283"/>
      <c r="CH526" s="283"/>
      <c r="CI526" s="283"/>
      <c r="CJ526" s="283"/>
      <c r="CK526" s="283"/>
      <c r="CL526" s="283"/>
    </row>
    <row r="527" spans="1:90" ht="14.25" customHeight="1" x14ac:dyDescent="0.2">
      <c r="A527" s="28"/>
      <c r="B527" s="28"/>
      <c r="C527" s="28"/>
      <c r="D527" s="282"/>
      <c r="E527" s="282"/>
      <c r="F527" s="282"/>
      <c r="G527" s="282"/>
      <c r="H527" s="282"/>
      <c r="I527" s="282"/>
      <c r="J527" s="282"/>
      <c r="K527" s="282"/>
      <c r="L527" s="282"/>
      <c r="M527" s="282"/>
      <c r="N527" s="282"/>
      <c r="O527" s="282"/>
      <c r="P527" s="282"/>
      <c r="Q527" s="282"/>
      <c r="R527" s="282"/>
      <c r="S527" s="282"/>
      <c r="T527" s="282"/>
      <c r="U527" s="282"/>
      <c r="V527" s="282"/>
      <c r="W527" s="282"/>
      <c r="X527" s="282"/>
      <c r="Y527" s="282"/>
      <c r="Z527" s="282"/>
      <c r="AA527" s="282"/>
      <c r="AB527" s="282"/>
      <c r="AC527" s="282"/>
      <c r="AD527" s="282"/>
      <c r="AE527" s="282"/>
      <c r="AF527" s="282"/>
      <c r="AG527" s="282"/>
      <c r="AH527" s="282"/>
      <c r="AI527" s="282"/>
      <c r="AJ527" s="282"/>
      <c r="AK527" s="282"/>
      <c r="AL527" s="282"/>
      <c r="AM527" s="282"/>
      <c r="AN527" s="282"/>
      <c r="AO527" s="282"/>
      <c r="AP527" s="282"/>
      <c r="AQ527" s="282"/>
      <c r="AR527" s="282"/>
      <c r="AS527" s="282"/>
      <c r="AT527" s="282"/>
      <c r="AU527" s="282"/>
      <c r="AV527" s="282"/>
      <c r="AW527" s="282"/>
      <c r="AX527" s="282"/>
      <c r="AY527" s="282"/>
      <c r="AZ527" s="282"/>
      <c r="BA527" s="282"/>
      <c r="BB527" s="282"/>
      <c r="BC527" s="282"/>
      <c r="BD527" s="282"/>
      <c r="BE527" s="282"/>
      <c r="BF527" s="282"/>
      <c r="BG527" s="282"/>
      <c r="BH527" s="282"/>
      <c r="BI527" s="282"/>
      <c r="BJ527" s="282"/>
      <c r="BK527" s="282"/>
      <c r="BL527" s="282"/>
      <c r="BM527" s="282"/>
      <c r="BN527" s="282"/>
      <c r="BO527" s="282"/>
      <c r="BP527" s="282"/>
      <c r="BQ527" s="282"/>
      <c r="BR527" s="282"/>
      <c r="BS527" s="282"/>
      <c r="BT527" s="282"/>
      <c r="BU527" s="283"/>
      <c r="BV527" s="283"/>
      <c r="BW527" s="283"/>
      <c r="BX527" s="283"/>
      <c r="BY527" s="283"/>
      <c r="BZ527" s="283"/>
      <c r="CA527" s="283"/>
      <c r="CB527" s="283"/>
      <c r="CC527" s="283"/>
      <c r="CD527" s="283"/>
      <c r="CE527" s="283"/>
      <c r="CF527" s="283"/>
      <c r="CG527" s="283"/>
      <c r="CH527" s="283"/>
      <c r="CI527" s="283"/>
      <c r="CJ527" s="283"/>
      <c r="CK527" s="283"/>
      <c r="CL527" s="283"/>
    </row>
    <row r="528" spans="1:90" ht="14.25" customHeight="1" x14ac:dyDescent="0.2">
      <c r="A528" s="28"/>
      <c r="B528" s="28"/>
      <c r="C528" s="28"/>
      <c r="D528" s="282"/>
      <c r="E528" s="282"/>
      <c r="F528" s="282"/>
      <c r="G528" s="282"/>
      <c r="H528" s="282"/>
      <c r="I528" s="282"/>
      <c r="J528" s="282"/>
      <c r="K528" s="282"/>
      <c r="L528" s="282"/>
      <c r="M528" s="282"/>
      <c r="N528" s="282"/>
      <c r="O528" s="282"/>
      <c r="P528" s="282"/>
      <c r="Q528" s="282"/>
      <c r="R528" s="282"/>
      <c r="S528" s="282"/>
      <c r="T528" s="282"/>
      <c r="U528" s="282"/>
      <c r="V528" s="282"/>
      <c r="W528" s="282"/>
      <c r="X528" s="282"/>
      <c r="Y528" s="282"/>
      <c r="Z528" s="282"/>
      <c r="AA528" s="282"/>
      <c r="AB528" s="282"/>
      <c r="AC528" s="282"/>
      <c r="AD528" s="282"/>
      <c r="AE528" s="282"/>
      <c r="AF528" s="282"/>
      <c r="AG528" s="282"/>
      <c r="AH528" s="282"/>
      <c r="AI528" s="282"/>
      <c r="AJ528" s="282"/>
      <c r="AK528" s="282"/>
      <c r="AL528" s="282"/>
      <c r="AM528" s="282"/>
      <c r="AN528" s="282"/>
      <c r="AO528" s="282"/>
      <c r="AP528" s="282"/>
      <c r="AQ528" s="282"/>
      <c r="AR528" s="282"/>
      <c r="AS528" s="282"/>
      <c r="AT528" s="282"/>
      <c r="AU528" s="282"/>
      <c r="AV528" s="282"/>
      <c r="AW528" s="282"/>
      <c r="AX528" s="282"/>
      <c r="AY528" s="282"/>
      <c r="AZ528" s="282"/>
      <c r="BA528" s="282"/>
      <c r="BB528" s="282"/>
      <c r="BC528" s="282"/>
      <c r="BD528" s="282"/>
      <c r="BE528" s="282"/>
      <c r="BF528" s="282"/>
      <c r="BG528" s="282"/>
      <c r="BH528" s="282"/>
      <c r="BI528" s="282"/>
      <c r="BJ528" s="282"/>
      <c r="BK528" s="282"/>
      <c r="BL528" s="282"/>
      <c r="BM528" s="282"/>
      <c r="BN528" s="282"/>
      <c r="BO528" s="282"/>
      <c r="BP528" s="282"/>
      <c r="BQ528" s="282"/>
      <c r="BR528" s="282"/>
      <c r="BS528" s="282"/>
      <c r="BT528" s="282"/>
      <c r="BU528" s="283"/>
      <c r="BV528" s="283"/>
      <c r="BW528" s="283"/>
      <c r="BX528" s="283"/>
      <c r="BY528" s="283"/>
      <c r="BZ528" s="283"/>
      <c r="CA528" s="283"/>
      <c r="CB528" s="283"/>
      <c r="CC528" s="283"/>
      <c r="CD528" s="283"/>
      <c r="CE528" s="283"/>
      <c r="CF528" s="283"/>
      <c r="CG528" s="283"/>
      <c r="CH528" s="283"/>
      <c r="CI528" s="283"/>
      <c r="CJ528" s="283"/>
      <c r="CK528" s="283"/>
      <c r="CL528" s="283"/>
    </row>
    <row r="529" spans="1:90" ht="14.25" customHeight="1" x14ac:dyDescent="0.2">
      <c r="A529" s="28"/>
      <c r="B529" s="28"/>
      <c r="C529" s="28"/>
      <c r="D529" s="282"/>
      <c r="E529" s="282"/>
      <c r="F529" s="282"/>
      <c r="G529" s="282"/>
      <c r="H529" s="282"/>
      <c r="I529" s="282"/>
      <c r="J529" s="282"/>
      <c r="K529" s="282"/>
      <c r="L529" s="282"/>
      <c r="M529" s="282"/>
      <c r="N529" s="282"/>
      <c r="O529" s="282"/>
      <c r="P529" s="282"/>
      <c r="Q529" s="282"/>
      <c r="R529" s="282"/>
      <c r="S529" s="282"/>
      <c r="T529" s="282"/>
      <c r="U529" s="282"/>
      <c r="V529" s="282"/>
      <c r="W529" s="282"/>
      <c r="X529" s="282"/>
      <c r="Y529" s="282"/>
      <c r="Z529" s="282"/>
      <c r="AA529" s="282"/>
      <c r="AB529" s="282"/>
      <c r="AC529" s="282"/>
      <c r="AD529" s="282"/>
      <c r="AE529" s="282"/>
      <c r="AF529" s="282"/>
      <c r="AG529" s="282"/>
      <c r="AH529" s="282"/>
      <c r="AI529" s="282"/>
      <c r="AJ529" s="282"/>
      <c r="AK529" s="282"/>
      <c r="AL529" s="282"/>
      <c r="AM529" s="282"/>
      <c r="AN529" s="282"/>
      <c r="AO529" s="282"/>
      <c r="AP529" s="282"/>
      <c r="AQ529" s="282"/>
      <c r="AR529" s="282"/>
      <c r="AS529" s="282"/>
      <c r="AT529" s="282"/>
      <c r="AU529" s="282"/>
      <c r="AV529" s="282"/>
      <c r="AW529" s="282"/>
      <c r="AX529" s="282"/>
      <c r="AY529" s="282"/>
      <c r="AZ529" s="282"/>
      <c r="BA529" s="282"/>
      <c r="BB529" s="282"/>
      <c r="BC529" s="282"/>
      <c r="BD529" s="282"/>
      <c r="BE529" s="282"/>
      <c r="BF529" s="282"/>
      <c r="BG529" s="282"/>
      <c r="BH529" s="282"/>
      <c r="BI529" s="282"/>
      <c r="BJ529" s="282"/>
      <c r="BK529" s="282"/>
      <c r="BL529" s="282"/>
      <c r="BM529" s="282"/>
      <c r="BN529" s="282"/>
      <c r="BO529" s="282"/>
      <c r="BP529" s="282"/>
      <c r="BQ529" s="282"/>
      <c r="BR529" s="282"/>
      <c r="BS529" s="282"/>
      <c r="BT529" s="282"/>
      <c r="BU529" s="283"/>
      <c r="BV529" s="283"/>
      <c r="BW529" s="283"/>
      <c r="BX529" s="283"/>
      <c r="BY529" s="283"/>
      <c r="BZ529" s="283"/>
      <c r="CA529" s="283"/>
      <c r="CB529" s="283"/>
      <c r="CC529" s="283"/>
      <c r="CD529" s="283"/>
      <c r="CE529" s="283"/>
      <c r="CF529" s="283"/>
      <c r="CG529" s="283"/>
      <c r="CH529" s="283"/>
      <c r="CI529" s="283"/>
      <c r="CJ529" s="283"/>
      <c r="CK529" s="283"/>
      <c r="CL529" s="283"/>
    </row>
    <row r="530" spans="1:90" ht="14.25" customHeight="1" x14ac:dyDescent="0.2">
      <c r="A530" s="28"/>
      <c r="B530" s="28"/>
      <c r="C530" s="28"/>
      <c r="D530" s="282"/>
      <c r="E530" s="282"/>
      <c r="F530" s="282"/>
      <c r="G530" s="282"/>
      <c r="H530" s="282"/>
      <c r="I530" s="282"/>
      <c r="J530" s="282"/>
      <c r="K530" s="282"/>
      <c r="L530" s="282"/>
      <c r="M530" s="282"/>
      <c r="N530" s="282"/>
      <c r="O530" s="282"/>
      <c r="P530" s="282"/>
      <c r="Q530" s="282"/>
      <c r="R530" s="282"/>
      <c r="S530" s="282"/>
      <c r="T530" s="282"/>
      <c r="U530" s="282"/>
      <c r="V530" s="282"/>
      <c r="W530" s="282"/>
      <c r="X530" s="282"/>
      <c r="Y530" s="282"/>
      <c r="Z530" s="282"/>
      <c r="AA530" s="282"/>
      <c r="AB530" s="282"/>
      <c r="AC530" s="282"/>
      <c r="AD530" s="282"/>
      <c r="AE530" s="282"/>
      <c r="AF530" s="282"/>
      <c r="AG530" s="282"/>
      <c r="AH530" s="282"/>
      <c r="AI530" s="282"/>
      <c r="AJ530" s="282"/>
      <c r="AK530" s="282"/>
      <c r="AL530" s="282"/>
      <c r="AM530" s="282"/>
      <c r="AN530" s="282"/>
      <c r="AO530" s="282"/>
      <c r="AP530" s="282"/>
      <c r="AQ530" s="282"/>
      <c r="AR530" s="282"/>
      <c r="AS530" s="282"/>
      <c r="AT530" s="282"/>
      <c r="AU530" s="282"/>
      <c r="AV530" s="282"/>
      <c r="AW530" s="282"/>
      <c r="AX530" s="282"/>
      <c r="AY530" s="282"/>
      <c r="AZ530" s="282"/>
      <c r="BA530" s="282"/>
      <c r="BB530" s="282"/>
      <c r="BC530" s="282"/>
      <c r="BD530" s="282"/>
      <c r="BE530" s="282"/>
      <c r="BF530" s="282"/>
      <c r="BG530" s="282"/>
      <c r="BH530" s="282"/>
      <c r="BI530" s="282"/>
      <c r="BJ530" s="282"/>
      <c r="BK530" s="282"/>
      <c r="BL530" s="282"/>
      <c r="BM530" s="282"/>
      <c r="BN530" s="282"/>
      <c r="BO530" s="282"/>
      <c r="BP530" s="282"/>
      <c r="BQ530" s="282"/>
      <c r="BR530" s="282"/>
      <c r="BS530" s="282"/>
      <c r="BT530" s="282"/>
      <c r="BU530" s="283"/>
      <c r="BV530" s="283"/>
      <c r="BW530" s="283"/>
      <c r="BX530" s="283"/>
      <c r="BY530" s="283"/>
      <c r="BZ530" s="283"/>
      <c r="CA530" s="283"/>
      <c r="CB530" s="283"/>
      <c r="CC530" s="283"/>
      <c r="CD530" s="283"/>
      <c r="CE530" s="283"/>
      <c r="CF530" s="283"/>
      <c r="CG530" s="283"/>
      <c r="CH530" s="283"/>
      <c r="CI530" s="283"/>
      <c r="CJ530" s="283"/>
      <c r="CK530" s="283"/>
      <c r="CL530" s="283"/>
    </row>
    <row r="531" spans="1:90" ht="14.25" customHeight="1" x14ac:dyDescent="0.2">
      <c r="A531" s="28"/>
      <c r="B531" s="28"/>
      <c r="C531" s="28"/>
      <c r="D531" s="282"/>
      <c r="E531" s="282"/>
      <c r="F531" s="282"/>
      <c r="G531" s="282"/>
      <c r="H531" s="282"/>
      <c r="I531" s="282"/>
      <c r="J531" s="282"/>
      <c r="K531" s="282"/>
      <c r="L531" s="282"/>
      <c r="M531" s="282"/>
      <c r="N531" s="282"/>
      <c r="O531" s="282"/>
      <c r="P531" s="282"/>
      <c r="Q531" s="282"/>
      <c r="R531" s="282"/>
      <c r="S531" s="282"/>
      <c r="T531" s="282"/>
      <c r="U531" s="282"/>
      <c r="V531" s="282"/>
      <c r="W531" s="282"/>
      <c r="X531" s="282"/>
      <c r="Y531" s="282"/>
      <c r="Z531" s="282"/>
      <c r="AA531" s="282"/>
      <c r="AB531" s="282"/>
      <c r="AC531" s="282"/>
      <c r="AD531" s="282"/>
      <c r="AE531" s="282"/>
      <c r="AF531" s="282"/>
      <c r="AG531" s="282"/>
      <c r="AH531" s="282"/>
      <c r="AI531" s="282"/>
      <c r="AJ531" s="282"/>
      <c r="AK531" s="282"/>
      <c r="AL531" s="282"/>
      <c r="AM531" s="282"/>
      <c r="AN531" s="282"/>
      <c r="AO531" s="282"/>
      <c r="AP531" s="282"/>
      <c r="AQ531" s="282"/>
      <c r="AR531" s="282"/>
      <c r="AS531" s="282"/>
      <c r="AT531" s="282"/>
      <c r="AU531" s="282"/>
      <c r="AV531" s="282"/>
      <c r="AW531" s="282"/>
      <c r="AX531" s="282"/>
      <c r="AY531" s="282"/>
      <c r="AZ531" s="282"/>
      <c r="BA531" s="282"/>
      <c r="BB531" s="282"/>
      <c r="BC531" s="282"/>
      <c r="BD531" s="282"/>
      <c r="BE531" s="282"/>
      <c r="BF531" s="282"/>
      <c r="BG531" s="282"/>
      <c r="BH531" s="282"/>
      <c r="BI531" s="282"/>
      <c r="BJ531" s="282"/>
      <c r="BK531" s="282"/>
      <c r="BL531" s="282"/>
      <c r="BM531" s="282"/>
      <c r="BN531" s="282"/>
      <c r="BO531" s="282"/>
      <c r="BP531" s="282"/>
      <c r="BQ531" s="282"/>
      <c r="BR531" s="282"/>
      <c r="BS531" s="282"/>
      <c r="BT531" s="282"/>
      <c r="BU531" s="283"/>
      <c r="BV531" s="283"/>
      <c r="BW531" s="283"/>
      <c r="BX531" s="283"/>
      <c r="BY531" s="283"/>
      <c r="BZ531" s="283"/>
      <c r="CA531" s="283"/>
      <c r="CB531" s="283"/>
      <c r="CC531" s="283"/>
      <c r="CD531" s="283"/>
      <c r="CE531" s="283"/>
      <c r="CF531" s="283"/>
      <c r="CG531" s="283"/>
      <c r="CH531" s="283"/>
      <c r="CI531" s="283"/>
      <c r="CJ531" s="283"/>
      <c r="CK531" s="283"/>
      <c r="CL531" s="283"/>
    </row>
    <row r="532" spans="1:90" ht="14.25" customHeight="1" x14ac:dyDescent="0.2">
      <c r="A532" s="28"/>
      <c r="B532" s="28"/>
      <c r="C532" s="28"/>
      <c r="D532" s="282"/>
      <c r="E532" s="282"/>
      <c r="F532" s="282"/>
      <c r="G532" s="282"/>
      <c r="H532" s="282"/>
      <c r="I532" s="282"/>
      <c r="J532" s="282"/>
      <c r="K532" s="282"/>
      <c r="L532" s="282"/>
      <c r="M532" s="282"/>
      <c r="N532" s="282"/>
      <c r="O532" s="282"/>
      <c r="P532" s="282"/>
      <c r="Q532" s="282"/>
      <c r="R532" s="282"/>
      <c r="S532" s="282"/>
      <c r="T532" s="282"/>
      <c r="U532" s="282"/>
      <c r="V532" s="282"/>
      <c r="W532" s="282"/>
      <c r="X532" s="282"/>
      <c r="Y532" s="282"/>
      <c r="Z532" s="282"/>
      <c r="AA532" s="282"/>
      <c r="AB532" s="282"/>
      <c r="AC532" s="282"/>
      <c r="AD532" s="282"/>
      <c r="AE532" s="282"/>
      <c r="AF532" s="282"/>
      <c r="AG532" s="282"/>
      <c r="AH532" s="282"/>
      <c r="AI532" s="282"/>
      <c r="AJ532" s="282"/>
      <c r="AK532" s="282"/>
      <c r="AL532" s="282"/>
      <c r="AM532" s="282"/>
      <c r="AN532" s="282"/>
      <c r="AO532" s="282"/>
      <c r="AP532" s="282"/>
      <c r="AQ532" s="282"/>
      <c r="AR532" s="282"/>
      <c r="AS532" s="282"/>
      <c r="AT532" s="282"/>
      <c r="AU532" s="282"/>
      <c r="AV532" s="282"/>
      <c r="AW532" s="282"/>
      <c r="AX532" s="282"/>
      <c r="AY532" s="282"/>
      <c r="AZ532" s="282"/>
      <c r="BA532" s="282"/>
      <c r="BB532" s="282"/>
      <c r="BC532" s="282"/>
      <c r="BD532" s="282"/>
      <c r="BE532" s="282"/>
      <c r="BF532" s="282"/>
      <c r="BG532" s="282"/>
      <c r="BH532" s="282"/>
      <c r="BI532" s="282"/>
      <c r="BJ532" s="282"/>
      <c r="BK532" s="282"/>
      <c r="BL532" s="282"/>
      <c r="BM532" s="282"/>
      <c r="BN532" s="282"/>
      <c r="BO532" s="282"/>
      <c r="BP532" s="282"/>
      <c r="BQ532" s="282"/>
      <c r="BR532" s="282"/>
      <c r="BS532" s="282"/>
      <c r="BT532" s="282"/>
      <c r="BU532" s="283"/>
      <c r="BV532" s="283"/>
      <c r="BW532" s="283"/>
      <c r="BX532" s="283"/>
      <c r="BY532" s="283"/>
      <c r="BZ532" s="283"/>
      <c r="CA532" s="283"/>
      <c r="CB532" s="283"/>
      <c r="CC532" s="283"/>
      <c r="CD532" s="283"/>
      <c r="CE532" s="283"/>
      <c r="CF532" s="283"/>
      <c r="CG532" s="283"/>
      <c r="CH532" s="283"/>
      <c r="CI532" s="283"/>
      <c r="CJ532" s="283"/>
      <c r="CK532" s="283"/>
      <c r="CL532" s="283"/>
    </row>
    <row r="533" spans="1:90" ht="14.25" customHeight="1" x14ac:dyDescent="0.2">
      <c r="A533" s="28"/>
      <c r="B533" s="28"/>
      <c r="C533" s="28"/>
      <c r="D533" s="282"/>
      <c r="E533" s="282"/>
      <c r="F533" s="282"/>
      <c r="G533" s="282"/>
      <c r="H533" s="282"/>
      <c r="I533" s="282"/>
      <c r="J533" s="282"/>
      <c r="K533" s="282"/>
      <c r="L533" s="282"/>
      <c r="M533" s="282"/>
      <c r="N533" s="282"/>
      <c r="O533" s="282"/>
      <c r="P533" s="282"/>
      <c r="Q533" s="282"/>
      <c r="R533" s="282"/>
      <c r="S533" s="282"/>
      <c r="T533" s="282"/>
      <c r="U533" s="282"/>
      <c r="V533" s="282"/>
      <c r="W533" s="282"/>
      <c r="X533" s="282"/>
      <c r="Y533" s="282"/>
      <c r="Z533" s="282"/>
      <c r="AA533" s="282"/>
      <c r="AB533" s="282"/>
      <c r="AC533" s="282"/>
      <c r="AD533" s="282"/>
      <c r="AE533" s="282"/>
      <c r="AF533" s="282"/>
      <c r="AG533" s="282"/>
      <c r="AH533" s="282"/>
      <c r="AI533" s="282"/>
      <c r="AJ533" s="282"/>
      <c r="AK533" s="282"/>
      <c r="AL533" s="282"/>
      <c r="AM533" s="282"/>
      <c r="AN533" s="282"/>
      <c r="AO533" s="282"/>
      <c r="AP533" s="282"/>
      <c r="AQ533" s="282"/>
      <c r="AR533" s="282"/>
      <c r="AS533" s="282"/>
      <c r="AT533" s="282"/>
      <c r="AU533" s="282"/>
      <c r="AV533" s="282"/>
      <c r="AW533" s="282"/>
      <c r="AX533" s="282"/>
      <c r="AY533" s="282"/>
      <c r="AZ533" s="282"/>
      <c r="BA533" s="282"/>
      <c r="BB533" s="282"/>
      <c r="BC533" s="282"/>
      <c r="BD533" s="282"/>
      <c r="BE533" s="282"/>
      <c r="BF533" s="282"/>
      <c r="BG533" s="282"/>
      <c r="BH533" s="282"/>
      <c r="BI533" s="282"/>
      <c r="BJ533" s="282"/>
      <c r="BK533" s="282"/>
      <c r="BL533" s="282"/>
      <c r="BM533" s="282"/>
      <c r="BN533" s="282"/>
      <c r="BO533" s="282"/>
      <c r="BP533" s="282"/>
      <c r="BQ533" s="282"/>
      <c r="BR533" s="282"/>
      <c r="BS533" s="282"/>
      <c r="BT533" s="282"/>
      <c r="BU533" s="283"/>
      <c r="BV533" s="283"/>
      <c r="BW533" s="283"/>
      <c r="BX533" s="283"/>
      <c r="BY533" s="283"/>
      <c r="BZ533" s="283"/>
      <c r="CA533" s="283"/>
      <c r="CB533" s="283"/>
      <c r="CC533" s="283"/>
      <c r="CD533" s="283"/>
      <c r="CE533" s="283"/>
      <c r="CF533" s="283"/>
      <c r="CG533" s="283"/>
      <c r="CH533" s="283"/>
      <c r="CI533" s="283"/>
      <c r="CJ533" s="283"/>
      <c r="CK533" s="283"/>
      <c r="CL533" s="283"/>
    </row>
    <row r="534" spans="1:90" ht="14.25" customHeight="1" x14ac:dyDescent="0.2">
      <c r="A534" s="28"/>
      <c r="B534" s="28"/>
      <c r="C534" s="28"/>
      <c r="D534" s="282"/>
      <c r="E534" s="282"/>
      <c r="F534" s="282"/>
      <c r="G534" s="282"/>
      <c r="H534" s="282"/>
      <c r="I534" s="282"/>
      <c r="J534" s="282"/>
      <c r="K534" s="282"/>
      <c r="L534" s="282"/>
      <c r="M534" s="282"/>
      <c r="N534" s="282"/>
      <c r="O534" s="282"/>
      <c r="P534" s="282"/>
      <c r="Q534" s="282"/>
      <c r="R534" s="282"/>
      <c r="S534" s="282"/>
      <c r="T534" s="282"/>
      <c r="U534" s="282"/>
      <c r="V534" s="282"/>
      <c r="W534" s="282"/>
      <c r="X534" s="282"/>
      <c r="Y534" s="282"/>
      <c r="Z534" s="282"/>
      <c r="AA534" s="282"/>
      <c r="AB534" s="282"/>
      <c r="AC534" s="282"/>
      <c r="AD534" s="282"/>
      <c r="AE534" s="282"/>
      <c r="AF534" s="282"/>
      <c r="AG534" s="282"/>
      <c r="AH534" s="282"/>
      <c r="AI534" s="282"/>
      <c r="AJ534" s="282"/>
      <c r="AK534" s="282"/>
      <c r="AL534" s="282"/>
      <c r="AM534" s="282"/>
      <c r="AN534" s="282"/>
      <c r="AO534" s="282"/>
      <c r="AP534" s="282"/>
      <c r="AQ534" s="282"/>
      <c r="AR534" s="282"/>
      <c r="AS534" s="282"/>
      <c r="AT534" s="282"/>
      <c r="AU534" s="282"/>
      <c r="AV534" s="282"/>
      <c r="AW534" s="282"/>
      <c r="AX534" s="282"/>
      <c r="AY534" s="282"/>
      <c r="AZ534" s="282"/>
      <c r="BA534" s="282"/>
      <c r="BB534" s="282"/>
      <c r="BC534" s="282"/>
      <c r="BD534" s="282"/>
      <c r="BE534" s="282"/>
      <c r="BF534" s="282"/>
      <c r="BG534" s="282"/>
      <c r="BH534" s="282"/>
      <c r="BI534" s="282"/>
      <c r="BJ534" s="282"/>
      <c r="BK534" s="282"/>
      <c r="BL534" s="282"/>
      <c r="BM534" s="282"/>
      <c r="BN534" s="282"/>
      <c r="BO534" s="282"/>
      <c r="BP534" s="282"/>
      <c r="BQ534" s="282"/>
      <c r="BR534" s="282"/>
      <c r="BS534" s="282"/>
      <c r="BT534" s="282"/>
      <c r="BU534" s="283"/>
      <c r="BV534" s="283"/>
      <c r="BW534" s="283"/>
      <c r="BX534" s="283"/>
      <c r="BY534" s="283"/>
      <c r="BZ534" s="283"/>
      <c r="CA534" s="283"/>
      <c r="CB534" s="283"/>
      <c r="CC534" s="283"/>
      <c r="CD534" s="283"/>
      <c r="CE534" s="283"/>
      <c r="CF534" s="283"/>
      <c r="CG534" s="283"/>
      <c r="CH534" s="283"/>
      <c r="CI534" s="283"/>
      <c r="CJ534" s="283"/>
      <c r="CK534" s="283"/>
      <c r="CL534" s="283"/>
    </row>
    <row r="535" spans="1:90" ht="14.25" customHeight="1" x14ac:dyDescent="0.2">
      <c r="A535" s="28"/>
      <c r="B535" s="28"/>
      <c r="C535" s="28"/>
      <c r="D535" s="282"/>
      <c r="E535" s="282"/>
      <c r="F535" s="282"/>
      <c r="G535" s="282"/>
      <c r="H535" s="282"/>
      <c r="I535" s="282"/>
      <c r="J535" s="282"/>
      <c r="K535" s="282"/>
      <c r="L535" s="282"/>
      <c r="M535" s="282"/>
      <c r="N535" s="282"/>
      <c r="O535" s="282"/>
      <c r="P535" s="282"/>
      <c r="Q535" s="282"/>
      <c r="R535" s="282"/>
      <c r="S535" s="282"/>
      <c r="T535" s="282"/>
      <c r="U535" s="282"/>
      <c r="V535" s="282"/>
      <c r="W535" s="282"/>
      <c r="X535" s="282"/>
      <c r="Y535" s="282"/>
      <c r="Z535" s="282"/>
      <c r="AA535" s="282"/>
      <c r="AB535" s="282"/>
      <c r="AC535" s="282"/>
      <c r="AD535" s="282"/>
      <c r="AE535" s="282"/>
      <c r="AF535" s="282"/>
      <c r="AG535" s="282"/>
      <c r="AH535" s="282"/>
      <c r="AI535" s="282"/>
      <c r="AJ535" s="282"/>
      <c r="AK535" s="282"/>
      <c r="AL535" s="282"/>
      <c r="AM535" s="282"/>
      <c r="AN535" s="282"/>
      <c r="AO535" s="282"/>
      <c r="AP535" s="282"/>
      <c r="AQ535" s="282"/>
      <c r="AR535" s="282"/>
      <c r="AS535" s="282"/>
      <c r="AT535" s="282"/>
      <c r="AU535" s="282"/>
      <c r="AV535" s="282"/>
      <c r="AW535" s="282"/>
      <c r="AX535" s="282"/>
      <c r="AY535" s="282"/>
      <c r="AZ535" s="282"/>
      <c r="BA535" s="282"/>
      <c r="BB535" s="282"/>
      <c r="BC535" s="282"/>
      <c r="BD535" s="282"/>
      <c r="BE535" s="282"/>
      <c r="BF535" s="282"/>
      <c r="BG535" s="282"/>
      <c r="BH535" s="282"/>
      <c r="BI535" s="282"/>
      <c r="BJ535" s="282"/>
      <c r="BK535" s="282"/>
      <c r="BL535" s="282"/>
      <c r="BM535" s="282"/>
      <c r="BN535" s="282"/>
      <c r="BO535" s="282"/>
      <c r="BP535" s="282"/>
      <c r="BQ535" s="282"/>
      <c r="BR535" s="282"/>
      <c r="BS535" s="282"/>
      <c r="BT535" s="282"/>
      <c r="BU535" s="283"/>
      <c r="BV535" s="283"/>
      <c r="BW535" s="283"/>
      <c r="BX535" s="283"/>
      <c r="BY535" s="283"/>
      <c r="BZ535" s="283"/>
      <c r="CA535" s="283"/>
      <c r="CB535" s="283"/>
      <c r="CC535" s="283"/>
      <c r="CD535" s="283"/>
      <c r="CE535" s="283"/>
      <c r="CF535" s="283"/>
      <c r="CG535" s="283"/>
      <c r="CH535" s="283"/>
      <c r="CI535" s="283"/>
      <c r="CJ535" s="283"/>
      <c r="CK535" s="283"/>
      <c r="CL535" s="283"/>
    </row>
    <row r="536" spans="1:90" ht="14.25" customHeight="1" x14ac:dyDescent="0.2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2"/>
      <c r="W536" s="282"/>
      <c r="X536" s="282"/>
      <c r="Y536" s="282"/>
      <c r="Z536" s="282"/>
      <c r="AA536" s="282"/>
      <c r="AB536" s="282"/>
      <c r="AC536" s="282"/>
      <c r="AD536" s="282"/>
      <c r="AE536" s="282"/>
      <c r="AF536" s="282"/>
      <c r="AG536" s="282"/>
      <c r="AH536" s="282"/>
      <c r="AI536" s="282"/>
      <c r="AJ536" s="282"/>
      <c r="AK536" s="282"/>
      <c r="AL536" s="282"/>
      <c r="AM536" s="282"/>
      <c r="AN536" s="282"/>
      <c r="AO536" s="282"/>
      <c r="AP536" s="282"/>
      <c r="AQ536" s="282"/>
      <c r="AR536" s="282"/>
      <c r="AS536" s="282"/>
      <c r="AT536" s="282"/>
      <c r="AU536" s="282"/>
      <c r="AV536" s="282"/>
      <c r="AW536" s="282"/>
      <c r="AX536" s="282"/>
      <c r="AY536" s="282"/>
      <c r="AZ536" s="282"/>
      <c r="BA536" s="282"/>
      <c r="BB536" s="282"/>
      <c r="BC536" s="282"/>
      <c r="BD536" s="282"/>
      <c r="BE536" s="282"/>
      <c r="BF536" s="282"/>
      <c r="BG536" s="282"/>
      <c r="BH536" s="282"/>
      <c r="BI536" s="282"/>
      <c r="BJ536" s="282"/>
      <c r="BK536" s="282"/>
      <c r="BL536" s="282"/>
      <c r="BM536" s="282"/>
      <c r="BN536" s="282"/>
      <c r="BO536" s="282"/>
      <c r="BP536" s="282"/>
      <c r="BQ536" s="282"/>
      <c r="BR536" s="282"/>
      <c r="BS536" s="282"/>
      <c r="BT536" s="282"/>
      <c r="BU536" s="283"/>
      <c r="BV536" s="283"/>
      <c r="BW536" s="283"/>
      <c r="BX536" s="283"/>
      <c r="BY536" s="283"/>
      <c r="BZ536" s="283"/>
      <c r="CA536" s="283"/>
      <c r="CB536" s="283"/>
      <c r="CC536" s="283"/>
      <c r="CD536" s="283"/>
      <c r="CE536" s="283"/>
      <c r="CF536" s="283"/>
      <c r="CG536" s="283"/>
      <c r="CH536" s="283"/>
      <c r="CI536" s="283"/>
      <c r="CJ536" s="283"/>
      <c r="CK536" s="283"/>
      <c r="CL536" s="283"/>
    </row>
    <row r="537" spans="1:90" ht="14.25" customHeight="1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2"/>
      <c r="W537" s="282"/>
      <c r="X537" s="282"/>
      <c r="Y537" s="282"/>
      <c r="Z537" s="282"/>
      <c r="AA537" s="282"/>
      <c r="AB537" s="282"/>
      <c r="AC537" s="282"/>
      <c r="AD537" s="282"/>
      <c r="AE537" s="282"/>
      <c r="AF537" s="282"/>
      <c r="AG537" s="282"/>
      <c r="AH537" s="282"/>
      <c r="AI537" s="282"/>
      <c r="AJ537" s="282"/>
      <c r="AK537" s="282"/>
      <c r="AL537" s="282"/>
      <c r="AM537" s="282"/>
      <c r="AN537" s="282"/>
      <c r="AO537" s="282"/>
      <c r="AP537" s="282"/>
      <c r="AQ537" s="282"/>
      <c r="AR537" s="282"/>
      <c r="AS537" s="282"/>
      <c r="AT537" s="282"/>
      <c r="AU537" s="282"/>
      <c r="AV537" s="282"/>
      <c r="AW537" s="282"/>
      <c r="AX537" s="282"/>
      <c r="AY537" s="282"/>
      <c r="AZ537" s="282"/>
      <c r="BA537" s="282"/>
      <c r="BB537" s="282"/>
      <c r="BC537" s="282"/>
      <c r="BD537" s="282"/>
      <c r="BE537" s="282"/>
      <c r="BF537" s="282"/>
      <c r="BG537" s="282"/>
      <c r="BH537" s="282"/>
      <c r="BI537" s="282"/>
      <c r="BJ537" s="282"/>
      <c r="BK537" s="282"/>
      <c r="BL537" s="282"/>
      <c r="BM537" s="282"/>
      <c r="BN537" s="282"/>
      <c r="BO537" s="282"/>
      <c r="BP537" s="282"/>
      <c r="BQ537" s="282"/>
      <c r="BR537" s="282"/>
      <c r="BS537" s="282"/>
      <c r="BT537" s="282"/>
      <c r="BU537" s="283"/>
      <c r="BV537" s="283"/>
      <c r="BW537" s="283"/>
      <c r="BX537" s="283"/>
      <c r="BY537" s="283"/>
      <c r="BZ537" s="283"/>
      <c r="CA537" s="283"/>
      <c r="CB537" s="283"/>
      <c r="CC537" s="283"/>
      <c r="CD537" s="283"/>
      <c r="CE537" s="283"/>
      <c r="CF537" s="283"/>
      <c r="CG537" s="283"/>
      <c r="CH537" s="283"/>
      <c r="CI537" s="283"/>
      <c r="CJ537" s="283"/>
      <c r="CK537" s="283"/>
      <c r="CL537" s="283"/>
    </row>
    <row r="538" spans="1:90" ht="14.25" customHeight="1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2"/>
      <c r="W538" s="282"/>
      <c r="X538" s="282"/>
      <c r="Y538" s="282"/>
      <c r="Z538" s="282"/>
      <c r="AA538" s="282"/>
      <c r="AB538" s="282"/>
      <c r="AC538" s="282"/>
      <c r="AD538" s="282"/>
      <c r="AE538" s="282"/>
      <c r="AF538" s="282"/>
      <c r="AG538" s="282"/>
      <c r="AH538" s="282"/>
      <c r="AI538" s="282"/>
      <c r="AJ538" s="282"/>
      <c r="AK538" s="282"/>
      <c r="AL538" s="282"/>
      <c r="AM538" s="282"/>
      <c r="AN538" s="282"/>
      <c r="AO538" s="282"/>
      <c r="AP538" s="282"/>
      <c r="AQ538" s="282"/>
      <c r="AR538" s="282"/>
      <c r="AS538" s="282"/>
      <c r="AT538" s="282"/>
      <c r="AU538" s="282"/>
      <c r="AV538" s="282"/>
      <c r="AW538" s="282"/>
      <c r="AX538" s="282"/>
      <c r="AY538" s="282"/>
      <c r="AZ538" s="282"/>
      <c r="BA538" s="282"/>
      <c r="BB538" s="282"/>
      <c r="BC538" s="282"/>
      <c r="BD538" s="282"/>
      <c r="BE538" s="282"/>
      <c r="BF538" s="282"/>
      <c r="BG538" s="282"/>
      <c r="BH538" s="282"/>
      <c r="BI538" s="282"/>
      <c r="BJ538" s="282"/>
      <c r="BK538" s="282"/>
      <c r="BL538" s="282"/>
      <c r="BM538" s="282"/>
      <c r="BN538" s="282"/>
      <c r="BO538" s="282"/>
      <c r="BP538" s="282"/>
      <c r="BQ538" s="282"/>
      <c r="BR538" s="282"/>
      <c r="BS538" s="282"/>
      <c r="BT538" s="282"/>
      <c r="BU538" s="283"/>
      <c r="BV538" s="283"/>
      <c r="BW538" s="283"/>
      <c r="BX538" s="283"/>
      <c r="BY538" s="283"/>
      <c r="BZ538" s="283"/>
      <c r="CA538" s="283"/>
      <c r="CB538" s="283"/>
      <c r="CC538" s="283"/>
      <c r="CD538" s="283"/>
      <c r="CE538" s="283"/>
      <c r="CF538" s="283"/>
      <c r="CG538" s="283"/>
      <c r="CH538" s="283"/>
      <c r="CI538" s="283"/>
      <c r="CJ538" s="283"/>
      <c r="CK538" s="283"/>
      <c r="CL538" s="283"/>
    </row>
    <row r="539" spans="1:90" ht="14.25" customHeight="1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2"/>
      <c r="W539" s="282"/>
      <c r="X539" s="282"/>
      <c r="Y539" s="282"/>
      <c r="Z539" s="282"/>
      <c r="AA539" s="282"/>
      <c r="AB539" s="282"/>
      <c r="AC539" s="282"/>
      <c r="AD539" s="282"/>
      <c r="AE539" s="282"/>
      <c r="AF539" s="282"/>
      <c r="AG539" s="282"/>
      <c r="AH539" s="282"/>
      <c r="AI539" s="282"/>
      <c r="AJ539" s="282"/>
      <c r="AK539" s="282"/>
      <c r="AL539" s="282"/>
      <c r="AM539" s="282"/>
      <c r="AN539" s="282"/>
      <c r="AO539" s="282"/>
      <c r="AP539" s="282"/>
      <c r="AQ539" s="282"/>
      <c r="AR539" s="282"/>
      <c r="AS539" s="282"/>
      <c r="AT539" s="282"/>
      <c r="AU539" s="282"/>
      <c r="AV539" s="282"/>
      <c r="AW539" s="282"/>
      <c r="AX539" s="282"/>
      <c r="AY539" s="282"/>
      <c r="AZ539" s="282"/>
      <c r="BA539" s="282"/>
      <c r="BB539" s="282"/>
      <c r="BC539" s="282"/>
      <c r="BD539" s="282"/>
      <c r="BE539" s="282"/>
      <c r="BF539" s="282"/>
      <c r="BG539" s="282"/>
      <c r="BH539" s="282"/>
      <c r="BI539" s="282"/>
      <c r="BJ539" s="282"/>
      <c r="BK539" s="282"/>
      <c r="BL539" s="282"/>
      <c r="BM539" s="282"/>
      <c r="BN539" s="282"/>
      <c r="BO539" s="282"/>
      <c r="BP539" s="282"/>
      <c r="BQ539" s="282"/>
      <c r="BR539" s="282"/>
      <c r="BS539" s="282"/>
      <c r="BT539" s="282"/>
      <c r="BU539" s="283"/>
      <c r="BV539" s="283"/>
      <c r="BW539" s="283"/>
      <c r="BX539" s="283"/>
      <c r="BY539" s="283"/>
      <c r="BZ539" s="283"/>
      <c r="CA539" s="283"/>
      <c r="CB539" s="283"/>
      <c r="CC539" s="283"/>
      <c r="CD539" s="283"/>
      <c r="CE539" s="283"/>
      <c r="CF539" s="283"/>
      <c r="CG539" s="283"/>
      <c r="CH539" s="283"/>
      <c r="CI539" s="283"/>
      <c r="CJ539" s="283"/>
      <c r="CK539" s="283"/>
      <c r="CL539" s="283"/>
    </row>
    <row r="540" spans="1:90" ht="14.25" customHeight="1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2"/>
      <c r="W540" s="282"/>
      <c r="X540" s="282"/>
      <c r="Y540" s="282"/>
      <c r="Z540" s="282"/>
      <c r="AA540" s="282"/>
      <c r="AB540" s="282"/>
      <c r="AC540" s="282"/>
      <c r="AD540" s="282"/>
      <c r="AE540" s="282"/>
      <c r="AF540" s="282"/>
      <c r="AG540" s="282"/>
      <c r="AH540" s="282"/>
      <c r="AI540" s="282"/>
      <c r="AJ540" s="282"/>
      <c r="AK540" s="282"/>
      <c r="AL540" s="282"/>
      <c r="AM540" s="282"/>
      <c r="AN540" s="282"/>
      <c r="AO540" s="282"/>
      <c r="AP540" s="282"/>
      <c r="AQ540" s="282"/>
      <c r="AR540" s="282"/>
      <c r="AS540" s="282"/>
      <c r="AT540" s="282"/>
      <c r="AU540" s="282"/>
      <c r="AV540" s="282"/>
      <c r="AW540" s="282"/>
      <c r="AX540" s="282"/>
      <c r="AY540" s="282"/>
      <c r="AZ540" s="282"/>
      <c r="BA540" s="282"/>
      <c r="BB540" s="282"/>
      <c r="BC540" s="282"/>
      <c r="BD540" s="282"/>
      <c r="BE540" s="282"/>
      <c r="BF540" s="282"/>
      <c r="BG540" s="282"/>
      <c r="BH540" s="282"/>
      <c r="BI540" s="282"/>
      <c r="BJ540" s="282"/>
      <c r="BK540" s="282"/>
      <c r="BL540" s="282"/>
      <c r="BM540" s="282"/>
      <c r="BN540" s="282"/>
      <c r="BO540" s="282"/>
      <c r="BP540" s="282"/>
      <c r="BQ540" s="282"/>
      <c r="BR540" s="282"/>
      <c r="BS540" s="282"/>
      <c r="BT540" s="282"/>
      <c r="BU540" s="283"/>
      <c r="BV540" s="283"/>
      <c r="BW540" s="283"/>
      <c r="BX540" s="283"/>
      <c r="BY540" s="283"/>
      <c r="BZ540" s="283"/>
      <c r="CA540" s="283"/>
      <c r="CB540" s="283"/>
      <c r="CC540" s="283"/>
      <c r="CD540" s="283"/>
      <c r="CE540" s="283"/>
      <c r="CF540" s="283"/>
      <c r="CG540" s="283"/>
      <c r="CH540" s="283"/>
      <c r="CI540" s="283"/>
      <c r="CJ540" s="283"/>
      <c r="CK540" s="283"/>
      <c r="CL540" s="283"/>
    </row>
    <row r="541" spans="1:90" ht="14.25" customHeight="1" x14ac:dyDescent="0.2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2"/>
      <c r="W541" s="282"/>
      <c r="X541" s="282"/>
      <c r="Y541" s="282"/>
      <c r="Z541" s="282"/>
      <c r="AA541" s="282"/>
      <c r="AB541" s="282"/>
      <c r="AC541" s="282"/>
      <c r="AD541" s="282"/>
      <c r="AE541" s="282"/>
      <c r="AF541" s="282"/>
      <c r="AG541" s="282"/>
      <c r="AH541" s="282"/>
      <c r="AI541" s="282"/>
      <c r="AJ541" s="282"/>
      <c r="AK541" s="282"/>
      <c r="AL541" s="282"/>
      <c r="AM541" s="282"/>
      <c r="AN541" s="282"/>
      <c r="AO541" s="282"/>
      <c r="AP541" s="282"/>
      <c r="AQ541" s="282"/>
      <c r="AR541" s="282"/>
      <c r="AS541" s="282"/>
      <c r="AT541" s="282"/>
      <c r="AU541" s="282"/>
      <c r="AV541" s="282"/>
      <c r="AW541" s="282"/>
      <c r="AX541" s="282"/>
      <c r="AY541" s="282"/>
      <c r="AZ541" s="282"/>
      <c r="BA541" s="282"/>
      <c r="BB541" s="282"/>
      <c r="BC541" s="282"/>
      <c r="BD541" s="282"/>
      <c r="BE541" s="282"/>
      <c r="BF541" s="282"/>
      <c r="BG541" s="282"/>
      <c r="BH541" s="282"/>
      <c r="BI541" s="282"/>
      <c r="BJ541" s="282"/>
      <c r="BK541" s="282"/>
      <c r="BL541" s="282"/>
      <c r="BM541" s="282"/>
      <c r="BN541" s="282"/>
      <c r="BO541" s="282"/>
      <c r="BP541" s="282"/>
      <c r="BQ541" s="282"/>
      <c r="BR541" s="282"/>
      <c r="BS541" s="282"/>
      <c r="BT541" s="282"/>
      <c r="BU541" s="283"/>
      <c r="BV541" s="283"/>
      <c r="BW541" s="283"/>
      <c r="BX541" s="283"/>
      <c r="BY541" s="283"/>
      <c r="BZ541" s="283"/>
      <c r="CA541" s="283"/>
      <c r="CB541" s="283"/>
      <c r="CC541" s="283"/>
      <c r="CD541" s="283"/>
      <c r="CE541" s="283"/>
      <c r="CF541" s="283"/>
      <c r="CG541" s="283"/>
      <c r="CH541" s="283"/>
      <c r="CI541" s="283"/>
      <c r="CJ541" s="283"/>
      <c r="CK541" s="283"/>
      <c r="CL541" s="283"/>
    </row>
    <row r="542" spans="1:90" ht="14.25" customHeight="1" x14ac:dyDescent="0.2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2"/>
      <c r="W542" s="282"/>
      <c r="X542" s="282"/>
      <c r="Y542" s="282"/>
      <c r="Z542" s="282"/>
      <c r="AA542" s="282"/>
      <c r="AB542" s="282"/>
      <c r="AC542" s="282"/>
      <c r="AD542" s="282"/>
      <c r="AE542" s="282"/>
      <c r="AF542" s="282"/>
      <c r="AG542" s="282"/>
      <c r="AH542" s="282"/>
      <c r="AI542" s="282"/>
      <c r="AJ542" s="282"/>
      <c r="AK542" s="282"/>
      <c r="AL542" s="282"/>
      <c r="AM542" s="282"/>
      <c r="AN542" s="282"/>
      <c r="AO542" s="282"/>
      <c r="AP542" s="282"/>
      <c r="AQ542" s="282"/>
      <c r="AR542" s="282"/>
      <c r="AS542" s="282"/>
      <c r="AT542" s="282"/>
      <c r="AU542" s="282"/>
      <c r="AV542" s="282"/>
      <c r="AW542" s="282"/>
      <c r="AX542" s="282"/>
      <c r="AY542" s="282"/>
      <c r="AZ542" s="282"/>
      <c r="BA542" s="282"/>
      <c r="BB542" s="282"/>
      <c r="BC542" s="282"/>
      <c r="BD542" s="282"/>
      <c r="BE542" s="282"/>
      <c r="BF542" s="282"/>
      <c r="BG542" s="282"/>
      <c r="BH542" s="282"/>
      <c r="BI542" s="282"/>
      <c r="BJ542" s="282"/>
      <c r="BK542" s="282"/>
      <c r="BL542" s="282"/>
      <c r="BM542" s="282"/>
      <c r="BN542" s="282"/>
      <c r="BO542" s="282"/>
      <c r="BP542" s="282"/>
      <c r="BQ542" s="282"/>
      <c r="BR542" s="282"/>
      <c r="BS542" s="282"/>
      <c r="BT542" s="282"/>
      <c r="BU542" s="283"/>
      <c r="BV542" s="283"/>
      <c r="BW542" s="283"/>
      <c r="BX542" s="283"/>
      <c r="BY542" s="283"/>
      <c r="BZ542" s="283"/>
      <c r="CA542" s="283"/>
      <c r="CB542" s="283"/>
      <c r="CC542" s="283"/>
      <c r="CD542" s="283"/>
      <c r="CE542" s="283"/>
      <c r="CF542" s="283"/>
      <c r="CG542" s="283"/>
      <c r="CH542" s="283"/>
      <c r="CI542" s="283"/>
      <c r="CJ542" s="283"/>
      <c r="CK542" s="283"/>
      <c r="CL542" s="283"/>
    </row>
    <row r="543" spans="1:90" ht="14.25" customHeight="1" x14ac:dyDescent="0.2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2"/>
      <c r="W543" s="282"/>
      <c r="X543" s="282"/>
      <c r="Y543" s="282"/>
      <c r="Z543" s="282"/>
      <c r="AA543" s="282"/>
      <c r="AB543" s="282"/>
      <c r="AC543" s="282"/>
      <c r="AD543" s="282"/>
      <c r="AE543" s="282"/>
      <c r="AF543" s="282"/>
      <c r="AG543" s="282"/>
      <c r="AH543" s="282"/>
      <c r="AI543" s="282"/>
      <c r="AJ543" s="282"/>
      <c r="AK543" s="282"/>
      <c r="AL543" s="282"/>
      <c r="AM543" s="282"/>
      <c r="AN543" s="282"/>
      <c r="AO543" s="282"/>
      <c r="AP543" s="282"/>
      <c r="AQ543" s="282"/>
      <c r="AR543" s="282"/>
      <c r="AS543" s="282"/>
      <c r="AT543" s="282"/>
      <c r="AU543" s="282"/>
      <c r="AV543" s="282"/>
      <c r="AW543" s="282"/>
      <c r="AX543" s="282"/>
      <c r="AY543" s="282"/>
      <c r="AZ543" s="282"/>
      <c r="BA543" s="282"/>
      <c r="BB543" s="282"/>
      <c r="BC543" s="282"/>
      <c r="BD543" s="282"/>
      <c r="BE543" s="282"/>
      <c r="BF543" s="282"/>
      <c r="BG543" s="282"/>
      <c r="BH543" s="282"/>
      <c r="BI543" s="282"/>
      <c r="BJ543" s="282"/>
      <c r="BK543" s="282"/>
      <c r="BL543" s="282"/>
      <c r="BM543" s="282"/>
      <c r="BN543" s="282"/>
      <c r="BO543" s="282"/>
      <c r="BP543" s="282"/>
      <c r="BQ543" s="282"/>
      <c r="BR543" s="282"/>
      <c r="BS543" s="282"/>
      <c r="BT543" s="282"/>
      <c r="BU543" s="283"/>
      <c r="BV543" s="283"/>
      <c r="BW543" s="283"/>
      <c r="BX543" s="283"/>
      <c r="BY543" s="283"/>
      <c r="BZ543" s="283"/>
      <c r="CA543" s="283"/>
      <c r="CB543" s="283"/>
      <c r="CC543" s="283"/>
      <c r="CD543" s="283"/>
      <c r="CE543" s="283"/>
      <c r="CF543" s="283"/>
      <c r="CG543" s="283"/>
      <c r="CH543" s="283"/>
      <c r="CI543" s="283"/>
      <c r="CJ543" s="283"/>
      <c r="CK543" s="283"/>
      <c r="CL543" s="283"/>
    </row>
    <row r="544" spans="1:90" ht="14.25" customHeight="1" x14ac:dyDescent="0.2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2"/>
      <c r="W544" s="282"/>
      <c r="X544" s="282"/>
      <c r="Y544" s="282"/>
      <c r="Z544" s="282"/>
      <c r="AA544" s="282"/>
      <c r="AB544" s="282"/>
      <c r="AC544" s="282"/>
      <c r="AD544" s="282"/>
      <c r="AE544" s="282"/>
      <c r="AF544" s="282"/>
      <c r="AG544" s="282"/>
      <c r="AH544" s="282"/>
      <c r="AI544" s="282"/>
      <c r="AJ544" s="282"/>
      <c r="AK544" s="282"/>
      <c r="AL544" s="282"/>
      <c r="AM544" s="282"/>
      <c r="AN544" s="282"/>
      <c r="AO544" s="282"/>
      <c r="AP544" s="282"/>
      <c r="AQ544" s="282"/>
      <c r="AR544" s="282"/>
      <c r="AS544" s="282"/>
      <c r="AT544" s="282"/>
      <c r="AU544" s="282"/>
      <c r="AV544" s="282"/>
      <c r="AW544" s="282"/>
      <c r="AX544" s="282"/>
      <c r="AY544" s="282"/>
      <c r="AZ544" s="282"/>
      <c r="BA544" s="282"/>
      <c r="BB544" s="282"/>
      <c r="BC544" s="282"/>
      <c r="BD544" s="282"/>
      <c r="BE544" s="282"/>
      <c r="BF544" s="282"/>
      <c r="BG544" s="282"/>
      <c r="BH544" s="282"/>
      <c r="BI544" s="282"/>
      <c r="BJ544" s="282"/>
      <c r="BK544" s="282"/>
      <c r="BL544" s="282"/>
      <c r="BM544" s="282"/>
      <c r="BN544" s="282"/>
      <c r="BO544" s="282"/>
      <c r="BP544" s="282"/>
      <c r="BQ544" s="282"/>
      <c r="BR544" s="282"/>
      <c r="BS544" s="282"/>
      <c r="BT544" s="282"/>
      <c r="BU544" s="283"/>
      <c r="BV544" s="283"/>
      <c r="BW544" s="283"/>
      <c r="BX544" s="283"/>
      <c r="BY544" s="283"/>
      <c r="BZ544" s="283"/>
      <c r="CA544" s="283"/>
      <c r="CB544" s="283"/>
      <c r="CC544" s="283"/>
      <c r="CD544" s="283"/>
      <c r="CE544" s="283"/>
      <c r="CF544" s="283"/>
      <c r="CG544" s="283"/>
      <c r="CH544" s="283"/>
      <c r="CI544" s="283"/>
      <c r="CJ544" s="283"/>
      <c r="CK544" s="283"/>
      <c r="CL544" s="283"/>
    </row>
    <row r="545" spans="1:90" ht="14.25" customHeight="1" x14ac:dyDescent="0.2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2"/>
      <c r="W545" s="282"/>
      <c r="X545" s="282"/>
      <c r="Y545" s="282"/>
      <c r="Z545" s="282"/>
      <c r="AA545" s="282"/>
      <c r="AB545" s="282"/>
      <c r="AC545" s="282"/>
      <c r="AD545" s="282"/>
      <c r="AE545" s="282"/>
      <c r="AF545" s="282"/>
      <c r="AG545" s="282"/>
      <c r="AH545" s="282"/>
      <c r="AI545" s="282"/>
      <c r="AJ545" s="282"/>
      <c r="AK545" s="282"/>
      <c r="AL545" s="282"/>
      <c r="AM545" s="282"/>
      <c r="AN545" s="282"/>
      <c r="AO545" s="282"/>
      <c r="AP545" s="282"/>
      <c r="AQ545" s="282"/>
      <c r="AR545" s="282"/>
      <c r="AS545" s="282"/>
      <c r="AT545" s="282"/>
      <c r="AU545" s="282"/>
      <c r="AV545" s="282"/>
      <c r="AW545" s="282"/>
      <c r="AX545" s="282"/>
      <c r="AY545" s="282"/>
      <c r="AZ545" s="282"/>
      <c r="BA545" s="282"/>
      <c r="BB545" s="282"/>
      <c r="BC545" s="282"/>
      <c r="BD545" s="282"/>
      <c r="BE545" s="282"/>
      <c r="BF545" s="282"/>
      <c r="BG545" s="282"/>
      <c r="BH545" s="282"/>
      <c r="BI545" s="282"/>
      <c r="BJ545" s="282"/>
      <c r="BK545" s="282"/>
      <c r="BL545" s="282"/>
      <c r="BM545" s="282"/>
      <c r="BN545" s="282"/>
      <c r="BO545" s="282"/>
      <c r="BP545" s="282"/>
      <c r="BQ545" s="282"/>
      <c r="BR545" s="282"/>
      <c r="BS545" s="282"/>
      <c r="BT545" s="282"/>
      <c r="BU545" s="283"/>
      <c r="BV545" s="283"/>
      <c r="BW545" s="283"/>
      <c r="BX545" s="283"/>
      <c r="BY545" s="283"/>
      <c r="BZ545" s="283"/>
      <c r="CA545" s="283"/>
      <c r="CB545" s="283"/>
      <c r="CC545" s="283"/>
      <c r="CD545" s="283"/>
      <c r="CE545" s="283"/>
      <c r="CF545" s="283"/>
      <c r="CG545" s="283"/>
      <c r="CH545" s="283"/>
      <c r="CI545" s="283"/>
      <c r="CJ545" s="283"/>
      <c r="CK545" s="283"/>
      <c r="CL545" s="283"/>
    </row>
    <row r="546" spans="1:90" ht="14.25" customHeight="1" x14ac:dyDescent="0.2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2"/>
      <c r="W546" s="282"/>
      <c r="X546" s="282"/>
      <c r="Y546" s="282"/>
      <c r="Z546" s="282"/>
      <c r="AA546" s="282"/>
      <c r="AB546" s="282"/>
      <c r="AC546" s="282"/>
      <c r="AD546" s="282"/>
      <c r="AE546" s="282"/>
      <c r="AF546" s="282"/>
      <c r="AG546" s="282"/>
      <c r="AH546" s="282"/>
      <c r="AI546" s="282"/>
      <c r="AJ546" s="282"/>
      <c r="AK546" s="282"/>
      <c r="AL546" s="282"/>
      <c r="AM546" s="282"/>
      <c r="AN546" s="282"/>
      <c r="AO546" s="282"/>
      <c r="AP546" s="282"/>
      <c r="AQ546" s="282"/>
      <c r="AR546" s="282"/>
      <c r="AS546" s="282"/>
      <c r="AT546" s="282"/>
      <c r="AU546" s="282"/>
      <c r="AV546" s="282"/>
      <c r="AW546" s="282"/>
      <c r="AX546" s="282"/>
      <c r="AY546" s="282"/>
      <c r="AZ546" s="282"/>
      <c r="BA546" s="282"/>
      <c r="BB546" s="282"/>
      <c r="BC546" s="282"/>
      <c r="BD546" s="282"/>
      <c r="BE546" s="282"/>
      <c r="BF546" s="282"/>
      <c r="BG546" s="282"/>
      <c r="BH546" s="282"/>
      <c r="BI546" s="282"/>
      <c r="BJ546" s="282"/>
      <c r="BK546" s="282"/>
      <c r="BL546" s="282"/>
      <c r="BM546" s="282"/>
      <c r="BN546" s="282"/>
      <c r="BO546" s="282"/>
      <c r="BP546" s="282"/>
      <c r="BQ546" s="282"/>
      <c r="BR546" s="282"/>
      <c r="BS546" s="282"/>
      <c r="BT546" s="282"/>
      <c r="BU546" s="283"/>
      <c r="BV546" s="283"/>
      <c r="BW546" s="283"/>
      <c r="BX546" s="283"/>
      <c r="BY546" s="283"/>
      <c r="BZ546" s="283"/>
      <c r="CA546" s="283"/>
      <c r="CB546" s="283"/>
      <c r="CC546" s="283"/>
      <c r="CD546" s="283"/>
      <c r="CE546" s="283"/>
      <c r="CF546" s="283"/>
      <c r="CG546" s="283"/>
      <c r="CH546" s="283"/>
      <c r="CI546" s="283"/>
      <c r="CJ546" s="283"/>
      <c r="CK546" s="283"/>
      <c r="CL546" s="283"/>
    </row>
    <row r="547" spans="1:90" ht="14.25" customHeight="1" x14ac:dyDescent="0.2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2"/>
      <c r="W547" s="282"/>
      <c r="X547" s="282"/>
      <c r="Y547" s="282"/>
      <c r="Z547" s="282"/>
      <c r="AA547" s="282"/>
      <c r="AB547" s="282"/>
      <c r="AC547" s="282"/>
      <c r="AD547" s="282"/>
      <c r="AE547" s="282"/>
      <c r="AF547" s="282"/>
      <c r="AG547" s="282"/>
      <c r="AH547" s="282"/>
      <c r="AI547" s="282"/>
      <c r="AJ547" s="282"/>
      <c r="AK547" s="282"/>
      <c r="AL547" s="282"/>
      <c r="AM547" s="282"/>
      <c r="AN547" s="282"/>
      <c r="AO547" s="282"/>
      <c r="AP547" s="282"/>
      <c r="AQ547" s="282"/>
      <c r="AR547" s="282"/>
      <c r="AS547" s="282"/>
      <c r="AT547" s="282"/>
      <c r="AU547" s="282"/>
      <c r="AV547" s="282"/>
      <c r="AW547" s="282"/>
      <c r="AX547" s="282"/>
      <c r="AY547" s="282"/>
      <c r="AZ547" s="282"/>
      <c r="BA547" s="282"/>
      <c r="BB547" s="282"/>
      <c r="BC547" s="282"/>
      <c r="BD547" s="282"/>
      <c r="BE547" s="282"/>
      <c r="BF547" s="282"/>
      <c r="BG547" s="282"/>
      <c r="BH547" s="282"/>
      <c r="BI547" s="282"/>
      <c r="BJ547" s="282"/>
      <c r="BK547" s="282"/>
      <c r="BL547" s="282"/>
      <c r="BM547" s="282"/>
      <c r="BN547" s="282"/>
      <c r="BO547" s="282"/>
      <c r="BP547" s="282"/>
      <c r="BQ547" s="282"/>
      <c r="BR547" s="282"/>
      <c r="BS547" s="282"/>
      <c r="BT547" s="282"/>
      <c r="BU547" s="283"/>
      <c r="BV547" s="283"/>
      <c r="BW547" s="283"/>
      <c r="BX547" s="283"/>
      <c r="BY547" s="283"/>
      <c r="BZ547" s="283"/>
      <c r="CA547" s="283"/>
      <c r="CB547" s="283"/>
      <c r="CC547" s="283"/>
      <c r="CD547" s="283"/>
      <c r="CE547" s="283"/>
      <c r="CF547" s="283"/>
      <c r="CG547" s="283"/>
      <c r="CH547" s="283"/>
      <c r="CI547" s="283"/>
      <c r="CJ547" s="283"/>
      <c r="CK547" s="283"/>
      <c r="CL547" s="283"/>
    </row>
    <row r="548" spans="1:90" ht="14.25" customHeight="1" x14ac:dyDescent="0.2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2"/>
      <c r="W548" s="282"/>
      <c r="X548" s="282"/>
      <c r="Y548" s="282"/>
      <c r="Z548" s="282"/>
      <c r="AA548" s="282"/>
      <c r="AB548" s="282"/>
      <c r="AC548" s="282"/>
      <c r="AD548" s="282"/>
      <c r="AE548" s="282"/>
      <c r="AF548" s="282"/>
      <c r="AG548" s="282"/>
      <c r="AH548" s="282"/>
      <c r="AI548" s="282"/>
      <c r="AJ548" s="282"/>
      <c r="AK548" s="282"/>
      <c r="AL548" s="282"/>
      <c r="AM548" s="282"/>
      <c r="AN548" s="282"/>
      <c r="AO548" s="282"/>
      <c r="AP548" s="282"/>
      <c r="AQ548" s="282"/>
      <c r="AR548" s="282"/>
      <c r="AS548" s="282"/>
      <c r="AT548" s="282"/>
      <c r="AU548" s="282"/>
      <c r="AV548" s="282"/>
      <c r="AW548" s="282"/>
      <c r="AX548" s="282"/>
      <c r="AY548" s="282"/>
      <c r="AZ548" s="282"/>
      <c r="BA548" s="282"/>
      <c r="BB548" s="282"/>
      <c r="BC548" s="282"/>
      <c r="BD548" s="282"/>
      <c r="BE548" s="282"/>
      <c r="BF548" s="282"/>
      <c r="BG548" s="282"/>
      <c r="BH548" s="282"/>
      <c r="BI548" s="282"/>
      <c r="BJ548" s="282"/>
      <c r="BK548" s="282"/>
      <c r="BL548" s="282"/>
      <c r="BM548" s="282"/>
      <c r="BN548" s="282"/>
      <c r="BO548" s="282"/>
      <c r="BP548" s="282"/>
      <c r="BQ548" s="282"/>
      <c r="BR548" s="282"/>
      <c r="BS548" s="282"/>
      <c r="BT548" s="282"/>
      <c r="BU548" s="283"/>
      <c r="BV548" s="283"/>
      <c r="BW548" s="283"/>
      <c r="BX548" s="283"/>
      <c r="BY548" s="283"/>
      <c r="BZ548" s="283"/>
      <c r="CA548" s="283"/>
      <c r="CB548" s="283"/>
      <c r="CC548" s="283"/>
      <c r="CD548" s="283"/>
      <c r="CE548" s="283"/>
      <c r="CF548" s="283"/>
      <c r="CG548" s="283"/>
      <c r="CH548" s="283"/>
      <c r="CI548" s="283"/>
      <c r="CJ548" s="283"/>
      <c r="CK548" s="283"/>
      <c r="CL548" s="283"/>
    </row>
    <row r="549" spans="1:90" ht="14.25" customHeight="1" x14ac:dyDescent="0.2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2"/>
      <c r="W549" s="282"/>
      <c r="X549" s="282"/>
      <c r="Y549" s="282"/>
      <c r="Z549" s="282"/>
      <c r="AA549" s="282"/>
      <c r="AB549" s="282"/>
      <c r="AC549" s="282"/>
      <c r="AD549" s="282"/>
      <c r="AE549" s="282"/>
      <c r="AF549" s="282"/>
      <c r="AG549" s="282"/>
      <c r="AH549" s="282"/>
      <c r="AI549" s="282"/>
      <c r="AJ549" s="282"/>
      <c r="AK549" s="282"/>
      <c r="AL549" s="282"/>
      <c r="AM549" s="282"/>
      <c r="AN549" s="282"/>
      <c r="AO549" s="282"/>
      <c r="AP549" s="282"/>
      <c r="AQ549" s="282"/>
      <c r="AR549" s="282"/>
      <c r="AS549" s="282"/>
      <c r="AT549" s="282"/>
      <c r="AU549" s="282"/>
      <c r="AV549" s="282"/>
      <c r="AW549" s="282"/>
      <c r="AX549" s="282"/>
      <c r="AY549" s="282"/>
      <c r="AZ549" s="282"/>
      <c r="BA549" s="282"/>
      <c r="BB549" s="282"/>
      <c r="BC549" s="282"/>
      <c r="BD549" s="282"/>
      <c r="BE549" s="282"/>
      <c r="BF549" s="282"/>
      <c r="BG549" s="282"/>
      <c r="BH549" s="282"/>
      <c r="BI549" s="282"/>
      <c r="BJ549" s="282"/>
      <c r="BK549" s="282"/>
      <c r="BL549" s="282"/>
      <c r="BM549" s="282"/>
      <c r="BN549" s="282"/>
      <c r="BO549" s="282"/>
      <c r="BP549" s="282"/>
      <c r="BQ549" s="282"/>
      <c r="BR549" s="282"/>
      <c r="BS549" s="282"/>
      <c r="BT549" s="282"/>
      <c r="BU549" s="283"/>
      <c r="BV549" s="283"/>
      <c r="BW549" s="283"/>
      <c r="BX549" s="283"/>
      <c r="BY549" s="283"/>
      <c r="BZ549" s="283"/>
      <c r="CA549" s="283"/>
      <c r="CB549" s="283"/>
      <c r="CC549" s="283"/>
      <c r="CD549" s="283"/>
      <c r="CE549" s="283"/>
      <c r="CF549" s="283"/>
      <c r="CG549" s="283"/>
      <c r="CH549" s="283"/>
      <c r="CI549" s="283"/>
      <c r="CJ549" s="283"/>
      <c r="CK549" s="283"/>
      <c r="CL549" s="283"/>
    </row>
    <row r="550" spans="1:90" ht="14.25" customHeight="1" x14ac:dyDescent="0.2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2"/>
      <c r="W550" s="282"/>
      <c r="X550" s="282"/>
      <c r="Y550" s="282"/>
      <c r="Z550" s="282"/>
      <c r="AA550" s="282"/>
      <c r="AB550" s="282"/>
      <c r="AC550" s="282"/>
      <c r="AD550" s="282"/>
      <c r="AE550" s="282"/>
      <c r="AF550" s="282"/>
      <c r="AG550" s="282"/>
      <c r="AH550" s="282"/>
      <c r="AI550" s="282"/>
      <c r="AJ550" s="282"/>
      <c r="AK550" s="282"/>
      <c r="AL550" s="282"/>
      <c r="AM550" s="282"/>
      <c r="AN550" s="282"/>
      <c r="AO550" s="282"/>
      <c r="AP550" s="282"/>
      <c r="AQ550" s="282"/>
      <c r="AR550" s="282"/>
      <c r="AS550" s="282"/>
      <c r="AT550" s="282"/>
      <c r="AU550" s="282"/>
      <c r="AV550" s="282"/>
      <c r="AW550" s="282"/>
      <c r="AX550" s="282"/>
      <c r="AY550" s="282"/>
      <c r="AZ550" s="282"/>
      <c r="BA550" s="282"/>
      <c r="BB550" s="282"/>
      <c r="BC550" s="282"/>
      <c r="BD550" s="282"/>
      <c r="BE550" s="282"/>
      <c r="BF550" s="282"/>
      <c r="BG550" s="282"/>
      <c r="BH550" s="282"/>
      <c r="BI550" s="282"/>
      <c r="BJ550" s="282"/>
      <c r="BK550" s="282"/>
      <c r="BL550" s="282"/>
      <c r="BM550" s="282"/>
      <c r="BN550" s="282"/>
      <c r="BO550" s="282"/>
      <c r="BP550" s="282"/>
      <c r="BQ550" s="282"/>
      <c r="BR550" s="282"/>
      <c r="BS550" s="282"/>
      <c r="BT550" s="282"/>
      <c r="BU550" s="283"/>
      <c r="BV550" s="283"/>
      <c r="BW550" s="283"/>
      <c r="BX550" s="283"/>
      <c r="BY550" s="283"/>
      <c r="BZ550" s="283"/>
      <c r="CA550" s="283"/>
      <c r="CB550" s="283"/>
      <c r="CC550" s="283"/>
      <c r="CD550" s="283"/>
      <c r="CE550" s="283"/>
      <c r="CF550" s="283"/>
      <c r="CG550" s="283"/>
      <c r="CH550" s="283"/>
      <c r="CI550" s="283"/>
      <c r="CJ550" s="283"/>
      <c r="CK550" s="283"/>
      <c r="CL550" s="283"/>
    </row>
    <row r="551" spans="1:90" ht="14.25" customHeight="1" x14ac:dyDescent="0.2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2"/>
      <c r="W551" s="282"/>
      <c r="X551" s="282"/>
      <c r="Y551" s="282"/>
      <c r="Z551" s="282"/>
      <c r="AA551" s="282"/>
      <c r="AB551" s="282"/>
      <c r="AC551" s="282"/>
      <c r="AD551" s="282"/>
      <c r="AE551" s="282"/>
      <c r="AF551" s="282"/>
      <c r="AG551" s="282"/>
      <c r="AH551" s="282"/>
      <c r="AI551" s="282"/>
      <c r="AJ551" s="282"/>
      <c r="AK551" s="282"/>
      <c r="AL551" s="282"/>
      <c r="AM551" s="282"/>
      <c r="AN551" s="282"/>
      <c r="AO551" s="282"/>
      <c r="AP551" s="282"/>
      <c r="AQ551" s="282"/>
      <c r="AR551" s="282"/>
      <c r="AS551" s="282"/>
      <c r="AT551" s="282"/>
      <c r="AU551" s="282"/>
      <c r="AV551" s="282"/>
      <c r="AW551" s="282"/>
      <c r="AX551" s="282"/>
      <c r="AY551" s="282"/>
      <c r="AZ551" s="282"/>
      <c r="BA551" s="282"/>
      <c r="BB551" s="282"/>
      <c r="BC551" s="282"/>
      <c r="BD551" s="282"/>
      <c r="BE551" s="282"/>
      <c r="BF551" s="282"/>
      <c r="BG551" s="282"/>
      <c r="BH551" s="282"/>
      <c r="BI551" s="282"/>
      <c r="BJ551" s="282"/>
      <c r="BK551" s="282"/>
      <c r="BL551" s="282"/>
      <c r="BM551" s="282"/>
      <c r="BN551" s="282"/>
      <c r="BO551" s="282"/>
      <c r="BP551" s="282"/>
      <c r="BQ551" s="282"/>
      <c r="BR551" s="282"/>
      <c r="BS551" s="282"/>
      <c r="BT551" s="282"/>
      <c r="BU551" s="283"/>
      <c r="BV551" s="283"/>
      <c r="BW551" s="283"/>
      <c r="BX551" s="283"/>
      <c r="BY551" s="283"/>
      <c r="BZ551" s="283"/>
      <c r="CA551" s="283"/>
      <c r="CB551" s="283"/>
      <c r="CC551" s="283"/>
      <c r="CD551" s="283"/>
      <c r="CE551" s="283"/>
      <c r="CF551" s="283"/>
      <c r="CG551" s="283"/>
      <c r="CH551" s="283"/>
      <c r="CI551" s="283"/>
      <c r="CJ551" s="283"/>
      <c r="CK551" s="283"/>
      <c r="CL551" s="283"/>
    </row>
    <row r="552" spans="1:90" ht="14.25" customHeight="1" x14ac:dyDescent="0.2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2"/>
      <c r="W552" s="282"/>
      <c r="X552" s="282"/>
      <c r="Y552" s="282"/>
      <c r="Z552" s="282"/>
      <c r="AA552" s="282"/>
      <c r="AB552" s="282"/>
      <c r="AC552" s="282"/>
      <c r="AD552" s="282"/>
      <c r="AE552" s="282"/>
      <c r="AF552" s="282"/>
      <c r="AG552" s="282"/>
      <c r="AH552" s="282"/>
      <c r="AI552" s="282"/>
      <c r="AJ552" s="282"/>
      <c r="AK552" s="282"/>
      <c r="AL552" s="282"/>
      <c r="AM552" s="282"/>
      <c r="AN552" s="282"/>
      <c r="AO552" s="282"/>
      <c r="AP552" s="282"/>
      <c r="AQ552" s="282"/>
      <c r="AR552" s="282"/>
      <c r="AS552" s="282"/>
      <c r="AT552" s="282"/>
      <c r="AU552" s="282"/>
      <c r="AV552" s="282"/>
      <c r="AW552" s="282"/>
      <c r="AX552" s="282"/>
      <c r="AY552" s="282"/>
      <c r="AZ552" s="282"/>
      <c r="BA552" s="282"/>
      <c r="BB552" s="282"/>
      <c r="BC552" s="282"/>
      <c r="BD552" s="282"/>
      <c r="BE552" s="282"/>
      <c r="BF552" s="282"/>
      <c r="BG552" s="282"/>
      <c r="BH552" s="282"/>
      <c r="BI552" s="282"/>
      <c r="BJ552" s="282"/>
      <c r="BK552" s="282"/>
      <c r="BL552" s="282"/>
      <c r="BM552" s="282"/>
      <c r="BN552" s="282"/>
      <c r="BO552" s="282"/>
      <c r="BP552" s="282"/>
      <c r="BQ552" s="282"/>
      <c r="BR552" s="282"/>
      <c r="BS552" s="282"/>
      <c r="BT552" s="282"/>
      <c r="BU552" s="283"/>
      <c r="BV552" s="283"/>
      <c r="BW552" s="283"/>
      <c r="BX552" s="283"/>
      <c r="BY552" s="283"/>
      <c r="BZ552" s="283"/>
      <c r="CA552" s="283"/>
      <c r="CB552" s="283"/>
      <c r="CC552" s="283"/>
      <c r="CD552" s="283"/>
      <c r="CE552" s="283"/>
      <c r="CF552" s="283"/>
      <c r="CG552" s="283"/>
      <c r="CH552" s="283"/>
      <c r="CI552" s="283"/>
      <c r="CJ552" s="283"/>
      <c r="CK552" s="283"/>
      <c r="CL552" s="283"/>
    </row>
    <row r="553" spans="1:90" ht="14.25" customHeight="1" x14ac:dyDescent="0.2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2"/>
      <c r="W553" s="282"/>
      <c r="X553" s="282"/>
      <c r="Y553" s="282"/>
      <c r="Z553" s="282"/>
      <c r="AA553" s="282"/>
      <c r="AB553" s="282"/>
      <c r="AC553" s="282"/>
      <c r="AD553" s="282"/>
      <c r="AE553" s="282"/>
      <c r="AF553" s="282"/>
      <c r="AG553" s="282"/>
      <c r="AH553" s="282"/>
      <c r="AI553" s="282"/>
      <c r="AJ553" s="282"/>
      <c r="AK553" s="282"/>
      <c r="AL553" s="282"/>
      <c r="AM553" s="282"/>
      <c r="AN553" s="282"/>
      <c r="AO553" s="282"/>
      <c r="AP553" s="282"/>
      <c r="AQ553" s="282"/>
      <c r="AR553" s="282"/>
      <c r="AS553" s="282"/>
      <c r="AT553" s="282"/>
      <c r="AU553" s="282"/>
      <c r="AV553" s="282"/>
      <c r="AW553" s="282"/>
      <c r="AX553" s="282"/>
      <c r="AY553" s="282"/>
      <c r="AZ553" s="282"/>
      <c r="BA553" s="282"/>
      <c r="BB553" s="282"/>
      <c r="BC553" s="282"/>
      <c r="BD553" s="282"/>
      <c r="BE553" s="282"/>
      <c r="BF553" s="282"/>
      <c r="BG553" s="282"/>
      <c r="BH553" s="282"/>
      <c r="BI553" s="282"/>
      <c r="BJ553" s="282"/>
      <c r="BK553" s="282"/>
      <c r="BL553" s="282"/>
      <c r="BM553" s="282"/>
      <c r="BN553" s="282"/>
      <c r="BO553" s="282"/>
      <c r="BP553" s="282"/>
      <c r="BQ553" s="282"/>
      <c r="BR553" s="282"/>
      <c r="BS553" s="282"/>
      <c r="BT553" s="282"/>
      <c r="BU553" s="283"/>
      <c r="BV553" s="283"/>
      <c r="BW553" s="283"/>
      <c r="BX553" s="283"/>
      <c r="BY553" s="283"/>
      <c r="BZ553" s="283"/>
      <c r="CA553" s="283"/>
      <c r="CB553" s="283"/>
      <c r="CC553" s="283"/>
      <c r="CD553" s="283"/>
      <c r="CE553" s="283"/>
      <c r="CF553" s="283"/>
      <c r="CG553" s="283"/>
      <c r="CH553" s="283"/>
      <c r="CI553" s="283"/>
      <c r="CJ553" s="283"/>
      <c r="CK553" s="283"/>
      <c r="CL553" s="283"/>
    </row>
    <row r="554" spans="1:90" ht="14.25" customHeight="1" x14ac:dyDescent="0.2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2"/>
      <c r="W554" s="282"/>
      <c r="X554" s="282"/>
      <c r="Y554" s="282"/>
      <c r="Z554" s="282"/>
      <c r="AA554" s="282"/>
      <c r="AB554" s="282"/>
      <c r="AC554" s="282"/>
      <c r="AD554" s="282"/>
      <c r="AE554" s="282"/>
      <c r="AF554" s="282"/>
      <c r="AG554" s="282"/>
      <c r="AH554" s="282"/>
      <c r="AI554" s="282"/>
      <c r="AJ554" s="282"/>
      <c r="AK554" s="282"/>
      <c r="AL554" s="282"/>
      <c r="AM554" s="282"/>
      <c r="AN554" s="282"/>
      <c r="AO554" s="282"/>
      <c r="AP554" s="282"/>
      <c r="AQ554" s="282"/>
      <c r="AR554" s="282"/>
      <c r="AS554" s="282"/>
      <c r="AT554" s="282"/>
      <c r="AU554" s="282"/>
      <c r="AV554" s="282"/>
      <c r="AW554" s="282"/>
      <c r="AX554" s="282"/>
      <c r="AY554" s="282"/>
      <c r="AZ554" s="282"/>
      <c r="BA554" s="282"/>
      <c r="BB554" s="282"/>
      <c r="BC554" s="282"/>
      <c r="BD554" s="282"/>
      <c r="BE554" s="282"/>
      <c r="BF554" s="282"/>
      <c r="BG554" s="282"/>
      <c r="BH554" s="282"/>
      <c r="BI554" s="282"/>
      <c r="BJ554" s="282"/>
      <c r="BK554" s="282"/>
      <c r="BL554" s="282"/>
      <c r="BM554" s="282"/>
      <c r="BN554" s="282"/>
      <c r="BO554" s="282"/>
      <c r="BP554" s="282"/>
      <c r="BQ554" s="282"/>
      <c r="BR554" s="282"/>
      <c r="BS554" s="282"/>
      <c r="BT554" s="282"/>
      <c r="BU554" s="283"/>
      <c r="BV554" s="283"/>
      <c r="BW554" s="283"/>
      <c r="BX554" s="283"/>
      <c r="BY554" s="283"/>
      <c r="BZ554" s="283"/>
      <c r="CA554" s="283"/>
      <c r="CB554" s="283"/>
      <c r="CC554" s="283"/>
      <c r="CD554" s="283"/>
      <c r="CE554" s="283"/>
      <c r="CF554" s="283"/>
      <c r="CG554" s="283"/>
      <c r="CH554" s="283"/>
      <c r="CI554" s="283"/>
      <c r="CJ554" s="283"/>
      <c r="CK554" s="283"/>
      <c r="CL554" s="283"/>
    </row>
    <row r="555" spans="1:90" ht="14.25" customHeight="1" x14ac:dyDescent="0.2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2"/>
      <c r="W555" s="282"/>
      <c r="X555" s="282"/>
      <c r="Y555" s="282"/>
      <c r="Z555" s="282"/>
      <c r="AA555" s="282"/>
      <c r="AB555" s="282"/>
      <c r="AC555" s="282"/>
      <c r="AD555" s="282"/>
      <c r="AE555" s="282"/>
      <c r="AF555" s="282"/>
      <c r="AG555" s="282"/>
      <c r="AH555" s="282"/>
      <c r="AI555" s="282"/>
      <c r="AJ555" s="282"/>
      <c r="AK555" s="282"/>
      <c r="AL555" s="282"/>
      <c r="AM555" s="282"/>
      <c r="AN555" s="282"/>
      <c r="AO555" s="282"/>
      <c r="AP555" s="282"/>
      <c r="AQ555" s="282"/>
      <c r="AR555" s="282"/>
      <c r="AS555" s="282"/>
      <c r="AT555" s="282"/>
      <c r="AU555" s="282"/>
      <c r="AV555" s="282"/>
      <c r="AW555" s="282"/>
      <c r="AX555" s="282"/>
      <c r="AY555" s="282"/>
      <c r="AZ555" s="282"/>
      <c r="BA555" s="282"/>
      <c r="BB555" s="282"/>
      <c r="BC555" s="282"/>
      <c r="BD555" s="282"/>
      <c r="BE555" s="282"/>
      <c r="BF555" s="282"/>
      <c r="BG555" s="282"/>
      <c r="BH555" s="282"/>
      <c r="BI555" s="282"/>
      <c r="BJ555" s="282"/>
      <c r="BK555" s="282"/>
      <c r="BL555" s="282"/>
      <c r="BM555" s="282"/>
      <c r="BN555" s="282"/>
      <c r="BO555" s="282"/>
      <c r="BP555" s="282"/>
      <c r="BQ555" s="282"/>
      <c r="BR555" s="282"/>
      <c r="BS555" s="282"/>
      <c r="BT555" s="282"/>
      <c r="BU555" s="283"/>
      <c r="BV555" s="283"/>
      <c r="BW555" s="283"/>
      <c r="BX555" s="283"/>
      <c r="BY555" s="283"/>
      <c r="BZ555" s="283"/>
      <c r="CA555" s="283"/>
      <c r="CB555" s="283"/>
      <c r="CC555" s="283"/>
      <c r="CD555" s="283"/>
      <c r="CE555" s="283"/>
      <c r="CF555" s="283"/>
      <c r="CG555" s="283"/>
      <c r="CH555" s="283"/>
      <c r="CI555" s="283"/>
      <c r="CJ555" s="283"/>
      <c r="CK555" s="283"/>
      <c r="CL555" s="283"/>
    </row>
    <row r="556" spans="1:90" ht="14.25" customHeight="1" x14ac:dyDescent="0.2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2"/>
      <c r="W556" s="282"/>
      <c r="X556" s="282"/>
      <c r="Y556" s="282"/>
      <c r="Z556" s="282"/>
      <c r="AA556" s="282"/>
      <c r="AB556" s="282"/>
      <c r="AC556" s="282"/>
      <c r="AD556" s="282"/>
      <c r="AE556" s="282"/>
      <c r="AF556" s="282"/>
      <c r="AG556" s="282"/>
      <c r="AH556" s="282"/>
      <c r="AI556" s="282"/>
      <c r="AJ556" s="282"/>
      <c r="AK556" s="282"/>
      <c r="AL556" s="282"/>
      <c r="AM556" s="282"/>
      <c r="AN556" s="282"/>
      <c r="AO556" s="282"/>
      <c r="AP556" s="282"/>
      <c r="AQ556" s="282"/>
      <c r="AR556" s="282"/>
      <c r="AS556" s="282"/>
      <c r="AT556" s="282"/>
      <c r="AU556" s="282"/>
      <c r="AV556" s="282"/>
      <c r="AW556" s="282"/>
      <c r="AX556" s="282"/>
      <c r="AY556" s="282"/>
      <c r="AZ556" s="282"/>
      <c r="BA556" s="282"/>
      <c r="BB556" s="282"/>
      <c r="BC556" s="282"/>
      <c r="BD556" s="282"/>
      <c r="BE556" s="282"/>
      <c r="BF556" s="282"/>
      <c r="BG556" s="282"/>
      <c r="BH556" s="282"/>
      <c r="BI556" s="282"/>
      <c r="BJ556" s="282"/>
      <c r="BK556" s="282"/>
      <c r="BL556" s="282"/>
      <c r="BM556" s="282"/>
      <c r="BN556" s="282"/>
      <c r="BO556" s="282"/>
      <c r="BP556" s="282"/>
      <c r="BQ556" s="282"/>
      <c r="BR556" s="282"/>
      <c r="BS556" s="282"/>
      <c r="BT556" s="282"/>
      <c r="BU556" s="283"/>
      <c r="BV556" s="283"/>
      <c r="BW556" s="283"/>
      <c r="BX556" s="283"/>
      <c r="BY556" s="283"/>
      <c r="BZ556" s="283"/>
      <c r="CA556" s="283"/>
      <c r="CB556" s="283"/>
      <c r="CC556" s="283"/>
      <c r="CD556" s="283"/>
      <c r="CE556" s="283"/>
      <c r="CF556" s="283"/>
      <c r="CG556" s="283"/>
      <c r="CH556" s="283"/>
      <c r="CI556" s="283"/>
      <c r="CJ556" s="283"/>
      <c r="CK556" s="283"/>
      <c r="CL556" s="283"/>
    </row>
    <row r="557" spans="1:90" ht="14.25" customHeight="1" x14ac:dyDescent="0.2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2"/>
      <c r="W557" s="282"/>
      <c r="X557" s="282"/>
      <c r="Y557" s="282"/>
      <c r="Z557" s="282"/>
      <c r="AA557" s="282"/>
      <c r="AB557" s="282"/>
      <c r="AC557" s="282"/>
      <c r="AD557" s="282"/>
      <c r="AE557" s="282"/>
      <c r="AF557" s="282"/>
      <c r="AG557" s="282"/>
      <c r="AH557" s="282"/>
      <c r="AI557" s="282"/>
      <c r="AJ557" s="282"/>
      <c r="AK557" s="282"/>
      <c r="AL557" s="282"/>
      <c r="AM557" s="282"/>
      <c r="AN557" s="282"/>
      <c r="AO557" s="282"/>
      <c r="AP557" s="282"/>
      <c r="AQ557" s="282"/>
      <c r="AR557" s="282"/>
      <c r="AS557" s="282"/>
      <c r="AT557" s="282"/>
      <c r="AU557" s="282"/>
      <c r="AV557" s="282"/>
      <c r="AW557" s="282"/>
      <c r="AX557" s="282"/>
      <c r="AY557" s="282"/>
      <c r="AZ557" s="282"/>
      <c r="BA557" s="282"/>
      <c r="BB557" s="282"/>
      <c r="BC557" s="282"/>
      <c r="BD557" s="282"/>
      <c r="BE557" s="282"/>
      <c r="BF557" s="282"/>
      <c r="BG557" s="282"/>
      <c r="BH557" s="282"/>
      <c r="BI557" s="282"/>
      <c r="BJ557" s="282"/>
      <c r="BK557" s="282"/>
      <c r="BL557" s="282"/>
      <c r="BM557" s="282"/>
      <c r="BN557" s="282"/>
      <c r="BO557" s="282"/>
      <c r="BP557" s="282"/>
      <c r="BQ557" s="282"/>
      <c r="BR557" s="282"/>
      <c r="BS557" s="282"/>
      <c r="BT557" s="282"/>
      <c r="BU557" s="283"/>
      <c r="BV557" s="283"/>
      <c r="BW557" s="283"/>
      <c r="BX557" s="283"/>
      <c r="BY557" s="283"/>
      <c r="BZ557" s="283"/>
      <c r="CA557" s="283"/>
      <c r="CB557" s="283"/>
      <c r="CC557" s="283"/>
      <c r="CD557" s="283"/>
      <c r="CE557" s="283"/>
      <c r="CF557" s="283"/>
      <c r="CG557" s="283"/>
      <c r="CH557" s="283"/>
      <c r="CI557" s="283"/>
      <c r="CJ557" s="283"/>
      <c r="CK557" s="283"/>
      <c r="CL557" s="283"/>
    </row>
    <row r="558" spans="1:90" ht="14.25" customHeight="1" x14ac:dyDescent="0.2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2"/>
      <c r="W558" s="282"/>
      <c r="X558" s="282"/>
      <c r="Y558" s="282"/>
      <c r="Z558" s="282"/>
      <c r="AA558" s="282"/>
      <c r="AB558" s="282"/>
      <c r="AC558" s="282"/>
      <c r="AD558" s="282"/>
      <c r="AE558" s="282"/>
      <c r="AF558" s="282"/>
      <c r="AG558" s="282"/>
      <c r="AH558" s="282"/>
      <c r="AI558" s="282"/>
      <c r="AJ558" s="282"/>
      <c r="AK558" s="282"/>
      <c r="AL558" s="282"/>
      <c r="AM558" s="282"/>
      <c r="AN558" s="282"/>
      <c r="AO558" s="282"/>
      <c r="AP558" s="282"/>
      <c r="AQ558" s="282"/>
      <c r="AR558" s="282"/>
      <c r="AS558" s="282"/>
      <c r="AT558" s="282"/>
      <c r="AU558" s="282"/>
      <c r="AV558" s="282"/>
      <c r="AW558" s="282"/>
      <c r="AX558" s="282"/>
      <c r="AY558" s="282"/>
      <c r="AZ558" s="282"/>
      <c r="BA558" s="282"/>
      <c r="BB558" s="282"/>
      <c r="BC558" s="282"/>
      <c r="BD558" s="282"/>
      <c r="BE558" s="282"/>
      <c r="BF558" s="282"/>
      <c r="BG558" s="282"/>
      <c r="BH558" s="282"/>
      <c r="BI558" s="282"/>
      <c r="BJ558" s="282"/>
      <c r="BK558" s="282"/>
      <c r="BL558" s="282"/>
      <c r="BM558" s="282"/>
      <c r="BN558" s="282"/>
      <c r="BO558" s="282"/>
      <c r="BP558" s="282"/>
      <c r="BQ558" s="282"/>
      <c r="BR558" s="282"/>
      <c r="BS558" s="282"/>
      <c r="BT558" s="282"/>
      <c r="BU558" s="283"/>
      <c r="BV558" s="283"/>
      <c r="BW558" s="283"/>
      <c r="BX558" s="283"/>
      <c r="BY558" s="283"/>
      <c r="BZ558" s="283"/>
      <c r="CA558" s="283"/>
      <c r="CB558" s="283"/>
      <c r="CC558" s="283"/>
      <c r="CD558" s="283"/>
      <c r="CE558" s="283"/>
      <c r="CF558" s="283"/>
      <c r="CG558" s="283"/>
      <c r="CH558" s="283"/>
      <c r="CI558" s="283"/>
      <c r="CJ558" s="283"/>
      <c r="CK558" s="283"/>
      <c r="CL558" s="283"/>
    </row>
    <row r="559" spans="1:90" ht="14.25" customHeight="1" x14ac:dyDescent="0.2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2"/>
      <c r="W559" s="282"/>
      <c r="X559" s="282"/>
      <c r="Y559" s="282"/>
      <c r="Z559" s="282"/>
      <c r="AA559" s="282"/>
      <c r="AB559" s="282"/>
      <c r="AC559" s="282"/>
      <c r="AD559" s="282"/>
      <c r="AE559" s="282"/>
      <c r="AF559" s="282"/>
      <c r="AG559" s="282"/>
      <c r="AH559" s="282"/>
      <c r="AI559" s="282"/>
      <c r="AJ559" s="282"/>
      <c r="AK559" s="282"/>
      <c r="AL559" s="282"/>
      <c r="AM559" s="282"/>
      <c r="AN559" s="282"/>
      <c r="AO559" s="282"/>
      <c r="AP559" s="282"/>
      <c r="AQ559" s="282"/>
      <c r="AR559" s="282"/>
      <c r="AS559" s="282"/>
      <c r="AT559" s="282"/>
      <c r="AU559" s="282"/>
      <c r="AV559" s="282"/>
      <c r="AW559" s="282"/>
      <c r="AX559" s="282"/>
      <c r="AY559" s="282"/>
      <c r="AZ559" s="282"/>
      <c r="BA559" s="282"/>
      <c r="BB559" s="282"/>
      <c r="BC559" s="282"/>
      <c r="BD559" s="282"/>
      <c r="BE559" s="282"/>
      <c r="BF559" s="282"/>
      <c r="BG559" s="282"/>
      <c r="BH559" s="282"/>
      <c r="BI559" s="282"/>
      <c r="BJ559" s="282"/>
      <c r="BK559" s="282"/>
      <c r="BL559" s="282"/>
      <c r="BM559" s="282"/>
      <c r="BN559" s="282"/>
      <c r="BO559" s="282"/>
      <c r="BP559" s="282"/>
      <c r="BQ559" s="282"/>
      <c r="BR559" s="282"/>
      <c r="BS559" s="282"/>
      <c r="BT559" s="282"/>
      <c r="BU559" s="283"/>
      <c r="BV559" s="283"/>
      <c r="BW559" s="283"/>
      <c r="BX559" s="283"/>
      <c r="BY559" s="283"/>
      <c r="BZ559" s="283"/>
      <c r="CA559" s="283"/>
      <c r="CB559" s="283"/>
      <c r="CC559" s="283"/>
      <c r="CD559" s="283"/>
      <c r="CE559" s="283"/>
      <c r="CF559" s="283"/>
      <c r="CG559" s="283"/>
      <c r="CH559" s="283"/>
      <c r="CI559" s="283"/>
      <c r="CJ559" s="283"/>
      <c r="CK559" s="283"/>
      <c r="CL559" s="283"/>
    </row>
    <row r="560" spans="1:90" ht="14.25" customHeight="1" x14ac:dyDescent="0.2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2"/>
      <c r="W560" s="282"/>
      <c r="X560" s="282"/>
      <c r="Y560" s="282"/>
      <c r="Z560" s="282"/>
      <c r="AA560" s="282"/>
      <c r="AB560" s="282"/>
      <c r="AC560" s="282"/>
      <c r="AD560" s="282"/>
      <c r="AE560" s="282"/>
      <c r="AF560" s="282"/>
      <c r="AG560" s="282"/>
      <c r="AH560" s="282"/>
      <c r="AI560" s="282"/>
      <c r="AJ560" s="282"/>
      <c r="AK560" s="282"/>
      <c r="AL560" s="282"/>
      <c r="AM560" s="282"/>
      <c r="AN560" s="282"/>
      <c r="AO560" s="282"/>
      <c r="AP560" s="282"/>
      <c r="AQ560" s="282"/>
      <c r="AR560" s="282"/>
      <c r="AS560" s="282"/>
      <c r="AT560" s="282"/>
      <c r="AU560" s="282"/>
      <c r="AV560" s="282"/>
      <c r="AW560" s="282"/>
      <c r="AX560" s="282"/>
      <c r="AY560" s="282"/>
      <c r="AZ560" s="282"/>
      <c r="BA560" s="282"/>
      <c r="BB560" s="282"/>
      <c r="BC560" s="282"/>
      <c r="BD560" s="282"/>
      <c r="BE560" s="282"/>
      <c r="BF560" s="282"/>
      <c r="BG560" s="282"/>
      <c r="BH560" s="282"/>
      <c r="BI560" s="282"/>
      <c r="BJ560" s="282"/>
      <c r="BK560" s="282"/>
      <c r="BL560" s="282"/>
      <c r="BM560" s="282"/>
      <c r="BN560" s="282"/>
      <c r="BO560" s="282"/>
      <c r="BP560" s="282"/>
      <c r="BQ560" s="282"/>
      <c r="BR560" s="282"/>
      <c r="BS560" s="282"/>
      <c r="BT560" s="282"/>
      <c r="BU560" s="283"/>
      <c r="BV560" s="283"/>
      <c r="BW560" s="283"/>
      <c r="BX560" s="283"/>
      <c r="BY560" s="283"/>
      <c r="BZ560" s="283"/>
      <c r="CA560" s="283"/>
      <c r="CB560" s="283"/>
      <c r="CC560" s="283"/>
      <c r="CD560" s="283"/>
      <c r="CE560" s="283"/>
      <c r="CF560" s="283"/>
      <c r="CG560" s="283"/>
      <c r="CH560" s="283"/>
      <c r="CI560" s="283"/>
      <c r="CJ560" s="283"/>
      <c r="CK560" s="283"/>
      <c r="CL560" s="283"/>
    </row>
    <row r="561" spans="1:90" ht="14.25" customHeight="1" x14ac:dyDescent="0.2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2"/>
      <c r="W561" s="282"/>
      <c r="X561" s="282"/>
      <c r="Y561" s="282"/>
      <c r="Z561" s="282"/>
      <c r="AA561" s="282"/>
      <c r="AB561" s="282"/>
      <c r="AC561" s="282"/>
      <c r="AD561" s="282"/>
      <c r="AE561" s="282"/>
      <c r="AF561" s="282"/>
      <c r="AG561" s="282"/>
      <c r="AH561" s="282"/>
      <c r="AI561" s="282"/>
      <c r="AJ561" s="282"/>
      <c r="AK561" s="282"/>
      <c r="AL561" s="282"/>
      <c r="AM561" s="282"/>
      <c r="AN561" s="282"/>
      <c r="AO561" s="282"/>
      <c r="AP561" s="282"/>
      <c r="AQ561" s="282"/>
      <c r="AR561" s="282"/>
      <c r="AS561" s="282"/>
      <c r="AT561" s="282"/>
      <c r="AU561" s="282"/>
      <c r="AV561" s="282"/>
      <c r="AW561" s="282"/>
      <c r="AX561" s="282"/>
      <c r="AY561" s="282"/>
      <c r="AZ561" s="282"/>
      <c r="BA561" s="282"/>
      <c r="BB561" s="282"/>
      <c r="BC561" s="282"/>
      <c r="BD561" s="282"/>
      <c r="BE561" s="282"/>
      <c r="BF561" s="282"/>
      <c r="BG561" s="282"/>
      <c r="BH561" s="282"/>
      <c r="BI561" s="282"/>
      <c r="BJ561" s="282"/>
      <c r="BK561" s="282"/>
      <c r="BL561" s="282"/>
      <c r="BM561" s="282"/>
      <c r="BN561" s="282"/>
      <c r="BO561" s="282"/>
      <c r="BP561" s="282"/>
      <c r="BQ561" s="282"/>
      <c r="BR561" s="282"/>
      <c r="BS561" s="282"/>
      <c r="BT561" s="282"/>
      <c r="BU561" s="283"/>
      <c r="BV561" s="283"/>
      <c r="BW561" s="283"/>
      <c r="BX561" s="283"/>
      <c r="BY561" s="283"/>
      <c r="BZ561" s="283"/>
      <c r="CA561" s="283"/>
      <c r="CB561" s="283"/>
      <c r="CC561" s="283"/>
      <c r="CD561" s="283"/>
      <c r="CE561" s="283"/>
      <c r="CF561" s="283"/>
      <c r="CG561" s="283"/>
      <c r="CH561" s="283"/>
      <c r="CI561" s="283"/>
      <c r="CJ561" s="283"/>
      <c r="CK561" s="283"/>
      <c r="CL561" s="283"/>
    </row>
    <row r="562" spans="1:90" ht="14.25" customHeight="1" x14ac:dyDescent="0.2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2"/>
      <c r="W562" s="282"/>
      <c r="X562" s="282"/>
      <c r="Y562" s="282"/>
      <c r="Z562" s="282"/>
      <c r="AA562" s="282"/>
      <c r="AB562" s="282"/>
      <c r="AC562" s="282"/>
      <c r="AD562" s="282"/>
      <c r="AE562" s="282"/>
      <c r="AF562" s="282"/>
      <c r="AG562" s="282"/>
      <c r="AH562" s="282"/>
      <c r="AI562" s="282"/>
      <c r="AJ562" s="282"/>
      <c r="AK562" s="282"/>
      <c r="AL562" s="282"/>
      <c r="AM562" s="282"/>
      <c r="AN562" s="282"/>
      <c r="AO562" s="282"/>
      <c r="AP562" s="282"/>
      <c r="AQ562" s="282"/>
      <c r="AR562" s="282"/>
      <c r="AS562" s="282"/>
      <c r="AT562" s="282"/>
      <c r="AU562" s="282"/>
      <c r="AV562" s="282"/>
      <c r="AW562" s="282"/>
      <c r="AX562" s="282"/>
      <c r="AY562" s="282"/>
      <c r="AZ562" s="282"/>
      <c r="BA562" s="282"/>
      <c r="BB562" s="282"/>
      <c r="BC562" s="282"/>
      <c r="BD562" s="282"/>
      <c r="BE562" s="282"/>
      <c r="BF562" s="282"/>
      <c r="BG562" s="282"/>
      <c r="BH562" s="282"/>
      <c r="BI562" s="282"/>
      <c r="BJ562" s="282"/>
      <c r="BK562" s="282"/>
      <c r="BL562" s="282"/>
      <c r="BM562" s="282"/>
      <c r="BN562" s="282"/>
      <c r="BO562" s="282"/>
      <c r="BP562" s="282"/>
      <c r="BQ562" s="282"/>
      <c r="BR562" s="282"/>
      <c r="BS562" s="282"/>
      <c r="BT562" s="282"/>
      <c r="BU562" s="283"/>
      <c r="BV562" s="283"/>
      <c r="BW562" s="283"/>
      <c r="BX562" s="283"/>
      <c r="BY562" s="283"/>
      <c r="BZ562" s="283"/>
      <c r="CA562" s="283"/>
      <c r="CB562" s="283"/>
      <c r="CC562" s="283"/>
      <c r="CD562" s="283"/>
      <c r="CE562" s="283"/>
      <c r="CF562" s="283"/>
      <c r="CG562" s="283"/>
      <c r="CH562" s="283"/>
      <c r="CI562" s="283"/>
      <c r="CJ562" s="283"/>
      <c r="CK562" s="283"/>
      <c r="CL562" s="283"/>
    </row>
    <row r="563" spans="1:90" ht="14.25" customHeight="1" x14ac:dyDescent="0.2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2"/>
      <c r="W563" s="282"/>
      <c r="X563" s="282"/>
      <c r="Y563" s="282"/>
      <c r="Z563" s="282"/>
      <c r="AA563" s="282"/>
      <c r="AB563" s="282"/>
      <c r="AC563" s="282"/>
      <c r="AD563" s="282"/>
      <c r="AE563" s="282"/>
      <c r="AF563" s="282"/>
      <c r="AG563" s="282"/>
      <c r="AH563" s="282"/>
      <c r="AI563" s="282"/>
      <c r="AJ563" s="282"/>
      <c r="AK563" s="282"/>
      <c r="AL563" s="282"/>
      <c r="AM563" s="282"/>
      <c r="AN563" s="282"/>
      <c r="AO563" s="282"/>
      <c r="AP563" s="282"/>
      <c r="AQ563" s="282"/>
      <c r="AR563" s="282"/>
      <c r="AS563" s="282"/>
      <c r="AT563" s="282"/>
      <c r="AU563" s="282"/>
      <c r="AV563" s="282"/>
      <c r="AW563" s="282"/>
      <c r="AX563" s="282"/>
      <c r="AY563" s="282"/>
      <c r="AZ563" s="282"/>
      <c r="BA563" s="282"/>
      <c r="BB563" s="282"/>
      <c r="BC563" s="282"/>
      <c r="BD563" s="282"/>
      <c r="BE563" s="282"/>
      <c r="BF563" s="282"/>
      <c r="BG563" s="282"/>
      <c r="BH563" s="282"/>
      <c r="BI563" s="282"/>
      <c r="BJ563" s="282"/>
      <c r="BK563" s="282"/>
      <c r="BL563" s="282"/>
      <c r="BM563" s="282"/>
      <c r="BN563" s="282"/>
      <c r="BO563" s="282"/>
      <c r="BP563" s="282"/>
      <c r="BQ563" s="282"/>
      <c r="BR563" s="282"/>
      <c r="BS563" s="282"/>
      <c r="BT563" s="282"/>
      <c r="BU563" s="283"/>
      <c r="BV563" s="283"/>
      <c r="BW563" s="283"/>
      <c r="BX563" s="283"/>
      <c r="BY563" s="283"/>
      <c r="BZ563" s="283"/>
      <c r="CA563" s="283"/>
      <c r="CB563" s="283"/>
      <c r="CC563" s="283"/>
      <c r="CD563" s="283"/>
      <c r="CE563" s="283"/>
      <c r="CF563" s="283"/>
      <c r="CG563" s="283"/>
      <c r="CH563" s="283"/>
      <c r="CI563" s="283"/>
      <c r="CJ563" s="283"/>
      <c r="CK563" s="283"/>
      <c r="CL563" s="283"/>
    </row>
    <row r="564" spans="1:90" ht="14.25" customHeight="1" x14ac:dyDescent="0.2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2"/>
      <c r="W564" s="282"/>
      <c r="X564" s="282"/>
      <c r="Y564" s="282"/>
      <c r="Z564" s="282"/>
      <c r="AA564" s="282"/>
      <c r="AB564" s="282"/>
      <c r="AC564" s="282"/>
      <c r="AD564" s="282"/>
      <c r="AE564" s="282"/>
      <c r="AF564" s="282"/>
      <c r="AG564" s="282"/>
      <c r="AH564" s="282"/>
      <c r="AI564" s="282"/>
      <c r="AJ564" s="282"/>
      <c r="AK564" s="282"/>
      <c r="AL564" s="282"/>
      <c r="AM564" s="282"/>
      <c r="AN564" s="282"/>
      <c r="AO564" s="282"/>
      <c r="AP564" s="282"/>
      <c r="AQ564" s="282"/>
      <c r="AR564" s="282"/>
      <c r="AS564" s="282"/>
      <c r="AT564" s="282"/>
      <c r="AU564" s="282"/>
      <c r="AV564" s="282"/>
      <c r="AW564" s="282"/>
      <c r="AX564" s="282"/>
      <c r="AY564" s="282"/>
      <c r="AZ564" s="282"/>
      <c r="BA564" s="282"/>
      <c r="BB564" s="282"/>
      <c r="BC564" s="282"/>
      <c r="BD564" s="282"/>
      <c r="BE564" s="282"/>
      <c r="BF564" s="282"/>
      <c r="BG564" s="282"/>
      <c r="BH564" s="282"/>
      <c r="BI564" s="282"/>
      <c r="BJ564" s="282"/>
      <c r="BK564" s="282"/>
      <c r="BL564" s="282"/>
      <c r="BM564" s="282"/>
      <c r="BN564" s="282"/>
      <c r="BO564" s="282"/>
      <c r="BP564" s="282"/>
      <c r="BQ564" s="282"/>
      <c r="BR564" s="282"/>
      <c r="BS564" s="282"/>
      <c r="BT564" s="282"/>
      <c r="BU564" s="283"/>
      <c r="BV564" s="283"/>
      <c r="BW564" s="283"/>
      <c r="BX564" s="283"/>
      <c r="BY564" s="283"/>
      <c r="BZ564" s="283"/>
      <c r="CA564" s="283"/>
      <c r="CB564" s="283"/>
      <c r="CC564" s="283"/>
      <c r="CD564" s="283"/>
      <c r="CE564" s="283"/>
      <c r="CF564" s="283"/>
      <c r="CG564" s="283"/>
      <c r="CH564" s="283"/>
      <c r="CI564" s="283"/>
      <c r="CJ564" s="283"/>
      <c r="CK564" s="283"/>
      <c r="CL564" s="283"/>
    </row>
    <row r="565" spans="1:90" ht="14.25" customHeight="1" x14ac:dyDescent="0.2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2"/>
      <c r="W565" s="282"/>
      <c r="X565" s="282"/>
      <c r="Y565" s="282"/>
      <c r="Z565" s="282"/>
      <c r="AA565" s="282"/>
      <c r="AB565" s="282"/>
      <c r="AC565" s="282"/>
      <c r="AD565" s="282"/>
      <c r="AE565" s="282"/>
      <c r="AF565" s="282"/>
      <c r="AG565" s="282"/>
      <c r="AH565" s="282"/>
      <c r="AI565" s="282"/>
      <c r="AJ565" s="282"/>
      <c r="AK565" s="282"/>
      <c r="AL565" s="282"/>
      <c r="AM565" s="282"/>
      <c r="AN565" s="282"/>
      <c r="AO565" s="282"/>
      <c r="AP565" s="282"/>
      <c r="AQ565" s="282"/>
      <c r="AR565" s="282"/>
      <c r="AS565" s="282"/>
      <c r="AT565" s="282"/>
      <c r="AU565" s="282"/>
      <c r="AV565" s="282"/>
      <c r="AW565" s="282"/>
      <c r="AX565" s="282"/>
      <c r="AY565" s="282"/>
      <c r="AZ565" s="282"/>
      <c r="BA565" s="282"/>
      <c r="BB565" s="282"/>
      <c r="BC565" s="282"/>
      <c r="BD565" s="282"/>
      <c r="BE565" s="282"/>
      <c r="BF565" s="282"/>
      <c r="BG565" s="282"/>
      <c r="BH565" s="282"/>
      <c r="BI565" s="282"/>
      <c r="BJ565" s="282"/>
      <c r="BK565" s="282"/>
      <c r="BL565" s="282"/>
      <c r="BM565" s="282"/>
      <c r="BN565" s="282"/>
      <c r="BO565" s="282"/>
      <c r="BP565" s="282"/>
      <c r="BQ565" s="282"/>
      <c r="BR565" s="282"/>
      <c r="BS565" s="282"/>
      <c r="BT565" s="282"/>
      <c r="BU565" s="283"/>
      <c r="BV565" s="283"/>
      <c r="BW565" s="283"/>
      <c r="BX565" s="283"/>
      <c r="BY565" s="283"/>
      <c r="BZ565" s="283"/>
      <c r="CA565" s="283"/>
      <c r="CB565" s="283"/>
      <c r="CC565" s="283"/>
      <c r="CD565" s="283"/>
      <c r="CE565" s="283"/>
      <c r="CF565" s="283"/>
      <c r="CG565" s="283"/>
      <c r="CH565" s="283"/>
      <c r="CI565" s="283"/>
      <c r="CJ565" s="283"/>
      <c r="CK565" s="283"/>
      <c r="CL565" s="283"/>
    </row>
    <row r="566" spans="1:90" ht="14.25" customHeight="1" x14ac:dyDescent="0.2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2"/>
      <c r="W566" s="282"/>
      <c r="X566" s="282"/>
      <c r="Y566" s="282"/>
      <c r="Z566" s="282"/>
      <c r="AA566" s="282"/>
      <c r="AB566" s="282"/>
      <c r="AC566" s="282"/>
      <c r="AD566" s="282"/>
      <c r="AE566" s="282"/>
      <c r="AF566" s="282"/>
      <c r="AG566" s="282"/>
      <c r="AH566" s="282"/>
      <c r="AI566" s="282"/>
      <c r="AJ566" s="282"/>
      <c r="AK566" s="282"/>
      <c r="AL566" s="282"/>
      <c r="AM566" s="282"/>
      <c r="AN566" s="282"/>
      <c r="AO566" s="282"/>
      <c r="AP566" s="282"/>
      <c r="AQ566" s="282"/>
      <c r="AR566" s="282"/>
      <c r="AS566" s="282"/>
      <c r="AT566" s="282"/>
      <c r="AU566" s="282"/>
      <c r="AV566" s="282"/>
      <c r="AW566" s="282"/>
      <c r="AX566" s="282"/>
      <c r="AY566" s="282"/>
      <c r="AZ566" s="282"/>
      <c r="BA566" s="282"/>
      <c r="BB566" s="282"/>
      <c r="BC566" s="282"/>
      <c r="BD566" s="282"/>
      <c r="BE566" s="282"/>
      <c r="BF566" s="282"/>
      <c r="BG566" s="282"/>
      <c r="BH566" s="282"/>
      <c r="BI566" s="282"/>
      <c r="BJ566" s="282"/>
      <c r="BK566" s="282"/>
      <c r="BL566" s="282"/>
      <c r="BM566" s="282"/>
      <c r="BN566" s="282"/>
      <c r="BO566" s="282"/>
      <c r="BP566" s="282"/>
      <c r="BQ566" s="282"/>
      <c r="BR566" s="282"/>
      <c r="BS566" s="282"/>
      <c r="BT566" s="282"/>
      <c r="BU566" s="283"/>
      <c r="BV566" s="283"/>
      <c r="BW566" s="283"/>
      <c r="BX566" s="283"/>
      <c r="BY566" s="283"/>
      <c r="BZ566" s="283"/>
      <c r="CA566" s="283"/>
      <c r="CB566" s="283"/>
      <c r="CC566" s="283"/>
      <c r="CD566" s="283"/>
      <c r="CE566" s="283"/>
      <c r="CF566" s="283"/>
      <c r="CG566" s="283"/>
      <c r="CH566" s="283"/>
      <c r="CI566" s="283"/>
      <c r="CJ566" s="283"/>
      <c r="CK566" s="283"/>
      <c r="CL566" s="283"/>
    </row>
    <row r="567" spans="1:90" ht="14.25" customHeight="1" x14ac:dyDescent="0.2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2"/>
      <c r="W567" s="282"/>
      <c r="X567" s="282"/>
      <c r="Y567" s="282"/>
      <c r="Z567" s="282"/>
      <c r="AA567" s="282"/>
      <c r="AB567" s="282"/>
      <c r="AC567" s="282"/>
      <c r="AD567" s="282"/>
      <c r="AE567" s="282"/>
      <c r="AF567" s="282"/>
      <c r="AG567" s="282"/>
      <c r="AH567" s="282"/>
      <c r="AI567" s="282"/>
      <c r="AJ567" s="282"/>
      <c r="AK567" s="282"/>
      <c r="AL567" s="282"/>
      <c r="AM567" s="282"/>
      <c r="AN567" s="282"/>
      <c r="AO567" s="282"/>
      <c r="AP567" s="282"/>
      <c r="AQ567" s="282"/>
      <c r="AR567" s="282"/>
      <c r="AS567" s="282"/>
      <c r="AT567" s="282"/>
      <c r="AU567" s="282"/>
      <c r="AV567" s="282"/>
      <c r="AW567" s="282"/>
      <c r="AX567" s="282"/>
      <c r="AY567" s="282"/>
      <c r="AZ567" s="282"/>
      <c r="BA567" s="282"/>
      <c r="BB567" s="282"/>
      <c r="BC567" s="282"/>
      <c r="BD567" s="282"/>
      <c r="BE567" s="282"/>
      <c r="BF567" s="282"/>
      <c r="BG567" s="282"/>
      <c r="BH567" s="282"/>
      <c r="BI567" s="282"/>
      <c r="BJ567" s="282"/>
      <c r="BK567" s="282"/>
      <c r="BL567" s="282"/>
      <c r="BM567" s="282"/>
      <c r="BN567" s="282"/>
      <c r="BO567" s="282"/>
      <c r="BP567" s="282"/>
      <c r="BQ567" s="282"/>
      <c r="BR567" s="282"/>
      <c r="BS567" s="282"/>
      <c r="BT567" s="282"/>
      <c r="BU567" s="283"/>
      <c r="BV567" s="283"/>
      <c r="BW567" s="283"/>
      <c r="BX567" s="283"/>
      <c r="BY567" s="283"/>
      <c r="BZ567" s="283"/>
      <c r="CA567" s="283"/>
      <c r="CB567" s="283"/>
      <c r="CC567" s="283"/>
      <c r="CD567" s="283"/>
      <c r="CE567" s="283"/>
      <c r="CF567" s="283"/>
      <c r="CG567" s="283"/>
      <c r="CH567" s="283"/>
      <c r="CI567" s="283"/>
      <c r="CJ567" s="283"/>
      <c r="CK567" s="283"/>
      <c r="CL567" s="283"/>
    </row>
    <row r="568" spans="1:90" ht="14.25" customHeight="1" x14ac:dyDescent="0.2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2"/>
      <c r="W568" s="282"/>
      <c r="X568" s="282"/>
      <c r="Y568" s="282"/>
      <c r="Z568" s="282"/>
      <c r="AA568" s="282"/>
      <c r="AB568" s="282"/>
      <c r="AC568" s="282"/>
      <c r="AD568" s="282"/>
      <c r="AE568" s="282"/>
      <c r="AF568" s="282"/>
      <c r="AG568" s="282"/>
      <c r="AH568" s="282"/>
      <c r="AI568" s="282"/>
      <c r="AJ568" s="282"/>
      <c r="AK568" s="282"/>
      <c r="AL568" s="282"/>
      <c r="AM568" s="282"/>
      <c r="AN568" s="282"/>
      <c r="AO568" s="282"/>
      <c r="AP568" s="282"/>
      <c r="AQ568" s="282"/>
      <c r="AR568" s="282"/>
      <c r="AS568" s="282"/>
      <c r="AT568" s="282"/>
      <c r="AU568" s="282"/>
      <c r="AV568" s="282"/>
      <c r="AW568" s="282"/>
      <c r="AX568" s="282"/>
      <c r="AY568" s="282"/>
      <c r="AZ568" s="282"/>
      <c r="BA568" s="282"/>
      <c r="BB568" s="282"/>
      <c r="BC568" s="282"/>
      <c r="BD568" s="282"/>
      <c r="BE568" s="282"/>
      <c r="BF568" s="282"/>
      <c r="BG568" s="282"/>
      <c r="BH568" s="282"/>
      <c r="BI568" s="282"/>
      <c r="BJ568" s="282"/>
      <c r="BK568" s="282"/>
      <c r="BL568" s="282"/>
      <c r="BM568" s="282"/>
      <c r="BN568" s="282"/>
      <c r="BO568" s="282"/>
      <c r="BP568" s="282"/>
      <c r="BQ568" s="282"/>
      <c r="BR568" s="282"/>
      <c r="BS568" s="282"/>
      <c r="BT568" s="282"/>
      <c r="BU568" s="283"/>
      <c r="BV568" s="283"/>
      <c r="BW568" s="283"/>
      <c r="BX568" s="283"/>
      <c r="BY568" s="283"/>
      <c r="BZ568" s="283"/>
      <c r="CA568" s="283"/>
      <c r="CB568" s="283"/>
      <c r="CC568" s="283"/>
      <c r="CD568" s="283"/>
      <c r="CE568" s="283"/>
      <c r="CF568" s="283"/>
      <c r="CG568" s="283"/>
      <c r="CH568" s="283"/>
      <c r="CI568" s="283"/>
      <c r="CJ568" s="283"/>
      <c r="CK568" s="283"/>
      <c r="CL568" s="283"/>
    </row>
    <row r="569" spans="1:90" ht="14.25" customHeight="1" x14ac:dyDescent="0.2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2"/>
      <c r="W569" s="282"/>
      <c r="X569" s="282"/>
      <c r="Y569" s="282"/>
      <c r="Z569" s="282"/>
      <c r="AA569" s="282"/>
      <c r="AB569" s="282"/>
      <c r="AC569" s="282"/>
      <c r="AD569" s="282"/>
      <c r="AE569" s="282"/>
      <c r="AF569" s="282"/>
      <c r="AG569" s="282"/>
      <c r="AH569" s="282"/>
      <c r="AI569" s="282"/>
      <c r="AJ569" s="282"/>
      <c r="AK569" s="282"/>
      <c r="AL569" s="282"/>
      <c r="AM569" s="282"/>
      <c r="AN569" s="282"/>
      <c r="AO569" s="282"/>
      <c r="AP569" s="282"/>
      <c r="AQ569" s="282"/>
      <c r="AR569" s="282"/>
      <c r="AS569" s="282"/>
      <c r="AT569" s="282"/>
      <c r="AU569" s="282"/>
      <c r="AV569" s="282"/>
      <c r="AW569" s="282"/>
      <c r="AX569" s="282"/>
      <c r="AY569" s="282"/>
      <c r="AZ569" s="282"/>
      <c r="BA569" s="282"/>
      <c r="BB569" s="282"/>
      <c r="BC569" s="282"/>
      <c r="BD569" s="282"/>
      <c r="BE569" s="282"/>
      <c r="BF569" s="282"/>
      <c r="BG569" s="282"/>
      <c r="BH569" s="282"/>
      <c r="BI569" s="282"/>
      <c r="BJ569" s="282"/>
      <c r="BK569" s="282"/>
      <c r="BL569" s="282"/>
      <c r="BM569" s="282"/>
      <c r="BN569" s="282"/>
      <c r="BO569" s="282"/>
      <c r="BP569" s="282"/>
      <c r="BQ569" s="282"/>
      <c r="BR569" s="282"/>
      <c r="BS569" s="282"/>
      <c r="BT569" s="282"/>
      <c r="BU569" s="283"/>
      <c r="BV569" s="283"/>
      <c r="BW569" s="283"/>
      <c r="BX569" s="283"/>
      <c r="BY569" s="283"/>
      <c r="BZ569" s="283"/>
      <c r="CA569" s="283"/>
      <c r="CB569" s="283"/>
      <c r="CC569" s="283"/>
      <c r="CD569" s="283"/>
      <c r="CE569" s="283"/>
      <c r="CF569" s="283"/>
      <c r="CG569" s="283"/>
      <c r="CH569" s="283"/>
      <c r="CI569" s="283"/>
      <c r="CJ569" s="283"/>
      <c r="CK569" s="283"/>
      <c r="CL569" s="283"/>
    </row>
    <row r="570" spans="1:90" ht="14.25" customHeight="1" x14ac:dyDescent="0.2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2"/>
      <c r="W570" s="282"/>
      <c r="X570" s="282"/>
      <c r="Y570" s="282"/>
      <c r="Z570" s="282"/>
      <c r="AA570" s="282"/>
      <c r="AB570" s="282"/>
      <c r="AC570" s="282"/>
      <c r="AD570" s="282"/>
      <c r="AE570" s="282"/>
      <c r="AF570" s="282"/>
      <c r="AG570" s="282"/>
      <c r="AH570" s="282"/>
      <c r="AI570" s="282"/>
      <c r="AJ570" s="282"/>
      <c r="AK570" s="282"/>
      <c r="AL570" s="282"/>
      <c r="AM570" s="282"/>
      <c r="AN570" s="282"/>
      <c r="AO570" s="282"/>
      <c r="AP570" s="282"/>
      <c r="AQ570" s="282"/>
      <c r="AR570" s="282"/>
      <c r="AS570" s="282"/>
      <c r="AT570" s="282"/>
      <c r="AU570" s="282"/>
      <c r="AV570" s="282"/>
      <c r="AW570" s="282"/>
      <c r="AX570" s="282"/>
      <c r="AY570" s="282"/>
      <c r="AZ570" s="282"/>
      <c r="BA570" s="282"/>
      <c r="BB570" s="282"/>
      <c r="BC570" s="282"/>
      <c r="BD570" s="282"/>
      <c r="BE570" s="282"/>
      <c r="BF570" s="282"/>
      <c r="BG570" s="282"/>
      <c r="BH570" s="282"/>
      <c r="BI570" s="282"/>
      <c r="BJ570" s="282"/>
      <c r="BK570" s="282"/>
      <c r="BL570" s="282"/>
      <c r="BM570" s="282"/>
      <c r="BN570" s="282"/>
      <c r="BO570" s="282"/>
      <c r="BP570" s="282"/>
      <c r="BQ570" s="282"/>
      <c r="BR570" s="282"/>
      <c r="BS570" s="282"/>
      <c r="BT570" s="282"/>
      <c r="BU570" s="283"/>
      <c r="BV570" s="283"/>
      <c r="BW570" s="283"/>
      <c r="BX570" s="283"/>
      <c r="BY570" s="283"/>
      <c r="BZ570" s="283"/>
      <c r="CA570" s="283"/>
      <c r="CB570" s="283"/>
      <c r="CC570" s="283"/>
      <c r="CD570" s="283"/>
      <c r="CE570" s="283"/>
      <c r="CF570" s="283"/>
      <c r="CG570" s="283"/>
      <c r="CH570" s="283"/>
      <c r="CI570" s="283"/>
      <c r="CJ570" s="283"/>
      <c r="CK570" s="283"/>
      <c r="CL570" s="283"/>
    </row>
    <row r="571" spans="1:90" ht="14.25" customHeight="1" x14ac:dyDescent="0.2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2"/>
      <c r="W571" s="282"/>
      <c r="X571" s="282"/>
      <c r="Y571" s="282"/>
      <c r="Z571" s="282"/>
      <c r="AA571" s="282"/>
      <c r="AB571" s="282"/>
      <c r="AC571" s="282"/>
      <c r="AD571" s="282"/>
      <c r="AE571" s="282"/>
      <c r="AF571" s="282"/>
      <c r="AG571" s="282"/>
      <c r="AH571" s="282"/>
      <c r="AI571" s="282"/>
      <c r="AJ571" s="282"/>
      <c r="AK571" s="282"/>
      <c r="AL571" s="282"/>
      <c r="AM571" s="282"/>
      <c r="AN571" s="282"/>
      <c r="AO571" s="282"/>
      <c r="AP571" s="282"/>
      <c r="AQ571" s="282"/>
      <c r="AR571" s="282"/>
      <c r="AS571" s="282"/>
      <c r="AT571" s="282"/>
      <c r="AU571" s="282"/>
      <c r="AV571" s="282"/>
      <c r="AW571" s="282"/>
      <c r="AX571" s="282"/>
      <c r="AY571" s="282"/>
      <c r="AZ571" s="282"/>
      <c r="BA571" s="282"/>
      <c r="BB571" s="282"/>
      <c r="BC571" s="282"/>
      <c r="BD571" s="282"/>
      <c r="BE571" s="282"/>
      <c r="BF571" s="282"/>
      <c r="BG571" s="282"/>
      <c r="BH571" s="282"/>
      <c r="BI571" s="282"/>
      <c r="BJ571" s="282"/>
      <c r="BK571" s="282"/>
      <c r="BL571" s="282"/>
      <c r="BM571" s="282"/>
      <c r="BN571" s="282"/>
      <c r="BO571" s="282"/>
      <c r="BP571" s="282"/>
      <c r="BQ571" s="282"/>
      <c r="BR571" s="282"/>
      <c r="BS571" s="282"/>
      <c r="BT571" s="282"/>
      <c r="BU571" s="283"/>
      <c r="BV571" s="283"/>
      <c r="BW571" s="283"/>
      <c r="BX571" s="283"/>
      <c r="BY571" s="283"/>
      <c r="BZ571" s="283"/>
      <c r="CA571" s="283"/>
      <c r="CB571" s="283"/>
      <c r="CC571" s="283"/>
      <c r="CD571" s="283"/>
      <c r="CE571" s="283"/>
      <c r="CF571" s="283"/>
      <c r="CG571" s="283"/>
      <c r="CH571" s="283"/>
      <c r="CI571" s="283"/>
      <c r="CJ571" s="283"/>
      <c r="CK571" s="283"/>
      <c r="CL571" s="283"/>
    </row>
    <row r="572" spans="1:90" ht="14.25" customHeight="1" x14ac:dyDescent="0.2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2"/>
      <c r="W572" s="282"/>
      <c r="X572" s="282"/>
      <c r="Y572" s="282"/>
      <c r="Z572" s="282"/>
      <c r="AA572" s="282"/>
      <c r="AB572" s="282"/>
      <c r="AC572" s="282"/>
      <c r="AD572" s="282"/>
      <c r="AE572" s="282"/>
      <c r="AF572" s="282"/>
      <c r="AG572" s="282"/>
      <c r="AH572" s="282"/>
      <c r="AI572" s="282"/>
      <c r="AJ572" s="282"/>
      <c r="AK572" s="282"/>
      <c r="AL572" s="282"/>
      <c r="AM572" s="282"/>
      <c r="AN572" s="282"/>
      <c r="AO572" s="282"/>
      <c r="AP572" s="282"/>
      <c r="AQ572" s="282"/>
      <c r="AR572" s="282"/>
      <c r="AS572" s="282"/>
      <c r="AT572" s="282"/>
      <c r="AU572" s="282"/>
      <c r="AV572" s="282"/>
      <c r="AW572" s="282"/>
      <c r="AX572" s="282"/>
      <c r="AY572" s="282"/>
      <c r="AZ572" s="282"/>
      <c r="BA572" s="282"/>
      <c r="BB572" s="282"/>
      <c r="BC572" s="282"/>
      <c r="BD572" s="282"/>
      <c r="BE572" s="282"/>
      <c r="BF572" s="282"/>
      <c r="BG572" s="282"/>
      <c r="BH572" s="282"/>
      <c r="BI572" s="282"/>
      <c r="BJ572" s="282"/>
      <c r="BK572" s="282"/>
      <c r="BL572" s="282"/>
      <c r="BM572" s="282"/>
      <c r="BN572" s="282"/>
      <c r="BO572" s="282"/>
      <c r="BP572" s="282"/>
      <c r="BQ572" s="282"/>
      <c r="BR572" s="282"/>
      <c r="BS572" s="282"/>
      <c r="BT572" s="282"/>
      <c r="BU572" s="283"/>
      <c r="BV572" s="283"/>
      <c r="BW572" s="283"/>
      <c r="BX572" s="283"/>
      <c r="BY572" s="283"/>
      <c r="BZ572" s="283"/>
      <c r="CA572" s="283"/>
      <c r="CB572" s="283"/>
      <c r="CC572" s="283"/>
      <c r="CD572" s="283"/>
      <c r="CE572" s="283"/>
      <c r="CF572" s="283"/>
      <c r="CG572" s="283"/>
      <c r="CH572" s="283"/>
      <c r="CI572" s="283"/>
      <c r="CJ572" s="283"/>
      <c r="CK572" s="283"/>
      <c r="CL572" s="283"/>
    </row>
    <row r="573" spans="1:90" ht="14.25" customHeight="1" x14ac:dyDescent="0.2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2"/>
      <c r="W573" s="282"/>
      <c r="X573" s="282"/>
      <c r="Y573" s="282"/>
      <c r="Z573" s="282"/>
      <c r="AA573" s="282"/>
      <c r="AB573" s="282"/>
      <c r="AC573" s="282"/>
      <c r="AD573" s="282"/>
      <c r="AE573" s="282"/>
      <c r="AF573" s="282"/>
      <c r="AG573" s="282"/>
      <c r="AH573" s="282"/>
      <c r="AI573" s="282"/>
      <c r="AJ573" s="282"/>
      <c r="AK573" s="282"/>
      <c r="AL573" s="282"/>
      <c r="AM573" s="282"/>
      <c r="AN573" s="282"/>
      <c r="AO573" s="282"/>
      <c r="AP573" s="282"/>
      <c r="AQ573" s="282"/>
      <c r="AR573" s="282"/>
      <c r="AS573" s="282"/>
      <c r="AT573" s="282"/>
      <c r="AU573" s="282"/>
      <c r="AV573" s="282"/>
      <c r="AW573" s="282"/>
      <c r="AX573" s="282"/>
      <c r="AY573" s="282"/>
      <c r="AZ573" s="282"/>
      <c r="BA573" s="282"/>
      <c r="BB573" s="282"/>
      <c r="BC573" s="282"/>
      <c r="BD573" s="282"/>
      <c r="BE573" s="282"/>
      <c r="BF573" s="282"/>
      <c r="BG573" s="282"/>
      <c r="BH573" s="282"/>
      <c r="BI573" s="282"/>
      <c r="BJ573" s="282"/>
      <c r="BK573" s="282"/>
      <c r="BL573" s="282"/>
      <c r="BM573" s="282"/>
      <c r="BN573" s="282"/>
      <c r="BO573" s="282"/>
      <c r="BP573" s="282"/>
      <c r="BQ573" s="282"/>
      <c r="BR573" s="282"/>
      <c r="BS573" s="282"/>
      <c r="BT573" s="282"/>
      <c r="BU573" s="283"/>
      <c r="BV573" s="283"/>
      <c r="BW573" s="283"/>
      <c r="BX573" s="283"/>
      <c r="BY573" s="283"/>
      <c r="BZ573" s="283"/>
      <c r="CA573" s="283"/>
      <c r="CB573" s="283"/>
      <c r="CC573" s="283"/>
      <c r="CD573" s="283"/>
      <c r="CE573" s="283"/>
      <c r="CF573" s="283"/>
      <c r="CG573" s="283"/>
      <c r="CH573" s="283"/>
      <c r="CI573" s="283"/>
      <c r="CJ573" s="283"/>
      <c r="CK573" s="283"/>
      <c r="CL573" s="283"/>
    </row>
    <row r="574" spans="1:90" ht="14.25" customHeight="1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2"/>
      <c r="W574" s="282"/>
      <c r="X574" s="282"/>
      <c r="Y574" s="282"/>
      <c r="Z574" s="282"/>
      <c r="AA574" s="282"/>
      <c r="AB574" s="282"/>
      <c r="AC574" s="282"/>
      <c r="AD574" s="282"/>
      <c r="AE574" s="282"/>
      <c r="AF574" s="282"/>
      <c r="AG574" s="282"/>
      <c r="AH574" s="282"/>
      <c r="AI574" s="282"/>
      <c r="AJ574" s="282"/>
      <c r="AK574" s="282"/>
      <c r="AL574" s="282"/>
      <c r="AM574" s="282"/>
      <c r="AN574" s="282"/>
      <c r="AO574" s="282"/>
      <c r="AP574" s="282"/>
      <c r="AQ574" s="282"/>
      <c r="AR574" s="282"/>
      <c r="AS574" s="282"/>
      <c r="AT574" s="282"/>
      <c r="AU574" s="282"/>
      <c r="AV574" s="282"/>
      <c r="AW574" s="282"/>
      <c r="AX574" s="282"/>
      <c r="AY574" s="282"/>
      <c r="AZ574" s="282"/>
      <c r="BA574" s="282"/>
      <c r="BB574" s="282"/>
      <c r="BC574" s="282"/>
      <c r="BD574" s="282"/>
      <c r="BE574" s="282"/>
      <c r="BF574" s="282"/>
      <c r="BG574" s="282"/>
      <c r="BH574" s="282"/>
      <c r="BI574" s="282"/>
      <c r="BJ574" s="282"/>
      <c r="BK574" s="282"/>
      <c r="BL574" s="282"/>
      <c r="BM574" s="282"/>
      <c r="BN574" s="282"/>
      <c r="BO574" s="282"/>
      <c r="BP574" s="282"/>
      <c r="BQ574" s="282"/>
      <c r="BR574" s="282"/>
      <c r="BS574" s="282"/>
      <c r="BT574" s="282"/>
      <c r="BU574" s="283"/>
      <c r="BV574" s="283"/>
      <c r="BW574" s="283"/>
      <c r="BX574" s="283"/>
      <c r="BY574" s="283"/>
      <c r="BZ574" s="283"/>
      <c r="CA574" s="283"/>
      <c r="CB574" s="283"/>
      <c r="CC574" s="283"/>
      <c r="CD574" s="283"/>
      <c r="CE574" s="283"/>
      <c r="CF574" s="283"/>
      <c r="CG574" s="283"/>
      <c r="CH574" s="283"/>
      <c r="CI574" s="283"/>
      <c r="CJ574" s="283"/>
      <c r="CK574" s="283"/>
      <c r="CL574" s="283"/>
    </row>
    <row r="575" spans="1:90" ht="14.25" customHeight="1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2"/>
      <c r="W575" s="282"/>
      <c r="X575" s="282"/>
      <c r="Y575" s="282"/>
      <c r="Z575" s="282"/>
      <c r="AA575" s="282"/>
      <c r="AB575" s="282"/>
      <c r="AC575" s="282"/>
      <c r="AD575" s="282"/>
      <c r="AE575" s="282"/>
      <c r="AF575" s="282"/>
      <c r="AG575" s="282"/>
      <c r="AH575" s="282"/>
      <c r="AI575" s="282"/>
      <c r="AJ575" s="282"/>
      <c r="AK575" s="282"/>
      <c r="AL575" s="282"/>
      <c r="AM575" s="282"/>
      <c r="AN575" s="282"/>
      <c r="AO575" s="282"/>
      <c r="AP575" s="282"/>
      <c r="AQ575" s="282"/>
      <c r="AR575" s="282"/>
      <c r="AS575" s="282"/>
      <c r="AT575" s="282"/>
      <c r="AU575" s="282"/>
      <c r="AV575" s="282"/>
      <c r="AW575" s="282"/>
      <c r="AX575" s="282"/>
      <c r="AY575" s="282"/>
      <c r="AZ575" s="282"/>
      <c r="BA575" s="282"/>
      <c r="BB575" s="282"/>
      <c r="BC575" s="282"/>
      <c r="BD575" s="282"/>
      <c r="BE575" s="282"/>
      <c r="BF575" s="282"/>
      <c r="BG575" s="282"/>
      <c r="BH575" s="282"/>
      <c r="BI575" s="282"/>
      <c r="BJ575" s="282"/>
      <c r="BK575" s="282"/>
      <c r="BL575" s="282"/>
      <c r="BM575" s="282"/>
      <c r="BN575" s="282"/>
      <c r="BO575" s="282"/>
      <c r="BP575" s="282"/>
      <c r="BQ575" s="282"/>
      <c r="BR575" s="282"/>
      <c r="BS575" s="282"/>
      <c r="BT575" s="282"/>
      <c r="BU575" s="283"/>
      <c r="BV575" s="283"/>
      <c r="BW575" s="283"/>
      <c r="BX575" s="283"/>
      <c r="BY575" s="283"/>
      <c r="BZ575" s="283"/>
      <c r="CA575" s="283"/>
      <c r="CB575" s="283"/>
      <c r="CC575" s="283"/>
      <c r="CD575" s="283"/>
      <c r="CE575" s="283"/>
      <c r="CF575" s="283"/>
      <c r="CG575" s="283"/>
      <c r="CH575" s="283"/>
      <c r="CI575" s="283"/>
      <c r="CJ575" s="283"/>
      <c r="CK575" s="283"/>
      <c r="CL575" s="283"/>
    </row>
    <row r="576" spans="1:90" ht="14.25" customHeight="1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BN576" s="283"/>
      <c r="BO576" s="283"/>
      <c r="BP576" s="283"/>
      <c r="BQ576" s="283"/>
      <c r="BR576" s="283"/>
      <c r="BS576" s="283"/>
      <c r="BT576" s="283"/>
      <c r="BU576" s="283"/>
      <c r="BV576" s="283"/>
      <c r="BW576" s="283"/>
      <c r="BX576" s="283"/>
      <c r="BY576" s="283"/>
      <c r="BZ576" s="283"/>
      <c r="CA576" s="283"/>
      <c r="CB576" s="283"/>
      <c r="CC576" s="283"/>
      <c r="CD576" s="283"/>
      <c r="CE576" s="283"/>
      <c r="CF576" s="283"/>
      <c r="CG576" s="283"/>
      <c r="CH576" s="283"/>
      <c r="CI576" s="283"/>
      <c r="CJ576" s="283"/>
      <c r="CK576" s="283"/>
      <c r="CL576" s="283"/>
    </row>
    <row r="577" spans="1:90" ht="14.25" customHeight="1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BN577" s="283"/>
      <c r="BO577" s="283"/>
      <c r="BP577" s="283"/>
      <c r="BQ577" s="283"/>
      <c r="BR577" s="283"/>
      <c r="BS577" s="283"/>
      <c r="BT577" s="283"/>
      <c r="BU577" s="283"/>
      <c r="BV577" s="283"/>
      <c r="BW577" s="283"/>
      <c r="BX577" s="283"/>
      <c r="BY577" s="283"/>
      <c r="BZ577" s="283"/>
      <c r="CA577" s="283"/>
      <c r="CB577" s="283"/>
      <c r="CC577" s="283"/>
      <c r="CD577" s="283"/>
      <c r="CE577" s="283"/>
      <c r="CF577" s="283"/>
      <c r="CG577" s="283"/>
      <c r="CH577" s="283"/>
      <c r="CI577" s="283"/>
      <c r="CJ577" s="283"/>
      <c r="CK577" s="283"/>
      <c r="CL577" s="283"/>
    </row>
    <row r="578" spans="1:90" ht="14.25" customHeight="1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BN578" s="283"/>
      <c r="BO578" s="283"/>
      <c r="BP578" s="283"/>
      <c r="BQ578" s="283"/>
      <c r="BR578" s="283"/>
      <c r="BS578" s="283"/>
      <c r="BT578" s="283"/>
      <c r="BU578" s="283"/>
      <c r="BV578" s="283"/>
      <c r="BW578" s="283"/>
      <c r="BX578" s="283"/>
      <c r="BY578" s="283"/>
      <c r="BZ578" s="283"/>
      <c r="CA578" s="283"/>
      <c r="CB578" s="283"/>
      <c r="CC578" s="283"/>
      <c r="CD578" s="283"/>
      <c r="CE578" s="283"/>
      <c r="CF578" s="283"/>
      <c r="CG578" s="283"/>
      <c r="CH578" s="283"/>
      <c r="CI578" s="283"/>
      <c r="CJ578" s="283"/>
      <c r="CK578" s="283"/>
      <c r="CL578" s="283"/>
    </row>
    <row r="579" spans="1:90" ht="14.25" customHeight="1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BN579" s="283"/>
      <c r="BO579" s="283"/>
      <c r="BP579" s="283"/>
      <c r="BQ579" s="283"/>
      <c r="BR579" s="283"/>
      <c r="BS579" s="283"/>
      <c r="BT579" s="283"/>
      <c r="BU579" s="283"/>
      <c r="BV579" s="283"/>
      <c r="BW579" s="283"/>
      <c r="BX579" s="283"/>
      <c r="BY579" s="283"/>
      <c r="BZ579" s="283"/>
      <c r="CA579" s="283"/>
      <c r="CB579" s="283"/>
      <c r="CC579" s="283"/>
      <c r="CD579" s="283"/>
      <c r="CE579" s="283"/>
      <c r="CF579" s="283"/>
      <c r="CG579" s="283"/>
      <c r="CH579" s="283"/>
      <c r="CI579" s="283"/>
      <c r="CJ579" s="283"/>
      <c r="CK579" s="283"/>
      <c r="CL579" s="283"/>
    </row>
    <row r="580" spans="1:90" ht="14.25" customHeight="1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BN580" s="283"/>
      <c r="BO580" s="283"/>
      <c r="BP580" s="283"/>
      <c r="BQ580" s="283"/>
      <c r="BR580" s="283"/>
      <c r="BS580" s="283"/>
      <c r="BT580" s="283"/>
      <c r="BU580" s="283"/>
      <c r="BV580" s="283"/>
      <c r="BW580" s="283"/>
      <c r="BX580" s="283"/>
      <c r="BY580" s="283"/>
      <c r="BZ580" s="283"/>
      <c r="CA580" s="283"/>
      <c r="CB580" s="283"/>
      <c r="CC580" s="283"/>
      <c r="CD580" s="283"/>
      <c r="CE580" s="283"/>
      <c r="CF580" s="283"/>
      <c r="CG580" s="283"/>
      <c r="CH580" s="283"/>
      <c r="CI580" s="283"/>
      <c r="CJ580" s="283"/>
      <c r="CK580" s="283"/>
      <c r="CL580" s="283"/>
    </row>
    <row r="581" spans="1:90" ht="14.25" customHeight="1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BN581" s="283"/>
      <c r="BO581" s="283"/>
      <c r="BP581" s="283"/>
      <c r="BQ581" s="283"/>
      <c r="BR581" s="283"/>
      <c r="BS581" s="283"/>
      <c r="BT581" s="283"/>
      <c r="BU581" s="283"/>
      <c r="BV581" s="283"/>
      <c r="BW581" s="283"/>
      <c r="BX581" s="283"/>
      <c r="BY581" s="283"/>
      <c r="BZ581" s="283"/>
      <c r="CA581" s="283"/>
      <c r="CB581" s="283"/>
      <c r="CC581" s="283"/>
      <c r="CD581" s="283"/>
      <c r="CE581" s="283"/>
      <c r="CF581" s="283"/>
      <c r="CG581" s="283"/>
      <c r="CH581" s="283"/>
      <c r="CI581" s="283"/>
      <c r="CJ581" s="283"/>
      <c r="CK581" s="283"/>
      <c r="CL581" s="283"/>
    </row>
    <row r="582" spans="1:90" ht="14.25" customHeight="1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BN582" s="283"/>
      <c r="BO582" s="283"/>
      <c r="BP582" s="283"/>
      <c r="BQ582" s="283"/>
      <c r="BR582" s="283"/>
      <c r="BS582" s="283"/>
      <c r="BT582" s="283"/>
      <c r="BU582" s="283"/>
      <c r="BV582" s="283"/>
      <c r="BW582" s="283"/>
      <c r="BX582" s="283"/>
      <c r="BY582" s="283"/>
      <c r="BZ582" s="283"/>
      <c r="CA582" s="283"/>
      <c r="CB582" s="283"/>
      <c r="CC582" s="283"/>
      <c r="CD582" s="283"/>
      <c r="CE582" s="283"/>
      <c r="CF582" s="283"/>
      <c r="CG582" s="283"/>
      <c r="CH582" s="283"/>
      <c r="CI582" s="283"/>
      <c r="CJ582" s="283"/>
      <c r="CK582" s="283"/>
      <c r="CL582" s="283"/>
    </row>
    <row r="583" spans="1:90" ht="14.25" customHeight="1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BN583" s="283"/>
      <c r="BO583" s="283"/>
      <c r="BP583" s="283"/>
      <c r="BQ583" s="283"/>
      <c r="BR583" s="283"/>
      <c r="BS583" s="283"/>
      <c r="BT583" s="283"/>
      <c r="BU583" s="283"/>
      <c r="BV583" s="283"/>
      <c r="BW583" s="283"/>
      <c r="BX583" s="283"/>
      <c r="BY583" s="283"/>
      <c r="BZ583" s="283"/>
      <c r="CA583" s="283"/>
      <c r="CB583" s="283"/>
      <c r="CC583" s="283"/>
      <c r="CD583" s="283"/>
      <c r="CE583" s="283"/>
      <c r="CF583" s="283"/>
      <c r="CG583" s="283"/>
      <c r="CH583" s="283"/>
      <c r="CI583" s="283"/>
      <c r="CJ583" s="283"/>
      <c r="CK583" s="283"/>
      <c r="CL583" s="283"/>
    </row>
    <row r="584" spans="1:90" ht="14.25" customHeight="1" x14ac:dyDescent="0.2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BN584" s="283"/>
      <c r="BO584" s="283"/>
      <c r="BP584" s="283"/>
      <c r="BQ584" s="283"/>
      <c r="BR584" s="283"/>
      <c r="BS584" s="283"/>
      <c r="BT584" s="283"/>
      <c r="BU584" s="283"/>
      <c r="BV584" s="283"/>
      <c r="BW584" s="283"/>
      <c r="BX584" s="283"/>
      <c r="BY584" s="283"/>
      <c r="BZ584" s="283"/>
      <c r="CA584" s="283"/>
      <c r="CB584" s="283"/>
      <c r="CC584" s="283"/>
      <c r="CD584" s="283"/>
      <c r="CE584" s="283"/>
      <c r="CF584" s="283"/>
      <c r="CG584" s="283"/>
      <c r="CH584" s="283"/>
      <c r="CI584" s="283"/>
      <c r="CJ584" s="283"/>
      <c r="CK584" s="283"/>
      <c r="CL584" s="283"/>
    </row>
    <row r="585" spans="1:90" ht="14.25" customHeight="1" x14ac:dyDescent="0.2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BN585" s="283"/>
      <c r="BO585" s="283"/>
      <c r="BP585" s="283"/>
      <c r="BQ585" s="283"/>
      <c r="BR585" s="283"/>
      <c r="BS585" s="283"/>
      <c r="BT585" s="283"/>
      <c r="BU585" s="283"/>
      <c r="BV585" s="283"/>
      <c r="BW585" s="283"/>
      <c r="BX585" s="283"/>
      <c r="BY585" s="283"/>
      <c r="BZ585" s="283"/>
      <c r="CA585" s="283"/>
      <c r="CB585" s="283"/>
      <c r="CC585" s="283"/>
      <c r="CD585" s="283"/>
      <c r="CE585" s="283"/>
      <c r="CF585" s="283"/>
      <c r="CG585" s="283"/>
      <c r="CH585" s="283"/>
      <c r="CI585" s="283"/>
      <c r="CJ585" s="283"/>
      <c r="CK585" s="283"/>
      <c r="CL585" s="283"/>
    </row>
    <row r="586" spans="1:90" ht="14.25" customHeight="1" x14ac:dyDescent="0.2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BN586" s="283"/>
      <c r="BO586" s="283"/>
      <c r="BP586" s="283"/>
      <c r="BQ586" s="283"/>
      <c r="BR586" s="283"/>
      <c r="BS586" s="283"/>
      <c r="BT586" s="283"/>
      <c r="BU586" s="283"/>
      <c r="BV586" s="283"/>
      <c r="BW586" s="283"/>
      <c r="BX586" s="283"/>
      <c r="BY586" s="283"/>
      <c r="BZ586" s="283"/>
      <c r="CA586" s="283"/>
      <c r="CB586" s="283"/>
      <c r="CC586" s="283"/>
      <c r="CD586" s="283"/>
      <c r="CE586" s="283"/>
      <c r="CF586" s="283"/>
      <c r="CG586" s="283"/>
      <c r="CH586" s="283"/>
      <c r="CI586" s="283"/>
      <c r="CJ586" s="283"/>
      <c r="CK586" s="283"/>
      <c r="CL586" s="283"/>
    </row>
    <row r="587" spans="1:90" ht="14.25" customHeight="1" x14ac:dyDescent="0.2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BN587" s="283"/>
      <c r="BO587" s="283"/>
      <c r="BP587" s="283"/>
      <c r="BQ587" s="283"/>
      <c r="BR587" s="283"/>
      <c r="BS587" s="283"/>
      <c r="BT587" s="283"/>
      <c r="BU587" s="283"/>
      <c r="BV587" s="283"/>
      <c r="BW587" s="283"/>
      <c r="BX587" s="283"/>
      <c r="BY587" s="283"/>
      <c r="BZ587" s="283"/>
      <c r="CA587" s="283"/>
      <c r="CB587" s="283"/>
      <c r="CC587" s="283"/>
      <c r="CD587" s="283"/>
      <c r="CE587" s="283"/>
      <c r="CF587" s="283"/>
      <c r="CG587" s="283"/>
      <c r="CH587" s="283"/>
      <c r="CI587" s="283"/>
      <c r="CJ587" s="283"/>
      <c r="CK587" s="283"/>
      <c r="CL587" s="283"/>
    </row>
    <row r="588" spans="1:90" ht="14.25" customHeight="1" x14ac:dyDescent="0.2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BN588" s="283"/>
      <c r="BO588" s="283"/>
      <c r="BP588" s="283"/>
      <c r="BQ588" s="283"/>
      <c r="BR588" s="283"/>
      <c r="BS588" s="283"/>
      <c r="BT588" s="283"/>
      <c r="BU588" s="283"/>
      <c r="BV588" s="283"/>
      <c r="BW588" s="283"/>
      <c r="BX588" s="283"/>
      <c r="BY588" s="283"/>
      <c r="BZ588" s="283"/>
      <c r="CA588" s="283"/>
      <c r="CB588" s="283"/>
      <c r="CC588" s="283"/>
      <c r="CD588" s="283"/>
      <c r="CE588" s="283"/>
      <c r="CF588" s="283"/>
      <c r="CG588" s="283"/>
      <c r="CH588" s="283"/>
      <c r="CI588" s="283"/>
      <c r="CJ588" s="283"/>
      <c r="CK588" s="283"/>
      <c r="CL588" s="283"/>
    </row>
    <row r="589" spans="1:90" ht="14.25" customHeight="1" x14ac:dyDescent="0.2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BN589" s="283"/>
      <c r="BO589" s="283"/>
      <c r="BP589" s="283"/>
      <c r="BQ589" s="283"/>
      <c r="BR589" s="283"/>
      <c r="BS589" s="283"/>
      <c r="BT589" s="283"/>
      <c r="BU589" s="283"/>
      <c r="BV589" s="283"/>
      <c r="BW589" s="283"/>
      <c r="BX589" s="283"/>
      <c r="BY589" s="283"/>
      <c r="BZ589" s="283"/>
      <c r="CA589" s="283"/>
      <c r="CB589" s="283"/>
      <c r="CC589" s="283"/>
      <c r="CD589" s="283"/>
      <c r="CE589" s="283"/>
      <c r="CF589" s="283"/>
      <c r="CG589" s="283"/>
      <c r="CH589" s="283"/>
      <c r="CI589" s="283"/>
      <c r="CJ589" s="283"/>
      <c r="CK589" s="283"/>
      <c r="CL589" s="283"/>
    </row>
    <row r="590" spans="1:90" ht="14.25" customHeight="1" x14ac:dyDescent="0.2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BN590" s="283"/>
      <c r="BO590" s="283"/>
      <c r="BP590" s="283"/>
      <c r="BQ590" s="283"/>
      <c r="BR590" s="283"/>
      <c r="BS590" s="283"/>
      <c r="BT590" s="283"/>
      <c r="BU590" s="283"/>
      <c r="BV590" s="283"/>
      <c r="BW590" s="283"/>
      <c r="BX590" s="283"/>
      <c r="BY590" s="283"/>
      <c r="BZ590" s="283"/>
      <c r="CA590" s="283"/>
      <c r="CB590" s="283"/>
      <c r="CC590" s="283"/>
      <c r="CD590" s="283"/>
      <c r="CE590" s="283"/>
      <c r="CF590" s="283"/>
      <c r="CG590" s="283"/>
      <c r="CH590" s="283"/>
      <c r="CI590" s="283"/>
      <c r="CJ590" s="283"/>
      <c r="CK590" s="283"/>
      <c r="CL590" s="283"/>
    </row>
    <row r="591" spans="1:90" ht="14.25" customHeight="1" x14ac:dyDescent="0.2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BN591" s="283"/>
      <c r="BO591" s="283"/>
      <c r="BP591" s="283"/>
      <c r="BQ591" s="283"/>
      <c r="BR591" s="283"/>
      <c r="BS591" s="283"/>
      <c r="BT591" s="283"/>
      <c r="BU591" s="283"/>
      <c r="BV591" s="283"/>
      <c r="BW591" s="283"/>
      <c r="BX591" s="283"/>
      <c r="BY591" s="283"/>
      <c r="BZ591" s="283"/>
      <c r="CA591" s="283"/>
      <c r="CB591" s="283"/>
      <c r="CC591" s="283"/>
      <c r="CD591" s="283"/>
      <c r="CE591" s="283"/>
      <c r="CF591" s="283"/>
      <c r="CG591" s="283"/>
      <c r="CH591" s="283"/>
      <c r="CI591" s="283"/>
      <c r="CJ591" s="283"/>
      <c r="CK591" s="283"/>
      <c r="CL591" s="283"/>
    </row>
    <row r="592" spans="1:90" ht="14.25" customHeight="1" x14ac:dyDescent="0.2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BN592" s="283"/>
      <c r="BO592" s="283"/>
      <c r="BP592" s="283"/>
      <c r="BQ592" s="283"/>
      <c r="BR592" s="283"/>
      <c r="BS592" s="283"/>
      <c r="BT592" s="283"/>
      <c r="BU592" s="283"/>
      <c r="BV592" s="283"/>
      <c r="BW592" s="283"/>
      <c r="BX592" s="283"/>
      <c r="BY592" s="283"/>
      <c r="BZ592" s="283"/>
      <c r="CA592" s="283"/>
      <c r="CB592" s="283"/>
      <c r="CC592" s="283"/>
      <c r="CD592" s="283"/>
      <c r="CE592" s="283"/>
      <c r="CF592" s="283"/>
      <c r="CG592" s="283"/>
      <c r="CH592" s="283"/>
      <c r="CI592" s="283"/>
      <c r="CJ592" s="283"/>
      <c r="CK592" s="283"/>
      <c r="CL592" s="283"/>
    </row>
    <row r="593" spans="1:90" ht="14.25" customHeight="1" x14ac:dyDescent="0.2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BN593" s="283"/>
      <c r="BO593" s="283"/>
      <c r="BP593" s="283"/>
      <c r="BQ593" s="283"/>
      <c r="BR593" s="283"/>
      <c r="BS593" s="283"/>
      <c r="BT593" s="283"/>
      <c r="BU593" s="283"/>
      <c r="BV593" s="283"/>
      <c r="BW593" s="283"/>
      <c r="BX593" s="283"/>
      <c r="BY593" s="283"/>
      <c r="BZ593" s="283"/>
      <c r="CA593" s="283"/>
      <c r="CB593" s="283"/>
      <c r="CC593" s="283"/>
      <c r="CD593" s="283"/>
      <c r="CE593" s="283"/>
      <c r="CF593" s="283"/>
      <c r="CG593" s="283"/>
      <c r="CH593" s="283"/>
      <c r="CI593" s="283"/>
      <c r="CJ593" s="283"/>
      <c r="CK593" s="283"/>
      <c r="CL593" s="283"/>
    </row>
    <row r="594" spans="1:90" ht="14.25" customHeight="1" x14ac:dyDescent="0.2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BN594" s="283"/>
      <c r="BO594" s="283"/>
      <c r="BP594" s="283"/>
      <c r="BQ594" s="283"/>
      <c r="BR594" s="283"/>
      <c r="BS594" s="283"/>
      <c r="BT594" s="283"/>
      <c r="BU594" s="283"/>
      <c r="BV594" s="283"/>
      <c r="BW594" s="283"/>
      <c r="BX594" s="283"/>
      <c r="BY594" s="283"/>
      <c r="BZ594" s="283"/>
      <c r="CA594" s="283"/>
      <c r="CB594" s="283"/>
      <c r="CC594" s="283"/>
      <c r="CD594" s="283"/>
      <c r="CE594" s="283"/>
      <c r="CF594" s="283"/>
      <c r="CG594" s="283"/>
      <c r="CH594" s="283"/>
      <c r="CI594" s="283"/>
      <c r="CJ594" s="283"/>
      <c r="CK594" s="283"/>
      <c r="CL594" s="283"/>
    </row>
    <row r="595" spans="1:90" ht="14.25" customHeight="1" x14ac:dyDescent="0.2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BN595" s="283"/>
      <c r="BO595" s="283"/>
      <c r="BP595" s="283"/>
      <c r="BQ595" s="283"/>
      <c r="BR595" s="283"/>
      <c r="BS595" s="283"/>
      <c r="BT595" s="283"/>
      <c r="BU595" s="283"/>
      <c r="BV595" s="283"/>
      <c r="BW595" s="283"/>
      <c r="BX595" s="283"/>
      <c r="BY595" s="283"/>
      <c r="BZ595" s="283"/>
      <c r="CA595" s="283"/>
      <c r="CB595" s="283"/>
      <c r="CC595" s="283"/>
      <c r="CD595" s="283"/>
      <c r="CE595" s="283"/>
      <c r="CF595" s="283"/>
      <c r="CG595" s="283"/>
      <c r="CH595" s="283"/>
      <c r="CI595" s="283"/>
      <c r="CJ595" s="283"/>
      <c r="CK595" s="283"/>
      <c r="CL595" s="283"/>
    </row>
    <row r="596" spans="1:90" ht="14.25" customHeight="1" x14ac:dyDescent="0.2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BN596" s="283"/>
      <c r="BO596" s="283"/>
      <c r="BP596" s="283"/>
      <c r="BQ596" s="283"/>
      <c r="BR596" s="283"/>
      <c r="BS596" s="283"/>
      <c r="BT596" s="283"/>
      <c r="BU596" s="283"/>
      <c r="BV596" s="283"/>
      <c r="BW596" s="283"/>
      <c r="BX596" s="283"/>
      <c r="BY596" s="283"/>
      <c r="BZ596" s="283"/>
      <c r="CA596" s="283"/>
      <c r="CB596" s="283"/>
      <c r="CC596" s="283"/>
      <c r="CD596" s="283"/>
      <c r="CE596" s="283"/>
      <c r="CF596" s="283"/>
      <c r="CG596" s="283"/>
      <c r="CH596" s="283"/>
      <c r="CI596" s="283"/>
      <c r="CJ596" s="283"/>
      <c r="CK596" s="283"/>
      <c r="CL596" s="283"/>
    </row>
    <row r="597" spans="1:90" ht="14.25" customHeight="1" x14ac:dyDescent="0.2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BN597" s="283"/>
      <c r="BO597" s="283"/>
      <c r="BP597" s="283"/>
      <c r="BQ597" s="283"/>
      <c r="BR597" s="283"/>
      <c r="BS597" s="283"/>
      <c r="BT597" s="283"/>
      <c r="BU597" s="283"/>
      <c r="BV597" s="283"/>
      <c r="BW597" s="283"/>
      <c r="BX597" s="283"/>
      <c r="BY597" s="283"/>
      <c r="BZ597" s="283"/>
      <c r="CA597" s="283"/>
      <c r="CB597" s="283"/>
      <c r="CC597" s="283"/>
      <c r="CD597" s="283"/>
      <c r="CE597" s="283"/>
      <c r="CF597" s="283"/>
      <c r="CG597" s="283"/>
      <c r="CH597" s="283"/>
      <c r="CI597" s="283"/>
      <c r="CJ597" s="283"/>
      <c r="CK597" s="283"/>
      <c r="CL597" s="283"/>
    </row>
    <row r="598" spans="1:90" ht="14.25" customHeight="1" x14ac:dyDescent="0.2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BN598" s="283"/>
      <c r="BO598" s="283"/>
      <c r="BP598" s="283"/>
      <c r="BQ598" s="283"/>
      <c r="BR598" s="283"/>
      <c r="BS598" s="283"/>
      <c r="BT598" s="283"/>
      <c r="BU598" s="283"/>
      <c r="BV598" s="283"/>
      <c r="BW598" s="283"/>
      <c r="BX598" s="283"/>
      <c r="BY598" s="283"/>
      <c r="BZ598" s="283"/>
      <c r="CA598" s="283"/>
      <c r="CB598" s="283"/>
      <c r="CC598" s="283"/>
      <c r="CD598" s="283"/>
      <c r="CE598" s="283"/>
      <c r="CF598" s="283"/>
      <c r="CG598" s="283"/>
      <c r="CH598" s="283"/>
      <c r="CI598" s="283"/>
      <c r="CJ598" s="283"/>
      <c r="CK598" s="283"/>
      <c r="CL598" s="283"/>
    </row>
    <row r="599" spans="1:90" ht="14.25" customHeight="1" x14ac:dyDescent="0.2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BN599" s="283"/>
      <c r="BO599" s="283"/>
      <c r="BP599" s="283"/>
      <c r="BQ599" s="283"/>
      <c r="BR599" s="283"/>
      <c r="BS599" s="283"/>
      <c r="BT599" s="283"/>
      <c r="BU599" s="283"/>
      <c r="BV599" s="283"/>
      <c r="BW599" s="283"/>
      <c r="BX599" s="283"/>
      <c r="BY599" s="283"/>
      <c r="BZ599" s="283"/>
      <c r="CA599" s="283"/>
      <c r="CB599" s="283"/>
      <c r="CC599" s="283"/>
      <c r="CD599" s="283"/>
      <c r="CE599" s="283"/>
      <c r="CF599" s="283"/>
      <c r="CG599" s="283"/>
      <c r="CH599" s="283"/>
      <c r="CI599" s="283"/>
      <c r="CJ599" s="283"/>
      <c r="CK599" s="283"/>
      <c r="CL599" s="283"/>
    </row>
    <row r="600" spans="1:90" ht="14.25" customHeight="1" x14ac:dyDescent="0.2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BN600" s="283"/>
      <c r="BO600" s="283"/>
      <c r="BP600" s="283"/>
      <c r="BQ600" s="283"/>
      <c r="BR600" s="283"/>
      <c r="BS600" s="283"/>
      <c r="BT600" s="283"/>
      <c r="BU600" s="283"/>
      <c r="BV600" s="283"/>
      <c r="BW600" s="283"/>
      <c r="BX600" s="283"/>
      <c r="BY600" s="283"/>
      <c r="BZ600" s="283"/>
      <c r="CA600" s="283"/>
      <c r="CB600" s="283"/>
      <c r="CC600" s="283"/>
      <c r="CD600" s="283"/>
      <c r="CE600" s="283"/>
      <c r="CF600" s="283"/>
      <c r="CG600" s="283"/>
      <c r="CH600" s="283"/>
      <c r="CI600" s="283"/>
      <c r="CJ600" s="283"/>
      <c r="CK600" s="283"/>
      <c r="CL600" s="283"/>
    </row>
    <row r="601" spans="1:90" ht="14.25" customHeight="1" x14ac:dyDescent="0.2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BN601" s="283"/>
      <c r="BO601" s="283"/>
      <c r="BP601" s="283"/>
      <c r="BQ601" s="283"/>
      <c r="BR601" s="283"/>
      <c r="BS601" s="283"/>
      <c r="BT601" s="283"/>
      <c r="BU601" s="283"/>
      <c r="BV601" s="283"/>
      <c r="BW601" s="283"/>
      <c r="BX601" s="283"/>
      <c r="BY601" s="283"/>
      <c r="BZ601" s="283"/>
      <c r="CA601" s="283"/>
      <c r="CB601" s="283"/>
      <c r="CC601" s="283"/>
      <c r="CD601" s="283"/>
      <c r="CE601" s="283"/>
      <c r="CF601" s="283"/>
      <c r="CG601" s="283"/>
      <c r="CH601" s="283"/>
      <c r="CI601" s="283"/>
      <c r="CJ601" s="283"/>
      <c r="CK601" s="283"/>
      <c r="CL601" s="283"/>
    </row>
    <row r="602" spans="1:90" ht="14.25" customHeight="1" x14ac:dyDescent="0.2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BN602" s="283"/>
      <c r="BO602" s="283"/>
      <c r="BP602" s="283"/>
      <c r="BQ602" s="283"/>
      <c r="BR602" s="283"/>
      <c r="BS602" s="283"/>
      <c r="BT602" s="283"/>
      <c r="BU602" s="283"/>
      <c r="BV602" s="283"/>
      <c r="BW602" s="283"/>
      <c r="BX602" s="283"/>
      <c r="BY602" s="283"/>
      <c r="BZ602" s="283"/>
      <c r="CA602" s="283"/>
      <c r="CB602" s="283"/>
      <c r="CC602" s="283"/>
      <c r="CD602" s="283"/>
      <c r="CE602" s="283"/>
      <c r="CF602" s="283"/>
      <c r="CG602" s="283"/>
      <c r="CH602" s="283"/>
      <c r="CI602" s="283"/>
      <c r="CJ602" s="283"/>
      <c r="CK602" s="283"/>
      <c r="CL602" s="283"/>
    </row>
    <row r="603" spans="1:90" ht="14.25" customHeight="1" x14ac:dyDescent="0.2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BN603" s="283"/>
      <c r="BO603" s="283"/>
      <c r="BP603" s="283"/>
      <c r="BQ603" s="283"/>
      <c r="BR603" s="283"/>
      <c r="BS603" s="283"/>
      <c r="BT603" s="283"/>
      <c r="BU603" s="283"/>
      <c r="BV603" s="283"/>
      <c r="BW603" s="283"/>
      <c r="BX603" s="283"/>
      <c r="BY603" s="283"/>
      <c r="BZ603" s="283"/>
      <c r="CA603" s="283"/>
      <c r="CB603" s="283"/>
      <c r="CC603" s="283"/>
      <c r="CD603" s="283"/>
      <c r="CE603" s="283"/>
      <c r="CF603" s="283"/>
      <c r="CG603" s="283"/>
      <c r="CH603" s="283"/>
      <c r="CI603" s="283"/>
      <c r="CJ603" s="283"/>
      <c r="CK603" s="283"/>
      <c r="CL603" s="283"/>
    </row>
    <row r="604" spans="1:90" ht="14.25" customHeight="1" x14ac:dyDescent="0.2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BN604" s="283"/>
      <c r="BO604" s="283"/>
      <c r="BP604" s="283"/>
      <c r="BQ604" s="283"/>
      <c r="BR604" s="283"/>
      <c r="BS604" s="283"/>
      <c r="BT604" s="283"/>
      <c r="BU604" s="283"/>
      <c r="BV604" s="283"/>
      <c r="BW604" s="283"/>
      <c r="BX604" s="283"/>
      <c r="BY604" s="283"/>
      <c r="BZ604" s="283"/>
      <c r="CA604" s="283"/>
      <c r="CB604" s="283"/>
      <c r="CC604" s="283"/>
      <c r="CD604" s="283"/>
      <c r="CE604" s="283"/>
      <c r="CF604" s="283"/>
      <c r="CG604" s="283"/>
      <c r="CH604" s="283"/>
      <c r="CI604" s="283"/>
      <c r="CJ604" s="283"/>
      <c r="CK604" s="283"/>
      <c r="CL604" s="283"/>
    </row>
    <row r="605" spans="1:90" ht="14.25" customHeight="1" x14ac:dyDescent="0.2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BN605" s="283"/>
      <c r="BO605" s="283"/>
      <c r="BP605" s="283"/>
      <c r="BQ605" s="283"/>
      <c r="BR605" s="283"/>
      <c r="BS605" s="283"/>
      <c r="BT605" s="283"/>
      <c r="BU605" s="283"/>
      <c r="BV605" s="283"/>
      <c r="BW605" s="283"/>
      <c r="BX605" s="283"/>
      <c r="BY605" s="283"/>
      <c r="BZ605" s="283"/>
      <c r="CA605" s="283"/>
      <c r="CB605" s="283"/>
      <c r="CC605" s="283"/>
      <c r="CD605" s="283"/>
      <c r="CE605" s="283"/>
      <c r="CF605" s="283"/>
      <c r="CG605" s="283"/>
      <c r="CH605" s="283"/>
      <c r="CI605" s="283"/>
      <c r="CJ605" s="283"/>
      <c r="CK605" s="283"/>
      <c r="CL605" s="283"/>
    </row>
    <row r="606" spans="1:90" ht="14.25" customHeight="1" x14ac:dyDescent="0.2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BN606" s="283"/>
      <c r="BO606" s="283"/>
      <c r="BP606" s="283"/>
      <c r="BQ606" s="283"/>
      <c r="BR606" s="283"/>
      <c r="BS606" s="283"/>
      <c r="BT606" s="283"/>
      <c r="BU606" s="283"/>
      <c r="BV606" s="283"/>
      <c r="BW606" s="283"/>
      <c r="BX606" s="283"/>
      <c r="BY606" s="283"/>
      <c r="BZ606" s="283"/>
      <c r="CA606" s="283"/>
      <c r="CB606" s="283"/>
      <c r="CC606" s="283"/>
      <c r="CD606" s="283"/>
      <c r="CE606" s="283"/>
      <c r="CF606" s="283"/>
      <c r="CG606" s="283"/>
      <c r="CH606" s="283"/>
      <c r="CI606" s="283"/>
      <c r="CJ606" s="283"/>
      <c r="CK606" s="283"/>
      <c r="CL606" s="283"/>
    </row>
    <row r="607" spans="1:90" ht="14.25" customHeight="1" x14ac:dyDescent="0.2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BN607" s="283"/>
      <c r="BO607" s="283"/>
      <c r="BP607" s="283"/>
      <c r="BQ607" s="283"/>
      <c r="BR607" s="283"/>
      <c r="BS607" s="283"/>
      <c r="BT607" s="283"/>
      <c r="BU607" s="283"/>
      <c r="BV607" s="283"/>
      <c r="BW607" s="283"/>
      <c r="BX607" s="283"/>
      <c r="BY607" s="283"/>
      <c r="BZ607" s="283"/>
      <c r="CA607" s="283"/>
      <c r="CB607" s="283"/>
      <c r="CC607" s="283"/>
      <c r="CD607" s="283"/>
      <c r="CE607" s="283"/>
      <c r="CF607" s="283"/>
      <c r="CG607" s="283"/>
      <c r="CH607" s="283"/>
      <c r="CI607" s="283"/>
      <c r="CJ607" s="283"/>
      <c r="CK607" s="283"/>
      <c r="CL607" s="283"/>
    </row>
    <row r="608" spans="1:90" ht="14.25" customHeight="1" x14ac:dyDescent="0.2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BN608" s="283"/>
      <c r="BO608" s="283"/>
      <c r="BP608" s="283"/>
      <c r="BQ608" s="283"/>
      <c r="BR608" s="283"/>
      <c r="BS608" s="283"/>
      <c r="BT608" s="283"/>
      <c r="BU608" s="283"/>
      <c r="BV608" s="283"/>
      <c r="BW608" s="283"/>
      <c r="BX608" s="283"/>
      <c r="BY608" s="283"/>
      <c r="BZ608" s="283"/>
      <c r="CA608" s="283"/>
      <c r="CB608" s="283"/>
      <c r="CC608" s="283"/>
      <c r="CD608" s="283"/>
      <c r="CE608" s="283"/>
      <c r="CF608" s="283"/>
      <c r="CG608" s="283"/>
      <c r="CH608" s="283"/>
      <c r="CI608" s="283"/>
      <c r="CJ608" s="283"/>
      <c r="CK608" s="283"/>
      <c r="CL608" s="283"/>
    </row>
    <row r="609" spans="1:90" ht="14.25" customHeight="1" x14ac:dyDescent="0.2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BN609" s="283"/>
      <c r="BO609" s="283"/>
      <c r="BP609" s="283"/>
      <c r="BQ609" s="283"/>
      <c r="BR609" s="283"/>
      <c r="BS609" s="283"/>
      <c r="BT609" s="283"/>
      <c r="BU609" s="283"/>
      <c r="BV609" s="283"/>
      <c r="BW609" s="283"/>
      <c r="BX609" s="283"/>
      <c r="BY609" s="283"/>
      <c r="BZ609" s="283"/>
      <c r="CA609" s="283"/>
      <c r="CB609" s="283"/>
      <c r="CC609" s="283"/>
      <c r="CD609" s="283"/>
      <c r="CE609" s="283"/>
      <c r="CF609" s="283"/>
      <c r="CG609" s="283"/>
      <c r="CH609" s="283"/>
      <c r="CI609" s="283"/>
      <c r="CJ609" s="283"/>
      <c r="CK609" s="283"/>
      <c r="CL609" s="283"/>
    </row>
    <row r="610" spans="1:90" ht="14.25" customHeight="1" x14ac:dyDescent="0.2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BN610" s="283"/>
      <c r="BO610" s="283"/>
      <c r="BP610" s="283"/>
      <c r="BQ610" s="283"/>
      <c r="BR610" s="283"/>
      <c r="BS610" s="283"/>
      <c r="BT610" s="283"/>
      <c r="BU610" s="283"/>
      <c r="BV610" s="283"/>
      <c r="BW610" s="283"/>
      <c r="BX610" s="283"/>
      <c r="BY610" s="283"/>
      <c r="BZ610" s="283"/>
      <c r="CA610" s="283"/>
      <c r="CB610" s="283"/>
      <c r="CC610" s="283"/>
      <c r="CD610" s="283"/>
      <c r="CE610" s="283"/>
      <c r="CF610" s="283"/>
      <c r="CG610" s="283"/>
      <c r="CH610" s="283"/>
      <c r="CI610" s="283"/>
      <c r="CJ610" s="283"/>
      <c r="CK610" s="283"/>
      <c r="CL610" s="283"/>
    </row>
    <row r="611" spans="1:90" ht="14.25" customHeight="1" x14ac:dyDescent="0.2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BN611" s="283"/>
      <c r="BO611" s="283"/>
      <c r="BP611" s="283"/>
      <c r="BQ611" s="283"/>
      <c r="BR611" s="283"/>
      <c r="BS611" s="283"/>
      <c r="BT611" s="283"/>
      <c r="BU611" s="283"/>
      <c r="BV611" s="283"/>
      <c r="BW611" s="283"/>
      <c r="BX611" s="283"/>
      <c r="BY611" s="283"/>
      <c r="BZ611" s="283"/>
      <c r="CA611" s="283"/>
      <c r="CB611" s="283"/>
      <c r="CC611" s="283"/>
      <c r="CD611" s="283"/>
      <c r="CE611" s="283"/>
      <c r="CF611" s="283"/>
      <c r="CG611" s="283"/>
      <c r="CH611" s="283"/>
      <c r="CI611" s="283"/>
      <c r="CJ611" s="283"/>
      <c r="CK611" s="283"/>
      <c r="CL611" s="283"/>
    </row>
    <row r="612" spans="1:90" ht="14.25" customHeight="1" x14ac:dyDescent="0.2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BN612" s="283"/>
      <c r="BO612" s="283"/>
      <c r="BP612" s="283"/>
      <c r="BQ612" s="283"/>
      <c r="BR612" s="283"/>
      <c r="BS612" s="283"/>
      <c r="BT612" s="283"/>
      <c r="BU612" s="283"/>
      <c r="BV612" s="283"/>
      <c r="BW612" s="283"/>
      <c r="BX612" s="283"/>
      <c r="BY612" s="283"/>
      <c r="BZ612" s="283"/>
      <c r="CA612" s="283"/>
      <c r="CB612" s="283"/>
      <c r="CC612" s="283"/>
      <c r="CD612" s="283"/>
      <c r="CE612" s="283"/>
      <c r="CF612" s="283"/>
      <c r="CG612" s="283"/>
      <c r="CH612" s="283"/>
      <c r="CI612" s="283"/>
      <c r="CJ612" s="283"/>
      <c r="CK612" s="283"/>
      <c r="CL612" s="283"/>
    </row>
    <row r="613" spans="1:90" ht="14.25" customHeight="1" x14ac:dyDescent="0.2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BN613" s="283"/>
      <c r="BO613" s="283"/>
      <c r="BP613" s="283"/>
      <c r="BQ613" s="283"/>
      <c r="BR613" s="283"/>
      <c r="BS613" s="283"/>
      <c r="BT613" s="283"/>
      <c r="BU613" s="283"/>
      <c r="BV613" s="283"/>
      <c r="BW613" s="283"/>
      <c r="BX613" s="283"/>
      <c r="BY613" s="283"/>
      <c r="BZ613" s="283"/>
      <c r="CA613" s="283"/>
      <c r="CB613" s="283"/>
      <c r="CC613" s="283"/>
      <c r="CD613" s="283"/>
      <c r="CE613" s="283"/>
      <c r="CF613" s="283"/>
      <c r="CG613" s="283"/>
      <c r="CH613" s="283"/>
      <c r="CI613" s="283"/>
      <c r="CJ613" s="283"/>
      <c r="CK613" s="283"/>
      <c r="CL613" s="283"/>
    </row>
    <row r="614" spans="1:90" ht="14.25" customHeight="1" x14ac:dyDescent="0.2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BN614" s="283"/>
      <c r="BO614" s="283"/>
      <c r="BP614" s="283"/>
      <c r="BQ614" s="283"/>
      <c r="BR614" s="283"/>
      <c r="BS614" s="283"/>
      <c r="BT614" s="283"/>
      <c r="BU614" s="283"/>
      <c r="BV614" s="283"/>
      <c r="BW614" s="283"/>
      <c r="BX614" s="283"/>
      <c r="BY614" s="283"/>
      <c r="BZ614" s="283"/>
      <c r="CA614" s="283"/>
      <c r="CB614" s="283"/>
      <c r="CC614" s="283"/>
      <c r="CD614" s="283"/>
      <c r="CE614" s="283"/>
      <c r="CF614" s="283"/>
      <c r="CG614" s="283"/>
      <c r="CH614" s="283"/>
      <c r="CI614" s="283"/>
      <c r="CJ614" s="283"/>
      <c r="CK614" s="283"/>
      <c r="CL614" s="283"/>
    </row>
    <row r="615" spans="1:90" ht="14.25" customHeight="1" x14ac:dyDescent="0.2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BN615" s="283"/>
      <c r="BO615" s="283"/>
      <c r="BP615" s="283"/>
      <c r="BQ615" s="283"/>
      <c r="BR615" s="283"/>
      <c r="BS615" s="283"/>
      <c r="BT615" s="283"/>
      <c r="BU615" s="283"/>
      <c r="BV615" s="283"/>
      <c r="BW615" s="283"/>
      <c r="BX615" s="283"/>
      <c r="BY615" s="283"/>
      <c r="BZ615" s="283"/>
      <c r="CA615" s="283"/>
      <c r="CB615" s="283"/>
      <c r="CC615" s="283"/>
      <c r="CD615" s="283"/>
      <c r="CE615" s="283"/>
      <c r="CF615" s="283"/>
      <c r="CG615" s="283"/>
      <c r="CH615" s="283"/>
      <c r="CI615" s="283"/>
      <c r="CJ615" s="283"/>
      <c r="CK615" s="283"/>
      <c r="CL615" s="283"/>
    </row>
    <row r="616" spans="1:90" ht="14.25" customHeight="1" x14ac:dyDescent="0.2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BN616" s="283"/>
      <c r="BO616" s="283"/>
      <c r="BP616" s="283"/>
      <c r="BQ616" s="283"/>
      <c r="BR616" s="283"/>
      <c r="BS616" s="283"/>
      <c r="BT616" s="283"/>
      <c r="BU616" s="283"/>
      <c r="BV616" s="283"/>
      <c r="BW616" s="283"/>
      <c r="BX616" s="283"/>
      <c r="BY616" s="283"/>
      <c r="BZ616" s="283"/>
      <c r="CA616" s="283"/>
      <c r="CB616" s="283"/>
      <c r="CC616" s="283"/>
      <c r="CD616" s="283"/>
      <c r="CE616" s="283"/>
      <c r="CF616" s="283"/>
      <c r="CG616" s="283"/>
      <c r="CH616" s="283"/>
      <c r="CI616" s="283"/>
      <c r="CJ616" s="283"/>
      <c r="CK616" s="283"/>
      <c r="CL616" s="283"/>
    </row>
    <row r="617" spans="1:90" ht="14.25" customHeight="1" x14ac:dyDescent="0.2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BN617" s="283"/>
      <c r="BO617" s="283"/>
      <c r="BP617" s="283"/>
      <c r="BQ617" s="283"/>
      <c r="BR617" s="283"/>
      <c r="BS617" s="283"/>
      <c r="BT617" s="283"/>
      <c r="BU617" s="283"/>
      <c r="BV617" s="283"/>
      <c r="BW617" s="283"/>
      <c r="BX617" s="283"/>
      <c r="BY617" s="283"/>
      <c r="BZ617" s="283"/>
      <c r="CA617" s="283"/>
      <c r="CB617" s="283"/>
      <c r="CC617" s="283"/>
      <c r="CD617" s="283"/>
      <c r="CE617" s="283"/>
      <c r="CF617" s="283"/>
      <c r="CG617" s="283"/>
      <c r="CH617" s="283"/>
      <c r="CI617" s="283"/>
      <c r="CJ617" s="283"/>
      <c r="CK617" s="283"/>
      <c r="CL617" s="283"/>
    </row>
    <row r="618" spans="1:90" ht="14.25" customHeight="1" x14ac:dyDescent="0.2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BN618" s="283"/>
      <c r="BO618" s="283"/>
      <c r="BP618" s="283"/>
      <c r="BQ618" s="283"/>
      <c r="BR618" s="283"/>
      <c r="BS618" s="283"/>
      <c r="BT618" s="283"/>
      <c r="BU618" s="283"/>
      <c r="BV618" s="283"/>
      <c r="BW618" s="283"/>
      <c r="BX618" s="283"/>
      <c r="BY618" s="283"/>
      <c r="BZ618" s="283"/>
      <c r="CA618" s="283"/>
      <c r="CB618" s="283"/>
      <c r="CC618" s="283"/>
      <c r="CD618" s="283"/>
      <c r="CE618" s="283"/>
      <c r="CF618" s="283"/>
      <c r="CG618" s="283"/>
      <c r="CH618" s="283"/>
      <c r="CI618" s="283"/>
      <c r="CJ618" s="283"/>
      <c r="CK618" s="283"/>
      <c r="CL618" s="283"/>
    </row>
    <row r="619" spans="1:90" ht="14.25" customHeight="1" x14ac:dyDescent="0.2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BN619" s="283"/>
      <c r="BO619" s="283"/>
      <c r="BP619" s="283"/>
      <c r="BQ619" s="283"/>
      <c r="BR619" s="283"/>
      <c r="BS619" s="283"/>
      <c r="BT619" s="283"/>
      <c r="BU619" s="283"/>
      <c r="BV619" s="283"/>
      <c r="BW619" s="283"/>
      <c r="BX619" s="283"/>
      <c r="BY619" s="283"/>
      <c r="BZ619" s="283"/>
      <c r="CA619" s="283"/>
      <c r="CB619" s="283"/>
      <c r="CC619" s="283"/>
      <c r="CD619" s="283"/>
      <c r="CE619" s="283"/>
      <c r="CF619" s="283"/>
      <c r="CG619" s="283"/>
      <c r="CH619" s="283"/>
      <c r="CI619" s="283"/>
      <c r="CJ619" s="283"/>
      <c r="CK619" s="283"/>
      <c r="CL619" s="283"/>
    </row>
    <row r="620" spans="1:90" ht="14.25" customHeight="1" x14ac:dyDescent="0.2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BN620" s="283"/>
      <c r="BO620" s="283"/>
      <c r="BP620" s="283"/>
      <c r="BQ620" s="283"/>
      <c r="BR620" s="283"/>
      <c r="BS620" s="283"/>
      <c r="BT620" s="283"/>
      <c r="BU620" s="283"/>
      <c r="BV620" s="283"/>
      <c r="BW620" s="283"/>
      <c r="BX620" s="283"/>
      <c r="BY620" s="283"/>
      <c r="BZ620" s="283"/>
      <c r="CA620" s="283"/>
      <c r="CB620" s="283"/>
      <c r="CC620" s="283"/>
      <c r="CD620" s="283"/>
      <c r="CE620" s="283"/>
      <c r="CF620" s="283"/>
      <c r="CG620" s="283"/>
      <c r="CH620" s="283"/>
      <c r="CI620" s="283"/>
      <c r="CJ620" s="283"/>
      <c r="CK620" s="283"/>
      <c r="CL620" s="283"/>
    </row>
    <row r="621" spans="1:90" ht="14.25" customHeight="1" x14ac:dyDescent="0.2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BN621" s="283"/>
      <c r="BO621" s="283"/>
      <c r="BP621" s="283"/>
      <c r="BQ621" s="283"/>
      <c r="BR621" s="283"/>
      <c r="BS621" s="283"/>
      <c r="BT621" s="283"/>
      <c r="BU621" s="283"/>
      <c r="BV621" s="283"/>
      <c r="BW621" s="283"/>
      <c r="BX621" s="283"/>
      <c r="BY621" s="283"/>
      <c r="BZ621" s="283"/>
      <c r="CA621" s="283"/>
      <c r="CB621" s="283"/>
      <c r="CC621" s="283"/>
      <c r="CD621" s="283"/>
      <c r="CE621" s="283"/>
      <c r="CF621" s="283"/>
      <c r="CG621" s="283"/>
      <c r="CH621" s="283"/>
      <c r="CI621" s="283"/>
      <c r="CJ621" s="283"/>
      <c r="CK621" s="283"/>
      <c r="CL621" s="283"/>
    </row>
    <row r="622" spans="1:90" ht="14.25" customHeight="1" x14ac:dyDescent="0.2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BN622" s="283"/>
      <c r="BO622" s="283"/>
      <c r="BP622" s="283"/>
      <c r="BQ622" s="283"/>
      <c r="BR622" s="283"/>
      <c r="BS622" s="283"/>
      <c r="BT622" s="283"/>
      <c r="BU622" s="283"/>
      <c r="BV622" s="283"/>
      <c r="BW622" s="283"/>
      <c r="BX622" s="283"/>
      <c r="BY622" s="283"/>
      <c r="BZ622" s="283"/>
      <c r="CA622" s="283"/>
      <c r="CB622" s="283"/>
      <c r="CC622" s="283"/>
      <c r="CD622" s="283"/>
      <c r="CE622" s="283"/>
      <c r="CF622" s="283"/>
      <c r="CG622" s="283"/>
      <c r="CH622" s="283"/>
      <c r="CI622" s="283"/>
      <c r="CJ622" s="283"/>
      <c r="CK622" s="283"/>
      <c r="CL622" s="283"/>
    </row>
    <row r="623" spans="1:90" ht="14.25" customHeight="1" x14ac:dyDescent="0.2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BN623" s="283"/>
      <c r="BO623" s="283"/>
      <c r="BP623" s="283"/>
      <c r="BQ623" s="283"/>
      <c r="BR623" s="283"/>
      <c r="BS623" s="283"/>
      <c r="BT623" s="283"/>
      <c r="BU623" s="283"/>
      <c r="BV623" s="283"/>
      <c r="BW623" s="283"/>
      <c r="BX623" s="283"/>
      <c r="BY623" s="283"/>
      <c r="BZ623" s="283"/>
      <c r="CA623" s="283"/>
      <c r="CB623" s="283"/>
      <c r="CC623" s="283"/>
      <c r="CD623" s="283"/>
      <c r="CE623" s="283"/>
      <c r="CF623" s="283"/>
      <c r="CG623" s="283"/>
      <c r="CH623" s="283"/>
      <c r="CI623" s="283"/>
      <c r="CJ623" s="283"/>
      <c r="CK623" s="283"/>
      <c r="CL623" s="283"/>
    </row>
    <row r="624" spans="1:90" ht="14.25" customHeight="1" x14ac:dyDescent="0.2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BN624" s="283"/>
      <c r="BO624" s="283"/>
      <c r="BP624" s="283"/>
      <c r="BQ624" s="283"/>
      <c r="BR624" s="283"/>
      <c r="BS624" s="283"/>
      <c r="BT624" s="283"/>
      <c r="BU624" s="283"/>
      <c r="BV624" s="283"/>
      <c r="BW624" s="283"/>
      <c r="BX624" s="283"/>
      <c r="BY624" s="283"/>
      <c r="BZ624" s="283"/>
      <c r="CA624" s="283"/>
      <c r="CB624" s="283"/>
      <c r="CC624" s="283"/>
      <c r="CD624" s="283"/>
      <c r="CE624" s="283"/>
      <c r="CF624" s="283"/>
      <c r="CG624" s="283"/>
      <c r="CH624" s="283"/>
      <c r="CI624" s="283"/>
      <c r="CJ624" s="283"/>
      <c r="CK624" s="283"/>
      <c r="CL624" s="283"/>
    </row>
    <row r="625" spans="1:90" ht="14.25" customHeight="1" x14ac:dyDescent="0.2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BN625" s="283"/>
      <c r="BO625" s="283"/>
      <c r="BP625" s="283"/>
      <c r="BQ625" s="283"/>
      <c r="BR625" s="283"/>
      <c r="BS625" s="283"/>
      <c r="BT625" s="283"/>
      <c r="BU625" s="283"/>
      <c r="BV625" s="283"/>
      <c r="BW625" s="283"/>
      <c r="BX625" s="283"/>
      <c r="BY625" s="283"/>
      <c r="BZ625" s="283"/>
      <c r="CA625" s="283"/>
      <c r="CB625" s="283"/>
      <c r="CC625" s="283"/>
      <c r="CD625" s="283"/>
      <c r="CE625" s="283"/>
      <c r="CF625" s="283"/>
      <c r="CG625" s="283"/>
      <c r="CH625" s="283"/>
      <c r="CI625" s="283"/>
      <c r="CJ625" s="283"/>
      <c r="CK625" s="283"/>
      <c r="CL625" s="283"/>
    </row>
    <row r="626" spans="1:90" ht="14.25" customHeight="1" x14ac:dyDescent="0.2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BN626" s="283"/>
      <c r="BO626" s="283"/>
      <c r="BP626" s="283"/>
      <c r="BQ626" s="283"/>
      <c r="BR626" s="283"/>
      <c r="BS626" s="283"/>
      <c r="BT626" s="283"/>
      <c r="BU626" s="283"/>
      <c r="BV626" s="283"/>
      <c r="BW626" s="283"/>
      <c r="BX626" s="283"/>
      <c r="BY626" s="283"/>
      <c r="BZ626" s="283"/>
      <c r="CA626" s="283"/>
      <c r="CB626" s="283"/>
      <c r="CC626" s="283"/>
      <c r="CD626" s="283"/>
      <c r="CE626" s="283"/>
      <c r="CF626" s="283"/>
      <c r="CG626" s="283"/>
      <c r="CH626" s="283"/>
      <c r="CI626" s="283"/>
      <c r="CJ626" s="283"/>
      <c r="CK626" s="283"/>
      <c r="CL626" s="283"/>
    </row>
    <row r="627" spans="1:90" ht="14.25" customHeight="1" x14ac:dyDescent="0.2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BN627" s="283"/>
      <c r="BO627" s="283"/>
      <c r="BP627" s="283"/>
      <c r="BQ627" s="283"/>
      <c r="BR627" s="283"/>
      <c r="BS627" s="283"/>
      <c r="BT627" s="283"/>
      <c r="BU627" s="283"/>
      <c r="BV627" s="283"/>
      <c r="BW627" s="283"/>
      <c r="BX627" s="283"/>
      <c r="BY627" s="283"/>
      <c r="BZ627" s="283"/>
      <c r="CA627" s="283"/>
      <c r="CB627" s="283"/>
      <c r="CC627" s="283"/>
      <c r="CD627" s="283"/>
      <c r="CE627" s="283"/>
      <c r="CF627" s="283"/>
      <c r="CG627" s="283"/>
      <c r="CH627" s="283"/>
      <c r="CI627" s="283"/>
      <c r="CJ627" s="283"/>
      <c r="CK627" s="283"/>
      <c r="CL627" s="283"/>
    </row>
    <row r="628" spans="1:90" ht="14.25" customHeight="1" x14ac:dyDescent="0.2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BN628" s="283"/>
      <c r="BO628" s="283"/>
      <c r="BP628" s="283"/>
      <c r="BQ628" s="283"/>
      <c r="BR628" s="283"/>
      <c r="BS628" s="283"/>
      <c r="BT628" s="283"/>
      <c r="BU628" s="283"/>
      <c r="BV628" s="283"/>
      <c r="BW628" s="283"/>
      <c r="BX628" s="283"/>
      <c r="BY628" s="283"/>
      <c r="BZ628" s="283"/>
      <c r="CA628" s="283"/>
      <c r="CB628" s="283"/>
      <c r="CC628" s="283"/>
      <c r="CD628" s="283"/>
      <c r="CE628" s="283"/>
      <c r="CF628" s="283"/>
      <c r="CG628" s="283"/>
      <c r="CH628" s="283"/>
      <c r="CI628" s="283"/>
      <c r="CJ628" s="283"/>
      <c r="CK628" s="283"/>
      <c r="CL628" s="283"/>
    </row>
    <row r="629" spans="1:90" ht="14.25" customHeight="1" x14ac:dyDescent="0.2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BN629" s="283"/>
      <c r="BO629" s="283"/>
      <c r="BP629" s="283"/>
      <c r="BQ629" s="283"/>
      <c r="BR629" s="283"/>
      <c r="BS629" s="283"/>
      <c r="BT629" s="283"/>
      <c r="BU629" s="283"/>
      <c r="BV629" s="283"/>
      <c r="BW629" s="283"/>
      <c r="BX629" s="283"/>
      <c r="BY629" s="283"/>
      <c r="BZ629" s="283"/>
      <c r="CA629" s="283"/>
      <c r="CB629" s="283"/>
      <c r="CC629" s="283"/>
      <c r="CD629" s="283"/>
      <c r="CE629" s="283"/>
      <c r="CF629" s="283"/>
      <c r="CG629" s="283"/>
      <c r="CH629" s="283"/>
      <c r="CI629" s="283"/>
      <c r="CJ629" s="283"/>
      <c r="CK629" s="283"/>
      <c r="CL629" s="283"/>
    </row>
    <row r="630" spans="1:90" ht="14.25" customHeight="1" x14ac:dyDescent="0.2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BN630" s="283"/>
      <c r="BO630" s="283"/>
      <c r="BP630" s="283"/>
      <c r="BQ630" s="283"/>
      <c r="BR630" s="283"/>
      <c r="BS630" s="283"/>
      <c r="BT630" s="283"/>
      <c r="BU630" s="283"/>
      <c r="BV630" s="283"/>
      <c r="BW630" s="283"/>
      <c r="BX630" s="283"/>
      <c r="BY630" s="283"/>
      <c r="BZ630" s="283"/>
      <c r="CA630" s="283"/>
      <c r="CB630" s="283"/>
      <c r="CC630" s="283"/>
      <c r="CD630" s="283"/>
      <c r="CE630" s="283"/>
      <c r="CF630" s="283"/>
      <c r="CG630" s="283"/>
      <c r="CH630" s="283"/>
      <c r="CI630" s="283"/>
      <c r="CJ630" s="283"/>
      <c r="CK630" s="283"/>
      <c r="CL630" s="283"/>
    </row>
    <row r="631" spans="1:90" ht="14.25" customHeight="1" x14ac:dyDescent="0.2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BN631" s="283"/>
      <c r="BO631" s="283"/>
      <c r="BP631" s="283"/>
      <c r="BQ631" s="283"/>
      <c r="BR631" s="283"/>
      <c r="BS631" s="283"/>
      <c r="BT631" s="283"/>
      <c r="BU631" s="283"/>
      <c r="BV631" s="283"/>
      <c r="BW631" s="283"/>
      <c r="BX631" s="283"/>
      <c r="BY631" s="283"/>
      <c r="BZ631" s="283"/>
      <c r="CA631" s="283"/>
      <c r="CB631" s="283"/>
      <c r="CC631" s="283"/>
      <c r="CD631" s="283"/>
      <c r="CE631" s="283"/>
      <c r="CF631" s="283"/>
      <c r="CG631" s="283"/>
      <c r="CH631" s="283"/>
      <c r="CI631" s="283"/>
      <c r="CJ631" s="283"/>
      <c r="CK631" s="283"/>
      <c r="CL631" s="283"/>
    </row>
    <row r="632" spans="1:90" ht="14.25" customHeight="1" x14ac:dyDescent="0.2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BN632" s="283"/>
      <c r="BO632" s="283"/>
      <c r="BP632" s="283"/>
      <c r="BQ632" s="283"/>
      <c r="BR632" s="283"/>
      <c r="BS632" s="283"/>
      <c r="BT632" s="283"/>
      <c r="BU632" s="283"/>
      <c r="BV632" s="283"/>
      <c r="BW632" s="283"/>
      <c r="BX632" s="283"/>
      <c r="BY632" s="283"/>
      <c r="BZ632" s="283"/>
      <c r="CA632" s="283"/>
      <c r="CB632" s="283"/>
      <c r="CC632" s="283"/>
      <c r="CD632" s="283"/>
      <c r="CE632" s="283"/>
      <c r="CF632" s="283"/>
      <c r="CG632" s="283"/>
      <c r="CH632" s="283"/>
      <c r="CI632" s="283"/>
      <c r="CJ632" s="283"/>
      <c r="CK632" s="283"/>
      <c r="CL632" s="283"/>
    </row>
    <row r="633" spans="1:90" ht="14.25" customHeight="1" x14ac:dyDescent="0.2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BN633" s="283"/>
      <c r="BO633" s="283"/>
      <c r="BP633" s="283"/>
      <c r="BQ633" s="283"/>
      <c r="BR633" s="283"/>
      <c r="BS633" s="283"/>
      <c r="BT633" s="283"/>
      <c r="BU633" s="283"/>
      <c r="BV633" s="283"/>
      <c r="BW633" s="283"/>
      <c r="BX633" s="283"/>
      <c r="BY633" s="283"/>
      <c r="BZ633" s="283"/>
      <c r="CA633" s="283"/>
      <c r="CB633" s="283"/>
      <c r="CC633" s="283"/>
      <c r="CD633" s="283"/>
      <c r="CE633" s="283"/>
      <c r="CF633" s="283"/>
      <c r="CG633" s="283"/>
      <c r="CH633" s="283"/>
      <c r="CI633" s="283"/>
      <c r="CJ633" s="283"/>
      <c r="CK633" s="283"/>
      <c r="CL633" s="283"/>
    </row>
    <row r="634" spans="1:90" ht="14.25" customHeight="1" x14ac:dyDescent="0.2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BN634" s="283"/>
      <c r="BO634" s="283"/>
      <c r="BP634" s="283"/>
      <c r="BQ634" s="283"/>
      <c r="BR634" s="283"/>
      <c r="BS634" s="283"/>
      <c r="BT634" s="283"/>
      <c r="BU634" s="283"/>
      <c r="BV634" s="283"/>
      <c r="BW634" s="283"/>
      <c r="BX634" s="283"/>
      <c r="BY634" s="283"/>
      <c r="BZ634" s="283"/>
      <c r="CA634" s="283"/>
      <c r="CB634" s="283"/>
      <c r="CC634" s="283"/>
      <c r="CD634" s="283"/>
      <c r="CE634" s="283"/>
      <c r="CF634" s="283"/>
      <c r="CG634" s="283"/>
      <c r="CH634" s="283"/>
      <c r="CI634" s="283"/>
      <c r="CJ634" s="283"/>
      <c r="CK634" s="283"/>
      <c r="CL634" s="283"/>
    </row>
    <row r="635" spans="1:90" ht="14.25" customHeight="1" x14ac:dyDescent="0.2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BN635" s="283"/>
      <c r="BO635" s="283"/>
      <c r="BP635" s="283"/>
      <c r="BQ635" s="283"/>
      <c r="BR635" s="283"/>
      <c r="BS635" s="283"/>
      <c r="BT635" s="283"/>
      <c r="BU635" s="283"/>
      <c r="BV635" s="283"/>
      <c r="BW635" s="283"/>
      <c r="BX635" s="283"/>
      <c r="BY635" s="283"/>
      <c r="BZ635" s="283"/>
      <c r="CA635" s="283"/>
      <c r="CB635" s="283"/>
      <c r="CC635" s="283"/>
      <c r="CD635" s="283"/>
      <c r="CE635" s="283"/>
      <c r="CF635" s="283"/>
      <c r="CG635" s="283"/>
      <c r="CH635" s="283"/>
      <c r="CI635" s="283"/>
      <c r="CJ635" s="283"/>
      <c r="CK635" s="283"/>
      <c r="CL635" s="283"/>
    </row>
    <row r="636" spans="1:90" ht="14.25" customHeight="1" x14ac:dyDescent="0.2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BN636" s="283"/>
      <c r="BO636" s="283"/>
      <c r="BP636" s="283"/>
      <c r="BQ636" s="283"/>
      <c r="BR636" s="283"/>
      <c r="BS636" s="283"/>
      <c r="BT636" s="283"/>
      <c r="BU636" s="283"/>
      <c r="BV636" s="283"/>
      <c r="BW636" s="283"/>
      <c r="BX636" s="283"/>
      <c r="BY636" s="283"/>
      <c r="BZ636" s="283"/>
      <c r="CA636" s="283"/>
      <c r="CB636" s="283"/>
      <c r="CC636" s="283"/>
      <c r="CD636" s="283"/>
      <c r="CE636" s="283"/>
      <c r="CF636" s="283"/>
      <c r="CG636" s="283"/>
      <c r="CH636" s="283"/>
      <c r="CI636" s="283"/>
      <c r="CJ636" s="283"/>
      <c r="CK636" s="283"/>
      <c r="CL636" s="283"/>
    </row>
    <row r="637" spans="1:90" ht="14.25" customHeight="1" x14ac:dyDescent="0.2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BN637" s="283"/>
      <c r="BO637" s="283"/>
      <c r="BP637" s="283"/>
      <c r="BQ637" s="283"/>
      <c r="BR637" s="283"/>
      <c r="BS637" s="283"/>
      <c r="BT637" s="283"/>
      <c r="BU637" s="283"/>
      <c r="BV637" s="283"/>
      <c r="BW637" s="283"/>
      <c r="BX637" s="283"/>
      <c r="BY637" s="283"/>
      <c r="BZ637" s="283"/>
      <c r="CA637" s="283"/>
      <c r="CB637" s="283"/>
      <c r="CC637" s="283"/>
      <c r="CD637" s="283"/>
      <c r="CE637" s="283"/>
      <c r="CF637" s="283"/>
      <c r="CG637" s="283"/>
      <c r="CH637" s="283"/>
      <c r="CI637" s="283"/>
      <c r="CJ637" s="283"/>
      <c r="CK637" s="283"/>
      <c r="CL637" s="283"/>
    </row>
    <row r="638" spans="1:90" ht="14.25" customHeight="1" x14ac:dyDescent="0.2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BN638" s="283"/>
      <c r="BO638" s="283"/>
      <c r="BP638" s="283"/>
      <c r="BQ638" s="283"/>
      <c r="BR638" s="283"/>
      <c r="BS638" s="283"/>
      <c r="BT638" s="283"/>
      <c r="BU638" s="283"/>
      <c r="BV638" s="283"/>
      <c r="BW638" s="283"/>
      <c r="BX638" s="283"/>
      <c r="BY638" s="283"/>
      <c r="BZ638" s="283"/>
      <c r="CA638" s="283"/>
      <c r="CB638" s="283"/>
      <c r="CC638" s="283"/>
      <c r="CD638" s="283"/>
      <c r="CE638" s="283"/>
      <c r="CF638" s="283"/>
      <c r="CG638" s="283"/>
      <c r="CH638" s="283"/>
      <c r="CI638" s="283"/>
      <c r="CJ638" s="283"/>
      <c r="CK638" s="283"/>
      <c r="CL638" s="283"/>
    </row>
    <row r="639" spans="1:90" ht="14.25" customHeight="1" x14ac:dyDescent="0.2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BN639" s="283"/>
      <c r="BO639" s="283"/>
      <c r="BP639" s="283"/>
      <c r="BQ639" s="283"/>
      <c r="BR639" s="283"/>
      <c r="BS639" s="283"/>
      <c r="BT639" s="283"/>
      <c r="BU639" s="283"/>
      <c r="BV639" s="283"/>
      <c r="BW639" s="283"/>
      <c r="BX639" s="283"/>
      <c r="BY639" s="283"/>
      <c r="BZ639" s="283"/>
      <c r="CA639" s="283"/>
      <c r="CB639" s="283"/>
      <c r="CC639" s="283"/>
      <c r="CD639" s="283"/>
      <c r="CE639" s="283"/>
      <c r="CF639" s="283"/>
      <c r="CG639" s="283"/>
      <c r="CH639" s="283"/>
      <c r="CI639" s="283"/>
      <c r="CJ639" s="283"/>
      <c r="CK639" s="283"/>
      <c r="CL639" s="283"/>
    </row>
    <row r="640" spans="1:90" ht="14.25" customHeight="1" x14ac:dyDescent="0.2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BN640" s="283"/>
      <c r="BO640" s="283"/>
      <c r="BP640" s="283"/>
      <c r="BQ640" s="283"/>
      <c r="BR640" s="283"/>
      <c r="BS640" s="283"/>
      <c r="BT640" s="283"/>
      <c r="BU640" s="283"/>
      <c r="BV640" s="283"/>
      <c r="BW640" s="283"/>
      <c r="BX640" s="283"/>
      <c r="BY640" s="283"/>
      <c r="BZ640" s="283"/>
      <c r="CA640" s="283"/>
      <c r="CB640" s="283"/>
      <c r="CC640" s="283"/>
      <c r="CD640" s="283"/>
      <c r="CE640" s="283"/>
      <c r="CF640" s="283"/>
      <c r="CG640" s="283"/>
      <c r="CH640" s="283"/>
      <c r="CI640" s="283"/>
      <c r="CJ640" s="283"/>
      <c r="CK640" s="283"/>
      <c r="CL640" s="283"/>
    </row>
    <row r="641" spans="1:90" ht="14.25" customHeight="1" x14ac:dyDescent="0.2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BN641" s="283"/>
      <c r="BO641" s="283"/>
      <c r="BP641" s="283"/>
      <c r="BQ641" s="283"/>
      <c r="BR641" s="283"/>
      <c r="BS641" s="283"/>
      <c r="BT641" s="283"/>
      <c r="BU641" s="283"/>
      <c r="BV641" s="283"/>
      <c r="BW641" s="283"/>
      <c r="BX641" s="283"/>
      <c r="BY641" s="283"/>
      <c r="BZ641" s="283"/>
      <c r="CA641" s="283"/>
      <c r="CB641" s="283"/>
      <c r="CC641" s="283"/>
      <c r="CD641" s="283"/>
      <c r="CE641" s="283"/>
      <c r="CF641" s="283"/>
      <c r="CG641" s="283"/>
      <c r="CH641" s="283"/>
      <c r="CI641" s="283"/>
      <c r="CJ641" s="283"/>
      <c r="CK641" s="283"/>
      <c r="CL641" s="283"/>
    </row>
    <row r="642" spans="1:90" ht="14.25" customHeight="1" x14ac:dyDescent="0.2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BN642" s="283"/>
      <c r="BO642" s="283"/>
      <c r="BP642" s="283"/>
      <c r="BQ642" s="283"/>
      <c r="BR642" s="283"/>
      <c r="BS642" s="283"/>
      <c r="BT642" s="283"/>
      <c r="BU642" s="283"/>
      <c r="BV642" s="283"/>
      <c r="BW642" s="283"/>
      <c r="BX642" s="283"/>
      <c r="BY642" s="283"/>
      <c r="BZ642" s="283"/>
      <c r="CA642" s="283"/>
      <c r="CB642" s="283"/>
      <c r="CC642" s="283"/>
      <c r="CD642" s="283"/>
      <c r="CE642" s="283"/>
      <c r="CF642" s="283"/>
      <c r="CG642" s="283"/>
      <c r="CH642" s="283"/>
      <c r="CI642" s="283"/>
      <c r="CJ642" s="283"/>
      <c r="CK642" s="283"/>
      <c r="CL642" s="283"/>
    </row>
    <row r="643" spans="1:90" ht="14.25" customHeight="1" x14ac:dyDescent="0.2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BN643" s="283"/>
      <c r="BO643" s="283"/>
      <c r="BP643" s="283"/>
      <c r="BQ643" s="283"/>
      <c r="BR643" s="283"/>
      <c r="BS643" s="283"/>
      <c r="BT643" s="283"/>
      <c r="BU643" s="283"/>
      <c r="BV643" s="283"/>
      <c r="BW643" s="283"/>
      <c r="BX643" s="283"/>
      <c r="BY643" s="283"/>
      <c r="BZ643" s="283"/>
      <c r="CA643" s="283"/>
      <c r="CB643" s="283"/>
      <c r="CC643" s="283"/>
      <c r="CD643" s="283"/>
      <c r="CE643" s="283"/>
      <c r="CF643" s="283"/>
      <c r="CG643" s="283"/>
      <c r="CH643" s="283"/>
      <c r="CI643" s="283"/>
      <c r="CJ643" s="283"/>
      <c r="CK643" s="283"/>
      <c r="CL643" s="283"/>
    </row>
    <row r="644" spans="1:90" ht="14.25" customHeight="1" x14ac:dyDescent="0.2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BN644" s="283"/>
      <c r="BO644" s="283"/>
      <c r="BP644" s="283"/>
      <c r="BQ644" s="283"/>
      <c r="BR644" s="283"/>
      <c r="BS644" s="283"/>
      <c r="BT644" s="283"/>
      <c r="BU644" s="283"/>
      <c r="BV644" s="283"/>
      <c r="BW644" s="283"/>
      <c r="BX644" s="283"/>
      <c r="BY644" s="283"/>
      <c r="BZ644" s="283"/>
      <c r="CA644" s="283"/>
      <c r="CB644" s="283"/>
      <c r="CC644" s="283"/>
      <c r="CD644" s="283"/>
      <c r="CE644" s="283"/>
      <c r="CF644" s="283"/>
      <c r="CG644" s="283"/>
      <c r="CH644" s="283"/>
      <c r="CI644" s="283"/>
      <c r="CJ644" s="283"/>
      <c r="CK644" s="283"/>
      <c r="CL644" s="283"/>
    </row>
    <row r="645" spans="1:90" ht="14.25" customHeight="1" x14ac:dyDescent="0.2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BN645" s="283"/>
      <c r="BO645" s="283"/>
      <c r="BP645" s="283"/>
      <c r="BQ645" s="283"/>
      <c r="BR645" s="283"/>
      <c r="BS645" s="283"/>
      <c r="BT645" s="283"/>
      <c r="BU645" s="283"/>
      <c r="BV645" s="283"/>
      <c r="BW645" s="283"/>
      <c r="BX645" s="283"/>
      <c r="BY645" s="283"/>
      <c r="BZ645" s="283"/>
      <c r="CA645" s="283"/>
      <c r="CB645" s="283"/>
      <c r="CC645" s="283"/>
      <c r="CD645" s="283"/>
      <c r="CE645" s="283"/>
      <c r="CF645" s="283"/>
      <c r="CG645" s="283"/>
      <c r="CH645" s="283"/>
      <c r="CI645" s="283"/>
      <c r="CJ645" s="283"/>
      <c r="CK645" s="283"/>
      <c r="CL645" s="283"/>
    </row>
    <row r="646" spans="1:90" ht="14.25" customHeight="1" x14ac:dyDescent="0.2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BN646" s="283"/>
      <c r="BO646" s="283"/>
      <c r="BP646" s="283"/>
      <c r="BQ646" s="283"/>
      <c r="BR646" s="283"/>
      <c r="BS646" s="283"/>
      <c r="BT646" s="283"/>
      <c r="BU646" s="283"/>
      <c r="BV646" s="283"/>
      <c r="BW646" s="283"/>
      <c r="BX646" s="283"/>
      <c r="BY646" s="283"/>
      <c r="BZ646" s="283"/>
      <c r="CA646" s="283"/>
      <c r="CB646" s="283"/>
      <c r="CC646" s="283"/>
      <c r="CD646" s="283"/>
      <c r="CE646" s="283"/>
      <c r="CF646" s="283"/>
      <c r="CG646" s="283"/>
      <c r="CH646" s="283"/>
      <c r="CI646" s="283"/>
      <c r="CJ646" s="283"/>
      <c r="CK646" s="283"/>
      <c r="CL646" s="283"/>
    </row>
    <row r="647" spans="1:90" ht="14.25" customHeight="1" x14ac:dyDescent="0.2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BN647" s="283"/>
      <c r="BO647" s="283"/>
      <c r="BP647" s="283"/>
      <c r="BQ647" s="283"/>
      <c r="BR647" s="283"/>
      <c r="BS647" s="283"/>
      <c r="BT647" s="283"/>
      <c r="BU647" s="283"/>
      <c r="BV647" s="283"/>
      <c r="BW647" s="283"/>
      <c r="BX647" s="283"/>
      <c r="BY647" s="283"/>
      <c r="BZ647" s="283"/>
      <c r="CA647" s="283"/>
      <c r="CB647" s="283"/>
      <c r="CC647" s="283"/>
      <c r="CD647" s="283"/>
      <c r="CE647" s="283"/>
      <c r="CF647" s="283"/>
      <c r="CG647" s="283"/>
      <c r="CH647" s="283"/>
      <c r="CI647" s="283"/>
      <c r="CJ647" s="283"/>
      <c r="CK647" s="283"/>
      <c r="CL647" s="283"/>
    </row>
    <row r="648" spans="1:90" ht="14.25" customHeight="1" x14ac:dyDescent="0.2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BN648" s="283"/>
      <c r="BO648" s="283"/>
      <c r="BP648" s="283"/>
      <c r="BQ648" s="283"/>
      <c r="BR648" s="283"/>
      <c r="BS648" s="283"/>
      <c r="BT648" s="283"/>
      <c r="BU648" s="283"/>
      <c r="BV648" s="283"/>
      <c r="BW648" s="283"/>
      <c r="BX648" s="283"/>
      <c r="BY648" s="283"/>
      <c r="BZ648" s="283"/>
      <c r="CA648" s="283"/>
      <c r="CB648" s="283"/>
      <c r="CC648" s="283"/>
      <c r="CD648" s="283"/>
      <c r="CE648" s="283"/>
      <c r="CF648" s="283"/>
      <c r="CG648" s="283"/>
      <c r="CH648" s="283"/>
      <c r="CI648" s="283"/>
      <c r="CJ648" s="283"/>
      <c r="CK648" s="283"/>
      <c r="CL648" s="283"/>
    </row>
    <row r="649" spans="1:90" ht="14.25" customHeight="1" x14ac:dyDescent="0.2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BN649" s="283"/>
      <c r="BO649" s="283"/>
      <c r="BP649" s="283"/>
      <c r="BQ649" s="283"/>
      <c r="BR649" s="283"/>
      <c r="BS649" s="283"/>
      <c r="BT649" s="283"/>
      <c r="BU649" s="283"/>
      <c r="BV649" s="283"/>
      <c r="BW649" s="283"/>
      <c r="BX649" s="283"/>
      <c r="BY649" s="283"/>
      <c r="BZ649" s="283"/>
      <c r="CA649" s="283"/>
      <c r="CB649" s="283"/>
      <c r="CC649" s="283"/>
      <c r="CD649" s="283"/>
      <c r="CE649" s="283"/>
      <c r="CF649" s="283"/>
      <c r="CG649" s="283"/>
      <c r="CH649" s="283"/>
      <c r="CI649" s="283"/>
      <c r="CJ649" s="283"/>
      <c r="CK649" s="283"/>
      <c r="CL649" s="283"/>
    </row>
    <row r="650" spans="1:90" ht="14.25" customHeight="1" x14ac:dyDescent="0.2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BN650" s="283"/>
      <c r="BO650" s="283"/>
      <c r="BP650" s="283"/>
      <c r="BQ650" s="283"/>
      <c r="BR650" s="283"/>
      <c r="BS650" s="283"/>
      <c r="BT650" s="283"/>
      <c r="BU650" s="283"/>
      <c r="BV650" s="283"/>
      <c r="BW650" s="283"/>
      <c r="BX650" s="283"/>
      <c r="BY650" s="283"/>
      <c r="BZ650" s="283"/>
      <c r="CA650" s="283"/>
      <c r="CB650" s="283"/>
      <c r="CC650" s="283"/>
      <c r="CD650" s="283"/>
      <c r="CE650" s="283"/>
      <c r="CF650" s="283"/>
      <c r="CG650" s="283"/>
      <c r="CH650" s="283"/>
      <c r="CI650" s="283"/>
      <c r="CJ650" s="283"/>
      <c r="CK650" s="283"/>
      <c r="CL650" s="283"/>
    </row>
    <row r="651" spans="1:90" ht="14.25" customHeight="1" x14ac:dyDescent="0.2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BN651" s="283"/>
      <c r="BO651" s="283"/>
      <c r="BP651" s="283"/>
      <c r="BQ651" s="283"/>
      <c r="BR651" s="283"/>
      <c r="BS651" s="283"/>
      <c r="BT651" s="283"/>
      <c r="BU651" s="283"/>
      <c r="BV651" s="283"/>
      <c r="BW651" s="283"/>
      <c r="BX651" s="283"/>
      <c r="BY651" s="283"/>
      <c r="BZ651" s="283"/>
      <c r="CA651" s="283"/>
      <c r="CB651" s="283"/>
      <c r="CC651" s="283"/>
      <c r="CD651" s="283"/>
      <c r="CE651" s="283"/>
      <c r="CF651" s="283"/>
      <c r="CG651" s="283"/>
      <c r="CH651" s="283"/>
      <c r="CI651" s="283"/>
      <c r="CJ651" s="283"/>
      <c r="CK651" s="283"/>
      <c r="CL651" s="283"/>
    </row>
    <row r="652" spans="1:90" ht="14.25" customHeight="1" x14ac:dyDescent="0.2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BN652" s="283"/>
      <c r="BO652" s="283"/>
      <c r="BP652" s="283"/>
      <c r="BQ652" s="283"/>
      <c r="BR652" s="283"/>
      <c r="BS652" s="283"/>
      <c r="BT652" s="283"/>
      <c r="BU652" s="283"/>
      <c r="BV652" s="283"/>
      <c r="BW652" s="283"/>
      <c r="BX652" s="283"/>
      <c r="BY652" s="283"/>
      <c r="BZ652" s="283"/>
      <c r="CA652" s="283"/>
      <c r="CB652" s="283"/>
      <c r="CC652" s="283"/>
      <c r="CD652" s="283"/>
      <c r="CE652" s="283"/>
      <c r="CF652" s="283"/>
      <c r="CG652" s="283"/>
      <c r="CH652" s="283"/>
      <c r="CI652" s="283"/>
      <c r="CJ652" s="283"/>
      <c r="CK652" s="283"/>
      <c r="CL652" s="283"/>
    </row>
    <row r="653" spans="1:90" ht="14.25" customHeight="1" x14ac:dyDescent="0.2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BN653" s="283"/>
      <c r="BO653" s="283"/>
      <c r="BP653" s="283"/>
      <c r="BQ653" s="283"/>
      <c r="BR653" s="283"/>
      <c r="BS653" s="283"/>
      <c r="BT653" s="283"/>
      <c r="BU653" s="283"/>
      <c r="BV653" s="283"/>
      <c r="BW653" s="283"/>
      <c r="BX653" s="283"/>
      <c r="BY653" s="283"/>
      <c r="BZ653" s="283"/>
      <c r="CA653" s="283"/>
      <c r="CB653" s="283"/>
      <c r="CC653" s="283"/>
      <c r="CD653" s="283"/>
      <c r="CE653" s="283"/>
      <c r="CF653" s="283"/>
      <c r="CG653" s="283"/>
      <c r="CH653" s="283"/>
      <c r="CI653" s="283"/>
      <c r="CJ653" s="283"/>
      <c r="CK653" s="283"/>
      <c r="CL653" s="283"/>
    </row>
    <row r="654" spans="1:90" ht="14.25" customHeight="1" x14ac:dyDescent="0.2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BN654" s="283"/>
      <c r="BO654" s="283"/>
      <c r="BP654" s="283"/>
      <c r="BQ654" s="283"/>
      <c r="BR654" s="283"/>
      <c r="BS654" s="283"/>
      <c r="BT654" s="283"/>
      <c r="BU654" s="283"/>
      <c r="BV654" s="283"/>
      <c r="BW654" s="283"/>
      <c r="BX654" s="283"/>
      <c r="BY654" s="283"/>
      <c r="BZ654" s="283"/>
      <c r="CA654" s="283"/>
      <c r="CB654" s="283"/>
      <c r="CC654" s="283"/>
      <c r="CD654" s="283"/>
      <c r="CE654" s="283"/>
      <c r="CF654" s="283"/>
      <c r="CG654" s="283"/>
      <c r="CH654" s="283"/>
      <c r="CI654" s="283"/>
      <c r="CJ654" s="283"/>
      <c r="CK654" s="283"/>
      <c r="CL654" s="283"/>
    </row>
    <row r="655" spans="1:90" ht="14.25" customHeight="1" x14ac:dyDescent="0.2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BN655" s="283"/>
      <c r="BO655" s="283"/>
      <c r="BP655" s="283"/>
      <c r="BQ655" s="283"/>
      <c r="BR655" s="283"/>
      <c r="BS655" s="283"/>
      <c r="BT655" s="283"/>
      <c r="BU655" s="283"/>
      <c r="BV655" s="283"/>
      <c r="BW655" s="283"/>
      <c r="BX655" s="283"/>
      <c r="BY655" s="283"/>
      <c r="BZ655" s="283"/>
      <c r="CA655" s="283"/>
      <c r="CB655" s="283"/>
      <c r="CC655" s="283"/>
      <c r="CD655" s="283"/>
      <c r="CE655" s="283"/>
      <c r="CF655" s="283"/>
      <c r="CG655" s="283"/>
      <c r="CH655" s="283"/>
      <c r="CI655" s="283"/>
      <c r="CJ655" s="283"/>
      <c r="CK655" s="283"/>
      <c r="CL655" s="283"/>
    </row>
    <row r="656" spans="1:90" ht="14.25" customHeight="1" x14ac:dyDescent="0.2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BN656" s="283"/>
      <c r="BO656" s="283"/>
      <c r="BP656" s="283"/>
      <c r="BQ656" s="283"/>
      <c r="BR656" s="283"/>
      <c r="BS656" s="283"/>
      <c r="BT656" s="283"/>
      <c r="BU656" s="283"/>
      <c r="BV656" s="283"/>
      <c r="BW656" s="283"/>
      <c r="BX656" s="283"/>
      <c r="BY656" s="283"/>
      <c r="BZ656" s="283"/>
      <c r="CA656" s="283"/>
      <c r="CB656" s="283"/>
      <c r="CC656" s="283"/>
      <c r="CD656" s="283"/>
      <c r="CE656" s="283"/>
      <c r="CF656" s="283"/>
      <c r="CG656" s="283"/>
      <c r="CH656" s="283"/>
      <c r="CI656" s="283"/>
      <c r="CJ656" s="283"/>
      <c r="CK656" s="283"/>
      <c r="CL656" s="283"/>
    </row>
    <row r="657" spans="1:90" ht="14.25" customHeight="1" x14ac:dyDescent="0.2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BN657" s="283"/>
      <c r="BO657" s="283"/>
      <c r="BP657" s="283"/>
      <c r="BQ657" s="283"/>
      <c r="BR657" s="283"/>
      <c r="BS657" s="283"/>
      <c r="BT657" s="283"/>
      <c r="BU657" s="283"/>
      <c r="BV657" s="283"/>
      <c r="BW657" s="283"/>
      <c r="BX657" s="283"/>
      <c r="BY657" s="283"/>
      <c r="BZ657" s="283"/>
      <c r="CA657" s="283"/>
      <c r="CB657" s="283"/>
      <c r="CC657" s="283"/>
      <c r="CD657" s="283"/>
      <c r="CE657" s="283"/>
      <c r="CF657" s="283"/>
      <c r="CG657" s="283"/>
      <c r="CH657" s="283"/>
      <c r="CI657" s="283"/>
      <c r="CJ657" s="283"/>
      <c r="CK657" s="283"/>
      <c r="CL657" s="283"/>
    </row>
    <row r="658" spans="1:90" ht="14.25" customHeight="1" x14ac:dyDescent="0.2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BN658" s="283"/>
      <c r="BO658" s="283"/>
      <c r="BP658" s="283"/>
      <c r="BQ658" s="283"/>
      <c r="BR658" s="283"/>
      <c r="BS658" s="283"/>
      <c r="BT658" s="283"/>
      <c r="BU658" s="283"/>
      <c r="BV658" s="283"/>
      <c r="BW658" s="283"/>
      <c r="BX658" s="283"/>
      <c r="BY658" s="283"/>
      <c r="BZ658" s="283"/>
      <c r="CA658" s="283"/>
      <c r="CB658" s="283"/>
      <c r="CC658" s="283"/>
      <c r="CD658" s="283"/>
      <c r="CE658" s="283"/>
      <c r="CF658" s="283"/>
      <c r="CG658" s="283"/>
      <c r="CH658" s="283"/>
      <c r="CI658" s="283"/>
      <c r="CJ658" s="283"/>
      <c r="CK658" s="283"/>
      <c r="CL658" s="283"/>
    </row>
    <row r="659" spans="1:90" ht="14.25" customHeight="1" x14ac:dyDescent="0.2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BN659" s="283"/>
      <c r="BO659" s="283"/>
      <c r="BP659" s="283"/>
      <c r="BQ659" s="283"/>
      <c r="BR659" s="283"/>
      <c r="BS659" s="283"/>
      <c r="BT659" s="283"/>
      <c r="BU659" s="283"/>
      <c r="BV659" s="283"/>
      <c r="BW659" s="283"/>
      <c r="BX659" s="283"/>
      <c r="BY659" s="283"/>
      <c r="BZ659" s="283"/>
      <c r="CA659" s="283"/>
      <c r="CB659" s="283"/>
      <c r="CC659" s="283"/>
      <c r="CD659" s="283"/>
      <c r="CE659" s="283"/>
      <c r="CF659" s="283"/>
      <c r="CG659" s="283"/>
      <c r="CH659" s="283"/>
      <c r="CI659" s="283"/>
      <c r="CJ659" s="283"/>
      <c r="CK659" s="283"/>
      <c r="CL659" s="283"/>
    </row>
    <row r="660" spans="1:90" ht="14.25" customHeight="1" x14ac:dyDescent="0.2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BN660" s="283"/>
      <c r="BO660" s="283"/>
      <c r="BP660" s="283"/>
      <c r="BQ660" s="283"/>
      <c r="BR660" s="283"/>
      <c r="BS660" s="283"/>
      <c r="BT660" s="283"/>
      <c r="BU660" s="283"/>
      <c r="BV660" s="283"/>
      <c r="BW660" s="283"/>
      <c r="BX660" s="283"/>
      <c r="BY660" s="283"/>
      <c r="BZ660" s="283"/>
      <c r="CA660" s="283"/>
      <c r="CB660" s="283"/>
      <c r="CC660" s="283"/>
      <c r="CD660" s="283"/>
      <c r="CE660" s="283"/>
      <c r="CF660" s="283"/>
      <c r="CG660" s="283"/>
      <c r="CH660" s="283"/>
      <c r="CI660" s="283"/>
      <c r="CJ660" s="283"/>
      <c r="CK660" s="283"/>
      <c r="CL660" s="283"/>
    </row>
    <row r="661" spans="1:90" ht="14.25" customHeight="1" x14ac:dyDescent="0.2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BN661" s="283"/>
      <c r="BO661" s="283"/>
      <c r="BP661" s="283"/>
      <c r="BQ661" s="283"/>
      <c r="BR661" s="283"/>
      <c r="BS661" s="283"/>
      <c r="BT661" s="283"/>
      <c r="BU661" s="283"/>
      <c r="BV661" s="283"/>
      <c r="BW661" s="283"/>
      <c r="BX661" s="283"/>
      <c r="BY661" s="283"/>
      <c r="BZ661" s="283"/>
      <c r="CA661" s="283"/>
      <c r="CB661" s="283"/>
      <c r="CC661" s="283"/>
      <c r="CD661" s="283"/>
      <c r="CE661" s="283"/>
      <c r="CF661" s="283"/>
      <c r="CG661" s="283"/>
      <c r="CH661" s="283"/>
      <c r="CI661" s="283"/>
      <c r="CJ661" s="283"/>
      <c r="CK661" s="283"/>
      <c r="CL661" s="283"/>
    </row>
    <row r="662" spans="1:90" ht="14.25" customHeight="1" x14ac:dyDescent="0.2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BN662" s="283"/>
      <c r="BO662" s="283"/>
      <c r="BP662" s="283"/>
      <c r="BQ662" s="283"/>
      <c r="BR662" s="283"/>
      <c r="BS662" s="283"/>
      <c r="BT662" s="283"/>
      <c r="BU662" s="283"/>
      <c r="BV662" s="283"/>
      <c r="BW662" s="283"/>
      <c r="BX662" s="283"/>
      <c r="BY662" s="283"/>
      <c r="BZ662" s="283"/>
      <c r="CA662" s="283"/>
      <c r="CB662" s="283"/>
      <c r="CC662" s="283"/>
      <c r="CD662" s="283"/>
      <c r="CE662" s="283"/>
      <c r="CF662" s="283"/>
      <c r="CG662" s="283"/>
      <c r="CH662" s="283"/>
      <c r="CI662" s="283"/>
      <c r="CJ662" s="283"/>
      <c r="CK662" s="283"/>
      <c r="CL662" s="283"/>
    </row>
    <row r="663" spans="1:90" ht="14.25" customHeight="1" x14ac:dyDescent="0.2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BN663" s="283"/>
      <c r="BO663" s="283"/>
      <c r="BP663" s="283"/>
      <c r="BQ663" s="283"/>
      <c r="BR663" s="283"/>
      <c r="BS663" s="283"/>
      <c r="BT663" s="283"/>
      <c r="BU663" s="283"/>
      <c r="BV663" s="283"/>
      <c r="BW663" s="283"/>
      <c r="BX663" s="283"/>
      <c r="BY663" s="283"/>
      <c r="BZ663" s="283"/>
      <c r="CA663" s="283"/>
      <c r="CB663" s="283"/>
      <c r="CC663" s="283"/>
      <c r="CD663" s="283"/>
      <c r="CE663" s="283"/>
      <c r="CF663" s="283"/>
      <c r="CG663" s="283"/>
      <c r="CH663" s="283"/>
      <c r="CI663" s="283"/>
      <c r="CJ663" s="283"/>
      <c r="CK663" s="283"/>
      <c r="CL663" s="283"/>
    </row>
    <row r="664" spans="1:90" ht="14.25" customHeight="1" x14ac:dyDescent="0.2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BN664" s="283"/>
      <c r="BO664" s="283"/>
      <c r="BP664" s="283"/>
      <c r="BQ664" s="283"/>
      <c r="BR664" s="283"/>
      <c r="BS664" s="283"/>
      <c r="BT664" s="283"/>
      <c r="BU664" s="283"/>
      <c r="BV664" s="283"/>
      <c r="BW664" s="283"/>
      <c r="BX664" s="283"/>
      <c r="BY664" s="283"/>
      <c r="BZ664" s="283"/>
      <c r="CA664" s="283"/>
      <c r="CB664" s="283"/>
      <c r="CC664" s="283"/>
      <c r="CD664" s="283"/>
      <c r="CE664" s="283"/>
      <c r="CF664" s="283"/>
      <c r="CG664" s="283"/>
      <c r="CH664" s="283"/>
      <c r="CI664" s="283"/>
      <c r="CJ664" s="283"/>
      <c r="CK664" s="283"/>
      <c r="CL664" s="283"/>
    </row>
    <row r="665" spans="1:90" ht="14.25" customHeight="1" x14ac:dyDescent="0.2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BN665" s="283"/>
      <c r="BO665" s="283"/>
      <c r="BP665" s="283"/>
      <c r="BQ665" s="283"/>
      <c r="BR665" s="283"/>
      <c r="BS665" s="283"/>
      <c r="BT665" s="283"/>
      <c r="BU665" s="283"/>
      <c r="BV665" s="283"/>
      <c r="BW665" s="283"/>
      <c r="BX665" s="283"/>
      <c r="BY665" s="283"/>
      <c r="BZ665" s="283"/>
      <c r="CA665" s="283"/>
      <c r="CB665" s="283"/>
      <c r="CC665" s="283"/>
      <c r="CD665" s="283"/>
      <c r="CE665" s="283"/>
      <c r="CF665" s="283"/>
      <c r="CG665" s="283"/>
      <c r="CH665" s="283"/>
      <c r="CI665" s="283"/>
      <c r="CJ665" s="283"/>
      <c r="CK665" s="283"/>
      <c r="CL665" s="283"/>
    </row>
    <row r="666" spans="1:90" ht="14.25" customHeight="1" x14ac:dyDescent="0.2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BN666" s="283"/>
      <c r="BO666" s="283"/>
      <c r="BP666" s="283"/>
      <c r="BQ666" s="283"/>
      <c r="BR666" s="283"/>
      <c r="BS666" s="283"/>
      <c r="BT666" s="283"/>
      <c r="BU666" s="283"/>
      <c r="BV666" s="283"/>
      <c r="BW666" s="283"/>
      <c r="BX666" s="283"/>
      <c r="BY666" s="283"/>
      <c r="BZ666" s="283"/>
      <c r="CA666" s="283"/>
      <c r="CB666" s="283"/>
      <c r="CC666" s="283"/>
      <c r="CD666" s="283"/>
      <c r="CE666" s="283"/>
      <c r="CF666" s="283"/>
      <c r="CG666" s="283"/>
      <c r="CH666" s="283"/>
      <c r="CI666" s="283"/>
      <c r="CJ666" s="283"/>
      <c r="CK666" s="283"/>
      <c r="CL666" s="283"/>
    </row>
    <row r="667" spans="1:90" ht="14.25" customHeight="1" x14ac:dyDescent="0.2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BN667" s="283"/>
      <c r="BO667" s="283"/>
      <c r="BP667" s="283"/>
      <c r="BQ667" s="283"/>
      <c r="BR667" s="283"/>
      <c r="BS667" s="283"/>
      <c r="BT667" s="283"/>
      <c r="BU667" s="283"/>
      <c r="BV667" s="283"/>
      <c r="BW667" s="283"/>
      <c r="BX667" s="283"/>
      <c r="BY667" s="283"/>
      <c r="BZ667" s="283"/>
      <c r="CA667" s="283"/>
      <c r="CB667" s="283"/>
      <c r="CC667" s="283"/>
      <c r="CD667" s="283"/>
      <c r="CE667" s="283"/>
      <c r="CF667" s="283"/>
      <c r="CG667" s="283"/>
      <c r="CH667" s="283"/>
      <c r="CI667" s="283"/>
      <c r="CJ667" s="283"/>
      <c r="CK667" s="283"/>
      <c r="CL667" s="283"/>
    </row>
    <row r="668" spans="1:90" ht="14.25" customHeight="1" x14ac:dyDescent="0.2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BN668" s="283"/>
      <c r="BO668" s="283"/>
      <c r="BP668" s="283"/>
      <c r="BQ668" s="283"/>
      <c r="BR668" s="283"/>
      <c r="BS668" s="283"/>
      <c r="BT668" s="283"/>
      <c r="BU668" s="283"/>
      <c r="BV668" s="283"/>
      <c r="BW668" s="283"/>
      <c r="BX668" s="283"/>
      <c r="BY668" s="283"/>
      <c r="BZ668" s="283"/>
      <c r="CA668" s="283"/>
      <c r="CB668" s="283"/>
      <c r="CC668" s="283"/>
      <c r="CD668" s="283"/>
      <c r="CE668" s="283"/>
      <c r="CF668" s="283"/>
      <c r="CG668" s="283"/>
      <c r="CH668" s="283"/>
      <c r="CI668" s="283"/>
      <c r="CJ668" s="283"/>
      <c r="CK668" s="283"/>
      <c r="CL668" s="283"/>
    </row>
    <row r="669" spans="1:90" ht="14.25" customHeight="1" x14ac:dyDescent="0.2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BN669" s="283"/>
      <c r="BO669" s="283"/>
      <c r="BP669" s="283"/>
      <c r="BQ669" s="283"/>
      <c r="BR669" s="283"/>
      <c r="BS669" s="283"/>
      <c r="BT669" s="283"/>
      <c r="BU669" s="283"/>
      <c r="BV669" s="283"/>
      <c r="BW669" s="283"/>
      <c r="BX669" s="283"/>
      <c r="BY669" s="283"/>
      <c r="BZ669" s="283"/>
      <c r="CA669" s="283"/>
      <c r="CB669" s="283"/>
      <c r="CC669" s="283"/>
      <c r="CD669" s="283"/>
      <c r="CE669" s="283"/>
      <c r="CF669" s="283"/>
      <c r="CG669" s="283"/>
      <c r="CH669" s="283"/>
      <c r="CI669" s="283"/>
      <c r="CJ669" s="283"/>
      <c r="CK669" s="283"/>
      <c r="CL669" s="283"/>
    </row>
    <row r="670" spans="1:90" ht="14.25" customHeight="1" x14ac:dyDescent="0.2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BN670" s="283"/>
      <c r="BO670" s="283"/>
      <c r="BP670" s="283"/>
      <c r="BQ670" s="283"/>
      <c r="BR670" s="283"/>
      <c r="BS670" s="283"/>
      <c r="BT670" s="283"/>
      <c r="BU670" s="283"/>
      <c r="BV670" s="283"/>
      <c r="BW670" s="283"/>
      <c r="BX670" s="283"/>
      <c r="BY670" s="283"/>
      <c r="BZ670" s="283"/>
      <c r="CA670" s="283"/>
      <c r="CB670" s="283"/>
      <c r="CC670" s="283"/>
      <c r="CD670" s="283"/>
      <c r="CE670" s="283"/>
      <c r="CF670" s="283"/>
      <c r="CG670" s="283"/>
      <c r="CH670" s="283"/>
      <c r="CI670" s="283"/>
      <c r="CJ670" s="283"/>
      <c r="CK670" s="283"/>
      <c r="CL670" s="283"/>
    </row>
    <row r="671" spans="1:90" ht="14.25" customHeight="1" x14ac:dyDescent="0.2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BN671" s="283"/>
      <c r="BO671" s="283"/>
      <c r="BP671" s="283"/>
      <c r="BQ671" s="283"/>
      <c r="BR671" s="283"/>
      <c r="BS671" s="283"/>
      <c r="BT671" s="283"/>
      <c r="BU671" s="283"/>
      <c r="BV671" s="283"/>
      <c r="BW671" s="283"/>
      <c r="BX671" s="283"/>
      <c r="BY671" s="283"/>
      <c r="BZ671" s="283"/>
      <c r="CA671" s="283"/>
      <c r="CB671" s="283"/>
      <c r="CC671" s="283"/>
      <c r="CD671" s="283"/>
      <c r="CE671" s="283"/>
      <c r="CF671" s="283"/>
      <c r="CG671" s="283"/>
      <c r="CH671" s="283"/>
      <c r="CI671" s="283"/>
      <c r="CJ671" s="283"/>
      <c r="CK671" s="283"/>
      <c r="CL671" s="283"/>
    </row>
    <row r="672" spans="1:90" ht="14.25" customHeight="1" x14ac:dyDescent="0.2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BN672" s="283"/>
      <c r="BO672" s="283"/>
      <c r="BP672" s="283"/>
      <c r="BQ672" s="283"/>
      <c r="BR672" s="283"/>
      <c r="BS672" s="283"/>
      <c r="BT672" s="283"/>
      <c r="BU672" s="283"/>
      <c r="BV672" s="283"/>
      <c r="BW672" s="283"/>
      <c r="BX672" s="283"/>
      <c r="BY672" s="283"/>
      <c r="BZ672" s="283"/>
      <c r="CA672" s="283"/>
      <c r="CB672" s="283"/>
      <c r="CC672" s="283"/>
      <c r="CD672" s="283"/>
      <c r="CE672" s="283"/>
      <c r="CF672" s="283"/>
      <c r="CG672" s="283"/>
      <c r="CH672" s="283"/>
      <c r="CI672" s="283"/>
      <c r="CJ672" s="283"/>
      <c r="CK672" s="283"/>
      <c r="CL672" s="283"/>
    </row>
    <row r="673" spans="1:90" ht="14.25" customHeight="1" x14ac:dyDescent="0.2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BN673" s="283"/>
      <c r="BO673" s="283"/>
      <c r="BP673" s="283"/>
      <c r="BQ673" s="283"/>
      <c r="BR673" s="283"/>
      <c r="BS673" s="283"/>
      <c r="BT673" s="283"/>
      <c r="BU673" s="283"/>
      <c r="BV673" s="283"/>
      <c r="BW673" s="283"/>
      <c r="BX673" s="283"/>
      <c r="BY673" s="283"/>
      <c r="BZ673" s="283"/>
      <c r="CA673" s="283"/>
      <c r="CB673" s="283"/>
      <c r="CC673" s="283"/>
      <c r="CD673" s="283"/>
      <c r="CE673" s="283"/>
      <c r="CF673" s="283"/>
      <c r="CG673" s="283"/>
      <c r="CH673" s="283"/>
      <c r="CI673" s="283"/>
      <c r="CJ673" s="283"/>
      <c r="CK673" s="283"/>
      <c r="CL673" s="283"/>
    </row>
    <row r="674" spans="1:90" ht="14.25" customHeight="1" x14ac:dyDescent="0.2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BN674" s="283"/>
      <c r="BO674" s="283"/>
      <c r="BP674" s="283"/>
      <c r="BQ674" s="283"/>
      <c r="BR674" s="283"/>
      <c r="BS674" s="283"/>
      <c r="BT674" s="283"/>
      <c r="BU674" s="283"/>
      <c r="BV674" s="283"/>
      <c r="BW674" s="283"/>
      <c r="BX674" s="283"/>
      <c r="BY674" s="283"/>
      <c r="BZ674" s="283"/>
      <c r="CA674" s="283"/>
      <c r="CB674" s="283"/>
      <c r="CC674" s="283"/>
      <c r="CD674" s="283"/>
      <c r="CE674" s="283"/>
      <c r="CF674" s="283"/>
      <c r="CG674" s="283"/>
      <c r="CH674" s="283"/>
      <c r="CI674" s="283"/>
      <c r="CJ674" s="283"/>
      <c r="CK674" s="283"/>
      <c r="CL674" s="283"/>
    </row>
    <row r="675" spans="1:90" ht="14.25" customHeight="1" x14ac:dyDescent="0.2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BN675" s="283"/>
      <c r="BO675" s="283"/>
      <c r="BP675" s="283"/>
      <c r="BQ675" s="283"/>
      <c r="BR675" s="283"/>
      <c r="BS675" s="283"/>
      <c r="BT675" s="283"/>
      <c r="BU675" s="283"/>
      <c r="BV675" s="283"/>
      <c r="BW675" s="283"/>
      <c r="BX675" s="283"/>
      <c r="BY675" s="283"/>
      <c r="BZ675" s="283"/>
      <c r="CA675" s="283"/>
      <c r="CB675" s="283"/>
      <c r="CC675" s="283"/>
      <c r="CD675" s="283"/>
      <c r="CE675" s="283"/>
      <c r="CF675" s="283"/>
      <c r="CG675" s="283"/>
      <c r="CH675" s="283"/>
      <c r="CI675" s="283"/>
      <c r="CJ675" s="283"/>
      <c r="CK675" s="283"/>
      <c r="CL675" s="283"/>
    </row>
    <row r="676" spans="1:90" ht="14.25" customHeight="1" x14ac:dyDescent="0.2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BN676" s="283"/>
      <c r="BO676" s="283"/>
      <c r="BP676" s="283"/>
      <c r="BQ676" s="283"/>
      <c r="BR676" s="283"/>
      <c r="BS676" s="283"/>
      <c r="BT676" s="283"/>
      <c r="BU676" s="283"/>
      <c r="BV676" s="283"/>
      <c r="BW676" s="283"/>
      <c r="BX676" s="283"/>
      <c r="BY676" s="283"/>
      <c r="BZ676" s="283"/>
      <c r="CA676" s="283"/>
      <c r="CB676" s="283"/>
      <c r="CC676" s="283"/>
      <c r="CD676" s="283"/>
      <c r="CE676" s="283"/>
      <c r="CF676" s="283"/>
      <c r="CG676" s="283"/>
      <c r="CH676" s="283"/>
      <c r="CI676" s="283"/>
      <c r="CJ676" s="283"/>
      <c r="CK676" s="283"/>
      <c r="CL676" s="283"/>
    </row>
    <row r="677" spans="1:90" ht="14.25" customHeight="1" x14ac:dyDescent="0.2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BN677" s="283"/>
      <c r="BO677" s="283"/>
      <c r="BP677" s="283"/>
      <c r="BQ677" s="283"/>
      <c r="BR677" s="283"/>
      <c r="BS677" s="283"/>
      <c r="BT677" s="283"/>
      <c r="BU677" s="283"/>
      <c r="BV677" s="283"/>
      <c r="BW677" s="283"/>
      <c r="BX677" s="283"/>
      <c r="BY677" s="283"/>
      <c r="BZ677" s="283"/>
      <c r="CA677" s="283"/>
      <c r="CB677" s="283"/>
      <c r="CC677" s="283"/>
      <c r="CD677" s="283"/>
      <c r="CE677" s="283"/>
      <c r="CF677" s="283"/>
      <c r="CG677" s="283"/>
      <c r="CH677" s="283"/>
      <c r="CI677" s="283"/>
      <c r="CJ677" s="283"/>
      <c r="CK677" s="283"/>
      <c r="CL677" s="283"/>
    </row>
    <row r="678" spans="1:90" ht="14.25" customHeight="1" x14ac:dyDescent="0.2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BN678" s="283"/>
      <c r="BO678" s="283"/>
      <c r="BP678" s="283"/>
      <c r="BQ678" s="283"/>
      <c r="BR678" s="283"/>
      <c r="BS678" s="283"/>
      <c r="BT678" s="283"/>
      <c r="BU678" s="283"/>
      <c r="BV678" s="283"/>
      <c r="BW678" s="283"/>
      <c r="BX678" s="283"/>
      <c r="BY678" s="283"/>
      <c r="BZ678" s="283"/>
      <c r="CA678" s="283"/>
      <c r="CB678" s="283"/>
      <c r="CC678" s="283"/>
      <c r="CD678" s="283"/>
      <c r="CE678" s="283"/>
      <c r="CF678" s="283"/>
      <c r="CG678" s="283"/>
      <c r="CH678" s="283"/>
      <c r="CI678" s="283"/>
      <c r="CJ678" s="283"/>
      <c r="CK678" s="283"/>
      <c r="CL678" s="283"/>
    </row>
    <row r="679" spans="1:90" ht="14.25" customHeight="1" x14ac:dyDescent="0.2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BN679" s="283"/>
      <c r="BO679" s="283"/>
      <c r="BP679" s="283"/>
      <c r="BQ679" s="283"/>
      <c r="BR679" s="283"/>
      <c r="BS679" s="283"/>
      <c r="BT679" s="283"/>
      <c r="BU679" s="283"/>
      <c r="BV679" s="283"/>
      <c r="BW679" s="283"/>
      <c r="BX679" s="283"/>
      <c r="BY679" s="283"/>
      <c r="BZ679" s="283"/>
      <c r="CA679" s="283"/>
      <c r="CB679" s="283"/>
      <c r="CC679" s="283"/>
      <c r="CD679" s="283"/>
      <c r="CE679" s="283"/>
      <c r="CF679" s="283"/>
      <c r="CG679" s="283"/>
      <c r="CH679" s="283"/>
      <c r="CI679" s="283"/>
      <c r="CJ679" s="283"/>
      <c r="CK679" s="283"/>
      <c r="CL679" s="283"/>
    </row>
    <row r="680" spans="1:90" ht="14.25" customHeight="1" x14ac:dyDescent="0.2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BN680" s="283"/>
      <c r="BO680" s="283"/>
      <c r="BP680" s="283"/>
      <c r="BQ680" s="283"/>
      <c r="BR680" s="283"/>
      <c r="BS680" s="283"/>
      <c r="BT680" s="283"/>
      <c r="BU680" s="283"/>
      <c r="BV680" s="283"/>
      <c r="BW680" s="283"/>
      <c r="BX680" s="283"/>
      <c r="BY680" s="283"/>
      <c r="BZ680" s="283"/>
      <c r="CA680" s="283"/>
      <c r="CB680" s="283"/>
      <c r="CC680" s="283"/>
      <c r="CD680" s="283"/>
      <c r="CE680" s="283"/>
      <c r="CF680" s="283"/>
      <c r="CG680" s="283"/>
      <c r="CH680" s="283"/>
      <c r="CI680" s="283"/>
      <c r="CJ680" s="283"/>
      <c r="CK680" s="283"/>
      <c r="CL680" s="283"/>
    </row>
    <row r="681" spans="1:90" ht="14.25" customHeight="1" x14ac:dyDescent="0.2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BN681" s="283"/>
      <c r="BO681" s="283"/>
      <c r="BP681" s="283"/>
      <c r="BQ681" s="283"/>
      <c r="BR681" s="283"/>
      <c r="BS681" s="283"/>
      <c r="BT681" s="283"/>
      <c r="BU681" s="283"/>
      <c r="BV681" s="283"/>
      <c r="BW681" s="283"/>
      <c r="BX681" s="283"/>
      <c r="BY681" s="283"/>
      <c r="BZ681" s="283"/>
      <c r="CA681" s="283"/>
      <c r="CB681" s="283"/>
      <c r="CC681" s="283"/>
      <c r="CD681" s="283"/>
      <c r="CE681" s="283"/>
      <c r="CF681" s="283"/>
      <c r="CG681" s="283"/>
      <c r="CH681" s="283"/>
      <c r="CI681" s="283"/>
      <c r="CJ681" s="283"/>
      <c r="CK681" s="283"/>
      <c r="CL681" s="283"/>
    </row>
    <row r="682" spans="1:90" ht="14.25" customHeight="1" x14ac:dyDescent="0.2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BN682" s="283"/>
      <c r="BO682" s="283"/>
      <c r="BP682" s="283"/>
      <c r="BQ682" s="283"/>
      <c r="BR682" s="283"/>
      <c r="BS682" s="283"/>
      <c r="BT682" s="283"/>
      <c r="BU682" s="283"/>
      <c r="BV682" s="283"/>
      <c r="BW682" s="283"/>
      <c r="BX682" s="283"/>
      <c r="BY682" s="283"/>
      <c r="BZ682" s="283"/>
      <c r="CA682" s="283"/>
      <c r="CB682" s="283"/>
      <c r="CC682" s="283"/>
      <c r="CD682" s="283"/>
      <c r="CE682" s="283"/>
      <c r="CF682" s="283"/>
      <c r="CG682" s="283"/>
      <c r="CH682" s="283"/>
      <c r="CI682" s="283"/>
      <c r="CJ682" s="283"/>
      <c r="CK682" s="283"/>
      <c r="CL682" s="283"/>
    </row>
    <row r="683" spans="1:90" ht="14.25" customHeight="1" x14ac:dyDescent="0.2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BN683" s="283"/>
      <c r="BO683" s="283"/>
      <c r="BP683" s="283"/>
      <c r="BQ683" s="283"/>
      <c r="BR683" s="283"/>
      <c r="BS683" s="283"/>
      <c r="BT683" s="283"/>
      <c r="BU683" s="283"/>
      <c r="BV683" s="283"/>
      <c r="BW683" s="283"/>
      <c r="BX683" s="283"/>
      <c r="BY683" s="283"/>
      <c r="BZ683" s="283"/>
      <c r="CA683" s="283"/>
      <c r="CB683" s="283"/>
      <c r="CC683" s="283"/>
      <c r="CD683" s="283"/>
      <c r="CE683" s="283"/>
      <c r="CF683" s="283"/>
      <c r="CG683" s="283"/>
      <c r="CH683" s="283"/>
      <c r="CI683" s="283"/>
      <c r="CJ683" s="283"/>
      <c r="CK683" s="283"/>
      <c r="CL683" s="283"/>
    </row>
    <row r="684" spans="1:90" ht="14.25" customHeight="1" x14ac:dyDescent="0.2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BN684" s="283"/>
      <c r="BO684" s="283"/>
      <c r="BP684" s="283"/>
      <c r="BQ684" s="283"/>
      <c r="BR684" s="283"/>
      <c r="BS684" s="283"/>
      <c r="BT684" s="283"/>
      <c r="BU684" s="283"/>
      <c r="BV684" s="283"/>
      <c r="BW684" s="283"/>
      <c r="BX684" s="283"/>
      <c r="BY684" s="283"/>
      <c r="BZ684" s="283"/>
      <c r="CA684" s="283"/>
      <c r="CB684" s="283"/>
      <c r="CC684" s="283"/>
      <c r="CD684" s="283"/>
      <c r="CE684" s="283"/>
      <c r="CF684" s="283"/>
      <c r="CG684" s="283"/>
      <c r="CH684" s="283"/>
      <c r="CI684" s="283"/>
      <c r="CJ684" s="283"/>
      <c r="CK684" s="283"/>
      <c r="CL684" s="283"/>
    </row>
    <row r="685" spans="1:90" ht="14.25" customHeight="1" x14ac:dyDescent="0.2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BN685" s="283"/>
      <c r="BO685" s="283"/>
      <c r="BP685" s="283"/>
      <c r="BQ685" s="283"/>
      <c r="BR685" s="283"/>
      <c r="BS685" s="283"/>
      <c r="BT685" s="283"/>
      <c r="BU685" s="283"/>
      <c r="BV685" s="283"/>
      <c r="BW685" s="283"/>
      <c r="BX685" s="283"/>
      <c r="BY685" s="283"/>
      <c r="BZ685" s="283"/>
      <c r="CA685" s="283"/>
      <c r="CB685" s="283"/>
      <c r="CC685" s="283"/>
      <c r="CD685" s="283"/>
      <c r="CE685" s="283"/>
      <c r="CF685" s="283"/>
      <c r="CG685" s="283"/>
      <c r="CH685" s="283"/>
      <c r="CI685" s="283"/>
      <c r="CJ685" s="283"/>
      <c r="CK685" s="283"/>
      <c r="CL685" s="283"/>
    </row>
    <row r="686" spans="1:90" ht="14.25" customHeight="1" x14ac:dyDescent="0.2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BN686" s="283"/>
      <c r="BO686" s="283"/>
      <c r="BP686" s="283"/>
      <c r="BQ686" s="283"/>
      <c r="BR686" s="283"/>
      <c r="BS686" s="283"/>
      <c r="BT686" s="283"/>
      <c r="BU686" s="283"/>
      <c r="BV686" s="283"/>
      <c r="BW686" s="283"/>
      <c r="BX686" s="283"/>
      <c r="BY686" s="283"/>
      <c r="BZ686" s="283"/>
      <c r="CA686" s="283"/>
      <c r="CB686" s="283"/>
      <c r="CC686" s="283"/>
      <c r="CD686" s="283"/>
      <c r="CE686" s="283"/>
      <c r="CF686" s="283"/>
      <c r="CG686" s="283"/>
      <c r="CH686" s="283"/>
      <c r="CI686" s="283"/>
      <c r="CJ686" s="283"/>
      <c r="CK686" s="283"/>
      <c r="CL686" s="283"/>
    </row>
    <row r="687" spans="1:90" ht="14.25" customHeight="1" x14ac:dyDescent="0.2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BN687" s="283"/>
      <c r="BO687" s="283"/>
      <c r="BP687" s="283"/>
      <c r="BQ687" s="283"/>
      <c r="BR687" s="283"/>
      <c r="BS687" s="283"/>
      <c r="BT687" s="283"/>
      <c r="BU687" s="283"/>
      <c r="BV687" s="283"/>
      <c r="BW687" s="283"/>
      <c r="BX687" s="283"/>
      <c r="BY687" s="283"/>
      <c r="BZ687" s="283"/>
      <c r="CA687" s="283"/>
      <c r="CB687" s="283"/>
      <c r="CC687" s="283"/>
      <c r="CD687" s="283"/>
      <c r="CE687" s="283"/>
      <c r="CF687" s="283"/>
      <c r="CG687" s="283"/>
      <c r="CH687" s="283"/>
      <c r="CI687" s="283"/>
      <c r="CJ687" s="283"/>
      <c r="CK687" s="283"/>
      <c r="CL687" s="283"/>
    </row>
    <row r="688" spans="1:90" ht="14.25" customHeight="1" x14ac:dyDescent="0.2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BN688" s="283"/>
      <c r="BO688" s="283"/>
      <c r="BP688" s="283"/>
      <c r="BQ688" s="283"/>
      <c r="BR688" s="283"/>
      <c r="BS688" s="283"/>
      <c r="BT688" s="283"/>
      <c r="BU688" s="283"/>
      <c r="BV688" s="283"/>
      <c r="BW688" s="283"/>
      <c r="BX688" s="283"/>
      <c r="BY688" s="283"/>
      <c r="BZ688" s="283"/>
      <c r="CA688" s="283"/>
      <c r="CB688" s="283"/>
      <c r="CC688" s="283"/>
      <c r="CD688" s="283"/>
      <c r="CE688" s="283"/>
      <c r="CF688" s="283"/>
      <c r="CG688" s="283"/>
      <c r="CH688" s="283"/>
      <c r="CI688" s="283"/>
      <c r="CJ688" s="283"/>
      <c r="CK688" s="283"/>
      <c r="CL688" s="283"/>
    </row>
    <row r="689" spans="1:90" ht="14.25" customHeight="1" x14ac:dyDescent="0.2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BN689" s="283"/>
      <c r="BO689" s="283"/>
      <c r="BP689" s="283"/>
      <c r="BQ689" s="283"/>
      <c r="BR689" s="283"/>
      <c r="BS689" s="283"/>
      <c r="BT689" s="283"/>
      <c r="BU689" s="283"/>
      <c r="BV689" s="283"/>
      <c r="BW689" s="283"/>
      <c r="BX689" s="283"/>
      <c r="BY689" s="283"/>
      <c r="BZ689" s="283"/>
      <c r="CA689" s="283"/>
      <c r="CB689" s="283"/>
      <c r="CC689" s="283"/>
      <c r="CD689" s="283"/>
      <c r="CE689" s="283"/>
      <c r="CF689" s="283"/>
      <c r="CG689" s="283"/>
      <c r="CH689" s="283"/>
      <c r="CI689" s="283"/>
      <c r="CJ689" s="283"/>
      <c r="CK689" s="283"/>
      <c r="CL689" s="283"/>
    </row>
    <row r="690" spans="1:90" ht="14.25" customHeight="1" x14ac:dyDescent="0.2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BN690" s="283"/>
      <c r="BO690" s="283"/>
      <c r="BP690" s="283"/>
      <c r="BQ690" s="283"/>
      <c r="BR690" s="283"/>
      <c r="BS690" s="283"/>
      <c r="BT690" s="283"/>
      <c r="BU690" s="283"/>
      <c r="BV690" s="283"/>
      <c r="BW690" s="283"/>
      <c r="BX690" s="283"/>
      <c r="BY690" s="283"/>
      <c r="BZ690" s="283"/>
      <c r="CA690" s="283"/>
      <c r="CB690" s="283"/>
      <c r="CC690" s="283"/>
      <c r="CD690" s="283"/>
      <c r="CE690" s="283"/>
      <c r="CF690" s="283"/>
      <c r="CG690" s="283"/>
      <c r="CH690" s="283"/>
      <c r="CI690" s="283"/>
      <c r="CJ690" s="283"/>
      <c r="CK690" s="283"/>
      <c r="CL690" s="283"/>
    </row>
    <row r="691" spans="1:90" ht="14.25" customHeight="1" x14ac:dyDescent="0.2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BN691" s="283"/>
      <c r="BO691" s="283"/>
      <c r="BP691" s="283"/>
      <c r="BQ691" s="283"/>
      <c r="BR691" s="283"/>
      <c r="BS691" s="283"/>
      <c r="BT691" s="283"/>
      <c r="BU691" s="283"/>
      <c r="BV691" s="283"/>
      <c r="BW691" s="283"/>
      <c r="BX691" s="283"/>
      <c r="BY691" s="283"/>
      <c r="BZ691" s="283"/>
      <c r="CA691" s="283"/>
      <c r="CB691" s="283"/>
      <c r="CC691" s="283"/>
      <c r="CD691" s="283"/>
      <c r="CE691" s="283"/>
      <c r="CF691" s="283"/>
      <c r="CG691" s="283"/>
      <c r="CH691" s="283"/>
      <c r="CI691" s="283"/>
      <c r="CJ691" s="283"/>
      <c r="CK691" s="283"/>
      <c r="CL691" s="283"/>
    </row>
    <row r="692" spans="1:90" ht="14.25" customHeight="1" x14ac:dyDescent="0.2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BN692" s="283"/>
      <c r="BO692" s="283"/>
      <c r="BP692" s="283"/>
      <c r="BQ692" s="283"/>
      <c r="BR692" s="283"/>
      <c r="BS692" s="283"/>
      <c r="BT692" s="283"/>
      <c r="BU692" s="283"/>
      <c r="BV692" s="283"/>
      <c r="BW692" s="283"/>
      <c r="BX692" s="283"/>
      <c r="BY692" s="283"/>
      <c r="BZ692" s="283"/>
      <c r="CA692" s="283"/>
      <c r="CB692" s="283"/>
      <c r="CC692" s="283"/>
      <c r="CD692" s="283"/>
      <c r="CE692" s="283"/>
      <c r="CF692" s="283"/>
      <c r="CG692" s="283"/>
      <c r="CH692" s="283"/>
      <c r="CI692" s="283"/>
      <c r="CJ692" s="283"/>
      <c r="CK692" s="283"/>
      <c r="CL692" s="283"/>
    </row>
    <row r="693" spans="1:90" ht="14.25" customHeight="1" x14ac:dyDescent="0.2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BN693" s="283"/>
      <c r="BO693" s="283"/>
      <c r="BP693" s="283"/>
      <c r="BQ693" s="283"/>
      <c r="BR693" s="283"/>
      <c r="BS693" s="283"/>
      <c r="BT693" s="283"/>
      <c r="BU693" s="283"/>
      <c r="BV693" s="283"/>
      <c r="BW693" s="283"/>
      <c r="BX693" s="283"/>
      <c r="BY693" s="283"/>
      <c r="BZ693" s="283"/>
      <c r="CA693" s="283"/>
      <c r="CB693" s="283"/>
      <c r="CC693" s="283"/>
      <c r="CD693" s="283"/>
      <c r="CE693" s="283"/>
      <c r="CF693" s="283"/>
      <c r="CG693" s="283"/>
      <c r="CH693" s="283"/>
      <c r="CI693" s="283"/>
      <c r="CJ693" s="283"/>
      <c r="CK693" s="283"/>
      <c r="CL693" s="283"/>
    </row>
    <row r="694" spans="1:90" ht="14.25" customHeight="1" x14ac:dyDescent="0.2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BN694" s="283"/>
      <c r="BO694" s="283"/>
      <c r="BP694" s="283"/>
      <c r="BQ694" s="283"/>
      <c r="BR694" s="283"/>
      <c r="BS694" s="283"/>
      <c r="BT694" s="283"/>
      <c r="BU694" s="283"/>
      <c r="BV694" s="283"/>
      <c r="BW694" s="283"/>
      <c r="BX694" s="283"/>
      <c r="BY694" s="283"/>
      <c r="BZ694" s="283"/>
      <c r="CA694" s="283"/>
      <c r="CB694" s="283"/>
      <c r="CC694" s="283"/>
      <c r="CD694" s="283"/>
      <c r="CE694" s="283"/>
      <c r="CF694" s="283"/>
      <c r="CG694" s="283"/>
      <c r="CH694" s="283"/>
      <c r="CI694" s="283"/>
      <c r="CJ694" s="283"/>
      <c r="CK694" s="283"/>
      <c r="CL694" s="283"/>
    </row>
    <row r="695" spans="1:90" ht="14.25" customHeight="1" x14ac:dyDescent="0.2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BN695" s="283"/>
      <c r="BO695" s="283"/>
      <c r="BP695" s="283"/>
      <c r="BQ695" s="283"/>
      <c r="BR695" s="283"/>
      <c r="BS695" s="283"/>
      <c r="BT695" s="283"/>
      <c r="BU695" s="283"/>
      <c r="BV695" s="283"/>
      <c r="BW695" s="283"/>
      <c r="BX695" s="283"/>
      <c r="BY695" s="283"/>
      <c r="BZ695" s="283"/>
      <c r="CA695" s="283"/>
      <c r="CB695" s="283"/>
      <c r="CC695" s="283"/>
      <c r="CD695" s="283"/>
      <c r="CE695" s="283"/>
      <c r="CF695" s="283"/>
      <c r="CG695" s="283"/>
      <c r="CH695" s="283"/>
      <c r="CI695" s="283"/>
      <c r="CJ695" s="283"/>
      <c r="CK695" s="283"/>
      <c r="CL695" s="283"/>
    </row>
    <row r="696" spans="1:90" ht="14.25" customHeight="1" x14ac:dyDescent="0.2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BN696" s="283"/>
      <c r="BO696" s="283"/>
      <c r="BP696" s="283"/>
      <c r="BQ696" s="283"/>
      <c r="BR696" s="283"/>
      <c r="BS696" s="283"/>
      <c r="BT696" s="283"/>
      <c r="BU696" s="283"/>
      <c r="BV696" s="283"/>
      <c r="BW696" s="283"/>
      <c r="BX696" s="283"/>
      <c r="BY696" s="283"/>
      <c r="BZ696" s="283"/>
      <c r="CA696" s="283"/>
      <c r="CB696" s="283"/>
      <c r="CC696" s="283"/>
      <c r="CD696" s="283"/>
      <c r="CE696" s="283"/>
      <c r="CF696" s="283"/>
      <c r="CG696" s="283"/>
      <c r="CH696" s="283"/>
      <c r="CI696" s="283"/>
      <c r="CJ696" s="283"/>
      <c r="CK696" s="283"/>
      <c r="CL696" s="283"/>
    </row>
    <row r="697" spans="1:90" ht="14.25" customHeight="1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BN697" s="283"/>
      <c r="BO697" s="283"/>
      <c r="BP697" s="283"/>
      <c r="BQ697" s="283"/>
      <c r="BR697" s="283"/>
      <c r="BS697" s="283"/>
      <c r="BT697" s="283"/>
      <c r="BU697" s="283"/>
      <c r="BV697" s="283"/>
      <c r="BW697" s="283"/>
      <c r="BX697" s="283"/>
      <c r="BY697" s="283"/>
      <c r="BZ697" s="283"/>
      <c r="CA697" s="283"/>
      <c r="CB697" s="283"/>
      <c r="CC697" s="283"/>
      <c r="CD697" s="283"/>
      <c r="CE697" s="283"/>
      <c r="CF697" s="283"/>
      <c r="CG697" s="283"/>
      <c r="CH697" s="283"/>
      <c r="CI697" s="283"/>
      <c r="CJ697" s="283"/>
      <c r="CK697" s="283"/>
      <c r="CL697" s="283"/>
    </row>
    <row r="698" spans="1:90" ht="14.25" customHeight="1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BN698" s="283"/>
      <c r="BO698" s="283"/>
      <c r="BP698" s="283"/>
      <c r="BQ698" s="283"/>
      <c r="BR698" s="283"/>
      <c r="BS698" s="283"/>
      <c r="BT698" s="283"/>
      <c r="BU698" s="283"/>
      <c r="BV698" s="283"/>
      <c r="BW698" s="283"/>
      <c r="BX698" s="283"/>
      <c r="BY698" s="283"/>
      <c r="BZ698" s="283"/>
      <c r="CA698" s="283"/>
      <c r="CB698" s="283"/>
      <c r="CC698" s="283"/>
      <c r="CD698" s="283"/>
      <c r="CE698" s="283"/>
      <c r="CF698" s="283"/>
      <c r="CG698" s="283"/>
      <c r="CH698" s="283"/>
      <c r="CI698" s="283"/>
      <c r="CJ698" s="283"/>
      <c r="CK698" s="283"/>
      <c r="CL698" s="283"/>
    </row>
    <row r="699" spans="1:90" ht="14.25" customHeight="1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BN699" s="283"/>
      <c r="BO699" s="283"/>
      <c r="BP699" s="283"/>
      <c r="BQ699" s="283"/>
      <c r="BR699" s="283"/>
      <c r="BS699" s="283"/>
      <c r="BT699" s="283"/>
      <c r="BU699" s="283"/>
      <c r="BV699" s="283"/>
      <c r="BW699" s="283"/>
      <c r="BX699" s="283"/>
      <c r="BY699" s="283"/>
      <c r="BZ699" s="283"/>
      <c r="CA699" s="283"/>
      <c r="CB699" s="283"/>
      <c r="CC699" s="283"/>
      <c r="CD699" s="283"/>
      <c r="CE699" s="283"/>
      <c r="CF699" s="283"/>
      <c r="CG699" s="283"/>
      <c r="CH699" s="283"/>
      <c r="CI699" s="283"/>
      <c r="CJ699" s="283"/>
      <c r="CK699" s="283"/>
      <c r="CL699" s="283"/>
    </row>
    <row r="700" spans="1:90" ht="14.25" customHeight="1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BN700" s="283"/>
      <c r="BO700" s="283"/>
      <c r="BP700" s="283"/>
      <c r="BQ700" s="283"/>
      <c r="BR700" s="283"/>
      <c r="BS700" s="283"/>
      <c r="BT700" s="283"/>
      <c r="BU700" s="283"/>
      <c r="BV700" s="283"/>
      <c r="BW700" s="283"/>
      <c r="BX700" s="283"/>
      <c r="BY700" s="283"/>
      <c r="BZ700" s="283"/>
      <c r="CA700" s="283"/>
      <c r="CB700" s="283"/>
      <c r="CC700" s="283"/>
      <c r="CD700" s="283"/>
      <c r="CE700" s="283"/>
      <c r="CF700" s="283"/>
      <c r="CG700" s="283"/>
      <c r="CH700" s="283"/>
      <c r="CI700" s="283"/>
      <c r="CJ700" s="283"/>
      <c r="CK700" s="283"/>
      <c r="CL700" s="283"/>
    </row>
    <row r="701" spans="1:90" ht="14.25" customHeight="1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BN701" s="283"/>
      <c r="BO701" s="283"/>
      <c r="BP701" s="283"/>
      <c r="BQ701" s="283"/>
      <c r="BR701" s="283"/>
      <c r="BS701" s="283"/>
      <c r="BT701" s="283"/>
      <c r="BU701" s="283"/>
      <c r="BV701" s="283"/>
      <c r="BW701" s="283"/>
      <c r="BX701" s="283"/>
      <c r="BY701" s="283"/>
      <c r="BZ701" s="283"/>
      <c r="CA701" s="283"/>
      <c r="CB701" s="283"/>
      <c r="CC701" s="283"/>
      <c r="CD701" s="283"/>
      <c r="CE701" s="283"/>
      <c r="CF701" s="283"/>
      <c r="CG701" s="283"/>
      <c r="CH701" s="283"/>
      <c r="CI701" s="283"/>
      <c r="CJ701" s="283"/>
      <c r="CK701" s="283"/>
      <c r="CL701" s="283"/>
    </row>
    <row r="702" spans="1:90" ht="14.25" customHeight="1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BN702" s="283"/>
      <c r="BO702" s="283"/>
      <c r="BP702" s="283"/>
      <c r="BQ702" s="283"/>
      <c r="BR702" s="283"/>
      <c r="BS702" s="283"/>
      <c r="BT702" s="283"/>
      <c r="BU702" s="283"/>
      <c r="BV702" s="283"/>
      <c r="BW702" s="283"/>
      <c r="BX702" s="283"/>
      <c r="BY702" s="283"/>
      <c r="BZ702" s="283"/>
      <c r="CA702" s="283"/>
      <c r="CB702" s="283"/>
      <c r="CC702" s="283"/>
      <c r="CD702" s="283"/>
      <c r="CE702" s="283"/>
      <c r="CF702" s="283"/>
      <c r="CG702" s="283"/>
      <c r="CH702" s="283"/>
      <c r="CI702" s="283"/>
      <c r="CJ702" s="283"/>
      <c r="CK702" s="283"/>
      <c r="CL702" s="283"/>
    </row>
    <row r="703" spans="1:90" ht="14.25" customHeight="1" x14ac:dyDescent="0.2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BN703" s="283"/>
      <c r="BO703" s="283"/>
      <c r="BP703" s="283"/>
      <c r="BQ703" s="283"/>
      <c r="BR703" s="283"/>
      <c r="BS703" s="283"/>
      <c r="BT703" s="283"/>
      <c r="BU703" s="283"/>
      <c r="BV703" s="283"/>
      <c r="BW703" s="283"/>
      <c r="BX703" s="283"/>
      <c r="BY703" s="283"/>
      <c r="BZ703" s="283"/>
      <c r="CA703" s="283"/>
      <c r="CB703" s="283"/>
      <c r="CC703" s="283"/>
      <c r="CD703" s="283"/>
      <c r="CE703" s="283"/>
      <c r="CF703" s="283"/>
      <c r="CG703" s="283"/>
      <c r="CH703" s="283"/>
      <c r="CI703" s="283"/>
      <c r="CJ703" s="283"/>
      <c r="CK703" s="283"/>
      <c r="CL703" s="283"/>
    </row>
    <row r="704" spans="1:90" ht="14.25" customHeight="1" x14ac:dyDescent="0.2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BN704" s="283"/>
      <c r="BO704" s="283"/>
      <c r="BP704" s="283"/>
      <c r="BQ704" s="283"/>
      <c r="BR704" s="283"/>
      <c r="BS704" s="283"/>
      <c r="BT704" s="283"/>
      <c r="BU704" s="283"/>
      <c r="BV704" s="283"/>
      <c r="BW704" s="283"/>
      <c r="BX704" s="283"/>
      <c r="BY704" s="283"/>
      <c r="BZ704" s="283"/>
      <c r="CA704" s="283"/>
      <c r="CB704" s="283"/>
      <c r="CC704" s="283"/>
      <c r="CD704" s="283"/>
      <c r="CE704" s="283"/>
      <c r="CF704" s="283"/>
      <c r="CG704" s="283"/>
      <c r="CH704" s="283"/>
      <c r="CI704" s="283"/>
      <c r="CJ704" s="283"/>
      <c r="CK704" s="283"/>
      <c r="CL704" s="283"/>
    </row>
    <row r="705" spans="1:90" ht="14.25" customHeight="1" x14ac:dyDescent="0.2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BN705" s="283"/>
      <c r="BO705" s="283"/>
      <c r="BP705" s="283"/>
      <c r="BQ705" s="283"/>
      <c r="BR705" s="283"/>
      <c r="BS705" s="283"/>
      <c r="BT705" s="283"/>
      <c r="BU705" s="283"/>
      <c r="BV705" s="283"/>
      <c r="BW705" s="283"/>
      <c r="BX705" s="283"/>
      <c r="BY705" s="283"/>
      <c r="BZ705" s="283"/>
      <c r="CA705" s="283"/>
      <c r="CB705" s="283"/>
      <c r="CC705" s="283"/>
      <c r="CD705" s="283"/>
      <c r="CE705" s="283"/>
      <c r="CF705" s="283"/>
      <c r="CG705" s="283"/>
      <c r="CH705" s="283"/>
      <c r="CI705" s="283"/>
      <c r="CJ705" s="283"/>
      <c r="CK705" s="283"/>
      <c r="CL705" s="283"/>
    </row>
    <row r="706" spans="1:90" ht="14.25" customHeight="1" x14ac:dyDescent="0.2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BN706" s="283"/>
      <c r="BO706" s="283"/>
      <c r="BP706" s="283"/>
      <c r="BQ706" s="283"/>
      <c r="BR706" s="283"/>
      <c r="BS706" s="283"/>
      <c r="BT706" s="283"/>
      <c r="BU706" s="283"/>
      <c r="BV706" s="283"/>
      <c r="BW706" s="283"/>
      <c r="BX706" s="283"/>
      <c r="BY706" s="283"/>
      <c r="BZ706" s="283"/>
      <c r="CA706" s="283"/>
      <c r="CB706" s="283"/>
      <c r="CC706" s="283"/>
      <c r="CD706" s="283"/>
      <c r="CE706" s="283"/>
      <c r="CF706" s="283"/>
      <c r="CG706" s="283"/>
      <c r="CH706" s="283"/>
      <c r="CI706" s="283"/>
      <c r="CJ706" s="283"/>
      <c r="CK706" s="283"/>
      <c r="CL706" s="283"/>
    </row>
    <row r="707" spans="1:90" ht="14.25" customHeight="1" x14ac:dyDescent="0.2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BN707" s="283"/>
      <c r="BO707" s="283"/>
      <c r="BP707" s="283"/>
      <c r="BQ707" s="283"/>
      <c r="BR707" s="283"/>
      <c r="BS707" s="283"/>
      <c r="BT707" s="283"/>
      <c r="BU707" s="283"/>
      <c r="BV707" s="283"/>
      <c r="BW707" s="283"/>
      <c r="BX707" s="283"/>
      <c r="BY707" s="283"/>
      <c r="BZ707" s="283"/>
      <c r="CA707" s="283"/>
      <c r="CB707" s="283"/>
      <c r="CC707" s="283"/>
      <c r="CD707" s="283"/>
      <c r="CE707" s="283"/>
      <c r="CF707" s="283"/>
      <c r="CG707" s="283"/>
      <c r="CH707" s="283"/>
      <c r="CI707" s="283"/>
      <c r="CJ707" s="283"/>
      <c r="CK707" s="283"/>
      <c r="CL707" s="283"/>
    </row>
    <row r="708" spans="1:90" ht="14.25" customHeight="1" x14ac:dyDescent="0.2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BN708" s="283"/>
      <c r="BO708" s="283"/>
      <c r="BP708" s="283"/>
      <c r="BQ708" s="283"/>
      <c r="BR708" s="283"/>
      <c r="BS708" s="283"/>
      <c r="BT708" s="283"/>
      <c r="BU708" s="283"/>
      <c r="BV708" s="283"/>
      <c r="BW708" s="283"/>
      <c r="BX708" s="283"/>
      <c r="BY708" s="283"/>
      <c r="BZ708" s="283"/>
      <c r="CA708" s="283"/>
      <c r="CB708" s="283"/>
      <c r="CC708" s="283"/>
      <c r="CD708" s="283"/>
      <c r="CE708" s="283"/>
      <c r="CF708" s="283"/>
      <c r="CG708" s="283"/>
      <c r="CH708" s="283"/>
      <c r="CI708" s="283"/>
      <c r="CJ708" s="283"/>
      <c r="CK708" s="283"/>
      <c r="CL708" s="283"/>
    </row>
    <row r="709" spans="1:90" ht="14.25" customHeight="1" x14ac:dyDescent="0.2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BN709" s="283"/>
      <c r="BO709" s="283"/>
      <c r="BP709" s="283"/>
      <c r="BQ709" s="283"/>
      <c r="BR709" s="283"/>
      <c r="BS709" s="283"/>
      <c r="BT709" s="283"/>
      <c r="BU709" s="283"/>
      <c r="BV709" s="283"/>
      <c r="BW709" s="283"/>
      <c r="BX709" s="283"/>
      <c r="BY709" s="283"/>
      <c r="BZ709" s="283"/>
      <c r="CA709" s="283"/>
      <c r="CB709" s="283"/>
      <c r="CC709" s="283"/>
      <c r="CD709" s="283"/>
      <c r="CE709" s="283"/>
      <c r="CF709" s="283"/>
      <c r="CG709" s="283"/>
      <c r="CH709" s="283"/>
      <c r="CI709" s="283"/>
      <c r="CJ709" s="283"/>
      <c r="CK709" s="283"/>
      <c r="CL709" s="283"/>
    </row>
    <row r="710" spans="1:90" ht="14.25" customHeight="1" x14ac:dyDescent="0.2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BN710" s="283"/>
      <c r="BO710" s="283"/>
      <c r="BP710" s="283"/>
      <c r="BQ710" s="283"/>
      <c r="BR710" s="283"/>
      <c r="BS710" s="283"/>
      <c r="BT710" s="283"/>
      <c r="BU710" s="283"/>
      <c r="BV710" s="283"/>
      <c r="BW710" s="283"/>
      <c r="BX710" s="283"/>
      <c r="BY710" s="283"/>
      <c r="BZ710" s="283"/>
      <c r="CA710" s="283"/>
      <c r="CB710" s="283"/>
      <c r="CC710" s="283"/>
      <c r="CD710" s="283"/>
      <c r="CE710" s="283"/>
      <c r="CF710" s="283"/>
      <c r="CG710" s="283"/>
      <c r="CH710" s="283"/>
      <c r="CI710" s="283"/>
      <c r="CJ710" s="283"/>
      <c r="CK710" s="283"/>
      <c r="CL710" s="283"/>
    </row>
    <row r="711" spans="1:90" ht="14.25" customHeight="1" x14ac:dyDescent="0.2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BN711" s="283"/>
      <c r="BO711" s="283"/>
      <c r="BP711" s="283"/>
      <c r="BQ711" s="283"/>
      <c r="BR711" s="283"/>
      <c r="BS711" s="283"/>
      <c r="BT711" s="283"/>
      <c r="BU711" s="283"/>
      <c r="BV711" s="283"/>
      <c r="BW711" s="283"/>
      <c r="BX711" s="283"/>
      <c r="BY711" s="283"/>
      <c r="BZ711" s="283"/>
      <c r="CA711" s="283"/>
      <c r="CB711" s="283"/>
      <c r="CC711" s="283"/>
      <c r="CD711" s="283"/>
      <c r="CE711" s="283"/>
      <c r="CF711" s="283"/>
      <c r="CG711" s="283"/>
      <c r="CH711" s="283"/>
      <c r="CI711" s="283"/>
      <c r="CJ711" s="283"/>
      <c r="CK711" s="283"/>
      <c r="CL711" s="283"/>
    </row>
    <row r="712" spans="1:90" ht="14.25" customHeight="1" x14ac:dyDescent="0.2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BN712" s="283"/>
      <c r="BO712" s="283"/>
      <c r="BP712" s="283"/>
      <c r="BQ712" s="283"/>
      <c r="BR712" s="283"/>
      <c r="BS712" s="283"/>
      <c r="BT712" s="283"/>
      <c r="BU712" s="283"/>
      <c r="BV712" s="283"/>
      <c r="BW712" s="283"/>
      <c r="BX712" s="283"/>
      <c r="BY712" s="283"/>
      <c r="BZ712" s="283"/>
      <c r="CA712" s="283"/>
      <c r="CB712" s="283"/>
      <c r="CC712" s="283"/>
      <c r="CD712" s="283"/>
      <c r="CE712" s="283"/>
      <c r="CF712" s="283"/>
      <c r="CG712" s="283"/>
      <c r="CH712" s="283"/>
      <c r="CI712" s="283"/>
      <c r="CJ712" s="283"/>
      <c r="CK712" s="283"/>
      <c r="CL712" s="283"/>
    </row>
    <row r="713" spans="1:90" ht="14.25" customHeight="1" x14ac:dyDescent="0.2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BN713" s="283"/>
      <c r="BO713" s="283"/>
      <c r="BP713" s="283"/>
      <c r="BQ713" s="283"/>
      <c r="BR713" s="283"/>
      <c r="BS713" s="283"/>
      <c r="BT713" s="283"/>
      <c r="BU713" s="283"/>
      <c r="BV713" s="283"/>
      <c r="BW713" s="283"/>
      <c r="BX713" s="283"/>
      <c r="BY713" s="283"/>
      <c r="BZ713" s="283"/>
      <c r="CA713" s="283"/>
      <c r="CB713" s="283"/>
      <c r="CC713" s="283"/>
      <c r="CD713" s="283"/>
      <c r="CE713" s="283"/>
      <c r="CF713" s="283"/>
      <c r="CG713" s="283"/>
      <c r="CH713" s="283"/>
      <c r="CI713" s="283"/>
      <c r="CJ713" s="283"/>
      <c r="CK713" s="283"/>
      <c r="CL713" s="283"/>
    </row>
    <row r="714" spans="1:90" ht="14.25" customHeight="1" x14ac:dyDescent="0.2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BN714" s="283"/>
      <c r="BO714" s="283"/>
      <c r="BP714" s="283"/>
      <c r="BQ714" s="283"/>
      <c r="BR714" s="283"/>
      <c r="BS714" s="283"/>
      <c r="BT714" s="283"/>
      <c r="BU714" s="283"/>
      <c r="BV714" s="283"/>
      <c r="BW714" s="283"/>
      <c r="BX714" s="283"/>
      <c r="BY714" s="283"/>
      <c r="BZ714" s="283"/>
      <c r="CA714" s="283"/>
      <c r="CB714" s="283"/>
      <c r="CC714" s="283"/>
      <c r="CD714" s="283"/>
      <c r="CE714" s="283"/>
      <c r="CF714" s="283"/>
      <c r="CG714" s="283"/>
      <c r="CH714" s="283"/>
      <c r="CI714" s="283"/>
      <c r="CJ714" s="283"/>
      <c r="CK714" s="283"/>
      <c r="CL714" s="283"/>
    </row>
    <row r="715" spans="1:90" ht="14.25" customHeight="1" x14ac:dyDescent="0.2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BN715" s="283"/>
      <c r="BO715" s="283"/>
      <c r="BP715" s="283"/>
      <c r="BQ715" s="283"/>
      <c r="BR715" s="283"/>
      <c r="BS715" s="283"/>
      <c r="BT715" s="283"/>
      <c r="BU715" s="283"/>
      <c r="BV715" s="283"/>
      <c r="BW715" s="283"/>
      <c r="BX715" s="283"/>
      <c r="BY715" s="283"/>
      <c r="BZ715" s="283"/>
      <c r="CA715" s="283"/>
      <c r="CB715" s="283"/>
      <c r="CC715" s="283"/>
      <c r="CD715" s="283"/>
      <c r="CE715" s="283"/>
      <c r="CF715" s="283"/>
      <c r="CG715" s="283"/>
      <c r="CH715" s="283"/>
      <c r="CI715" s="283"/>
      <c r="CJ715" s="283"/>
      <c r="CK715" s="283"/>
      <c r="CL715" s="283"/>
    </row>
    <row r="716" spans="1:90" ht="14.25" customHeight="1" x14ac:dyDescent="0.2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BN716" s="283"/>
      <c r="BO716" s="283"/>
      <c r="BP716" s="283"/>
      <c r="BQ716" s="283"/>
      <c r="BR716" s="283"/>
      <c r="BS716" s="283"/>
      <c r="BT716" s="283"/>
      <c r="BU716" s="283"/>
      <c r="BV716" s="283"/>
      <c r="BW716" s="283"/>
      <c r="BX716" s="283"/>
      <c r="BY716" s="283"/>
      <c r="BZ716" s="283"/>
      <c r="CA716" s="283"/>
      <c r="CB716" s="283"/>
      <c r="CC716" s="283"/>
      <c r="CD716" s="283"/>
      <c r="CE716" s="283"/>
      <c r="CF716" s="283"/>
      <c r="CG716" s="283"/>
      <c r="CH716" s="283"/>
      <c r="CI716" s="283"/>
      <c r="CJ716" s="283"/>
      <c r="CK716" s="283"/>
      <c r="CL716" s="283"/>
    </row>
    <row r="717" spans="1:90" ht="14.25" customHeight="1" x14ac:dyDescent="0.2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BN717" s="283"/>
      <c r="BO717" s="283"/>
      <c r="BP717" s="283"/>
      <c r="BQ717" s="283"/>
      <c r="BR717" s="283"/>
      <c r="BS717" s="283"/>
      <c r="BT717" s="283"/>
      <c r="BU717" s="283"/>
      <c r="BV717" s="283"/>
      <c r="BW717" s="283"/>
      <c r="BX717" s="283"/>
      <c r="BY717" s="283"/>
      <c r="BZ717" s="283"/>
      <c r="CA717" s="283"/>
      <c r="CB717" s="283"/>
      <c r="CC717" s="283"/>
      <c r="CD717" s="283"/>
      <c r="CE717" s="283"/>
      <c r="CF717" s="283"/>
      <c r="CG717" s="283"/>
      <c r="CH717" s="283"/>
      <c r="CI717" s="283"/>
      <c r="CJ717" s="283"/>
      <c r="CK717" s="283"/>
      <c r="CL717" s="283"/>
    </row>
    <row r="718" spans="1:90" ht="14.25" customHeight="1" x14ac:dyDescent="0.2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BN718" s="283"/>
      <c r="BO718" s="283"/>
      <c r="BP718" s="283"/>
      <c r="BQ718" s="283"/>
      <c r="BR718" s="283"/>
      <c r="BS718" s="283"/>
      <c r="BT718" s="283"/>
      <c r="BU718" s="283"/>
      <c r="BV718" s="283"/>
      <c r="BW718" s="283"/>
      <c r="BX718" s="283"/>
      <c r="BY718" s="283"/>
      <c r="BZ718" s="283"/>
      <c r="CA718" s="283"/>
      <c r="CB718" s="283"/>
      <c r="CC718" s="283"/>
      <c r="CD718" s="283"/>
      <c r="CE718" s="283"/>
      <c r="CF718" s="283"/>
      <c r="CG718" s="283"/>
      <c r="CH718" s="283"/>
      <c r="CI718" s="283"/>
      <c r="CJ718" s="283"/>
      <c r="CK718" s="283"/>
      <c r="CL718" s="283"/>
    </row>
    <row r="719" spans="1:90" ht="14.25" customHeight="1" x14ac:dyDescent="0.2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BN719" s="283"/>
      <c r="BO719" s="283"/>
      <c r="BP719" s="283"/>
      <c r="BQ719" s="283"/>
      <c r="BR719" s="283"/>
      <c r="BS719" s="283"/>
      <c r="BT719" s="283"/>
      <c r="BU719" s="283"/>
      <c r="BV719" s="283"/>
      <c r="BW719" s="283"/>
      <c r="BX719" s="283"/>
      <c r="BY719" s="283"/>
      <c r="BZ719" s="283"/>
      <c r="CA719" s="283"/>
      <c r="CB719" s="283"/>
      <c r="CC719" s="283"/>
      <c r="CD719" s="283"/>
      <c r="CE719" s="283"/>
      <c r="CF719" s="283"/>
      <c r="CG719" s="283"/>
      <c r="CH719" s="283"/>
      <c r="CI719" s="283"/>
      <c r="CJ719" s="283"/>
      <c r="CK719" s="283"/>
      <c r="CL719" s="283"/>
    </row>
    <row r="720" spans="1:90" ht="14.25" customHeight="1" x14ac:dyDescent="0.2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BN720" s="283"/>
      <c r="BO720" s="283"/>
      <c r="BP720" s="283"/>
      <c r="BQ720" s="283"/>
      <c r="BR720" s="283"/>
      <c r="BS720" s="283"/>
      <c r="BT720" s="283"/>
      <c r="BU720" s="283"/>
      <c r="BV720" s="283"/>
      <c r="BW720" s="283"/>
      <c r="BX720" s="283"/>
      <c r="BY720" s="283"/>
      <c r="BZ720" s="283"/>
      <c r="CA720" s="283"/>
      <c r="CB720" s="283"/>
      <c r="CC720" s="283"/>
      <c r="CD720" s="283"/>
      <c r="CE720" s="283"/>
      <c r="CF720" s="283"/>
      <c r="CG720" s="283"/>
      <c r="CH720" s="283"/>
      <c r="CI720" s="283"/>
      <c r="CJ720" s="283"/>
      <c r="CK720" s="283"/>
      <c r="CL720" s="283"/>
    </row>
    <row r="721" spans="1:90" ht="14.25" customHeight="1" x14ac:dyDescent="0.2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BN721" s="283"/>
      <c r="BO721" s="283"/>
      <c r="BP721" s="283"/>
      <c r="BQ721" s="283"/>
      <c r="BR721" s="283"/>
      <c r="BS721" s="283"/>
      <c r="BT721" s="283"/>
      <c r="BU721" s="283"/>
      <c r="BV721" s="283"/>
      <c r="BW721" s="283"/>
      <c r="BX721" s="283"/>
      <c r="BY721" s="283"/>
      <c r="BZ721" s="283"/>
      <c r="CA721" s="283"/>
      <c r="CB721" s="283"/>
      <c r="CC721" s="283"/>
      <c r="CD721" s="283"/>
      <c r="CE721" s="283"/>
      <c r="CF721" s="283"/>
      <c r="CG721" s="283"/>
      <c r="CH721" s="283"/>
      <c r="CI721" s="283"/>
      <c r="CJ721" s="283"/>
      <c r="CK721" s="283"/>
      <c r="CL721" s="283"/>
    </row>
    <row r="722" spans="1:90" ht="14.25" customHeight="1" x14ac:dyDescent="0.2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BN722" s="283"/>
      <c r="BO722" s="283"/>
      <c r="BP722" s="283"/>
      <c r="BQ722" s="283"/>
      <c r="BR722" s="283"/>
      <c r="BS722" s="283"/>
      <c r="BT722" s="283"/>
      <c r="BU722" s="283"/>
      <c r="BV722" s="283"/>
      <c r="BW722" s="283"/>
      <c r="BX722" s="283"/>
      <c r="BY722" s="283"/>
      <c r="BZ722" s="283"/>
      <c r="CA722" s="283"/>
      <c r="CB722" s="283"/>
      <c r="CC722" s="283"/>
      <c r="CD722" s="283"/>
      <c r="CE722" s="283"/>
      <c r="CF722" s="283"/>
      <c r="CG722" s="283"/>
      <c r="CH722" s="283"/>
      <c r="CI722" s="283"/>
      <c r="CJ722" s="283"/>
      <c r="CK722" s="283"/>
      <c r="CL722" s="283"/>
    </row>
    <row r="723" spans="1:90" ht="14.25" customHeight="1" x14ac:dyDescent="0.2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BN723" s="283"/>
      <c r="BO723" s="283"/>
      <c r="BP723" s="283"/>
      <c r="BQ723" s="283"/>
      <c r="BR723" s="283"/>
      <c r="BS723" s="283"/>
      <c r="BT723" s="283"/>
      <c r="BU723" s="283"/>
      <c r="BV723" s="283"/>
      <c r="BW723" s="283"/>
      <c r="BX723" s="283"/>
      <c r="BY723" s="283"/>
      <c r="BZ723" s="283"/>
      <c r="CA723" s="283"/>
      <c r="CB723" s="283"/>
      <c r="CC723" s="283"/>
      <c r="CD723" s="283"/>
      <c r="CE723" s="283"/>
      <c r="CF723" s="283"/>
      <c r="CG723" s="283"/>
      <c r="CH723" s="283"/>
      <c r="CI723" s="283"/>
      <c r="CJ723" s="283"/>
      <c r="CK723" s="283"/>
      <c r="CL723" s="283"/>
    </row>
    <row r="724" spans="1:90" ht="14.25" customHeight="1" x14ac:dyDescent="0.2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BN724" s="283"/>
      <c r="BO724" s="283"/>
      <c r="BP724" s="283"/>
      <c r="BQ724" s="283"/>
      <c r="BR724" s="283"/>
      <c r="BS724" s="283"/>
      <c r="BT724" s="283"/>
      <c r="BU724" s="283"/>
      <c r="BV724" s="283"/>
      <c r="BW724" s="283"/>
      <c r="BX724" s="283"/>
      <c r="BY724" s="283"/>
      <c r="BZ724" s="283"/>
      <c r="CA724" s="283"/>
      <c r="CB724" s="283"/>
      <c r="CC724" s="283"/>
      <c r="CD724" s="283"/>
      <c r="CE724" s="283"/>
      <c r="CF724" s="283"/>
      <c r="CG724" s="283"/>
      <c r="CH724" s="283"/>
      <c r="CI724" s="283"/>
      <c r="CJ724" s="283"/>
      <c r="CK724" s="283"/>
      <c r="CL724" s="283"/>
    </row>
    <row r="725" spans="1:90" ht="14.25" customHeight="1" x14ac:dyDescent="0.2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BN725" s="283"/>
      <c r="BO725" s="283"/>
      <c r="BP725" s="283"/>
      <c r="BQ725" s="283"/>
      <c r="BR725" s="283"/>
      <c r="BS725" s="283"/>
      <c r="BT725" s="283"/>
      <c r="BU725" s="283"/>
      <c r="BV725" s="283"/>
      <c r="BW725" s="283"/>
      <c r="BX725" s="283"/>
      <c r="BY725" s="283"/>
      <c r="BZ725" s="283"/>
      <c r="CA725" s="283"/>
      <c r="CB725" s="283"/>
      <c r="CC725" s="283"/>
      <c r="CD725" s="283"/>
      <c r="CE725" s="283"/>
      <c r="CF725" s="283"/>
      <c r="CG725" s="283"/>
      <c r="CH725" s="283"/>
      <c r="CI725" s="283"/>
      <c r="CJ725" s="283"/>
      <c r="CK725" s="283"/>
      <c r="CL725" s="283"/>
    </row>
    <row r="726" spans="1:90" ht="14.25" customHeight="1" x14ac:dyDescent="0.2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BN726" s="283"/>
      <c r="BO726" s="283"/>
      <c r="BP726" s="283"/>
      <c r="BQ726" s="283"/>
      <c r="BR726" s="283"/>
      <c r="BS726" s="283"/>
      <c r="BT726" s="283"/>
      <c r="BU726" s="283"/>
      <c r="BV726" s="283"/>
      <c r="BW726" s="283"/>
      <c r="BX726" s="283"/>
      <c r="BY726" s="283"/>
      <c r="BZ726" s="283"/>
      <c r="CA726" s="283"/>
      <c r="CB726" s="283"/>
      <c r="CC726" s="283"/>
      <c r="CD726" s="283"/>
      <c r="CE726" s="283"/>
      <c r="CF726" s="283"/>
      <c r="CG726" s="283"/>
      <c r="CH726" s="283"/>
      <c r="CI726" s="283"/>
      <c r="CJ726" s="283"/>
      <c r="CK726" s="283"/>
      <c r="CL726" s="283"/>
    </row>
    <row r="727" spans="1:90" ht="14.25" customHeight="1" x14ac:dyDescent="0.2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BN727" s="283"/>
      <c r="BO727" s="283"/>
      <c r="BP727" s="283"/>
      <c r="BQ727" s="283"/>
      <c r="BR727" s="283"/>
      <c r="BS727" s="283"/>
      <c r="BT727" s="283"/>
      <c r="BU727" s="283"/>
      <c r="BV727" s="283"/>
      <c r="BW727" s="283"/>
      <c r="BX727" s="283"/>
      <c r="BY727" s="283"/>
      <c r="BZ727" s="283"/>
      <c r="CA727" s="283"/>
      <c r="CB727" s="283"/>
      <c r="CC727" s="283"/>
      <c r="CD727" s="283"/>
      <c r="CE727" s="283"/>
      <c r="CF727" s="283"/>
      <c r="CG727" s="283"/>
      <c r="CH727" s="283"/>
      <c r="CI727" s="283"/>
      <c r="CJ727" s="283"/>
      <c r="CK727" s="283"/>
      <c r="CL727" s="283"/>
    </row>
    <row r="728" spans="1:90" ht="14.25" customHeight="1" x14ac:dyDescent="0.2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BU728" s="283"/>
      <c r="BV728" s="283"/>
      <c r="BW728" s="283"/>
      <c r="BX728" s="283"/>
      <c r="BY728" s="283"/>
      <c r="BZ728" s="283"/>
      <c r="CA728" s="283"/>
      <c r="CB728" s="283"/>
      <c r="CC728" s="283"/>
      <c r="CD728" s="283"/>
      <c r="CE728" s="283"/>
      <c r="CF728" s="283"/>
      <c r="CG728" s="283"/>
      <c r="CH728" s="283"/>
      <c r="CI728" s="283"/>
      <c r="CJ728" s="283"/>
      <c r="CK728" s="283"/>
      <c r="CL728" s="283"/>
    </row>
    <row r="729" spans="1:90" ht="14.25" customHeight="1" x14ac:dyDescent="0.2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BU729" s="283"/>
      <c r="BV729" s="283"/>
      <c r="BW729" s="283"/>
      <c r="BX729" s="283"/>
      <c r="BY729" s="283"/>
      <c r="BZ729" s="283"/>
      <c r="CA729" s="283"/>
      <c r="CB729" s="283"/>
      <c r="CC729" s="283"/>
      <c r="CD729" s="283"/>
      <c r="CE729" s="283"/>
      <c r="CF729" s="283"/>
      <c r="CG729" s="283"/>
      <c r="CH729" s="283"/>
      <c r="CI729" s="283"/>
      <c r="CJ729" s="283"/>
      <c r="CK729" s="283"/>
      <c r="CL729" s="283"/>
    </row>
    <row r="730" spans="1:90" ht="14.25" customHeight="1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BU730" s="283"/>
      <c r="BV730" s="283"/>
      <c r="BW730" s="283"/>
      <c r="BX730" s="283"/>
      <c r="BY730" s="283"/>
      <c r="BZ730" s="283"/>
      <c r="CA730" s="283"/>
      <c r="CB730" s="283"/>
      <c r="CC730" s="283"/>
      <c r="CD730" s="283"/>
      <c r="CE730" s="283"/>
      <c r="CF730" s="283"/>
      <c r="CG730" s="283"/>
      <c r="CH730" s="283"/>
      <c r="CI730" s="283"/>
      <c r="CJ730" s="283"/>
      <c r="CK730" s="283"/>
      <c r="CL730" s="283"/>
    </row>
    <row r="731" spans="1:90" ht="14.25" customHeight="1" x14ac:dyDescent="0.2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BU731" s="283"/>
      <c r="BV731" s="283"/>
      <c r="BW731" s="283"/>
      <c r="BX731" s="283"/>
      <c r="BY731" s="283"/>
      <c r="BZ731" s="283"/>
      <c r="CA731" s="283"/>
      <c r="CB731" s="283"/>
      <c r="CC731" s="283"/>
      <c r="CD731" s="283"/>
      <c r="CE731" s="283"/>
      <c r="CF731" s="283"/>
      <c r="CG731" s="283"/>
      <c r="CH731" s="283"/>
      <c r="CI731" s="283"/>
      <c r="CJ731" s="283"/>
      <c r="CK731" s="283"/>
      <c r="CL731" s="283"/>
    </row>
    <row r="732" spans="1:90" ht="14.25" customHeight="1" x14ac:dyDescent="0.2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BU732" s="283"/>
      <c r="BV732" s="283"/>
      <c r="BW732" s="283"/>
      <c r="BX732" s="283"/>
      <c r="BY732" s="283"/>
      <c r="BZ732" s="283"/>
      <c r="CA732" s="283"/>
      <c r="CB732" s="283"/>
      <c r="CC732" s="283"/>
      <c r="CD732" s="283"/>
      <c r="CE732" s="283"/>
      <c r="CF732" s="283"/>
      <c r="CG732" s="283"/>
      <c r="CH732" s="283"/>
      <c r="CI732" s="283"/>
      <c r="CJ732" s="283"/>
      <c r="CK732" s="283"/>
      <c r="CL732" s="283"/>
    </row>
    <row r="733" spans="1:90" ht="14.25" customHeight="1" x14ac:dyDescent="0.2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BU733" s="283"/>
      <c r="BV733" s="283"/>
      <c r="BW733" s="283"/>
      <c r="BX733" s="283"/>
      <c r="BY733" s="283"/>
      <c r="BZ733" s="283"/>
      <c r="CA733" s="283"/>
      <c r="CB733" s="283"/>
      <c r="CC733" s="283"/>
      <c r="CD733" s="283"/>
      <c r="CE733" s="283"/>
      <c r="CF733" s="283"/>
      <c r="CG733" s="283"/>
      <c r="CH733" s="283"/>
      <c r="CI733" s="283"/>
      <c r="CJ733" s="283"/>
      <c r="CK733" s="283"/>
      <c r="CL733" s="283"/>
    </row>
    <row r="734" spans="1:90" ht="14.25" customHeight="1" x14ac:dyDescent="0.2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BU734" s="283"/>
      <c r="BV734" s="283"/>
      <c r="BW734" s="283"/>
      <c r="BX734" s="283"/>
      <c r="BY734" s="283"/>
      <c r="BZ734" s="283"/>
      <c r="CA734" s="283"/>
      <c r="CB734" s="283"/>
      <c r="CC734" s="283"/>
      <c r="CD734" s="283"/>
      <c r="CE734" s="283"/>
      <c r="CF734" s="283"/>
      <c r="CG734" s="283"/>
      <c r="CH734" s="283"/>
      <c r="CI734" s="283"/>
      <c r="CJ734" s="283"/>
      <c r="CK734" s="283"/>
      <c r="CL734" s="283"/>
    </row>
    <row r="735" spans="1:90" ht="14.25" customHeight="1" x14ac:dyDescent="0.2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BU735" s="283"/>
      <c r="BV735" s="283"/>
      <c r="BW735" s="283"/>
      <c r="BX735" s="283"/>
      <c r="BY735" s="283"/>
      <c r="BZ735" s="283"/>
      <c r="CA735" s="283"/>
      <c r="CB735" s="283"/>
      <c r="CC735" s="283"/>
      <c r="CD735" s="283"/>
      <c r="CE735" s="283"/>
      <c r="CF735" s="283"/>
      <c r="CG735" s="283"/>
      <c r="CH735" s="283"/>
      <c r="CI735" s="283"/>
      <c r="CJ735" s="283"/>
      <c r="CK735" s="283"/>
      <c r="CL735" s="283"/>
    </row>
    <row r="736" spans="1:90" ht="14.25" customHeight="1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BU736" s="283"/>
      <c r="BV736" s="283"/>
      <c r="BW736" s="283"/>
      <c r="BX736" s="283"/>
      <c r="BY736" s="283"/>
      <c r="BZ736" s="283"/>
      <c r="CA736" s="283"/>
      <c r="CB736" s="283"/>
      <c r="CC736" s="283"/>
      <c r="CD736" s="283"/>
      <c r="CE736" s="283"/>
      <c r="CF736" s="283"/>
      <c r="CG736" s="283"/>
      <c r="CH736" s="283"/>
      <c r="CI736" s="283"/>
      <c r="CJ736" s="283"/>
      <c r="CK736" s="283"/>
      <c r="CL736" s="283"/>
    </row>
    <row r="737" spans="1:90" ht="14.25" customHeight="1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BU737" s="283"/>
      <c r="BV737" s="283"/>
      <c r="BW737" s="283"/>
      <c r="BX737" s="283"/>
      <c r="BY737" s="283"/>
      <c r="BZ737" s="283"/>
      <c r="CA737" s="283"/>
      <c r="CB737" s="283"/>
      <c r="CC737" s="283"/>
      <c r="CD737" s="283"/>
      <c r="CE737" s="283"/>
      <c r="CF737" s="283"/>
      <c r="CG737" s="283"/>
      <c r="CH737" s="283"/>
      <c r="CI737" s="283"/>
      <c r="CJ737" s="283"/>
      <c r="CK737" s="283"/>
      <c r="CL737" s="283"/>
    </row>
    <row r="738" spans="1:90" ht="14.25" customHeight="1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BU738" s="283"/>
      <c r="BV738" s="283"/>
      <c r="BW738" s="283"/>
      <c r="BX738" s="283"/>
      <c r="BY738" s="283"/>
      <c r="BZ738" s="283"/>
      <c r="CA738" s="283"/>
      <c r="CB738" s="283"/>
      <c r="CC738" s="283"/>
      <c r="CD738" s="283"/>
      <c r="CE738" s="283"/>
      <c r="CF738" s="283"/>
      <c r="CG738" s="283"/>
      <c r="CH738" s="283"/>
      <c r="CI738" s="283"/>
      <c r="CJ738" s="283"/>
      <c r="CK738" s="283"/>
      <c r="CL738" s="283"/>
    </row>
    <row r="739" spans="1:90" ht="14.25" customHeight="1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BU739" s="283"/>
      <c r="BV739" s="283"/>
      <c r="BW739" s="283"/>
      <c r="BX739" s="283"/>
      <c r="BY739" s="283"/>
      <c r="BZ739" s="283"/>
      <c r="CA739" s="283"/>
      <c r="CB739" s="283"/>
      <c r="CC739" s="283"/>
      <c r="CD739" s="283"/>
      <c r="CE739" s="283"/>
      <c r="CF739" s="283"/>
      <c r="CG739" s="283"/>
      <c r="CH739" s="283"/>
      <c r="CI739" s="283"/>
      <c r="CJ739" s="283"/>
      <c r="CK739" s="283"/>
      <c r="CL739" s="283"/>
    </row>
    <row r="740" spans="1:90" ht="14.25" customHeight="1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BU740" s="283"/>
      <c r="BV740" s="283"/>
      <c r="BW740" s="283"/>
      <c r="BX740" s="283"/>
      <c r="BY740" s="283"/>
      <c r="BZ740" s="283"/>
      <c r="CA740" s="283"/>
      <c r="CB740" s="283"/>
      <c r="CC740" s="283"/>
      <c r="CD740" s="283"/>
      <c r="CE740" s="283"/>
      <c r="CF740" s="283"/>
      <c r="CG740" s="283"/>
      <c r="CH740" s="283"/>
      <c r="CI740" s="283"/>
      <c r="CJ740" s="283"/>
      <c r="CK740" s="283"/>
      <c r="CL740" s="283"/>
    </row>
    <row r="741" spans="1:90" ht="14.25" customHeight="1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BU741" s="283"/>
      <c r="BV741" s="283"/>
      <c r="BW741" s="283"/>
      <c r="BX741" s="283"/>
      <c r="BY741" s="283"/>
      <c r="BZ741" s="283"/>
      <c r="CA741" s="283"/>
      <c r="CB741" s="283"/>
      <c r="CC741" s="283"/>
      <c r="CD741" s="283"/>
      <c r="CE741" s="283"/>
      <c r="CF741" s="283"/>
      <c r="CG741" s="283"/>
      <c r="CH741" s="283"/>
      <c r="CI741" s="283"/>
      <c r="CJ741" s="283"/>
      <c r="CK741" s="283"/>
      <c r="CL741" s="283"/>
    </row>
    <row r="742" spans="1:90" ht="14.25" customHeight="1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BU742" s="283"/>
      <c r="BV742" s="283"/>
      <c r="BW742" s="283"/>
      <c r="BX742" s="283"/>
      <c r="BY742" s="283"/>
      <c r="BZ742" s="283"/>
      <c r="CA742" s="283"/>
      <c r="CB742" s="283"/>
      <c r="CC742" s="283"/>
      <c r="CD742" s="283"/>
      <c r="CE742" s="283"/>
      <c r="CF742" s="283"/>
      <c r="CG742" s="283"/>
      <c r="CH742" s="283"/>
      <c r="CI742" s="283"/>
      <c r="CJ742" s="283"/>
      <c r="CK742" s="283"/>
      <c r="CL742" s="283"/>
    </row>
    <row r="743" spans="1:90" ht="14.25" customHeight="1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BU743" s="283"/>
      <c r="BV743" s="283"/>
      <c r="BW743" s="283"/>
      <c r="BX743" s="283"/>
      <c r="BY743" s="283"/>
      <c r="BZ743" s="283"/>
      <c r="CA743" s="283"/>
      <c r="CB743" s="283"/>
      <c r="CC743" s="283"/>
      <c r="CD743" s="283"/>
      <c r="CE743" s="283"/>
      <c r="CF743" s="283"/>
      <c r="CG743" s="283"/>
      <c r="CH743" s="283"/>
      <c r="CI743" s="283"/>
      <c r="CJ743" s="283"/>
      <c r="CK743" s="283"/>
      <c r="CL743" s="283"/>
    </row>
    <row r="744" spans="1:90" ht="14.25" customHeight="1" x14ac:dyDescent="0.2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BU744" s="283"/>
      <c r="BV744" s="283"/>
      <c r="BW744" s="283"/>
      <c r="BX744" s="283"/>
      <c r="BY744" s="283"/>
      <c r="BZ744" s="283"/>
      <c r="CA744" s="283"/>
      <c r="CB744" s="283"/>
      <c r="CC744" s="283"/>
      <c r="CD744" s="283"/>
      <c r="CE744" s="283"/>
      <c r="CF744" s="283"/>
      <c r="CG744" s="283"/>
      <c r="CH744" s="283"/>
      <c r="CI744" s="283"/>
      <c r="CJ744" s="283"/>
      <c r="CK744" s="283"/>
      <c r="CL744" s="283"/>
    </row>
    <row r="745" spans="1:90" ht="14.25" customHeight="1" x14ac:dyDescent="0.2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BU745" s="283"/>
      <c r="BV745" s="283"/>
      <c r="BW745" s="283"/>
      <c r="BX745" s="283"/>
      <c r="BY745" s="283"/>
      <c r="BZ745" s="283"/>
      <c r="CA745" s="283"/>
      <c r="CB745" s="283"/>
      <c r="CC745" s="283"/>
      <c r="CD745" s="283"/>
      <c r="CE745" s="283"/>
      <c r="CF745" s="283"/>
      <c r="CG745" s="283"/>
      <c r="CH745" s="283"/>
      <c r="CI745" s="283"/>
      <c r="CJ745" s="283"/>
      <c r="CK745" s="283"/>
      <c r="CL745" s="283"/>
    </row>
    <row r="746" spans="1:90" ht="14.25" customHeight="1" x14ac:dyDescent="0.2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BU746" s="283"/>
      <c r="BV746" s="283"/>
      <c r="BW746" s="283"/>
      <c r="BX746" s="283"/>
      <c r="BY746" s="283"/>
      <c r="BZ746" s="283"/>
      <c r="CA746" s="283"/>
      <c r="CB746" s="283"/>
      <c r="CC746" s="283"/>
      <c r="CD746" s="283"/>
      <c r="CE746" s="283"/>
      <c r="CF746" s="283"/>
      <c r="CG746" s="283"/>
      <c r="CH746" s="283"/>
      <c r="CI746" s="283"/>
      <c r="CJ746" s="283"/>
      <c r="CK746" s="283"/>
      <c r="CL746" s="283"/>
    </row>
    <row r="747" spans="1:90" ht="14.25" customHeight="1" x14ac:dyDescent="0.2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BU747" s="283"/>
      <c r="BV747" s="283"/>
      <c r="BW747" s="283"/>
      <c r="BX747" s="283"/>
      <c r="BY747" s="283"/>
      <c r="BZ747" s="283"/>
      <c r="CA747" s="283"/>
      <c r="CB747" s="283"/>
      <c r="CC747" s="283"/>
      <c r="CD747" s="283"/>
      <c r="CE747" s="283"/>
      <c r="CF747" s="283"/>
      <c r="CG747" s="283"/>
      <c r="CH747" s="283"/>
      <c r="CI747" s="283"/>
      <c r="CJ747" s="283"/>
      <c r="CK747" s="283"/>
      <c r="CL747" s="283"/>
    </row>
    <row r="748" spans="1:90" ht="14.25" customHeight="1" x14ac:dyDescent="0.2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BU748" s="283"/>
      <c r="BV748" s="283"/>
      <c r="BW748" s="283"/>
      <c r="BX748" s="283"/>
      <c r="BY748" s="283"/>
      <c r="BZ748" s="283"/>
      <c r="CA748" s="283"/>
      <c r="CB748" s="283"/>
      <c r="CC748" s="283"/>
      <c r="CD748" s="283"/>
      <c r="CE748" s="283"/>
      <c r="CF748" s="283"/>
      <c r="CG748" s="283"/>
      <c r="CH748" s="283"/>
      <c r="CI748" s="283"/>
      <c r="CJ748" s="283"/>
      <c r="CK748" s="283"/>
      <c r="CL748" s="283"/>
    </row>
    <row r="749" spans="1:90" ht="14.25" customHeight="1" x14ac:dyDescent="0.2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BU749" s="283"/>
      <c r="BV749" s="283"/>
      <c r="BW749" s="283"/>
      <c r="BX749" s="283"/>
      <c r="BY749" s="283"/>
      <c r="BZ749" s="283"/>
      <c r="CA749" s="283"/>
      <c r="CB749" s="283"/>
      <c r="CC749" s="283"/>
      <c r="CD749" s="283"/>
      <c r="CE749" s="283"/>
      <c r="CF749" s="283"/>
      <c r="CG749" s="283"/>
      <c r="CH749" s="283"/>
      <c r="CI749" s="283"/>
      <c r="CJ749" s="283"/>
      <c r="CK749" s="283"/>
      <c r="CL749" s="283"/>
    </row>
    <row r="750" spans="1:90" ht="14.25" customHeight="1" x14ac:dyDescent="0.2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BU750" s="283"/>
      <c r="BV750" s="283"/>
      <c r="BW750" s="283"/>
      <c r="BX750" s="283"/>
      <c r="BY750" s="283"/>
      <c r="BZ750" s="283"/>
      <c r="CA750" s="283"/>
      <c r="CB750" s="283"/>
      <c r="CC750" s="283"/>
      <c r="CD750" s="283"/>
      <c r="CE750" s="283"/>
      <c r="CF750" s="283"/>
      <c r="CG750" s="283"/>
      <c r="CH750" s="283"/>
      <c r="CI750" s="283"/>
      <c r="CJ750" s="283"/>
      <c r="CK750" s="283"/>
      <c r="CL750" s="283"/>
    </row>
    <row r="751" spans="1:90" ht="14.25" customHeight="1" x14ac:dyDescent="0.2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BU751" s="283"/>
      <c r="BV751" s="283"/>
      <c r="BW751" s="283"/>
      <c r="BX751" s="283"/>
      <c r="BY751" s="283"/>
      <c r="BZ751" s="283"/>
      <c r="CA751" s="283"/>
      <c r="CB751" s="283"/>
      <c r="CC751" s="283"/>
      <c r="CD751" s="283"/>
      <c r="CE751" s="283"/>
      <c r="CF751" s="283"/>
      <c r="CG751" s="283"/>
      <c r="CH751" s="283"/>
      <c r="CI751" s="283"/>
      <c r="CJ751" s="283"/>
      <c r="CK751" s="283"/>
      <c r="CL751" s="283"/>
    </row>
    <row r="752" spans="1:90" ht="14.25" customHeight="1" x14ac:dyDescent="0.2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BU752" s="283"/>
      <c r="BV752" s="283"/>
      <c r="BW752" s="283"/>
      <c r="BX752" s="283"/>
      <c r="BY752" s="283"/>
      <c r="BZ752" s="283"/>
      <c r="CA752" s="283"/>
      <c r="CB752" s="283"/>
      <c r="CC752" s="283"/>
      <c r="CD752" s="283"/>
      <c r="CE752" s="283"/>
      <c r="CF752" s="283"/>
      <c r="CG752" s="283"/>
      <c r="CH752" s="283"/>
      <c r="CI752" s="283"/>
      <c r="CJ752" s="283"/>
      <c r="CK752" s="283"/>
      <c r="CL752" s="283"/>
    </row>
    <row r="753" spans="1:90" ht="14.25" customHeight="1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BU753" s="283"/>
      <c r="BV753" s="283"/>
      <c r="BW753" s="283"/>
      <c r="BX753" s="283"/>
      <c r="BY753" s="283"/>
      <c r="BZ753" s="283"/>
      <c r="CA753" s="283"/>
      <c r="CB753" s="283"/>
      <c r="CC753" s="283"/>
      <c r="CD753" s="283"/>
      <c r="CE753" s="283"/>
      <c r="CF753" s="283"/>
      <c r="CG753" s="283"/>
      <c r="CH753" s="283"/>
      <c r="CI753" s="283"/>
      <c r="CJ753" s="283"/>
      <c r="CK753" s="283"/>
      <c r="CL753" s="283"/>
    </row>
    <row r="754" spans="1:90" ht="14.25" customHeight="1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BU754" s="283"/>
      <c r="BV754" s="283"/>
      <c r="BW754" s="283"/>
      <c r="BX754" s="283"/>
      <c r="BY754" s="283"/>
      <c r="BZ754" s="283"/>
      <c r="CA754" s="283"/>
      <c r="CB754" s="283"/>
      <c r="CC754" s="283"/>
      <c r="CD754" s="283"/>
      <c r="CE754" s="283"/>
      <c r="CF754" s="283"/>
      <c r="CG754" s="283"/>
      <c r="CH754" s="283"/>
      <c r="CI754" s="283"/>
      <c r="CJ754" s="283"/>
      <c r="CK754" s="283"/>
      <c r="CL754" s="283"/>
    </row>
    <row r="755" spans="1:90" ht="14.25" customHeight="1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BU755" s="283"/>
      <c r="BV755" s="283"/>
      <c r="BW755" s="283"/>
      <c r="BX755" s="283"/>
      <c r="BY755" s="283"/>
      <c r="BZ755" s="283"/>
      <c r="CA755" s="283"/>
      <c r="CB755" s="283"/>
      <c r="CC755" s="283"/>
      <c r="CD755" s="283"/>
      <c r="CE755" s="283"/>
      <c r="CF755" s="283"/>
      <c r="CG755" s="283"/>
      <c r="CH755" s="283"/>
      <c r="CI755" s="283"/>
      <c r="CJ755" s="283"/>
      <c r="CK755" s="283"/>
      <c r="CL755" s="283"/>
    </row>
    <row r="756" spans="1:90" ht="14.25" customHeight="1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BU756" s="283"/>
      <c r="BV756" s="283"/>
      <c r="BW756" s="283"/>
      <c r="BX756" s="283"/>
      <c r="BY756" s="283"/>
      <c r="BZ756" s="283"/>
      <c r="CA756" s="283"/>
      <c r="CB756" s="283"/>
      <c r="CC756" s="283"/>
      <c r="CD756" s="283"/>
      <c r="CE756" s="283"/>
      <c r="CF756" s="283"/>
      <c r="CG756" s="283"/>
      <c r="CH756" s="283"/>
      <c r="CI756" s="283"/>
      <c r="CJ756" s="283"/>
      <c r="CK756" s="283"/>
      <c r="CL756" s="283"/>
    </row>
    <row r="757" spans="1:90" ht="14.25" customHeight="1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BU757" s="283"/>
      <c r="BV757" s="283"/>
      <c r="BW757" s="283"/>
      <c r="BX757" s="283"/>
      <c r="BY757" s="283"/>
      <c r="BZ757" s="283"/>
      <c r="CA757" s="283"/>
      <c r="CB757" s="283"/>
      <c r="CC757" s="283"/>
      <c r="CD757" s="283"/>
      <c r="CE757" s="283"/>
      <c r="CF757" s="283"/>
      <c r="CG757" s="283"/>
      <c r="CH757" s="283"/>
      <c r="CI757" s="283"/>
      <c r="CJ757" s="283"/>
      <c r="CK757" s="283"/>
      <c r="CL757" s="283"/>
    </row>
    <row r="758" spans="1:90" ht="14.25" customHeight="1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BU758" s="283"/>
      <c r="BV758" s="283"/>
      <c r="BW758" s="283"/>
      <c r="BX758" s="283"/>
      <c r="BY758" s="283"/>
      <c r="BZ758" s="283"/>
      <c r="CA758" s="283"/>
      <c r="CB758" s="283"/>
      <c r="CC758" s="283"/>
      <c r="CD758" s="283"/>
      <c r="CE758" s="283"/>
      <c r="CF758" s="283"/>
      <c r="CG758" s="283"/>
      <c r="CH758" s="283"/>
      <c r="CI758" s="283"/>
      <c r="CJ758" s="283"/>
      <c r="CK758" s="283"/>
      <c r="CL758" s="283"/>
    </row>
    <row r="759" spans="1:90" ht="14.25" customHeight="1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BU759" s="283"/>
      <c r="BV759" s="283"/>
      <c r="BW759" s="283"/>
      <c r="BX759" s="283"/>
      <c r="BY759" s="283"/>
      <c r="BZ759" s="283"/>
      <c r="CA759" s="283"/>
      <c r="CB759" s="283"/>
      <c r="CC759" s="283"/>
      <c r="CD759" s="283"/>
      <c r="CE759" s="283"/>
      <c r="CF759" s="283"/>
      <c r="CG759" s="283"/>
      <c r="CH759" s="283"/>
      <c r="CI759" s="283"/>
      <c r="CJ759" s="283"/>
      <c r="CK759" s="283"/>
      <c r="CL759" s="283"/>
    </row>
    <row r="760" spans="1:90" ht="14.25" customHeight="1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BU760" s="283"/>
      <c r="BV760" s="283"/>
      <c r="BW760" s="283"/>
      <c r="BX760" s="283"/>
      <c r="BY760" s="283"/>
      <c r="BZ760" s="283"/>
      <c r="CA760" s="283"/>
      <c r="CB760" s="283"/>
      <c r="CC760" s="283"/>
      <c r="CD760" s="283"/>
      <c r="CE760" s="283"/>
      <c r="CF760" s="283"/>
      <c r="CG760" s="283"/>
      <c r="CH760" s="283"/>
      <c r="CI760" s="283"/>
      <c r="CJ760" s="283"/>
      <c r="CK760" s="283"/>
      <c r="CL760" s="283"/>
    </row>
    <row r="761" spans="1:90" ht="14.25" customHeight="1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BU761" s="283"/>
      <c r="BV761" s="283"/>
      <c r="BW761" s="283"/>
      <c r="BX761" s="283"/>
      <c r="BY761" s="283"/>
      <c r="BZ761" s="283"/>
      <c r="CA761" s="283"/>
      <c r="CB761" s="283"/>
      <c r="CC761" s="283"/>
      <c r="CD761" s="283"/>
      <c r="CE761" s="283"/>
      <c r="CF761" s="283"/>
      <c r="CG761" s="283"/>
      <c r="CH761" s="283"/>
      <c r="CI761" s="283"/>
      <c r="CJ761" s="283"/>
      <c r="CK761" s="283"/>
      <c r="CL761" s="283"/>
    </row>
    <row r="762" spans="1:90" ht="14.25" customHeight="1" x14ac:dyDescent="0.2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BU762" s="283"/>
      <c r="BV762" s="283"/>
      <c r="BW762" s="283"/>
      <c r="BX762" s="283"/>
      <c r="BY762" s="283"/>
      <c r="BZ762" s="283"/>
      <c r="CA762" s="283"/>
      <c r="CB762" s="283"/>
    </row>
    <row r="763" spans="1:90" ht="14.25" customHeight="1" x14ac:dyDescent="0.2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BU763" s="283"/>
      <c r="BV763" s="283"/>
      <c r="BW763" s="283"/>
      <c r="BX763" s="283"/>
      <c r="BY763" s="283"/>
      <c r="BZ763" s="283"/>
      <c r="CA763" s="283"/>
      <c r="CB763" s="283"/>
    </row>
    <row r="764" spans="1:90" ht="14.25" customHeight="1" x14ac:dyDescent="0.2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BU764" s="283"/>
      <c r="BV764" s="283"/>
      <c r="BW764" s="283"/>
      <c r="BX764" s="283"/>
      <c r="BY764" s="283"/>
      <c r="BZ764" s="283"/>
      <c r="CA764" s="283"/>
      <c r="CB764" s="283"/>
    </row>
    <row r="765" spans="1:90" ht="14.25" customHeight="1" x14ac:dyDescent="0.2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BU765" s="283"/>
      <c r="BV765" s="283"/>
      <c r="BW765" s="283"/>
      <c r="BX765" s="283"/>
      <c r="BY765" s="283"/>
      <c r="BZ765" s="283"/>
      <c r="CA765" s="283"/>
      <c r="CB765" s="283"/>
    </row>
    <row r="766" spans="1:90" ht="14.25" customHeight="1" x14ac:dyDescent="0.2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BU766" s="283"/>
      <c r="BV766" s="283"/>
      <c r="BW766" s="283"/>
      <c r="BX766" s="283"/>
      <c r="BY766" s="283"/>
      <c r="BZ766" s="283"/>
      <c r="CA766" s="283"/>
      <c r="CB766" s="283"/>
    </row>
    <row r="767" spans="1:90" ht="14.25" customHeight="1" x14ac:dyDescent="0.2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BU767" s="283"/>
      <c r="BV767" s="283"/>
      <c r="BW767" s="283"/>
      <c r="BX767" s="283"/>
      <c r="BY767" s="283"/>
      <c r="BZ767" s="283"/>
      <c r="CA767" s="283"/>
      <c r="CB767" s="283"/>
    </row>
    <row r="768" spans="1:90" ht="14.25" customHeight="1" x14ac:dyDescent="0.2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BU768" s="283"/>
      <c r="BV768" s="283"/>
      <c r="BW768" s="283"/>
      <c r="BX768" s="283"/>
      <c r="BY768" s="283"/>
      <c r="BZ768" s="283"/>
      <c r="CA768" s="283"/>
      <c r="CB768" s="283"/>
    </row>
    <row r="769" spans="1:80" ht="14.25" customHeight="1" x14ac:dyDescent="0.2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BU769" s="283"/>
      <c r="BV769" s="283"/>
      <c r="BW769" s="283"/>
      <c r="BX769" s="283"/>
      <c r="BY769" s="283"/>
      <c r="BZ769" s="283"/>
      <c r="CA769" s="283"/>
      <c r="CB769" s="283"/>
    </row>
    <row r="770" spans="1:80" ht="14.25" customHeight="1" x14ac:dyDescent="0.2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BU770" s="283"/>
      <c r="BV770" s="283"/>
      <c r="BW770" s="283"/>
      <c r="BX770" s="283"/>
      <c r="BY770" s="283"/>
      <c r="BZ770" s="283"/>
      <c r="CA770" s="283"/>
      <c r="CB770" s="283"/>
    </row>
    <row r="771" spans="1:80" ht="14.25" customHeight="1" x14ac:dyDescent="0.2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BU771" s="283"/>
      <c r="BV771" s="283"/>
      <c r="BW771" s="283"/>
      <c r="BX771" s="283"/>
      <c r="BY771" s="283"/>
      <c r="BZ771" s="283"/>
      <c r="CA771" s="283"/>
      <c r="CB771" s="283"/>
    </row>
    <row r="772" spans="1:80" ht="14.25" customHeight="1" x14ac:dyDescent="0.2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BU772" s="283"/>
      <c r="BV772" s="283"/>
      <c r="BW772" s="283"/>
      <c r="BX772" s="283"/>
      <c r="BY772" s="283"/>
      <c r="BZ772" s="283"/>
      <c r="CA772" s="283"/>
      <c r="CB772" s="283"/>
    </row>
    <row r="773" spans="1:80" ht="14.25" customHeight="1" x14ac:dyDescent="0.2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BU773" s="283"/>
      <c r="BV773" s="283"/>
      <c r="BW773" s="283"/>
      <c r="BX773" s="283"/>
      <c r="BY773" s="283"/>
      <c r="BZ773" s="283"/>
      <c r="CA773" s="283"/>
      <c r="CB773" s="283"/>
    </row>
    <row r="774" spans="1:80" ht="14.25" customHeight="1" x14ac:dyDescent="0.2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BU774" s="283"/>
      <c r="BV774" s="283"/>
      <c r="BW774" s="283"/>
      <c r="BX774" s="283"/>
      <c r="BY774" s="283"/>
      <c r="BZ774" s="283"/>
      <c r="CA774" s="283"/>
      <c r="CB774" s="283"/>
    </row>
    <row r="775" spans="1:80" ht="14.25" customHeight="1" x14ac:dyDescent="0.2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BU775" s="283"/>
      <c r="BV775" s="283"/>
      <c r="BW775" s="283"/>
      <c r="BX775" s="283"/>
      <c r="BY775" s="283"/>
      <c r="BZ775" s="283"/>
      <c r="CA775" s="283"/>
      <c r="CB775" s="283"/>
    </row>
    <row r="776" spans="1:80" ht="14.25" customHeight="1" x14ac:dyDescent="0.2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BU776" s="283"/>
      <c r="BV776" s="283"/>
      <c r="BW776" s="283"/>
      <c r="BX776" s="283"/>
      <c r="BY776" s="283"/>
      <c r="BZ776" s="283"/>
      <c r="CA776" s="283"/>
      <c r="CB776" s="283"/>
    </row>
    <row r="777" spans="1:80" ht="14.25" customHeight="1" x14ac:dyDescent="0.2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BU777" s="283"/>
      <c r="BV777" s="283"/>
      <c r="BW777" s="283"/>
      <c r="BX777" s="283"/>
      <c r="BY777" s="283"/>
      <c r="BZ777" s="283"/>
      <c r="CA777" s="283"/>
      <c r="CB777" s="283"/>
    </row>
    <row r="778" spans="1:80" ht="14.25" customHeight="1" x14ac:dyDescent="0.2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BU778" s="283"/>
      <c r="BV778" s="283"/>
      <c r="BW778" s="283"/>
      <c r="BX778" s="283"/>
      <c r="BY778" s="283"/>
      <c r="BZ778" s="283"/>
      <c r="CA778" s="283"/>
      <c r="CB778" s="283"/>
    </row>
    <row r="779" spans="1:80" ht="14.25" customHeight="1" x14ac:dyDescent="0.2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BU779" s="283"/>
      <c r="BV779" s="283"/>
      <c r="BW779" s="283"/>
      <c r="BX779" s="283"/>
      <c r="BY779" s="283"/>
      <c r="BZ779" s="283"/>
      <c r="CA779" s="283"/>
      <c r="CB779" s="283"/>
    </row>
    <row r="780" spans="1:80" ht="14.25" customHeight="1" x14ac:dyDescent="0.2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BU780" s="283"/>
      <c r="BV780" s="283"/>
      <c r="BW780" s="283"/>
      <c r="BX780" s="283"/>
      <c r="BY780" s="283"/>
      <c r="BZ780" s="283"/>
      <c r="CA780" s="283"/>
      <c r="CB780" s="283"/>
    </row>
    <row r="781" spans="1:80" ht="14.25" customHeight="1" x14ac:dyDescent="0.2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BU781" s="283"/>
      <c r="BV781" s="283"/>
      <c r="BW781" s="283"/>
      <c r="BX781" s="283"/>
      <c r="BY781" s="283"/>
      <c r="BZ781" s="283"/>
      <c r="CA781" s="283"/>
      <c r="CB781" s="283"/>
    </row>
    <row r="782" spans="1:80" ht="14.25" customHeight="1" x14ac:dyDescent="0.2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BU782" s="283"/>
      <c r="BV782" s="283"/>
      <c r="BW782" s="283"/>
      <c r="BX782" s="283"/>
      <c r="BY782" s="283"/>
      <c r="BZ782" s="283"/>
      <c r="CA782" s="283"/>
      <c r="CB782" s="283"/>
    </row>
    <row r="783" spans="1:80" ht="14.25" customHeight="1" x14ac:dyDescent="0.2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BU783" s="283"/>
      <c r="BV783" s="283"/>
      <c r="BW783" s="283"/>
      <c r="BX783" s="283"/>
      <c r="BY783" s="283"/>
      <c r="BZ783" s="283"/>
      <c r="CA783" s="283"/>
      <c r="CB783" s="283"/>
    </row>
    <row r="784" spans="1:80" ht="14.25" customHeight="1" x14ac:dyDescent="0.2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BU784" s="283"/>
      <c r="BV784" s="283"/>
      <c r="BW784" s="283"/>
      <c r="BX784" s="283"/>
      <c r="BY784" s="283"/>
      <c r="BZ784" s="283"/>
      <c r="CA784" s="283"/>
      <c r="CB784" s="283"/>
    </row>
    <row r="785" spans="1:80" ht="14.25" customHeight="1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BU785" s="283"/>
      <c r="BV785" s="283"/>
      <c r="BW785" s="283"/>
      <c r="BX785" s="283"/>
      <c r="BY785" s="283"/>
      <c r="BZ785" s="283"/>
      <c r="CA785" s="283"/>
      <c r="CB785" s="283"/>
    </row>
    <row r="786" spans="1:80" ht="14.25" customHeight="1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BU786" s="283"/>
      <c r="BV786" s="283"/>
      <c r="BW786" s="283"/>
      <c r="BX786" s="283"/>
      <c r="BY786" s="283"/>
      <c r="BZ786" s="283"/>
      <c r="CA786" s="283"/>
      <c r="CB786" s="283"/>
    </row>
    <row r="787" spans="1:80" ht="14.25" customHeight="1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BU787" s="283"/>
      <c r="BV787" s="283"/>
      <c r="BW787" s="283"/>
      <c r="BX787" s="283"/>
      <c r="BY787" s="283"/>
      <c r="BZ787" s="283"/>
      <c r="CA787" s="283"/>
      <c r="CB787" s="283"/>
    </row>
    <row r="788" spans="1:80" ht="14.25" customHeight="1" x14ac:dyDescent="0.2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BU788" s="283"/>
      <c r="BV788" s="283"/>
      <c r="BW788" s="283"/>
      <c r="BX788" s="283"/>
      <c r="BY788" s="283"/>
      <c r="BZ788" s="283"/>
      <c r="CA788" s="283"/>
      <c r="CB788" s="283"/>
    </row>
    <row r="789" spans="1:80" ht="14.25" customHeight="1" x14ac:dyDescent="0.2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BU789" s="283"/>
      <c r="BV789" s="283"/>
      <c r="BW789" s="283"/>
      <c r="BX789" s="283"/>
      <c r="BY789" s="283"/>
      <c r="BZ789" s="283"/>
      <c r="CA789" s="283"/>
      <c r="CB789" s="283"/>
    </row>
    <row r="790" spans="1:80" ht="14.25" customHeight="1" x14ac:dyDescent="0.2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BU790" s="283"/>
      <c r="BV790" s="283"/>
      <c r="BW790" s="283"/>
      <c r="BX790" s="283"/>
      <c r="BY790" s="283"/>
      <c r="BZ790" s="283"/>
      <c r="CA790" s="283"/>
      <c r="CB790" s="283"/>
    </row>
    <row r="791" spans="1:80" ht="14.25" customHeight="1" x14ac:dyDescent="0.2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BU791" s="283"/>
      <c r="BV791" s="283"/>
      <c r="BW791" s="283"/>
      <c r="BX791" s="283"/>
      <c r="BY791" s="283"/>
      <c r="BZ791" s="283"/>
      <c r="CA791" s="283"/>
      <c r="CB791" s="283"/>
    </row>
    <row r="792" spans="1:80" ht="14.25" customHeight="1" x14ac:dyDescent="0.2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BU792" s="283"/>
      <c r="BV792" s="283"/>
      <c r="BW792" s="283"/>
      <c r="BX792" s="283"/>
      <c r="BY792" s="283"/>
      <c r="BZ792" s="283"/>
      <c r="CA792" s="283"/>
      <c r="CB792" s="283"/>
    </row>
    <row r="793" spans="1:80" ht="14.25" customHeight="1" x14ac:dyDescent="0.2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BU793" s="283"/>
      <c r="BV793" s="283"/>
      <c r="BW793" s="283"/>
      <c r="BX793" s="283"/>
      <c r="BY793" s="283"/>
      <c r="BZ793" s="283"/>
      <c r="CA793" s="283"/>
      <c r="CB793" s="283"/>
    </row>
    <row r="794" spans="1:80" ht="14.25" customHeight="1" x14ac:dyDescent="0.2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BU794" s="283"/>
      <c r="BV794" s="283"/>
      <c r="BW794" s="283"/>
      <c r="BX794" s="283"/>
      <c r="BY794" s="283"/>
      <c r="BZ794" s="283"/>
      <c r="CA794" s="283"/>
      <c r="CB794" s="283"/>
    </row>
    <row r="795" spans="1:80" ht="14.25" customHeight="1" x14ac:dyDescent="0.2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BU795" s="283"/>
      <c r="BV795" s="283"/>
      <c r="BW795" s="283"/>
      <c r="BX795" s="283"/>
      <c r="BY795" s="283"/>
      <c r="BZ795" s="283"/>
      <c r="CA795" s="283"/>
      <c r="CB795" s="283"/>
    </row>
    <row r="796" spans="1:80" ht="14.25" customHeight="1" x14ac:dyDescent="0.2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BU796" s="283"/>
      <c r="BV796" s="283"/>
      <c r="BW796" s="283"/>
      <c r="BX796" s="283"/>
      <c r="BY796" s="283"/>
      <c r="BZ796" s="283"/>
      <c r="CA796" s="283"/>
      <c r="CB796" s="283"/>
    </row>
    <row r="797" spans="1:80" ht="14.25" customHeight="1" x14ac:dyDescent="0.2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BU797" s="283"/>
      <c r="BV797" s="283"/>
      <c r="BW797" s="283"/>
      <c r="BX797" s="283"/>
      <c r="BY797" s="283"/>
      <c r="BZ797" s="283"/>
      <c r="CA797" s="283"/>
      <c r="CB797" s="283"/>
    </row>
    <row r="798" spans="1:80" ht="14.25" customHeight="1" x14ac:dyDescent="0.2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BU798" s="283"/>
      <c r="BV798" s="283"/>
      <c r="BW798" s="283"/>
      <c r="BX798" s="283"/>
      <c r="BY798" s="283"/>
      <c r="BZ798" s="283"/>
      <c r="CA798" s="283"/>
      <c r="CB798" s="283"/>
    </row>
    <row r="799" spans="1:80" ht="14.25" customHeight="1" x14ac:dyDescent="0.2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BU799" s="283"/>
      <c r="BV799" s="283"/>
      <c r="BW799" s="283"/>
      <c r="BX799" s="283"/>
      <c r="BY799" s="283"/>
      <c r="BZ799" s="283"/>
      <c r="CA799" s="283"/>
      <c r="CB799" s="283"/>
    </row>
    <row r="800" spans="1:80" ht="14.25" customHeight="1" x14ac:dyDescent="0.2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BU800" s="283"/>
      <c r="BV800" s="283"/>
      <c r="BW800" s="283"/>
      <c r="BX800" s="283"/>
      <c r="BY800" s="283"/>
      <c r="BZ800" s="283"/>
      <c r="CA800" s="283"/>
      <c r="CB800" s="283"/>
    </row>
    <row r="801" spans="1:80" ht="14.25" customHeight="1" x14ac:dyDescent="0.2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BU801" s="283"/>
      <c r="BV801" s="283"/>
      <c r="BW801" s="283"/>
      <c r="BX801" s="283"/>
      <c r="BY801" s="283"/>
      <c r="BZ801" s="283"/>
      <c r="CA801" s="283"/>
      <c r="CB801" s="283"/>
    </row>
    <row r="802" spans="1:80" ht="14.25" customHeight="1" x14ac:dyDescent="0.2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BU802" s="283"/>
      <c r="BV802" s="283"/>
      <c r="BW802" s="283"/>
      <c r="BX802" s="283"/>
      <c r="BY802" s="283"/>
      <c r="BZ802" s="283"/>
      <c r="CA802" s="283"/>
      <c r="CB802" s="283"/>
    </row>
    <row r="803" spans="1:80" ht="14.25" customHeight="1" x14ac:dyDescent="0.2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BU803" s="283"/>
      <c r="BV803" s="283"/>
      <c r="BW803" s="283"/>
      <c r="BX803" s="283"/>
      <c r="BY803" s="283"/>
      <c r="BZ803" s="283"/>
      <c r="CA803" s="283"/>
      <c r="CB803" s="283"/>
    </row>
    <row r="804" spans="1:80" ht="14.25" customHeight="1" x14ac:dyDescent="0.2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BU804" s="283"/>
      <c r="BV804" s="283"/>
      <c r="BW804" s="283"/>
      <c r="BX804" s="283"/>
      <c r="BY804" s="283"/>
      <c r="BZ804" s="283"/>
      <c r="CA804" s="283"/>
      <c r="CB804" s="283"/>
    </row>
    <row r="805" spans="1:80" ht="14.25" customHeight="1" x14ac:dyDescent="0.2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BU805" s="283"/>
      <c r="BV805" s="283"/>
      <c r="BW805" s="283"/>
      <c r="BX805" s="283"/>
      <c r="BY805" s="283"/>
      <c r="BZ805" s="283"/>
      <c r="CA805" s="283"/>
      <c r="CB805" s="283"/>
    </row>
    <row r="806" spans="1:80" ht="14.25" customHeight="1" x14ac:dyDescent="0.2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BU806" s="283"/>
      <c r="BV806" s="283"/>
      <c r="BW806" s="283"/>
      <c r="BX806" s="283"/>
      <c r="BY806" s="283"/>
      <c r="BZ806" s="283"/>
      <c r="CA806" s="283"/>
      <c r="CB806" s="283"/>
    </row>
    <row r="807" spans="1:80" ht="14.25" customHeight="1" x14ac:dyDescent="0.2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BU807" s="283"/>
      <c r="BV807" s="283"/>
      <c r="BW807" s="283"/>
      <c r="BX807" s="283"/>
      <c r="BY807" s="283"/>
      <c r="BZ807" s="283"/>
      <c r="CA807" s="283"/>
      <c r="CB807" s="283"/>
    </row>
    <row r="808" spans="1:80" ht="14.25" customHeight="1" x14ac:dyDescent="0.2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BU808" s="283"/>
      <c r="BV808" s="283"/>
      <c r="BW808" s="283"/>
      <c r="BX808" s="283"/>
      <c r="BY808" s="283"/>
      <c r="BZ808" s="283"/>
      <c r="CA808" s="283"/>
      <c r="CB808" s="283"/>
    </row>
    <row r="809" spans="1:80" ht="14.25" customHeight="1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BU809" s="283"/>
      <c r="BV809" s="283"/>
      <c r="BW809" s="283"/>
      <c r="BX809" s="283"/>
      <c r="BY809" s="283"/>
      <c r="BZ809" s="283"/>
      <c r="CA809" s="283"/>
      <c r="CB809" s="283"/>
    </row>
    <row r="810" spans="1:80" ht="14.25" customHeight="1" x14ac:dyDescent="0.2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BU810" s="283"/>
      <c r="BV810" s="283"/>
      <c r="BW810" s="283"/>
      <c r="BX810" s="283"/>
      <c r="BY810" s="283"/>
      <c r="BZ810" s="283"/>
      <c r="CA810" s="283"/>
      <c r="CB810" s="283"/>
    </row>
    <row r="811" spans="1:80" ht="14.25" customHeight="1" x14ac:dyDescent="0.2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BU811" s="283"/>
      <c r="BV811" s="283"/>
      <c r="BW811" s="283"/>
      <c r="BX811" s="283"/>
      <c r="BY811" s="283"/>
      <c r="BZ811" s="283"/>
      <c r="CA811" s="283"/>
      <c r="CB811" s="283"/>
    </row>
    <row r="812" spans="1:80" ht="14.25" customHeight="1" x14ac:dyDescent="0.2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BU812" s="283"/>
      <c r="BV812" s="283"/>
      <c r="BW812" s="283"/>
      <c r="BX812" s="283"/>
      <c r="BY812" s="283"/>
      <c r="BZ812" s="283"/>
      <c r="CA812" s="283"/>
      <c r="CB812" s="283"/>
    </row>
    <row r="813" spans="1:80" ht="14.25" customHeight="1" x14ac:dyDescent="0.2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BU813" s="283"/>
      <c r="BV813" s="283"/>
      <c r="BW813" s="283"/>
      <c r="BX813" s="283"/>
      <c r="BY813" s="283"/>
      <c r="BZ813" s="283"/>
      <c r="CA813" s="283"/>
      <c r="CB813" s="283"/>
    </row>
    <row r="814" spans="1:80" ht="14.25" customHeight="1" x14ac:dyDescent="0.2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BU814" s="283"/>
      <c r="BV814" s="283"/>
      <c r="BW814" s="283"/>
      <c r="BX814" s="283"/>
      <c r="BY814" s="283"/>
      <c r="BZ814" s="283"/>
      <c r="CA814" s="283"/>
      <c r="CB814" s="283"/>
    </row>
    <row r="815" spans="1:80" ht="14.25" customHeight="1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BU815" s="283"/>
      <c r="BV815" s="283"/>
      <c r="BW815" s="283"/>
      <c r="BX815" s="283"/>
      <c r="BY815" s="283"/>
      <c r="BZ815" s="283"/>
      <c r="CA815" s="283"/>
      <c r="CB815" s="283"/>
    </row>
    <row r="816" spans="1:80" ht="14.25" customHeight="1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BU816" s="283"/>
      <c r="BV816" s="283"/>
      <c r="BW816" s="283"/>
      <c r="BX816" s="283"/>
      <c r="BY816" s="283"/>
      <c r="BZ816" s="283"/>
      <c r="CA816" s="283"/>
      <c r="CB816" s="283"/>
    </row>
    <row r="817" spans="1:80" ht="14.25" customHeight="1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BU817" s="283"/>
      <c r="BV817" s="283"/>
      <c r="BW817" s="283"/>
      <c r="BX817" s="283"/>
      <c r="BY817" s="283"/>
      <c r="BZ817" s="283"/>
      <c r="CA817" s="283"/>
      <c r="CB817" s="283"/>
    </row>
    <row r="818" spans="1:80" ht="14.25" customHeight="1" x14ac:dyDescent="0.2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BU818" s="283"/>
      <c r="BV818" s="283"/>
      <c r="BW818" s="283"/>
      <c r="BX818" s="283"/>
      <c r="BY818" s="283"/>
      <c r="BZ818" s="283"/>
      <c r="CA818" s="283"/>
      <c r="CB818" s="283"/>
    </row>
    <row r="819" spans="1:80" ht="14.25" customHeight="1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BU819" s="283"/>
      <c r="BV819" s="283"/>
      <c r="BW819" s="283"/>
      <c r="BX819" s="283"/>
      <c r="BY819" s="283"/>
      <c r="BZ819" s="283"/>
      <c r="CA819" s="283"/>
      <c r="CB819" s="283"/>
    </row>
    <row r="820" spans="1:80" ht="14.25" customHeight="1" x14ac:dyDescent="0.2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BU820" s="283"/>
      <c r="BV820" s="283"/>
      <c r="BW820" s="283"/>
      <c r="BX820" s="283"/>
      <c r="BY820" s="283"/>
      <c r="BZ820" s="283"/>
      <c r="CA820" s="283"/>
      <c r="CB820" s="283"/>
    </row>
    <row r="821" spans="1:80" ht="14.25" customHeight="1" x14ac:dyDescent="0.2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BU821" s="283"/>
      <c r="BV821" s="283"/>
      <c r="BW821" s="283"/>
      <c r="BX821" s="283"/>
      <c r="BY821" s="283"/>
      <c r="BZ821" s="283"/>
      <c r="CA821" s="283"/>
      <c r="CB821" s="283"/>
    </row>
    <row r="822" spans="1:80" ht="14.25" customHeight="1" x14ac:dyDescent="0.2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BU822" s="283"/>
      <c r="BV822" s="283"/>
      <c r="BW822" s="283"/>
      <c r="BX822" s="283"/>
      <c r="BY822" s="283"/>
      <c r="BZ822" s="283"/>
      <c r="CA822" s="283"/>
      <c r="CB822" s="283"/>
    </row>
    <row r="823" spans="1:80" ht="14.25" customHeight="1" x14ac:dyDescent="0.2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BU823" s="283"/>
      <c r="BV823" s="283"/>
      <c r="BW823" s="283"/>
      <c r="BX823" s="283"/>
      <c r="BY823" s="283"/>
      <c r="BZ823" s="283"/>
      <c r="CA823" s="283"/>
      <c r="CB823" s="283"/>
    </row>
    <row r="824" spans="1:80" ht="14.25" customHeight="1" x14ac:dyDescent="0.2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BU824" s="283"/>
      <c r="BV824" s="283"/>
      <c r="BW824" s="283"/>
      <c r="BX824" s="283"/>
      <c r="BY824" s="283"/>
      <c r="BZ824" s="283"/>
      <c r="CA824" s="283"/>
      <c r="CB824" s="283"/>
    </row>
    <row r="825" spans="1:80" ht="14.25" customHeight="1" x14ac:dyDescent="0.2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BU825" s="283"/>
      <c r="BV825" s="283"/>
      <c r="BW825" s="283"/>
      <c r="BX825" s="283"/>
      <c r="BY825" s="283"/>
      <c r="BZ825" s="283"/>
      <c r="CA825" s="283"/>
      <c r="CB825" s="283"/>
    </row>
    <row r="826" spans="1:80" ht="14.25" customHeight="1" x14ac:dyDescent="0.2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BU826" s="283"/>
      <c r="BV826" s="283"/>
      <c r="BW826" s="283"/>
      <c r="BX826" s="283"/>
      <c r="BY826" s="283"/>
      <c r="BZ826" s="283"/>
      <c r="CA826" s="283"/>
      <c r="CB826" s="283"/>
    </row>
    <row r="827" spans="1:80" ht="14.25" customHeight="1" x14ac:dyDescent="0.2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BU827" s="283"/>
      <c r="BV827" s="283"/>
      <c r="BW827" s="283"/>
      <c r="BX827" s="283"/>
      <c r="BY827" s="283"/>
      <c r="BZ827" s="283"/>
      <c r="CA827" s="283"/>
      <c r="CB827" s="283"/>
    </row>
    <row r="828" spans="1:80" ht="14.25" customHeight="1" x14ac:dyDescent="0.2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BU828" s="283"/>
      <c r="BV828" s="283"/>
      <c r="BW828" s="283"/>
      <c r="BX828" s="283"/>
      <c r="BY828" s="283"/>
      <c r="BZ828" s="283"/>
      <c r="CA828" s="283"/>
      <c r="CB828" s="283"/>
    </row>
    <row r="829" spans="1:80" ht="14.25" customHeight="1" x14ac:dyDescent="0.2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BU829" s="283"/>
      <c r="BV829" s="283"/>
      <c r="BW829" s="283"/>
      <c r="BX829" s="283"/>
      <c r="BY829" s="283"/>
      <c r="BZ829" s="283"/>
      <c r="CA829" s="283"/>
      <c r="CB829" s="283"/>
    </row>
    <row r="830" spans="1:80" ht="14.25" customHeight="1" x14ac:dyDescent="0.2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BU830" s="283"/>
      <c r="BV830" s="283"/>
      <c r="BW830" s="283"/>
      <c r="BX830" s="283"/>
      <c r="BY830" s="283"/>
      <c r="BZ830" s="283"/>
      <c r="CA830" s="283"/>
      <c r="CB830" s="283"/>
    </row>
    <row r="831" spans="1:80" ht="14.25" customHeight="1" x14ac:dyDescent="0.2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BU831" s="283"/>
      <c r="BV831" s="283"/>
      <c r="BW831" s="283"/>
      <c r="BX831" s="283"/>
      <c r="BY831" s="283"/>
      <c r="BZ831" s="283"/>
      <c r="CA831" s="283"/>
      <c r="CB831" s="283"/>
    </row>
    <row r="832" spans="1:80" ht="14.25" customHeight="1" x14ac:dyDescent="0.2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BU832" s="283"/>
      <c r="BV832" s="283"/>
      <c r="BW832" s="283"/>
      <c r="BX832" s="283"/>
      <c r="BY832" s="283"/>
      <c r="BZ832" s="283"/>
      <c r="CA832" s="283"/>
      <c r="CB832" s="283"/>
    </row>
    <row r="833" spans="1:80" ht="14.25" customHeight="1" x14ac:dyDescent="0.2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BU833" s="283"/>
      <c r="BV833" s="283"/>
      <c r="BW833" s="283"/>
      <c r="BX833" s="283"/>
      <c r="BY833" s="283"/>
      <c r="BZ833" s="283"/>
      <c r="CA833" s="283"/>
      <c r="CB833" s="283"/>
    </row>
    <row r="834" spans="1:80" ht="14.25" customHeight="1" x14ac:dyDescent="0.2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BU834" s="283"/>
      <c r="BV834" s="283"/>
      <c r="BW834" s="283"/>
      <c r="BX834" s="283"/>
      <c r="BY834" s="283"/>
      <c r="BZ834" s="283"/>
      <c r="CA834" s="283"/>
      <c r="CB834" s="283"/>
    </row>
    <row r="835" spans="1:80" ht="14.25" customHeight="1" x14ac:dyDescent="0.2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BU835" s="283"/>
      <c r="BV835" s="283"/>
      <c r="BW835" s="283"/>
      <c r="BX835" s="283"/>
      <c r="BY835" s="283"/>
      <c r="BZ835" s="283"/>
      <c r="CA835" s="283"/>
      <c r="CB835" s="283"/>
    </row>
    <row r="836" spans="1:80" ht="14.25" customHeight="1" x14ac:dyDescent="0.2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BU836" s="283"/>
      <c r="BV836" s="283"/>
      <c r="BW836" s="283"/>
      <c r="BX836" s="283"/>
      <c r="BY836" s="283"/>
      <c r="BZ836" s="283"/>
      <c r="CA836" s="283"/>
      <c r="CB836" s="283"/>
    </row>
    <row r="837" spans="1:80" ht="14.25" customHeight="1" x14ac:dyDescent="0.2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BU837" s="283"/>
      <c r="BV837" s="283"/>
      <c r="BW837" s="283"/>
      <c r="BX837" s="283"/>
      <c r="BY837" s="283"/>
      <c r="BZ837" s="283"/>
      <c r="CA837" s="283"/>
      <c r="CB837" s="283"/>
    </row>
    <row r="838" spans="1:80" ht="14.25" customHeight="1" x14ac:dyDescent="0.2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BU838" s="283"/>
      <c r="BV838" s="283"/>
      <c r="BW838" s="283"/>
      <c r="BX838" s="283"/>
      <c r="BY838" s="283"/>
      <c r="BZ838" s="283"/>
      <c r="CA838" s="283"/>
      <c r="CB838" s="283"/>
    </row>
    <row r="839" spans="1:80" ht="14.25" customHeight="1" x14ac:dyDescent="0.2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BU839" s="283"/>
      <c r="BV839" s="283"/>
      <c r="BW839" s="283"/>
      <c r="BX839" s="283"/>
      <c r="BY839" s="283"/>
      <c r="BZ839" s="283"/>
      <c r="CA839" s="283"/>
      <c r="CB839" s="283"/>
    </row>
    <row r="840" spans="1:80" ht="14.25" customHeight="1" x14ac:dyDescent="0.2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BU840" s="283"/>
      <c r="BV840" s="283"/>
      <c r="BW840" s="283"/>
      <c r="BX840" s="283"/>
      <c r="BY840" s="283"/>
      <c r="BZ840" s="283"/>
      <c r="CA840" s="283"/>
      <c r="CB840" s="283"/>
    </row>
    <row r="841" spans="1:80" ht="14.25" customHeight="1" x14ac:dyDescent="0.2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BU841" s="283"/>
      <c r="BV841" s="283"/>
      <c r="BW841" s="283"/>
      <c r="BX841" s="283"/>
      <c r="BY841" s="283"/>
      <c r="BZ841" s="283"/>
      <c r="CA841" s="283"/>
      <c r="CB841" s="283"/>
    </row>
    <row r="842" spans="1:80" ht="14.25" customHeight="1" x14ac:dyDescent="0.2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BU842" s="283"/>
      <c r="BV842" s="283"/>
      <c r="BW842" s="283"/>
      <c r="BX842" s="283"/>
      <c r="BY842" s="283"/>
      <c r="BZ842" s="283"/>
      <c r="CA842" s="283"/>
      <c r="CB842" s="283"/>
    </row>
    <row r="843" spans="1:80" ht="14.25" customHeight="1" x14ac:dyDescent="0.2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BU843" s="283"/>
      <c r="BV843" s="283"/>
      <c r="BW843" s="283"/>
      <c r="BX843" s="283"/>
      <c r="BY843" s="283"/>
      <c r="BZ843" s="283"/>
      <c r="CA843" s="283"/>
      <c r="CB843" s="283"/>
    </row>
    <row r="844" spans="1:80" ht="14.25" customHeight="1" x14ac:dyDescent="0.2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BU844" s="283"/>
      <c r="BV844" s="283"/>
      <c r="BW844" s="283"/>
      <c r="BX844" s="283"/>
      <c r="BY844" s="283"/>
      <c r="BZ844" s="283"/>
      <c r="CA844" s="283"/>
      <c r="CB844" s="283"/>
    </row>
    <row r="845" spans="1:80" ht="14.25" customHeight="1" x14ac:dyDescent="0.2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BU845" s="283"/>
      <c r="BV845" s="283"/>
      <c r="BW845" s="283"/>
      <c r="BX845" s="283"/>
      <c r="BY845" s="283"/>
      <c r="BZ845" s="283"/>
      <c r="CA845" s="283"/>
      <c r="CB845" s="283"/>
    </row>
    <row r="846" spans="1:80" ht="14.25" customHeight="1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BU846" s="283"/>
      <c r="BV846" s="283"/>
      <c r="BW846" s="283"/>
      <c r="BX846" s="283"/>
      <c r="BY846" s="283"/>
      <c r="BZ846" s="283"/>
      <c r="CA846" s="283"/>
      <c r="CB846" s="283"/>
    </row>
    <row r="847" spans="1:80" ht="14.25" customHeight="1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BU847" s="283"/>
      <c r="BV847" s="283"/>
      <c r="BW847" s="283"/>
      <c r="BX847" s="283"/>
      <c r="BY847" s="283"/>
      <c r="BZ847" s="283"/>
      <c r="CA847" s="283"/>
      <c r="CB847" s="283"/>
    </row>
    <row r="848" spans="1:80" ht="14.25" customHeight="1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BU848" s="283"/>
      <c r="BV848" s="283"/>
      <c r="BW848" s="283"/>
      <c r="BX848" s="283"/>
      <c r="BY848" s="283"/>
      <c r="BZ848" s="283"/>
      <c r="CA848" s="283"/>
      <c r="CB848" s="283"/>
    </row>
    <row r="849" spans="1:80" ht="14.25" customHeight="1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BU849" s="283"/>
      <c r="BV849" s="283"/>
      <c r="BW849" s="283"/>
      <c r="BX849" s="283"/>
      <c r="BY849" s="283"/>
      <c r="BZ849" s="283"/>
      <c r="CA849" s="283"/>
      <c r="CB849" s="283"/>
    </row>
    <row r="850" spans="1:80" ht="14.25" customHeight="1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BU850" s="283"/>
      <c r="BV850" s="283"/>
      <c r="BW850" s="283"/>
      <c r="BX850" s="283"/>
      <c r="BY850" s="283"/>
      <c r="BZ850" s="283"/>
      <c r="CA850" s="283"/>
      <c r="CB850" s="283"/>
    </row>
    <row r="851" spans="1:80" ht="14.25" customHeight="1" x14ac:dyDescent="0.2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BU851" s="283"/>
      <c r="BV851" s="283"/>
      <c r="BW851" s="283"/>
      <c r="BX851" s="283"/>
      <c r="BY851" s="283"/>
      <c r="BZ851" s="283"/>
      <c r="CA851" s="283"/>
      <c r="CB851" s="283"/>
    </row>
    <row r="852" spans="1:80" ht="14.25" customHeight="1" x14ac:dyDescent="0.2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BU852" s="283"/>
      <c r="BV852" s="283"/>
      <c r="BW852" s="283"/>
      <c r="BX852" s="283"/>
      <c r="BY852" s="283"/>
      <c r="BZ852" s="283"/>
      <c r="CA852" s="283"/>
      <c r="CB852" s="283"/>
    </row>
    <row r="853" spans="1:80" ht="14.25" customHeight="1" x14ac:dyDescent="0.2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BU853" s="283"/>
      <c r="BV853" s="283"/>
      <c r="BW853" s="283"/>
      <c r="BX853" s="283"/>
      <c r="BY853" s="283"/>
      <c r="BZ853" s="283"/>
      <c r="CA853" s="283"/>
      <c r="CB853" s="283"/>
    </row>
    <row r="854" spans="1:80" ht="14.25" customHeight="1" x14ac:dyDescent="0.2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BU854" s="283"/>
      <c r="BV854" s="283"/>
      <c r="BW854" s="283"/>
      <c r="BX854" s="283"/>
      <c r="BY854" s="283"/>
      <c r="BZ854" s="283"/>
      <c r="CA854" s="283"/>
      <c r="CB854" s="283"/>
    </row>
    <row r="855" spans="1:80" ht="14.25" customHeight="1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BU855" s="283"/>
      <c r="BV855" s="283"/>
      <c r="BW855" s="283"/>
      <c r="BX855" s="283"/>
      <c r="BY855" s="283"/>
      <c r="BZ855" s="283"/>
      <c r="CA855" s="283"/>
      <c r="CB855" s="283"/>
    </row>
    <row r="856" spans="1:80" ht="14.25" customHeight="1" x14ac:dyDescent="0.2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BU856" s="283"/>
      <c r="BV856" s="283"/>
      <c r="BW856" s="283"/>
      <c r="BX856" s="283"/>
      <c r="BY856" s="283"/>
      <c r="BZ856" s="283"/>
      <c r="CA856" s="283"/>
      <c r="CB856" s="283"/>
    </row>
    <row r="857" spans="1:80" ht="14.25" customHeight="1" x14ac:dyDescent="0.2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BU857" s="283"/>
      <c r="BV857" s="283"/>
      <c r="BW857" s="283"/>
      <c r="BX857" s="283"/>
      <c r="BY857" s="283"/>
      <c r="BZ857" s="283"/>
      <c r="CA857" s="283"/>
      <c r="CB857" s="283"/>
    </row>
    <row r="858" spans="1:80" ht="14.25" customHeight="1" x14ac:dyDescent="0.2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BU858" s="283"/>
      <c r="BV858" s="283"/>
      <c r="BW858" s="283"/>
      <c r="BX858" s="283"/>
      <c r="BY858" s="283"/>
      <c r="BZ858" s="283"/>
      <c r="CA858" s="283"/>
      <c r="CB858" s="283"/>
    </row>
    <row r="859" spans="1:80" ht="14.25" customHeight="1" x14ac:dyDescent="0.2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BU859" s="283"/>
      <c r="BV859" s="283"/>
      <c r="BW859" s="283"/>
      <c r="BX859" s="283"/>
      <c r="BY859" s="283"/>
      <c r="BZ859" s="283"/>
      <c r="CA859" s="283"/>
      <c r="CB859" s="283"/>
    </row>
    <row r="860" spans="1:80" ht="14.25" customHeight="1" x14ac:dyDescent="0.2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BU860" s="283"/>
      <c r="BV860" s="283"/>
      <c r="BW860" s="283"/>
      <c r="BX860" s="283"/>
      <c r="BY860" s="283"/>
      <c r="BZ860" s="283"/>
      <c r="CA860" s="283"/>
      <c r="CB860" s="283"/>
    </row>
    <row r="861" spans="1:80" ht="14.25" customHeight="1" x14ac:dyDescent="0.2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BU861" s="283"/>
      <c r="BV861" s="283"/>
      <c r="BW861" s="283"/>
      <c r="BX861" s="283"/>
      <c r="BY861" s="283"/>
      <c r="BZ861" s="283"/>
      <c r="CA861" s="283"/>
      <c r="CB861" s="283"/>
    </row>
    <row r="862" spans="1:80" ht="14.25" customHeight="1" x14ac:dyDescent="0.2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BU862" s="283"/>
      <c r="BV862" s="283"/>
      <c r="BW862" s="283"/>
      <c r="BX862" s="283"/>
      <c r="BY862" s="283"/>
      <c r="BZ862" s="283"/>
      <c r="CA862" s="283"/>
      <c r="CB862" s="283"/>
    </row>
    <row r="863" spans="1:80" ht="14.25" customHeight="1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BU863" s="283"/>
      <c r="BV863" s="283"/>
      <c r="BW863" s="283"/>
      <c r="BX863" s="283"/>
      <c r="BY863" s="283"/>
      <c r="BZ863" s="283"/>
      <c r="CA863" s="283"/>
      <c r="CB863" s="283"/>
    </row>
    <row r="864" spans="1:80" ht="14.25" customHeight="1" x14ac:dyDescent="0.2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BU864" s="283"/>
      <c r="BV864" s="283"/>
      <c r="BW864" s="283"/>
      <c r="BX864" s="283"/>
      <c r="BY864" s="283"/>
      <c r="BZ864" s="283"/>
      <c r="CA864" s="283"/>
      <c r="CB864" s="283"/>
    </row>
    <row r="865" spans="1:80" ht="14.25" customHeight="1" x14ac:dyDescent="0.2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BU865" s="283"/>
      <c r="BV865" s="283"/>
      <c r="BW865" s="283"/>
      <c r="BX865" s="283"/>
      <c r="BY865" s="283"/>
      <c r="BZ865" s="283"/>
      <c r="CA865" s="283"/>
      <c r="CB865" s="283"/>
    </row>
    <row r="866" spans="1:80" ht="14.25" customHeight="1" x14ac:dyDescent="0.2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BU866" s="283"/>
      <c r="BV866" s="283"/>
      <c r="BW866" s="283"/>
      <c r="BX866" s="283"/>
      <c r="BY866" s="283"/>
      <c r="BZ866" s="283"/>
      <c r="CA866" s="283"/>
      <c r="CB866" s="283"/>
    </row>
    <row r="867" spans="1:80" ht="14.25" customHeight="1" x14ac:dyDescent="0.2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BU867" s="283"/>
      <c r="BV867" s="283"/>
      <c r="BW867" s="283"/>
      <c r="BX867" s="283"/>
      <c r="BY867" s="283"/>
      <c r="BZ867" s="283"/>
      <c r="CA867" s="283"/>
      <c r="CB867" s="283"/>
    </row>
    <row r="868" spans="1:80" ht="14.25" customHeight="1" x14ac:dyDescent="0.2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BU868" s="283"/>
      <c r="BV868" s="283"/>
      <c r="BW868" s="283"/>
      <c r="BX868" s="283"/>
      <c r="BY868" s="283"/>
      <c r="BZ868" s="283"/>
      <c r="CA868" s="283"/>
      <c r="CB868" s="283"/>
    </row>
    <row r="869" spans="1:80" ht="14.25" customHeight="1" x14ac:dyDescent="0.2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BU869" s="283"/>
      <c r="BV869" s="283"/>
      <c r="BW869" s="283"/>
      <c r="BX869" s="283"/>
      <c r="BY869" s="283"/>
      <c r="BZ869" s="283"/>
      <c r="CA869" s="283"/>
      <c r="CB869" s="283"/>
    </row>
    <row r="870" spans="1:80" ht="14.25" customHeight="1" x14ac:dyDescent="0.2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BU870" s="283"/>
      <c r="BV870" s="283"/>
      <c r="BW870" s="283"/>
      <c r="BX870" s="283"/>
      <c r="BY870" s="283"/>
      <c r="BZ870" s="283"/>
      <c r="CA870" s="283"/>
      <c r="CB870" s="283"/>
    </row>
    <row r="871" spans="1:80" ht="14.25" customHeight="1" x14ac:dyDescent="0.2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BU871" s="283"/>
      <c r="BV871" s="283"/>
      <c r="BW871" s="283"/>
      <c r="BX871" s="283"/>
      <c r="BY871" s="283"/>
      <c r="BZ871" s="283"/>
      <c r="CA871" s="283"/>
      <c r="CB871" s="283"/>
    </row>
    <row r="872" spans="1:80" ht="14.25" customHeight="1" x14ac:dyDescent="0.2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BU872" s="283"/>
      <c r="BV872" s="283"/>
      <c r="BW872" s="283"/>
      <c r="BX872" s="283"/>
      <c r="BY872" s="283"/>
      <c r="BZ872" s="283"/>
      <c r="CA872" s="283"/>
      <c r="CB872" s="283"/>
    </row>
    <row r="873" spans="1:80" ht="14.25" customHeight="1" x14ac:dyDescent="0.2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BU873" s="283"/>
      <c r="BV873" s="283"/>
      <c r="BW873" s="283"/>
      <c r="BX873" s="283"/>
      <c r="BY873" s="283"/>
      <c r="BZ873" s="283"/>
      <c r="CA873" s="283"/>
      <c r="CB873" s="283"/>
    </row>
    <row r="874" spans="1:80" ht="14.25" customHeight="1" x14ac:dyDescent="0.2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BU874" s="283"/>
      <c r="BV874" s="283"/>
      <c r="BW874" s="283"/>
      <c r="BX874" s="283"/>
      <c r="BY874" s="283"/>
      <c r="BZ874" s="283"/>
      <c r="CA874" s="283"/>
      <c r="CB874" s="283"/>
    </row>
    <row r="875" spans="1:80" ht="14.25" customHeight="1" x14ac:dyDescent="0.2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BU875" s="283"/>
      <c r="BV875" s="283"/>
      <c r="BW875" s="283"/>
      <c r="BX875" s="283"/>
      <c r="BY875" s="283"/>
      <c r="BZ875" s="283"/>
      <c r="CA875" s="283"/>
      <c r="CB875" s="283"/>
    </row>
    <row r="876" spans="1:80" ht="14.25" customHeight="1" x14ac:dyDescent="0.2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BU876" s="283"/>
      <c r="BV876" s="283"/>
      <c r="BW876" s="283"/>
      <c r="BX876" s="283"/>
      <c r="BY876" s="283"/>
      <c r="BZ876" s="283"/>
      <c r="CA876" s="283"/>
      <c r="CB876" s="283"/>
    </row>
    <row r="877" spans="1:80" ht="14.25" customHeight="1" x14ac:dyDescent="0.2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BU877" s="283"/>
      <c r="BV877" s="283"/>
      <c r="BW877" s="283"/>
      <c r="BX877" s="283"/>
      <c r="BY877" s="283"/>
      <c r="BZ877" s="283"/>
      <c r="CA877" s="283"/>
      <c r="CB877" s="283"/>
    </row>
    <row r="878" spans="1:80" ht="14.25" customHeight="1" x14ac:dyDescent="0.2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BU878" s="283"/>
      <c r="BV878" s="283"/>
      <c r="BW878" s="283"/>
      <c r="BX878" s="283"/>
      <c r="BY878" s="283"/>
      <c r="BZ878" s="283"/>
      <c r="CA878" s="283"/>
      <c r="CB878" s="283"/>
    </row>
    <row r="879" spans="1:80" ht="14.25" customHeight="1" x14ac:dyDescent="0.2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BU879" s="283"/>
      <c r="BV879" s="283"/>
      <c r="BW879" s="283"/>
      <c r="BX879" s="283"/>
      <c r="BY879" s="283"/>
      <c r="BZ879" s="283"/>
      <c r="CA879" s="283"/>
      <c r="CB879" s="283"/>
    </row>
    <row r="880" spans="1:80" ht="14.25" customHeight="1" x14ac:dyDescent="0.2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BU880" s="283"/>
      <c r="BV880" s="283"/>
      <c r="BW880" s="283"/>
      <c r="BX880" s="283"/>
      <c r="BY880" s="283"/>
      <c r="BZ880" s="283"/>
      <c r="CA880" s="283"/>
      <c r="CB880" s="283"/>
    </row>
    <row r="881" spans="1:80" ht="14.25" customHeight="1" x14ac:dyDescent="0.2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BU881" s="283"/>
      <c r="BV881" s="283"/>
      <c r="BW881" s="283"/>
      <c r="BX881" s="283"/>
      <c r="BY881" s="283"/>
      <c r="BZ881" s="283"/>
      <c r="CA881" s="283"/>
      <c r="CB881" s="283"/>
    </row>
    <row r="882" spans="1:80" ht="14.25" customHeight="1" x14ac:dyDescent="0.2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BU882" s="283"/>
      <c r="BV882" s="283"/>
      <c r="BW882" s="283"/>
      <c r="BX882" s="283"/>
      <c r="BY882" s="283"/>
      <c r="BZ882" s="283"/>
      <c r="CA882" s="283"/>
      <c r="CB882" s="283"/>
    </row>
    <row r="883" spans="1:80" ht="14.25" customHeight="1" x14ac:dyDescent="0.2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BU883" s="283"/>
      <c r="BV883" s="283"/>
      <c r="BW883" s="283"/>
      <c r="BX883" s="283"/>
      <c r="BY883" s="283"/>
      <c r="BZ883" s="283"/>
      <c r="CA883" s="283"/>
      <c r="CB883" s="283"/>
    </row>
    <row r="884" spans="1:80" ht="14.25" customHeight="1" x14ac:dyDescent="0.2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BU884" s="283"/>
      <c r="BV884" s="283"/>
      <c r="BW884" s="283"/>
      <c r="BX884" s="283"/>
      <c r="BY884" s="283"/>
      <c r="BZ884" s="283"/>
      <c r="CA884" s="283"/>
      <c r="CB884" s="283"/>
    </row>
    <row r="885" spans="1:80" ht="14.25" customHeight="1" x14ac:dyDescent="0.2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BU885" s="283"/>
      <c r="BV885" s="283"/>
      <c r="BW885" s="283"/>
      <c r="BX885" s="283"/>
      <c r="BY885" s="283"/>
      <c r="BZ885" s="283"/>
      <c r="CA885" s="283"/>
      <c r="CB885" s="283"/>
    </row>
    <row r="886" spans="1:80" ht="14.25" customHeight="1" x14ac:dyDescent="0.2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BU886" s="283"/>
      <c r="BV886" s="283"/>
      <c r="BW886" s="283"/>
      <c r="BX886" s="283"/>
      <c r="BY886" s="283"/>
      <c r="BZ886" s="283"/>
      <c r="CA886" s="283"/>
      <c r="CB886" s="283"/>
    </row>
    <row r="887" spans="1:80" ht="14.25" customHeight="1" x14ac:dyDescent="0.2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BU887" s="283"/>
      <c r="BV887" s="283"/>
      <c r="BW887" s="283"/>
      <c r="BX887" s="283"/>
      <c r="BY887" s="283"/>
      <c r="BZ887" s="283"/>
      <c r="CA887" s="283"/>
      <c r="CB887" s="283"/>
    </row>
    <row r="888" spans="1:80" ht="14.25" customHeight="1" x14ac:dyDescent="0.2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BU888" s="283"/>
      <c r="BV888" s="283"/>
      <c r="BW888" s="283"/>
      <c r="BX888" s="283"/>
      <c r="BY888" s="283"/>
      <c r="BZ888" s="283"/>
      <c r="CA888" s="283"/>
      <c r="CB888" s="283"/>
    </row>
    <row r="889" spans="1:80" ht="14.25" customHeight="1" x14ac:dyDescent="0.2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BU889" s="283"/>
      <c r="BV889" s="283"/>
      <c r="BW889" s="283"/>
      <c r="BX889" s="283"/>
      <c r="BY889" s="283"/>
      <c r="BZ889" s="283"/>
      <c r="CA889" s="283"/>
      <c r="CB889" s="283"/>
    </row>
    <row r="890" spans="1:80" ht="14.25" customHeight="1" x14ac:dyDescent="0.2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BU890" s="283"/>
      <c r="BV890" s="283"/>
      <c r="BW890" s="283"/>
      <c r="BX890" s="283"/>
      <c r="BY890" s="283"/>
      <c r="BZ890" s="283"/>
      <c r="CA890" s="283"/>
      <c r="CB890" s="283"/>
    </row>
    <row r="891" spans="1:80" ht="14.25" customHeight="1" x14ac:dyDescent="0.2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BU891" s="283"/>
      <c r="BV891" s="283"/>
      <c r="BW891" s="283"/>
      <c r="BX891" s="283"/>
      <c r="BY891" s="283"/>
      <c r="BZ891" s="283"/>
      <c r="CA891" s="283"/>
      <c r="CB891" s="283"/>
    </row>
    <row r="892" spans="1:80" ht="14.25" customHeight="1" x14ac:dyDescent="0.2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BU892" s="283"/>
      <c r="BV892" s="283"/>
      <c r="BW892" s="283"/>
      <c r="BX892" s="283"/>
      <c r="BY892" s="283"/>
      <c r="BZ892" s="283"/>
      <c r="CA892" s="283"/>
      <c r="CB892" s="283"/>
    </row>
    <row r="893" spans="1:80" ht="14.25" customHeight="1" x14ac:dyDescent="0.2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BU893" s="283"/>
      <c r="BV893" s="283"/>
      <c r="BW893" s="283"/>
      <c r="BX893" s="283"/>
      <c r="BY893" s="283"/>
      <c r="BZ893" s="283"/>
      <c r="CA893" s="283"/>
      <c r="CB893" s="283"/>
    </row>
    <row r="894" spans="1:80" ht="14.25" customHeight="1" x14ac:dyDescent="0.2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BU894" s="283"/>
      <c r="BV894" s="283"/>
      <c r="BW894" s="283"/>
      <c r="BX894" s="283"/>
      <c r="BY894" s="283"/>
      <c r="BZ894" s="283"/>
      <c r="CA894" s="283"/>
      <c r="CB894" s="283"/>
    </row>
    <row r="895" spans="1:80" ht="14.25" customHeight="1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BU895" s="283"/>
      <c r="BV895" s="283"/>
      <c r="BW895" s="283"/>
      <c r="BX895" s="283"/>
      <c r="BY895" s="283"/>
      <c r="BZ895" s="283"/>
      <c r="CA895" s="283"/>
      <c r="CB895" s="283"/>
    </row>
    <row r="896" spans="1:80" ht="14.25" customHeight="1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BU896" s="283"/>
      <c r="BV896" s="283"/>
      <c r="BW896" s="283"/>
      <c r="BX896" s="283"/>
      <c r="BY896" s="283"/>
      <c r="BZ896" s="283"/>
      <c r="CA896" s="283"/>
      <c r="CB896" s="283"/>
    </row>
    <row r="897" spans="1:80" ht="14.25" customHeight="1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BU897" s="283"/>
      <c r="BV897" s="283"/>
      <c r="BW897" s="283"/>
      <c r="BX897" s="283"/>
      <c r="BY897" s="283"/>
      <c r="BZ897" s="283"/>
      <c r="CA897" s="283"/>
      <c r="CB897" s="283"/>
    </row>
    <row r="898" spans="1:80" ht="14.25" customHeight="1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BU898" s="283"/>
      <c r="BV898" s="283"/>
      <c r="BW898" s="283"/>
      <c r="BX898" s="283"/>
      <c r="BY898" s="283"/>
      <c r="BZ898" s="283"/>
      <c r="CA898" s="283"/>
      <c r="CB898" s="283"/>
    </row>
    <row r="899" spans="1:80" ht="14.25" customHeight="1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BU899" s="283"/>
      <c r="BV899" s="283"/>
      <c r="BW899" s="283"/>
      <c r="BX899" s="283"/>
      <c r="BY899" s="283"/>
      <c r="BZ899" s="283"/>
      <c r="CA899" s="283"/>
      <c r="CB899" s="283"/>
    </row>
    <row r="900" spans="1:80" ht="14.25" customHeight="1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BU900" s="283"/>
      <c r="BV900" s="283"/>
      <c r="BW900" s="283"/>
      <c r="BX900" s="283"/>
      <c r="BY900" s="283"/>
      <c r="BZ900" s="283"/>
      <c r="CA900" s="283"/>
      <c r="CB900" s="283"/>
    </row>
    <row r="901" spans="1:80" ht="14.25" customHeight="1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BU901" s="283"/>
      <c r="BV901" s="283"/>
      <c r="BW901" s="283"/>
      <c r="BX901" s="283"/>
      <c r="BY901" s="283"/>
      <c r="BZ901" s="283"/>
      <c r="CA901" s="283"/>
      <c r="CB901" s="283"/>
    </row>
    <row r="902" spans="1:80" ht="14.25" customHeight="1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BU902" s="283"/>
      <c r="BV902" s="283"/>
      <c r="BW902" s="283"/>
      <c r="BX902" s="283"/>
      <c r="BY902" s="283"/>
      <c r="BZ902" s="283"/>
      <c r="CA902" s="283"/>
      <c r="CB902" s="283"/>
    </row>
    <row r="903" spans="1:80" ht="14.25" customHeight="1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BU903" s="283"/>
      <c r="BV903" s="283"/>
      <c r="BW903" s="283"/>
      <c r="BX903" s="283"/>
      <c r="BY903" s="283"/>
      <c r="BZ903" s="283"/>
      <c r="CA903" s="283"/>
      <c r="CB903" s="283"/>
    </row>
    <row r="904" spans="1:80" ht="14.25" customHeight="1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BU904" s="283"/>
      <c r="BV904" s="283"/>
      <c r="BW904" s="283"/>
      <c r="BX904" s="283"/>
      <c r="BY904" s="283"/>
      <c r="BZ904" s="283"/>
      <c r="CA904" s="283"/>
      <c r="CB904" s="283"/>
    </row>
    <row r="905" spans="1:80" ht="14.25" customHeight="1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BU905" s="283"/>
      <c r="BV905" s="283"/>
      <c r="BW905" s="283"/>
      <c r="BX905" s="283"/>
      <c r="BY905" s="283"/>
      <c r="BZ905" s="283"/>
      <c r="CA905" s="283"/>
      <c r="CB905" s="283"/>
    </row>
    <row r="906" spans="1:80" ht="14.25" customHeight="1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BU906" s="283"/>
      <c r="BV906" s="283"/>
      <c r="BW906" s="283"/>
      <c r="BX906" s="283"/>
      <c r="BY906" s="283"/>
      <c r="BZ906" s="283"/>
      <c r="CA906" s="283"/>
      <c r="CB906" s="283"/>
    </row>
    <row r="907" spans="1:80" ht="14.25" customHeight="1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BU907" s="283"/>
      <c r="BV907" s="283"/>
      <c r="BW907" s="283"/>
      <c r="BX907" s="283"/>
      <c r="BY907" s="283"/>
      <c r="BZ907" s="283"/>
      <c r="CA907" s="283"/>
      <c r="CB907" s="283"/>
    </row>
    <row r="908" spans="1:80" ht="14.25" customHeight="1" x14ac:dyDescent="0.2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BU908" s="283"/>
      <c r="BV908" s="283"/>
      <c r="BW908" s="283"/>
      <c r="BX908" s="283"/>
      <c r="BY908" s="283"/>
      <c r="BZ908" s="283"/>
      <c r="CA908" s="283"/>
      <c r="CB908" s="283"/>
    </row>
    <row r="909" spans="1:80" ht="14.25" customHeight="1" x14ac:dyDescent="0.2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BU909" s="283"/>
      <c r="BV909" s="283"/>
      <c r="BW909" s="283"/>
      <c r="BX909" s="283"/>
      <c r="BY909" s="283"/>
      <c r="BZ909" s="283"/>
      <c r="CA909" s="283"/>
      <c r="CB909" s="283"/>
    </row>
    <row r="910" spans="1:80" ht="14.25" customHeight="1" x14ac:dyDescent="0.2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BU910" s="283"/>
      <c r="BV910" s="283"/>
      <c r="BW910" s="283"/>
      <c r="BX910" s="283"/>
      <c r="BY910" s="283"/>
      <c r="BZ910" s="283"/>
      <c r="CA910" s="283"/>
      <c r="CB910" s="283"/>
    </row>
    <row r="911" spans="1:80" ht="14.25" customHeight="1" x14ac:dyDescent="0.2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BU911" s="283"/>
      <c r="BV911" s="283"/>
      <c r="BW911" s="283"/>
      <c r="BX911" s="283"/>
      <c r="BY911" s="283"/>
      <c r="BZ911" s="283"/>
      <c r="CA911" s="283"/>
      <c r="CB911" s="283"/>
    </row>
    <row r="912" spans="1:80" ht="14.25" customHeight="1" x14ac:dyDescent="0.2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BU912" s="283"/>
      <c r="BV912" s="283"/>
      <c r="BW912" s="283"/>
      <c r="BX912" s="283"/>
      <c r="BY912" s="283"/>
      <c r="BZ912" s="283"/>
      <c r="CA912" s="283"/>
      <c r="CB912" s="283"/>
    </row>
    <row r="913" spans="1:80" ht="14.25" customHeight="1" x14ac:dyDescent="0.2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BU913" s="283"/>
      <c r="BV913" s="283"/>
      <c r="BW913" s="283"/>
      <c r="BX913" s="283"/>
      <c r="BY913" s="283"/>
      <c r="BZ913" s="283"/>
      <c r="CA913" s="283"/>
      <c r="CB913" s="283"/>
    </row>
    <row r="914" spans="1:80" ht="14.25" customHeight="1" x14ac:dyDescent="0.2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BU914" s="283"/>
      <c r="BV914" s="283"/>
      <c r="BW914" s="283"/>
      <c r="BX914" s="283"/>
      <c r="BY914" s="283"/>
      <c r="BZ914" s="283"/>
      <c r="CA914" s="283"/>
      <c r="CB914" s="283"/>
    </row>
    <row r="915" spans="1:80" ht="14.25" customHeight="1" x14ac:dyDescent="0.2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BU915" s="283"/>
      <c r="BV915" s="283"/>
      <c r="BW915" s="283"/>
      <c r="BX915" s="283"/>
      <c r="BY915" s="283"/>
      <c r="BZ915" s="283"/>
      <c r="CA915" s="283"/>
      <c r="CB915" s="283"/>
    </row>
    <row r="916" spans="1:80" ht="14.25" customHeight="1" x14ac:dyDescent="0.2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BU916" s="283"/>
      <c r="BV916" s="283"/>
      <c r="BW916" s="283"/>
      <c r="BX916" s="283"/>
      <c r="BY916" s="283"/>
      <c r="BZ916" s="283"/>
      <c r="CA916" s="283"/>
      <c r="CB916" s="283"/>
    </row>
    <row r="917" spans="1:80" ht="14.25" customHeight="1" x14ac:dyDescent="0.2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BU917" s="283"/>
      <c r="BV917" s="283"/>
      <c r="BW917" s="283"/>
      <c r="BX917" s="283"/>
      <c r="BY917" s="283"/>
      <c r="BZ917" s="283"/>
      <c r="CA917" s="283"/>
      <c r="CB917" s="283"/>
    </row>
    <row r="918" spans="1:80" ht="14.25" customHeight="1" x14ac:dyDescent="0.2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BU918" s="283"/>
      <c r="BV918" s="283"/>
      <c r="BW918" s="283"/>
      <c r="BX918" s="283"/>
      <c r="BY918" s="283"/>
      <c r="BZ918" s="283"/>
      <c r="CA918" s="283"/>
      <c r="CB918" s="283"/>
    </row>
    <row r="919" spans="1:80" ht="14.25" customHeight="1" x14ac:dyDescent="0.2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BU919" s="283"/>
      <c r="BV919" s="283"/>
      <c r="BW919" s="283"/>
      <c r="BX919" s="283"/>
      <c r="BY919" s="283"/>
      <c r="BZ919" s="283"/>
      <c r="CA919" s="283"/>
      <c r="CB919" s="283"/>
    </row>
    <row r="920" spans="1:80" ht="14.25" customHeight="1" x14ac:dyDescent="0.2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BU920" s="283"/>
      <c r="BV920" s="283"/>
      <c r="BW920" s="283"/>
      <c r="BX920" s="283"/>
      <c r="BY920" s="283"/>
      <c r="BZ920" s="283"/>
      <c r="CA920" s="283"/>
      <c r="CB920" s="283"/>
    </row>
    <row r="921" spans="1:80" ht="14.25" customHeight="1" x14ac:dyDescent="0.2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BU921" s="283"/>
      <c r="BV921" s="283"/>
      <c r="BW921" s="283"/>
      <c r="BX921" s="283"/>
      <c r="BY921" s="283"/>
      <c r="BZ921" s="283"/>
      <c r="CA921" s="283"/>
      <c r="CB921" s="283"/>
    </row>
    <row r="922" spans="1:80" ht="14.25" customHeight="1" x14ac:dyDescent="0.2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BU922" s="283"/>
      <c r="BV922" s="283"/>
      <c r="BW922" s="283"/>
      <c r="BX922" s="283"/>
      <c r="BY922" s="283"/>
      <c r="BZ922" s="283"/>
      <c r="CA922" s="283"/>
      <c r="CB922" s="283"/>
    </row>
    <row r="923" spans="1:80" ht="14.25" customHeight="1" x14ac:dyDescent="0.2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BU923" s="283"/>
      <c r="BV923" s="283"/>
      <c r="BW923" s="283"/>
      <c r="BX923" s="283"/>
      <c r="BY923" s="283"/>
      <c r="BZ923" s="283"/>
      <c r="CA923" s="283"/>
      <c r="CB923" s="283"/>
    </row>
    <row r="924" spans="1:80" ht="14.25" customHeight="1" x14ac:dyDescent="0.2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BU924" s="283"/>
      <c r="BV924" s="283"/>
      <c r="BW924" s="283"/>
      <c r="BX924" s="283"/>
      <c r="BY924" s="283"/>
      <c r="BZ924" s="283"/>
      <c r="CA924" s="283"/>
      <c r="CB924" s="283"/>
    </row>
    <row r="925" spans="1:80" ht="14.25" customHeight="1" x14ac:dyDescent="0.2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BU925" s="283"/>
      <c r="BV925" s="283"/>
      <c r="BW925" s="283"/>
      <c r="BX925" s="283"/>
      <c r="BY925" s="283"/>
      <c r="BZ925" s="283"/>
      <c r="CA925" s="283"/>
      <c r="CB925" s="283"/>
    </row>
    <row r="926" spans="1:80" ht="14.25" customHeight="1" x14ac:dyDescent="0.2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BU926" s="283"/>
      <c r="BV926" s="283"/>
      <c r="BW926" s="283"/>
      <c r="BX926" s="283"/>
      <c r="BY926" s="283"/>
      <c r="BZ926" s="283"/>
      <c r="CA926" s="283"/>
      <c r="CB926" s="283"/>
    </row>
    <row r="927" spans="1:80" ht="14.25" customHeight="1" x14ac:dyDescent="0.2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BU927" s="283"/>
      <c r="BV927" s="283"/>
      <c r="BW927" s="283"/>
      <c r="BX927" s="283"/>
      <c r="BY927" s="283"/>
      <c r="BZ927" s="283"/>
      <c r="CA927" s="283"/>
      <c r="CB927" s="283"/>
    </row>
    <row r="928" spans="1:80" ht="14.25" customHeight="1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BU928" s="283"/>
      <c r="BV928" s="283"/>
      <c r="BW928" s="283"/>
      <c r="BX928" s="283"/>
      <c r="BY928" s="283"/>
      <c r="BZ928" s="283"/>
      <c r="CA928" s="283"/>
      <c r="CB928" s="283"/>
    </row>
    <row r="929" spans="1:80" ht="14.25" customHeight="1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BU929" s="283"/>
      <c r="BV929" s="283"/>
      <c r="BW929" s="283"/>
      <c r="BX929" s="283"/>
      <c r="BY929" s="283"/>
      <c r="BZ929" s="283"/>
      <c r="CA929" s="283"/>
      <c r="CB929" s="283"/>
    </row>
    <row r="930" spans="1:80" ht="14.25" customHeight="1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BU930" s="283"/>
      <c r="BV930" s="283"/>
      <c r="BW930" s="283"/>
      <c r="BX930" s="283"/>
      <c r="BY930" s="283"/>
      <c r="BZ930" s="283"/>
      <c r="CA930" s="283"/>
      <c r="CB930" s="283"/>
    </row>
    <row r="931" spans="1:80" ht="14.25" customHeight="1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BU931" s="283"/>
      <c r="BV931" s="283"/>
      <c r="BW931" s="283"/>
      <c r="BX931" s="283"/>
      <c r="BY931" s="283"/>
      <c r="BZ931" s="283"/>
      <c r="CA931" s="283"/>
      <c r="CB931" s="283"/>
    </row>
    <row r="932" spans="1:80" ht="14.25" customHeight="1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BU932" s="283"/>
      <c r="BV932" s="283"/>
      <c r="BW932" s="283"/>
      <c r="BX932" s="283"/>
      <c r="BY932" s="283"/>
      <c r="BZ932" s="283"/>
      <c r="CA932" s="283"/>
      <c r="CB932" s="283"/>
    </row>
    <row r="933" spans="1:80" ht="14.25" customHeight="1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BU933" s="283"/>
      <c r="BV933" s="283"/>
      <c r="BW933" s="283"/>
      <c r="BX933" s="283"/>
      <c r="BY933" s="283"/>
      <c r="BZ933" s="283"/>
      <c r="CA933" s="283"/>
      <c r="CB933" s="283"/>
    </row>
    <row r="934" spans="1:80" ht="14.25" customHeight="1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BU934" s="283"/>
      <c r="BV934" s="283"/>
      <c r="BW934" s="283"/>
      <c r="BX934" s="283"/>
      <c r="BY934" s="283"/>
      <c r="BZ934" s="283"/>
      <c r="CA934" s="283"/>
      <c r="CB934" s="283"/>
    </row>
    <row r="935" spans="1:80" ht="14.25" customHeight="1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BU935" s="283"/>
      <c r="BV935" s="283"/>
      <c r="BW935" s="283"/>
      <c r="BX935" s="283"/>
      <c r="BY935" s="283"/>
      <c r="BZ935" s="283"/>
      <c r="CA935" s="283"/>
      <c r="CB935" s="283"/>
    </row>
    <row r="936" spans="1:80" ht="14.25" customHeight="1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BU936" s="283"/>
      <c r="BV936" s="283"/>
      <c r="BW936" s="283"/>
      <c r="BX936" s="283"/>
      <c r="BY936" s="283"/>
      <c r="BZ936" s="283"/>
      <c r="CA936" s="283"/>
      <c r="CB936" s="283"/>
    </row>
    <row r="937" spans="1:80" ht="14.25" customHeight="1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BU937" s="283"/>
      <c r="BV937" s="283"/>
      <c r="BW937" s="283"/>
      <c r="BX937" s="283"/>
      <c r="BY937" s="283"/>
      <c r="BZ937" s="283"/>
      <c r="CA937" s="283"/>
      <c r="CB937" s="283"/>
    </row>
    <row r="938" spans="1:80" ht="14.25" customHeight="1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BU938" s="283"/>
      <c r="BV938" s="283"/>
      <c r="BW938" s="283"/>
      <c r="BX938" s="283"/>
      <c r="BY938" s="283"/>
      <c r="BZ938" s="283"/>
      <c r="CA938" s="283"/>
      <c r="CB938" s="283"/>
    </row>
    <row r="939" spans="1:80" ht="14.25" customHeight="1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BU939" s="283"/>
      <c r="BV939" s="283"/>
      <c r="BW939" s="283"/>
      <c r="BX939" s="283"/>
      <c r="BY939" s="283"/>
      <c r="BZ939" s="283"/>
      <c r="CA939" s="283"/>
      <c r="CB939" s="283"/>
    </row>
    <row r="940" spans="1:80" ht="14.25" customHeight="1" x14ac:dyDescent="0.2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BU940" s="283"/>
      <c r="BV940" s="283"/>
      <c r="BW940" s="283"/>
      <c r="BX940" s="283"/>
      <c r="BY940" s="283"/>
      <c r="BZ940" s="283"/>
      <c r="CA940" s="283"/>
      <c r="CB940" s="283"/>
    </row>
    <row r="941" spans="1:80" ht="14.25" customHeight="1" x14ac:dyDescent="0.2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BU941" s="283"/>
      <c r="BV941" s="283"/>
      <c r="BW941" s="283"/>
      <c r="BX941" s="283"/>
      <c r="BY941" s="283"/>
      <c r="BZ941" s="283"/>
      <c r="CA941" s="283"/>
      <c r="CB941" s="283"/>
    </row>
    <row r="942" spans="1:80" ht="14.25" customHeight="1" x14ac:dyDescent="0.2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BU942" s="283"/>
      <c r="BV942" s="283"/>
      <c r="BW942" s="283"/>
      <c r="BX942" s="283"/>
      <c r="BY942" s="283"/>
      <c r="BZ942" s="283"/>
      <c r="CA942" s="283"/>
      <c r="CB942" s="283"/>
    </row>
    <row r="943" spans="1:80" ht="14.25" customHeight="1" x14ac:dyDescent="0.2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BU943" s="283"/>
      <c r="BV943" s="283"/>
      <c r="BW943" s="283"/>
      <c r="BX943" s="283"/>
      <c r="BY943" s="283"/>
      <c r="BZ943" s="283"/>
      <c r="CA943" s="283"/>
      <c r="CB943" s="283"/>
    </row>
    <row r="944" spans="1:80" ht="14.25" customHeight="1" x14ac:dyDescent="0.2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BU944" s="283"/>
      <c r="BV944" s="283"/>
      <c r="BW944" s="283"/>
      <c r="BX944" s="283"/>
      <c r="BY944" s="283"/>
      <c r="BZ944" s="283"/>
      <c r="CA944" s="283"/>
      <c r="CB944" s="283"/>
    </row>
    <row r="945" spans="1:80" ht="14.25" customHeight="1" x14ac:dyDescent="0.2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BU945" s="283"/>
      <c r="BV945" s="283"/>
      <c r="BW945" s="283"/>
      <c r="BX945" s="283"/>
      <c r="BY945" s="283"/>
      <c r="BZ945" s="283"/>
      <c r="CA945" s="283"/>
      <c r="CB945" s="283"/>
    </row>
    <row r="946" spans="1:80" ht="14.25" customHeight="1" x14ac:dyDescent="0.2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BU946" s="283"/>
      <c r="BV946" s="283"/>
      <c r="BW946" s="283"/>
      <c r="BX946" s="283"/>
      <c r="BY946" s="283"/>
      <c r="BZ946" s="283"/>
      <c r="CA946" s="283"/>
      <c r="CB946" s="283"/>
    </row>
    <row r="947" spans="1:80" ht="14.25" customHeight="1" x14ac:dyDescent="0.2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BU947" s="283"/>
      <c r="BV947" s="283"/>
      <c r="BW947" s="283"/>
      <c r="BX947" s="283"/>
      <c r="BY947" s="283"/>
      <c r="BZ947" s="283"/>
      <c r="CA947" s="283"/>
      <c r="CB947" s="283"/>
    </row>
    <row r="948" spans="1:80" ht="14.25" customHeight="1" x14ac:dyDescent="0.2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BU948" s="283"/>
      <c r="BV948" s="283"/>
      <c r="BW948" s="283"/>
      <c r="BX948" s="283"/>
      <c r="BY948" s="283"/>
      <c r="BZ948" s="283"/>
      <c r="CA948" s="283"/>
      <c r="CB948" s="283"/>
    </row>
    <row r="949" spans="1:80" ht="14.25" customHeight="1" x14ac:dyDescent="0.2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BU949" s="283"/>
      <c r="BV949" s="283"/>
      <c r="BW949" s="283"/>
      <c r="BX949" s="283"/>
      <c r="BY949" s="283"/>
      <c r="BZ949" s="283"/>
      <c r="CA949" s="283"/>
      <c r="CB949" s="283"/>
    </row>
    <row r="950" spans="1:80" ht="14.25" customHeight="1" x14ac:dyDescent="0.2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BU950" s="283"/>
      <c r="BV950" s="283"/>
      <c r="BW950" s="283"/>
      <c r="BX950" s="283"/>
      <c r="BY950" s="283"/>
      <c r="BZ950" s="283"/>
      <c r="CA950" s="283"/>
      <c r="CB950" s="283"/>
    </row>
    <row r="951" spans="1:80" ht="14.25" customHeight="1" x14ac:dyDescent="0.2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BU951" s="283"/>
      <c r="BV951" s="283"/>
      <c r="BW951" s="283"/>
      <c r="BX951" s="283"/>
      <c r="BY951" s="283"/>
      <c r="BZ951" s="283"/>
      <c r="CA951" s="283"/>
      <c r="CB951" s="283"/>
    </row>
    <row r="952" spans="1:80" ht="14.25" customHeight="1" x14ac:dyDescent="0.2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BU952" s="283"/>
      <c r="BV952" s="283"/>
      <c r="BW952" s="283"/>
      <c r="BX952" s="283"/>
      <c r="BY952" s="283"/>
      <c r="BZ952" s="283"/>
      <c r="CA952" s="283"/>
      <c r="CB952" s="283"/>
    </row>
    <row r="953" spans="1:80" ht="14.25" customHeight="1" x14ac:dyDescent="0.2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BU953" s="283"/>
      <c r="BV953" s="283"/>
      <c r="BW953" s="283"/>
      <c r="BX953" s="283"/>
      <c r="BY953" s="283"/>
      <c r="BZ953" s="283"/>
      <c r="CA953" s="283"/>
      <c r="CB953" s="283"/>
    </row>
    <row r="954" spans="1:80" ht="14.25" customHeight="1" x14ac:dyDescent="0.2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BU954" s="283"/>
      <c r="BV954" s="283"/>
      <c r="BW954" s="283"/>
      <c r="BX954" s="283"/>
      <c r="BY954" s="283"/>
      <c r="BZ954" s="283"/>
      <c r="CA954" s="283"/>
      <c r="CB954" s="283"/>
    </row>
    <row r="955" spans="1:80" ht="14.25" customHeight="1" x14ac:dyDescent="0.2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BU955" s="283"/>
      <c r="BV955" s="283"/>
      <c r="BW955" s="283"/>
      <c r="BX955" s="283"/>
      <c r="BY955" s="283"/>
      <c r="BZ955" s="283"/>
      <c r="CA955" s="283"/>
      <c r="CB955" s="283"/>
    </row>
    <row r="956" spans="1:80" ht="14.25" customHeight="1" x14ac:dyDescent="0.2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BU956" s="283"/>
      <c r="BV956" s="283"/>
      <c r="BW956" s="283"/>
      <c r="BX956" s="283"/>
      <c r="BY956" s="283"/>
      <c r="BZ956" s="283"/>
      <c r="CA956" s="283"/>
      <c r="CB956" s="283"/>
    </row>
    <row r="957" spans="1:80" ht="14.25" customHeight="1" x14ac:dyDescent="0.2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BU957" s="283"/>
      <c r="BV957" s="283"/>
      <c r="BW957" s="283"/>
      <c r="BX957" s="283"/>
      <c r="BY957" s="283"/>
      <c r="BZ957" s="283"/>
      <c r="CA957" s="283"/>
      <c r="CB957" s="283"/>
    </row>
    <row r="958" spans="1:80" ht="14.25" customHeight="1" x14ac:dyDescent="0.2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BU958" s="283"/>
      <c r="BV958" s="283"/>
      <c r="BW958" s="283"/>
      <c r="BX958" s="283"/>
      <c r="BY958" s="283"/>
      <c r="BZ958" s="283"/>
      <c r="CA958" s="283"/>
      <c r="CB958" s="283"/>
    </row>
    <row r="959" spans="1:80" ht="14.25" customHeight="1" x14ac:dyDescent="0.2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BU959" s="283"/>
      <c r="BV959" s="283"/>
      <c r="BW959" s="283"/>
      <c r="BX959" s="283"/>
      <c r="BY959" s="283"/>
      <c r="BZ959" s="283"/>
      <c r="CA959" s="283"/>
      <c r="CB959" s="283"/>
    </row>
    <row r="960" spans="1:80" ht="14.25" customHeight="1" x14ac:dyDescent="0.2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BU960" s="283"/>
      <c r="BV960" s="283"/>
      <c r="BW960" s="283"/>
      <c r="BX960" s="283"/>
      <c r="BY960" s="283"/>
      <c r="BZ960" s="283"/>
      <c r="CA960" s="283"/>
      <c r="CB960" s="283"/>
    </row>
    <row r="961" spans="1:80" ht="14.25" customHeight="1" x14ac:dyDescent="0.2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BU961" s="283"/>
      <c r="BV961" s="283"/>
      <c r="BW961" s="283"/>
      <c r="BX961" s="283"/>
      <c r="BY961" s="283"/>
      <c r="BZ961" s="283"/>
      <c r="CA961" s="283"/>
      <c r="CB961" s="283"/>
    </row>
    <row r="962" spans="1:80" ht="14.25" customHeight="1" x14ac:dyDescent="0.2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BU962" s="283"/>
      <c r="BV962" s="283"/>
      <c r="BW962" s="283"/>
      <c r="BX962" s="283"/>
      <c r="BY962" s="283"/>
      <c r="BZ962" s="283"/>
      <c r="CA962" s="283"/>
      <c r="CB962" s="283"/>
    </row>
    <row r="963" spans="1:80" ht="14.25" customHeight="1" x14ac:dyDescent="0.2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BU963" s="283"/>
      <c r="BV963" s="283"/>
      <c r="BW963" s="283"/>
      <c r="BX963" s="283"/>
      <c r="BY963" s="283"/>
      <c r="BZ963" s="283"/>
      <c r="CA963" s="283"/>
      <c r="CB963" s="283"/>
    </row>
    <row r="964" spans="1:80" ht="14.25" customHeight="1" x14ac:dyDescent="0.2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BU964" s="283"/>
      <c r="BV964" s="283"/>
      <c r="BW964" s="283"/>
      <c r="BX964" s="283"/>
      <c r="BY964" s="283"/>
      <c r="BZ964" s="283"/>
      <c r="CA964" s="283"/>
      <c r="CB964" s="283"/>
    </row>
    <row r="965" spans="1:80" ht="14.25" customHeight="1" x14ac:dyDescent="0.2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BU965" s="283"/>
      <c r="BV965" s="283"/>
      <c r="BW965" s="283"/>
      <c r="BX965" s="283"/>
      <c r="BY965" s="283"/>
      <c r="BZ965" s="283"/>
      <c r="CA965" s="283"/>
      <c r="CB965" s="283"/>
    </row>
    <row r="966" spans="1:80" ht="14.25" customHeight="1" x14ac:dyDescent="0.2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BU966" s="283"/>
      <c r="BV966" s="283"/>
      <c r="BW966" s="283"/>
      <c r="BX966" s="283"/>
      <c r="BY966" s="283"/>
      <c r="BZ966" s="283"/>
      <c r="CA966" s="283"/>
      <c r="CB966" s="283"/>
    </row>
    <row r="967" spans="1:80" ht="14.25" customHeight="1" x14ac:dyDescent="0.2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BU967" s="283"/>
      <c r="BV967" s="283"/>
      <c r="BW967" s="283"/>
      <c r="BX967" s="283"/>
      <c r="BY967" s="283"/>
      <c r="BZ967" s="283"/>
      <c r="CA967" s="283"/>
      <c r="CB967" s="283"/>
    </row>
    <row r="968" spans="1:80" ht="14.25" customHeight="1" x14ac:dyDescent="0.2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BU968" s="283"/>
      <c r="BV968" s="283"/>
      <c r="BW968" s="283"/>
      <c r="BX968" s="283"/>
      <c r="BY968" s="283"/>
      <c r="BZ968" s="283"/>
      <c r="CA968" s="283"/>
      <c r="CB968" s="283"/>
    </row>
    <row r="969" spans="1:80" ht="14.25" customHeight="1" x14ac:dyDescent="0.2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BU969" s="283"/>
      <c r="BV969" s="283"/>
      <c r="BW969" s="283"/>
      <c r="BX969" s="283"/>
      <c r="BY969" s="283"/>
      <c r="BZ969" s="283"/>
      <c r="CA969" s="283"/>
      <c r="CB969" s="283"/>
    </row>
    <row r="970" spans="1:80" ht="14.25" customHeight="1" x14ac:dyDescent="0.2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BU970" s="283"/>
      <c r="BV970" s="283"/>
      <c r="BW970" s="283"/>
      <c r="BX970" s="283"/>
      <c r="BY970" s="283"/>
      <c r="BZ970" s="283"/>
      <c r="CA970" s="283"/>
      <c r="CB970" s="283"/>
    </row>
    <row r="971" spans="1:80" ht="14.25" customHeight="1" x14ac:dyDescent="0.2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BU971" s="283"/>
      <c r="BV971" s="283"/>
      <c r="BW971" s="283"/>
      <c r="BX971" s="283"/>
      <c r="BY971" s="283"/>
      <c r="BZ971" s="283"/>
      <c r="CA971" s="283"/>
      <c r="CB971" s="283"/>
    </row>
    <row r="972" spans="1:80" ht="14.25" customHeight="1" x14ac:dyDescent="0.2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BU972" s="283"/>
      <c r="BV972" s="283"/>
      <c r="BW972" s="283"/>
      <c r="BX972" s="283"/>
      <c r="BY972" s="283"/>
      <c r="BZ972" s="283"/>
      <c r="CA972" s="283"/>
      <c r="CB972" s="283"/>
    </row>
    <row r="973" spans="1:80" ht="14.25" customHeight="1" x14ac:dyDescent="0.2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BU973" s="283"/>
      <c r="BV973" s="283"/>
      <c r="BW973" s="283"/>
      <c r="BX973" s="283"/>
      <c r="BY973" s="283"/>
      <c r="BZ973" s="283"/>
      <c r="CA973" s="283"/>
      <c r="CB973" s="283"/>
    </row>
    <row r="974" spans="1:80" ht="14.25" customHeight="1" x14ac:dyDescent="0.2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BU974" s="283"/>
      <c r="BV974" s="283"/>
      <c r="BW974" s="283"/>
      <c r="BX974" s="283"/>
      <c r="BY974" s="283"/>
      <c r="BZ974" s="283"/>
      <c r="CA974" s="283"/>
      <c r="CB974" s="283"/>
    </row>
    <row r="975" spans="1:80" ht="14.25" customHeight="1" x14ac:dyDescent="0.2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BU975" s="283"/>
      <c r="BV975" s="283"/>
      <c r="BW975" s="283"/>
      <c r="BX975" s="283"/>
      <c r="BY975" s="283"/>
      <c r="BZ975" s="283"/>
      <c r="CA975" s="283"/>
      <c r="CB975" s="283"/>
    </row>
    <row r="976" spans="1:80" ht="14.25" customHeight="1" x14ac:dyDescent="0.2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BU976" s="283"/>
      <c r="BV976" s="283"/>
      <c r="BW976" s="283"/>
      <c r="BX976" s="283"/>
      <c r="BY976" s="283"/>
      <c r="BZ976" s="283"/>
      <c r="CA976" s="283"/>
      <c r="CB976" s="283"/>
    </row>
    <row r="977" spans="1:80" ht="14.25" customHeight="1" x14ac:dyDescent="0.2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BU977" s="283"/>
      <c r="BV977" s="283"/>
      <c r="BW977" s="283"/>
      <c r="BX977" s="283"/>
      <c r="BY977" s="283"/>
      <c r="BZ977" s="283"/>
      <c r="CA977" s="283"/>
      <c r="CB977" s="283"/>
    </row>
    <row r="978" spans="1:80" ht="14.25" customHeight="1" x14ac:dyDescent="0.2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BU978" s="283"/>
      <c r="BV978" s="283"/>
      <c r="BW978" s="283"/>
      <c r="BX978" s="283"/>
      <c r="BY978" s="283"/>
      <c r="BZ978" s="283"/>
      <c r="CA978" s="283"/>
      <c r="CB978" s="283"/>
    </row>
    <row r="979" spans="1:80" ht="14.25" customHeight="1" x14ac:dyDescent="0.2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BU979" s="283"/>
      <c r="BV979" s="283"/>
      <c r="BW979" s="283"/>
      <c r="BX979" s="283"/>
      <c r="BY979" s="283"/>
      <c r="BZ979" s="283"/>
      <c r="CA979" s="283"/>
      <c r="CB979" s="283"/>
    </row>
    <row r="980" spans="1:80" ht="14.25" customHeight="1" x14ac:dyDescent="0.2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BU980" s="283"/>
      <c r="BV980" s="283"/>
      <c r="BW980" s="283"/>
      <c r="BX980" s="283"/>
      <c r="BY980" s="283"/>
      <c r="BZ980" s="283"/>
      <c r="CA980" s="283"/>
      <c r="CB980" s="283"/>
    </row>
    <row r="981" spans="1:80" ht="14.25" customHeight="1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BU981" s="283"/>
      <c r="BV981" s="283"/>
      <c r="BW981" s="283"/>
      <c r="BX981" s="283"/>
      <c r="BY981" s="283"/>
      <c r="BZ981" s="283"/>
      <c r="CA981" s="283"/>
      <c r="CB981" s="283"/>
    </row>
    <row r="982" spans="1:80" ht="14.25" customHeight="1" x14ac:dyDescent="0.2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BU982" s="283"/>
      <c r="BV982" s="283"/>
      <c r="BW982" s="283"/>
      <c r="BX982" s="283"/>
      <c r="BY982" s="283"/>
      <c r="BZ982" s="283"/>
      <c r="CA982" s="283"/>
      <c r="CB982" s="283"/>
    </row>
    <row r="983" spans="1:80" ht="14.25" customHeight="1" x14ac:dyDescent="0.2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BU983" s="283"/>
      <c r="BV983" s="283"/>
      <c r="BW983" s="283"/>
      <c r="BX983" s="283"/>
      <c r="BY983" s="283"/>
      <c r="BZ983" s="283"/>
      <c r="CA983" s="283"/>
      <c r="CB983" s="283"/>
    </row>
    <row r="984" spans="1:80" ht="14.25" customHeight="1" x14ac:dyDescent="0.2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BU984" s="283"/>
      <c r="BV984" s="283"/>
      <c r="BW984" s="283"/>
      <c r="BX984" s="283"/>
      <c r="BY984" s="283"/>
      <c r="BZ984" s="283"/>
      <c r="CA984" s="283"/>
      <c r="CB984" s="283"/>
    </row>
    <row r="985" spans="1:80" ht="14.25" customHeight="1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BU985" s="283"/>
      <c r="BV985" s="283"/>
      <c r="BW985" s="283"/>
      <c r="BX985" s="283"/>
      <c r="BY985" s="283"/>
      <c r="BZ985" s="283"/>
      <c r="CA985" s="283"/>
      <c r="CB985" s="283"/>
    </row>
    <row r="986" spans="1:80" ht="14.25" customHeight="1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BU986" s="283"/>
      <c r="BV986" s="283"/>
      <c r="BW986" s="283"/>
      <c r="BX986" s="283"/>
      <c r="BY986" s="283"/>
      <c r="BZ986" s="283"/>
      <c r="CA986" s="283"/>
      <c r="CB986" s="283"/>
    </row>
    <row r="987" spans="1:80" ht="14.25" customHeight="1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BU987" s="283"/>
      <c r="BV987" s="283"/>
      <c r="BW987" s="283"/>
      <c r="BX987" s="283"/>
      <c r="BY987" s="283"/>
      <c r="BZ987" s="283"/>
      <c r="CA987" s="283"/>
      <c r="CB987" s="283"/>
    </row>
    <row r="988" spans="1:80" ht="14.25" customHeight="1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BU988" s="283"/>
      <c r="BV988" s="283"/>
      <c r="BW988" s="283"/>
      <c r="BX988" s="283"/>
      <c r="BY988" s="283"/>
      <c r="BZ988" s="283"/>
      <c r="CA988" s="283"/>
      <c r="CB988" s="283"/>
    </row>
    <row r="989" spans="1:80" ht="14.25" customHeight="1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BU989" s="283"/>
      <c r="BV989" s="283"/>
      <c r="BW989" s="283"/>
      <c r="BX989" s="283"/>
      <c r="BY989" s="283"/>
      <c r="BZ989" s="283"/>
      <c r="CA989" s="283"/>
      <c r="CB989" s="283"/>
    </row>
    <row r="990" spans="1:80" ht="14.25" customHeight="1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BU990" s="283"/>
      <c r="BV990" s="283"/>
      <c r="BW990" s="283"/>
      <c r="BX990" s="283"/>
      <c r="BY990" s="283"/>
      <c r="BZ990" s="283"/>
      <c r="CA990" s="283"/>
      <c r="CB990" s="283"/>
    </row>
    <row r="991" spans="1:80" ht="14.25" customHeight="1" x14ac:dyDescent="0.2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BU991" s="283"/>
      <c r="BV991" s="283"/>
      <c r="BW991" s="283"/>
      <c r="BX991" s="283"/>
      <c r="BY991" s="283"/>
      <c r="BZ991" s="283"/>
      <c r="CA991" s="283"/>
      <c r="CB991" s="283"/>
    </row>
    <row r="992" spans="1:80" ht="14.25" customHeight="1" x14ac:dyDescent="0.2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BU992" s="283"/>
      <c r="BV992" s="283"/>
      <c r="BW992" s="283"/>
      <c r="BX992" s="283"/>
      <c r="BY992" s="283"/>
      <c r="BZ992" s="283"/>
      <c r="CA992" s="283"/>
      <c r="CB992" s="283"/>
    </row>
    <row r="993" spans="1:80" ht="14.25" customHeight="1" x14ac:dyDescent="0.2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BU993" s="283"/>
      <c r="BV993" s="283"/>
      <c r="BW993" s="283"/>
      <c r="BX993" s="283"/>
      <c r="BY993" s="283"/>
      <c r="BZ993" s="283"/>
      <c r="CA993" s="283"/>
      <c r="CB993" s="283"/>
    </row>
    <row r="994" spans="1:80" ht="14.25" customHeight="1" x14ac:dyDescent="0.2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BU994" s="283"/>
      <c r="BV994" s="283"/>
      <c r="BW994" s="283"/>
      <c r="BX994" s="283"/>
      <c r="BY994" s="283"/>
      <c r="BZ994" s="283"/>
      <c r="CA994" s="283"/>
      <c r="CB994" s="283"/>
    </row>
    <row r="995" spans="1:80" ht="14.25" customHeight="1" x14ac:dyDescent="0.2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BU995" s="283"/>
      <c r="BV995" s="283"/>
      <c r="BW995" s="283"/>
      <c r="BX995" s="283"/>
      <c r="BY995" s="283"/>
      <c r="BZ995" s="283"/>
      <c r="CA995" s="283"/>
      <c r="CB995" s="283"/>
    </row>
    <row r="996" spans="1:80" ht="14.25" customHeight="1" x14ac:dyDescent="0.2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BU996" s="283"/>
      <c r="BV996" s="283"/>
      <c r="BW996" s="283"/>
      <c r="BX996" s="283"/>
      <c r="BY996" s="283"/>
      <c r="BZ996" s="283"/>
      <c r="CA996" s="283"/>
      <c r="CB996" s="283"/>
    </row>
    <row r="997" spans="1:80" ht="14.25" customHeight="1" x14ac:dyDescent="0.2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BU997" s="283"/>
      <c r="BV997" s="283"/>
      <c r="BW997" s="283"/>
      <c r="BX997" s="283"/>
      <c r="BY997" s="283"/>
      <c r="BZ997" s="283"/>
      <c r="CA997" s="283"/>
      <c r="CB997" s="283"/>
    </row>
    <row r="998" spans="1:80" ht="14.25" customHeight="1" x14ac:dyDescent="0.2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</row>
    <row r="999" spans="1:80" ht="14.25" customHeight="1" x14ac:dyDescent="0.2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</row>
    <row r="1000" spans="1:80" ht="14.25" customHeight="1" x14ac:dyDescent="0.2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</row>
    <row r="1001" spans="1:80" ht="14.25" customHeight="1" x14ac:dyDescent="0.2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</row>
    <row r="1002" spans="1:80" ht="14.25" customHeight="1" x14ac:dyDescent="0.2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</row>
  </sheetData>
  <mergeCells count="16">
    <mergeCell ref="BI65:BP65"/>
    <mergeCell ref="AJ20:AK20"/>
    <mergeCell ref="AO20:AP20"/>
    <mergeCell ref="AT20:AU20"/>
    <mergeCell ref="AY20:BD20"/>
    <mergeCell ref="R15:S15"/>
    <mergeCell ref="R16:S16"/>
    <mergeCell ref="R17:S17"/>
    <mergeCell ref="Z20:AA20"/>
    <mergeCell ref="AE20:AF20"/>
    <mergeCell ref="U20:V20"/>
    <mergeCell ref="A4:I5"/>
    <mergeCell ref="R11:S11"/>
    <mergeCell ref="R12:S12"/>
    <mergeCell ref="R13:S13"/>
    <mergeCell ref="R14:S14"/>
  </mergeCells>
  <pageMargins left="0.7" right="0.7" top="0.75" bottom="0.75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EC521-1663-4760-A55A-3BF193251A06}">
  <sheetPr codeName="Sheet23"/>
  <dimension ref="A1:N411"/>
  <sheetViews>
    <sheetView zoomScaleNormal="100" workbookViewId="0">
      <selection activeCell="H13" sqref="H13"/>
    </sheetView>
  </sheetViews>
  <sheetFormatPr defaultRowHeight="14.25" x14ac:dyDescent="0.2"/>
  <cols>
    <col min="1" max="1" width="3.375" customWidth="1"/>
    <col min="2" max="2" width="17.5" customWidth="1"/>
    <col min="4" max="4" width="38.125" customWidth="1"/>
    <col min="5" max="5" width="38.125" style="447" customWidth="1"/>
    <col min="6" max="6" width="18.875" customWidth="1"/>
    <col min="7" max="7" width="25.5" customWidth="1"/>
    <col min="8" max="8" width="29.125" customWidth="1"/>
    <col min="9" max="9" width="16.125" customWidth="1"/>
    <col min="10" max="10" width="25.375" customWidth="1"/>
    <col min="11" max="11" width="17.125" customWidth="1"/>
    <col min="12" max="12" width="16" customWidth="1"/>
    <col min="13" max="13" width="17.625" customWidth="1"/>
  </cols>
  <sheetData>
    <row r="1" spans="1:14" x14ac:dyDescent="0.2">
      <c r="B1" t="s">
        <v>461</v>
      </c>
      <c r="F1" t="s">
        <v>462</v>
      </c>
      <c r="G1" t="s">
        <v>464</v>
      </c>
      <c r="L1" s="407" t="s">
        <v>472</v>
      </c>
    </row>
    <row r="2" spans="1:14" ht="25.5" customHeight="1" x14ac:dyDescent="0.2">
      <c r="B2" s="449" t="s">
        <v>459</v>
      </c>
      <c r="C2" s="449" t="s">
        <v>303</v>
      </c>
      <c r="D2" s="449" t="s">
        <v>460</v>
      </c>
      <c r="E2" s="449" t="s">
        <v>467</v>
      </c>
      <c r="F2" s="451" t="s">
        <v>463</v>
      </c>
      <c r="G2" s="451" t="s">
        <v>465</v>
      </c>
      <c r="H2" s="449" t="s">
        <v>468</v>
      </c>
      <c r="I2" s="449" t="s">
        <v>469</v>
      </c>
      <c r="J2" s="449" t="s">
        <v>470</v>
      </c>
      <c r="K2" s="453" t="s">
        <v>471</v>
      </c>
      <c r="L2" s="449">
        <v>91538</v>
      </c>
      <c r="M2" s="460" t="s">
        <v>238</v>
      </c>
    </row>
    <row r="3" spans="1:14" x14ac:dyDescent="0.2">
      <c r="A3" s="407"/>
      <c r="B3" s="407" t="s">
        <v>304</v>
      </c>
      <c r="C3" s="449">
        <v>54</v>
      </c>
      <c r="D3" s="449">
        <v>5.7780000000000001E-3</v>
      </c>
      <c r="E3" s="452">
        <f>D3*100</f>
        <v>0.57779999999999998</v>
      </c>
      <c r="F3" s="449">
        <v>1</v>
      </c>
      <c r="G3" s="449">
        <v>1</v>
      </c>
      <c r="H3" s="449">
        <v>55.1</v>
      </c>
      <c r="I3" s="449">
        <v>55</v>
      </c>
      <c r="J3" s="450">
        <f>D4</f>
        <v>6.2839999999999997E-3</v>
      </c>
      <c r="K3" s="461">
        <f>1-((1-J3)^(1/12))</f>
        <v>5.2518099710519017E-4</v>
      </c>
      <c r="L3" s="452">
        <f>K3*L2</f>
        <v>48.074018113014901</v>
      </c>
      <c r="M3" s="458">
        <f>L2-L3</f>
        <v>91489.92598188699</v>
      </c>
    </row>
    <row r="4" spans="1:14" x14ac:dyDescent="0.2">
      <c r="A4" s="407"/>
      <c r="B4" s="454" t="s">
        <v>305</v>
      </c>
      <c r="C4" s="455">
        <v>55</v>
      </c>
      <c r="D4" s="455">
        <v>6.2839999999999997E-3</v>
      </c>
      <c r="E4" s="456">
        <f t="shared" ref="E4:E49" si="0">D4*100</f>
        <v>0.62839999999999996</v>
      </c>
      <c r="F4" s="449">
        <v>2</v>
      </c>
      <c r="G4" s="449">
        <v>2</v>
      </c>
      <c r="H4" s="449">
        <v>55.2</v>
      </c>
      <c r="I4" s="449">
        <v>55</v>
      </c>
      <c r="J4" s="450">
        <f>D4</f>
        <v>6.2839999999999997E-3</v>
      </c>
      <c r="K4" s="461">
        <f t="shared" ref="K4:K67" si="1">1-((1-J4)^(1/12))</f>
        <v>5.2518099710519017E-4</v>
      </c>
      <c r="L4" s="452">
        <f t="shared" ref="L4:L13" si="2">K4*M3</f>
        <v>48.048770552247454</v>
      </c>
      <c r="M4" s="458">
        <f t="shared" ref="M4:M14" si="3">M3-L4</f>
        <v>91441.877211334737</v>
      </c>
    </row>
    <row r="5" spans="1:14" x14ac:dyDescent="0.2">
      <c r="A5" s="407"/>
      <c r="B5" s="407" t="s">
        <v>306</v>
      </c>
      <c r="C5" s="449">
        <v>56</v>
      </c>
      <c r="D5" s="449">
        <v>6.7939999999999997E-3</v>
      </c>
      <c r="E5" s="452">
        <f t="shared" si="0"/>
        <v>0.6794</v>
      </c>
      <c r="F5" s="449">
        <v>3</v>
      </c>
      <c r="G5" s="449">
        <v>3</v>
      </c>
      <c r="H5" s="449">
        <v>55.3</v>
      </c>
      <c r="I5" s="449">
        <v>55</v>
      </c>
      <c r="J5" s="450">
        <f t="shared" ref="J5:J14" si="4">$D$4</f>
        <v>6.2839999999999997E-3</v>
      </c>
      <c r="K5" s="461">
        <f t="shared" si="1"/>
        <v>5.2518099710519017E-4</v>
      </c>
      <c r="L5" s="452">
        <f t="shared" si="2"/>
        <v>48.023536251019145</v>
      </c>
      <c r="M5" s="458">
        <f t="shared" si="3"/>
        <v>91393.853675083723</v>
      </c>
    </row>
    <row r="6" spans="1:14" x14ac:dyDescent="0.2">
      <c r="A6" s="407"/>
      <c r="B6" s="407" t="s">
        <v>307</v>
      </c>
      <c r="C6" s="449">
        <v>57</v>
      </c>
      <c r="D6" s="449">
        <v>7.319E-3</v>
      </c>
      <c r="E6" s="452">
        <f t="shared" si="0"/>
        <v>0.7319</v>
      </c>
      <c r="F6" s="449">
        <v>4</v>
      </c>
      <c r="G6" s="449">
        <v>4</v>
      </c>
      <c r="H6" s="449">
        <v>55.4</v>
      </c>
      <c r="I6" s="449">
        <v>55</v>
      </c>
      <c r="J6" s="450">
        <f t="shared" si="4"/>
        <v>6.2839999999999997E-3</v>
      </c>
      <c r="K6" s="461">
        <f t="shared" si="1"/>
        <v>5.2518099710519017E-4</v>
      </c>
      <c r="L6" s="452">
        <f t="shared" si="2"/>
        <v>47.998315202366321</v>
      </c>
      <c r="M6" s="458">
        <f t="shared" si="3"/>
        <v>91345.85535988136</v>
      </c>
    </row>
    <row r="7" spans="1:14" x14ac:dyDescent="0.2">
      <c r="A7" s="407"/>
      <c r="B7" s="407" t="s">
        <v>308</v>
      </c>
      <c r="C7" s="449">
        <v>58</v>
      </c>
      <c r="D7" s="449">
        <v>7.8689999999999993E-3</v>
      </c>
      <c r="E7" s="452">
        <f t="shared" si="0"/>
        <v>0.78689999999999993</v>
      </c>
      <c r="F7" s="449">
        <v>5</v>
      </c>
      <c r="G7" s="449">
        <v>5</v>
      </c>
      <c r="H7" s="449">
        <v>55.5</v>
      </c>
      <c r="I7" s="449">
        <v>55</v>
      </c>
      <c r="J7" s="450">
        <f t="shared" si="4"/>
        <v>6.2839999999999997E-3</v>
      </c>
      <c r="K7" s="461">
        <f t="shared" si="1"/>
        <v>5.2518099710519017E-4</v>
      </c>
      <c r="L7" s="452">
        <f t="shared" si="2"/>
        <v>47.973107399328974</v>
      </c>
      <c r="M7" s="458">
        <f t="shared" si="3"/>
        <v>91297.882252482028</v>
      </c>
    </row>
    <row r="8" spans="1:14" x14ac:dyDescent="0.2">
      <c r="A8" s="407"/>
      <c r="B8" s="407" t="s">
        <v>309</v>
      </c>
      <c r="C8" s="449">
        <v>59</v>
      </c>
      <c r="D8" s="449">
        <v>8.456E-3</v>
      </c>
      <c r="E8" s="452">
        <f t="shared" si="0"/>
        <v>0.84560000000000002</v>
      </c>
      <c r="F8" s="449">
        <v>6</v>
      </c>
      <c r="G8" s="449">
        <v>6</v>
      </c>
      <c r="H8" s="449">
        <v>55.6</v>
      </c>
      <c r="I8" s="449">
        <v>55</v>
      </c>
      <c r="J8" s="450">
        <f t="shared" si="4"/>
        <v>6.2839999999999997E-3</v>
      </c>
      <c r="K8" s="461">
        <f t="shared" si="1"/>
        <v>5.2518099710519017E-4</v>
      </c>
      <c r="L8" s="452">
        <f t="shared" si="2"/>
        <v>47.947912834950756</v>
      </c>
      <c r="M8" s="458">
        <f t="shared" si="3"/>
        <v>91249.934339647079</v>
      </c>
    </row>
    <row r="9" spans="1:14" x14ac:dyDescent="0.2">
      <c r="A9" s="407"/>
      <c r="B9" s="407" t="s">
        <v>310</v>
      </c>
      <c r="C9" s="449">
        <v>60</v>
      </c>
      <c r="D9" s="449">
        <v>9.0930000000000004E-3</v>
      </c>
      <c r="E9" s="452">
        <f t="shared" si="0"/>
        <v>0.9093</v>
      </c>
      <c r="F9" s="449">
        <v>7</v>
      </c>
      <c r="G9" s="449">
        <v>7</v>
      </c>
      <c r="H9" s="449">
        <v>55.7</v>
      </c>
      <c r="I9" s="449">
        <v>55</v>
      </c>
      <c r="J9" s="450">
        <f t="shared" si="4"/>
        <v>6.2839999999999997E-3</v>
      </c>
      <c r="K9" s="461">
        <f t="shared" si="1"/>
        <v>5.2518099710519017E-4</v>
      </c>
      <c r="L9" s="452">
        <f t="shared" si="2"/>
        <v>47.922731502278985</v>
      </c>
      <c r="M9" s="458">
        <f t="shared" si="3"/>
        <v>91202.011608144807</v>
      </c>
    </row>
    <row r="10" spans="1:14" x14ac:dyDescent="0.2">
      <c r="A10" s="407"/>
      <c r="B10" s="407" t="s">
        <v>311</v>
      </c>
      <c r="C10" s="449">
        <v>61</v>
      </c>
      <c r="D10" s="449">
        <v>9.7680000000000006E-3</v>
      </c>
      <c r="E10" s="452">
        <f t="shared" si="0"/>
        <v>0.97680000000000011</v>
      </c>
      <c r="F10" s="449">
        <v>8</v>
      </c>
      <c r="G10" s="449">
        <v>8</v>
      </c>
      <c r="H10" s="449">
        <v>55.8</v>
      </c>
      <c r="I10" s="449">
        <v>55</v>
      </c>
      <c r="J10" s="450">
        <f t="shared" si="4"/>
        <v>6.2839999999999997E-3</v>
      </c>
      <c r="K10" s="461">
        <f t="shared" si="1"/>
        <v>5.2518099710519017E-4</v>
      </c>
      <c r="L10" s="452">
        <f t="shared" si="2"/>
        <v>47.897563394364617</v>
      </c>
      <c r="M10" s="458">
        <f t="shared" si="3"/>
        <v>91154.114044750444</v>
      </c>
    </row>
    <row r="11" spans="1:14" x14ac:dyDescent="0.2">
      <c r="A11" s="407"/>
      <c r="B11" s="407" t="s">
        <v>312</v>
      </c>
      <c r="C11" s="449">
        <v>62</v>
      </c>
      <c r="D11" s="449">
        <v>1.0467000000000001E-2</v>
      </c>
      <c r="E11" s="452">
        <f t="shared" si="0"/>
        <v>1.0467</v>
      </c>
      <c r="F11" s="449">
        <v>9</v>
      </c>
      <c r="G11" s="449">
        <v>9</v>
      </c>
      <c r="H11" s="449">
        <v>55.9</v>
      </c>
      <c r="I11" s="449">
        <v>55</v>
      </c>
      <c r="J11" s="450">
        <f t="shared" si="4"/>
        <v>6.2839999999999997E-3</v>
      </c>
      <c r="K11" s="461">
        <f t="shared" si="1"/>
        <v>5.2518099710519017E-4</v>
      </c>
      <c r="L11" s="452">
        <f t="shared" si="2"/>
        <v>47.87240850426226</v>
      </c>
      <c r="M11" s="458">
        <f t="shared" si="3"/>
        <v>91106.241636246181</v>
      </c>
    </row>
    <row r="12" spans="1:14" x14ac:dyDescent="0.2">
      <c r="A12" s="407"/>
      <c r="B12" s="454" t="s">
        <v>313</v>
      </c>
      <c r="C12" s="455">
        <v>63</v>
      </c>
      <c r="D12" s="455">
        <v>1.1181E-2</v>
      </c>
      <c r="E12" s="456">
        <f t="shared" si="0"/>
        <v>1.1181000000000001</v>
      </c>
      <c r="F12" s="449">
        <v>10</v>
      </c>
      <c r="G12" s="449">
        <v>10</v>
      </c>
      <c r="H12" s="449">
        <v>55.1</v>
      </c>
      <c r="I12" s="449">
        <v>55</v>
      </c>
      <c r="J12" s="450">
        <f t="shared" si="4"/>
        <v>6.2839999999999997E-3</v>
      </c>
      <c r="K12" s="461">
        <f t="shared" si="1"/>
        <v>5.2518099710519017E-4</v>
      </c>
      <c r="L12" s="452">
        <f t="shared" si="2"/>
        <v>47.847266825030161</v>
      </c>
      <c r="M12" s="458">
        <f t="shared" si="3"/>
        <v>91058.394369421148</v>
      </c>
    </row>
    <row r="13" spans="1:14" x14ac:dyDescent="0.2">
      <c r="A13" s="407"/>
      <c r="B13" s="407" t="s">
        <v>314</v>
      </c>
      <c r="C13" s="449">
        <v>64</v>
      </c>
      <c r="D13" s="449">
        <v>1.1922E-2</v>
      </c>
      <c r="E13" s="452">
        <f t="shared" si="0"/>
        <v>1.1921999999999999</v>
      </c>
      <c r="F13" t="s">
        <v>466</v>
      </c>
      <c r="G13" s="449">
        <v>11</v>
      </c>
      <c r="H13" s="449">
        <v>55.11</v>
      </c>
      <c r="I13" s="449">
        <v>55</v>
      </c>
      <c r="J13" s="450">
        <f t="shared" si="4"/>
        <v>6.2839999999999997E-3</v>
      </c>
      <c r="K13" s="461">
        <f t="shared" si="1"/>
        <v>5.2518099710519017E-4</v>
      </c>
      <c r="L13" s="452">
        <f t="shared" si="2"/>
        <v>47.822138349730231</v>
      </c>
      <c r="M13" s="458">
        <f t="shared" si="3"/>
        <v>91010.572231071419</v>
      </c>
    </row>
    <row r="14" spans="1:14" x14ac:dyDescent="0.2">
      <c r="A14" s="407"/>
      <c r="B14" s="407" t="s">
        <v>315</v>
      </c>
      <c r="C14" s="449">
        <v>65</v>
      </c>
      <c r="D14" s="449">
        <v>1.2710000000000001E-2</v>
      </c>
      <c r="E14" s="452">
        <f t="shared" si="0"/>
        <v>1.2710000000000001</v>
      </c>
      <c r="G14" s="449">
        <v>12</v>
      </c>
      <c r="H14" s="449">
        <v>55.12</v>
      </c>
      <c r="I14" s="449">
        <v>55</v>
      </c>
      <c r="J14" s="450">
        <f t="shared" si="4"/>
        <v>6.2839999999999997E-3</v>
      </c>
      <c r="K14" s="461">
        <f t="shared" si="1"/>
        <v>5.2518099710519017E-4</v>
      </c>
      <c r="L14" s="452">
        <f>M13*K14</f>
        <v>47.797023071428022</v>
      </c>
      <c r="M14" s="459">
        <f t="shared" si="3"/>
        <v>90962.775207999992</v>
      </c>
      <c r="N14" t="s">
        <v>473</v>
      </c>
    </row>
    <row r="15" spans="1:14" x14ac:dyDescent="0.2">
      <c r="A15" s="407"/>
      <c r="B15" s="407" t="s">
        <v>316</v>
      </c>
      <c r="C15" s="449">
        <v>66</v>
      </c>
      <c r="D15" s="449">
        <v>1.3620999999999999E-2</v>
      </c>
      <c r="E15" s="452">
        <f t="shared" si="0"/>
        <v>1.3620999999999999</v>
      </c>
      <c r="G15" s="455">
        <v>13</v>
      </c>
      <c r="H15" s="455">
        <v>56.1</v>
      </c>
      <c r="I15" s="455">
        <v>56</v>
      </c>
      <c r="J15" s="462">
        <f>$D$5</f>
        <v>6.7939999999999997E-3</v>
      </c>
      <c r="K15" s="461">
        <f t="shared" si="1"/>
        <v>5.6793735307825166E-4</v>
      </c>
      <c r="L15" s="463" t="s">
        <v>474</v>
      </c>
      <c r="M15" s="452"/>
    </row>
    <row r="16" spans="1:14" x14ac:dyDescent="0.2">
      <c r="A16" s="407"/>
      <c r="B16" s="407" t="s">
        <v>317</v>
      </c>
      <c r="C16" s="449">
        <v>67</v>
      </c>
      <c r="D16" s="449">
        <v>1.4619999999999999E-2</v>
      </c>
      <c r="E16" s="452">
        <f t="shared" si="0"/>
        <v>1.462</v>
      </c>
      <c r="G16" s="449">
        <v>14</v>
      </c>
      <c r="H16" s="449">
        <v>56.2</v>
      </c>
      <c r="I16" s="449">
        <v>56</v>
      </c>
      <c r="J16" s="450">
        <f t="shared" ref="J16:J26" si="5">$D$5</f>
        <v>6.7939999999999997E-3</v>
      </c>
      <c r="K16" s="461">
        <f t="shared" si="1"/>
        <v>5.6793735307825166E-4</v>
      </c>
      <c r="L16" s="449"/>
      <c r="M16" s="449"/>
    </row>
    <row r="17" spans="1:13" x14ac:dyDescent="0.2">
      <c r="A17" s="407"/>
      <c r="B17" s="407" t="s">
        <v>318</v>
      </c>
      <c r="C17" s="449">
        <v>68</v>
      </c>
      <c r="D17" s="449">
        <v>1.5769999999999999E-2</v>
      </c>
      <c r="E17" s="452">
        <f t="shared" si="0"/>
        <v>1.577</v>
      </c>
      <c r="F17" s="457">
        <f>D4*91538</f>
        <v>575.22479199999998</v>
      </c>
      <c r="G17" s="449">
        <v>15</v>
      </c>
      <c r="H17" s="449">
        <v>56.3</v>
      </c>
      <c r="I17" s="449">
        <v>56</v>
      </c>
      <c r="J17" s="450">
        <f t="shared" si="5"/>
        <v>6.7939999999999997E-3</v>
      </c>
      <c r="K17" s="461">
        <f t="shared" si="1"/>
        <v>5.6793735307825166E-4</v>
      </c>
      <c r="L17" s="449"/>
      <c r="M17" s="449"/>
    </row>
    <row r="18" spans="1:13" x14ac:dyDescent="0.2">
      <c r="A18" s="407"/>
      <c r="B18" s="407" t="s">
        <v>319</v>
      </c>
      <c r="C18" s="449">
        <v>69</v>
      </c>
      <c r="D18" s="449">
        <v>1.7100000000000001E-2</v>
      </c>
      <c r="E18" s="452">
        <f t="shared" si="0"/>
        <v>1.71</v>
      </c>
      <c r="G18" s="449">
        <v>16</v>
      </c>
      <c r="H18" s="449">
        <v>56.4</v>
      </c>
      <c r="I18" s="449">
        <v>56</v>
      </c>
      <c r="J18" s="450">
        <f t="shared" si="5"/>
        <v>6.7939999999999997E-3</v>
      </c>
      <c r="K18" s="461">
        <f t="shared" si="1"/>
        <v>5.6793735307825166E-4</v>
      </c>
      <c r="L18" s="449"/>
      <c r="M18" s="449"/>
    </row>
    <row r="19" spans="1:13" x14ac:dyDescent="0.2">
      <c r="A19" s="407"/>
      <c r="B19" s="407" t="s">
        <v>320</v>
      </c>
      <c r="C19" s="449">
        <v>70</v>
      </c>
      <c r="D19" s="449">
        <v>1.8428E-2</v>
      </c>
      <c r="E19" s="452">
        <f t="shared" si="0"/>
        <v>1.8428</v>
      </c>
      <c r="G19" s="449">
        <v>17</v>
      </c>
      <c r="H19" s="449">
        <v>56.5</v>
      </c>
      <c r="I19" s="449">
        <v>56</v>
      </c>
      <c r="J19" s="450">
        <f t="shared" si="5"/>
        <v>6.7939999999999997E-3</v>
      </c>
      <c r="K19" s="461">
        <f t="shared" si="1"/>
        <v>5.6793735307825166E-4</v>
      </c>
      <c r="L19" s="449"/>
      <c r="M19" s="449"/>
    </row>
    <row r="20" spans="1:13" x14ac:dyDescent="0.2">
      <c r="A20" s="407"/>
      <c r="B20" s="407" t="s">
        <v>321</v>
      </c>
      <c r="C20" s="449">
        <v>71</v>
      </c>
      <c r="D20" s="449">
        <v>2.0317000000000002E-2</v>
      </c>
      <c r="E20" s="452">
        <f t="shared" si="0"/>
        <v>2.0317000000000003</v>
      </c>
      <c r="G20" s="449">
        <v>18</v>
      </c>
      <c r="H20" s="449">
        <v>56.6</v>
      </c>
      <c r="I20" s="449">
        <v>56</v>
      </c>
      <c r="J20" s="450">
        <f t="shared" si="5"/>
        <v>6.7939999999999997E-3</v>
      </c>
      <c r="K20" s="461">
        <f t="shared" si="1"/>
        <v>5.6793735307825166E-4</v>
      </c>
      <c r="L20" s="449"/>
      <c r="M20" s="449"/>
    </row>
    <row r="21" spans="1:13" x14ac:dyDescent="0.2">
      <c r="A21" s="407"/>
      <c r="B21" s="407" t="s">
        <v>322</v>
      </c>
      <c r="C21" s="449">
        <v>72</v>
      </c>
      <c r="D21" s="449">
        <v>2.2102E-2</v>
      </c>
      <c r="E21" s="452">
        <f t="shared" si="0"/>
        <v>2.2101999999999999</v>
      </c>
      <c r="G21" s="449">
        <v>19</v>
      </c>
      <c r="H21" s="449">
        <v>56.7</v>
      </c>
      <c r="I21" s="449">
        <v>56</v>
      </c>
      <c r="J21" s="450">
        <f t="shared" si="5"/>
        <v>6.7939999999999997E-3</v>
      </c>
      <c r="K21" s="461">
        <f t="shared" si="1"/>
        <v>5.6793735307825166E-4</v>
      </c>
      <c r="L21" s="449"/>
      <c r="M21" s="449"/>
    </row>
    <row r="22" spans="1:13" x14ac:dyDescent="0.2">
      <c r="A22" s="407"/>
      <c r="B22" s="407" t="s">
        <v>323</v>
      </c>
      <c r="C22" s="449">
        <v>73</v>
      </c>
      <c r="D22" s="449">
        <v>2.4194E-2</v>
      </c>
      <c r="E22" s="452">
        <f t="shared" si="0"/>
        <v>2.4194</v>
      </c>
      <c r="G22" s="449">
        <v>20</v>
      </c>
      <c r="H22" s="449">
        <v>56.8</v>
      </c>
      <c r="I22" s="449">
        <v>56</v>
      </c>
      <c r="J22" s="450">
        <f t="shared" si="5"/>
        <v>6.7939999999999997E-3</v>
      </c>
      <c r="K22" s="461">
        <f t="shared" si="1"/>
        <v>5.6793735307825166E-4</v>
      </c>
      <c r="L22" s="449"/>
      <c r="M22" s="449"/>
    </row>
    <row r="23" spans="1:13" x14ac:dyDescent="0.2">
      <c r="A23" s="407"/>
      <c r="B23" s="407" t="s">
        <v>324</v>
      </c>
      <c r="C23" s="449">
        <v>74</v>
      </c>
      <c r="D23" s="449">
        <v>2.6342000000000001E-2</v>
      </c>
      <c r="E23" s="452">
        <f t="shared" si="0"/>
        <v>2.6341999999999999</v>
      </c>
      <c r="G23" s="449">
        <v>21</v>
      </c>
      <c r="H23" s="449">
        <v>56.9</v>
      </c>
      <c r="I23" s="449">
        <v>56</v>
      </c>
      <c r="J23" s="450">
        <f t="shared" si="5"/>
        <v>6.7939999999999997E-3</v>
      </c>
      <c r="K23" s="461">
        <f t="shared" si="1"/>
        <v>5.6793735307825166E-4</v>
      </c>
      <c r="L23" s="449"/>
      <c r="M23" s="449"/>
    </row>
    <row r="24" spans="1:13" x14ac:dyDescent="0.2">
      <c r="A24" s="407"/>
      <c r="B24" s="407" t="s">
        <v>325</v>
      </c>
      <c r="C24" s="449">
        <v>75</v>
      </c>
      <c r="D24" s="449">
        <v>2.9041999999999998E-2</v>
      </c>
      <c r="E24" s="452">
        <f t="shared" si="0"/>
        <v>2.9041999999999999</v>
      </c>
      <c r="G24" s="449">
        <v>22</v>
      </c>
      <c r="H24" s="449">
        <v>56.1</v>
      </c>
      <c r="I24" s="449">
        <v>56</v>
      </c>
      <c r="J24" s="450">
        <f t="shared" si="5"/>
        <v>6.7939999999999997E-3</v>
      </c>
      <c r="K24" s="461">
        <f t="shared" si="1"/>
        <v>5.6793735307825166E-4</v>
      </c>
      <c r="L24" s="449"/>
      <c r="M24" s="449"/>
    </row>
    <row r="25" spans="1:13" x14ac:dyDescent="0.2">
      <c r="A25" s="407"/>
      <c r="B25" s="407" t="s">
        <v>326</v>
      </c>
      <c r="C25" s="449">
        <v>76</v>
      </c>
      <c r="D25" s="449">
        <v>3.2001000000000002E-2</v>
      </c>
      <c r="E25" s="452">
        <f t="shared" si="0"/>
        <v>3.2000999999999999</v>
      </c>
      <c r="G25" s="449">
        <v>23</v>
      </c>
      <c r="H25" s="449">
        <v>56.11</v>
      </c>
      <c r="I25" s="449">
        <v>56</v>
      </c>
      <c r="J25" s="450">
        <f t="shared" si="5"/>
        <v>6.7939999999999997E-3</v>
      </c>
      <c r="K25" s="461">
        <f t="shared" si="1"/>
        <v>5.6793735307825166E-4</v>
      </c>
      <c r="L25" s="449"/>
      <c r="M25" s="449"/>
    </row>
    <row r="26" spans="1:13" x14ac:dyDescent="0.2">
      <c r="A26" s="407"/>
      <c r="B26" s="407" t="s">
        <v>327</v>
      </c>
      <c r="C26" s="449">
        <v>77</v>
      </c>
      <c r="D26" s="449">
        <v>3.5443000000000002E-2</v>
      </c>
      <c r="E26" s="452">
        <f t="shared" si="0"/>
        <v>3.5443000000000002</v>
      </c>
      <c r="G26" s="449">
        <v>24</v>
      </c>
      <c r="H26" s="449">
        <v>56.12</v>
      </c>
      <c r="I26" s="449">
        <v>56</v>
      </c>
      <c r="J26" s="450">
        <f t="shared" si="5"/>
        <v>6.7939999999999997E-3</v>
      </c>
      <c r="K26" s="461">
        <f t="shared" si="1"/>
        <v>5.6793735307825166E-4</v>
      </c>
      <c r="L26" s="449"/>
      <c r="M26" s="449"/>
    </row>
    <row r="27" spans="1:13" x14ac:dyDescent="0.2">
      <c r="A27" s="407"/>
      <c r="B27" s="407" t="s">
        <v>328</v>
      </c>
      <c r="C27" s="449">
        <v>78</v>
      </c>
      <c r="D27" s="449">
        <v>3.9257E-2</v>
      </c>
      <c r="E27" s="452">
        <f t="shared" si="0"/>
        <v>3.9257</v>
      </c>
      <c r="G27" s="449">
        <v>25</v>
      </c>
      <c r="H27" s="449">
        <v>57.1</v>
      </c>
      <c r="I27" s="449">
        <v>57</v>
      </c>
      <c r="J27" s="450">
        <f>$D$6</f>
        <v>7.319E-3</v>
      </c>
      <c r="K27" s="461">
        <f t="shared" si="1"/>
        <v>6.1197227600029436E-4</v>
      </c>
      <c r="L27" s="449"/>
      <c r="M27" s="449"/>
    </row>
    <row r="28" spans="1:13" x14ac:dyDescent="0.2">
      <c r="A28" s="407"/>
      <c r="B28" s="407" t="s">
        <v>329</v>
      </c>
      <c r="C28" s="449">
        <v>79</v>
      </c>
      <c r="D28" s="449">
        <v>4.3393000000000001E-2</v>
      </c>
      <c r="E28" s="452">
        <f t="shared" si="0"/>
        <v>4.3392999999999997</v>
      </c>
      <c r="G28" s="449">
        <v>26</v>
      </c>
      <c r="H28" s="449">
        <v>57.2</v>
      </c>
      <c r="I28" s="449">
        <v>57</v>
      </c>
      <c r="J28" s="450">
        <f t="shared" ref="J28:J38" si="6">$D$6</f>
        <v>7.319E-3</v>
      </c>
      <c r="K28" s="461">
        <f t="shared" si="1"/>
        <v>6.1197227600029436E-4</v>
      </c>
      <c r="L28" s="449"/>
      <c r="M28" s="449"/>
    </row>
    <row r="29" spans="1:13" x14ac:dyDescent="0.2">
      <c r="A29" s="407"/>
      <c r="B29" s="407" t="s">
        <v>330</v>
      </c>
      <c r="C29" s="449">
        <v>80</v>
      </c>
      <c r="D29" s="449">
        <v>4.8162999999999997E-2</v>
      </c>
      <c r="E29" s="452">
        <f t="shared" si="0"/>
        <v>4.8163</v>
      </c>
      <c r="G29" s="449">
        <v>27</v>
      </c>
      <c r="H29" s="449">
        <v>57.3</v>
      </c>
      <c r="I29" s="449">
        <v>57</v>
      </c>
      <c r="J29" s="450">
        <f t="shared" si="6"/>
        <v>7.319E-3</v>
      </c>
      <c r="K29" s="461">
        <f t="shared" si="1"/>
        <v>6.1197227600029436E-4</v>
      </c>
      <c r="L29" s="449"/>
      <c r="M29" s="449"/>
    </row>
    <row r="30" spans="1:13" x14ac:dyDescent="0.2">
      <c r="A30" s="407"/>
      <c r="B30" s="407" t="s">
        <v>331</v>
      </c>
      <c r="C30" s="449">
        <v>81</v>
      </c>
      <c r="D30" s="449">
        <v>5.3215999999999999E-2</v>
      </c>
      <c r="E30" s="452">
        <f t="shared" si="0"/>
        <v>5.3216000000000001</v>
      </c>
      <c r="G30" s="449">
        <v>28</v>
      </c>
      <c r="H30" s="449">
        <v>57.4</v>
      </c>
      <c r="I30" s="449">
        <v>57</v>
      </c>
      <c r="J30" s="450">
        <f t="shared" si="6"/>
        <v>7.319E-3</v>
      </c>
      <c r="K30" s="461">
        <f t="shared" si="1"/>
        <v>6.1197227600029436E-4</v>
      </c>
      <c r="L30" s="449"/>
      <c r="M30" s="449"/>
    </row>
    <row r="31" spans="1:13" x14ac:dyDescent="0.2">
      <c r="A31" s="407"/>
      <c r="B31" s="407" t="s">
        <v>332</v>
      </c>
      <c r="C31" s="449">
        <v>82</v>
      </c>
      <c r="D31" s="449">
        <v>5.9240000000000001E-2</v>
      </c>
      <c r="E31" s="452">
        <f t="shared" si="0"/>
        <v>5.9240000000000004</v>
      </c>
      <c r="G31" s="449">
        <v>29</v>
      </c>
      <c r="H31" s="449">
        <v>57.5</v>
      </c>
      <c r="I31" s="449">
        <v>57</v>
      </c>
      <c r="J31" s="450">
        <f t="shared" si="6"/>
        <v>7.319E-3</v>
      </c>
      <c r="K31" s="461">
        <f t="shared" si="1"/>
        <v>6.1197227600029436E-4</v>
      </c>
      <c r="L31" s="449"/>
      <c r="M31" s="449"/>
    </row>
    <row r="32" spans="1:13" x14ac:dyDescent="0.2">
      <c r="A32" s="407"/>
      <c r="B32" s="407" t="s">
        <v>333</v>
      </c>
      <c r="C32" s="449">
        <v>83</v>
      </c>
      <c r="D32" s="449">
        <v>6.6563999999999998E-2</v>
      </c>
      <c r="E32" s="452">
        <f t="shared" si="0"/>
        <v>6.6563999999999997</v>
      </c>
      <c r="G32" s="449">
        <v>30</v>
      </c>
      <c r="H32" s="449">
        <v>57.6</v>
      </c>
      <c r="I32" s="449">
        <v>57</v>
      </c>
      <c r="J32" s="450">
        <f t="shared" si="6"/>
        <v>7.319E-3</v>
      </c>
      <c r="K32" s="461">
        <f t="shared" si="1"/>
        <v>6.1197227600029436E-4</v>
      </c>
      <c r="L32" s="449"/>
      <c r="M32" s="449"/>
    </row>
    <row r="33" spans="1:13" x14ac:dyDescent="0.2">
      <c r="A33" s="407"/>
      <c r="B33" s="407" t="s">
        <v>334</v>
      </c>
      <c r="C33" s="449">
        <v>84</v>
      </c>
      <c r="D33" s="449">
        <v>7.4045E-2</v>
      </c>
      <c r="E33" s="452">
        <f t="shared" si="0"/>
        <v>7.4044999999999996</v>
      </c>
      <c r="G33" s="449">
        <v>31</v>
      </c>
      <c r="H33" s="449">
        <v>57.7</v>
      </c>
      <c r="I33" s="449">
        <v>57</v>
      </c>
      <c r="J33" s="450">
        <f t="shared" si="6"/>
        <v>7.319E-3</v>
      </c>
      <c r="K33" s="461">
        <f t="shared" si="1"/>
        <v>6.1197227600029436E-4</v>
      </c>
      <c r="L33" s="449"/>
      <c r="M33" s="449"/>
    </row>
    <row r="34" spans="1:13" x14ac:dyDescent="0.2">
      <c r="A34" s="407"/>
      <c r="B34" s="407" t="s">
        <v>335</v>
      </c>
      <c r="C34" s="449">
        <v>85</v>
      </c>
      <c r="D34" s="449">
        <v>8.1953999999999999E-2</v>
      </c>
      <c r="E34" s="452">
        <f t="shared" si="0"/>
        <v>8.1953999999999994</v>
      </c>
      <c r="G34" s="449">
        <v>32</v>
      </c>
      <c r="H34" s="449">
        <v>57.8</v>
      </c>
      <c r="I34" s="449">
        <v>57</v>
      </c>
      <c r="J34" s="450">
        <f t="shared" si="6"/>
        <v>7.319E-3</v>
      </c>
      <c r="K34" s="461">
        <f t="shared" si="1"/>
        <v>6.1197227600029436E-4</v>
      </c>
      <c r="L34" s="449"/>
      <c r="M34" s="449"/>
    </row>
    <row r="35" spans="1:13" x14ac:dyDescent="0.2">
      <c r="A35" s="407"/>
      <c r="B35" s="407" t="s">
        <v>336</v>
      </c>
      <c r="C35" s="449">
        <v>86</v>
      </c>
      <c r="D35" s="449">
        <v>9.0879000000000001E-2</v>
      </c>
      <c r="E35" s="452">
        <f t="shared" si="0"/>
        <v>9.0878999999999994</v>
      </c>
      <c r="G35" s="449">
        <v>33</v>
      </c>
      <c r="H35" s="449">
        <v>57.9</v>
      </c>
      <c r="I35" s="449">
        <v>57</v>
      </c>
      <c r="J35" s="450">
        <f t="shared" si="6"/>
        <v>7.319E-3</v>
      </c>
      <c r="K35" s="461">
        <f t="shared" si="1"/>
        <v>6.1197227600029436E-4</v>
      </c>
      <c r="L35" s="449"/>
      <c r="M35" s="449"/>
    </row>
    <row r="36" spans="1:13" x14ac:dyDescent="0.2">
      <c r="A36" s="407"/>
      <c r="B36" s="407" t="s">
        <v>337</v>
      </c>
      <c r="C36" s="449">
        <v>87</v>
      </c>
      <c r="D36" s="449">
        <v>0.101938</v>
      </c>
      <c r="E36" s="452">
        <f t="shared" si="0"/>
        <v>10.1938</v>
      </c>
      <c r="G36" s="449">
        <v>34</v>
      </c>
      <c r="H36" s="449">
        <v>57.1</v>
      </c>
      <c r="I36" s="449">
        <v>57</v>
      </c>
      <c r="J36" s="450">
        <f t="shared" si="6"/>
        <v>7.319E-3</v>
      </c>
      <c r="K36" s="461">
        <f t="shared" si="1"/>
        <v>6.1197227600029436E-4</v>
      </c>
      <c r="L36" s="449"/>
      <c r="M36" s="449"/>
    </row>
    <row r="37" spans="1:13" x14ac:dyDescent="0.2">
      <c r="A37" s="407"/>
      <c r="B37" s="407" t="s">
        <v>338</v>
      </c>
      <c r="C37" s="449">
        <v>88</v>
      </c>
      <c r="D37" s="449">
        <v>0.114075</v>
      </c>
      <c r="E37" s="452">
        <f t="shared" si="0"/>
        <v>11.407499999999999</v>
      </c>
      <c r="G37" s="449">
        <v>35</v>
      </c>
      <c r="H37" s="449">
        <v>57.11</v>
      </c>
      <c r="I37" s="449">
        <v>57</v>
      </c>
      <c r="J37" s="450">
        <f t="shared" si="6"/>
        <v>7.319E-3</v>
      </c>
      <c r="K37" s="461">
        <f t="shared" si="1"/>
        <v>6.1197227600029436E-4</v>
      </c>
      <c r="L37" s="449"/>
      <c r="M37" s="449"/>
    </row>
    <row r="38" spans="1:13" x14ac:dyDescent="0.2">
      <c r="A38" s="407"/>
      <c r="B38" s="407" t="s">
        <v>339</v>
      </c>
      <c r="C38" s="449">
        <v>89</v>
      </c>
      <c r="D38" s="449">
        <v>0.127331</v>
      </c>
      <c r="E38" s="452">
        <f t="shared" si="0"/>
        <v>12.7331</v>
      </c>
      <c r="G38" s="449">
        <v>36</v>
      </c>
      <c r="H38" s="449">
        <v>57.12</v>
      </c>
      <c r="I38" s="449">
        <v>57</v>
      </c>
      <c r="J38" s="450">
        <f t="shared" si="6"/>
        <v>7.319E-3</v>
      </c>
      <c r="K38" s="461">
        <f t="shared" si="1"/>
        <v>6.1197227600029436E-4</v>
      </c>
      <c r="L38" s="449"/>
      <c r="M38" s="449"/>
    </row>
    <row r="39" spans="1:13" x14ac:dyDescent="0.2">
      <c r="A39" s="407"/>
      <c r="B39" s="407" t="s">
        <v>340</v>
      </c>
      <c r="C39" s="449">
        <v>90</v>
      </c>
      <c r="D39" s="449">
        <v>0.141733</v>
      </c>
      <c r="E39" s="452">
        <f t="shared" si="0"/>
        <v>14.173299999999999</v>
      </c>
      <c r="G39" s="449">
        <v>37</v>
      </c>
      <c r="H39" s="449">
        <v>58.1</v>
      </c>
      <c r="I39" s="407">
        <v>58</v>
      </c>
      <c r="J39" s="450">
        <f>$D$7</f>
        <v>7.8689999999999993E-3</v>
      </c>
      <c r="K39" s="461">
        <f t="shared" si="1"/>
        <v>6.5812700305334371E-4</v>
      </c>
      <c r="L39" s="449"/>
      <c r="M39" s="449"/>
    </row>
    <row r="40" spans="1:13" x14ac:dyDescent="0.2">
      <c r="A40" s="407"/>
      <c r="B40" s="407" t="s">
        <v>341</v>
      </c>
      <c r="C40" s="449">
        <v>91</v>
      </c>
      <c r="D40" s="449">
        <v>0.15728900000000001</v>
      </c>
      <c r="E40" s="452">
        <f t="shared" si="0"/>
        <v>15.728900000000001</v>
      </c>
      <c r="G40" s="449">
        <v>38</v>
      </c>
      <c r="H40" s="449">
        <v>58.2</v>
      </c>
      <c r="I40" s="407">
        <v>58</v>
      </c>
      <c r="J40" s="450">
        <f t="shared" ref="J40:J50" si="7">$D$7</f>
        <v>7.8689999999999993E-3</v>
      </c>
      <c r="K40" s="461">
        <f t="shared" si="1"/>
        <v>6.5812700305334371E-4</v>
      </c>
      <c r="L40" s="449"/>
      <c r="M40" s="449"/>
    </row>
    <row r="41" spans="1:13" x14ac:dyDescent="0.2">
      <c r="A41" s="407"/>
      <c r="B41" s="407" t="s">
        <v>342</v>
      </c>
      <c r="C41" s="449">
        <v>92</v>
      </c>
      <c r="D41" s="449">
        <v>0.173986</v>
      </c>
      <c r="E41" s="452">
        <f t="shared" si="0"/>
        <v>17.398600000000002</v>
      </c>
      <c r="G41" s="449">
        <v>39</v>
      </c>
      <c r="H41" s="449">
        <v>58.3</v>
      </c>
      <c r="I41" s="407">
        <v>58</v>
      </c>
      <c r="J41" s="450">
        <f t="shared" si="7"/>
        <v>7.8689999999999993E-3</v>
      </c>
      <c r="K41" s="461">
        <f t="shared" si="1"/>
        <v>6.5812700305334371E-4</v>
      </c>
      <c r="L41" s="449"/>
      <c r="M41" s="449"/>
    </row>
    <row r="42" spans="1:13" x14ac:dyDescent="0.2">
      <c r="A42" s="407"/>
      <c r="B42" s="407" t="s">
        <v>343</v>
      </c>
      <c r="C42" s="449">
        <v>93</v>
      </c>
      <c r="D42" s="449">
        <v>0.19178799999999999</v>
      </c>
      <c r="E42" s="452">
        <f t="shared" si="0"/>
        <v>19.178799999999999</v>
      </c>
      <c r="G42" s="449">
        <v>40</v>
      </c>
      <c r="H42" s="449">
        <v>58.4</v>
      </c>
      <c r="I42" s="407">
        <v>58</v>
      </c>
      <c r="J42" s="450">
        <f t="shared" si="7"/>
        <v>7.8689999999999993E-3</v>
      </c>
      <c r="K42" s="461">
        <f t="shared" si="1"/>
        <v>6.5812700305334371E-4</v>
      </c>
      <c r="L42" s="449"/>
      <c r="M42" s="449"/>
    </row>
    <row r="43" spans="1:13" x14ac:dyDescent="0.2">
      <c r="A43" s="407"/>
      <c r="B43" s="407" t="s">
        <v>344</v>
      </c>
      <c r="C43" s="449">
        <v>94</v>
      </c>
      <c r="D43" s="449">
        <v>0.21063299999999999</v>
      </c>
      <c r="E43" s="452">
        <f t="shared" si="0"/>
        <v>21.063299999999998</v>
      </c>
      <c r="G43" s="449">
        <v>41</v>
      </c>
      <c r="H43" s="449">
        <v>58.5</v>
      </c>
      <c r="I43" s="407">
        <v>58</v>
      </c>
      <c r="J43" s="450">
        <f t="shared" si="7"/>
        <v>7.8689999999999993E-3</v>
      </c>
      <c r="K43" s="461">
        <f t="shared" si="1"/>
        <v>6.5812700305334371E-4</v>
      </c>
      <c r="L43" s="449"/>
      <c r="M43" s="449"/>
    </row>
    <row r="44" spans="1:13" x14ac:dyDescent="0.2">
      <c r="A44" s="407"/>
      <c r="B44" s="407" t="s">
        <v>345</v>
      </c>
      <c r="C44" s="449">
        <v>95</v>
      </c>
      <c r="D44" s="449">
        <v>0.230432</v>
      </c>
      <c r="E44" s="452">
        <f t="shared" si="0"/>
        <v>23.043199999999999</v>
      </c>
      <c r="G44" s="449">
        <v>42</v>
      </c>
      <c r="H44" s="449">
        <v>58.6</v>
      </c>
      <c r="I44" s="407">
        <v>58</v>
      </c>
      <c r="J44" s="450">
        <f t="shared" si="7"/>
        <v>7.8689999999999993E-3</v>
      </c>
      <c r="K44" s="461">
        <f t="shared" si="1"/>
        <v>6.5812700305334371E-4</v>
      </c>
      <c r="L44" s="449"/>
      <c r="M44" s="449"/>
    </row>
    <row r="45" spans="1:13" x14ac:dyDescent="0.2">
      <c r="A45" s="407"/>
      <c r="B45" s="407" t="s">
        <v>346</v>
      </c>
      <c r="C45" s="449">
        <v>96</v>
      </c>
      <c r="D45" s="449">
        <v>0.25106600000000001</v>
      </c>
      <c r="E45" s="452">
        <f t="shared" si="0"/>
        <v>25.1066</v>
      </c>
      <c r="G45" s="449">
        <v>43</v>
      </c>
      <c r="H45" s="449">
        <v>58.7</v>
      </c>
      <c r="I45" s="407">
        <v>58</v>
      </c>
      <c r="J45" s="450">
        <f t="shared" si="7"/>
        <v>7.8689999999999993E-3</v>
      </c>
      <c r="K45" s="461">
        <f t="shared" si="1"/>
        <v>6.5812700305334371E-4</v>
      </c>
      <c r="L45" s="449"/>
      <c r="M45" s="449"/>
    </row>
    <row r="46" spans="1:13" x14ac:dyDescent="0.2">
      <c r="A46" s="407"/>
      <c r="B46" s="407" t="s">
        <v>347</v>
      </c>
      <c r="C46" s="449">
        <v>97</v>
      </c>
      <c r="D46" s="449">
        <v>0.272395</v>
      </c>
      <c r="E46" s="452">
        <f t="shared" si="0"/>
        <v>27.2395</v>
      </c>
      <c r="G46" s="449">
        <v>44</v>
      </c>
      <c r="H46" s="449">
        <v>58.8</v>
      </c>
      <c r="I46" s="407">
        <v>58</v>
      </c>
      <c r="J46" s="450">
        <f t="shared" si="7"/>
        <v>7.8689999999999993E-3</v>
      </c>
      <c r="K46" s="461">
        <f t="shared" si="1"/>
        <v>6.5812700305334371E-4</v>
      </c>
      <c r="L46" s="449"/>
      <c r="M46" s="449"/>
    </row>
    <row r="47" spans="1:13" x14ac:dyDescent="0.2">
      <c r="A47" s="407"/>
      <c r="B47" s="407" t="s">
        <v>348</v>
      </c>
      <c r="C47" s="449">
        <v>98</v>
      </c>
      <c r="D47" s="449">
        <v>0.29425299999999999</v>
      </c>
      <c r="E47" s="452">
        <f t="shared" si="0"/>
        <v>29.4253</v>
      </c>
      <c r="G47" s="449">
        <v>45</v>
      </c>
      <c r="H47" s="449">
        <v>58.9</v>
      </c>
      <c r="I47" s="407">
        <v>58</v>
      </c>
      <c r="J47" s="450">
        <f t="shared" si="7"/>
        <v>7.8689999999999993E-3</v>
      </c>
      <c r="K47" s="461">
        <f t="shared" si="1"/>
        <v>6.5812700305334371E-4</v>
      </c>
      <c r="L47" s="449"/>
      <c r="M47" s="449"/>
    </row>
    <row r="48" spans="1:13" x14ac:dyDescent="0.2">
      <c r="A48" s="407"/>
      <c r="B48" s="407" t="s">
        <v>349</v>
      </c>
      <c r="C48" s="449">
        <v>99</v>
      </c>
      <c r="D48" s="449">
        <v>0.31645600000000002</v>
      </c>
      <c r="E48" s="452">
        <f t="shared" si="0"/>
        <v>31.645600000000002</v>
      </c>
      <c r="G48" s="449">
        <v>46</v>
      </c>
      <c r="H48" s="449">
        <v>58.1</v>
      </c>
      <c r="I48" s="407">
        <v>58</v>
      </c>
      <c r="J48" s="450">
        <f t="shared" si="7"/>
        <v>7.8689999999999993E-3</v>
      </c>
      <c r="K48" s="461">
        <f t="shared" si="1"/>
        <v>6.5812700305334371E-4</v>
      </c>
      <c r="L48" s="449"/>
      <c r="M48" s="449"/>
    </row>
    <row r="49" spans="1:13" x14ac:dyDescent="0.2">
      <c r="A49" s="407"/>
      <c r="B49" s="407" t="s">
        <v>350</v>
      </c>
      <c r="C49" s="449">
        <v>100</v>
      </c>
      <c r="D49" s="450">
        <v>1</v>
      </c>
      <c r="E49" s="452">
        <f t="shared" si="0"/>
        <v>100</v>
      </c>
      <c r="G49" s="449">
        <v>47</v>
      </c>
      <c r="H49" s="449">
        <v>58.11</v>
      </c>
      <c r="I49" s="407">
        <v>58</v>
      </c>
      <c r="J49" s="450">
        <f t="shared" si="7"/>
        <v>7.8689999999999993E-3</v>
      </c>
      <c r="K49" s="461">
        <f t="shared" si="1"/>
        <v>6.5812700305334371E-4</v>
      </c>
      <c r="L49" s="449"/>
      <c r="M49" s="449"/>
    </row>
    <row r="50" spans="1:13" x14ac:dyDescent="0.2">
      <c r="G50" s="449">
        <v>48</v>
      </c>
      <c r="H50" s="449">
        <v>58.12</v>
      </c>
      <c r="I50" s="407">
        <v>58</v>
      </c>
      <c r="J50" s="450">
        <f t="shared" si="7"/>
        <v>7.8689999999999993E-3</v>
      </c>
      <c r="K50" s="461">
        <f t="shared" si="1"/>
        <v>6.5812700305334371E-4</v>
      </c>
      <c r="L50" s="449"/>
      <c r="M50" s="449"/>
    </row>
    <row r="51" spans="1:13" x14ac:dyDescent="0.2">
      <c r="B51" s="476" t="s">
        <v>475</v>
      </c>
      <c r="G51" s="449">
        <v>49</v>
      </c>
      <c r="H51" s="449">
        <v>59.1</v>
      </c>
      <c r="I51" s="407">
        <v>59</v>
      </c>
      <c r="J51" s="450">
        <f>$D$8</f>
        <v>8.456E-3</v>
      </c>
      <c r="K51" s="461">
        <f t="shared" si="1"/>
        <v>7.0741256572026678E-4</v>
      </c>
      <c r="L51" s="449"/>
      <c r="M51" s="449"/>
    </row>
    <row r="52" spans="1:13" x14ac:dyDescent="0.2">
      <c r="B52" s="476" t="s">
        <v>476</v>
      </c>
      <c r="G52" s="449">
        <v>50</v>
      </c>
      <c r="H52" s="449">
        <v>59.2</v>
      </c>
      <c r="I52" s="407">
        <v>59</v>
      </c>
      <c r="J52" s="450">
        <f t="shared" ref="J52:J62" si="8">$D$8</f>
        <v>8.456E-3</v>
      </c>
      <c r="K52" s="461">
        <f t="shared" si="1"/>
        <v>7.0741256572026678E-4</v>
      </c>
      <c r="L52" s="449"/>
      <c r="M52" s="449"/>
    </row>
    <row r="53" spans="1:13" x14ac:dyDescent="0.2">
      <c r="B53">
        <v>2</v>
      </c>
      <c r="C53">
        <v>12</v>
      </c>
      <c r="G53" s="449">
        <v>51</v>
      </c>
      <c r="H53" s="449">
        <v>59.3</v>
      </c>
      <c r="I53" s="407">
        <v>59</v>
      </c>
      <c r="J53" s="450">
        <f t="shared" si="8"/>
        <v>8.456E-3</v>
      </c>
      <c r="K53" s="461">
        <f t="shared" si="1"/>
        <v>7.0741256572026678E-4</v>
      </c>
      <c r="L53" s="449"/>
      <c r="M53" s="449"/>
    </row>
    <row r="54" spans="1:13" x14ac:dyDescent="0.2">
      <c r="B54">
        <v>3</v>
      </c>
      <c r="C54">
        <v>18.100000000000001</v>
      </c>
      <c r="G54" s="449">
        <v>52</v>
      </c>
      <c r="H54" s="449">
        <v>59.4</v>
      </c>
      <c r="I54" s="407">
        <v>59</v>
      </c>
      <c r="J54" s="450">
        <f t="shared" si="8"/>
        <v>8.456E-3</v>
      </c>
      <c r="K54" s="461">
        <f t="shared" si="1"/>
        <v>7.0741256572026678E-4</v>
      </c>
      <c r="L54" s="449"/>
      <c r="M54" s="449"/>
    </row>
    <row r="55" spans="1:13" x14ac:dyDescent="0.2">
      <c r="B55">
        <v>4</v>
      </c>
      <c r="C55">
        <v>17.8</v>
      </c>
      <c r="G55" s="449">
        <v>53</v>
      </c>
      <c r="H55" s="449">
        <v>59.5</v>
      </c>
      <c r="I55" s="407">
        <v>59</v>
      </c>
      <c r="J55" s="450">
        <f t="shared" si="8"/>
        <v>8.456E-3</v>
      </c>
      <c r="K55" s="461">
        <f t="shared" si="1"/>
        <v>7.0741256572026678E-4</v>
      </c>
      <c r="L55" s="449"/>
      <c r="M55" s="449"/>
    </row>
    <row r="56" spans="1:13" x14ac:dyDescent="0.2">
      <c r="B56">
        <v>5</v>
      </c>
      <c r="C56">
        <v>14.4</v>
      </c>
      <c r="G56" s="449">
        <v>54</v>
      </c>
      <c r="H56" s="449">
        <v>59.6</v>
      </c>
      <c r="I56" s="407">
        <v>59</v>
      </c>
      <c r="J56" s="450">
        <f t="shared" si="8"/>
        <v>8.456E-3</v>
      </c>
      <c r="K56" s="461">
        <f t="shared" si="1"/>
        <v>7.0741256572026678E-4</v>
      </c>
      <c r="L56" s="449"/>
      <c r="M56" s="449"/>
    </row>
    <row r="57" spans="1:13" x14ac:dyDescent="0.2">
      <c r="B57">
        <v>6</v>
      </c>
      <c r="C57">
        <v>12.4</v>
      </c>
      <c r="G57" s="449">
        <v>55</v>
      </c>
      <c r="H57" s="449">
        <v>59.7</v>
      </c>
      <c r="I57" s="407">
        <v>59</v>
      </c>
      <c r="J57" s="450">
        <f t="shared" si="8"/>
        <v>8.456E-3</v>
      </c>
      <c r="K57" s="461">
        <f t="shared" si="1"/>
        <v>7.0741256572026678E-4</v>
      </c>
      <c r="L57" s="449"/>
      <c r="M57" s="449"/>
    </row>
    <row r="58" spans="1:13" x14ac:dyDescent="0.2">
      <c r="B58">
        <v>7</v>
      </c>
      <c r="C58">
        <v>11.3</v>
      </c>
      <c r="G58" s="449">
        <v>56</v>
      </c>
      <c r="H58" s="449">
        <v>59.8</v>
      </c>
      <c r="I58" s="407">
        <v>59</v>
      </c>
      <c r="J58" s="450">
        <f t="shared" si="8"/>
        <v>8.456E-3</v>
      </c>
      <c r="K58" s="461">
        <f t="shared" si="1"/>
        <v>7.0741256572026678E-4</v>
      </c>
      <c r="L58" s="449"/>
      <c r="M58" s="449"/>
    </row>
    <row r="59" spans="1:13" x14ac:dyDescent="0.2">
      <c r="B59">
        <v>8</v>
      </c>
      <c r="C59">
        <v>10.7</v>
      </c>
      <c r="G59" s="449">
        <v>57</v>
      </c>
      <c r="H59" s="449">
        <v>59.9</v>
      </c>
      <c r="I59" s="407">
        <v>59</v>
      </c>
      <c r="J59" s="450">
        <f t="shared" si="8"/>
        <v>8.456E-3</v>
      </c>
      <c r="K59" s="461">
        <f t="shared" si="1"/>
        <v>7.0741256572026678E-4</v>
      </c>
      <c r="L59" s="449"/>
      <c r="M59" s="449"/>
    </row>
    <row r="60" spans="1:13" x14ac:dyDescent="0.2">
      <c r="B60">
        <v>9</v>
      </c>
      <c r="C60">
        <v>10</v>
      </c>
      <c r="G60" s="449">
        <v>58</v>
      </c>
      <c r="H60" s="449">
        <v>59.1</v>
      </c>
      <c r="I60" s="407">
        <v>59</v>
      </c>
      <c r="J60" s="450">
        <f t="shared" si="8"/>
        <v>8.456E-3</v>
      </c>
      <c r="K60" s="461">
        <f t="shared" si="1"/>
        <v>7.0741256572026678E-4</v>
      </c>
      <c r="L60" s="449"/>
      <c r="M60" s="449"/>
    </row>
    <row r="61" spans="1:13" x14ac:dyDescent="0.2">
      <c r="B61">
        <v>10</v>
      </c>
      <c r="C61">
        <v>9.1999999999999993</v>
      </c>
      <c r="G61" s="449">
        <v>59</v>
      </c>
      <c r="H61" s="449">
        <v>59.11</v>
      </c>
      <c r="I61" s="407">
        <v>59</v>
      </c>
      <c r="J61" s="450">
        <f t="shared" si="8"/>
        <v>8.456E-3</v>
      </c>
      <c r="K61" s="461">
        <f t="shared" si="1"/>
        <v>7.0741256572026678E-4</v>
      </c>
      <c r="L61" s="449"/>
      <c r="M61" s="449"/>
    </row>
    <row r="62" spans="1:13" x14ac:dyDescent="0.2">
      <c r="G62" s="449">
        <v>60</v>
      </c>
      <c r="H62" s="449">
        <v>59.12</v>
      </c>
      <c r="I62" s="407">
        <v>59</v>
      </c>
      <c r="J62" s="450">
        <f t="shared" si="8"/>
        <v>8.456E-3</v>
      </c>
      <c r="K62" s="461">
        <f t="shared" si="1"/>
        <v>7.0741256572026678E-4</v>
      </c>
      <c r="L62" s="449"/>
      <c r="M62" s="449"/>
    </row>
    <row r="63" spans="1:13" x14ac:dyDescent="0.2">
      <c r="B63" t="s">
        <v>477</v>
      </c>
      <c r="G63" s="449">
        <v>61</v>
      </c>
      <c r="H63" s="449">
        <v>60.1</v>
      </c>
      <c r="I63" s="407">
        <v>60</v>
      </c>
      <c r="J63" s="450">
        <f>$D$9</f>
        <v>9.0930000000000004E-3</v>
      </c>
      <c r="K63" s="461">
        <f t="shared" si="1"/>
        <v>7.6092648659953355E-4</v>
      </c>
      <c r="L63" s="449"/>
      <c r="M63" s="449"/>
    </row>
    <row r="64" spans="1:13" x14ac:dyDescent="0.2">
      <c r="B64" t="s">
        <v>478</v>
      </c>
      <c r="G64" s="449">
        <v>62</v>
      </c>
      <c r="H64" s="449">
        <v>60.2</v>
      </c>
      <c r="I64" s="407">
        <v>60</v>
      </c>
      <c r="J64" s="450">
        <f t="shared" ref="J64:J74" si="9">$D$9</f>
        <v>9.0930000000000004E-3</v>
      </c>
      <c r="K64" s="461">
        <f t="shared" si="1"/>
        <v>7.6092648659953355E-4</v>
      </c>
      <c r="L64" s="449"/>
      <c r="M64" s="449"/>
    </row>
    <row r="65" spans="2:13" x14ac:dyDescent="0.2">
      <c r="C65" s="407" t="s">
        <v>493</v>
      </c>
      <c r="D65" s="407" t="s">
        <v>494</v>
      </c>
      <c r="E65" s="407" t="s">
        <v>493</v>
      </c>
      <c r="F65" s="477"/>
      <c r="G65" s="449">
        <v>63</v>
      </c>
      <c r="H65" s="449">
        <v>60.3</v>
      </c>
      <c r="I65" s="407">
        <v>60</v>
      </c>
      <c r="J65" s="450">
        <f t="shared" si="9"/>
        <v>9.0930000000000004E-3</v>
      </c>
      <c r="K65" s="461">
        <f t="shared" si="1"/>
        <v>7.6092648659953355E-4</v>
      </c>
      <c r="L65" s="449"/>
      <c r="M65" s="449"/>
    </row>
    <row r="66" spans="2:13" x14ac:dyDescent="0.2">
      <c r="B66" t="s">
        <v>479</v>
      </c>
      <c r="C66" s="407">
        <v>5</v>
      </c>
      <c r="D66" s="407" t="s">
        <v>486</v>
      </c>
      <c r="E66" s="407">
        <v>34.299999999999997</v>
      </c>
      <c r="F66" s="477"/>
      <c r="G66" s="449">
        <v>64</v>
      </c>
      <c r="H66" s="449">
        <v>60.4</v>
      </c>
      <c r="I66" s="407">
        <v>60</v>
      </c>
      <c r="J66" s="450">
        <f t="shared" si="9"/>
        <v>9.0930000000000004E-3</v>
      </c>
      <c r="K66" s="461">
        <f t="shared" si="1"/>
        <v>7.6092648659953355E-4</v>
      </c>
      <c r="L66" s="449"/>
      <c r="M66" s="449"/>
    </row>
    <row r="67" spans="2:13" x14ac:dyDescent="0.2">
      <c r="B67" t="s">
        <v>480</v>
      </c>
      <c r="C67" s="407">
        <v>5</v>
      </c>
      <c r="D67" s="407" t="s">
        <v>487</v>
      </c>
      <c r="E67" s="407">
        <v>6.9</v>
      </c>
      <c r="F67" s="477"/>
      <c r="G67" s="449">
        <v>65</v>
      </c>
      <c r="H67" s="449">
        <v>60.5</v>
      </c>
      <c r="I67" s="407">
        <v>60</v>
      </c>
      <c r="J67" s="450">
        <f t="shared" si="9"/>
        <v>9.0930000000000004E-3</v>
      </c>
      <c r="K67" s="461">
        <f t="shared" si="1"/>
        <v>7.6092648659953355E-4</v>
      </c>
      <c r="L67" s="449"/>
      <c r="M67" s="449"/>
    </row>
    <row r="68" spans="2:13" x14ac:dyDescent="0.2">
      <c r="B68" t="s">
        <v>481</v>
      </c>
      <c r="C68" s="407">
        <v>5</v>
      </c>
      <c r="D68" s="407" t="s">
        <v>488</v>
      </c>
      <c r="E68" s="407">
        <v>4.2</v>
      </c>
      <c r="F68" s="477"/>
      <c r="G68" s="449">
        <v>66</v>
      </c>
      <c r="H68" s="449">
        <v>60.6</v>
      </c>
      <c r="I68" s="407">
        <v>60</v>
      </c>
      <c r="J68" s="450">
        <f t="shared" si="9"/>
        <v>9.0930000000000004E-3</v>
      </c>
      <c r="K68" s="461">
        <f t="shared" ref="K68:K131" si="10">1-((1-J68)^(1/12))</f>
        <v>7.6092648659953355E-4</v>
      </c>
      <c r="L68" s="449"/>
      <c r="M68" s="449"/>
    </row>
    <row r="69" spans="2:13" x14ac:dyDescent="0.2">
      <c r="B69" t="s">
        <v>482</v>
      </c>
      <c r="C69" s="407">
        <v>5</v>
      </c>
      <c r="D69" s="407" t="s">
        <v>489</v>
      </c>
      <c r="E69" s="407">
        <v>5.4</v>
      </c>
      <c r="F69" s="477"/>
      <c r="G69" s="449">
        <v>67</v>
      </c>
      <c r="H69" s="449">
        <v>60.7</v>
      </c>
      <c r="I69" s="407">
        <v>60</v>
      </c>
      <c r="J69" s="450">
        <f t="shared" si="9"/>
        <v>9.0930000000000004E-3</v>
      </c>
      <c r="K69" s="461">
        <f t="shared" si="10"/>
        <v>7.6092648659953355E-4</v>
      </c>
      <c r="L69" s="449"/>
      <c r="M69" s="449"/>
    </row>
    <row r="70" spans="2:13" x14ac:dyDescent="0.2">
      <c r="B70" t="s">
        <v>483</v>
      </c>
      <c r="C70" s="407">
        <v>5</v>
      </c>
      <c r="D70" s="407" t="s">
        <v>490</v>
      </c>
      <c r="E70" s="407">
        <v>4.3</v>
      </c>
      <c r="F70" s="477"/>
      <c r="G70" s="449">
        <v>68</v>
      </c>
      <c r="H70" s="449">
        <v>60.8</v>
      </c>
      <c r="I70" s="407">
        <v>60</v>
      </c>
      <c r="J70" s="450">
        <f t="shared" si="9"/>
        <v>9.0930000000000004E-3</v>
      </c>
      <c r="K70" s="461">
        <f t="shared" si="10"/>
        <v>7.6092648659953355E-4</v>
      </c>
      <c r="L70" s="449"/>
      <c r="M70" s="449"/>
    </row>
    <row r="71" spans="2:13" x14ac:dyDescent="0.2">
      <c r="B71" t="s">
        <v>484</v>
      </c>
      <c r="C71" s="407">
        <v>5</v>
      </c>
      <c r="D71" s="407" t="s">
        <v>491</v>
      </c>
      <c r="E71" s="407">
        <v>5.2</v>
      </c>
      <c r="F71" s="477"/>
      <c r="G71" s="449">
        <v>69</v>
      </c>
      <c r="H71" s="449">
        <v>60.9</v>
      </c>
      <c r="I71" s="407">
        <v>60</v>
      </c>
      <c r="J71" s="450">
        <f t="shared" si="9"/>
        <v>9.0930000000000004E-3</v>
      </c>
      <c r="K71" s="461">
        <f t="shared" si="10"/>
        <v>7.6092648659953355E-4</v>
      </c>
      <c r="L71" s="449"/>
      <c r="M71" s="449"/>
    </row>
    <row r="72" spans="2:13" x14ac:dyDescent="0.2">
      <c r="B72" t="s">
        <v>485</v>
      </c>
      <c r="C72" s="407">
        <v>5</v>
      </c>
      <c r="D72" s="407" t="s">
        <v>492</v>
      </c>
      <c r="E72" s="407">
        <v>5.4</v>
      </c>
      <c r="G72" s="449">
        <v>70</v>
      </c>
      <c r="H72" s="449">
        <v>60.1</v>
      </c>
      <c r="I72" s="407">
        <v>60</v>
      </c>
      <c r="J72" s="450">
        <f t="shared" si="9"/>
        <v>9.0930000000000004E-3</v>
      </c>
      <c r="K72" s="461">
        <f t="shared" si="10"/>
        <v>7.6092648659953355E-4</v>
      </c>
      <c r="L72" s="449"/>
      <c r="M72" s="449"/>
    </row>
    <row r="73" spans="2:13" x14ac:dyDescent="0.2">
      <c r="B73" s="477"/>
      <c r="C73" s="407"/>
      <c r="D73" s="407"/>
      <c r="G73" s="449">
        <v>71</v>
      </c>
      <c r="H73" s="449">
        <v>60.11</v>
      </c>
      <c r="I73" s="407">
        <v>60</v>
      </c>
      <c r="J73" s="450">
        <f t="shared" si="9"/>
        <v>9.0930000000000004E-3</v>
      </c>
      <c r="K73" s="461">
        <f t="shared" si="10"/>
        <v>7.6092648659953355E-4</v>
      </c>
      <c r="L73" s="449"/>
      <c r="M73" s="449"/>
    </row>
    <row r="74" spans="2:13" x14ac:dyDescent="0.2">
      <c r="B74" s="484" t="s">
        <v>513</v>
      </c>
      <c r="C74" t="s">
        <v>508</v>
      </c>
      <c r="D74" s="407" t="s">
        <v>494</v>
      </c>
      <c r="G74" s="449">
        <v>72</v>
      </c>
      <c r="H74" s="449">
        <v>60.12</v>
      </c>
      <c r="I74" s="407">
        <v>60</v>
      </c>
      <c r="J74" s="450">
        <f t="shared" si="9"/>
        <v>9.0930000000000004E-3</v>
      </c>
      <c r="K74" s="461">
        <f t="shared" si="10"/>
        <v>7.6092648659953355E-4</v>
      </c>
      <c r="L74" s="449"/>
      <c r="M74" s="449"/>
    </row>
    <row r="75" spans="2:13" x14ac:dyDescent="0.2">
      <c r="B75" s="477"/>
      <c r="G75" s="449">
        <v>73</v>
      </c>
      <c r="H75" s="449">
        <v>61.1</v>
      </c>
      <c r="I75" s="407">
        <v>61</v>
      </c>
      <c r="J75" s="450">
        <f>$D$10</f>
        <v>9.7680000000000006E-3</v>
      </c>
      <c r="K75" s="461">
        <f t="shared" si="10"/>
        <v>8.1766718395870353E-4</v>
      </c>
      <c r="L75" s="449"/>
      <c r="M75" s="449"/>
    </row>
    <row r="76" spans="2:13" x14ac:dyDescent="0.2">
      <c r="B76" s="484" t="s">
        <v>504</v>
      </c>
      <c r="C76" s="449">
        <v>7.3</v>
      </c>
      <c r="D76" s="407" t="s">
        <v>509</v>
      </c>
      <c r="G76" s="449">
        <v>74</v>
      </c>
      <c r="H76" s="449">
        <v>61.2</v>
      </c>
      <c r="I76" s="407">
        <v>61</v>
      </c>
      <c r="J76" s="450">
        <f t="shared" ref="J76:J86" si="11">$D$10</f>
        <v>9.7680000000000006E-3</v>
      </c>
      <c r="K76" s="461">
        <f t="shared" si="10"/>
        <v>8.1766718395870353E-4</v>
      </c>
      <c r="L76" s="449"/>
      <c r="M76" s="449"/>
    </row>
    <row r="77" spans="2:13" x14ac:dyDescent="0.2">
      <c r="B77" s="484" t="s">
        <v>505</v>
      </c>
      <c r="C77" s="449">
        <v>3.9</v>
      </c>
      <c r="D77" s="407" t="s">
        <v>510</v>
      </c>
      <c r="G77" s="449">
        <v>75</v>
      </c>
      <c r="H77" s="449">
        <v>61.3</v>
      </c>
      <c r="I77" s="407">
        <v>61</v>
      </c>
      <c r="J77" s="450">
        <f t="shared" si="11"/>
        <v>9.7680000000000006E-3</v>
      </c>
      <c r="K77" s="461">
        <f t="shared" si="10"/>
        <v>8.1766718395870353E-4</v>
      </c>
      <c r="L77" s="449"/>
      <c r="M77" s="449"/>
    </row>
    <row r="78" spans="2:13" x14ac:dyDescent="0.2">
      <c r="B78" s="484" t="s">
        <v>506</v>
      </c>
      <c r="C78" s="449">
        <v>2</v>
      </c>
      <c r="D78" s="407" t="s">
        <v>511</v>
      </c>
      <c r="G78" s="449">
        <v>76</v>
      </c>
      <c r="H78" s="449">
        <v>61.4</v>
      </c>
      <c r="I78" s="407">
        <v>61</v>
      </c>
      <c r="J78" s="450">
        <f t="shared" si="11"/>
        <v>9.7680000000000006E-3</v>
      </c>
      <c r="K78" s="461">
        <f t="shared" si="10"/>
        <v>8.1766718395870353E-4</v>
      </c>
      <c r="L78" s="449"/>
      <c r="M78" s="449"/>
    </row>
    <row r="79" spans="2:13" x14ac:dyDescent="0.2">
      <c r="B79" s="484" t="s">
        <v>507</v>
      </c>
      <c r="C79" s="449">
        <v>1.7</v>
      </c>
      <c r="D79" s="407" t="s">
        <v>512</v>
      </c>
      <c r="G79" s="449">
        <v>77</v>
      </c>
      <c r="H79" s="449">
        <v>61.5</v>
      </c>
      <c r="I79" s="407">
        <v>61</v>
      </c>
      <c r="J79" s="450">
        <f t="shared" si="11"/>
        <v>9.7680000000000006E-3</v>
      </c>
      <c r="K79" s="461">
        <f t="shared" si="10"/>
        <v>8.1766718395870353E-4</v>
      </c>
      <c r="L79" s="449"/>
      <c r="M79" s="449"/>
    </row>
    <row r="80" spans="2:13" x14ac:dyDescent="0.2">
      <c r="G80" s="449">
        <v>78</v>
      </c>
      <c r="H80" s="449">
        <v>61.6</v>
      </c>
      <c r="I80" s="407">
        <v>61</v>
      </c>
      <c r="J80" s="450">
        <f t="shared" si="11"/>
        <v>9.7680000000000006E-3</v>
      </c>
      <c r="K80" s="461">
        <f t="shared" si="10"/>
        <v>8.1766718395870353E-4</v>
      </c>
      <c r="L80" s="449"/>
      <c r="M80" s="449"/>
    </row>
    <row r="81" spans="7:13" x14ac:dyDescent="0.2">
      <c r="G81" s="449">
        <v>79</v>
      </c>
      <c r="H81" s="449">
        <v>61.7</v>
      </c>
      <c r="I81" s="407">
        <v>61</v>
      </c>
      <c r="J81" s="450">
        <f t="shared" si="11"/>
        <v>9.7680000000000006E-3</v>
      </c>
      <c r="K81" s="461">
        <f t="shared" si="10"/>
        <v>8.1766718395870353E-4</v>
      </c>
      <c r="L81" s="449"/>
      <c r="M81" s="449"/>
    </row>
    <row r="82" spans="7:13" x14ac:dyDescent="0.2">
      <c r="G82" s="449">
        <v>80</v>
      </c>
      <c r="H82" s="449">
        <v>61.8</v>
      </c>
      <c r="I82" s="407">
        <v>61</v>
      </c>
      <c r="J82" s="450">
        <f t="shared" si="11"/>
        <v>9.7680000000000006E-3</v>
      </c>
      <c r="K82" s="461">
        <f t="shared" si="10"/>
        <v>8.1766718395870353E-4</v>
      </c>
      <c r="L82" s="449"/>
      <c r="M82" s="449"/>
    </row>
    <row r="83" spans="7:13" x14ac:dyDescent="0.2">
      <c r="G83" s="449">
        <v>81</v>
      </c>
      <c r="H83" s="449">
        <v>61.9</v>
      </c>
      <c r="I83" s="407">
        <v>61</v>
      </c>
      <c r="J83" s="450">
        <f t="shared" si="11"/>
        <v>9.7680000000000006E-3</v>
      </c>
      <c r="K83" s="461">
        <f t="shared" si="10"/>
        <v>8.1766718395870353E-4</v>
      </c>
      <c r="L83" s="449"/>
      <c r="M83" s="449"/>
    </row>
    <row r="84" spans="7:13" x14ac:dyDescent="0.2">
      <c r="G84" s="449">
        <v>82</v>
      </c>
      <c r="H84" s="449">
        <v>61.1</v>
      </c>
      <c r="I84" s="407">
        <v>61</v>
      </c>
      <c r="J84" s="450">
        <f t="shared" si="11"/>
        <v>9.7680000000000006E-3</v>
      </c>
      <c r="K84" s="461">
        <f t="shared" si="10"/>
        <v>8.1766718395870353E-4</v>
      </c>
      <c r="L84" s="449"/>
      <c r="M84" s="449"/>
    </row>
    <row r="85" spans="7:13" x14ac:dyDescent="0.2">
      <c r="G85" s="449">
        <v>83</v>
      </c>
      <c r="H85" s="449">
        <v>61.11</v>
      </c>
      <c r="I85" s="407">
        <v>61</v>
      </c>
      <c r="J85" s="450">
        <f t="shared" si="11"/>
        <v>9.7680000000000006E-3</v>
      </c>
      <c r="K85" s="461">
        <f t="shared" si="10"/>
        <v>8.1766718395870353E-4</v>
      </c>
      <c r="L85" s="449"/>
      <c r="M85" s="449"/>
    </row>
    <row r="86" spans="7:13" x14ac:dyDescent="0.2">
      <c r="G86" s="449">
        <v>84</v>
      </c>
      <c r="H86" s="449">
        <v>61.12</v>
      </c>
      <c r="I86" s="407">
        <v>61</v>
      </c>
      <c r="J86" s="450">
        <f t="shared" si="11"/>
        <v>9.7680000000000006E-3</v>
      </c>
      <c r="K86" s="461">
        <f t="shared" si="10"/>
        <v>8.1766718395870353E-4</v>
      </c>
      <c r="L86" s="449"/>
      <c r="M86" s="449"/>
    </row>
    <row r="87" spans="7:13" x14ac:dyDescent="0.2">
      <c r="G87" s="449">
        <v>85</v>
      </c>
      <c r="H87" s="449">
        <v>62.1</v>
      </c>
      <c r="I87" s="407">
        <v>62</v>
      </c>
      <c r="J87" s="450">
        <f>$D$11</f>
        <v>1.0467000000000001E-2</v>
      </c>
      <c r="K87" s="461">
        <f t="shared" si="10"/>
        <v>8.7646270854724317E-4</v>
      </c>
      <c r="L87" s="449"/>
      <c r="M87" s="449"/>
    </row>
    <row r="88" spans="7:13" x14ac:dyDescent="0.2">
      <c r="G88" s="449">
        <v>86</v>
      </c>
      <c r="H88" s="449">
        <v>62.2</v>
      </c>
      <c r="I88" s="407">
        <v>62</v>
      </c>
      <c r="J88" s="450">
        <f t="shared" ref="J88:J98" si="12">$D$11</f>
        <v>1.0467000000000001E-2</v>
      </c>
      <c r="K88" s="461">
        <f t="shared" si="10"/>
        <v>8.7646270854724317E-4</v>
      </c>
      <c r="L88" s="449"/>
      <c r="M88" s="449"/>
    </row>
    <row r="89" spans="7:13" x14ac:dyDescent="0.2">
      <c r="G89" s="449">
        <v>87</v>
      </c>
      <c r="H89" s="449">
        <v>62.3</v>
      </c>
      <c r="I89" s="407">
        <v>62</v>
      </c>
      <c r="J89" s="450">
        <f t="shared" si="12"/>
        <v>1.0467000000000001E-2</v>
      </c>
      <c r="K89" s="461">
        <f t="shared" si="10"/>
        <v>8.7646270854724317E-4</v>
      </c>
      <c r="L89" s="449"/>
      <c r="M89" s="449"/>
    </row>
    <row r="90" spans="7:13" x14ac:dyDescent="0.2">
      <c r="G90" s="449">
        <v>88</v>
      </c>
      <c r="H90" s="449">
        <v>62.4</v>
      </c>
      <c r="I90" s="407">
        <v>62</v>
      </c>
      <c r="J90" s="450">
        <f t="shared" si="12"/>
        <v>1.0467000000000001E-2</v>
      </c>
      <c r="K90" s="461">
        <f t="shared" si="10"/>
        <v>8.7646270854724317E-4</v>
      </c>
      <c r="L90" s="449"/>
      <c r="M90" s="449"/>
    </row>
    <row r="91" spans="7:13" x14ac:dyDescent="0.2">
      <c r="G91" s="449">
        <v>89</v>
      </c>
      <c r="H91" s="449">
        <v>62.5</v>
      </c>
      <c r="I91" s="407">
        <v>62</v>
      </c>
      <c r="J91" s="450">
        <f t="shared" si="12"/>
        <v>1.0467000000000001E-2</v>
      </c>
      <c r="K91" s="461">
        <f t="shared" si="10"/>
        <v>8.7646270854724317E-4</v>
      </c>
      <c r="L91" s="449"/>
      <c r="M91" s="449"/>
    </row>
    <row r="92" spans="7:13" x14ac:dyDescent="0.2">
      <c r="G92" s="449">
        <v>90</v>
      </c>
      <c r="H92" s="449">
        <v>62.6</v>
      </c>
      <c r="I92" s="407">
        <v>62</v>
      </c>
      <c r="J92" s="450">
        <f t="shared" si="12"/>
        <v>1.0467000000000001E-2</v>
      </c>
      <c r="K92" s="461">
        <f t="shared" si="10"/>
        <v>8.7646270854724317E-4</v>
      </c>
      <c r="L92" s="449"/>
      <c r="M92" s="449"/>
    </row>
    <row r="93" spans="7:13" x14ac:dyDescent="0.2">
      <c r="G93" s="449">
        <v>91</v>
      </c>
      <c r="H93" s="449">
        <v>62.7</v>
      </c>
      <c r="I93" s="407">
        <v>62</v>
      </c>
      <c r="J93" s="450">
        <f t="shared" si="12"/>
        <v>1.0467000000000001E-2</v>
      </c>
      <c r="K93" s="461">
        <f t="shared" si="10"/>
        <v>8.7646270854724317E-4</v>
      </c>
      <c r="L93" s="449"/>
      <c r="M93" s="449"/>
    </row>
    <row r="94" spans="7:13" x14ac:dyDescent="0.2">
      <c r="G94" s="449">
        <v>92</v>
      </c>
      <c r="H94" s="449">
        <v>62.8</v>
      </c>
      <c r="I94" s="407">
        <v>62</v>
      </c>
      <c r="J94" s="450">
        <f t="shared" si="12"/>
        <v>1.0467000000000001E-2</v>
      </c>
      <c r="K94" s="461">
        <f t="shared" si="10"/>
        <v>8.7646270854724317E-4</v>
      </c>
      <c r="L94" s="449"/>
      <c r="M94" s="449"/>
    </row>
    <row r="95" spans="7:13" x14ac:dyDescent="0.2">
      <c r="G95" s="449">
        <v>93</v>
      </c>
      <c r="H95" s="449">
        <v>62.9</v>
      </c>
      <c r="I95" s="407">
        <v>62</v>
      </c>
      <c r="J95" s="450">
        <f t="shared" si="12"/>
        <v>1.0467000000000001E-2</v>
      </c>
      <c r="K95" s="461">
        <f t="shared" si="10"/>
        <v>8.7646270854724317E-4</v>
      </c>
      <c r="L95" s="449"/>
      <c r="M95" s="449"/>
    </row>
    <row r="96" spans="7:13" x14ac:dyDescent="0.2">
      <c r="G96" s="449">
        <v>94</v>
      </c>
      <c r="H96" s="449">
        <v>62.1</v>
      </c>
      <c r="I96" s="407">
        <v>62</v>
      </c>
      <c r="J96" s="450">
        <f t="shared" si="12"/>
        <v>1.0467000000000001E-2</v>
      </c>
      <c r="K96" s="461">
        <f t="shared" si="10"/>
        <v>8.7646270854724317E-4</v>
      </c>
      <c r="L96" s="449"/>
      <c r="M96" s="449"/>
    </row>
    <row r="97" spans="7:13" x14ac:dyDescent="0.2">
      <c r="G97" s="449">
        <v>95</v>
      </c>
      <c r="H97" s="449">
        <v>62.11</v>
      </c>
      <c r="I97" s="407">
        <v>62</v>
      </c>
      <c r="J97" s="450">
        <f t="shared" si="12"/>
        <v>1.0467000000000001E-2</v>
      </c>
      <c r="K97" s="461">
        <f t="shared" si="10"/>
        <v>8.7646270854724317E-4</v>
      </c>
      <c r="L97" s="449"/>
      <c r="M97" s="449"/>
    </row>
    <row r="98" spans="7:13" x14ac:dyDescent="0.2">
      <c r="G98" s="449">
        <v>96</v>
      </c>
      <c r="H98" s="449">
        <v>62.12</v>
      </c>
      <c r="I98" s="407">
        <v>62</v>
      </c>
      <c r="J98" s="450">
        <f t="shared" si="12"/>
        <v>1.0467000000000001E-2</v>
      </c>
      <c r="K98" s="461">
        <f t="shared" si="10"/>
        <v>8.7646270854724317E-4</v>
      </c>
      <c r="L98" s="449"/>
      <c r="M98" s="449"/>
    </row>
    <row r="99" spans="7:13" x14ac:dyDescent="0.2">
      <c r="G99" s="449">
        <v>97</v>
      </c>
      <c r="H99" s="449">
        <v>63.1</v>
      </c>
      <c r="I99" s="407">
        <v>63</v>
      </c>
      <c r="J99" s="450">
        <f>$D$12</f>
        <v>1.1181E-2</v>
      </c>
      <c r="K99" s="461">
        <f t="shared" si="10"/>
        <v>9.3655925876645618E-4</v>
      </c>
      <c r="L99" s="449"/>
      <c r="M99" s="449"/>
    </row>
    <row r="100" spans="7:13" x14ac:dyDescent="0.2">
      <c r="G100" s="449">
        <v>98</v>
      </c>
      <c r="H100" s="449">
        <v>63.2</v>
      </c>
      <c r="I100" s="407">
        <v>63</v>
      </c>
      <c r="J100" s="450">
        <f t="shared" ref="J100:J110" si="13">$D$12</f>
        <v>1.1181E-2</v>
      </c>
      <c r="K100" s="461">
        <f t="shared" si="10"/>
        <v>9.3655925876645618E-4</v>
      </c>
      <c r="L100" s="449"/>
      <c r="M100" s="449"/>
    </row>
    <row r="101" spans="7:13" x14ac:dyDescent="0.2">
      <c r="G101" s="449">
        <v>99</v>
      </c>
      <c r="H101" s="449">
        <v>63.3</v>
      </c>
      <c r="I101" s="407">
        <v>63</v>
      </c>
      <c r="J101" s="450">
        <f t="shared" si="13"/>
        <v>1.1181E-2</v>
      </c>
      <c r="K101" s="461">
        <f t="shared" si="10"/>
        <v>9.3655925876645618E-4</v>
      </c>
      <c r="L101" s="449"/>
      <c r="M101" s="449"/>
    </row>
    <row r="102" spans="7:13" x14ac:dyDescent="0.2">
      <c r="G102" s="449">
        <v>100</v>
      </c>
      <c r="H102" s="449">
        <v>63.4</v>
      </c>
      <c r="I102" s="407">
        <v>63</v>
      </c>
      <c r="J102" s="450">
        <f t="shared" si="13"/>
        <v>1.1181E-2</v>
      </c>
      <c r="K102" s="461">
        <f t="shared" si="10"/>
        <v>9.3655925876645618E-4</v>
      </c>
      <c r="L102" s="449"/>
      <c r="M102" s="449"/>
    </row>
    <row r="103" spans="7:13" x14ac:dyDescent="0.2">
      <c r="G103" s="449">
        <v>101</v>
      </c>
      <c r="H103" s="449">
        <v>63.5</v>
      </c>
      <c r="I103" s="407">
        <v>63</v>
      </c>
      <c r="J103" s="450">
        <f t="shared" si="13"/>
        <v>1.1181E-2</v>
      </c>
      <c r="K103" s="461">
        <f t="shared" si="10"/>
        <v>9.3655925876645618E-4</v>
      </c>
      <c r="L103" s="449"/>
      <c r="M103" s="449"/>
    </row>
    <row r="104" spans="7:13" x14ac:dyDescent="0.2">
      <c r="G104" s="449">
        <v>102</v>
      </c>
      <c r="H104" s="449">
        <v>63.6</v>
      </c>
      <c r="I104" s="407">
        <v>63</v>
      </c>
      <c r="J104" s="450">
        <f t="shared" si="13"/>
        <v>1.1181E-2</v>
      </c>
      <c r="K104" s="461">
        <f t="shared" si="10"/>
        <v>9.3655925876645618E-4</v>
      </c>
      <c r="L104" s="449"/>
      <c r="M104" s="449"/>
    </row>
    <row r="105" spans="7:13" x14ac:dyDescent="0.2">
      <c r="G105" s="449">
        <v>103</v>
      </c>
      <c r="H105" s="449">
        <v>63.7</v>
      </c>
      <c r="I105" s="407">
        <v>63</v>
      </c>
      <c r="J105" s="450">
        <f t="shared" si="13"/>
        <v>1.1181E-2</v>
      </c>
      <c r="K105" s="461">
        <f t="shared" si="10"/>
        <v>9.3655925876645618E-4</v>
      </c>
      <c r="L105" s="449"/>
      <c r="M105" s="449"/>
    </row>
    <row r="106" spans="7:13" x14ac:dyDescent="0.2">
      <c r="G106" s="449">
        <v>104</v>
      </c>
      <c r="H106" s="449">
        <v>63.8</v>
      </c>
      <c r="I106" s="407">
        <v>63</v>
      </c>
      <c r="J106" s="450">
        <f t="shared" si="13"/>
        <v>1.1181E-2</v>
      </c>
      <c r="K106" s="461">
        <f t="shared" si="10"/>
        <v>9.3655925876645618E-4</v>
      </c>
      <c r="L106" s="449"/>
      <c r="M106" s="449"/>
    </row>
    <row r="107" spans="7:13" x14ac:dyDescent="0.2">
      <c r="G107" s="449">
        <v>105</v>
      </c>
      <c r="H107" s="449">
        <v>63.9</v>
      </c>
      <c r="I107" s="407">
        <v>63</v>
      </c>
      <c r="J107" s="450">
        <f t="shared" si="13"/>
        <v>1.1181E-2</v>
      </c>
      <c r="K107" s="461">
        <f t="shared" si="10"/>
        <v>9.3655925876645618E-4</v>
      </c>
      <c r="L107" s="449"/>
      <c r="M107" s="449"/>
    </row>
    <row r="108" spans="7:13" x14ac:dyDescent="0.2">
      <c r="G108" s="449">
        <v>106</v>
      </c>
      <c r="H108" s="449">
        <v>63.1</v>
      </c>
      <c r="I108" s="407">
        <v>63</v>
      </c>
      <c r="J108" s="450">
        <f t="shared" si="13"/>
        <v>1.1181E-2</v>
      </c>
      <c r="K108" s="461">
        <f t="shared" si="10"/>
        <v>9.3655925876645618E-4</v>
      </c>
      <c r="L108" s="449"/>
      <c r="M108" s="449"/>
    </row>
    <row r="109" spans="7:13" x14ac:dyDescent="0.2">
      <c r="G109" s="449">
        <v>107</v>
      </c>
      <c r="H109" s="449">
        <v>63.11</v>
      </c>
      <c r="I109" s="407">
        <v>63</v>
      </c>
      <c r="J109" s="450">
        <f t="shared" si="13"/>
        <v>1.1181E-2</v>
      </c>
      <c r="K109" s="461">
        <f t="shared" si="10"/>
        <v>9.3655925876645618E-4</v>
      </c>
      <c r="L109" s="449"/>
      <c r="M109" s="449"/>
    </row>
    <row r="110" spans="7:13" ht="15" x14ac:dyDescent="0.25">
      <c r="G110" s="449">
        <v>108</v>
      </c>
      <c r="H110" s="449">
        <v>63.12</v>
      </c>
      <c r="I110" s="407">
        <v>63</v>
      </c>
      <c r="J110" s="450">
        <f t="shared" si="13"/>
        <v>1.1181E-2</v>
      </c>
      <c r="K110" s="461">
        <f t="shared" si="10"/>
        <v>9.3655925876645618E-4</v>
      </c>
      <c r="L110" s="590" t="s">
        <v>576</v>
      </c>
      <c r="M110" s="611">
        <v>9.9897044497332388E-4</v>
      </c>
    </row>
    <row r="111" spans="7:13" x14ac:dyDescent="0.2">
      <c r="G111" s="449">
        <v>109</v>
      </c>
      <c r="H111" s="449">
        <v>64.099999999999994</v>
      </c>
      <c r="I111" s="407">
        <v>64</v>
      </c>
      <c r="J111" s="450">
        <f>$D$13</f>
        <v>1.1922E-2</v>
      </c>
      <c r="K111" s="461">
        <f t="shared" si="10"/>
        <v>9.9897044497332388E-4</v>
      </c>
      <c r="L111">
        <f>K111*0.7</f>
        <v>6.9927931148132665E-4</v>
      </c>
    </row>
    <row r="112" spans="7:13" x14ac:dyDescent="0.2">
      <c r="G112" s="449">
        <v>110</v>
      </c>
      <c r="H112" s="449">
        <v>64</v>
      </c>
      <c r="I112" s="407">
        <v>64</v>
      </c>
      <c r="J112" s="450">
        <f t="shared" ref="J112:J122" si="14">$D$13</f>
        <v>1.1922E-2</v>
      </c>
      <c r="K112" s="461">
        <f t="shared" si="10"/>
        <v>9.9897044497332388E-4</v>
      </c>
      <c r="L112" s="499">
        <f t="shared" ref="L112:L122" si="15">K112*0.7</f>
        <v>6.9927931148132665E-4</v>
      </c>
    </row>
    <row r="113" spans="5:12" x14ac:dyDescent="0.2">
      <c r="G113" s="449">
        <v>111</v>
      </c>
      <c r="H113" s="449">
        <v>64.2</v>
      </c>
      <c r="I113" s="407">
        <v>64</v>
      </c>
      <c r="J113" s="450">
        <f t="shared" si="14"/>
        <v>1.1922E-2</v>
      </c>
      <c r="K113" s="461">
        <f t="shared" si="10"/>
        <v>9.9897044497332388E-4</v>
      </c>
      <c r="L113" s="499">
        <f t="shared" si="15"/>
        <v>6.9927931148132665E-4</v>
      </c>
    </row>
    <row r="114" spans="5:12" x14ac:dyDescent="0.2">
      <c r="G114" s="449">
        <v>112</v>
      </c>
      <c r="H114" s="449">
        <v>64.3</v>
      </c>
      <c r="I114" s="407">
        <v>64</v>
      </c>
      <c r="J114" s="450">
        <f t="shared" si="14"/>
        <v>1.1922E-2</v>
      </c>
      <c r="K114" s="461">
        <f t="shared" si="10"/>
        <v>9.9897044497332388E-4</v>
      </c>
      <c r="L114" s="499">
        <f t="shared" si="15"/>
        <v>6.9927931148132665E-4</v>
      </c>
    </row>
    <row r="115" spans="5:12" x14ac:dyDescent="0.2">
      <c r="G115" s="449">
        <v>113</v>
      </c>
      <c r="H115" s="449">
        <v>64.400000000000006</v>
      </c>
      <c r="I115" s="407">
        <v>64</v>
      </c>
      <c r="J115" s="450">
        <f t="shared" si="14"/>
        <v>1.1922E-2</v>
      </c>
      <c r="K115" s="461">
        <f t="shared" si="10"/>
        <v>9.9897044497332388E-4</v>
      </c>
      <c r="L115" s="499">
        <f t="shared" si="15"/>
        <v>6.9927931148132665E-4</v>
      </c>
    </row>
    <row r="116" spans="5:12" x14ac:dyDescent="0.2">
      <c r="E116" s="447">
        <f>109+12</f>
        <v>121</v>
      </c>
      <c r="G116" s="449">
        <v>114</v>
      </c>
      <c r="H116" s="449">
        <v>64.5</v>
      </c>
      <c r="I116" s="407">
        <v>64</v>
      </c>
      <c r="J116" s="450">
        <f t="shared" si="14"/>
        <v>1.1922E-2</v>
      </c>
      <c r="K116" s="461">
        <f t="shared" si="10"/>
        <v>9.9897044497332388E-4</v>
      </c>
      <c r="L116" s="499">
        <f t="shared" si="15"/>
        <v>6.9927931148132665E-4</v>
      </c>
    </row>
    <row r="117" spans="5:12" x14ac:dyDescent="0.2">
      <c r="G117" s="449">
        <v>115</v>
      </c>
      <c r="H117" s="449">
        <v>64.599999999999994</v>
      </c>
      <c r="I117" s="407">
        <v>64</v>
      </c>
      <c r="J117" s="450">
        <f t="shared" si="14"/>
        <v>1.1922E-2</v>
      </c>
      <c r="K117" s="461">
        <f t="shared" si="10"/>
        <v>9.9897044497332388E-4</v>
      </c>
      <c r="L117" s="499">
        <f t="shared" si="15"/>
        <v>6.9927931148132665E-4</v>
      </c>
    </row>
    <row r="118" spans="5:12" x14ac:dyDescent="0.2">
      <c r="G118" s="449">
        <v>116</v>
      </c>
      <c r="H118" s="449">
        <v>64.7</v>
      </c>
      <c r="I118" s="407">
        <v>64</v>
      </c>
      <c r="J118" s="450">
        <f t="shared" si="14"/>
        <v>1.1922E-2</v>
      </c>
      <c r="K118" s="461">
        <f t="shared" si="10"/>
        <v>9.9897044497332388E-4</v>
      </c>
      <c r="L118" s="499">
        <f t="shared" si="15"/>
        <v>6.9927931148132665E-4</v>
      </c>
    </row>
    <row r="119" spans="5:12" x14ac:dyDescent="0.2">
      <c r="G119" s="449">
        <v>117</v>
      </c>
      <c r="H119" s="449">
        <v>64.8</v>
      </c>
      <c r="I119" s="407">
        <v>64</v>
      </c>
      <c r="J119" s="450">
        <f t="shared" si="14"/>
        <v>1.1922E-2</v>
      </c>
      <c r="K119" s="461">
        <f t="shared" si="10"/>
        <v>9.9897044497332388E-4</v>
      </c>
      <c r="L119" s="499">
        <f t="shared" si="15"/>
        <v>6.9927931148132665E-4</v>
      </c>
    </row>
    <row r="120" spans="5:12" x14ac:dyDescent="0.2">
      <c r="G120" s="449">
        <v>118</v>
      </c>
      <c r="H120" s="449">
        <v>64.900000000000006</v>
      </c>
      <c r="I120" s="407">
        <v>64</v>
      </c>
      <c r="J120" s="450">
        <f t="shared" si="14"/>
        <v>1.1922E-2</v>
      </c>
      <c r="K120" s="461">
        <f t="shared" si="10"/>
        <v>9.9897044497332388E-4</v>
      </c>
      <c r="L120" s="499">
        <f t="shared" si="15"/>
        <v>6.9927931148132665E-4</v>
      </c>
    </row>
    <row r="121" spans="5:12" x14ac:dyDescent="0.2">
      <c r="G121" s="449">
        <v>119</v>
      </c>
      <c r="H121" s="449">
        <v>64.099999999999994</v>
      </c>
      <c r="I121" s="407">
        <v>64</v>
      </c>
      <c r="J121" s="450">
        <f t="shared" si="14"/>
        <v>1.1922E-2</v>
      </c>
      <c r="K121" s="461">
        <f t="shared" si="10"/>
        <v>9.9897044497332388E-4</v>
      </c>
      <c r="L121" s="499">
        <f t="shared" si="15"/>
        <v>6.9927931148132665E-4</v>
      </c>
    </row>
    <row r="122" spans="5:12" x14ac:dyDescent="0.2">
      <c r="G122" s="449">
        <v>120</v>
      </c>
      <c r="H122" s="449">
        <v>64.11</v>
      </c>
      <c r="I122" s="407">
        <v>64</v>
      </c>
      <c r="J122" s="450">
        <f t="shared" si="14"/>
        <v>1.1922E-2</v>
      </c>
      <c r="K122" s="461">
        <f t="shared" si="10"/>
        <v>9.9897044497332388E-4</v>
      </c>
      <c r="L122" s="499">
        <f t="shared" si="15"/>
        <v>6.9927931148132665E-4</v>
      </c>
    </row>
    <row r="123" spans="5:12" x14ac:dyDescent="0.2">
      <c r="F123" s="591" t="s">
        <v>498</v>
      </c>
      <c r="G123" s="592">
        <v>121</v>
      </c>
      <c r="H123" s="592">
        <v>64.12</v>
      </c>
      <c r="I123" s="593">
        <v>64</v>
      </c>
      <c r="J123" s="594">
        <f>$D$13</f>
        <v>1.1922E-2</v>
      </c>
      <c r="K123" s="595">
        <f t="shared" si="10"/>
        <v>9.9897044497332388E-4</v>
      </c>
      <c r="L123" s="589">
        <f>K123*1.3</f>
        <v>1.298661578465321E-3</v>
      </c>
    </row>
    <row r="124" spans="5:12" x14ac:dyDescent="0.2">
      <c r="G124" s="449">
        <v>122</v>
      </c>
      <c r="H124" s="449">
        <v>65.099999999999994</v>
      </c>
      <c r="I124" s="407">
        <v>65</v>
      </c>
      <c r="J124" s="450">
        <f>$D$14</f>
        <v>1.2710000000000001E-2</v>
      </c>
      <c r="K124" s="461">
        <f t="shared" si="10"/>
        <v>1.0653873256510904E-3</v>
      </c>
      <c r="L124" s="589">
        <f t="shared" ref="L124:L187" si="16">K124*1.3</f>
        <v>1.3850035233464175E-3</v>
      </c>
    </row>
    <row r="125" spans="5:12" x14ac:dyDescent="0.2">
      <c r="G125" s="449">
        <v>123</v>
      </c>
      <c r="H125" s="449">
        <v>65.2</v>
      </c>
      <c r="I125" s="407">
        <v>65</v>
      </c>
      <c r="J125" s="450">
        <f t="shared" ref="J125:J135" si="17">$D$14</f>
        <v>1.2710000000000001E-2</v>
      </c>
      <c r="K125" s="461">
        <f t="shared" si="10"/>
        <v>1.0653873256510904E-3</v>
      </c>
      <c r="L125" s="589">
        <f t="shared" si="16"/>
        <v>1.3850035233464175E-3</v>
      </c>
    </row>
    <row r="126" spans="5:12" x14ac:dyDescent="0.2">
      <c r="G126" s="449">
        <v>124</v>
      </c>
      <c r="H126" s="449">
        <v>65.3</v>
      </c>
      <c r="I126" s="407">
        <v>65</v>
      </c>
      <c r="J126" s="450">
        <f t="shared" si="17"/>
        <v>1.2710000000000001E-2</v>
      </c>
      <c r="K126" s="461">
        <f t="shared" si="10"/>
        <v>1.0653873256510904E-3</v>
      </c>
      <c r="L126" s="589">
        <f t="shared" si="16"/>
        <v>1.3850035233464175E-3</v>
      </c>
    </row>
    <row r="127" spans="5:12" x14ac:dyDescent="0.2">
      <c r="G127" s="449">
        <v>125</v>
      </c>
      <c r="H127" s="449">
        <v>65.400000000000006</v>
      </c>
      <c r="I127" s="407">
        <v>65</v>
      </c>
      <c r="J127" s="450">
        <f t="shared" si="17"/>
        <v>1.2710000000000001E-2</v>
      </c>
      <c r="K127" s="461">
        <f t="shared" si="10"/>
        <v>1.0653873256510904E-3</v>
      </c>
      <c r="L127" s="589">
        <f t="shared" si="16"/>
        <v>1.3850035233464175E-3</v>
      </c>
    </row>
    <row r="128" spans="5:12" x14ac:dyDescent="0.2">
      <c r="G128" s="449">
        <v>126</v>
      </c>
      <c r="H128" s="449">
        <v>65.5</v>
      </c>
      <c r="I128" s="407">
        <v>65</v>
      </c>
      <c r="J128" s="450">
        <f t="shared" si="17"/>
        <v>1.2710000000000001E-2</v>
      </c>
      <c r="K128" s="461">
        <f t="shared" si="10"/>
        <v>1.0653873256510904E-3</v>
      </c>
      <c r="L128" s="589">
        <f t="shared" si="16"/>
        <v>1.3850035233464175E-3</v>
      </c>
    </row>
    <row r="129" spans="7:12" x14ac:dyDescent="0.2">
      <c r="G129" s="449">
        <v>127</v>
      </c>
      <c r="H129" s="449">
        <v>65.599999999999994</v>
      </c>
      <c r="I129" s="407">
        <v>65</v>
      </c>
      <c r="J129" s="450">
        <f t="shared" si="17"/>
        <v>1.2710000000000001E-2</v>
      </c>
      <c r="K129" s="461">
        <f t="shared" si="10"/>
        <v>1.0653873256510904E-3</v>
      </c>
      <c r="L129" s="589">
        <f t="shared" si="16"/>
        <v>1.3850035233464175E-3</v>
      </c>
    </row>
    <row r="130" spans="7:12" x14ac:dyDescent="0.2">
      <c r="G130" s="449">
        <v>128</v>
      </c>
      <c r="H130" s="449">
        <v>65.7</v>
      </c>
      <c r="I130" s="407">
        <v>65</v>
      </c>
      <c r="J130" s="450">
        <f t="shared" si="17"/>
        <v>1.2710000000000001E-2</v>
      </c>
      <c r="K130" s="461">
        <f t="shared" si="10"/>
        <v>1.0653873256510904E-3</v>
      </c>
      <c r="L130" s="589">
        <f t="shared" si="16"/>
        <v>1.3850035233464175E-3</v>
      </c>
    </row>
    <row r="131" spans="7:12" x14ac:dyDescent="0.2">
      <c r="G131" s="449">
        <v>129</v>
      </c>
      <c r="H131" s="449">
        <v>65.8</v>
      </c>
      <c r="I131" s="407">
        <v>65</v>
      </c>
      <c r="J131" s="450">
        <f t="shared" si="17"/>
        <v>1.2710000000000001E-2</v>
      </c>
      <c r="K131" s="461">
        <f t="shared" si="10"/>
        <v>1.0653873256510904E-3</v>
      </c>
      <c r="L131" s="589">
        <f t="shared" si="16"/>
        <v>1.3850035233464175E-3</v>
      </c>
    </row>
    <row r="132" spans="7:12" x14ac:dyDescent="0.2">
      <c r="G132" s="449">
        <v>130</v>
      </c>
      <c r="H132" s="449">
        <v>65.900000000000006</v>
      </c>
      <c r="I132" s="407">
        <v>65</v>
      </c>
      <c r="J132" s="450">
        <f t="shared" si="17"/>
        <v>1.2710000000000001E-2</v>
      </c>
      <c r="K132" s="461">
        <f t="shared" ref="K132:K195" si="18">1-((1-J132)^(1/12))</f>
        <v>1.0653873256510904E-3</v>
      </c>
      <c r="L132" s="589">
        <f t="shared" si="16"/>
        <v>1.3850035233464175E-3</v>
      </c>
    </row>
    <row r="133" spans="7:12" x14ac:dyDescent="0.2">
      <c r="G133" s="449">
        <v>131</v>
      </c>
      <c r="H133" s="449">
        <v>65.099999999999994</v>
      </c>
      <c r="I133" s="407">
        <v>65</v>
      </c>
      <c r="J133" s="450">
        <f t="shared" si="17"/>
        <v>1.2710000000000001E-2</v>
      </c>
      <c r="K133" s="461">
        <f t="shared" si="18"/>
        <v>1.0653873256510904E-3</v>
      </c>
      <c r="L133" s="589">
        <f t="shared" si="16"/>
        <v>1.3850035233464175E-3</v>
      </c>
    </row>
    <row r="134" spans="7:12" x14ac:dyDescent="0.2">
      <c r="G134" s="449">
        <v>132</v>
      </c>
      <c r="H134" s="449">
        <v>65.11</v>
      </c>
      <c r="I134" s="407">
        <v>65</v>
      </c>
      <c r="J134" s="450">
        <f t="shared" si="17"/>
        <v>1.2710000000000001E-2</v>
      </c>
      <c r="K134" s="461">
        <f t="shared" si="18"/>
        <v>1.0653873256510904E-3</v>
      </c>
      <c r="L134" s="589">
        <f t="shared" si="16"/>
        <v>1.3850035233464175E-3</v>
      </c>
    </row>
    <row r="135" spans="7:12" x14ac:dyDescent="0.2">
      <c r="G135" s="449">
        <v>133</v>
      </c>
      <c r="H135" s="449">
        <v>65.12</v>
      </c>
      <c r="I135" s="407">
        <v>65</v>
      </c>
      <c r="J135" s="450">
        <f t="shared" si="17"/>
        <v>1.2710000000000001E-2</v>
      </c>
      <c r="K135" s="461">
        <f t="shared" si="18"/>
        <v>1.0653873256510904E-3</v>
      </c>
      <c r="L135" s="589">
        <f t="shared" si="16"/>
        <v>1.3850035233464175E-3</v>
      </c>
    </row>
    <row r="136" spans="7:12" x14ac:dyDescent="0.2">
      <c r="G136" s="449">
        <v>134</v>
      </c>
      <c r="H136" s="449">
        <v>66.099999999999994</v>
      </c>
      <c r="I136" s="407">
        <v>66</v>
      </c>
      <c r="J136" s="450">
        <f>$D$15</f>
        <v>1.3620999999999999E-2</v>
      </c>
      <c r="K136" s="461">
        <f t="shared" si="18"/>
        <v>1.1422318973278722E-3</v>
      </c>
      <c r="L136" s="589">
        <f t="shared" si="16"/>
        <v>1.4849014665262339E-3</v>
      </c>
    </row>
    <row r="137" spans="7:12" x14ac:dyDescent="0.2">
      <c r="G137" s="449">
        <v>135</v>
      </c>
      <c r="H137" s="449">
        <v>66.2</v>
      </c>
      <c r="I137" s="407">
        <v>66</v>
      </c>
      <c r="J137" s="450">
        <f t="shared" ref="J137:J147" si="19">$D$15</f>
        <v>1.3620999999999999E-2</v>
      </c>
      <c r="K137" s="461">
        <f t="shared" si="18"/>
        <v>1.1422318973278722E-3</v>
      </c>
      <c r="L137" s="589">
        <f t="shared" si="16"/>
        <v>1.4849014665262339E-3</v>
      </c>
    </row>
    <row r="138" spans="7:12" x14ac:dyDescent="0.2">
      <c r="G138" s="449">
        <v>136</v>
      </c>
      <c r="H138" s="449">
        <v>66.3</v>
      </c>
      <c r="I138" s="407">
        <v>66</v>
      </c>
      <c r="J138" s="450">
        <f t="shared" si="19"/>
        <v>1.3620999999999999E-2</v>
      </c>
      <c r="K138" s="461">
        <f t="shared" si="18"/>
        <v>1.1422318973278722E-3</v>
      </c>
      <c r="L138" s="589">
        <f t="shared" si="16"/>
        <v>1.4849014665262339E-3</v>
      </c>
    </row>
    <row r="139" spans="7:12" x14ac:dyDescent="0.2">
      <c r="G139" s="449">
        <v>137</v>
      </c>
      <c r="H139" s="449">
        <v>66.400000000000006</v>
      </c>
      <c r="I139" s="407">
        <v>66</v>
      </c>
      <c r="J139" s="450">
        <f t="shared" si="19"/>
        <v>1.3620999999999999E-2</v>
      </c>
      <c r="K139" s="461">
        <f t="shared" si="18"/>
        <v>1.1422318973278722E-3</v>
      </c>
      <c r="L139" s="589">
        <f t="shared" si="16"/>
        <v>1.4849014665262339E-3</v>
      </c>
    </row>
    <row r="140" spans="7:12" x14ac:dyDescent="0.2">
      <c r="G140" s="449">
        <v>138</v>
      </c>
      <c r="H140" s="449">
        <v>66.5</v>
      </c>
      <c r="I140" s="407">
        <v>66</v>
      </c>
      <c r="J140" s="450">
        <f t="shared" si="19"/>
        <v>1.3620999999999999E-2</v>
      </c>
      <c r="K140" s="461">
        <f t="shared" si="18"/>
        <v>1.1422318973278722E-3</v>
      </c>
      <c r="L140" s="589">
        <f t="shared" si="16"/>
        <v>1.4849014665262339E-3</v>
      </c>
    </row>
    <row r="141" spans="7:12" x14ac:dyDescent="0.2">
      <c r="G141" s="449">
        <v>139</v>
      </c>
      <c r="H141" s="449">
        <v>66.599999999999994</v>
      </c>
      <c r="I141" s="407">
        <v>66</v>
      </c>
      <c r="J141" s="450">
        <f t="shared" si="19"/>
        <v>1.3620999999999999E-2</v>
      </c>
      <c r="K141" s="461">
        <f t="shared" si="18"/>
        <v>1.1422318973278722E-3</v>
      </c>
      <c r="L141" s="589">
        <f t="shared" si="16"/>
        <v>1.4849014665262339E-3</v>
      </c>
    </row>
    <row r="142" spans="7:12" x14ac:dyDescent="0.2">
      <c r="G142" s="449">
        <v>140</v>
      </c>
      <c r="H142" s="449">
        <v>66.7</v>
      </c>
      <c r="I142" s="407">
        <v>66</v>
      </c>
      <c r="J142" s="450">
        <f t="shared" si="19"/>
        <v>1.3620999999999999E-2</v>
      </c>
      <c r="K142" s="461">
        <f t="shared" si="18"/>
        <v>1.1422318973278722E-3</v>
      </c>
      <c r="L142" s="589">
        <f t="shared" si="16"/>
        <v>1.4849014665262339E-3</v>
      </c>
    </row>
    <row r="143" spans="7:12" x14ac:dyDescent="0.2">
      <c r="G143" s="449">
        <v>141</v>
      </c>
      <c r="H143" s="449">
        <v>66.8</v>
      </c>
      <c r="I143" s="407">
        <v>66</v>
      </c>
      <c r="J143" s="450">
        <f t="shared" si="19"/>
        <v>1.3620999999999999E-2</v>
      </c>
      <c r="K143" s="461">
        <f t="shared" si="18"/>
        <v>1.1422318973278722E-3</v>
      </c>
      <c r="L143" s="589">
        <f t="shared" si="16"/>
        <v>1.4849014665262339E-3</v>
      </c>
    </row>
    <row r="144" spans="7:12" x14ac:dyDescent="0.2">
      <c r="G144" s="449">
        <v>142</v>
      </c>
      <c r="H144" s="449">
        <v>66.900000000000006</v>
      </c>
      <c r="I144" s="407">
        <v>66</v>
      </c>
      <c r="J144" s="450">
        <f t="shared" si="19"/>
        <v>1.3620999999999999E-2</v>
      </c>
      <c r="K144" s="461">
        <f t="shared" si="18"/>
        <v>1.1422318973278722E-3</v>
      </c>
      <c r="L144" s="589">
        <f t="shared" si="16"/>
        <v>1.4849014665262339E-3</v>
      </c>
    </row>
    <row r="145" spans="7:12" x14ac:dyDescent="0.2">
      <c r="G145" s="449">
        <v>143</v>
      </c>
      <c r="H145" s="449">
        <v>66.099999999999994</v>
      </c>
      <c r="I145" s="407">
        <v>66</v>
      </c>
      <c r="J145" s="450">
        <f t="shared" si="19"/>
        <v>1.3620999999999999E-2</v>
      </c>
      <c r="K145" s="461">
        <f t="shared" si="18"/>
        <v>1.1422318973278722E-3</v>
      </c>
      <c r="L145" s="589">
        <f t="shared" si="16"/>
        <v>1.4849014665262339E-3</v>
      </c>
    </row>
    <row r="146" spans="7:12" x14ac:dyDescent="0.2">
      <c r="G146" s="449">
        <v>144</v>
      </c>
      <c r="H146" s="449">
        <v>66.11</v>
      </c>
      <c r="I146" s="407">
        <v>66</v>
      </c>
      <c r="J146" s="450">
        <f t="shared" si="19"/>
        <v>1.3620999999999999E-2</v>
      </c>
      <c r="K146" s="461">
        <f t="shared" si="18"/>
        <v>1.1422318973278722E-3</v>
      </c>
      <c r="L146" s="589">
        <f t="shared" si="16"/>
        <v>1.4849014665262339E-3</v>
      </c>
    </row>
    <row r="147" spans="7:12" x14ac:dyDescent="0.2">
      <c r="G147" s="449">
        <v>145</v>
      </c>
      <c r="H147" s="449">
        <v>66.12</v>
      </c>
      <c r="I147" s="407">
        <v>66</v>
      </c>
      <c r="J147" s="450">
        <f t="shared" si="19"/>
        <v>1.3620999999999999E-2</v>
      </c>
      <c r="K147" s="461">
        <f t="shared" si="18"/>
        <v>1.1422318973278722E-3</v>
      </c>
      <c r="L147" s="589">
        <f t="shared" si="16"/>
        <v>1.4849014665262339E-3</v>
      </c>
    </row>
    <row r="148" spans="7:12" x14ac:dyDescent="0.2">
      <c r="G148" s="449">
        <v>146</v>
      </c>
      <c r="H148" s="449">
        <v>67.099999999999994</v>
      </c>
      <c r="I148" s="407">
        <v>67</v>
      </c>
      <c r="J148" s="450">
        <f>$D$16</f>
        <v>1.4619999999999999E-2</v>
      </c>
      <c r="K148" s="461">
        <f t="shared" si="18"/>
        <v>1.226574259157398E-3</v>
      </c>
      <c r="L148" s="589">
        <f t="shared" si="16"/>
        <v>1.5945465369046174E-3</v>
      </c>
    </row>
    <row r="149" spans="7:12" x14ac:dyDescent="0.2">
      <c r="G149" s="449">
        <v>147</v>
      </c>
      <c r="H149" s="449">
        <v>67.2</v>
      </c>
      <c r="I149" s="407">
        <v>67</v>
      </c>
      <c r="J149" s="450">
        <f t="shared" ref="J149:J159" si="20">$D$16</f>
        <v>1.4619999999999999E-2</v>
      </c>
      <c r="K149" s="461">
        <f t="shared" si="18"/>
        <v>1.226574259157398E-3</v>
      </c>
      <c r="L149" s="589">
        <f t="shared" si="16"/>
        <v>1.5945465369046174E-3</v>
      </c>
    </row>
    <row r="150" spans="7:12" x14ac:dyDescent="0.2">
      <c r="G150" s="449">
        <v>148</v>
      </c>
      <c r="H150" s="449">
        <v>67.3</v>
      </c>
      <c r="I150" s="407">
        <v>67</v>
      </c>
      <c r="J150" s="450">
        <f t="shared" si="20"/>
        <v>1.4619999999999999E-2</v>
      </c>
      <c r="K150" s="461">
        <f t="shared" si="18"/>
        <v>1.226574259157398E-3</v>
      </c>
      <c r="L150" s="589">
        <f t="shared" si="16"/>
        <v>1.5945465369046174E-3</v>
      </c>
    </row>
    <row r="151" spans="7:12" x14ac:dyDescent="0.2">
      <c r="G151" s="449">
        <v>149</v>
      </c>
      <c r="H151" s="449">
        <v>67.400000000000006</v>
      </c>
      <c r="I151" s="407">
        <v>67</v>
      </c>
      <c r="J151" s="450">
        <f t="shared" si="20"/>
        <v>1.4619999999999999E-2</v>
      </c>
      <c r="K151" s="461">
        <f t="shared" si="18"/>
        <v>1.226574259157398E-3</v>
      </c>
      <c r="L151" s="589">
        <f t="shared" si="16"/>
        <v>1.5945465369046174E-3</v>
      </c>
    </row>
    <row r="152" spans="7:12" x14ac:dyDescent="0.2">
      <c r="G152" s="449">
        <v>150</v>
      </c>
      <c r="H152" s="449">
        <v>67.5</v>
      </c>
      <c r="I152" s="407">
        <v>67</v>
      </c>
      <c r="J152" s="450">
        <f t="shared" si="20"/>
        <v>1.4619999999999999E-2</v>
      </c>
      <c r="K152" s="461">
        <f t="shared" si="18"/>
        <v>1.226574259157398E-3</v>
      </c>
      <c r="L152" s="589">
        <f t="shared" si="16"/>
        <v>1.5945465369046174E-3</v>
      </c>
    </row>
    <row r="153" spans="7:12" x14ac:dyDescent="0.2">
      <c r="G153" s="449">
        <v>151</v>
      </c>
      <c r="H153" s="449">
        <v>67.599999999999994</v>
      </c>
      <c r="I153" s="407">
        <v>67</v>
      </c>
      <c r="J153" s="450">
        <f t="shared" si="20"/>
        <v>1.4619999999999999E-2</v>
      </c>
      <c r="K153" s="461">
        <f t="shared" si="18"/>
        <v>1.226574259157398E-3</v>
      </c>
      <c r="L153" s="589">
        <f t="shared" si="16"/>
        <v>1.5945465369046174E-3</v>
      </c>
    </row>
    <row r="154" spans="7:12" x14ac:dyDescent="0.2">
      <c r="G154" s="449">
        <v>152</v>
      </c>
      <c r="H154" s="449">
        <v>67.7</v>
      </c>
      <c r="I154" s="407">
        <v>67</v>
      </c>
      <c r="J154" s="450">
        <f t="shared" si="20"/>
        <v>1.4619999999999999E-2</v>
      </c>
      <c r="K154" s="461">
        <f t="shared" si="18"/>
        <v>1.226574259157398E-3</v>
      </c>
      <c r="L154" s="589">
        <f t="shared" si="16"/>
        <v>1.5945465369046174E-3</v>
      </c>
    </row>
    <row r="155" spans="7:12" x14ac:dyDescent="0.2">
      <c r="G155" s="449">
        <v>153</v>
      </c>
      <c r="H155" s="449">
        <v>67.8</v>
      </c>
      <c r="I155" s="407">
        <v>67</v>
      </c>
      <c r="J155" s="450">
        <f t="shared" si="20"/>
        <v>1.4619999999999999E-2</v>
      </c>
      <c r="K155" s="461">
        <f t="shared" si="18"/>
        <v>1.226574259157398E-3</v>
      </c>
      <c r="L155" s="589">
        <f t="shared" si="16"/>
        <v>1.5945465369046174E-3</v>
      </c>
    </row>
    <row r="156" spans="7:12" x14ac:dyDescent="0.2">
      <c r="G156" s="449">
        <v>154</v>
      </c>
      <c r="H156" s="449">
        <v>67.900000000000006</v>
      </c>
      <c r="I156" s="407">
        <v>67</v>
      </c>
      <c r="J156" s="450">
        <f t="shared" si="20"/>
        <v>1.4619999999999999E-2</v>
      </c>
      <c r="K156" s="461">
        <f t="shared" si="18"/>
        <v>1.226574259157398E-3</v>
      </c>
      <c r="L156" s="589">
        <f t="shared" si="16"/>
        <v>1.5945465369046174E-3</v>
      </c>
    </row>
    <row r="157" spans="7:12" x14ac:dyDescent="0.2">
      <c r="G157" s="449">
        <v>155</v>
      </c>
      <c r="H157" s="449">
        <v>67.099999999999994</v>
      </c>
      <c r="I157" s="407">
        <v>67</v>
      </c>
      <c r="J157" s="450">
        <f t="shared" si="20"/>
        <v>1.4619999999999999E-2</v>
      </c>
      <c r="K157" s="461">
        <f t="shared" si="18"/>
        <v>1.226574259157398E-3</v>
      </c>
      <c r="L157" s="589">
        <f t="shared" si="16"/>
        <v>1.5945465369046174E-3</v>
      </c>
    </row>
    <row r="158" spans="7:12" x14ac:dyDescent="0.2">
      <c r="G158" s="449">
        <v>156</v>
      </c>
      <c r="H158" s="449">
        <v>67.11</v>
      </c>
      <c r="I158" s="407">
        <v>67</v>
      </c>
      <c r="J158" s="450">
        <f t="shared" si="20"/>
        <v>1.4619999999999999E-2</v>
      </c>
      <c r="K158" s="461">
        <f t="shared" si="18"/>
        <v>1.226574259157398E-3</v>
      </c>
      <c r="L158" s="589">
        <f t="shared" si="16"/>
        <v>1.5945465369046174E-3</v>
      </c>
    </row>
    <row r="159" spans="7:12" x14ac:dyDescent="0.2">
      <c r="G159" s="449">
        <v>157</v>
      </c>
      <c r="H159" s="449">
        <v>67.12</v>
      </c>
      <c r="I159" s="407">
        <v>67</v>
      </c>
      <c r="J159" s="450">
        <f t="shared" si="20"/>
        <v>1.4619999999999999E-2</v>
      </c>
      <c r="K159" s="461">
        <f t="shared" si="18"/>
        <v>1.226574259157398E-3</v>
      </c>
      <c r="L159" s="589">
        <f t="shared" si="16"/>
        <v>1.5945465369046174E-3</v>
      </c>
    </row>
    <row r="160" spans="7:12" x14ac:dyDescent="0.2">
      <c r="G160" s="449">
        <v>158</v>
      </c>
      <c r="H160" s="449">
        <v>68.099999999999994</v>
      </c>
      <c r="I160" s="407">
        <v>68</v>
      </c>
      <c r="J160" s="450">
        <f>$D$17</f>
        <v>1.5769999999999999E-2</v>
      </c>
      <c r="K160" s="461">
        <f t="shared" si="18"/>
        <v>1.3237621699756508E-3</v>
      </c>
      <c r="L160" s="589">
        <f t="shared" si="16"/>
        <v>1.7208908209683461E-3</v>
      </c>
    </row>
    <row r="161" spans="6:12" x14ac:dyDescent="0.2">
      <c r="G161" s="449">
        <v>159</v>
      </c>
      <c r="H161" s="449">
        <v>68.2</v>
      </c>
      <c r="I161" s="407">
        <v>68</v>
      </c>
      <c r="J161" s="450">
        <f t="shared" ref="J161:J171" si="21">$D$17</f>
        <v>1.5769999999999999E-2</v>
      </c>
      <c r="K161" s="461">
        <f t="shared" si="18"/>
        <v>1.3237621699756508E-3</v>
      </c>
      <c r="L161" s="589">
        <f t="shared" si="16"/>
        <v>1.7208908209683461E-3</v>
      </c>
    </row>
    <row r="162" spans="6:12" x14ac:dyDescent="0.2">
      <c r="G162" s="449">
        <v>160</v>
      </c>
      <c r="H162" s="449">
        <v>68.3</v>
      </c>
      <c r="I162" s="407">
        <v>68</v>
      </c>
      <c r="J162" s="450">
        <f t="shared" si="21"/>
        <v>1.5769999999999999E-2</v>
      </c>
      <c r="K162" s="461">
        <f t="shared" si="18"/>
        <v>1.3237621699756508E-3</v>
      </c>
      <c r="L162" s="589">
        <f t="shared" si="16"/>
        <v>1.7208908209683461E-3</v>
      </c>
    </row>
    <row r="163" spans="6:12" x14ac:dyDescent="0.2">
      <c r="G163" s="449">
        <v>161</v>
      </c>
      <c r="H163" s="449">
        <v>68.400000000000006</v>
      </c>
      <c r="I163" s="407">
        <v>68</v>
      </c>
      <c r="J163" s="450">
        <f t="shared" si="21"/>
        <v>1.5769999999999999E-2</v>
      </c>
      <c r="K163" s="461">
        <f t="shared" si="18"/>
        <v>1.3237621699756508E-3</v>
      </c>
      <c r="L163" s="589">
        <f t="shared" si="16"/>
        <v>1.7208908209683461E-3</v>
      </c>
    </row>
    <row r="164" spans="6:12" x14ac:dyDescent="0.2">
      <c r="G164" s="449">
        <v>162</v>
      </c>
      <c r="H164" s="449">
        <v>68.5</v>
      </c>
      <c r="I164" s="407">
        <v>68</v>
      </c>
      <c r="J164" s="450">
        <f t="shared" si="21"/>
        <v>1.5769999999999999E-2</v>
      </c>
      <c r="K164" s="461">
        <f t="shared" si="18"/>
        <v>1.3237621699756508E-3</v>
      </c>
      <c r="L164" s="589">
        <f t="shared" si="16"/>
        <v>1.7208908209683461E-3</v>
      </c>
    </row>
    <row r="165" spans="6:12" x14ac:dyDescent="0.2">
      <c r="G165" s="449">
        <v>163</v>
      </c>
      <c r="H165" s="449">
        <v>68.599999999999994</v>
      </c>
      <c r="I165" s="407">
        <v>68</v>
      </c>
      <c r="J165" s="450">
        <f t="shared" si="21"/>
        <v>1.5769999999999999E-2</v>
      </c>
      <c r="K165" s="461">
        <f t="shared" si="18"/>
        <v>1.3237621699756508E-3</v>
      </c>
      <c r="L165" s="589">
        <f t="shared" si="16"/>
        <v>1.7208908209683461E-3</v>
      </c>
    </row>
    <row r="166" spans="6:12" x14ac:dyDescent="0.2">
      <c r="G166" s="449">
        <v>164</v>
      </c>
      <c r="H166" s="449">
        <v>68.7</v>
      </c>
      <c r="I166" s="407">
        <v>68</v>
      </c>
      <c r="J166" s="450">
        <f t="shared" si="21"/>
        <v>1.5769999999999999E-2</v>
      </c>
      <c r="K166" s="461">
        <f t="shared" si="18"/>
        <v>1.3237621699756508E-3</v>
      </c>
      <c r="L166" s="589">
        <f t="shared" si="16"/>
        <v>1.7208908209683461E-3</v>
      </c>
    </row>
    <row r="167" spans="6:12" x14ac:dyDescent="0.2">
      <c r="G167" s="449">
        <v>165</v>
      </c>
      <c r="H167" s="449">
        <v>68.8</v>
      </c>
      <c r="I167" s="407">
        <v>68</v>
      </c>
      <c r="J167" s="450">
        <f t="shared" si="21"/>
        <v>1.5769999999999999E-2</v>
      </c>
      <c r="K167" s="461">
        <f t="shared" si="18"/>
        <v>1.3237621699756508E-3</v>
      </c>
      <c r="L167" s="589">
        <f t="shared" si="16"/>
        <v>1.7208908209683461E-3</v>
      </c>
    </row>
    <row r="168" spans="6:12" x14ac:dyDescent="0.2">
      <c r="G168" s="449">
        <v>166</v>
      </c>
      <c r="H168" s="449">
        <v>68.900000000000006</v>
      </c>
      <c r="I168" s="407">
        <v>68</v>
      </c>
      <c r="J168" s="450">
        <f t="shared" si="21"/>
        <v>1.5769999999999999E-2</v>
      </c>
      <c r="K168" s="461">
        <f t="shared" si="18"/>
        <v>1.3237621699756508E-3</v>
      </c>
      <c r="L168" s="589">
        <f t="shared" si="16"/>
        <v>1.7208908209683461E-3</v>
      </c>
    </row>
    <row r="169" spans="6:12" x14ac:dyDescent="0.2">
      <c r="G169" s="449">
        <v>167</v>
      </c>
      <c r="H169" s="449">
        <v>68.099999999999994</v>
      </c>
      <c r="I169" s="407">
        <v>68</v>
      </c>
      <c r="J169" s="450">
        <f t="shared" si="21"/>
        <v>1.5769999999999999E-2</v>
      </c>
      <c r="K169" s="461">
        <f t="shared" si="18"/>
        <v>1.3237621699756508E-3</v>
      </c>
      <c r="L169" s="589">
        <f t="shared" si="16"/>
        <v>1.7208908209683461E-3</v>
      </c>
    </row>
    <row r="170" spans="6:12" x14ac:dyDescent="0.2">
      <c r="G170" s="449">
        <v>168</v>
      </c>
      <c r="H170" s="449">
        <v>68.11</v>
      </c>
      <c r="I170" s="407">
        <v>68</v>
      </c>
      <c r="J170" s="450">
        <f t="shared" si="21"/>
        <v>1.5769999999999999E-2</v>
      </c>
      <c r="K170" s="461">
        <f t="shared" si="18"/>
        <v>1.3237621699756508E-3</v>
      </c>
      <c r="L170" s="589">
        <f t="shared" si="16"/>
        <v>1.7208908209683461E-3</v>
      </c>
    </row>
    <row r="171" spans="6:12" x14ac:dyDescent="0.2">
      <c r="G171" s="449">
        <v>169</v>
      </c>
      <c r="H171" s="449">
        <v>68.12</v>
      </c>
      <c r="I171" s="407">
        <v>68</v>
      </c>
      <c r="J171" s="450">
        <f t="shared" si="21"/>
        <v>1.5769999999999999E-2</v>
      </c>
      <c r="K171" s="461">
        <f t="shared" si="18"/>
        <v>1.3237621699756508E-3</v>
      </c>
      <c r="L171" s="589">
        <f t="shared" si="16"/>
        <v>1.7208908209683461E-3</v>
      </c>
    </row>
    <row r="172" spans="6:12" x14ac:dyDescent="0.2">
      <c r="F172" s="400" t="s">
        <v>499</v>
      </c>
      <c r="G172" s="449">
        <v>170</v>
      </c>
      <c r="H172" s="449">
        <v>69.099999999999994</v>
      </c>
      <c r="I172" s="407">
        <v>69</v>
      </c>
      <c r="J172" s="450">
        <f>$D$18</f>
        <v>1.7100000000000001E-2</v>
      </c>
      <c r="K172" s="479">
        <f t="shared" si="18"/>
        <v>1.4362919947250585E-3</v>
      </c>
      <c r="L172" s="589">
        <f t="shared" si="16"/>
        <v>1.8671795931425761E-3</v>
      </c>
    </row>
    <row r="173" spans="6:12" x14ac:dyDescent="0.2">
      <c r="G173" s="449">
        <v>171</v>
      </c>
      <c r="H173" s="449">
        <v>69.2</v>
      </c>
      <c r="I173" s="407">
        <v>69</v>
      </c>
      <c r="J173" s="450">
        <f t="shared" ref="J173:J183" si="22">$D$18</f>
        <v>1.7100000000000001E-2</v>
      </c>
      <c r="K173" s="479">
        <f t="shared" si="18"/>
        <v>1.4362919947250585E-3</v>
      </c>
      <c r="L173" s="589">
        <f t="shared" si="16"/>
        <v>1.8671795931425761E-3</v>
      </c>
    </row>
    <row r="174" spans="6:12" x14ac:dyDescent="0.2">
      <c r="F174" s="400"/>
      <c r="G174" s="449">
        <v>172</v>
      </c>
      <c r="H174" s="449">
        <v>69.3</v>
      </c>
      <c r="I174" s="407">
        <v>69</v>
      </c>
      <c r="J174" s="450">
        <f t="shared" si="22"/>
        <v>1.7100000000000001E-2</v>
      </c>
      <c r="K174" s="479">
        <f t="shared" si="18"/>
        <v>1.4362919947250585E-3</v>
      </c>
      <c r="L174" s="589">
        <f t="shared" si="16"/>
        <v>1.8671795931425761E-3</v>
      </c>
    </row>
    <row r="175" spans="6:12" x14ac:dyDescent="0.2">
      <c r="G175" s="449">
        <v>173</v>
      </c>
      <c r="H175" s="449">
        <v>69.400000000000006</v>
      </c>
      <c r="I175" s="407">
        <v>69</v>
      </c>
      <c r="J175" s="450">
        <f t="shared" si="22"/>
        <v>1.7100000000000001E-2</v>
      </c>
      <c r="K175" s="479">
        <f t="shared" si="18"/>
        <v>1.4362919947250585E-3</v>
      </c>
      <c r="L175" s="589">
        <f t="shared" si="16"/>
        <v>1.8671795931425761E-3</v>
      </c>
    </row>
    <row r="176" spans="6:12" x14ac:dyDescent="0.2">
      <c r="G176" s="449">
        <v>174</v>
      </c>
      <c r="H176" s="449">
        <v>69.5</v>
      </c>
      <c r="I176" s="407">
        <v>69</v>
      </c>
      <c r="J176" s="450">
        <f t="shared" si="22"/>
        <v>1.7100000000000001E-2</v>
      </c>
      <c r="K176" s="479">
        <f t="shared" si="18"/>
        <v>1.4362919947250585E-3</v>
      </c>
      <c r="L176" s="589">
        <f t="shared" si="16"/>
        <v>1.8671795931425761E-3</v>
      </c>
    </row>
    <row r="177" spans="7:12" x14ac:dyDescent="0.2">
      <c r="G177" s="449">
        <v>175</v>
      </c>
      <c r="H177" s="449">
        <v>69.599999999999994</v>
      </c>
      <c r="I177" s="407">
        <v>69</v>
      </c>
      <c r="J177" s="450">
        <f t="shared" si="22"/>
        <v>1.7100000000000001E-2</v>
      </c>
      <c r="K177" s="479">
        <f t="shared" si="18"/>
        <v>1.4362919947250585E-3</v>
      </c>
      <c r="L177" s="589">
        <f t="shared" si="16"/>
        <v>1.8671795931425761E-3</v>
      </c>
    </row>
    <row r="178" spans="7:12" x14ac:dyDescent="0.2">
      <c r="G178" s="449">
        <v>176</v>
      </c>
      <c r="H178" s="449">
        <v>69.7</v>
      </c>
      <c r="I178" s="407">
        <v>69</v>
      </c>
      <c r="J178" s="450">
        <f t="shared" si="22"/>
        <v>1.7100000000000001E-2</v>
      </c>
      <c r="K178" s="479">
        <f t="shared" si="18"/>
        <v>1.4362919947250585E-3</v>
      </c>
      <c r="L178" s="589">
        <f t="shared" si="16"/>
        <v>1.8671795931425761E-3</v>
      </c>
    </row>
    <row r="179" spans="7:12" x14ac:dyDescent="0.2">
      <c r="G179" s="449">
        <v>177</v>
      </c>
      <c r="H179" s="449">
        <v>69.8</v>
      </c>
      <c r="I179" s="407">
        <v>69</v>
      </c>
      <c r="J179" s="450">
        <f t="shared" si="22"/>
        <v>1.7100000000000001E-2</v>
      </c>
      <c r="K179" s="479">
        <f t="shared" si="18"/>
        <v>1.4362919947250585E-3</v>
      </c>
      <c r="L179" s="589">
        <f t="shared" si="16"/>
        <v>1.8671795931425761E-3</v>
      </c>
    </row>
    <row r="180" spans="7:12" x14ac:dyDescent="0.2">
      <c r="G180" s="449">
        <v>178</v>
      </c>
      <c r="H180" s="449">
        <v>69.900000000000006</v>
      </c>
      <c r="I180" s="407">
        <v>69</v>
      </c>
      <c r="J180" s="450">
        <f t="shared" si="22"/>
        <v>1.7100000000000001E-2</v>
      </c>
      <c r="K180" s="479">
        <f t="shared" si="18"/>
        <v>1.4362919947250585E-3</v>
      </c>
      <c r="L180" s="589">
        <f t="shared" si="16"/>
        <v>1.8671795931425761E-3</v>
      </c>
    </row>
    <row r="181" spans="7:12" x14ac:dyDescent="0.2">
      <c r="G181" s="449">
        <v>179</v>
      </c>
      <c r="H181" s="449">
        <v>69.099999999999994</v>
      </c>
      <c r="I181" s="407">
        <v>69</v>
      </c>
      <c r="J181" s="450">
        <f t="shared" si="22"/>
        <v>1.7100000000000001E-2</v>
      </c>
      <c r="K181" s="479">
        <f t="shared" si="18"/>
        <v>1.4362919947250585E-3</v>
      </c>
      <c r="L181" s="589">
        <f t="shared" si="16"/>
        <v>1.8671795931425761E-3</v>
      </c>
    </row>
    <row r="182" spans="7:12" x14ac:dyDescent="0.2">
      <c r="G182" s="449">
        <v>180</v>
      </c>
      <c r="H182" s="449">
        <v>69.11</v>
      </c>
      <c r="I182" s="407">
        <v>69</v>
      </c>
      <c r="J182" s="450">
        <f t="shared" si="22"/>
        <v>1.7100000000000001E-2</v>
      </c>
      <c r="K182" s="479">
        <f t="shared" si="18"/>
        <v>1.4362919947250585E-3</v>
      </c>
      <c r="L182" s="589">
        <f t="shared" si="16"/>
        <v>1.8671795931425761E-3</v>
      </c>
    </row>
    <row r="183" spans="7:12" x14ac:dyDescent="0.2">
      <c r="G183" s="449">
        <v>181</v>
      </c>
      <c r="H183" s="449">
        <v>69.12</v>
      </c>
      <c r="I183" s="407">
        <v>69</v>
      </c>
      <c r="J183" s="450">
        <f t="shared" si="22"/>
        <v>1.7100000000000001E-2</v>
      </c>
      <c r="K183" s="479">
        <f t="shared" si="18"/>
        <v>1.4362919947250585E-3</v>
      </c>
      <c r="L183" s="589">
        <f t="shared" si="16"/>
        <v>1.8671795931425761E-3</v>
      </c>
    </row>
    <row r="184" spans="7:12" x14ac:dyDescent="0.2">
      <c r="G184" s="449">
        <v>182</v>
      </c>
      <c r="H184" s="449">
        <v>70.099999999999994</v>
      </c>
      <c r="I184" s="407">
        <v>70</v>
      </c>
      <c r="J184" s="450">
        <f>$D$19</f>
        <v>1.8428E-2</v>
      </c>
      <c r="K184" s="479">
        <f t="shared" si="18"/>
        <v>1.5487919527160665E-3</v>
      </c>
      <c r="L184" s="589">
        <f t="shared" si="16"/>
        <v>2.0134295385308867E-3</v>
      </c>
    </row>
    <row r="185" spans="7:12" x14ac:dyDescent="0.2">
      <c r="G185" s="449">
        <v>183</v>
      </c>
      <c r="H185" s="449">
        <v>70.2</v>
      </c>
      <c r="I185" s="407">
        <v>70</v>
      </c>
      <c r="J185" s="450">
        <f t="shared" ref="J185:J195" si="23">$D$19</f>
        <v>1.8428E-2</v>
      </c>
      <c r="K185" s="479">
        <f t="shared" si="18"/>
        <v>1.5487919527160665E-3</v>
      </c>
      <c r="L185" s="589">
        <f t="shared" si="16"/>
        <v>2.0134295385308867E-3</v>
      </c>
    </row>
    <row r="186" spans="7:12" x14ac:dyDescent="0.2">
      <c r="G186" s="449">
        <v>184</v>
      </c>
      <c r="H186" s="449">
        <v>70.3</v>
      </c>
      <c r="I186" s="407">
        <v>70</v>
      </c>
      <c r="J186" s="450">
        <f t="shared" si="23"/>
        <v>1.8428E-2</v>
      </c>
      <c r="K186" s="479">
        <f t="shared" si="18"/>
        <v>1.5487919527160665E-3</v>
      </c>
      <c r="L186" s="589">
        <f t="shared" si="16"/>
        <v>2.0134295385308867E-3</v>
      </c>
    </row>
    <row r="187" spans="7:12" x14ac:dyDescent="0.2">
      <c r="G187" s="449">
        <v>185</v>
      </c>
      <c r="H187" s="449">
        <v>70.400000000000006</v>
      </c>
      <c r="I187" s="407">
        <v>70</v>
      </c>
      <c r="J187" s="450">
        <f t="shared" si="23"/>
        <v>1.8428E-2</v>
      </c>
      <c r="K187" s="479">
        <f t="shared" si="18"/>
        <v>1.5487919527160665E-3</v>
      </c>
      <c r="L187" s="589">
        <f t="shared" si="16"/>
        <v>2.0134295385308867E-3</v>
      </c>
    </row>
    <row r="188" spans="7:12" x14ac:dyDescent="0.2">
      <c r="G188" s="449">
        <v>186</v>
      </c>
      <c r="H188" s="449">
        <v>70.5</v>
      </c>
      <c r="I188" s="407">
        <v>70</v>
      </c>
      <c r="J188" s="450">
        <f t="shared" si="23"/>
        <v>1.8428E-2</v>
      </c>
      <c r="K188" s="479">
        <f t="shared" si="18"/>
        <v>1.5487919527160665E-3</v>
      </c>
      <c r="L188" s="589">
        <f t="shared" ref="L188:L251" si="24">K188*1.3</f>
        <v>2.0134295385308867E-3</v>
      </c>
    </row>
    <row r="189" spans="7:12" x14ac:dyDescent="0.2">
      <c r="G189" s="449">
        <v>187</v>
      </c>
      <c r="H189" s="449">
        <v>70.599999999999994</v>
      </c>
      <c r="I189" s="407">
        <v>70</v>
      </c>
      <c r="J189" s="450">
        <f t="shared" si="23"/>
        <v>1.8428E-2</v>
      </c>
      <c r="K189" s="479">
        <f t="shared" si="18"/>
        <v>1.5487919527160665E-3</v>
      </c>
      <c r="L189" s="589">
        <f t="shared" si="24"/>
        <v>2.0134295385308867E-3</v>
      </c>
    </row>
    <row r="190" spans="7:12" x14ac:dyDescent="0.2">
      <c r="G190" s="449">
        <v>188</v>
      </c>
      <c r="H190" s="449">
        <v>70.7</v>
      </c>
      <c r="I190" s="407">
        <v>70</v>
      </c>
      <c r="J190" s="450">
        <f t="shared" si="23"/>
        <v>1.8428E-2</v>
      </c>
      <c r="K190" s="479">
        <f t="shared" si="18"/>
        <v>1.5487919527160665E-3</v>
      </c>
      <c r="L190" s="589">
        <f t="shared" si="24"/>
        <v>2.0134295385308867E-3</v>
      </c>
    </row>
    <row r="191" spans="7:12" x14ac:dyDescent="0.2">
      <c r="G191" s="449">
        <v>189</v>
      </c>
      <c r="H191" s="449">
        <v>70.8</v>
      </c>
      <c r="I191" s="407">
        <v>70</v>
      </c>
      <c r="J191" s="450">
        <f t="shared" si="23"/>
        <v>1.8428E-2</v>
      </c>
      <c r="K191" s="479">
        <f t="shared" si="18"/>
        <v>1.5487919527160665E-3</v>
      </c>
      <c r="L191" s="589">
        <f t="shared" si="24"/>
        <v>2.0134295385308867E-3</v>
      </c>
    </row>
    <row r="192" spans="7:12" x14ac:dyDescent="0.2">
      <c r="G192" s="449">
        <v>190</v>
      </c>
      <c r="H192" s="449">
        <v>70.900000000000006</v>
      </c>
      <c r="I192" s="407">
        <v>70</v>
      </c>
      <c r="J192" s="450">
        <f t="shared" si="23"/>
        <v>1.8428E-2</v>
      </c>
      <c r="K192" s="479">
        <f t="shared" si="18"/>
        <v>1.5487919527160665E-3</v>
      </c>
      <c r="L192" s="589">
        <f t="shared" si="24"/>
        <v>2.0134295385308867E-3</v>
      </c>
    </row>
    <row r="193" spans="7:12" x14ac:dyDescent="0.2">
      <c r="G193" s="449">
        <v>191</v>
      </c>
      <c r="H193" s="449">
        <v>70.099999999999994</v>
      </c>
      <c r="I193" s="407">
        <v>70</v>
      </c>
      <c r="J193" s="450">
        <f t="shared" si="23"/>
        <v>1.8428E-2</v>
      </c>
      <c r="K193" s="479">
        <f t="shared" si="18"/>
        <v>1.5487919527160665E-3</v>
      </c>
      <c r="L193" s="589">
        <f t="shared" si="24"/>
        <v>2.0134295385308867E-3</v>
      </c>
    </row>
    <row r="194" spans="7:12" x14ac:dyDescent="0.2">
      <c r="G194" s="449">
        <v>192</v>
      </c>
      <c r="H194" s="449">
        <v>70.11</v>
      </c>
      <c r="I194" s="407">
        <v>70</v>
      </c>
      <c r="J194" s="450">
        <f t="shared" si="23"/>
        <v>1.8428E-2</v>
      </c>
      <c r="K194" s="479">
        <f t="shared" si="18"/>
        <v>1.5487919527160665E-3</v>
      </c>
      <c r="L194" s="589">
        <f t="shared" si="24"/>
        <v>2.0134295385308867E-3</v>
      </c>
    </row>
    <row r="195" spans="7:12" x14ac:dyDescent="0.2">
      <c r="G195" s="449">
        <v>193</v>
      </c>
      <c r="H195" s="449">
        <v>70.12</v>
      </c>
      <c r="I195" s="407">
        <v>70</v>
      </c>
      <c r="J195" s="450">
        <f t="shared" si="23"/>
        <v>1.8428E-2</v>
      </c>
      <c r="K195" s="479">
        <f t="shared" si="18"/>
        <v>1.5487919527160665E-3</v>
      </c>
      <c r="L195" s="589">
        <f t="shared" si="24"/>
        <v>2.0134295385308867E-3</v>
      </c>
    </row>
    <row r="196" spans="7:12" x14ac:dyDescent="0.2">
      <c r="G196" s="449">
        <v>194</v>
      </c>
      <c r="H196" s="449">
        <v>71.099999999999994</v>
      </c>
      <c r="I196" s="407">
        <v>71</v>
      </c>
      <c r="J196" s="450">
        <f>$D$20</f>
        <v>2.0317000000000002E-2</v>
      </c>
      <c r="K196" s="479">
        <f t="shared" ref="K196:K259" si="25">1-((1-J196)^(1/12))</f>
        <v>1.7090569820643609E-3</v>
      </c>
      <c r="L196" s="589">
        <f t="shared" si="24"/>
        <v>2.2217740766836691E-3</v>
      </c>
    </row>
    <row r="197" spans="7:12" x14ac:dyDescent="0.2">
      <c r="G197" s="449">
        <v>195</v>
      </c>
      <c r="H197" s="449">
        <v>71.2</v>
      </c>
      <c r="I197" s="407">
        <v>71</v>
      </c>
      <c r="J197" s="450">
        <f t="shared" ref="J197:J207" si="26">$D$20</f>
        <v>2.0317000000000002E-2</v>
      </c>
      <c r="K197" s="479">
        <f t="shared" si="25"/>
        <v>1.7090569820643609E-3</v>
      </c>
      <c r="L197" s="589">
        <f t="shared" si="24"/>
        <v>2.2217740766836691E-3</v>
      </c>
    </row>
    <row r="198" spans="7:12" x14ac:dyDescent="0.2">
      <c r="G198" s="449">
        <v>196</v>
      </c>
      <c r="H198" s="449">
        <v>71.3</v>
      </c>
      <c r="I198" s="407">
        <v>71</v>
      </c>
      <c r="J198" s="450">
        <f t="shared" si="26"/>
        <v>2.0317000000000002E-2</v>
      </c>
      <c r="K198" s="479">
        <f t="shared" si="25"/>
        <v>1.7090569820643609E-3</v>
      </c>
      <c r="L198" s="589">
        <f t="shared" si="24"/>
        <v>2.2217740766836691E-3</v>
      </c>
    </row>
    <row r="199" spans="7:12" x14ac:dyDescent="0.2">
      <c r="G199" s="449">
        <v>197</v>
      </c>
      <c r="H199" s="449">
        <v>71.400000000000006</v>
      </c>
      <c r="I199" s="407">
        <v>71</v>
      </c>
      <c r="J199" s="450">
        <f t="shared" si="26"/>
        <v>2.0317000000000002E-2</v>
      </c>
      <c r="K199" s="479">
        <f t="shared" si="25"/>
        <v>1.7090569820643609E-3</v>
      </c>
      <c r="L199" s="589">
        <f t="shared" si="24"/>
        <v>2.2217740766836691E-3</v>
      </c>
    </row>
    <row r="200" spans="7:12" x14ac:dyDescent="0.2">
      <c r="G200" s="449">
        <v>198</v>
      </c>
      <c r="H200" s="449">
        <v>71.5</v>
      </c>
      <c r="I200" s="407">
        <v>71</v>
      </c>
      <c r="J200" s="450">
        <f t="shared" si="26"/>
        <v>2.0317000000000002E-2</v>
      </c>
      <c r="K200" s="479">
        <f t="shared" si="25"/>
        <v>1.7090569820643609E-3</v>
      </c>
      <c r="L200" s="589">
        <f t="shared" si="24"/>
        <v>2.2217740766836691E-3</v>
      </c>
    </row>
    <row r="201" spans="7:12" x14ac:dyDescent="0.2">
      <c r="G201" s="449">
        <v>199</v>
      </c>
      <c r="H201" s="449">
        <v>71.599999999999994</v>
      </c>
      <c r="I201" s="407">
        <v>71</v>
      </c>
      <c r="J201" s="450">
        <f t="shared" si="26"/>
        <v>2.0317000000000002E-2</v>
      </c>
      <c r="K201" s="479">
        <f t="shared" si="25"/>
        <v>1.7090569820643609E-3</v>
      </c>
      <c r="L201" s="589">
        <f t="shared" si="24"/>
        <v>2.2217740766836691E-3</v>
      </c>
    </row>
    <row r="202" spans="7:12" x14ac:dyDescent="0.2">
      <c r="G202" s="449">
        <v>200</v>
      </c>
      <c r="H202" s="449">
        <v>71.7</v>
      </c>
      <c r="I202" s="407">
        <v>71</v>
      </c>
      <c r="J202" s="450">
        <f t="shared" si="26"/>
        <v>2.0317000000000002E-2</v>
      </c>
      <c r="K202" s="479">
        <f t="shared" si="25"/>
        <v>1.7090569820643609E-3</v>
      </c>
      <c r="L202" s="589">
        <f t="shared" si="24"/>
        <v>2.2217740766836691E-3</v>
      </c>
    </row>
    <row r="203" spans="7:12" x14ac:dyDescent="0.2">
      <c r="G203" s="449">
        <v>201</v>
      </c>
      <c r="H203" s="449">
        <v>71.8</v>
      </c>
      <c r="I203" s="407">
        <v>71</v>
      </c>
      <c r="J203" s="450">
        <f t="shared" si="26"/>
        <v>2.0317000000000002E-2</v>
      </c>
      <c r="K203" s="479">
        <f t="shared" si="25"/>
        <v>1.7090569820643609E-3</v>
      </c>
      <c r="L203" s="589">
        <f t="shared" si="24"/>
        <v>2.2217740766836691E-3</v>
      </c>
    </row>
    <row r="204" spans="7:12" x14ac:dyDescent="0.2">
      <c r="G204" s="449">
        <v>202</v>
      </c>
      <c r="H204" s="449">
        <v>71.900000000000006</v>
      </c>
      <c r="I204" s="407">
        <v>71</v>
      </c>
      <c r="J204" s="450">
        <f t="shared" si="26"/>
        <v>2.0317000000000002E-2</v>
      </c>
      <c r="K204" s="479">
        <f t="shared" si="25"/>
        <v>1.7090569820643609E-3</v>
      </c>
      <c r="L204" s="589">
        <f t="shared" si="24"/>
        <v>2.2217740766836691E-3</v>
      </c>
    </row>
    <row r="205" spans="7:12" x14ac:dyDescent="0.2">
      <c r="G205" s="449">
        <v>203</v>
      </c>
      <c r="H205" s="449">
        <v>71.099999999999994</v>
      </c>
      <c r="I205" s="407">
        <v>71</v>
      </c>
      <c r="J205" s="450">
        <f t="shared" si="26"/>
        <v>2.0317000000000002E-2</v>
      </c>
      <c r="K205" s="479">
        <f t="shared" si="25"/>
        <v>1.7090569820643609E-3</v>
      </c>
      <c r="L205" s="589">
        <f t="shared" si="24"/>
        <v>2.2217740766836691E-3</v>
      </c>
    </row>
    <row r="206" spans="7:12" x14ac:dyDescent="0.2">
      <c r="G206" s="449">
        <v>204</v>
      </c>
      <c r="H206" s="449">
        <v>71.11</v>
      </c>
      <c r="I206" s="407">
        <v>71</v>
      </c>
      <c r="J206" s="450">
        <f t="shared" si="26"/>
        <v>2.0317000000000002E-2</v>
      </c>
      <c r="K206" s="479">
        <f t="shared" si="25"/>
        <v>1.7090569820643609E-3</v>
      </c>
      <c r="L206" s="589">
        <f t="shared" si="24"/>
        <v>2.2217740766836691E-3</v>
      </c>
    </row>
    <row r="207" spans="7:12" x14ac:dyDescent="0.2">
      <c r="G207" s="449">
        <v>205</v>
      </c>
      <c r="H207" s="449">
        <v>71.12</v>
      </c>
      <c r="I207" s="407">
        <v>71</v>
      </c>
      <c r="J207" s="450">
        <f t="shared" si="26"/>
        <v>2.0317000000000002E-2</v>
      </c>
      <c r="K207" s="479">
        <f t="shared" si="25"/>
        <v>1.7090569820643609E-3</v>
      </c>
      <c r="L207" s="589">
        <f t="shared" si="24"/>
        <v>2.2217740766836691E-3</v>
      </c>
    </row>
    <row r="208" spans="7:12" x14ac:dyDescent="0.2">
      <c r="G208" s="449">
        <v>206</v>
      </c>
      <c r="H208" s="449">
        <v>72.099999999999994</v>
      </c>
      <c r="I208" s="407">
        <v>72</v>
      </c>
      <c r="J208" s="450">
        <f>$D$21</f>
        <v>2.2102E-2</v>
      </c>
      <c r="K208" s="479">
        <f t="shared" si="25"/>
        <v>1.8607590427197618E-3</v>
      </c>
      <c r="L208" s="589">
        <f t="shared" si="24"/>
        <v>2.4189867555356906E-3</v>
      </c>
    </row>
    <row r="209" spans="7:12" x14ac:dyDescent="0.2">
      <c r="G209" s="449">
        <v>207</v>
      </c>
      <c r="H209" s="449">
        <v>72.2</v>
      </c>
      <c r="I209" s="407">
        <v>72</v>
      </c>
      <c r="J209" s="450">
        <f t="shared" ref="J209:J219" si="27">$D$21</f>
        <v>2.2102E-2</v>
      </c>
      <c r="K209" s="479">
        <f t="shared" si="25"/>
        <v>1.8607590427197618E-3</v>
      </c>
      <c r="L209" s="589">
        <f t="shared" si="24"/>
        <v>2.4189867555356906E-3</v>
      </c>
    </row>
    <row r="210" spans="7:12" x14ac:dyDescent="0.2">
      <c r="G210" s="449">
        <v>208</v>
      </c>
      <c r="H210" s="449">
        <v>72.3</v>
      </c>
      <c r="I210" s="407">
        <v>72</v>
      </c>
      <c r="J210" s="450">
        <f t="shared" si="27"/>
        <v>2.2102E-2</v>
      </c>
      <c r="K210" s="479">
        <f t="shared" si="25"/>
        <v>1.8607590427197618E-3</v>
      </c>
      <c r="L210" s="589">
        <f t="shared" si="24"/>
        <v>2.4189867555356906E-3</v>
      </c>
    </row>
    <row r="211" spans="7:12" x14ac:dyDescent="0.2">
      <c r="G211" s="449">
        <v>209</v>
      </c>
      <c r="H211" s="449">
        <v>72.400000000000006</v>
      </c>
      <c r="I211" s="407">
        <v>72</v>
      </c>
      <c r="J211" s="450">
        <f t="shared" si="27"/>
        <v>2.2102E-2</v>
      </c>
      <c r="K211" s="479">
        <f t="shared" si="25"/>
        <v>1.8607590427197618E-3</v>
      </c>
      <c r="L211" s="589">
        <f t="shared" si="24"/>
        <v>2.4189867555356906E-3</v>
      </c>
    </row>
    <row r="212" spans="7:12" x14ac:dyDescent="0.2">
      <c r="G212" s="449">
        <v>210</v>
      </c>
      <c r="H212" s="449">
        <v>72.5</v>
      </c>
      <c r="I212" s="407">
        <v>72</v>
      </c>
      <c r="J212" s="450">
        <f t="shared" si="27"/>
        <v>2.2102E-2</v>
      </c>
      <c r="K212" s="479">
        <f t="shared" si="25"/>
        <v>1.8607590427197618E-3</v>
      </c>
      <c r="L212" s="589">
        <f t="shared" si="24"/>
        <v>2.4189867555356906E-3</v>
      </c>
    </row>
    <row r="213" spans="7:12" x14ac:dyDescent="0.2">
      <c r="G213" s="449">
        <v>211</v>
      </c>
      <c r="H213" s="449">
        <v>72.599999999999994</v>
      </c>
      <c r="I213" s="407">
        <v>72</v>
      </c>
      <c r="J213" s="450">
        <f t="shared" si="27"/>
        <v>2.2102E-2</v>
      </c>
      <c r="K213" s="479">
        <f t="shared" si="25"/>
        <v>1.8607590427197618E-3</v>
      </c>
      <c r="L213" s="589">
        <f t="shared" si="24"/>
        <v>2.4189867555356906E-3</v>
      </c>
    </row>
    <row r="214" spans="7:12" x14ac:dyDescent="0.2">
      <c r="G214" s="449">
        <v>212</v>
      </c>
      <c r="H214" s="449">
        <v>72.7</v>
      </c>
      <c r="I214" s="407">
        <v>72</v>
      </c>
      <c r="J214" s="450">
        <f t="shared" si="27"/>
        <v>2.2102E-2</v>
      </c>
      <c r="K214" s="479">
        <f t="shared" si="25"/>
        <v>1.8607590427197618E-3</v>
      </c>
      <c r="L214" s="589">
        <f t="shared" si="24"/>
        <v>2.4189867555356906E-3</v>
      </c>
    </row>
    <row r="215" spans="7:12" x14ac:dyDescent="0.2">
      <c r="G215" s="449">
        <v>213</v>
      </c>
      <c r="H215" s="449">
        <v>72.8</v>
      </c>
      <c r="I215" s="407">
        <v>72</v>
      </c>
      <c r="J215" s="450">
        <f t="shared" si="27"/>
        <v>2.2102E-2</v>
      </c>
      <c r="K215" s="479">
        <f t="shared" si="25"/>
        <v>1.8607590427197618E-3</v>
      </c>
      <c r="L215" s="589">
        <f t="shared" si="24"/>
        <v>2.4189867555356906E-3</v>
      </c>
    </row>
    <row r="216" spans="7:12" x14ac:dyDescent="0.2">
      <c r="G216" s="449">
        <v>214</v>
      </c>
      <c r="H216" s="449">
        <v>72.900000000000006</v>
      </c>
      <c r="I216" s="407">
        <v>72</v>
      </c>
      <c r="J216" s="450">
        <f t="shared" si="27"/>
        <v>2.2102E-2</v>
      </c>
      <c r="K216" s="479">
        <f t="shared" si="25"/>
        <v>1.8607590427197618E-3</v>
      </c>
      <c r="L216" s="589">
        <f t="shared" si="24"/>
        <v>2.4189867555356906E-3</v>
      </c>
    </row>
    <row r="217" spans="7:12" x14ac:dyDescent="0.2">
      <c r="G217" s="449">
        <v>215</v>
      </c>
      <c r="H217" s="449">
        <v>72.099999999999994</v>
      </c>
      <c r="I217" s="407">
        <v>72</v>
      </c>
      <c r="J217" s="450">
        <f t="shared" si="27"/>
        <v>2.2102E-2</v>
      </c>
      <c r="K217" s="479">
        <f t="shared" si="25"/>
        <v>1.8607590427197618E-3</v>
      </c>
      <c r="L217" s="589">
        <f t="shared" si="24"/>
        <v>2.4189867555356906E-3</v>
      </c>
    </row>
    <row r="218" spans="7:12" x14ac:dyDescent="0.2">
      <c r="G218" s="449">
        <v>216</v>
      </c>
      <c r="H218" s="449">
        <v>72.11</v>
      </c>
      <c r="I218" s="407">
        <v>72</v>
      </c>
      <c r="J218" s="450">
        <f t="shared" si="27"/>
        <v>2.2102E-2</v>
      </c>
      <c r="K218" s="479">
        <f t="shared" si="25"/>
        <v>1.8607590427197618E-3</v>
      </c>
      <c r="L218" s="589">
        <f t="shared" si="24"/>
        <v>2.4189867555356906E-3</v>
      </c>
    </row>
    <row r="219" spans="7:12" x14ac:dyDescent="0.2">
      <c r="G219" s="449">
        <v>217</v>
      </c>
      <c r="H219" s="449">
        <v>72.12</v>
      </c>
      <c r="I219" s="407">
        <v>72</v>
      </c>
      <c r="J219" s="450">
        <f t="shared" si="27"/>
        <v>2.2102E-2</v>
      </c>
      <c r="K219" s="479">
        <f t="shared" si="25"/>
        <v>1.8607590427197618E-3</v>
      </c>
      <c r="L219" s="589">
        <f t="shared" si="24"/>
        <v>2.4189867555356906E-3</v>
      </c>
    </row>
    <row r="220" spans="7:12" x14ac:dyDescent="0.2">
      <c r="G220" s="449">
        <v>218</v>
      </c>
      <c r="H220" s="449">
        <v>73.099999999999994</v>
      </c>
      <c r="I220" s="407">
        <v>73</v>
      </c>
      <c r="J220" s="450">
        <f>$D$22</f>
        <v>2.4194E-2</v>
      </c>
      <c r="K220" s="479">
        <f t="shared" si="25"/>
        <v>2.0388755652031021E-3</v>
      </c>
      <c r="L220" s="589">
        <f t="shared" si="24"/>
        <v>2.6505382347640329E-3</v>
      </c>
    </row>
    <row r="221" spans="7:12" x14ac:dyDescent="0.2">
      <c r="G221" s="449">
        <v>219</v>
      </c>
      <c r="H221" s="449">
        <v>73.2</v>
      </c>
      <c r="I221" s="407">
        <v>73</v>
      </c>
      <c r="J221" s="450">
        <f t="shared" ref="J221:J231" si="28">$D$22</f>
        <v>2.4194E-2</v>
      </c>
      <c r="K221" s="479">
        <f t="shared" si="25"/>
        <v>2.0388755652031021E-3</v>
      </c>
      <c r="L221" s="589">
        <f t="shared" si="24"/>
        <v>2.6505382347640329E-3</v>
      </c>
    </row>
    <row r="222" spans="7:12" x14ac:dyDescent="0.2">
      <c r="G222" s="449">
        <v>220</v>
      </c>
      <c r="H222" s="449">
        <v>73.3</v>
      </c>
      <c r="I222" s="407">
        <v>73</v>
      </c>
      <c r="J222" s="450">
        <f t="shared" si="28"/>
        <v>2.4194E-2</v>
      </c>
      <c r="K222" s="479">
        <f t="shared" si="25"/>
        <v>2.0388755652031021E-3</v>
      </c>
      <c r="L222" s="589">
        <f t="shared" si="24"/>
        <v>2.6505382347640329E-3</v>
      </c>
    </row>
    <row r="223" spans="7:12" x14ac:dyDescent="0.2">
      <c r="G223" s="449">
        <v>221</v>
      </c>
      <c r="H223" s="449">
        <v>73.400000000000006</v>
      </c>
      <c r="I223" s="407">
        <v>73</v>
      </c>
      <c r="J223" s="450">
        <f t="shared" si="28"/>
        <v>2.4194E-2</v>
      </c>
      <c r="K223" s="479">
        <f t="shared" si="25"/>
        <v>2.0388755652031021E-3</v>
      </c>
      <c r="L223" s="589">
        <f t="shared" si="24"/>
        <v>2.6505382347640329E-3</v>
      </c>
    </row>
    <row r="224" spans="7:12" x14ac:dyDescent="0.2">
      <c r="G224" s="449">
        <v>222</v>
      </c>
      <c r="H224" s="449">
        <v>73.5</v>
      </c>
      <c r="I224" s="407">
        <v>73</v>
      </c>
      <c r="J224" s="450">
        <f t="shared" si="28"/>
        <v>2.4194E-2</v>
      </c>
      <c r="K224" s="479">
        <f t="shared" si="25"/>
        <v>2.0388755652031021E-3</v>
      </c>
      <c r="L224" s="589">
        <f t="shared" si="24"/>
        <v>2.6505382347640329E-3</v>
      </c>
    </row>
    <row r="225" spans="6:12" x14ac:dyDescent="0.2">
      <c r="G225" s="449">
        <v>223</v>
      </c>
      <c r="H225" s="449">
        <v>73.599999999999994</v>
      </c>
      <c r="I225" s="407">
        <v>73</v>
      </c>
      <c r="J225" s="450">
        <f t="shared" si="28"/>
        <v>2.4194E-2</v>
      </c>
      <c r="K225" s="479">
        <f t="shared" si="25"/>
        <v>2.0388755652031021E-3</v>
      </c>
      <c r="L225" s="589">
        <f t="shared" si="24"/>
        <v>2.6505382347640329E-3</v>
      </c>
    </row>
    <row r="226" spans="6:12" x14ac:dyDescent="0.2">
      <c r="G226" s="449">
        <v>224</v>
      </c>
      <c r="H226" s="449">
        <v>73.7</v>
      </c>
      <c r="I226" s="407">
        <v>73</v>
      </c>
      <c r="J226" s="450">
        <f t="shared" si="28"/>
        <v>2.4194E-2</v>
      </c>
      <c r="K226" s="479">
        <f t="shared" si="25"/>
        <v>2.0388755652031021E-3</v>
      </c>
      <c r="L226" s="589">
        <f t="shared" si="24"/>
        <v>2.6505382347640329E-3</v>
      </c>
    </row>
    <row r="227" spans="6:12" x14ac:dyDescent="0.2">
      <c r="G227" s="449">
        <v>225</v>
      </c>
      <c r="H227" s="449">
        <v>73.8</v>
      </c>
      <c r="I227" s="407">
        <v>73</v>
      </c>
      <c r="J227" s="450">
        <f t="shared" si="28"/>
        <v>2.4194E-2</v>
      </c>
      <c r="K227" s="479">
        <f t="shared" si="25"/>
        <v>2.0388755652031021E-3</v>
      </c>
      <c r="L227" s="589">
        <f t="shared" si="24"/>
        <v>2.6505382347640329E-3</v>
      </c>
    </row>
    <row r="228" spans="6:12" x14ac:dyDescent="0.2">
      <c r="G228" s="449">
        <v>226</v>
      </c>
      <c r="H228" s="449">
        <v>73.900000000000006</v>
      </c>
      <c r="I228" s="407">
        <v>73</v>
      </c>
      <c r="J228" s="450">
        <f t="shared" si="28"/>
        <v>2.4194E-2</v>
      </c>
      <c r="K228" s="479">
        <f t="shared" si="25"/>
        <v>2.0388755652031021E-3</v>
      </c>
      <c r="L228" s="589">
        <f t="shared" si="24"/>
        <v>2.6505382347640329E-3</v>
      </c>
    </row>
    <row r="229" spans="6:12" x14ac:dyDescent="0.2">
      <c r="G229" s="449">
        <v>227</v>
      </c>
      <c r="H229" s="449">
        <v>73.099999999999994</v>
      </c>
      <c r="I229" s="407">
        <v>73</v>
      </c>
      <c r="J229" s="450">
        <f t="shared" si="28"/>
        <v>2.4194E-2</v>
      </c>
      <c r="K229" s="479">
        <f t="shared" si="25"/>
        <v>2.0388755652031021E-3</v>
      </c>
      <c r="L229" s="589">
        <f t="shared" si="24"/>
        <v>2.6505382347640329E-3</v>
      </c>
    </row>
    <row r="230" spans="6:12" x14ac:dyDescent="0.2">
      <c r="G230" s="449">
        <v>228</v>
      </c>
      <c r="H230" s="449">
        <v>73.11</v>
      </c>
      <c r="I230" s="407">
        <v>73</v>
      </c>
      <c r="J230" s="450">
        <f t="shared" si="28"/>
        <v>2.4194E-2</v>
      </c>
      <c r="K230" s="479">
        <f t="shared" si="25"/>
        <v>2.0388755652031021E-3</v>
      </c>
      <c r="L230" s="589">
        <f t="shared" si="24"/>
        <v>2.6505382347640329E-3</v>
      </c>
    </row>
    <row r="231" spans="6:12" x14ac:dyDescent="0.2">
      <c r="G231" s="449">
        <v>229</v>
      </c>
      <c r="H231" s="449">
        <v>73.12</v>
      </c>
      <c r="I231" s="407">
        <v>73</v>
      </c>
      <c r="J231" s="450">
        <f t="shared" si="28"/>
        <v>2.4194E-2</v>
      </c>
      <c r="K231" s="479">
        <f t="shared" si="25"/>
        <v>2.0388755652031021E-3</v>
      </c>
      <c r="L231" s="589">
        <f t="shared" si="24"/>
        <v>2.6505382347640329E-3</v>
      </c>
    </row>
    <row r="232" spans="6:12" x14ac:dyDescent="0.2">
      <c r="F232" s="400" t="s">
        <v>500</v>
      </c>
      <c r="G232" s="449">
        <v>230</v>
      </c>
      <c r="H232" s="449">
        <v>74.099999999999994</v>
      </c>
      <c r="I232" s="407">
        <v>74</v>
      </c>
      <c r="J232" s="450">
        <f>$D$23</f>
        <v>2.6342000000000001E-2</v>
      </c>
      <c r="K232" s="479">
        <f t="shared" si="25"/>
        <v>2.2221246144455975E-3</v>
      </c>
      <c r="L232" s="589">
        <f t="shared" si="24"/>
        <v>2.8887619987792768E-3</v>
      </c>
    </row>
    <row r="233" spans="6:12" x14ac:dyDescent="0.2">
      <c r="G233" s="449">
        <v>231</v>
      </c>
      <c r="H233" s="449">
        <v>74.2</v>
      </c>
      <c r="I233" s="407">
        <v>74</v>
      </c>
      <c r="J233" s="450">
        <f t="shared" ref="J233:J243" si="29">$D$23</f>
        <v>2.6342000000000001E-2</v>
      </c>
      <c r="K233" s="479">
        <f t="shared" si="25"/>
        <v>2.2221246144455975E-3</v>
      </c>
      <c r="L233" s="589">
        <f t="shared" si="24"/>
        <v>2.8887619987792768E-3</v>
      </c>
    </row>
    <row r="234" spans="6:12" x14ac:dyDescent="0.2">
      <c r="G234" s="449">
        <v>232</v>
      </c>
      <c r="H234" s="449">
        <v>74.3</v>
      </c>
      <c r="I234" s="407">
        <v>74</v>
      </c>
      <c r="J234" s="450">
        <f t="shared" si="29"/>
        <v>2.6342000000000001E-2</v>
      </c>
      <c r="K234" s="479">
        <f t="shared" si="25"/>
        <v>2.2221246144455975E-3</v>
      </c>
      <c r="L234" s="589">
        <f t="shared" si="24"/>
        <v>2.8887619987792768E-3</v>
      </c>
    </row>
    <row r="235" spans="6:12" x14ac:dyDescent="0.2">
      <c r="G235" s="449">
        <v>233</v>
      </c>
      <c r="H235" s="449">
        <v>74.400000000000006</v>
      </c>
      <c r="I235" s="407">
        <v>74</v>
      </c>
      <c r="J235" s="450">
        <f t="shared" si="29"/>
        <v>2.6342000000000001E-2</v>
      </c>
      <c r="K235" s="479">
        <f t="shared" si="25"/>
        <v>2.2221246144455975E-3</v>
      </c>
      <c r="L235" s="589">
        <f t="shared" si="24"/>
        <v>2.8887619987792768E-3</v>
      </c>
    </row>
    <row r="236" spans="6:12" x14ac:dyDescent="0.2">
      <c r="G236" s="449">
        <v>234</v>
      </c>
      <c r="H236" s="449">
        <v>74.5</v>
      </c>
      <c r="I236" s="407">
        <v>74</v>
      </c>
      <c r="J236" s="450">
        <f t="shared" si="29"/>
        <v>2.6342000000000001E-2</v>
      </c>
      <c r="K236" s="479">
        <f t="shared" si="25"/>
        <v>2.2221246144455975E-3</v>
      </c>
      <c r="L236" s="589">
        <f t="shared" si="24"/>
        <v>2.8887619987792768E-3</v>
      </c>
    </row>
    <row r="237" spans="6:12" x14ac:dyDescent="0.2">
      <c r="G237" s="449">
        <v>235</v>
      </c>
      <c r="H237" s="449">
        <v>74.599999999999994</v>
      </c>
      <c r="I237" s="407">
        <v>74</v>
      </c>
      <c r="J237" s="450">
        <f t="shared" si="29"/>
        <v>2.6342000000000001E-2</v>
      </c>
      <c r="K237" s="479">
        <f t="shared" si="25"/>
        <v>2.2221246144455975E-3</v>
      </c>
      <c r="L237" s="589">
        <f t="shared" si="24"/>
        <v>2.8887619987792768E-3</v>
      </c>
    </row>
    <row r="238" spans="6:12" x14ac:dyDescent="0.2">
      <c r="G238" s="449">
        <v>236</v>
      </c>
      <c r="H238" s="449">
        <v>74.7</v>
      </c>
      <c r="I238" s="407">
        <v>74</v>
      </c>
      <c r="J238" s="450">
        <f t="shared" si="29"/>
        <v>2.6342000000000001E-2</v>
      </c>
      <c r="K238" s="479">
        <f t="shared" si="25"/>
        <v>2.2221246144455975E-3</v>
      </c>
      <c r="L238" s="589">
        <f t="shared" si="24"/>
        <v>2.8887619987792768E-3</v>
      </c>
    </row>
    <row r="239" spans="6:12" x14ac:dyDescent="0.2">
      <c r="G239" s="449">
        <v>237</v>
      </c>
      <c r="H239" s="449">
        <v>74.8</v>
      </c>
      <c r="I239" s="407">
        <v>74</v>
      </c>
      <c r="J239" s="450">
        <f t="shared" si="29"/>
        <v>2.6342000000000001E-2</v>
      </c>
      <c r="K239" s="479">
        <f t="shared" si="25"/>
        <v>2.2221246144455975E-3</v>
      </c>
      <c r="L239" s="589">
        <f t="shared" si="24"/>
        <v>2.8887619987792768E-3</v>
      </c>
    </row>
    <row r="240" spans="6:12" x14ac:dyDescent="0.2">
      <c r="G240" s="449">
        <v>238</v>
      </c>
      <c r="H240" s="449">
        <v>74.900000000000006</v>
      </c>
      <c r="I240" s="407">
        <v>74</v>
      </c>
      <c r="J240" s="450">
        <f t="shared" si="29"/>
        <v>2.6342000000000001E-2</v>
      </c>
      <c r="K240" s="479">
        <f t="shared" si="25"/>
        <v>2.2221246144455975E-3</v>
      </c>
      <c r="L240" s="589">
        <f t="shared" si="24"/>
        <v>2.8887619987792768E-3</v>
      </c>
    </row>
    <row r="241" spans="7:12" x14ac:dyDescent="0.2">
      <c r="G241" s="449">
        <v>239</v>
      </c>
      <c r="H241" s="449">
        <v>74.099999999999994</v>
      </c>
      <c r="I241" s="407">
        <v>74</v>
      </c>
      <c r="J241" s="450">
        <f t="shared" si="29"/>
        <v>2.6342000000000001E-2</v>
      </c>
      <c r="K241" s="479">
        <f t="shared" si="25"/>
        <v>2.2221246144455975E-3</v>
      </c>
      <c r="L241" s="589">
        <f t="shared" si="24"/>
        <v>2.8887619987792768E-3</v>
      </c>
    </row>
    <row r="242" spans="7:12" x14ac:dyDescent="0.2">
      <c r="G242" s="449">
        <v>240</v>
      </c>
      <c r="H242" s="449">
        <v>74.11</v>
      </c>
      <c r="I242" s="407">
        <v>74</v>
      </c>
      <c r="J242" s="450">
        <f t="shared" si="29"/>
        <v>2.6342000000000001E-2</v>
      </c>
      <c r="K242" s="479">
        <f t="shared" si="25"/>
        <v>2.2221246144455975E-3</v>
      </c>
      <c r="L242" s="589">
        <f t="shared" si="24"/>
        <v>2.8887619987792768E-3</v>
      </c>
    </row>
    <row r="243" spans="7:12" x14ac:dyDescent="0.2">
      <c r="G243" s="449">
        <v>241</v>
      </c>
      <c r="H243" s="449">
        <v>74.12</v>
      </c>
      <c r="I243" s="407">
        <v>74</v>
      </c>
      <c r="J243" s="450">
        <f t="shared" si="29"/>
        <v>2.6342000000000001E-2</v>
      </c>
      <c r="K243" s="479">
        <f t="shared" si="25"/>
        <v>2.2221246144455975E-3</v>
      </c>
      <c r="L243" s="589">
        <f t="shared" si="24"/>
        <v>2.8887619987792768E-3</v>
      </c>
    </row>
    <row r="244" spans="7:12" x14ac:dyDescent="0.2">
      <c r="G244" s="449">
        <v>242</v>
      </c>
      <c r="H244" s="449">
        <v>75.099999999999994</v>
      </c>
      <c r="I244" s="407">
        <v>75</v>
      </c>
      <c r="J244" s="450">
        <f>$D$24</f>
        <v>2.9041999999999998E-2</v>
      </c>
      <c r="K244" s="479">
        <f t="shared" si="25"/>
        <v>2.4529919863351957E-3</v>
      </c>
      <c r="L244" s="589">
        <f t="shared" si="24"/>
        <v>3.1888895822357543E-3</v>
      </c>
    </row>
    <row r="245" spans="7:12" x14ac:dyDescent="0.2">
      <c r="G245" s="449">
        <v>243</v>
      </c>
      <c r="H245" s="449">
        <v>75.2</v>
      </c>
      <c r="I245" s="407">
        <v>75</v>
      </c>
      <c r="J245" s="450">
        <f t="shared" ref="J245:J255" si="30">$D$24</f>
        <v>2.9041999999999998E-2</v>
      </c>
      <c r="K245" s="479">
        <f t="shared" si="25"/>
        <v>2.4529919863351957E-3</v>
      </c>
      <c r="L245" s="589">
        <f t="shared" si="24"/>
        <v>3.1888895822357543E-3</v>
      </c>
    </row>
    <row r="246" spans="7:12" x14ac:dyDescent="0.2">
      <c r="G246" s="449">
        <v>244</v>
      </c>
      <c r="H246" s="449">
        <v>75.3</v>
      </c>
      <c r="I246" s="407">
        <v>75</v>
      </c>
      <c r="J246" s="450">
        <f t="shared" si="30"/>
        <v>2.9041999999999998E-2</v>
      </c>
      <c r="K246" s="479">
        <f t="shared" si="25"/>
        <v>2.4529919863351957E-3</v>
      </c>
      <c r="L246" s="589">
        <f t="shared" si="24"/>
        <v>3.1888895822357543E-3</v>
      </c>
    </row>
    <row r="247" spans="7:12" x14ac:dyDescent="0.2">
      <c r="G247" s="449">
        <v>245</v>
      </c>
      <c r="H247" s="449">
        <v>75.400000000000006</v>
      </c>
      <c r="I247" s="407">
        <v>75</v>
      </c>
      <c r="J247" s="450">
        <f t="shared" si="30"/>
        <v>2.9041999999999998E-2</v>
      </c>
      <c r="K247" s="479">
        <f t="shared" si="25"/>
        <v>2.4529919863351957E-3</v>
      </c>
      <c r="L247" s="589">
        <f t="shared" si="24"/>
        <v>3.1888895822357543E-3</v>
      </c>
    </row>
    <row r="248" spans="7:12" x14ac:dyDescent="0.2">
      <c r="G248" s="449">
        <v>246</v>
      </c>
      <c r="H248" s="449">
        <v>75.5</v>
      </c>
      <c r="I248" s="407">
        <v>75</v>
      </c>
      <c r="J248" s="450">
        <f t="shared" si="30"/>
        <v>2.9041999999999998E-2</v>
      </c>
      <c r="K248" s="479">
        <f t="shared" si="25"/>
        <v>2.4529919863351957E-3</v>
      </c>
      <c r="L248" s="589">
        <f t="shared" si="24"/>
        <v>3.1888895822357543E-3</v>
      </c>
    </row>
    <row r="249" spans="7:12" x14ac:dyDescent="0.2">
      <c r="G249" s="449">
        <v>247</v>
      </c>
      <c r="H249" s="449">
        <v>75.599999999999994</v>
      </c>
      <c r="I249" s="407">
        <v>75</v>
      </c>
      <c r="J249" s="450">
        <f t="shared" si="30"/>
        <v>2.9041999999999998E-2</v>
      </c>
      <c r="K249" s="479">
        <f t="shared" si="25"/>
        <v>2.4529919863351957E-3</v>
      </c>
      <c r="L249" s="589">
        <f t="shared" si="24"/>
        <v>3.1888895822357543E-3</v>
      </c>
    </row>
    <row r="250" spans="7:12" x14ac:dyDescent="0.2">
      <c r="G250" s="449">
        <v>248</v>
      </c>
      <c r="H250" s="449">
        <v>75.7</v>
      </c>
      <c r="I250" s="407">
        <v>75</v>
      </c>
      <c r="J250" s="450">
        <f t="shared" si="30"/>
        <v>2.9041999999999998E-2</v>
      </c>
      <c r="K250" s="479">
        <f t="shared" si="25"/>
        <v>2.4529919863351957E-3</v>
      </c>
      <c r="L250" s="589">
        <f t="shared" si="24"/>
        <v>3.1888895822357543E-3</v>
      </c>
    </row>
    <row r="251" spans="7:12" x14ac:dyDescent="0.2">
      <c r="G251" s="449">
        <v>249</v>
      </c>
      <c r="H251" s="449">
        <v>75.8</v>
      </c>
      <c r="I251" s="407">
        <v>75</v>
      </c>
      <c r="J251" s="450">
        <f t="shared" si="30"/>
        <v>2.9041999999999998E-2</v>
      </c>
      <c r="K251" s="479">
        <f t="shared" si="25"/>
        <v>2.4529919863351957E-3</v>
      </c>
      <c r="L251" s="589">
        <f t="shared" si="24"/>
        <v>3.1888895822357543E-3</v>
      </c>
    </row>
    <row r="252" spans="7:12" x14ac:dyDescent="0.2">
      <c r="G252" s="449">
        <v>250</v>
      </c>
      <c r="H252" s="449">
        <v>75.900000000000006</v>
      </c>
      <c r="I252" s="407">
        <v>75</v>
      </c>
      <c r="J252" s="450">
        <f t="shared" si="30"/>
        <v>2.9041999999999998E-2</v>
      </c>
      <c r="K252" s="479">
        <f t="shared" si="25"/>
        <v>2.4529919863351957E-3</v>
      </c>
      <c r="L252" s="589">
        <f t="shared" ref="L252:L315" si="31">K252*1.3</f>
        <v>3.1888895822357543E-3</v>
      </c>
    </row>
    <row r="253" spans="7:12" x14ac:dyDescent="0.2">
      <c r="G253" s="449">
        <v>251</v>
      </c>
      <c r="H253" s="449">
        <v>75.099999999999994</v>
      </c>
      <c r="I253" s="407">
        <v>75</v>
      </c>
      <c r="J253" s="450">
        <f t="shared" si="30"/>
        <v>2.9041999999999998E-2</v>
      </c>
      <c r="K253" s="479">
        <f t="shared" si="25"/>
        <v>2.4529919863351957E-3</v>
      </c>
      <c r="L253" s="589">
        <f t="shared" si="31"/>
        <v>3.1888895822357543E-3</v>
      </c>
    </row>
    <row r="254" spans="7:12" x14ac:dyDescent="0.2">
      <c r="G254" s="449">
        <v>252</v>
      </c>
      <c r="H254" s="449">
        <v>75.11</v>
      </c>
      <c r="I254" s="407">
        <v>75</v>
      </c>
      <c r="J254" s="450">
        <f t="shared" si="30"/>
        <v>2.9041999999999998E-2</v>
      </c>
      <c r="K254" s="479">
        <f t="shared" si="25"/>
        <v>2.4529919863351957E-3</v>
      </c>
      <c r="L254" s="589">
        <f t="shared" si="31"/>
        <v>3.1888895822357543E-3</v>
      </c>
    </row>
    <row r="255" spans="7:12" x14ac:dyDescent="0.2">
      <c r="G255" s="449">
        <v>253</v>
      </c>
      <c r="H255" s="449">
        <v>75.12</v>
      </c>
      <c r="I255" s="407">
        <v>75</v>
      </c>
      <c r="J255" s="450">
        <f t="shared" si="30"/>
        <v>2.9041999999999998E-2</v>
      </c>
      <c r="K255" s="479">
        <f t="shared" si="25"/>
        <v>2.4529919863351957E-3</v>
      </c>
      <c r="L255" s="589">
        <f t="shared" si="31"/>
        <v>3.1888895822357543E-3</v>
      </c>
    </row>
    <row r="256" spans="7:12" x14ac:dyDescent="0.2">
      <c r="G256" s="449">
        <v>254</v>
      </c>
      <c r="H256" s="449">
        <v>76.099999999999994</v>
      </c>
      <c r="I256" s="407">
        <v>76</v>
      </c>
      <c r="J256" s="450">
        <f>$D$25</f>
        <v>3.2001000000000002E-2</v>
      </c>
      <c r="K256" s="479">
        <f t="shared" si="25"/>
        <v>2.7066823756384251E-3</v>
      </c>
      <c r="L256" s="589">
        <f t="shared" si="31"/>
        <v>3.5186870883299527E-3</v>
      </c>
    </row>
    <row r="257" spans="7:12" x14ac:dyDescent="0.2">
      <c r="G257" s="449">
        <v>255</v>
      </c>
      <c r="H257" s="449">
        <v>76.2</v>
      </c>
      <c r="I257" s="407">
        <v>76</v>
      </c>
      <c r="J257" s="450">
        <f t="shared" ref="J257:J267" si="32">$D$25</f>
        <v>3.2001000000000002E-2</v>
      </c>
      <c r="K257" s="479">
        <f t="shared" si="25"/>
        <v>2.7066823756384251E-3</v>
      </c>
      <c r="L257" s="589">
        <f t="shared" si="31"/>
        <v>3.5186870883299527E-3</v>
      </c>
    </row>
    <row r="258" spans="7:12" x14ac:dyDescent="0.2">
      <c r="G258" s="449">
        <v>256</v>
      </c>
      <c r="H258" s="449">
        <v>76.3</v>
      </c>
      <c r="I258" s="407">
        <v>76</v>
      </c>
      <c r="J258" s="450">
        <f t="shared" si="32"/>
        <v>3.2001000000000002E-2</v>
      </c>
      <c r="K258" s="479">
        <f t="shared" si="25"/>
        <v>2.7066823756384251E-3</v>
      </c>
      <c r="L258" s="589">
        <f t="shared" si="31"/>
        <v>3.5186870883299527E-3</v>
      </c>
    </row>
    <row r="259" spans="7:12" x14ac:dyDescent="0.2">
      <c r="G259" s="449">
        <v>257</v>
      </c>
      <c r="H259" s="449">
        <v>76.400000000000006</v>
      </c>
      <c r="I259" s="407">
        <v>76</v>
      </c>
      <c r="J259" s="450">
        <f t="shared" si="32"/>
        <v>3.2001000000000002E-2</v>
      </c>
      <c r="K259" s="479">
        <f t="shared" si="25"/>
        <v>2.7066823756384251E-3</v>
      </c>
      <c r="L259" s="589">
        <f t="shared" si="31"/>
        <v>3.5186870883299527E-3</v>
      </c>
    </row>
    <row r="260" spans="7:12" x14ac:dyDescent="0.2">
      <c r="G260" s="449">
        <v>258</v>
      </c>
      <c r="H260" s="449">
        <v>76.5</v>
      </c>
      <c r="I260" s="407">
        <v>76</v>
      </c>
      <c r="J260" s="450">
        <f t="shared" si="32"/>
        <v>3.2001000000000002E-2</v>
      </c>
      <c r="K260" s="479">
        <f t="shared" ref="K260:K323" si="33">1-((1-J260)^(1/12))</f>
        <v>2.7066823756384251E-3</v>
      </c>
      <c r="L260" s="589">
        <f t="shared" si="31"/>
        <v>3.5186870883299527E-3</v>
      </c>
    </row>
    <row r="261" spans="7:12" x14ac:dyDescent="0.2">
      <c r="G261" s="449">
        <v>259</v>
      </c>
      <c r="H261" s="449">
        <v>76.599999999999994</v>
      </c>
      <c r="I261" s="407">
        <v>76</v>
      </c>
      <c r="J261" s="450">
        <f t="shared" si="32"/>
        <v>3.2001000000000002E-2</v>
      </c>
      <c r="K261" s="479">
        <f t="shared" si="33"/>
        <v>2.7066823756384251E-3</v>
      </c>
      <c r="L261" s="589">
        <f t="shared" si="31"/>
        <v>3.5186870883299527E-3</v>
      </c>
    </row>
    <row r="262" spans="7:12" x14ac:dyDescent="0.2">
      <c r="G262" s="449">
        <v>260</v>
      </c>
      <c r="H262" s="449">
        <v>76.7</v>
      </c>
      <c r="I262" s="407">
        <v>76</v>
      </c>
      <c r="J262" s="450">
        <f t="shared" si="32"/>
        <v>3.2001000000000002E-2</v>
      </c>
      <c r="K262" s="479">
        <f t="shared" si="33"/>
        <v>2.7066823756384251E-3</v>
      </c>
      <c r="L262" s="589">
        <f t="shared" si="31"/>
        <v>3.5186870883299527E-3</v>
      </c>
    </row>
    <row r="263" spans="7:12" x14ac:dyDescent="0.2">
      <c r="G263" s="449">
        <v>261</v>
      </c>
      <c r="H263" s="449">
        <v>76.8</v>
      </c>
      <c r="I263" s="407">
        <v>76</v>
      </c>
      <c r="J263" s="450">
        <f t="shared" si="32"/>
        <v>3.2001000000000002E-2</v>
      </c>
      <c r="K263" s="479">
        <f t="shared" si="33"/>
        <v>2.7066823756384251E-3</v>
      </c>
      <c r="L263" s="589">
        <f t="shared" si="31"/>
        <v>3.5186870883299527E-3</v>
      </c>
    </row>
    <row r="264" spans="7:12" x14ac:dyDescent="0.2">
      <c r="G264" s="449">
        <v>262</v>
      </c>
      <c r="H264" s="449">
        <v>76.900000000000006</v>
      </c>
      <c r="I264" s="407">
        <v>76</v>
      </c>
      <c r="J264" s="450">
        <f t="shared" si="32"/>
        <v>3.2001000000000002E-2</v>
      </c>
      <c r="K264" s="479">
        <f t="shared" si="33"/>
        <v>2.7066823756384251E-3</v>
      </c>
      <c r="L264" s="589">
        <f t="shared" si="31"/>
        <v>3.5186870883299527E-3</v>
      </c>
    </row>
    <row r="265" spans="7:12" x14ac:dyDescent="0.2">
      <c r="G265" s="449">
        <v>263</v>
      </c>
      <c r="H265" s="449">
        <v>76.099999999999994</v>
      </c>
      <c r="I265" s="407">
        <v>76</v>
      </c>
      <c r="J265" s="450">
        <f t="shared" si="32"/>
        <v>3.2001000000000002E-2</v>
      </c>
      <c r="K265" s="479">
        <f t="shared" si="33"/>
        <v>2.7066823756384251E-3</v>
      </c>
      <c r="L265" s="589">
        <f t="shared" si="31"/>
        <v>3.5186870883299527E-3</v>
      </c>
    </row>
    <row r="266" spans="7:12" x14ac:dyDescent="0.2">
      <c r="G266" s="449">
        <v>264</v>
      </c>
      <c r="H266" s="449">
        <v>76.11</v>
      </c>
      <c r="I266" s="407">
        <v>76</v>
      </c>
      <c r="J266" s="450">
        <f t="shared" si="32"/>
        <v>3.2001000000000002E-2</v>
      </c>
      <c r="K266" s="479">
        <f t="shared" si="33"/>
        <v>2.7066823756384251E-3</v>
      </c>
      <c r="L266" s="589">
        <f t="shared" si="31"/>
        <v>3.5186870883299527E-3</v>
      </c>
    </row>
    <row r="267" spans="7:12" x14ac:dyDescent="0.2">
      <c r="G267" s="449">
        <v>265</v>
      </c>
      <c r="H267" s="449">
        <v>76.12</v>
      </c>
      <c r="I267" s="407">
        <v>76</v>
      </c>
      <c r="J267" s="450">
        <f t="shared" si="32"/>
        <v>3.2001000000000002E-2</v>
      </c>
      <c r="K267" s="479">
        <f t="shared" si="33"/>
        <v>2.7066823756384251E-3</v>
      </c>
      <c r="L267" s="589">
        <f t="shared" si="31"/>
        <v>3.5186870883299527E-3</v>
      </c>
    </row>
    <row r="268" spans="7:12" x14ac:dyDescent="0.2">
      <c r="G268" s="449">
        <v>266</v>
      </c>
      <c r="H268" s="449">
        <v>77.099999999999994</v>
      </c>
      <c r="I268" s="407">
        <v>77</v>
      </c>
      <c r="J268" s="450">
        <f>$D$26</f>
        <v>3.5443000000000002E-2</v>
      </c>
      <c r="K268" s="479">
        <f t="shared" si="33"/>
        <v>3.0026787825909729E-3</v>
      </c>
      <c r="L268" s="589">
        <f t="shared" si="31"/>
        <v>3.9034824173682647E-3</v>
      </c>
    </row>
    <row r="269" spans="7:12" x14ac:dyDescent="0.2">
      <c r="G269" s="449">
        <v>267</v>
      </c>
      <c r="H269" s="449">
        <v>77.2</v>
      </c>
      <c r="I269" s="407">
        <v>77</v>
      </c>
      <c r="J269" s="450">
        <f t="shared" ref="J269:J279" si="34">$D$26</f>
        <v>3.5443000000000002E-2</v>
      </c>
      <c r="K269" s="479">
        <f t="shared" si="33"/>
        <v>3.0026787825909729E-3</v>
      </c>
      <c r="L269" s="589">
        <f t="shared" si="31"/>
        <v>3.9034824173682647E-3</v>
      </c>
    </row>
    <row r="270" spans="7:12" x14ac:dyDescent="0.2">
      <c r="G270" s="449">
        <v>268</v>
      </c>
      <c r="H270" s="449">
        <v>77.3</v>
      </c>
      <c r="I270" s="407">
        <v>77</v>
      </c>
      <c r="J270" s="450">
        <f t="shared" si="34"/>
        <v>3.5443000000000002E-2</v>
      </c>
      <c r="K270" s="479">
        <f t="shared" si="33"/>
        <v>3.0026787825909729E-3</v>
      </c>
      <c r="L270" s="589">
        <f t="shared" si="31"/>
        <v>3.9034824173682647E-3</v>
      </c>
    </row>
    <row r="271" spans="7:12" x14ac:dyDescent="0.2">
      <c r="G271" s="449">
        <v>269</v>
      </c>
      <c r="H271" s="449">
        <v>77.400000000000006</v>
      </c>
      <c r="I271" s="407">
        <v>77</v>
      </c>
      <c r="J271" s="450">
        <f t="shared" si="34"/>
        <v>3.5443000000000002E-2</v>
      </c>
      <c r="K271" s="479">
        <f t="shared" si="33"/>
        <v>3.0026787825909729E-3</v>
      </c>
      <c r="L271" s="589">
        <f t="shared" si="31"/>
        <v>3.9034824173682647E-3</v>
      </c>
    </row>
    <row r="272" spans="7:12" x14ac:dyDescent="0.2">
      <c r="G272" s="449">
        <v>270</v>
      </c>
      <c r="H272" s="449">
        <v>77.5</v>
      </c>
      <c r="I272" s="407">
        <v>77</v>
      </c>
      <c r="J272" s="450">
        <f t="shared" si="34"/>
        <v>3.5443000000000002E-2</v>
      </c>
      <c r="K272" s="479">
        <f t="shared" si="33"/>
        <v>3.0026787825909729E-3</v>
      </c>
      <c r="L272" s="589">
        <f t="shared" si="31"/>
        <v>3.9034824173682647E-3</v>
      </c>
    </row>
    <row r="273" spans="7:12" x14ac:dyDescent="0.2">
      <c r="G273" s="449">
        <v>271</v>
      </c>
      <c r="H273" s="449">
        <v>77.599999999999994</v>
      </c>
      <c r="I273" s="407">
        <v>77</v>
      </c>
      <c r="J273" s="450">
        <f t="shared" si="34"/>
        <v>3.5443000000000002E-2</v>
      </c>
      <c r="K273" s="479">
        <f t="shared" si="33"/>
        <v>3.0026787825909729E-3</v>
      </c>
      <c r="L273" s="589">
        <f t="shared" si="31"/>
        <v>3.9034824173682647E-3</v>
      </c>
    </row>
    <row r="274" spans="7:12" x14ac:dyDescent="0.2">
      <c r="G274" s="449">
        <v>272</v>
      </c>
      <c r="H274" s="449">
        <v>77.7</v>
      </c>
      <c r="I274" s="407">
        <v>77</v>
      </c>
      <c r="J274" s="450">
        <f t="shared" si="34"/>
        <v>3.5443000000000002E-2</v>
      </c>
      <c r="K274" s="479">
        <f t="shared" si="33"/>
        <v>3.0026787825909729E-3</v>
      </c>
      <c r="L274" s="589">
        <f t="shared" si="31"/>
        <v>3.9034824173682647E-3</v>
      </c>
    </row>
    <row r="275" spans="7:12" x14ac:dyDescent="0.2">
      <c r="G275" s="449">
        <v>273</v>
      </c>
      <c r="H275" s="449">
        <v>77.8</v>
      </c>
      <c r="I275" s="407">
        <v>77</v>
      </c>
      <c r="J275" s="450">
        <f t="shared" si="34"/>
        <v>3.5443000000000002E-2</v>
      </c>
      <c r="K275" s="479">
        <f t="shared" si="33"/>
        <v>3.0026787825909729E-3</v>
      </c>
      <c r="L275" s="589">
        <f t="shared" si="31"/>
        <v>3.9034824173682647E-3</v>
      </c>
    </row>
    <row r="276" spans="7:12" x14ac:dyDescent="0.2">
      <c r="G276" s="449">
        <v>274</v>
      </c>
      <c r="H276" s="449">
        <v>77.900000000000006</v>
      </c>
      <c r="I276" s="407">
        <v>77</v>
      </c>
      <c r="J276" s="450">
        <f t="shared" si="34"/>
        <v>3.5443000000000002E-2</v>
      </c>
      <c r="K276" s="479">
        <f t="shared" si="33"/>
        <v>3.0026787825909729E-3</v>
      </c>
      <c r="L276" s="589">
        <f t="shared" si="31"/>
        <v>3.9034824173682647E-3</v>
      </c>
    </row>
    <row r="277" spans="7:12" x14ac:dyDescent="0.2">
      <c r="G277" s="449">
        <v>275</v>
      </c>
      <c r="H277" s="449">
        <v>77.099999999999994</v>
      </c>
      <c r="I277" s="407">
        <v>77</v>
      </c>
      <c r="J277" s="450">
        <f t="shared" si="34"/>
        <v>3.5443000000000002E-2</v>
      </c>
      <c r="K277" s="479">
        <f t="shared" si="33"/>
        <v>3.0026787825909729E-3</v>
      </c>
      <c r="L277" s="589">
        <f t="shared" si="31"/>
        <v>3.9034824173682647E-3</v>
      </c>
    </row>
    <row r="278" spans="7:12" x14ac:dyDescent="0.2">
      <c r="G278" s="449">
        <v>276</v>
      </c>
      <c r="H278" s="449">
        <v>77.11</v>
      </c>
      <c r="I278" s="407">
        <v>77</v>
      </c>
      <c r="J278" s="450">
        <f t="shared" si="34"/>
        <v>3.5443000000000002E-2</v>
      </c>
      <c r="K278" s="479">
        <f t="shared" si="33"/>
        <v>3.0026787825909729E-3</v>
      </c>
      <c r="L278" s="589">
        <f t="shared" si="31"/>
        <v>3.9034824173682647E-3</v>
      </c>
    </row>
    <row r="279" spans="7:12" x14ac:dyDescent="0.2">
      <c r="G279" s="449">
        <v>277</v>
      </c>
      <c r="H279" s="449">
        <v>77.12</v>
      </c>
      <c r="I279" s="407">
        <v>77</v>
      </c>
      <c r="J279" s="450">
        <f t="shared" si="34"/>
        <v>3.5443000000000002E-2</v>
      </c>
      <c r="K279" s="479">
        <f t="shared" si="33"/>
        <v>3.0026787825909729E-3</v>
      </c>
      <c r="L279" s="589">
        <f t="shared" si="31"/>
        <v>3.9034824173682647E-3</v>
      </c>
    </row>
    <row r="280" spans="7:12" x14ac:dyDescent="0.2">
      <c r="G280" s="449">
        <v>278</v>
      </c>
      <c r="H280" s="449">
        <v>78.099999999999994</v>
      </c>
      <c r="I280" s="407">
        <v>78</v>
      </c>
      <c r="J280" s="450">
        <f>$D$27</f>
        <v>3.9257E-2</v>
      </c>
      <c r="K280" s="479">
        <f t="shared" si="33"/>
        <v>3.331798494724536E-3</v>
      </c>
      <c r="L280" s="589">
        <f t="shared" si="31"/>
        <v>4.3313380431418969E-3</v>
      </c>
    </row>
    <row r="281" spans="7:12" x14ac:dyDescent="0.2">
      <c r="G281" s="449">
        <v>279</v>
      </c>
      <c r="H281" s="449">
        <v>78.2</v>
      </c>
      <c r="I281" s="407">
        <v>78</v>
      </c>
      <c r="J281" s="450">
        <f t="shared" ref="J281:J291" si="35">$D$27</f>
        <v>3.9257E-2</v>
      </c>
      <c r="K281" s="479">
        <f t="shared" si="33"/>
        <v>3.331798494724536E-3</v>
      </c>
      <c r="L281" s="589">
        <f t="shared" si="31"/>
        <v>4.3313380431418969E-3</v>
      </c>
    </row>
    <row r="282" spans="7:12" x14ac:dyDescent="0.2">
      <c r="G282" s="449">
        <v>280</v>
      </c>
      <c r="H282" s="449">
        <v>78.3</v>
      </c>
      <c r="I282" s="407">
        <v>78</v>
      </c>
      <c r="J282" s="450">
        <f t="shared" si="35"/>
        <v>3.9257E-2</v>
      </c>
      <c r="K282" s="479">
        <f t="shared" si="33"/>
        <v>3.331798494724536E-3</v>
      </c>
      <c r="L282" s="589">
        <f t="shared" si="31"/>
        <v>4.3313380431418969E-3</v>
      </c>
    </row>
    <row r="283" spans="7:12" x14ac:dyDescent="0.2">
      <c r="G283" s="449">
        <v>281</v>
      </c>
      <c r="H283" s="449">
        <v>78.400000000000006</v>
      </c>
      <c r="I283" s="407">
        <v>78</v>
      </c>
      <c r="J283" s="450">
        <f t="shared" si="35"/>
        <v>3.9257E-2</v>
      </c>
      <c r="K283" s="479">
        <f t="shared" si="33"/>
        <v>3.331798494724536E-3</v>
      </c>
      <c r="L283" s="589">
        <f t="shared" si="31"/>
        <v>4.3313380431418969E-3</v>
      </c>
    </row>
    <row r="284" spans="7:12" x14ac:dyDescent="0.2">
      <c r="G284" s="449">
        <v>282</v>
      </c>
      <c r="H284" s="449">
        <v>78.5</v>
      </c>
      <c r="I284" s="407">
        <v>78</v>
      </c>
      <c r="J284" s="450">
        <f t="shared" si="35"/>
        <v>3.9257E-2</v>
      </c>
      <c r="K284" s="479">
        <f t="shared" si="33"/>
        <v>3.331798494724536E-3</v>
      </c>
      <c r="L284" s="589">
        <f t="shared" si="31"/>
        <v>4.3313380431418969E-3</v>
      </c>
    </row>
    <row r="285" spans="7:12" x14ac:dyDescent="0.2">
      <c r="G285" s="449">
        <v>283</v>
      </c>
      <c r="H285" s="449">
        <v>78.599999999999994</v>
      </c>
      <c r="I285" s="407">
        <v>78</v>
      </c>
      <c r="J285" s="450">
        <f t="shared" si="35"/>
        <v>3.9257E-2</v>
      </c>
      <c r="K285" s="479">
        <f t="shared" si="33"/>
        <v>3.331798494724536E-3</v>
      </c>
      <c r="L285" s="589">
        <f t="shared" si="31"/>
        <v>4.3313380431418969E-3</v>
      </c>
    </row>
    <row r="286" spans="7:12" x14ac:dyDescent="0.2">
      <c r="G286" s="449">
        <v>284</v>
      </c>
      <c r="H286" s="449">
        <v>78.7</v>
      </c>
      <c r="I286" s="407">
        <v>78</v>
      </c>
      <c r="J286" s="450">
        <f t="shared" si="35"/>
        <v>3.9257E-2</v>
      </c>
      <c r="K286" s="479">
        <f t="shared" si="33"/>
        <v>3.331798494724536E-3</v>
      </c>
      <c r="L286" s="589">
        <f t="shared" si="31"/>
        <v>4.3313380431418969E-3</v>
      </c>
    </row>
    <row r="287" spans="7:12" x14ac:dyDescent="0.2">
      <c r="G287" s="449">
        <v>285</v>
      </c>
      <c r="H287" s="449">
        <v>78.8</v>
      </c>
      <c r="I287" s="407">
        <v>78</v>
      </c>
      <c r="J287" s="450">
        <f t="shared" si="35"/>
        <v>3.9257E-2</v>
      </c>
      <c r="K287" s="479">
        <f t="shared" si="33"/>
        <v>3.331798494724536E-3</v>
      </c>
      <c r="L287" s="589">
        <f t="shared" si="31"/>
        <v>4.3313380431418969E-3</v>
      </c>
    </row>
    <row r="288" spans="7:12" x14ac:dyDescent="0.2">
      <c r="G288" s="449">
        <v>286</v>
      </c>
      <c r="H288" s="449">
        <v>78.900000000000006</v>
      </c>
      <c r="I288" s="407">
        <v>78</v>
      </c>
      <c r="J288" s="450">
        <f t="shared" si="35"/>
        <v>3.9257E-2</v>
      </c>
      <c r="K288" s="479">
        <f t="shared" si="33"/>
        <v>3.331798494724536E-3</v>
      </c>
      <c r="L288" s="589">
        <f t="shared" si="31"/>
        <v>4.3313380431418969E-3</v>
      </c>
    </row>
    <row r="289" spans="6:12" x14ac:dyDescent="0.2">
      <c r="G289" s="449">
        <v>287</v>
      </c>
      <c r="H289" s="449">
        <v>78.099999999999994</v>
      </c>
      <c r="I289" s="407">
        <v>78</v>
      </c>
      <c r="J289" s="450">
        <f t="shared" si="35"/>
        <v>3.9257E-2</v>
      </c>
      <c r="K289" s="479">
        <f t="shared" si="33"/>
        <v>3.331798494724536E-3</v>
      </c>
      <c r="L289" s="589">
        <f t="shared" si="31"/>
        <v>4.3313380431418969E-3</v>
      </c>
    </row>
    <row r="290" spans="6:12" x14ac:dyDescent="0.2">
      <c r="G290" s="449">
        <v>288</v>
      </c>
      <c r="H290" s="449">
        <v>78.11</v>
      </c>
      <c r="I290" s="407">
        <v>78</v>
      </c>
      <c r="J290" s="450">
        <f t="shared" si="35"/>
        <v>3.9257E-2</v>
      </c>
      <c r="K290" s="479">
        <f t="shared" si="33"/>
        <v>3.331798494724536E-3</v>
      </c>
      <c r="L290" s="589">
        <f t="shared" si="31"/>
        <v>4.3313380431418969E-3</v>
      </c>
    </row>
    <row r="291" spans="6:12" x14ac:dyDescent="0.2">
      <c r="G291" s="449">
        <v>289</v>
      </c>
      <c r="H291" s="449">
        <v>78.12</v>
      </c>
      <c r="I291" s="407">
        <v>78</v>
      </c>
      <c r="J291" s="450">
        <f t="shared" si="35"/>
        <v>3.9257E-2</v>
      </c>
      <c r="K291" s="479">
        <f t="shared" si="33"/>
        <v>3.331798494724536E-3</v>
      </c>
      <c r="L291" s="589">
        <f t="shared" si="31"/>
        <v>4.3313380431418969E-3</v>
      </c>
    </row>
    <row r="292" spans="6:12" x14ac:dyDescent="0.2">
      <c r="F292" s="400" t="s">
        <v>501</v>
      </c>
      <c r="G292" s="449">
        <v>290</v>
      </c>
      <c r="H292" s="449">
        <v>79.099999999999994</v>
      </c>
      <c r="I292" s="407">
        <v>79</v>
      </c>
      <c r="J292" s="450">
        <f>$D$28</f>
        <v>4.3393000000000001E-2</v>
      </c>
      <c r="K292" s="479">
        <f t="shared" si="33"/>
        <v>3.6900607789041029E-3</v>
      </c>
      <c r="L292" s="589">
        <f t="shared" si="31"/>
        <v>4.7970790125753341E-3</v>
      </c>
    </row>
    <row r="293" spans="6:12" x14ac:dyDescent="0.2">
      <c r="G293" s="449">
        <v>291</v>
      </c>
      <c r="H293" s="449">
        <v>79.2</v>
      </c>
      <c r="I293" s="407">
        <v>79</v>
      </c>
      <c r="J293" s="450">
        <f t="shared" ref="J293:J303" si="36">$D$28</f>
        <v>4.3393000000000001E-2</v>
      </c>
      <c r="K293" s="479">
        <f t="shared" si="33"/>
        <v>3.6900607789041029E-3</v>
      </c>
      <c r="L293" s="589">
        <f t="shared" si="31"/>
        <v>4.7970790125753341E-3</v>
      </c>
    </row>
    <row r="294" spans="6:12" x14ac:dyDescent="0.2">
      <c r="G294" s="449">
        <v>292</v>
      </c>
      <c r="H294" s="449">
        <v>79.3</v>
      </c>
      <c r="I294" s="407">
        <v>79</v>
      </c>
      <c r="J294" s="450">
        <f t="shared" si="36"/>
        <v>4.3393000000000001E-2</v>
      </c>
      <c r="K294" s="479">
        <f t="shared" si="33"/>
        <v>3.6900607789041029E-3</v>
      </c>
      <c r="L294" s="589">
        <f t="shared" si="31"/>
        <v>4.7970790125753341E-3</v>
      </c>
    </row>
    <row r="295" spans="6:12" x14ac:dyDescent="0.2">
      <c r="G295" s="449">
        <v>293</v>
      </c>
      <c r="H295" s="449">
        <v>79.400000000000006</v>
      </c>
      <c r="I295" s="407">
        <v>79</v>
      </c>
      <c r="J295" s="450">
        <f t="shared" si="36"/>
        <v>4.3393000000000001E-2</v>
      </c>
      <c r="K295" s="479">
        <f t="shared" si="33"/>
        <v>3.6900607789041029E-3</v>
      </c>
      <c r="L295" s="589">
        <f t="shared" si="31"/>
        <v>4.7970790125753341E-3</v>
      </c>
    </row>
    <row r="296" spans="6:12" x14ac:dyDescent="0.2">
      <c r="G296" s="449">
        <v>294</v>
      </c>
      <c r="H296" s="449">
        <v>79.5</v>
      </c>
      <c r="I296" s="407">
        <v>79</v>
      </c>
      <c r="J296" s="450">
        <f t="shared" si="36"/>
        <v>4.3393000000000001E-2</v>
      </c>
      <c r="K296" s="479">
        <f t="shared" si="33"/>
        <v>3.6900607789041029E-3</v>
      </c>
      <c r="L296" s="589">
        <f t="shared" si="31"/>
        <v>4.7970790125753341E-3</v>
      </c>
    </row>
    <row r="297" spans="6:12" x14ac:dyDescent="0.2">
      <c r="G297" s="449">
        <v>295</v>
      </c>
      <c r="H297" s="449">
        <v>79.599999999999994</v>
      </c>
      <c r="I297" s="407">
        <v>79</v>
      </c>
      <c r="J297" s="450">
        <f t="shared" si="36"/>
        <v>4.3393000000000001E-2</v>
      </c>
      <c r="K297" s="479">
        <f t="shared" si="33"/>
        <v>3.6900607789041029E-3</v>
      </c>
      <c r="L297" s="589">
        <f t="shared" si="31"/>
        <v>4.7970790125753341E-3</v>
      </c>
    </row>
    <row r="298" spans="6:12" x14ac:dyDescent="0.2">
      <c r="G298" s="449">
        <v>296</v>
      </c>
      <c r="H298" s="449">
        <v>79.7</v>
      </c>
      <c r="I298" s="407">
        <v>79</v>
      </c>
      <c r="J298" s="450">
        <f t="shared" si="36"/>
        <v>4.3393000000000001E-2</v>
      </c>
      <c r="K298" s="479">
        <f t="shared" si="33"/>
        <v>3.6900607789041029E-3</v>
      </c>
      <c r="L298" s="589">
        <f t="shared" si="31"/>
        <v>4.7970790125753341E-3</v>
      </c>
    </row>
    <row r="299" spans="6:12" x14ac:dyDescent="0.2">
      <c r="G299" s="449">
        <v>297</v>
      </c>
      <c r="H299" s="449">
        <v>79.8</v>
      </c>
      <c r="I299" s="407">
        <v>79</v>
      </c>
      <c r="J299" s="450">
        <f t="shared" si="36"/>
        <v>4.3393000000000001E-2</v>
      </c>
      <c r="K299" s="479">
        <f t="shared" si="33"/>
        <v>3.6900607789041029E-3</v>
      </c>
      <c r="L299" s="589">
        <f t="shared" si="31"/>
        <v>4.7970790125753341E-3</v>
      </c>
    </row>
    <row r="300" spans="6:12" x14ac:dyDescent="0.2">
      <c r="G300" s="449">
        <v>298</v>
      </c>
      <c r="H300" s="449">
        <v>79.900000000000006</v>
      </c>
      <c r="I300" s="407">
        <v>79</v>
      </c>
      <c r="J300" s="450">
        <f t="shared" si="36"/>
        <v>4.3393000000000001E-2</v>
      </c>
      <c r="K300" s="479">
        <f t="shared" si="33"/>
        <v>3.6900607789041029E-3</v>
      </c>
      <c r="L300" s="589">
        <f t="shared" si="31"/>
        <v>4.7970790125753341E-3</v>
      </c>
    </row>
    <row r="301" spans="6:12" x14ac:dyDescent="0.2">
      <c r="G301" s="449">
        <v>299</v>
      </c>
      <c r="H301" s="449">
        <v>79.099999999999994</v>
      </c>
      <c r="I301" s="407">
        <v>79</v>
      </c>
      <c r="J301" s="450">
        <f t="shared" si="36"/>
        <v>4.3393000000000001E-2</v>
      </c>
      <c r="K301" s="479">
        <f t="shared" si="33"/>
        <v>3.6900607789041029E-3</v>
      </c>
      <c r="L301" s="589">
        <f t="shared" si="31"/>
        <v>4.7970790125753341E-3</v>
      </c>
    </row>
    <row r="302" spans="6:12" x14ac:dyDescent="0.2">
      <c r="G302" s="449">
        <v>300</v>
      </c>
      <c r="H302" s="449">
        <v>79.11</v>
      </c>
      <c r="I302" s="407">
        <v>79</v>
      </c>
      <c r="J302" s="450">
        <f t="shared" si="36"/>
        <v>4.3393000000000001E-2</v>
      </c>
      <c r="K302" s="479">
        <f t="shared" si="33"/>
        <v>3.6900607789041029E-3</v>
      </c>
      <c r="L302" s="589">
        <f t="shared" si="31"/>
        <v>4.7970790125753341E-3</v>
      </c>
    </row>
    <row r="303" spans="6:12" x14ac:dyDescent="0.2">
      <c r="G303" s="449">
        <v>301</v>
      </c>
      <c r="H303" s="449">
        <v>79.12</v>
      </c>
      <c r="I303" s="407">
        <v>79</v>
      </c>
      <c r="J303" s="450">
        <f t="shared" si="36"/>
        <v>4.3393000000000001E-2</v>
      </c>
      <c r="K303" s="479">
        <f t="shared" si="33"/>
        <v>3.6900607789041029E-3</v>
      </c>
      <c r="L303" s="589">
        <f t="shared" si="31"/>
        <v>4.7970790125753341E-3</v>
      </c>
    </row>
    <row r="304" spans="6:12" x14ac:dyDescent="0.2">
      <c r="G304" s="449">
        <v>302</v>
      </c>
      <c r="H304" s="449">
        <v>80.099999999999994</v>
      </c>
      <c r="I304" s="407">
        <v>80</v>
      </c>
      <c r="J304" s="450">
        <f>$D$29</f>
        <v>4.8162999999999997E-2</v>
      </c>
      <c r="K304" s="479">
        <f t="shared" si="33"/>
        <v>4.1050077712355693E-3</v>
      </c>
      <c r="L304" s="589">
        <f t="shared" si="31"/>
        <v>5.3365101026062404E-3</v>
      </c>
    </row>
    <row r="305" spans="7:12" x14ac:dyDescent="0.2">
      <c r="G305" s="449">
        <v>303</v>
      </c>
      <c r="H305" s="449">
        <v>80.2</v>
      </c>
      <c r="I305" s="407">
        <v>80</v>
      </c>
      <c r="J305" s="450">
        <f t="shared" ref="J305:J315" si="37">$D$29</f>
        <v>4.8162999999999997E-2</v>
      </c>
      <c r="K305" s="479">
        <f t="shared" si="33"/>
        <v>4.1050077712355693E-3</v>
      </c>
      <c r="L305" s="589">
        <f t="shared" si="31"/>
        <v>5.3365101026062404E-3</v>
      </c>
    </row>
    <row r="306" spans="7:12" x14ac:dyDescent="0.2">
      <c r="G306" s="449">
        <v>304</v>
      </c>
      <c r="H306" s="449">
        <v>80.3</v>
      </c>
      <c r="I306" s="407">
        <v>80</v>
      </c>
      <c r="J306" s="450">
        <f t="shared" si="37"/>
        <v>4.8162999999999997E-2</v>
      </c>
      <c r="K306" s="479">
        <f t="shared" si="33"/>
        <v>4.1050077712355693E-3</v>
      </c>
      <c r="L306" s="589">
        <f t="shared" si="31"/>
        <v>5.3365101026062404E-3</v>
      </c>
    </row>
    <row r="307" spans="7:12" x14ac:dyDescent="0.2">
      <c r="G307" s="449">
        <v>305</v>
      </c>
      <c r="H307" s="449">
        <v>80.400000000000006</v>
      </c>
      <c r="I307" s="407">
        <v>80</v>
      </c>
      <c r="J307" s="450">
        <f t="shared" si="37"/>
        <v>4.8162999999999997E-2</v>
      </c>
      <c r="K307" s="479">
        <f t="shared" si="33"/>
        <v>4.1050077712355693E-3</v>
      </c>
      <c r="L307" s="589">
        <f t="shared" si="31"/>
        <v>5.3365101026062404E-3</v>
      </c>
    </row>
    <row r="308" spans="7:12" x14ac:dyDescent="0.2">
      <c r="G308" s="449">
        <v>306</v>
      </c>
      <c r="H308" s="449">
        <v>80.5</v>
      </c>
      <c r="I308" s="407">
        <v>80</v>
      </c>
      <c r="J308" s="450">
        <f t="shared" si="37"/>
        <v>4.8162999999999997E-2</v>
      </c>
      <c r="K308" s="479">
        <f t="shared" si="33"/>
        <v>4.1050077712355693E-3</v>
      </c>
      <c r="L308" s="589">
        <f t="shared" si="31"/>
        <v>5.3365101026062404E-3</v>
      </c>
    </row>
    <row r="309" spans="7:12" x14ac:dyDescent="0.2">
      <c r="G309" s="449">
        <v>307</v>
      </c>
      <c r="H309" s="449">
        <v>80.599999999999994</v>
      </c>
      <c r="I309" s="407">
        <v>80</v>
      </c>
      <c r="J309" s="450">
        <f t="shared" si="37"/>
        <v>4.8162999999999997E-2</v>
      </c>
      <c r="K309" s="479">
        <f t="shared" si="33"/>
        <v>4.1050077712355693E-3</v>
      </c>
      <c r="L309" s="589">
        <f t="shared" si="31"/>
        <v>5.3365101026062404E-3</v>
      </c>
    </row>
    <row r="310" spans="7:12" x14ac:dyDescent="0.2">
      <c r="G310" s="449">
        <v>308</v>
      </c>
      <c r="H310" s="449">
        <v>80.7</v>
      </c>
      <c r="I310" s="407">
        <v>80</v>
      </c>
      <c r="J310" s="450">
        <f t="shared" si="37"/>
        <v>4.8162999999999997E-2</v>
      </c>
      <c r="K310" s="479">
        <f t="shared" si="33"/>
        <v>4.1050077712355693E-3</v>
      </c>
      <c r="L310" s="589">
        <f t="shared" si="31"/>
        <v>5.3365101026062404E-3</v>
      </c>
    </row>
    <row r="311" spans="7:12" x14ac:dyDescent="0.2">
      <c r="G311" s="449">
        <v>309</v>
      </c>
      <c r="H311" s="449">
        <v>80.8</v>
      </c>
      <c r="I311" s="407">
        <v>80</v>
      </c>
      <c r="J311" s="450">
        <f t="shared" si="37"/>
        <v>4.8162999999999997E-2</v>
      </c>
      <c r="K311" s="479">
        <f t="shared" si="33"/>
        <v>4.1050077712355693E-3</v>
      </c>
      <c r="L311" s="589">
        <f t="shared" si="31"/>
        <v>5.3365101026062404E-3</v>
      </c>
    </row>
    <row r="312" spans="7:12" x14ac:dyDescent="0.2">
      <c r="G312" s="449">
        <v>310</v>
      </c>
      <c r="H312" s="449">
        <v>80.900000000000006</v>
      </c>
      <c r="I312" s="407">
        <v>80</v>
      </c>
      <c r="J312" s="450">
        <f t="shared" si="37"/>
        <v>4.8162999999999997E-2</v>
      </c>
      <c r="K312" s="479">
        <f t="shared" si="33"/>
        <v>4.1050077712355693E-3</v>
      </c>
      <c r="L312" s="589">
        <f t="shared" si="31"/>
        <v>5.3365101026062404E-3</v>
      </c>
    </row>
    <row r="313" spans="7:12" x14ac:dyDescent="0.2">
      <c r="G313" s="449">
        <v>311</v>
      </c>
      <c r="H313" s="449">
        <v>80.099999999999994</v>
      </c>
      <c r="I313" s="407">
        <v>80</v>
      </c>
      <c r="J313" s="450">
        <f t="shared" si="37"/>
        <v>4.8162999999999997E-2</v>
      </c>
      <c r="K313" s="479">
        <f t="shared" si="33"/>
        <v>4.1050077712355693E-3</v>
      </c>
      <c r="L313" s="589">
        <f t="shared" si="31"/>
        <v>5.3365101026062404E-3</v>
      </c>
    </row>
    <row r="314" spans="7:12" x14ac:dyDescent="0.2">
      <c r="G314" s="449">
        <v>312</v>
      </c>
      <c r="H314" s="449">
        <v>80.11</v>
      </c>
      <c r="I314" s="407">
        <v>80</v>
      </c>
      <c r="J314" s="450">
        <f t="shared" si="37"/>
        <v>4.8162999999999997E-2</v>
      </c>
      <c r="K314" s="479">
        <f t="shared" si="33"/>
        <v>4.1050077712355693E-3</v>
      </c>
      <c r="L314" s="589">
        <f t="shared" si="31"/>
        <v>5.3365101026062404E-3</v>
      </c>
    </row>
    <row r="315" spans="7:12" x14ac:dyDescent="0.2">
      <c r="G315" s="449">
        <v>313</v>
      </c>
      <c r="H315" s="449">
        <v>80.12</v>
      </c>
      <c r="I315" s="407">
        <v>80</v>
      </c>
      <c r="J315" s="450">
        <f t="shared" si="37"/>
        <v>4.8162999999999997E-2</v>
      </c>
      <c r="K315" s="479">
        <f t="shared" si="33"/>
        <v>4.1050077712355693E-3</v>
      </c>
      <c r="L315" s="589">
        <f t="shared" si="31"/>
        <v>5.3365101026062404E-3</v>
      </c>
    </row>
    <row r="316" spans="7:12" x14ac:dyDescent="0.2">
      <c r="G316" s="449">
        <v>314</v>
      </c>
      <c r="H316" s="449">
        <v>81.099999999999994</v>
      </c>
      <c r="I316" s="407">
        <v>81</v>
      </c>
      <c r="J316" s="450">
        <f>$D$30</f>
        <v>5.3215999999999999E-2</v>
      </c>
      <c r="K316" s="479">
        <f t="shared" si="33"/>
        <v>4.5466575584373059E-3</v>
      </c>
      <c r="L316" s="589">
        <f t="shared" ref="L316:L379" si="38">K316*1.3</f>
        <v>5.910654825968498E-3</v>
      </c>
    </row>
    <row r="317" spans="7:12" x14ac:dyDescent="0.2">
      <c r="G317" s="449">
        <v>315</v>
      </c>
      <c r="H317" s="449">
        <v>81.2</v>
      </c>
      <c r="I317" s="407">
        <v>81</v>
      </c>
      <c r="J317" s="450">
        <f t="shared" ref="J317:J327" si="39">$D$30</f>
        <v>5.3215999999999999E-2</v>
      </c>
      <c r="K317" s="479">
        <f t="shared" si="33"/>
        <v>4.5466575584373059E-3</v>
      </c>
      <c r="L317" s="589">
        <f t="shared" si="38"/>
        <v>5.910654825968498E-3</v>
      </c>
    </row>
    <row r="318" spans="7:12" x14ac:dyDescent="0.2">
      <c r="G318" s="449">
        <v>316</v>
      </c>
      <c r="H318" s="449">
        <v>81.3</v>
      </c>
      <c r="I318" s="407">
        <v>81</v>
      </c>
      <c r="J318" s="450">
        <f t="shared" si="39"/>
        <v>5.3215999999999999E-2</v>
      </c>
      <c r="K318" s="479">
        <f t="shared" si="33"/>
        <v>4.5466575584373059E-3</v>
      </c>
      <c r="L318" s="589">
        <f t="shared" si="38"/>
        <v>5.910654825968498E-3</v>
      </c>
    </row>
    <row r="319" spans="7:12" x14ac:dyDescent="0.2">
      <c r="G319" s="449">
        <v>317</v>
      </c>
      <c r="H319" s="449">
        <v>81.400000000000006</v>
      </c>
      <c r="I319" s="407">
        <v>81</v>
      </c>
      <c r="J319" s="450">
        <f t="shared" si="39"/>
        <v>5.3215999999999999E-2</v>
      </c>
      <c r="K319" s="479">
        <f t="shared" si="33"/>
        <v>4.5466575584373059E-3</v>
      </c>
      <c r="L319" s="589">
        <f t="shared" si="38"/>
        <v>5.910654825968498E-3</v>
      </c>
    </row>
    <row r="320" spans="7:12" x14ac:dyDescent="0.2">
      <c r="G320" s="449">
        <v>318</v>
      </c>
      <c r="H320" s="449">
        <v>81.5</v>
      </c>
      <c r="I320" s="407">
        <v>81</v>
      </c>
      <c r="J320" s="450">
        <f t="shared" si="39"/>
        <v>5.3215999999999999E-2</v>
      </c>
      <c r="K320" s="479">
        <f t="shared" si="33"/>
        <v>4.5466575584373059E-3</v>
      </c>
      <c r="L320" s="589">
        <f t="shared" si="38"/>
        <v>5.910654825968498E-3</v>
      </c>
    </row>
    <row r="321" spans="7:12" x14ac:dyDescent="0.2">
      <c r="G321" s="449">
        <v>319</v>
      </c>
      <c r="H321" s="449">
        <v>81.599999999999994</v>
      </c>
      <c r="I321" s="407">
        <v>81</v>
      </c>
      <c r="J321" s="450">
        <f t="shared" si="39"/>
        <v>5.3215999999999999E-2</v>
      </c>
      <c r="K321" s="479">
        <f t="shared" si="33"/>
        <v>4.5466575584373059E-3</v>
      </c>
      <c r="L321" s="589">
        <f t="shared" si="38"/>
        <v>5.910654825968498E-3</v>
      </c>
    </row>
    <row r="322" spans="7:12" x14ac:dyDescent="0.2">
      <c r="G322" s="449">
        <v>320</v>
      </c>
      <c r="H322" s="449">
        <v>81.7</v>
      </c>
      <c r="I322" s="407">
        <v>81</v>
      </c>
      <c r="J322" s="450">
        <f t="shared" si="39"/>
        <v>5.3215999999999999E-2</v>
      </c>
      <c r="K322" s="479">
        <f t="shared" si="33"/>
        <v>4.5466575584373059E-3</v>
      </c>
      <c r="L322" s="589">
        <f t="shared" si="38"/>
        <v>5.910654825968498E-3</v>
      </c>
    </row>
    <row r="323" spans="7:12" x14ac:dyDescent="0.2">
      <c r="G323" s="449">
        <v>321</v>
      </c>
      <c r="H323" s="449">
        <v>81.8</v>
      </c>
      <c r="I323" s="407">
        <v>81</v>
      </c>
      <c r="J323" s="450">
        <f t="shared" si="39"/>
        <v>5.3215999999999999E-2</v>
      </c>
      <c r="K323" s="479">
        <f t="shared" si="33"/>
        <v>4.5466575584373059E-3</v>
      </c>
      <c r="L323" s="589">
        <f t="shared" si="38"/>
        <v>5.910654825968498E-3</v>
      </c>
    </row>
    <row r="324" spans="7:12" x14ac:dyDescent="0.2">
      <c r="G324" s="449">
        <v>322</v>
      </c>
      <c r="H324" s="449">
        <v>81.900000000000006</v>
      </c>
      <c r="I324" s="407">
        <v>81</v>
      </c>
      <c r="J324" s="450">
        <f t="shared" si="39"/>
        <v>5.3215999999999999E-2</v>
      </c>
      <c r="K324" s="479">
        <f t="shared" ref="K324:K387" si="40">1-((1-J324)^(1/12))</f>
        <v>4.5466575584373059E-3</v>
      </c>
      <c r="L324" s="589">
        <f t="shared" si="38"/>
        <v>5.910654825968498E-3</v>
      </c>
    </row>
    <row r="325" spans="7:12" x14ac:dyDescent="0.2">
      <c r="G325" s="449">
        <v>323</v>
      </c>
      <c r="H325" s="449">
        <v>81.099999999999994</v>
      </c>
      <c r="I325" s="407">
        <v>81</v>
      </c>
      <c r="J325" s="450">
        <f t="shared" si="39"/>
        <v>5.3215999999999999E-2</v>
      </c>
      <c r="K325" s="479">
        <f t="shared" si="40"/>
        <v>4.5466575584373059E-3</v>
      </c>
      <c r="L325" s="589">
        <f t="shared" si="38"/>
        <v>5.910654825968498E-3</v>
      </c>
    </row>
    <row r="326" spans="7:12" x14ac:dyDescent="0.2">
      <c r="G326" s="449">
        <v>324</v>
      </c>
      <c r="H326" s="449">
        <v>81.11</v>
      </c>
      <c r="I326" s="407">
        <v>81</v>
      </c>
      <c r="J326" s="450">
        <f t="shared" si="39"/>
        <v>5.3215999999999999E-2</v>
      </c>
      <c r="K326" s="479">
        <f t="shared" si="40"/>
        <v>4.5466575584373059E-3</v>
      </c>
      <c r="L326" s="589">
        <f t="shared" si="38"/>
        <v>5.910654825968498E-3</v>
      </c>
    </row>
    <row r="327" spans="7:12" x14ac:dyDescent="0.2">
      <c r="G327" s="449">
        <v>325</v>
      </c>
      <c r="H327" s="449">
        <v>81.12</v>
      </c>
      <c r="I327" s="407">
        <v>81</v>
      </c>
      <c r="J327" s="450">
        <f t="shared" si="39"/>
        <v>5.3215999999999999E-2</v>
      </c>
      <c r="K327" s="479">
        <f t="shared" si="40"/>
        <v>4.5466575584373059E-3</v>
      </c>
      <c r="L327" s="589">
        <f t="shared" si="38"/>
        <v>5.910654825968498E-3</v>
      </c>
    </row>
    <row r="328" spans="7:12" x14ac:dyDescent="0.2">
      <c r="G328" s="449">
        <v>326</v>
      </c>
      <c r="H328" s="449">
        <v>82.1</v>
      </c>
      <c r="I328" s="407">
        <v>82</v>
      </c>
      <c r="J328" s="450">
        <f>$D$31</f>
        <v>5.9240000000000001E-2</v>
      </c>
      <c r="K328" s="479">
        <f t="shared" si="40"/>
        <v>5.0760082864224065E-3</v>
      </c>
      <c r="L328" s="589">
        <f t="shared" si="38"/>
        <v>6.5988107723491283E-3</v>
      </c>
    </row>
    <row r="329" spans="7:12" x14ac:dyDescent="0.2">
      <c r="G329" s="449">
        <v>327</v>
      </c>
      <c r="H329" s="449">
        <v>82.2</v>
      </c>
      <c r="I329" s="407">
        <v>82</v>
      </c>
      <c r="J329" s="450">
        <f t="shared" ref="J329:J339" si="41">$D$31</f>
        <v>5.9240000000000001E-2</v>
      </c>
      <c r="K329" s="479">
        <f t="shared" si="40"/>
        <v>5.0760082864224065E-3</v>
      </c>
      <c r="L329" s="589">
        <f t="shared" si="38"/>
        <v>6.5988107723491283E-3</v>
      </c>
    </row>
    <row r="330" spans="7:12" x14ac:dyDescent="0.2">
      <c r="G330" s="449">
        <v>328</v>
      </c>
      <c r="H330" s="449">
        <v>82.3</v>
      </c>
      <c r="I330" s="407">
        <v>82</v>
      </c>
      <c r="J330" s="450">
        <f t="shared" si="41"/>
        <v>5.9240000000000001E-2</v>
      </c>
      <c r="K330" s="479">
        <f t="shared" si="40"/>
        <v>5.0760082864224065E-3</v>
      </c>
      <c r="L330" s="589">
        <f t="shared" si="38"/>
        <v>6.5988107723491283E-3</v>
      </c>
    </row>
    <row r="331" spans="7:12" x14ac:dyDescent="0.2">
      <c r="G331" s="449">
        <v>329</v>
      </c>
      <c r="H331" s="449">
        <v>82.4</v>
      </c>
      <c r="I331" s="407">
        <v>82</v>
      </c>
      <c r="J331" s="450">
        <f t="shared" si="41"/>
        <v>5.9240000000000001E-2</v>
      </c>
      <c r="K331" s="479">
        <f t="shared" si="40"/>
        <v>5.0760082864224065E-3</v>
      </c>
      <c r="L331" s="589">
        <f t="shared" si="38"/>
        <v>6.5988107723491283E-3</v>
      </c>
    </row>
    <row r="332" spans="7:12" x14ac:dyDescent="0.2">
      <c r="G332" s="449">
        <v>330</v>
      </c>
      <c r="H332" s="449">
        <v>82.5</v>
      </c>
      <c r="I332" s="407">
        <v>82</v>
      </c>
      <c r="J332" s="450">
        <f t="shared" si="41"/>
        <v>5.9240000000000001E-2</v>
      </c>
      <c r="K332" s="479">
        <f t="shared" si="40"/>
        <v>5.0760082864224065E-3</v>
      </c>
      <c r="L332" s="589">
        <f t="shared" si="38"/>
        <v>6.5988107723491283E-3</v>
      </c>
    </row>
    <row r="333" spans="7:12" x14ac:dyDescent="0.2">
      <c r="G333" s="449">
        <v>331</v>
      </c>
      <c r="H333" s="449">
        <v>82.6</v>
      </c>
      <c r="I333" s="407">
        <v>82</v>
      </c>
      <c r="J333" s="450">
        <f t="shared" si="41"/>
        <v>5.9240000000000001E-2</v>
      </c>
      <c r="K333" s="479">
        <f t="shared" si="40"/>
        <v>5.0760082864224065E-3</v>
      </c>
      <c r="L333" s="589">
        <f t="shared" si="38"/>
        <v>6.5988107723491283E-3</v>
      </c>
    </row>
    <row r="334" spans="7:12" x14ac:dyDescent="0.2">
      <c r="G334" s="449">
        <v>332</v>
      </c>
      <c r="H334" s="449">
        <v>82.7</v>
      </c>
      <c r="I334" s="407">
        <v>82</v>
      </c>
      <c r="J334" s="450">
        <f t="shared" si="41"/>
        <v>5.9240000000000001E-2</v>
      </c>
      <c r="K334" s="479">
        <f t="shared" si="40"/>
        <v>5.0760082864224065E-3</v>
      </c>
      <c r="L334" s="589">
        <f t="shared" si="38"/>
        <v>6.5988107723491283E-3</v>
      </c>
    </row>
    <row r="335" spans="7:12" x14ac:dyDescent="0.2">
      <c r="G335" s="449">
        <v>333</v>
      </c>
      <c r="H335" s="449">
        <v>82.8</v>
      </c>
      <c r="I335" s="407">
        <v>82</v>
      </c>
      <c r="J335" s="450">
        <f t="shared" si="41"/>
        <v>5.9240000000000001E-2</v>
      </c>
      <c r="K335" s="479">
        <f t="shared" si="40"/>
        <v>5.0760082864224065E-3</v>
      </c>
      <c r="L335" s="589">
        <f t="shared" si="38"/>
        <v>6.5988107723491283E-3</v>
      </c>
    </row>
    <row r="336" spans="7:12" x14ac:dyDescent="0.2">
      <c r="G336" s="449">
        <v>334</v>
      </c>
      <c r="H336" s="449">
        <v>82.9</v>
      </c>
      <c r="I336" s="407">
        <v>82</v>
      </c>
      <c r="J336" s="450">
        <f t="shared" si="41"/>
        <v>5.9240000000000001E-2</v>
      </c>
      <c r="K336" s="479">
        <f t="shared" si="40"/>
        <v>5.0760082864224065E-3</v>
      </c>
      <c r="L336" s="589">
        <f t="shared" si="38"/>
        <v>6.5988107723491283E-3</v>
      </c>
    </row>
    <row r="337" spans="6:12" x14ac:dyDescent="0.2">
      <c r="G337" s="449">
        <v>335</v>
      </c>
      <c r="H337" s="449">
        <v>82.1</v>
      </c>
      <c r="I337" s="407">
        <v>82</v>
      </c>
      <c r="J337" s="450">
        <f t="shared" si="41"/>
        <v>5.9240000000000001E-2</v>
      </c>
      <c r="K337" s="479">
        <f t="shared" si="40"/>
        <v>5.0760082864224065E-3</v>
      </c>
      <c r="L337" s="589">
        <f t="shared" si="38"/>
        <v>6.5988107723491283E-3</v>
      </c>
    </row>
    <row r="338" spans="6:12" x14ac:dyDescent="0.2">
      <c r="G338" s="449">
        <v>336</v>
      </c>
      <c r="H338" s="449">
        <v>82.11</v>
      </c>
      <c r="I338" s="407">
        <v>82</v>
      </c>
      <c r="J338" s="450">
        <f t="shared" si="41"/>
        <v>5.9240000000000001E-2</v>
      </c>
      <c r="K338" s="479">
        <f t="shared" si="40"/>
        <v>5.0760082864224065E-3</v>
      </c>
      <c r="L338" s="589">
        <f t="shared" si="38"/>
        <v>6.5988107723491283E-3</v>
      </c>
    </row>
    <row r="339" spans="6:12" x14ac:dyDescent="0.2">
      <c r="G339" s="449">
        <v>337</v>
      </c>
      <c r="H339" s="449">
        <v>82.12</v>
      </c>
      <c r="I339" s="407">
        <v>82</v>
      </c>
      <c r="J339" s="450">
        <f t="shared" si="41"/>
        <v>5.9240000000000001E-2</v>
      </c>
      <c r="K339" s="479">
        <f t="shared" si="40"/>
        <v>5.0760082864224065E-3</v>
      </c>
      <c r="L339" s="589">
        <f t="shared" si="38"/>
        <v>6.5988107723491283E-3</v>
      </c>
    </row>
    <row r="340" spans="6:12" x14ac:dyDescent="0.2">
      <c r="G340" s="449">
        <v>338</v>
      </c>
      <c r="H340" s="449">
        <v>83.1</v>
      </c>
      <c r="I340" s="407">
        <v>83</v>
      </c>
      <c r="J340" s="450">
        <f>$D$32</f>
        <v>6.6563999999999998E-2</v>
      </c>
      <c r="K340" s="479">
        <f t="shared" si="40"/>
        <v>5.7237960968931079E-3</v>
      </c>
      <c r="L340" s="589">
        <f t="shared" si="38"/>
        <v>7.4409349259610402E-3</v>
      </c>
    </row>
    <row r="341" spans="6:12" x14ac:dyDescent="0.2">
      <c r="G341" s="449">
        <v>339</v>
      </c>
      <c r="H341" s="449">
        <v>83.2</v>
      </c>
      <c r="I341" s="407">
        <v>83</v>
      </c>
      <c r="J341" s="450">
        <f t="shared" ref="J341:J351" si="42">$D$32</f>
        <v>6.6563999999999998E-2</v>
      </c>
      <c r="K341" s="479">
        <f t="shared" si="40"/>
        <v>5.7237960968931079E-3</v>
      </c>
      <c r="L341" s="589">
        <f t="shared" si="38"/>
        <v>7.4409349259610402E-3</v>
      </c>
    </row>
    <row r="342" spans="6:12" x14ac:dyDescent="0.2">
      <c r="G342" s="449">
        <v>340</v>
      </c>
      <c r="H342" s="449">
        <v>83.3</v>
      </c>
      <c r="I342" s="407">
        <v>83</v>
      </c>
      <c r="J342" s="450">
        <f t="shared" si="42"/>
        <v>6.6563999999999998E-2</v>
      </c>
      <c r="K342" s="479">
        <f t="shared" si="40"/>
        <v>5.7237960968931079E-3</v>
      </c>
      <c r="L342" s="589">
        <f t="shared" si="38"/>
        <v>7.4409349259610402E-3</v>
      </c>
    </row>
    <row r="343" spans="6:12" x14ac:dyDescent="0.2">
      <c r="G343" s="449">
        <v>341</v>
      </c>
      <c r="H343" s="449">
        <v>83.4</v>
      </c>
      <c r="I343" s="407">
        <v>83</v>
      </c>
      <c r="J343" s="450">
        <f t="shared" si="42"/>
        <v>6.6563999999999998E-2</v>
      </c>
      <c r="K343" s="479">
        <f t="shared" si="40"/>
        <v>5.7237960968931079E-3</v>
      </c>
      <c r="L343" s="589">
        <f t="shared" si="38"/>
        <v>7.4409349259610402E-3</v>
      </c>
    </row>
    <row r="344" spans="6:12" x14ac:dyDescent="0.2">
      <c r="G344" s="449">
        <v>342</v>
      </c>
      <c r="H344" s="449">
        <v>83.5</v>
      </c>
      <c r="I344" s="407">
        <v>83</v>
      </c>
      <c r="J344" s="450">
        <f t="shared" si="42"/>
        <v>6.6563999999999998E-2</v>
      </c>
      <c r="K344" s="479">
        <f t="shared" si="40"/>
        <v>5.7237960968931079E-3</v>
      </c>
      <c r="L344" s="589">
        <f t="shared" si="38"/>
        <v>7.4409349259610402E-3</v>
      </c>
    </row>
    <row r="345" spans="6:12" x14ac:dyDescent="0.2">
      <c r="G345" s="449">
        <v>343</v>
      </c>
      <c r="H345" s="449">
        <v>83.6</v>
      </c>
      <c r="I345" s="407">
        <v>83</v>
      </c>
      <c r="J345" s="450">
        <f t="shared" si="42"/>
        <v>6.6563999999999998E-2</v>
      </c>
      <c r="K345" s="479">
        <f t="shared" si="40"/>
        <v>5.7237960968931079E-3</v>
      </c>
      <c r="L345" s="589">
        <f t="shared" si="38"/>
        <v>7.4409349259610402E-3</v>
      </c>
    </row>
    <row r="346" spans="6:12" x14ac:dyDescent="0.2">
      <c r="G346" s="449">
        <v>344</v>
      </c>
      <c r="H346" s="449">
        <v>83.7</v>
      </c>
      <c r="I346" s="407">
        <v>83</v>
      </c>
      <c r="J346" s="450">
        <f t="shared" si="42"/>
        <v>6.6563999999999998E-2</v>
      </c>
      <c r="K346" s="479">
        <f t="shared" si="40"/>
        <v>5.7237960968931079E-3</v>
      </c>
      <c r="L346" s="589">
        <f t="shared" si="38"/>
        <v>7.4409349259610402E-3</v>
      </c>
    </row>
    <row r="347" spans="6:12" x14ac:dyDescent="0.2">
      <c r="G347" s="449">
        <v>345</v>
      </c>
      <c r="H347" s="449">
        <v>83.8</v>
      </c>
      <c r="I347" s="407">
        <v>83</v>
      </c>
      <c r="J347" s="450">
        <f t="shared" si="42"/>
        <v>6.6563999999999998E-2</v>
      </c>
      <c r="K347" s="479">
        <f t="shared" si="40"/>
        <v>5.7237960968931079E-3</v>
      </c>
      <c r="L347" s="589">
        <f t="shared" si="38"/>
        <v>7.4409349259610402E-3</v>
      </c>
    </row>
    <row r="348" spans="6:12" x14ac:dyDescent="0.2">
      <c r="G348" s="449">
        <v>346</v>
      </c>
      <c r="H348" s="449">
        <v>83.9</v>
      </c>
      <c r="I348" s="407">
        <v>83</v>
      </c>
      <c r="J348" s="450">
        <f t="shared" si="42"/>
        <v>6.6563999999999998E-2</v>
      </c>
      <c r="K348" s="479">
        <f t="shared" si="40"/>
        <v>5.7237960968931079E-3</v>
      </c>
      <c r="L348" s="589">
        <f t="shared" si="38"/>
        <v>7.4409349259610402E-3</v>
      </c>
    </row>
    <row r="349" spans="6:12" x14ac:dyDescent="0.2">
      <c r="G349" s="449">
        <v>347</v>
      </c>
      <c r="H349" s="449">
        <v>83.1</v>
      </c>
      <c r="I349" s="407">
        <v>83</v>
      </c>
      <c r="J349" s="450">
        <f t="shared" si="42"/>
        <v>6.6563999999999998E-2</v>
      </c>
      <c r="K349" s="479">
        <f t="shared" si="40"/>
        <v>5.7237960968931079E-3</v>
      </c>
      <c r="L349" s="589">
        <f t="shared" si="38"/>
        <v>7.4409349259610402E-3</v>
      </c>
    </row>
    <row r="350" spans="6:12" x14ac:dyDescent="0.2">
      <c r="G350" s="449">
        <v>348</v>
      </c>
      <c r="H350" s="449">
        <v>83.11</v>
      </c>
      <c r="I350" s="407">
        <v>83</v>
      </c>
      <c r="J350" s="450">
        <f t="shared" si="42"/>
        <v>6.6563999999999998E-2</v>
      </c>
      <c r="K350" s="479">
        <f t="shared" si="40"/>
        <v>5.7237960968931079E-3</v>
      </c>
      <c r="L350" s="589">
        <f t="shared" si="38"/>
        <v>7.4409349259610402E-3</v>
      </c>
    </row>
    <row r="351" spans="6:12" x14ac:dyDescent="0.2">
      <c r="G351" s="401">
        <v>349</v>
      </c>
      <c r="H351" s="449">
        <v>83.12</v>
      </c>
      <c r="I351" s="407">
        <v>83</v>
      </c>
      <c r="J351" s="450">
        <f t="shared" si="42"/>
        <v>6.6563999999999998E-2</v>
      </c>
      <c r="K351" s="479">
        <f t="shared" si="40"/>
        <v>5.7237960968931079E-3</v>
      </c>
      <c r="L351" s="589">
        <f t="shared" si="38"/>
        <v>7.4409349259610402E-3</v>
      </c>
    </row>
    <row r="352" spans="6:12" x14ac:dyDescent="0.2">
      <c r="F352" s="400" t="s">
        <v>502</v>
      </c>
      <c r="G352">
        <v>350</v>
      </c>
      <c r="H352" s="449">
        <v>84.1</v>
      </c>
      <c r="I352" s="407">
        <v>84</v>
      </c>
      <c r="J352" s="450">
        <f>$D$33</f>
        <v>7.4045E-2</v>
      </c>
      <c r="K352" s="479">
        <f t="shared" si="40"/>
        <v>6.3902981105391499E-3</v>
      </c>
      <c r="L352" s="589">
        <f t="shared" si="38"/>
        <v>8.3073875437008945E-3</v>
      </c>
    </row>
    <row r="353" spans="7:12" x14ac:dyDescent="0.2">
      <c r="G353">
        <v>351</v>
      </c>
      <c r="H353" s="449">
        <v>84.2</v>
      </c>
      <c r="I353" s="407">
        <v>84</v>
      </c>
      <c r="J353" s="450">
        <f t="shared" ref="J353:J363" si="43">$D$33</f>
        <v>7.4045E-2</v>
      </c>
      <c r="K353" s="479">
        <f t="shared" si="40"/>
        <v>6.3902981105391499E-3</v>
      </c>
      <c r="L353" s="589">
        <f t="shared" si="38"/>
        <v>8.3073875437008945E-3</v>
      </c>
    </row>
    <row r="354" spans="7:12" x14ac:dyDescent="0.2">
      <c r="G354">
        <v>352</v>
      </c>
      <c r="H354" s="449">
        <v>84.3</v>
      </c>
      <c r="I354" s="407">
        <v>84</v>
      </c>
      <c r="J354" s="450">
        <f t="shared" si="43"/>
        <v>7.4045E-2</v>
      </c>
      <c r="K354" s="479">
        <f t="shared" si="40"/>
        <v>6.3902981105391499E-3</v>
      </c>
      <c r="L354" s="589">
        <f t="shared" si="38"/>
        <v>8.3073875437008945E-3</v>
      </c>
    </row>
    <row r="355" spans="7:12" x14ac:dyDescent="0.2">
      <c r="G355">
        <v>353</v>
      </c>
      <c r="H355" s="449">
        <v>84.4</v>
      </c>
      <c r="I355" s="407">
        <v>84</v>
      </c>
      <c r="J355" s="450">
        <f t="shared" si="43"/>
        <v>7.4045E-2</v>
      </c>
      <c r="K355" s="479">
        <f t="shared" si="40"/>
        <v>6.3902981105391499E-3</v>
      </c>
      <c r="L355" s="589">
        <f t="shared" si="38"/>
        <v>8.3073875437008945E-3</v>
      </c>
    </row>
    <row r="356" spans="7:12" x14ac:dyDescent="0.2">
      <c r="G356">
        <v>354</v>
      </c>
      <c r="H356" s="449">
        <v>84.5</v>
      </c>
      <c r="I356" s="407">
        <v>84</v>
      </c>
      <c r="J356" s="450">
        <f t="shared" si="43"/>
        <v>7.4045E-2</v>
      </c>
      <c r="K356" s="479">
        <f t="shared" si="40"/>
        <v>6.3902981105391499E-3</v>
      </c>
      <c r="L356" s="589">
        <f t="shared" si="38"/>
        <v>8.3073875437008945E-3</v>
      </c>
    </row>
    <row r="357" spans="7:12" x14ac:dyDescent="0.2">
      <c r="G357">
        <v>355</v>
      </c>
      <c r="H357" s="449">
        <v>84.6</v>
      </c>
      <c r="I357" s="407">
        <v>84</v>
      </c>
      <c r="J357" s="450">
        <f t="shared" si="43"/>
        <v>7.4045E-2</v>
      </c>
      <c r="K357" s="479">
        <f t="shared" si="40"/>
        <v>6.3902981105391499E-3</v>
      </c>
      <c r="L357" s="589">
        <f t="shared" si="38"/>
        <v>8.3073875437008945E-3</v>
      </c>
    </row>
    <row r="358" spans="7:12" x14ac:dyDescent="0.2">
      <c r="G358">
        <v>356</v>
      </c>
      <c r="H358" s="449">
        <v>84.7</v>
      </c>
      <c r="I358" s="407">
        <v>84</v>
      </c>
      <c r="J358" s="450">
        <f t="shared" si="43"/>
        <v>7.4045E-2</v>
      </c>
      <c r="K358" s="479">
        <f t="shared" si="40"/>
        <v>6.3902981105391499E-3</v>
      </c>
      <c r="L358" s="589">
        <f t="shared" si="38"/>
        <v>8.3073875437008945E-3</v>
      </c>
    </row>
    <row r="359" spans="7:12" x14ac:dyDescent="0.2">
      <c r="G359">
        <v>357</v>
      </c>
      <c r="H359" s="449">
        <v>84.8</v>
      </c>
      <c r="I359" s="407">
        <v>84</v>
      </c>
      <c r="J359" s="450">
        <f t="shared" si="43"/>
        <v>7.4045E-2</v>
      </c>
      <c r="K359" s="479">
        <f t="shared" si="40"/>
        <v>6.3902981105391499E-3</v>
      </c>
      <c r="L359" s="589">
        <f t="shared" si="38"/>
        <v>8.3073875437008945E-3</v>
      </c>
    </row>
    <row r="360" spans="7:12" x14ac:dyDescent="0.2">
      <c r="G360">
        <v>358</v>
      </c>
      <c r="H360" s="449">
        <v>84.9</v>
      </c>
      <c r="I360" s="407">
        <v>84</v>
      </c>
      <c r="J360" s="450">
        <f t="shared" si="43"/>
        <v>7.4045E-2</v>
      </c>
      <c r="K360" s="479">
        <f t="shared" si="40"/>
        <v>6.3902981105391499E-3</v>
      </c>
      <c r="L360" s="589">
        <f t="shared" si="38"/>
        <v>8.3073875437008945E-3</v>
      </c>
    </row>
    <row r="361" spans="7:12" x14ac:dyDescent="0.2">
      <c r="G361">
        <v>359</v>
      </c>
      <c r="H361" s="449">
        <v>84.1</v>
      </c>
      <c r="I361" s="407">
        <v>84</v>
      </c>
      <c r="J361" s="450">
        <f t="shared" si="43"/>
        <v>7.4045E-2</v>
      </c>
      <c r="K361" s="479">
        <f t="shared" si="40"/>
        <v>6.3902981105391499E-3</v>
      </c>
      <c r="L361" s="589">
        <f t="shared" si="38"/>
        <v>8.3073875437008945E-3</v>
      </c>
    </row>
    <row r="362" spans="7:12" x14ac:dyDescent="0.2">
      <c r="G362">
        <v>360</v>
      </c>
      <c r="H362" s="449">
        <v>84.11</v>
      </c>
      <c r="I362" s="407">
        <v>84</v>
      </c>
      <c r="J362" s="450">
        <f t="shared" si="43"/>
        <v>7.4045E-2</v>
      </c>
      <c r="K362" s="479">
        <f t="shared" si="40"/>
        <v>6.3902981105391499E-3</v>
      </c>
      <c r="L362" s="589">
        <f t="shared" si="38"/>
        <v>8.3073875437008945E-3</v>
      </c>
    </row>
    <row r="363" spans="7:12" x14ac:dyDescent="0.2">
      <c r="G363">
        <v>361</v>
      </c>
      <c r="H363" s="449">
        <v>84.12</v>
      </c>
      <c r="I363" s="407">
        <v>84</v>
      </c>
      <c r="J363" s="450">
        <f t="shared" si="43"/>
        <v>7.4045E-2</v>
      </c>
      <c r="K363" s="479">
        <f t="shared" si="40"/>
        <v>6.3902981105391499E-3</v>
      </c>
      <c r="L363" s="589">
        <f t="shared" si="38"/>
        <v>8.3073875437008945E-3</v>
      </c>
    </row>
    <row r="364" spans="7:12" x14ac:dyDescent="0.2">
      <c r="G364">
        <v>362</v>
      </c>
      <c r="H364" s="449">
        <v>85.1</v>
      </c>
      <c r="I364" s="407">
        <v>85</v>
      </c>
      <c r="J364" s="450">
        <f>$D$34</f>
        <v>8.1953999999999999E-2</v>
      </c>
      <c r="K364" s="479">
        <f t="shared" si="40"/>
        <v>7.1003211512630227E-3</v>
      </c>
      <c r="L364" s="589">
        <f t="shared" si="38"/>
        <v>9.2304174966419301E-3</v>
      </c>
    </row>
    <row r="365" spans="7:12" x14ac:dyDescent="0.2">
      <c r="G365">
        <v>363</v>
      </c>
      <c r="H365" s="449">
        <v>85.2</v>
      </c>
      <c r="I365" s="407">
        <v>85</v>
      </c>
      <c r="J365" s="450">
        <f t="shared" ref="J365:J375" si="44">$D$34</f>
        <v>8.1953999999999999E-2</v>
      </c>
      <c r="K365" s="479">
        <f t="shared" si="40"/>
        <v>7.1003211512630227E-3</v>
      </c>
      <c r="L365" s="589">
        <f t="shared" si="38"/>
        <v>9.2304174966419301E-3</v>
      </c>
    </row>
    <row r="366" spans="7:12" x14ac:dyDescent="0.2">
      <c r="G366">
        <v>364</v>
      </c>
      <c r="H366" s="449">
        <v>85.3</v>
      </c>
      <c r="I366" s="407">
        <v>85</v>
      </c>
      <c r="J366" s="450">
        <f t="shared" si="44"/>
        <v>8.1953999999999999E-2</v>
      </c>
      <c r="K366" s="479">
        <f t="shared" si="40"/>
        <v>7.1003211512630227E-3</v>
      </c>
      <c r="L366" s="589">
        <f t="shared" si="38"/>
        <v>9.2304174966419301E-3</v>
      </c>
    </row>
    <row r="367" spans="7:12" x14ac:dyDescent="0.2">
      <c r="G367">
        <v>365</v>
      </c>
      <c r="H367" s="449">
        <v>85.4</v>
      </c>
      <c r="I367" s="407">
        <v>85</v>
      </c>
      <c r="J367" s="450">
        <f t="shared" si="44"/>
        <v>8.1953999999999999E-2</v>
      </c>
      <c r="K367" s="479">
        <f t="shared" si="40"/>
        <v>7.1003211512630227E-3</v>
      </c>
      <c r="L367" s="589">
        <f t="shared" si="38"/>
        <v>9.2304174966419301E-3</v>
      </c>
    </row>
    <row r="368" spans="7:12" x14ac:dyDescent="0.2">
      <c r="G368">
        <v>366</v>
      </c>
      <c r="H368" s="449">
        <v>85.5</v>
      </c>
      <c r="I368" s="407">
        <v>85</v>
      </c>
      <c r="J368" s="450">
        <f t="shared" si="44"/>
        <v>8.1953999999999999E-2</v>
      </c>
      <c r="K368" s="479">
        <f t="shared" si="40"/>
        <v>7.1003211512630227E-3</v>
      </c>
      <c r="L368" s="589">
        <f t="shared" si="38"/>
        <v>9.2304174966419301E-3</v>
      </c>
    </row>
    <row r="369" spans="7:12" x14ac:dyDescent="0.2">
      <c r="G369">
        <v>367</v>
      </c>
      <c r="H369" s="449">
        <v>85.6</v>
      </c>
      <c r="I369" s="407">
        <v>85</v>
      </c>
      <c r="J369" s="450">
        <f t="shared" si="44"/>
        <v>8.1953999999999999E-2</v>
      </c>
      <c r="K369" s="479">
        <f t="shared" si="40"/>
        <v>7.1003211512630227E-3</v>
      </c>
      <c r="L369" s="589">
        <f t="shared" si="38"/>
        <v>9.2304174966419301E-3</v>
      </c>
    </row>
    <row r="370" spans="7:12" x14ac:dyDescent="0.2">
      <c r="G370">
        <v>368</v>
      </c>
      <c r="H370" s="449">
        <v>85.7</v>
      </c>
      <c r="I370" s="407">
        <v>85</v>
      </c>
      <c r="J370" s="450">
        <f t="shared" si="44"/>
        <v>8.1953999999999999E-2</v>
      </c>
      <c r="K370" s="479">
        <f t="shared" si="40"/>
        <v>7.1003211512630227E-3</v>
      </c>
      <c r="L370" s="589">
        <f t="shared" si="38"/>
        <v>9.2304174966419301E-3</v>
      </c>
    </row>
    <row r="371" spans="7:12" x14ac:dyDescent="0.2">
      <c r="G371">
        <v>369</v>
      </c>
      <c r="H371" s="449">
        <v>85.8</v>
      </c>
      <c r="I371" s="407">
        <v>85</v>
      </c>
      <c r="J371" s="450">
        <f t="shared" si="44"/>
        <v>8.1953999999999999E-2</v>
      </c>
      <c r="K371" s="479">
        <f t="shared" si="40"/>
        <v>7.1003211512630227E-3</v>
      </c>
      <c r="L371" s="589">
        <f t="shared" si="38"/>
        <v>9.2304174966419301E-3</v>
      </c>
    </row>
    <row r="372" spans="7:12" x14ac:dyDescent="0.2">
      <c r="G372">
        <v>370</v>
      </c>
      <c r="H372" s="449">
        <v>85.9</v>
      </c>
      <c r="I372" s="407">
        <v>85</v>
      </c>
      <c r="J372" s="450">
        <f t="shared" si="44"/>
        <v>8.1953999999999999E-2</v>
      </c>
      <c r="K372" s="479">
        <f t="shared" si="40"/>
        <v>7.1003211512630227E-3</v>
      </c>
      <c r="L372" s="589">
        <f t="shared" si="38"/>
        <v>9.2304174966419301E-3</v>
      </c>
    </row>
    <row r="373" spans="7:12" x14ac:dyDescent="0.2">
      <c r="G373">
        <v>371</v>
      </c>
      <c r="H373" s="449">
        <v>85.1</v>
      </c>
      <c r="I373" s="407">
        <v>85</v>
      </c>
      <c r="J373" s="450">
        <f t="shared" si="44"/>
        <v>8.1953999999999999E-2</v>
      </c>
      <c r="K373" s="479">
        <f t="shared" si="40"/>
        <v>7.1003211512630227E-3</v>
      </c>
      <c r="L373" s="589">
        <f t="shared" si="38"/>
        <v>9.2304174966419301E-3</v>
      </c>
    </row>
    <row r="374" spans="7:12" x14ac:dyDescent="0.2">
      <c r="G374">
        <v>372</v>
      </c>
      <c r="H374" s="449">
        <v>85.11</v>
      </c>
      <c r="I374" s="407">
        <v>85</v>
      </c>
      <c r="J374" s="450">
        <f t="shared" si="44"/>
        <v>8.1953999999999999E-2</v>
      </c>
      <c r="K374" s="479">
        <f t="shared" si="40"/>
        <v>7.1003211512630227E-3</v>
      </c>
      <c r="L374" s="589">
        <f t="shared" si="38"/>
        <v>9.2304174966419301E-3</v>
      </c>
    </row>
    <row r="375" spans="7:12" x14ac:dyDescent="0.2">
      <c r="G375">
        <v>373</v>
      </c>
      <c r="H375" s="449">
        <v>85.12</v>
      </c>
      <c r="I375" s="407">
        <v>85</v>
      </c>
      <c r="J375" s="450">
        <f t="shared" si="44"/>
        <v>8.1953999999999999E-2</v>
      </c>
      <c r="K375" s="479">
        <f t="shared" si="40"/>
        <v>7.1003211512630227E-3</v>
      </c>
      <c r="L375" s="589">
        <f t="shared" si="38"/>
        <v>9.2304174966419301E-3</v>
      </c>
    </row>
    <row r="376" spans="7:12" x14ac:dyDescent="0.2">
      <c r="G376">
        <v>374</v>
      </c>
      <c r="H376" s="449">
        <v>86.1</v>
      </c>
      <c r="I376" s="407">
        <v>86</v>
      </c>
      <c r="J376" s="450">
        <f>$D$35</f>
        <v>9.0879000000000001E-2</v>
      </c>
      <c r="K376" s="479">
        <f t="shared" si="40"/>
        <v>7.9083200825209587E-3</v>
      </c>
      <c r="L376" s="589">
        <f t="shared" si="38"/>
        <v>1.0280816107277246E-2</v>
      </c>
    </row>
    <row r="377" spans="7:12" x14ac:dyDescent="0.2">
      <c r="G377">
        <v>375</v>
      </c>
      <c r="H377" s="449">
        <v>86.2</v>
      </c>
      <c r="I377" s="407">
        <v>86</v>
      </c>
      <c r="J377" s="450">
        <f t="shared" ref="J377:J387" si="45">$D$35</f>
        <v>9.0879000000000001E-2</v>
      </c>
      <c r="K377" s="479">
        <f t="shared" si="40"/>
        <v>7.9083200825209587E-3</v>
      </c>
      <c r="L377" s="589">
        <f t="shared" si="38"/>
        <v>1.0280816107277246E-2</v>
      </c>
    </row>
    <row r="378" spans="7:12" x14ac:dyDescent="0.2">
      <c r="G378">
        <v>376</v>
      </c>
      <c r="H378" s="449">
        <v>86.3</v>
      </c>
      <c r="I378" s="407">
        <v>86</v>
      </c>
      <c r="J378" s="450">
        <f t="shared" si="45"/>
        <v>9.0879000000000001E-2</v>
      </c>
      <c r="K378" s="479">
        <f t="shared" si="40"/>
        <v>7.9083200825209587E-3</v>
      </c>
      <c r="L378" s="589">
        <f t="shared" si="38"/>
        <v>1.0280816107277246E-2</v>
      </c>
    </row>
    <row r="379" spans="7:12" x14ac:dyDescent="0.2">
      <c r="G379">
        <v>377</v>
      </c>
      <c r="H379" s="449">
        <v>86.4</v>
      </c>
      <c r="I379" s="407">
        <v>86</v>
      </c>
      <c r="J379" s="450">
        <f t="shared" si="45"/>
        <v>9.0879000000000001E-2</v>
      </c>
      <c r="K379" s="479">
        <f t="shared" si="40"/>
        <v>7.9083200825209587E-3</v>
      </c>
      <c r="L379" s="589">
        <f t="shared" si="38"/>
        <v>1.0280816107277246E-2</v>
      </c>
    </row>
    <row r="380" spans="7:12" x14ac:dyDescent="0.2">
      <c r="G380">
        <v>378</v>
      </c>
      <c r="H380" s="449">
        <v>86.5</v>
      </c>
      <c r="I380" s="407">
        <v>86</v>
      </c>
      <c r="J380" s="450">
        <f t="shared" si="45"/>
        <v>9.0879000000000001E-2</v>
      </c>
      <c r="K380" s="479">
        <f t="shared" si="40"/>
        <v>7.9083200825209587E-3</v>
      </c>
      <c r="L380" s="589">
        <f t="shared" ref="L380:L411" si="46">K380*1.3</f>
        <v>1.0280816107277246E-2</v>
      </c>
    </row>
    <row r="381" spans="7:12" x14ac:dyDescent="0.2">
      <c r="G381">
        <v>379</v>
      </c>
      <c r="H381" s="449">
        <v>86.6</v>
      </c>
      <c r="I381" s="407">
        <v>86</v>
      </c>
      <c r="J381" s="450">
        <f t="shared" si="45"/>
        <v>9.0879000000000001E-2</v>
      </c>
      <c r="K381" s="479">
        <f t="shared" si="40"/>
        <v>7.9083200825209587E-3</v>
      </c>
      <c r="L381" s="589">
        <f t="shared" si="46"/>
        <v>1.0280816107277246E-2</v>
      </c>
    </row>
    <row r="382" spans="7:12" x14ac:dyDescent="0.2">
      <c r="G382">
        <v>380</v>
      </c>
      <c r="H382" s="449">
        <v>86.7</v>
      </c>
      <c r="I382" s="407">
        <v>86</v>
      </c>
      <c r="J382" s="450">
        <f t="shared" si="45"/>
        <v>9.0879000000000001E-2</v>
      </c>
      <c r="K382" s="479">
        <f t="shared" si="40"/>
        <v>7.9083200825209587E-3</v>
      </c>
      <c r="L382" s="589">
        <f t="shared" si="46"/>
        <v>1.0280816107277246E-2</v>
      </c>
    </row>
    <row r="383" spans="7:12" x14ac:dyDescent="0.2">
      <c r="G383">
        <v>381</v>
      </c>
      <c r="H383" s="449">
        <v>86.8</v>
      </c>
      <c r="I383" s="407">
        <v>86</v>
      </c>
      <c r="J383" s="450">
        <f t="shared" si="45"/>
        <v>9.0879000000000001E-2</v>
      </c>
      <c r="K383" s="479">
        <f t="shared" si="40"/>
        <v>7.9083200825209587E-3</v>
      </c>
      <c r="L383" s="589">
        <f t="shared" si="46"/>
        <v>1.0280816107277246E-2</v>
      </c>
    </row>
    <row r="384" spans="7:12" x14ac:dyDescent="0.2">
      <c r="G384">
        <v>382</v>
      </c>
      <c r="H384" s="449">
        <v>86.9</v>
      </c>
      <c r="I384" s="407">
        <v>86</v>
      </c>
      <c r="J384" s="450">
        <f t="shared" si="45"/>
        <v>9.0879000000000001E-2</v>
      </c>
      <c r="K384" s="479">
        <f t="shared" si="40"/>
        <v>7.9083200825209587E-3</v>
      </c>
      <c r="L384" s="589">
        <f t="shared" si="46"/>
        <v>1.0280816107277246E-2</v>
      </c>
    </row>
    <row r="385" spans="7:12" x14ac:dyDescent="0.2">
      <c r="G385">
        <v>383</v>
      </c>
      <c r="H385" s="449">
        <v>86.1</v>
      </c>
      <c r="I385" s="407">
        <v>86</v>
      </c>
      <c r="J385" s="450">
        <f t="shared" si="45"/>
        <v>9.0879000000000001E-2</v>
      </c>
      <c r="K385" s="479">
        <f t="shared" si="40"/>
        <v>7.9083200825209587E-3</v>
      </c>
      <c r="L385" s="589">
        <f t="shared" si="46"/>
        <v>1.0280816107277246E-2</v>
      </c>
    </row>
    <row r="386" spans="7:12" x14ac:dyDescent="0.2">
      <c r="G386">
        <v>384</v>
      </c>
      <c r="H386" s="449">
        <v>86.11</v>
      </c>
      <c r="I386" s="407">
        <v>86</v>
      </c>
      <c r="J386" s="450">
        <f t="shared" si="45"/>
        <v>9.0879000000000001E-2</v>
      </c>
      <c r="K386" s="479">
        <f t="shared" si="40"/>
        <v>7.9083200825209587E-3</v>
      </c>
      <c r="L386" s="589">
        <f t="shared" si="46"/>
        <v>1.0280816107277246E-2</v>
      </c>
    </row>
    <row r="387" spans="7:12" x14ac:dyDescent="0.2">
      <c r="G387">
        <v>385</v>
      </c>
      <c r="H387" s="449">
        <v>86.12</v>
      </c>
      <c r="I387" s="407">
        <v>86</v>
      </c>
      <c r="J387" s="450">
        <f t="shared" si="45"/>
        <v>9.0879000000000001E-2</v>
      </c>
      <c r="K387" s="479">
        <f t="shared" si="40"/>
        <v>7.9083200825209587E-3</v>
      </c>
      <c r="L387" s="589">
        <f t="shared" si="46"/>
        <v>1.0280816107277246E-2</v>
      </c>
    </row>
    <row r="388" spans="7:12" x14ac:dyDescent="0.2">
      <c r="G388">
        <v>386</v>
      </c>
      <c r="H388" s="449">
        <v>87.1</v>
      </c>
      <c r="I388" s="407">
        <v>87</v>
      </c>
      <c r="J388" s="450">
        <f>$D$36</f>
        <v>0.101938</v>
      </c>
      <c r="K388" s="479">
        <f t="shared" ref="K388:K411" si="47">1-((1-J388)^(1/12))</f>
        <v>8.9196625610592495E-3</v>
      </c>
      <c r="L388" s="589">
        <f t="shared" si="46"/>
        <v>1.1595561329377025E-2</v>
      </c>
    </row>
    <row r="389" spans="7:12" x14ac:dyDescent="0.2">
      <c r="G389">
        <v>387</v>
      </c>
      <c r="H389" s="449">
        <v>87.2</v>
      </c>
      <c r="I389" s="407">
        <v>87</v>
      </c>
      <c r="J389" s="450">
        <f t="shared" ref="J389:J399" si="48">$D$36</f>
        <v>0.101938</v>
      </c>
      <c r="K389" s="479">
        <f t="shared" si="47"/>
        <v>8.9196625610592495E-3</v>
      </c>
      <c r="L389" s="589">
        <f t="shared" si="46"/>
        <v>1.1595561329377025E-2</v>
      </c>
    </row>
    <row r="390" spans="7:12" x14ac:dyDescent="0.2">
      <c r="G390">
        <v>388</v>
      </c>
      <c r="H390" s="449">
        <v>87.3</v>
      </c>
      <c r="I390" s="407">
        <v>87</v>
      </c>
      <c r="J390" s="450">
        <f t="shared" si="48"/>
        <v>0.101938</v>
      </c>
      <c r="K390" s="479">
        <f t="shared" si="47"/>
        <v>8.9196625610592495E-3</v>
      </c>
      <c r="L390" s="589">
        <f t="shared" si="46"/>
        <v>1.1595561329377025E-2</v>
      </c>
    </row>
    <row r="391" spans="7:12" x14ac:dyDescent="0.2">
      <c r="G391">
        <v>389</v>
      </c>
      <c r="H391" s="449">
        <v>87.4</v>
      </c>
      <c r="I391" s="407">
        <v>87</v>
      </c>
      <c r="J391" s="450">
        <f t="shared" si="48"/>
        <v>0.101938</v>
      </c>
      <c r="K391" s="479">
        <f t="shared" si="47"/>
        <v>8.9196625610592495E-3</v>
      </c>
      <c r="L391" s="589">
        <f t="shared" si="46"/>
        <v>1.1595561329377025E-2</v>
      </c>
    </row>
    <row r="392" spans="7:12" x14ac:dyDescent="0.2">
      <c r="G392">
        <v>390</v>
      </c>
      <c r="H392" s="449">
        <v>87.5</v>
      </c>
      <c r="I392" s="407">
        <v>87</v>
      </c>
      <c r="J392" s="450">
        <f t="shared" si="48"/>
        <v>0.101938</v>
      </c>
      <c r="K392" s="479">
        <f t="shared" si="47"/>
        <v>8.9196625610592495E-3</v>
      </c>
      <c r="L392" s="589">
        <f t="shared" si="46"/>
        <v>1.1595561329377025E-2</v>
      </c>
    </row>
    <row r="393" spans="7:12" x14ac:dyDescent="0.2">
      <c r="G393">
        <v>391</v>
      </c>
      <c r="H393" s="449">
        <v>87.6</v>
      </c>
      <c r="I393" s="407">
        <v>87</v>
      </c>
      <c r="J393" s="450">
        <f t="shared" si="48"/>
        <v>0.101938</v>
      </c>
      <c r="K393" s="479">
        <f t="shared" si="47"/>
        <v>8.9196625610592495E-3</v>
      </c>
      <c r="L393" s="589">
        <f t="shared" si="46"/>
        <v>1.1595561329377025E-2</v>
      </c>
    </row>
    <row r="394" spans="7:12" x14ac:dyDescent="0.2">
      <c r="G394">
        <v>392</v>
      </c>
      <c r="H394" s="449">
        <v>87.7</v>
      </c>
      <c r="I394" s="407">
        <v>87</v>
      </c>
      <c r="J394" s="450">
        <f t="shared" si="48"/>
        <v>0.101938</v>
      </c>
      <c r="K394" s="479">
        <f t="shared" si="47"/>
        <v>8.9196625610592495E-3</v>
      </c>
      <c r="L394" s="589">
        <f t="shared" si="46"/>
        <v>1.1595561329377025E-2</v>
      </c>
    </row>
    <row r="395" spans="7:12" x14ac:dyDescent="0.2">
      <c r="G395">
        <v>393</v>
      </c>
      <c r="H395" s="449">
        <v>87.8</v>
      </c>
      <c r="I395" s="407">
        <v>87</v>
      </c>
      <c r="J395" s="450">
        <f t="shared" si="48"/>
        <v>0.101938</v>
      </c>
      <c r="K395" s="479">
        <f t="shared" si="47"/>
        <v>8.9196625610592495E-3</v>
      </c>
      <c r="L395" s="589">
        <f t="shared" si="46"/>
        <v>1.1595561329377025E-2</v>
      </c>
    </row>
    <row r="396" spans="7:12" x14ac:dyDescent="0.2">
      <c r="G396">
        <v>394</v>
      </c>
      <c r="H396" s="449">
        <v>87.9</v>
      </c>
      <c r="I396" s="407">
        <v>87</v>
      </c>
      <c r="J396" s="450">
        <f t="shared" si="48"/>
        <v>0.101938</v>
      </c>
      <c r="K396" s="479">
        <f t="shared" si="47"/>
        <v>8.9196625610592495E-3</v>
      </c>
      <c r="L396" s="589">
        <f t="shared" si="46"/>
        <v>1.1595561329377025E-2</v>
      </c>
    </row>
    <row r="397" spans="7:12" x14ac:dyDescent="0.2">
      <c r="G397">
        <v>395</v>
      </c>
      <c r="H397" s="449">
        <v>87.1</v>
      </c>
      <c r="I397" s="407">
        <v>87</v>
      </c>
      <c r="J397" s="450">
        <f t="shared" si="48"/>
        <v>0.101938</v>
      </c>
      <c r="K397" s="479">
        <f t="shared" si="47"/>
        <v>8.9196625610592495E-3</v>
      </c>
      <c r="L397" s="589">
        <f t="shared" si="46"/>
        <v>1.1595561329377025E-2</v>
      </c>
    </row>
    <row r="398" spans="7:12" x14ac:dyDescent="0.2">
      <c r="G398">
        <v>396</v>
      </c>
      <c r="H398" s="449">
        <v>87.11</v>
      </c>
      <c r="I398" s="407">
        <v>87</v>
      </c>
      <c r="J398" s="450">
        <f t="shared" si="48"/>
        <v>0.101938</v>
      </c>
      <c r="K398" s="479">
        <f t="shared" si="47"/>
        <v>8.9196625610592495E-3</v>
      </c>
      <c r="L398" s="589">
        <f t="shared" si="46"/>
        <v>1.1595561329377025E-2</v>
      </c>
    </row>
    <row r="399" spans="7:12" x14ac:dyDescent="0.2">
      <c r="G399">
        <v>397</v>
      </c>
      <c r="H399" s="449">
        <v>87.12</v>
      </c>
      <c r="I399" s="407">
        <v>87</v>
      </c>
      <c r="J399" s="450">
        <f t="shared" si="48"/>
        <v>0.101938</v>
      </c>
      <c r="K399" s="479">
        <f t="shared" si="47"/>
        <v>8.9196625610592495E-3</v>
      </c>
      <c r="L399" s="589">
        <f t="shared" si="46"/>
        <v>1.1595561329377025E-2</v>
      </c>
    </row>
    <row r="400" spans="7:12" x14ac:dyDescent="0.2">
      <c r="G400">
        <v>398</v>
      </c>
      <c r="H400" s="449">
        <v>88.1</v>
      </c>
      <c r="I400" s="407">
        <v>88</v>
      </c>
      <c r="J400" s="450">
        <f>$D$37</f>
        <v>0.114075</v>
      </c>
      <c r="K400" s="479">
        <f t="shared" si="47"/>
        <v>1.0042812600308371E-2</v>
      </c>
      <c r="L400" s="589">
        <f t="shared" si="46"/>
        <v>1.3055656380400881E-2</v>
      </c>
    </row>
    <row r="401" spans="7:12" x14ac:dyDescent="0.2">
      <c r="G401">
        <v>399</v>
      </c>
      <c r="H401" s="449">
        <v>88.2</v>
      </c>
      <c r="I401" s="407">
        <v>88</v>
      </c>
      <c r="J401" s="450">
        <f t="shared" ref="J401:J411" si="49">$D$37</f>
        <v>0.114075</v>
      </c>
      <c r="K401" s="479">
        <f t="shared" si="47"/>
        <v>1.0042812600308371E-2</v>
      </c>
      <c r="L401" s="589">
        <f t="shared" si="46"/>
        <v>1.3055656380400881E-2</v>
      </c>
    </row>
    <row r="402" spans="7:12" x14ac:dyDescent="0.2">
      <c r="G402">
        <v>400</v>
      </c>
      <c r="H402" s="449">
        <v>88.3</v>
      </c>
      <c r="I402" s="407">
        <v>88</v>
      </c>
      <c r="J402" s="450">
        <f t="shared" si="49"/>
        <v>0.114075</v>
      </c>
      <c r="K402" s="479">
        <f t="shared" si="47"/>
        <v>1.0042812600308371E-2</v>
      </c>
      <c r="L402" s="589">
        <f t="shared" si="46"/>
        <v>1.3055656380400881E-2</v>
      </c>
    </row>
    <row r="403" spans="7:12" x14ac:dyDescent="0.2">
      <c r="G403">
        <v>401</v>
      </c>
      <c r="H403" s="449">
        <v>88.4</v>
      </c>
      <c r="I403" s="407">
        <v>88</v>
      </c>
      <c r="J403" s="450">
        <f t="shared" si="49"/>
        <v>0.114075</v>
      </c>
      <c r="K403" s="479">
        <f t="shared" si="47"/>
        <v>1.0042812600308371E-2</v>
      </c>
      <c r="L403" s="589">
        <f t="shared" si="46"/>
        <v>1.3055656380400881E-2</v>
      </c>
    </row>
    <row r="404" spans="7:12" x14ac:dyDescent="0.2">
      <c r="G404">
        <v>402</v>
      </c>
      <c r="H404" s="449">
        <v>88.5</v>
      </c>
      <c r="I404" s="407">
        <v>88</v>
      </c>
      <c r="J404" s="450">
        <f t="shared" si="49"/>
        <v>0.114075</v>
      </c>
      <c r="K404" s="479">
        <f t="shared" si="47"/>
        <v>1.0042812600308371E-2</v>
      </c>
      <c r="L404" s="589">
        <f t="shared" si="46"/>
        <v>1.3055656380400881E-2</v>
      </c>
    </row>
    <row r="405" spans="7:12" x14ac:dyDescent="0.2">
      <c r="G405">
        <v>403</v>
      </c>
      <c r="H405" s="449">
        <v>88.6</v>
      </c>
      <c r="I405" s="407">
        <v>88</v>
      </c>
      <c r="J405" s="450">
        <f t="shared" si="49"/>
        <v>0.114075</v>
      </c>
      <c r="K405" s="479">
        <f t="shared" si="47"/>
        <v>1.0042812600308371E-2</v>
      </c>
      <c r="L405" s="589">
        <f t="shared" si="46"/>
        <v>1.3055656380400881E-2</v>
      </c>
    </row>
    <row r="406" spans="7:12" x14ac:dyDescent="0.2">
      <c r="G406">
        <v>404</v>
      </c>
      <c r="H406" s="449">
        <v>88.7</v>
      </c>
      <c r="I406" s="407">
        <v>88</v>
      </c>
      <c r="J406" s="450">
        <f t="shared" si="49"/>
        <v>0.114075</v>
      </c>
      <c r="K406" s="479">
        <f t="shared" si="47"/>
        <v>1.0042812600308371E-2</v>
      </c>
      <c r="L406" s="589">
        <f t="shared" si="46"/>
        <v>1.3055656380400881E-2</v>
      </c>
    </row>
    <row r="407" spans="7:12" x14ac:dyDescent="0.2">
      <c r="G407">
        <v>405</v>
      </c>
      <c r="H407" s="449">
        <v>88.8</v>
      </c>
      <c r="I407" s="407">
        <v>88</v>
      </c>
      <c r="J407" s="450">
        <f t="shared" si="49"/>
        <v>0.114075</v>
      </c>
      <c r="K407" s="479">
        <f t="shared" si="47"/>
        <v>1.0042812600308371E-2</v>
      </c>
      <c r="L407" s="589">
        <f t="shared" si="46"/>
        <v>1.3055656380400881E-2</v>
      </c>
    </row>
    <row r="408" spans="7:12" x14ac:dyDescent="0.2">
      <c r="G408">
        <v>406</v>
      </c>
      <c r="H408" s="449">
        <v>88.9</v>
      </c>
      <c r="I408" s="407">
        <v>88</v>
      </c>
      <c r="J408" s="450">
        <f t="shared" si="49"/>
        <v>0.114075</v>
      </c>
      <c r="K408" s="479">
        <f t="shared" si="47"/>
        <v>1.0042812600308371E-2</v>
      </c>
      <c r="L408" s="589">
        <f t="shared" si="46"/>
        <v>1.3055656380400881E-2</v>
      </c>
    </row>
    <row r="409" spans="7:12" x14ac:dyDescent="0.2">
      <c r="G409">
        <v>407</v>
      </c>
      <c r="H409" s="449">
        <v>88.1</v>
      </c>
      <c r="I409" s="407">
        <v>88</v>
      </c>
      <c r="J409" s="450">
        <f t="shared" si="49"/>
        <v>0.114075</v>
      </c>
      <c r="K409" s="479">
        <f t="shared" si="47"/>
        <v>1.0042812600308371E-2</v>
      </c>
      <c r="L409" s="589">
        <f t="shared" si="46"/>
        <v>1.3055656380400881E-2</v>
      </c>
    </row>
    <row r="410" spans="7:12" x14ac:dyDescent="0.2">
      <c r="G410">
        <v>408</v>
      </c>
      <c r="H410" s="449">
        <v>88.11</v>
      </c>
      <c r="I410" s="407">
        <v>88</v>
      </c>
      <c r="J410" s="450">
        <f t="shared" si="49"/>
        <v>0.114075</v>
      </c>
      <c r="K410" s="479">
        <f t="shared" si="47"/>
        <v>1.0042812600308371E-2</v>
      </c>
      <c r="L410" s="589">
        <f t="shared" si="46"/>
        <v>1.3055656380400881E-2</v>
      </c>
    </row>
    <row r="411" spans="7:12" x14ac:dyDescent="0.2">
      <c r="G411">
        <v>409</v>
      </c>
      <c r="H411" s="449">
        <v>88.12</v>
      </c>
      <c r="I411" s="407">
        <v>88</v>
      </c>
      <c r="J411" s="450">
        <f t="shared" si="49"/>
        <v>0.114075</v>
      </c>
      <c r="K411" s="479">
        <f t="shared" si="47"/>
        <v>1.0042812600308371E-2</v>
      </c>
      <c r="L411" s="589">
        <f t="shared" si="46"/>
        <v>1.3055656380400881E-2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CN990"/>
  <sheetViews>
    <sheetView zoomScale="115" zoomScaleNormal="115" workbookViewId="0">
      <selection activeCell="F34" sqref="F34:I36"/>
    </sheetView>
  </sheetViews>
  <sheetFormatPr defaultColWidth="12.625" defaultRowHeight="15" customHeight="1" x14ac:dyDescent="0.2"/>
  <cols>
    <col min="1" max="1" width="3.625" customWidth="1"/>
    <col min="2" max="2" width="0.875" customWidth="1"/>
    <col min="3" max="3" width="3.625" customWidth="1"/>
    <col min="4" max="4" width="21.5" customWidth="1"/>
    <col min="5" max="5" width="15" customWidth="1"/>
    <col min="6" max="6" width="13.625" customWidth="1"/>
    <col min="7" max="7" width="13.125" customWidth="1"/>
    <col min="8" max="8" width="12.125" customWidth="1"/>
    <col min="9" max="9" width="12.375" customWidth="1"/>
    <col min="10" max="10" width="13.625" customWidth="1"/>
    <col min="11" max="11" width="1.875" customWidth="1"/>
    <col min="12" max="32" width="8" customWidth="1"/>
    <col min="33" max="33" width="7.625" customWidth="1"/>
  </cols>
  <sheetData>
    <row r="1" spans="1:92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283"/>
      <c r="AI1" s="283"/>
      <c r="AJ1" s="283"/>
      <c r="AK1" s="283"/>
      <c r="AL1" s="283"/>
      <c r="AM1" s="283"/>
      <c r="AN1" s="283"/>
      <c r="AO1" s="283"/>
      <c r="AP1" s="283"/>
      <c r="AQ1" s="283"/>
      <c r="AR1" s="283"/>
      <c r="AS1" s="283"/>
      <c r="AT1" s="283"/>
      <c r="AU1" s="283"/>
      <c r="AV1" s="283"/>
      <c r="AW1" s="283"/>
      <c r="AX1" s="283"/>
      <c r="AY1" s="283"/>
      <c r="AZ1" s="283"/>
      <c r="BA1" s="283"/>
      <c r="BB1" s="283"/>
      <c r="BC1" s="283"/>
      <c r="BD1" s="283"/>
      <c r="BE1" s="283"/>
      <c r="BF1" s="283"/>
      <c r="BG1" s="283"/>
      <c r="BH1" s="283"/>
      <c r="BI1" s="283"/>
      <c r="BJ1" s="283"/>
      <c r="BK1" s="283"/>
      <c r="BL1" s="283"/>
      <c r="BM1" s="283"/>
      <c r="BN1" s="283"/>
      <c r="BO1" s="283"/>
      <c r="BP1" s="283"/>
      <c r="BQ1" s="283"/>
      <c r="BR1" s="283"/>
      <c r="BS1" s="283"/>
      <c r="BT1" s="283"/>
      <c r="BU1" s="283"/>
      <c r="BV1" s="283"/>
      <c r="BW1" s="283"/>
      <c r="BX1" s="283"/>
      <c r="BY1" s="283"/>
      <c r="BZ1" s="283"/>
      <c r="CA1" s="283"/>
      <c r="CB1" s="283"/>
      <c r="CC1" s="283"/>
      <c r="CD1" s="283"/>
      <c r="CE1" s="283"/>
      <c r="CF1" s="283"/>
    </row>
    <row r="2" spans="1:92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283"/>
      <c r="AI2" s="283"/>
      <c r="AJ2" s="283"/>
      <c r="AK2" s="283"/>
      <c r="AL2" s="283"/>
      <c r="AM2" s="283"/>
      <c r="AN2" s="283"/>
      <c r="AO2" s="283"/>
      <c r="AP2" s="283"/>
      <c r="AQ2" s="283"/>
      <c r="AR2" s="283"/>
      <c r="AS2" s="283"/>
      <c r="AT2" s="283"/>
      <c r="AU2" s="283"/>
      <c r="AV2" s="283"/>
      <c r="AW2" s="283"/>
      <c r="AX2" s="283"/>
      <c r="AY2" s="283"/>
      <c r="AZ2" s="283"/>
      <c r="BA2" s="283"/>
      <c r="BB2" s="283"/>
      <c r="BC2" s="283"/>
      <c r="BD2" s="283"/>
      <c r="BE2" s="283"/>
      <c r="BF2" s="283"/>
      <c r="BG2" s="283"/>
      <c r="BH2" s="283"/>
      <c r="BI2" s="283"/>
      <c r="BJ2" s="283"/>
      <c r="BK2" s="283"/>
      <c r="BL2" s="283"/>
      <c r="BM2" s="283"/>
      <c r="BN2" s="283"/>
      <c r="BO2" s="283"/>
      <c r="BP2" s="283"/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</row>
    <row r="3" spans="1:92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283"/>
      <c r="AI3" s="283"/>
      <c r="AJ3" s="283"/>
      <c r="AK3" s="283"/>
      <c r="AL3" s="283"/>
      <c r="AM3" s="283"/>
      <c r="AN3" s="283"/>
      <c r="AO3" s="283"/>
      <c r="AP3" s="283"/>
      <c r="AQ3" s="283"/>
      <c r="AR3" s="283"/>
      <c r="AS3" s="283"/>
      <c r="AT3" s="283"/>
      <c r="AU3" s="283"/>
      <c r="AV3" s="283"/>
      <c r="AW3" s="283"/>
      <c r="AX3" s="283"/>
      <c r="AY3" s="283"/>
      <c r="AZ3" s="283"/>
      <c r="BA3" s="283"/>
      <c r="BB3" s="283"/>
      <c r="BC3" s="283"/>
      <c r="BD3" s="283"/>
      <c r="BE3" s="283"/>
      <c r="BF3" s="283"/>
      <c r="BG3" s="283"/>
      <c r="BH3" s="283"/>
      <c r="BI3" s="283"/>
      <c r="BJ3" s="283"/>
      <c r="BK3" s="283"/>
      <c r="BL3" s="283"/>
      <c r="BM3" s="283"/>
      <c r="BN3" s="283"/>
      <c r="BO3" s="283"/>
      <c r="BP3" s="283"/>
      <c r="BQ3" s="283"/>
      <c r="BR3" s="283"/>
      <c r="BS3" s="283"/>
      <c r="BT3" s="283"/>
      <c r="BU3" s="283"/>
      <c r="BV3" s="283"/>
      <c r="BW3" s="283"/>
      <c r="BX3" s="283"/>
      <c r="BY3" s="283"/>
      <c r="BZ3" s="283"/>
      <c r="CA3" s="283"/>
      <c r="CB3" s="283"/>
      <c r="CC3" s="283"/>
      <c r="CD3" s="283"/>
      <c r="CE3" s="283"/>
      <c r="CF3" s="283"/>
    </row>
    <row r="4" spans="1:92" ht="14.25" customHeight="1" x14ac:dyDescent="0.2">
      <c r="A4" s="207"/>
      <c r="B4" s="618" t="s">
        <v>256</v>
      </c>
      <c r="C4" s="619"/>
      <c r="D4" s="619"/>
      <c r="E4" s="619"/>
      <c r="F4" s="619"/>
      <c r="G4" s="619"/>
      <c r="H4" s="619"/>
      <c r="I4" s="620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283"/>
      <c r="AI4" s="283"/>
      <c r="AJ4" s="283"/>
      <c r="AK4" s="283"/>
      <c r="AL4" s="283"/>
      <c r="AM4" s="283"/>
      <c r="AN4" s="283"/>
      <c r="AO4" s="283"/>
      <c r="AP4" s="283"/>
      <c r="AQ4" s="283"/>
      <c r="AR4" s="283"/>
      <c r="AS4" s="283"/>
      <c r="AT4" s="283"/>
      <c r="AU4" s="283"/>
      <c r="AV4" s="283"/>
      <c r="AW4" s="283"/>
      <c r="AX4" s="283"/>
      <c r="AY4" s="283"/>
      <c r="AZ4" s="283"/>
      <c r="BA4" s="283"/>
      <c r="BB4" s="283"/>
      <c r="BC4" s="283"/>
      <c r="BD4" s="283"/>
      <c r="BE4" s="283"/>
      <c r="BF4" s="283"/>
      <c r="BG4" s="283"/>
      <c r="BH4" s="283"/>
      <c r="BI4" s="283"/>
      <c r="BJ4" s="283"/>
      <c r="BK4" s="283"/>
      <c r="BL4" s="283"/>
      <c r="BM4" s="283"/>
      <c r="BN4" s="283"/>
      <c r="BO4" s="283"/>
      <c r="BP4" s="283"/>
      <c r="BQ4" s="283"/>
      <c r="BR4" s="283"/>
      <c r="BS4" s="283"/>
      <c r="BT4" s="283"/>
      <c r="BU4" s="283"/>
      <c r="BV4" s="283"/>
      <c r="BW4" s="283"/>
      <c r="BX4" s="283"/>
      <c r="BY4" s="283"/>
      <c r="BZ4" s="283"/>
      <c r="CA4" s="283"/>
      <c r="CB4" s="283"/>
      <c r="CC4" s="283"/>
      <c r="CD4" s="283"/>
      <c r="CE4" s="283"/>
      <c r="CF4" s="283"/>
    </row>
    <row r="5" spans="1:92" ht="14.25" customHeight="1" x14ac:dyDescent="0.2">
      <c r="A5" s="207"/>
      <c r="B5" s="621"/>
      <c r="C5" s="622"/>
      <c r="D5" s="622"/>
      <c r="E5" s="622"/>
      <c r="F5" s="622"/>
      <c r="G5" s="622"/>
      <c r="H5" s="622"/>
      <c r="I5" s="623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283"/>
      <c r="AI5" s="283"/>
      <c r="AJ5" s="283"/>
      <c r="AK5" s="283"/>
      <c r="AL5" s="283"/>
      <c r="AM5" s="283"/>
      <c r="AN5" s="283"/>
      <c r="AO5" s="283"/>
      <c r="AP5" s="283"/>
      <c r="AQ5" s="283"/>
      <c r="AR5" s="283"/>
      <c r="AS5" s="283"/>
      <c r="AT5" s="283"/>
      <c r="AU5" s="283"/>
      <c r="AV5" s="283"/>
      <c r="AW5" s="283"/>
      <c r="AX5" s="283"/>
      <c r="AY5" s="283"/>
      <c r="AZ5" s="283"/>
      <c r="BA5" s="283"/>
      <c r="BB5" s="283"/>
      <c r="BC5" s="283"/>
      <c r="BD5" s="283"/>
      <c r="BE5" s="283"/>
      <c r="BF5" s="283"/>
      <c r="BG5" s="283"/>
      <c r="BH5" s="283"/>
      <c r="BI5" s="283"/>
      <c r="BJ5" s="283"/>
      <c r="BK5" s="283"/>
      <c r="BL5" s="283"/>
      <c r="BM5" s="283"/>
      <c r="BN5" s="283"/>
      <c r="BO5" s="283"/>
      <c r="BP5" s="283"/>
      <c r="BQ5" s="283"/>
      <c r="BR5" s="283"/>
      <c r="BS5" s="283"/>
      <c r="BT5" s="283"/>
      <c r="BU5" s="283"/>
      <c r="BV5" s="283"/>
      <c r="BW5" s="283"/>
      <c r="BX5" s="283"/>
      <c r="BY5" s="283"/>
      <c r="BZ5" s="283"/>
      <c r="CA5" s="283"/>
      <c r="CB5" s="283"/>
      <c r="CC5" s="283"/>
      <c r="CD5" s="283"/>
      <c r="CE5" s="283"/>
      <c r="CF5" s="283"/>
    </row>
    <row r="6" spans="1:92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282"/>
      <c r="AF6" s="282"/>
      <c r="AG6" s="282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  <c r="AS6" s="283"/>
      <c r="AT6" s="283"/>
      <c r="AU6" s="283"/>
      <c r="AV6" s="283"/>
      <c r="AW6" s="283"/>
      <c r="AX6" s="283"/>
      <c r="AY6" s="283"/>
      <c r="AZ6" s="283"/>
      <c r="BA6" s="283"/>
      <c r="BB6" s="283"/>
      <c r="BC6" s="283"/>
      <c r="BD6" s="283"/>
      <c r="BE6" s="283"/>
      <c r="BF6" s="283"/>
      <c r="BG6" s="283"/>
      <c r="BH6" s="283"/>
      <c r="BI6" s="283"/>
      <c r="BJ6" s="283"/>
      <c r="BK6" s="283"/>
      <c r="BL6" s="283"/>
      <c r="BM6" s="283"/>
      <c r="BN6" s="283"/>
      <c r="BO6" s="283"/>
      <c r="BP6" s="283"/>
      <c r="BQ6" s="283"/>
      <c r="BR6" s="283"/>
      <c r="BS6" s="283"/>
      <c r="BT6" s="283"/>
      <c r="BU6" s="283"/>
      <c r="BV6" s="283"/>
      <c r="BW6" s="283"/>
      <c r="BX6" s="283"/>
      <c r="BY6" s="283"/>
      <c r="BZ6" s="283"/>
      <c r="CA6" s="283"/>
      <c r="CB6" s="283"/>
      <c r="CC6" s="283"/>
      <c r="CD6" s="283"/>
      <c r="CE6" s="283"/>
      <c r="CF6" s="283"/>
      <c r="CG6" s="283"/>
      <c r="CH6" s="283"/>
      <c r="CI6" s="283"/>
      <c r="CJ6" s="283"/>
      <c r="CK6" s="283"/>
      <c r="CL6" s="283"/>
      <c r="CM6" s="283"/>
      <c r="CN6" s="283"/>
    </row>
    <row r="7" spans="1:92" ht="3.75" customHeight="1" x14ac:dyDescent="0.2">
      <c r="A7" s="3"/>
      <c r="B7" s="80"/>
      <c r="C7" s="80"/>
      <c r="D7" s="80"/>
      <c r="E7" s="80"/>
      <c r="F7" s="80"/>
      <c r="G7" s="80"/>
      <c r="H7" s="80"/>
      <c r="I7" s="80"/>
      <c r="J7" s="80"/>
      <c r="K7" s="80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2"/>
      <c r="AF7" s="282"/>
      <c r="AG7" s="282"/>
      <c r="AH7" s="283"/>
      <c r="AI7" s="283"/>
      <c r="AJ7" s="283"/>
      <c r="AK7" s="283"/>
      <c r="AL7" s="283"/>
      <c r="AM7" s="283"/>
      <c r="AN7" s="283"/>
      <c r="AO7" s="283"/>
      <c r="AP7" s="283"/>
      <c r="AQ7" s="283"/>
      <c r="AR7" s="283"/>
      <c r="AS7" s="283"/>
      <c r="AT7" s="283"/>
      <c r="AU7" s="283"/>
      <c r="AV7" s="283"/>
      <c r="AW7" s="283"/>
      <c r="AX7" s="283"/>
      <c r="AY7" s="283"/>
      <c r="AZ7" s="283"/>
      <c r="BA7" s="283"/>
      <c r="BB7" s="283"/>
      <c r="BC7" s="283"/>
      <c r="BD7" s="283"/>
      <c r="BE7" s="283"/>
      <c r="BF7" s="283"/>
      <c r="BG7" s="283"/>
      <c r="BH7" s="283"/>
      <c r="BI7" s="283"/>
      <c r="BJ7" s="283"/>
      <c r="BK7" s="283"/>
      <c r="BL7" s="283"/>
      <c r="BM7" s="283"/>
      <c r="BN7" s="283"/>
      <c r="BO7" s="283"/>
      <c r="BP7" s="283"/>
      <c r="BQ7" s="283"/>
      <c r="BR7" s="283"/>
      <c r="BS7" s="283"/>
      <c r="BT7" s="283"/>
      <c r="BU7" s="283"/>
      <c r="BV7" s="283"/>
      <c r="BW7" s="283"/>
      <c r="BX7" s="283"/>
      <c r="BY7" s="283"/>
      <c r="BZ7" s="283"/>
      <c r="CA7" s="283"/>
      <c r="CB7" s="283"/>
      <c r="CC7" s="283"/>
      <c r="CD7" s="283"/>
      <c r="CE7" s="283"/>
      <c r="CF7" s="283"/>
      <c r="CG7" s="283"/>
      <c r="CH7" s="283"/>
      <c r="CI7" s="283"/>
      <c r="CJ7" s="283"/>
      <c r="CK7" s="283"/>
      <c r="CL7" s="283"/>
      <c r="CM7" s="283"/>
      <c r="CN7" s="283"/>
    </row>
    <row r="8" spans="1:92" ht="14.25" customHeight="1" x14ac:dyDescent="0.2">
      <c r="A8" s="3"/>
      <c r="B8" s="80"/>
      <c r="C8" s="80"/>
      <c r="D8" s="208" t="s">
        <v>257</v>
      </c>
      <c r="E8" s="80"/>
      <c r="F8" s="80"/>
      <c r="G8" s="80"/>
      <c r="H8" s="80"/>
      <c r="I8" s="80"/>
      <c r="J8" s="80"/>
      <c r="K8" s="80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2"/>
      <c r="AF8" s="282"/>
      <c r="AG8" s="282"/>
      <c r="AH8" s="283"/>
      <c r="AI8" s="283"/>
      <c r="AJ8" s="283"/>
      <c r="AK8" s="283"/>
      <c r="AL8" s="283"/>
      <c r="AM8" s="283"/>
      <c r="AN8" s="283"/>
      <c r="AO8" s="283"/>
      <c r="AP8" s="283"/>
      <c r="AQ8" s="283"/>
      <c r="AR8" s="283"/>
      <c r="AS8" s="283"/>
      <c r="AT8" s="283"/>
      <c r="AU8" s="283"/>
      <c r="AV8" s="283"/>
      <c r="AW8" s="283"/>
      <c r="AX8" s="283"/>
      <c r="AY8" s="283"/>
      <c r="AZ8" s="283"/>
      <c r="BA8" s="283"/>
      <c r="BB8" s="283"/>
      <c r="BC8" s="283"/>
      <c r="BD8" s="283"/>
      <c r="BE8" s="283"/>
      <c r="BF8" s="283"/>
      <c r="BG8" s="283"/>
      <c r="BH8" s="283"/>
      <c r="BI8" s="283"/>
      <c r="BJ8" s="283"/>
      <c r="BK8" s="283"/>
      <c r="BL8" s="283"/>
      <c r="BM8" s="283"/>
      <c r="BN8" s="283"/>
      <c r="BO8" s="283"/>
      <c r="BP8" s="283"/>
      <c r="BQ8" s="283"/>
      <c r="BR8" s="283"/>
      <c r="BS8" s="283"/>
      <c r="BT8" s="283"/>
      <c r="BU8" s="283"/>
      <c r="BV8" s="283"/>
      <c r="BW8" s="283"/>
      <c r="BX8" s="283"/>
      <c r="BY8" s="283"/>
      <c r="BZ8" s="283"/>
      <c r="CA8" s="283"/>
      <c r="CB8" s="283"/>
      <c r="CC8" s="283"/>
      <c r="CD8" s="283"/>
      <c r="CE8" s="283"/>
      <c r="CF8" s="283"/>
      <c r="CG8" s="283"/>
      <c r="CH8" s="283"/>
      <c r="CI8" s="283"/>
      <c r="CJ8" s="283"/>
      <c r="CK8" s="283"/>
      <c r="CL8" s="283"/>
      <c r="CM8" s="283"/>
      <c r="CN8" s="283"/>
    </row>
    <row r="9" spans="1:92" ht="5.25" customHeight="1" x14ac:dyDescent="0.2">
      <c r="A9" s="3"/>
      <c r="B9" s="80"/>
      <c r="C9" s="80"/>
      <c r="D9" s="80"/>
      <c r="E9" s="80"/>
      <c r="F9" s="80"/>
      <c r="G9" s="80"/>
      <c r="H9" s="80"/>
      <c r="I9" s="80"/>
      <c r="J9" s="80"/>
      <c r="K9" s="80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2"/>
      <c r="AF9" s="282"/>
      <c r="AG9" s="282"/>
      <c r="AH9" s="283"/>
      <c r="AI9" s="283"/>
      <c r="AJ9" s="283"/>
      <c r="AK9" s="283"/>
      <c r="AL9" s="283"/>
      <c r="AM9" s="283"/>
      <c r="AN9" s="283"/>
      <c r="AO9" s="283"/>
      <c r="AP9" s="283"/>
      <c r="AQ9" s="283"/>
      <c r="AR9" s="283"/>
      <c r="AS9" s="283"/>
      <c r="AT9" s="283"/>
      <c r="AU9" s="283"/>
      <c r="AV9" s="283"/>
      <c r="AW9" s="283"/>
      <c r="AX9" s="283"/>
      <c r="AY9" s="283"/>
      <c r="AZ9" s="283"/>
      <c r="BA9" s="283"/>
      <c r="BB9" s="283"/>
      <c r="BC9" s="283"/>
      <c r="BD9" s="283"/>
      <c r="BE9" s="283"/>
      <c r="BF9" s="283"/>
      <c r="BG9" s="283"/>
      <c r="BH9" s="283"/>
      <c r="BI9" s="283"/>
      <c r="BJ9" s="283"/>
      <c r="BK9" s="283"/>
      <c r="BL9" s="283"/>
      <c r="BM9" s="283"/>
      <c r="BN9" s="283"/>
      <c r="BO9" s="283"/>
      <c r="BP9" s="283"/>
      <c r="BQ9" s="283"/>
      <c r="BR9" s="283"/>
      <c r="BS9" s="283"/>
      <c r="BT9" s="283"/>
      <c r="BU9" s="283"/>
      <c r="BV9" s="283"/>
      <c r="BW9" s="283"/>
      <c r="BX9" s="283"/>
      <c r="BY9" s="283"/>
      <c r="BZ9" s="283"/>
      <c r="CA9" s="283"/>
      <c r="CB9" s="283"/>
      <c r="CC9" s="283"/>
      <c r="CD9" s="283"/>
      <c r="CE9" s="283"/>
      <c r="CF9" s="283"/>
      <c r="CG9" s="283"/>
      <c r="CH9" s="283"/>
      <c r="CI9" s="283"/>
      <c r="CJ9" s="283"/>
      <c r="CK9" s="283"/>
      <c r="CL9" s="283"/>
      <c r="CM9" s="283"/>
      <c r="CN9" s="283"/>
    </row>
    <row r="10" spans="1:92" ht="14.25" customHeight="1" x14ac:dyDescent="0.2">
      <c r="A10" s="3"/>
      <c r="B10" s="80"/>
      <c r="C10" s="80"/>
      <c r="D10" s="209" t="s">
        <v>258</v>
      </c>
      <c r="E10" s="210" t="s">
        <v>259</v>
      </c>
      <c r="F10" s="210" t="s">
        <v>260</v>
      </c>
      <c r="G10" s="210" t="s">
        <v>261</v>
      </c>
      <c r="H10" s="210" t="s">
        <v>262</v>
      </c>
      <c r="I10" s="210" t="s">
        <v>263</v>
      </c>
      <c r="J10" s="210" t="s">
        <v>264</v>
      </c>
      <c r="K10" s="80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2"/>
      <c r="AF10" s="282"/>
      <c r="AG10" s="282"/>
      <c r="AH10" s="283"/>
      <c r="AI10" s="283"/>
      <c r="AJ10" s="283"/>
      <c r="AK10" s="283"/>
      <c r="AL10" s="283"/>
      <c r="AM10" s="283"/>
      <c r="AN10" s="283"/>
      <c r="AO10" s="283"/>
      <c r="AP10" s="283"/>
      <c r="AQ10" s="283"/>
      <c r="AR10" s="283"/>
      <c r="AS10" s="283"/>
      <c r="AT10" s="283"/>
      <c r="AU10" s="283"/>
      <c r="AV10" s="283"/>
      <c r="AW10" s="283"/>
      <c r="AX10" s="283"/>
      <c r="AY10" s="283"/>
      <c r="AZ10" s="283"/>
      <c r="BA10" s="283"/>
      <c r="BB10" s="283"/>
      <c r="BC10" s="283"/>
      <c r="BD10" s="283"/>
      <c r="BE10" s="283"/>
      <c r="BF10" s="283"/>
      <c r="BG10" s="283"/>
      <c r="BH10" s="283"/>
      <c r="BI10" s="283"/>
      <c r="BJ10" s="283"/>
      <c r="BK10" s="283"/>
      <c r="BL10" s="283"/>
      <c r="BM10" s="283"/>
      <c r="BN10" s="283"/>
      <c r="BO10" s="283"/>
      <c r="BP10" s="283"/>
      <c r="BQ10" s="283"/>
      <c r="BR10" s="283"/>
      <c r="BS10" s="283"/>
      <c r="BT10" s="283"/>
      <c r="BU10" s="283"/>
      <c r="BV10" s="283"/>
      <c r="BW10" s="283"/>
      <c r="BX10" s="283"/>
      <c r="BY10" s="283"/>
      <c r="BZ10" s="283"/>
      <c r="CA10" s="283"/>
      <c r="CB10" s="283"/>
      <c r="CC10" s="283"/>
      <c r="CD10" s="283"/>
      <c r="CE10" s="283"/>
      <c r="CF10" s="283"/>
      <c r="CG10" s="283"/>
      <c r="CH10" s="283"/>
      <c r="CI10" s="283"/>
      <c r="CJ10" s="283"/>
      <c r="CK10" s="283"/>
      <c r="CL10" s="283"/>
      <c r="CM10" s="283"/>
      <c r="CN10" s="283"/>
    </row>
    <row r="11" spans="1:92" ht="3" customHeight="1" x14ac:dyDescent="0.2">
      <c r="A11" s="3"/>
      <c r="B11" s="211"/>
      <c r="C11" s="651" t="s">
        <v>265</v>
      </c>
      <c r="D11" s="111"/>
      <c r="E11" s="111"/>
      <c r="F11" s="111"/>
      <c r="G11" s="111"/>
      <c r="H11" s="111"/>
      <c r="I11" s="111"/>
      <c r="J11" s="111"/>
      <c r="K11" s="80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2"/>
      <c r="AF11" s="282"/>
      <c r="AG11" s="282"/>
      <c r="AH11" s="283"/>
      <c r="AI11" s="283"/>
      <c r="AJ11" s="283"/>
      <c r="AK11" s="283"/>
      <c r="AL11" s="283"/>
      <c r="AM11" s="283"/>
      <c r="AN11" s="283"/>
      <c r="AO11" s="283"/>
      <c r="AP11" s="283"/>
      <c r="AQ11" s="283"/>
      <c r="AR11" s="283"/>
      <c r="AS11" s="283"/>
      <c r="AT11" s="283"/>
      <c r="AU11" s="283"/>
      <c r="AV11" s="283"/>
      <c r="AW11" s="283"/>
      <c r="AX11" s="283"/>
      <c r="AY11" s="283"/>
      <c r="AZ11" s="283"/>
      <c r="BA11" s="283"/>
      <c r="BB11" s="283"/>
      <c r="BC11" s="283"/>
      <c r="BD11" s="283"/>
      <c r="BE11" s="283"/>
      <c r="BF11" s="283"/>
      <c r="BG11" s="283"/>
      <c r="BH11" s="283"/>
      <c r="BI11" s="283"/>
      <c r="BJ11" s="283"/>
      <c r="BK11" s="283"/>
      <c r="BL11" s="283"/>
      <c r="BM11" s="283"/>
      <c r="BN11" s="283"/>
      <c r="BO11" s="283"/>
      <c r="BP11" s="283"/>
      <c r="BQ11" s="283"/>
      <c r="BR11" s="283"/>
      <c r="BS11" s="283"/>
      <c r="BT11" s="283"/>
      <c r="BU11" s="283"/>
      <c r="BV11" s="283"/>
      <c r="BW11" s="283"/>
      <c r="BX11" s="283"/>
      <c r="BY11" s="283"/>
      <c r="BZ11" s="283"/>
      <c r="CA11" s="283"/>
      <c r="CB11" s="283"/>
      <c r="CC11" s="283"/>
      <c r="CD11" s="283"/>
      <c r="CE11" s="283"/>
      <c r="CF11" s="283"/>
      <c r="CG11" s="283"/>
      <c r="CH11" s="283"/>
      <c r="CI11" s="283"/>
      <c r="CJ11" s="283"/>
      <c r="CK11" s="283"/>
      <c r="CL11" s="283"/>
      <c r="CM11" s="283"/>
      <c r="CN11" s="283"/>
    </row>
    <row r="12" spans="1:92" ht="14.25" customHeight="1" x14ac:dyDescent="0.2">
      <c r="A12" s="3"/>
      <c r="B12" s="80"/>
      <c r="C12" s="652"/>
      <c r="D12" s="212" t="s">
        <v>266</v>
      </c>
      <c r="E12" s="213">
        <v>0.16</v>
      </c>
      <c r="F12" s="214">
        <v>0.13972663880083211</v>
      </c>
      <c r="G12" s="214">
        <v>0.1802733611991679</v>
      </c>
      <c r="H12" s="215">
        <v>60039</v>
      </c>
      <c r="I12" s="215">
        <v>62218.21</v>
      </c>
      <c r="J12" s="215">
        <f t="shared" ref="J12:J31" si="0">I12-H12</f>
        <v>2179.2099999999991</v>
      </c>
      <c r="K12" s="80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2"/>
      <c r="AF12" s="282"/>
      <c r="AG12" s="282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  <c r="CK12" s="283"/>
      <c r="CL12" s="283"/>
      <c r="CM12" s="283"/>
      <c r="CN12" s="283"/>
    </row>
    <row r="13" spans="1:92" ht="14.25" customHeight="1" x14ac:dyDescent="0.2">
      <c r="A13" s="3"/>
      <c r="B13" s="80"/>
      <c r="C13" s="652"/>
      <c r="D13" s="212" t="s">
        <v>371</v>
      </c>
      <c r="E13" s="216">
        <v>0.4</v>
      </c>
      <c r="F13" s="216">
        <v>0.36253656753673225</v>
      </c>
      <c r="G13" s="216">
        <v>0.4374634324632678</v>
      </c>
      <c r="H13" s="217">
        <v>63231.37</v>
      </c>
      <c r="I13" s="217">
        <v>59025.96</v>
      </c>
      <c r="J13" s="215">
        <f t="shared" si="0"/>
        <v>-4205.4100000000035</v>
      </c>
      <c r="K13" s="80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2"/>
      <c r="AF13" s="282"/>
      <c r="AG13" s="282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  <c r="CK13" s="283"/>
      <c r="CL13" s="283"/>
      <c r="CM13" s="283"/>
      <c r="CN13" s="283"/>
    </row>
    <row r="14" spans="1:92" ht="14.25" customHeight="1" x14ac:dyDescent="0.2">
      <c r="A14" s="3"/>
      <c r="B14" s="80"/>
      <c r="C14" s="652"/>
      <c r="D14" s="212" t="s">
        <v>267</v>
      </c>
      <c r="E14" s="216">
        <v>0.34799999999999998</v>
      </c>
      <c r="F14" s="216">
        <v>0.252</v>
      </c>
      <c r="G14" s="216">
        <v>0.44399999999999995</v>
      </c>
      <c r="H14" s="217">
        <v>63650.87</v>
      </c>
      <c r="I14" s="217">
        <v>58606.46</v>
      </c>
      <c r="J14" s="215">
        <f t="shared" si="0"/>
        <v>-5044.4100000000035</v>
      </c>
      <c r="K14" s="80"/>
      <c r="L14" s="3"/>
      <c r="M14" s="218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2"/>
      <c r="AF14" s="282"/>
      <c r="AG14" s="282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  <c r="CK14" s="283"/>
      <c r="CL14" s="283"/>
      <c r="CM14" s="283"/>
      <c r="CN14" s="283"/>
    </row>
    <row r="15" spans="1:92" ht="14.25" customHeight="1" x14ac:dyDescent="0.2">
      <c r="A15" s="3"/>
      <c r="B15" s="80"/>
      <c r="C15" s="652"/>
      <c r="D15" s="212" t="s">
        <v>268</v>
      </c>
      <c r="E15" s="216">
        <v>1.4999999999999999E-2</v>
      </c>
      <c r="F15" s="216">
        <v>8.1833996846558607E-3</v>
      </c>
      <c r="G15" s="216">
        <v>2.1816600315344138E-2</v>
      </c>
      <c r="H15" s="217">
        <v>60333.47</v>
      </c>
      <c r="I15" s="217">
        <v>61923.86</v>
      </c>
      <c r="J15" s="215">
        <f t="shared" si="0"/>
        <v>1590.3899999999994</v>
      </c>
      <c r="K15" s="80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2"/>
      <c r="AF15" s="282"/>
      <c r="AG15" s="282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  <c r="CK15" s="283"/>
      <c r="CL15" s="283"/>
      <c r="CM15" s="283"/>
      <c r="CN15" s="283"/>
    </row>
    <row r="16" spans="1:92" ht="14.25" customHeight="1" x14ac:dyDescent="0.2">
      <c r="A16" s="3"/>
      <c r="B16" s="80"/>
      <c r="C16" s="652"/>
      <c r="D16" s="212" t="s">
        <v>372</v>
      </c>
      <c r="E16" s="216">
        <v>1.7999999999999999E-2</v>
      </c>
      <c r="F16" s="216">
        <v>7.872470752228437E-3</v>
      </c>
      <c r="G16" s="216">
        <v>2.8127529247771559E-2</v>
      </c>
      <c r="H16" s="217">
        <v>64018.16</v>
      </c>
      <c r="I16" s="217">
        <v>58239.17</v>
      </c>
      <c r="J16" s="215">
        <f t="shared" si="0"/>
        <v>-5778.9900000000052</v>
      </c>
      <c r="K16" s="80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2"/>
      <c r="AF16" s="282"/>
      <c r="AG16" s="282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  <c r="CK16" s="283"/>
      <c r="CL16" s="283"/>
      <c r="CM16" s="283"/>
      <c r="CN16" s="283"/>
    </row>
    <row r="17" spans="1:92" ht="14.25" customHeight="1" x14ac:dyDescent="0.2">
      <c r="A17" s="3"/>
      <c r="B17" s="80"/>
      <c r="C17" s="652"/>
      <c r="D17" s="212" t="s">
        <v>269</v>
      </c>
      <c r="E17" s="216">
        <v>0.86199999999999999</v>
      </c>
      <c r="F17" s="216">
        <v>0.76200000000000001</v>
      </c>
      <c r="G17" s="216">
        <v>0.96199999999999997</v>
      </c>
      <c r="H17" s="217">
        <v>61057.95</v>
      </c>
      <c r="I17" s="217">
        <v>61199.38</v>
      </c>
      <c r="J17" s="215">
        <f t="shared" si="0"/>
        <v>141.43000000000029</v>
      </c>
      <c r="K17" s="80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2"/>
      <c r="AF17" s="282"/>
      <c r="AG17" s="282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  <c r="CK17" s="283"/>
      <c r="CL17" s="283"/>
      <c r="CM17" s="283"/>
      <c r="CN17" s="283"/>
    </row>
    <row r="18" spans="1:92" ht="14.25" customHeight="1" x14ac:dyDescent="0.2">
      <c r="A18" s="3"/>
      <c r="B18" s="80"/>
      <c r="C18" s="652"/>
      <c r="D18" s="212" t="s">
        <v>373</v>
      </c>
      <c r="E18" s="216">
        <v>0.90399999999999991</v>
      </c>
      <c r="F18" s="216">
        <v>0.81399999999999995</v>
      </c>
      <c r="G18" s="216">
        <v>0.99399999999999988</v>
      </c>
      <c r="H18" s="217">
        <v>61319.6</v>
      </c>
      <c r="I18" s="217">
        <v>60937.74</v>
      </c>
      <c r="J18" s="215">
        <f t="shared" si="0"/>
        <v>-381.86000000000058</v>
      </c>
      <c r="K18" s="80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2"/>
      <c r="AF18" s="282"/>
      <c r="AG18" s="282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  <c r="CK18" s="283"/>
      <c r="CL18" s="283"/>
      <c r="CM18" s="283"/>
      <c r="CN18" s="283"/>
    </row>
    <row r="19" spans="1:92" ht="14.25" customHeight="1" x14ac:dyDescent="0.2">
      <c r="A19" s="3"/>
      <c r="B19" s="80"/>
      <c r="C19" s="652"/>
      <c r="D19" s="212" t="s">
        <v>375</v>
      </c>
      <c r="E19" s="216">
        <v>0.81200000000000006</v>
      </c>
      <c r="F19" s="216">
        <v>0.79</v>
      </c>
      <c r="G19" s="216">
        <v>0.83435312147687579</v>
      </c>
      <c r="H19" s="217">
        <v>99750.9</v>
      </c>
      <c r="I19" s="217">
        <v>47269.09</v>
      </c>
      <c r="J19" s="215">
        <f t="shared" si="0"/>
        <v>-52481.81</v>
      </c>
      <c r="K19" s="80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2"/>
      <c r="AF19" s="282"/>
      <c r="AG19" s="282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  <c r="CK19" s="283"/>
      <c r="CL19" s="283"/>
      <c r="CM19" s="283"/>
      <c r="CN19" s="283"/>
    </row>
    <row r="20" spans="1:92" ht="14.25" customHeight="1" x14ac:dyDescent="0.2">
      <c r="A20" s="3"/>
      <c r="B20" s="80"/>
      <c r="C20" s="653"/>
      <c r="D20" s="212" t="s">
        <v>376</v>
      </c>
      <c r="E20" s="219">
        <v>0.76500000000000001</v>
      </c>
      <c r="F20" s="219">
        <v>0.73249579369860496</v>
      </c>
      <c r="G20" s="219">
        <v>0.79750420630139507</v>
      </c>
      <c r="H20" s="220">
        <v>43666.46</v>
      </c>
      <c r="I20" s="220">
        <v>164771.12</v>
      </c>
      <c r="J20" s="215">
        <f t="shared" si="0"/>
        <v>121104.66</v>
      </c>
      <c r="K20" s="80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2"/>
      <c r="AF20" s="282"/>
      <c r="AG20" s="282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  <c r="CK20" s="283"/>
      <c r="CL20" s="283"/>
      <c r="CM20" s="283"/>
      <c r="CN20" s="283"/>
    </row>
    <row r="21" spans="1:92" ht="14.25" customHeight="1" x14ac:dyDescent="0.2">
      <c r="A21" s="3"/>
      <c r="B21" s="80"/>
      <c r="C21" s="651" t="s">
        <v>271</v>
      </c>
      <c r="D21" s="221" t="s">
        <v>272</v>
      </c>
      <c r="E21" s="215">
        <v>12182.016</v>
      </c>
      <c r="F21" s="215">
        <v>9745.612799999999</v>
      </c>
      <c r="G21" s="215">
        <v>14618.4192</v>
      </c>
      <c r="H21" s="215">
        <v>49844.3</v>
      </c>
      <c r="I21" s="215">
        <v>72412.89</v>
      </c>
      <c r="J21" s="215">
        <f t="shared" si="0"/>
        <v>22568.589999999997</v>
      </c>
      <c r="K21" s="80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2"/>
      <c r="AF21" s="282"/>
      <c r="AG21" s="282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  <c r="CK21" s="283"/>
      <c r="CL21" s="283"/>
      <c r="CM21" s="283"/>
      <c r="CN21" s="283"/>
    </row>
    <row r="22" spans="1:92" ht="14.25" customHeight="1" x14ac:dyDescent="0.2">
      <c r="A22" s="3"/>
      <c r="B22" s="80"/>
      <c r="C22" s="652"/>
      <c r="D22" s="212" t="s">
        <v>273</v>
      </c>
      <c r="E22" s="217">
        <v>18604.830000000002</v>
      </c>
      <c r="F22" s="217">
        <v>14883.864000000001</v>
      </c>
      <c r="G22" s="217">
        <v>22325.796000000002</v>
      </c>
      <c r="H22" s="217">
        <v>61205.19</v>
      </c>
      <c r="I22" s="217">
        <v>61052.13</v>
      </c>
      <c r="J22" s="215">
        <f t="shared" si="0"/>
        <v>-153.06000000000495</v>
      </c>
      <c r="K22" s="80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2"/>
      <c r="AF22" s="282"/>
      <c r="AG22" s="282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  <c r="CK22" s="283"/>
      <c r="CL22" s="283"/>
      <c r="CM22" s="283"/>
      <c r="CN22" s="283"/>
    </row>
    <row r="23" spans="1:92" ht="14.25" customHeight="1" x14ac:dyDescent="0.2">
      <c r="A23" s="3"/>
      <c r="B23" s="80"/>
      <c r="C23" s="652"/>
      <c r="D23" s="212" t="s">
        <v>274</v>
      </c>
      <c r="E23" s="217">
        <v>1237.24</v>
      </c>
      <c r="F23" s="217">
        <v>989.79200000000003</v>
      </c>
      <c r="G23" s="217">
        <v>1484.6880000000001</v>
      </c>
      <c r="H23" s="217">
        <v>61403.54</v>
      </c>
      <c r="I23" s="217">
        <v>60853.22</v>
      </c>
      <c r="J23" s="215">
        <f t="shared" si="0"/>
        <v>-550.31999999999971</v>
      </c>
      <c r="K23" s="80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2"/>
      <c r="AF23" s="282"/>
      <c r="AG23" s="282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  <c r="CK23" s="283"/>
      <c r="CL23" s="283"/>
      <c r="CM23" s="283"/>
      <c r="CN23" s="283"/>
    </row>
    <row r="24" spans="1:92" ht="14.25" customHeight="1" x14ac:dyDescent="0.2">
      <c r="A24" s="3"/>
      <c r="B24" s="80"/>
      <c r="C24" s="652"/>
      <c r="D24" s="212" t="s">
        <v>275</v>
      </c>
      <c r="E24" s="217">
        <v>45002</v>
      </c>
      <c r="F24" s="217">
        <v>36001.599999999999</v>
      </c>
      <c r="G24" s="217">
        <v>54002.400000000001</v>
      </c>
      <c r="H24" s="217">
        <v>61313.77</v>
      </c>
      <c r="I24" s="217">
        <v>60943.56</v>
      </c>
      <c r="J24" s="215">
        <f t="shared" si="0"/>
        <v>-370.20999999999913</v>
      </c>
      <c r="K24" s="80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2"/>
      <c r="AF24" s="282"/>
      <c r="AG24" s="282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  <c r="CK24" s="283"/>
      <c r="CL24" s="283"/>
      <c r="CM24" s="283"/>
      <c r="CN24" s="283"/>
    </row>
    <row r="25" spans="1:92" ht="14.25" customHeight="1" x14ac:dyDescent="0.2">
      <c r="A25" s="3"/>
      <c r="B25" s="80"/>
      <c r="C25" s="652"/>
      <c r="D25" s="212" t="s">
        <v>276</v>
      </c>
      <c r="E25" s="217">
        <v>98442</v>
      </c>
      <c r="F25" s="217">
        <v>78753.600000000006</v>
      </c>
      <c r="G25" s="217">
        <v>118130.4</v>
      </c>
      <c r="H25" s="217">
        <v>61566.43</v>
      </c>
      <c r="I25" s="217">
        <v>60690.9</v>
      </c>
      <c r="J25" s="215">
        <f t="shared" si="0"/>
        <v>-875.52999999999884</v>
      </c>
      <c r="K25" s="80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282"/>
      <c r="AF25" s="282"/>
      <c r="AG25" s="282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  <c r="CK25" s="283"/>
      <c r="CL25" s="283"/>
      <c r="CM25" s="283"/>
      <c r="CN25" s="283"/>
    </row>
    <row r="26" spans="1:92" ht="14.25" customHeight="1" x14ac:dyDescent="0.2">
      <c r="A26" s="3"/>
      <c r="B26" s="80"/>
      <c r="C26" s="652"/>
      <c r="D26" s="212" t="s">
        <v>79</v>
      </c>
      <c r="E26" s="220">
        <v>23632</v>
      </c>
      <c r="F26" s="217">
        <v>18905.599999999999</v>
      </c>
      <c r="G26" s="217">
        <v>28358.400000000001</v>
      </c>
      <c r="H26" s="217">
        <v>62957.11</v>
      </c>
      <c r="I26" s="217">
        <v>59300.22</v>
      </c>
      <c r="J26" s="215">
        <f t="shared" si="0"/>
        <v>-3656.8899999999994</v>
      </c>
      <c r="K26" s="80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282"/>
      <c r="AF26" s="282"/>
      <c r="AG26" s="282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  <c r="CK26" s="283"/>
      <c r="CL26" s="283"/>
      <c r="CM26" s="283"/>
      <c r="CN26" s="283"/>
    </row>
    <row r="27" spans="1:92" ht="14.25" customHeight="1" x14ac:dyDescent="0.2">
      <c r="A27" s="3"/>
      <c r="B27" s="80"/>
      <c r="C27" s="653"/>
      <c r="D27" s="212" t="s">
        <v>277</v>
      </c>
      <c r="E27" s="220">
        <v>8624.6029999999992</v>
      </c>
      <c r="F27" s="220">
        <v>6899.6823999999997</v>
      </c>
      <c r="G27" s="220">
        <v>10349.523599999999</v>
      </c>
      <c r="H27" s="220">
        <v>57386.67</v>
      </c>
      <c r="I27" s="220">
        <v>64872.39</v>
      </c>
      <c r="J27" s="215">
        <f t="shared" si="0"/>
        <v>7485.7200000000012</v>
      </c>
      <c r="K27" s="80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282"/>
      <c r="AF27" s="282"/>
      <c r="AG27" s="282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  <c r="CK27" s="283"/>
      <c r="CL27" s="283"/>
      <c r="CM27" s="283"/>
      <c r="CN27" s="283"/>
    </row>
    <row r="28" spans="1:92" ht="16.5" customHeight="1" x14ac:dyDescent="0.2">
      <c r="A28" s="3"/>
      <c r="B28" s="80"/>
      <c r="C28" s="651" t="s">
        <v>278</v>
      </c>
      <c r="D28" s="222" t="s">
        <v>569</v>
      </c>
      <c r="E28" s="214">
        <v>0.72399999999999998</v>
      </c>
      <c r="F28" s="214">
        <v>0.57919999999999994</v>
      </c>
      <c r="G28" s="214">
        <v>0.86880000000000002</v>
      </c>
      <c r="H28" s="215">
        <v>117447.24</v>
      </c>
      <c r="I28" s="215">
        <v>41302.28</v>
      </c>
      <c r="J28" s="215">
        <f t="shared" si="0"/>
        <v>-76144.960000000006</v>
      </c>
      <c r="K28" s="80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282"/>
      <c r="AF28" s="282"/>
      <c r="AG28" s="282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  <c r="CK28" s="283"/>
      <c r="CL28" s="283"/>
      <c r="CM28" s="283"/>
      <c r="CN28" s="283"/>
    </row>
    <row r="29" spans="1:92" ht="15" customHeight="1" x14ac:dyDescent="0.2">
      <c r="A29" s="3"/>
      <c r="B29" s="80"/>
      <c r="C29" s="652"/>
      <c r="D29" s="431" t="s">
        <v>570</v>
      </c>
      <c r="E29" s="216">
        <v>0.72799999999999998</v>
      </c>
      <c r="F29" s="216">
        <v>0.58240000000000003</v>
      </c>
      <c r="G29" s="216">
        <v>0.87359999999999993</v>
      </c>
      <c r="H29" s="217">
        <v>42827.82</v>
      </c>
      <c r="I29" s="217">
        <v>107290.11</v>
      </c>
      <c r="J29" s="215">
        <f t="shared" si="0"/>
        <v>64462.29</v>
      </c>
      <c r="K29" s="80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282"/>
      <c r="AF29" s="282"/>
      <c r="AG29" s="282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  <c r="CK29" s="283"/>
      <c r="CL29" s="283"/>
      <c r="CM29" s="283"/>
      <c r="CN29" s="283"/>
    </row>
    <row r="30" spans="1:92" ht="17.25" customHeight="1" x14ac:dyDescent="0.2">
      <c r="A30" s="3"/>
      <c r="B30" s="80"/>
      <c r="C30" s="652"/>
      <c r="D30" s="431" t="s">
        <v>442</v>
      </c>
      <c r="E30" s="223">
        <v>0.76</v>
      </c>
      <c r="F30" s="223">
        <v>0.60799999999999998</v>
      </c>
      <c r="G30" s="223">
        <v>0.91200000000000003</v>
      </c>
      <c r="H30" s="220">
        <v>71768.14</v>
      </c>
      <c r="I30" s="220">
        <v>53236.47</v>
      </c>
      <c r="J30" s="215">
        <f t="shared" si="0"/>
        <v>-18531.669999999998</v>
      </c>
      <c r="K30" s="80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282"/>
      <c r="AF30" s="282"/>
      <c r="AG30" s="282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  <c r="CK30" s="283"/>
      <c r="CL30" s="283"/>
      <c r="CM30" s="283"/>
      <c r="CN30" s="283"/>
    </row>
    <row r="31" spans="1:92" ht="17.25" customHeight="1" x14ac:dyDescent="0.2">
      <c r="A31" s="3"/>
      <c r="B31" s="80"/>
      <c r="C31" s="652"/>
      <c r="D31" s="431" t="s">
        <v>443</v>
      </c>
      <c r="E31" s="216">
        <v>0.03</v>
      </c>
      <c r="F31" s="216">
        <v>0.01</v>
      </c>
      <c r="G31" s="216">
        <v>0.05</v>
      </c>
      <c r="H31" s="220">
        <v>61318.92</v>
      </c>
      <c r="I31" s="220">
        <v>60930.65</v>
      </c>
      <c r="J31" s="215">
        <f t="shared" si="0"/>
        <v>-388.2699999999968</v>
      </c>
      <c r="K31" s="80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282"/>
      <c r="AF31" s="282"/>
      <c r="AG31" s="282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  <c r="CK31" s="283"/>
      <c r="CL31" s="283"/>
      <c r="CM31" s="283"/>
      <c r="CN31" s="283"/>
    </row>
    <row r="32" spans="1:92" ht="5.25" customHeight="1" x14ac:dyDescent="0.2">
      <c r="A32" s="3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282"/>
      <c r="AF32" s="282"/>
      <c r="AG32" s="282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  <c r="CK32" s="283"/>
      <c r="CL32" s="283"/>
      <c r="CM32" s="283"/>
      <c r="CN32" s="283"/>
    </row>
    <row r="33" spans="1:92" ht="8.25" customHeight="1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282"/>
      <c r="AF33" s="282"/>
      <c r="AG33" s="282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  <c r="CK33" s="283"/>
      <c r="CL33" s="283"/>
      <c r="CM33" s="283"/>
      <c r="CN33" s="283"/>
    </row>
    <row r="34" spans="1:92" ht="16.5" customHeight="1" x14ac:dyDescent="0.2">
      <c r="A34" s="3"/>
      <c r="B34" s="3"/>
      <c r="C34" s="3"/>
      <c r="D34" s="3"/>
      <c r="E34" s="3"/>
      <c r="F34" s="14"/>
      <c r="G34" s="14" t="s">
        <v>452</v>
      </c>
      <c r="H34" s="44">
        <f>MIN(H12:H31)</f>
        <v>42827.82</v>
      </c>
      <c r="I34" s="44">
        <f>MIN(I12:I31)</f>
        <v>41302.28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282"/>
      <c r="AF34" s="282"/>
      <c r="AG34" s="282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  <c r="CK34" s="283"/>
      <c r="CL34" s="283"/>
      <c r="CM34" s="283"/>
      <c r="CN34" s="283"/>
    </row>
    <row r="35" spans="1:92" ht="14.25" customHeight="1" x14ac:dyDescent="0.2">
      <c r="A35" s="3"/>
      <c r="B35" s="3"/>
      <c r="C35" s="3"/>
      <c r="D35" s="3"/>
      <c r="E35" s="3"/>
      <c r="F35" s="14"/>
      <c r="G35" s="14" t="s">
        <v>454</v>
      </c>
      <c r="H35" s="44">
        <f>MAX(H12:H31)</f>
        <v>117447.24</v>
      </c>
      <c r="I35" s="44">
        <f>MAX(I12:I31)</f>
        <v>164771.12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282"/>
      <c r="AF35" s="282"/>
      <c r="AG35" s="282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  <c r="CK35" s="283"/>
      <c r="CL35" s="283"/>
      <c r="CM35" s="283"/>
      <c r="CN35" s="283"/>
    </row>
    <row r="36" spans="1:92" ht="14.25" customHeight="1" x14ac:dyDescent="0.2">
      <c r="A36" s="3"/>
      <c r="B36" s="3"/>
      <c r="C36" s="3"/>
      <c r="D36" s="3"/>
      <c r="E36" s="3"/>
      <c r="F36" s="14"/>
      <c r="G36" s="14"/>
      <c r="H36" s="14"/>
      <c r="I36" s="14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282"/>
      <c r="AF36" s="282"/>
      <c r="AG36" s="282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  <c r="CK36" s="283"/>
      <c r="CL36" s="283"/>
      <c r="CM36" s="283"/>
      <c r="CN36" s="283"/>
    </row>
    <row r="37" spans="1:92" ht="14.2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282"/>
      <c r="AF37" s="282"/>
      <c r="AG37" s="282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  <c r="CK37" s="283"/>
      <c r="CL37" s="283"/>
      <c r="CM37" s="283"/>
      <c r="CN37" s="283"/>
    </row>
    <row r="38" spans="1:92" ht="14.2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282"/>
      <c r="AF38" s="282"/>
      <c r="AG38" s="282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  <c r="CK38" s="283"/>
      <c r="CL38" s="283"/>
      <c r="CM38" s="283"/>
      <c r="CN38" s="283"/>
    </row>
    <row r="39" spans="1:92" ht="14.2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282"/>
      <c r="AF39" s="282"/>
      <c r="AG39" s="282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  <c r="CK39" s="283"/>
      <c r="CL39" s="283"/>
      <c r="CM39" s="283"/>
      <c r="CN39" s="283"/>
    </row>
    <row r="40" spans="1:92" ht="14.25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282"/>
      <c r="AF40" s="282"/>
      <c r="AG40" s="282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  <c r="CK40" s="283"/>
      <c r="CL40" s="283"/>
      <c r="CM40" s="283"/>
      <c r="CN40" s="283"/>
    </row>
    <row r="41" spans="1:92" ht="14.2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282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  <c r="CK41" s="283"/>
      <c r="CL41" s="283"/>
      <c r="CM41" s="283"/>
      <c r="CN41" s="283"/>
    </row>
    <row r="42" spans="1:92" ht="14.2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282"/>
      <c r="AH42" s="283"/>
      <c r="AI42" s="283"/>
      <c r="AJ42" s="283"/>
      <c r="AK42" s="283"/>
      <c r="AL42" s="283"/>
      <c r="AM42" s="283"/>
      <c r="AN42" s="283"/>
      <c r="AO42" s="283"/>
      <c r="AP42" s="283"/>
      <c r="AQ42" s="283"/>
      <c r="AR42" s="283"/>
      <c r="AS42" s="283"/>
      <c r="AT42" s="283"/>
      <c r="AU42" s="283"/>
      <c r="AV42" s="283"/>
      <c r="AW42" s="283"/>
      <c r="AX42" s="283"/>
      <c r="AY42" s="283"/>
      <c r="AZ42" s="283"/>
      <c r="BA42" s="283"/>
      <c r="BB42" s="283"/>
      <c r="BC42" s="283"/>
      <c r="BD42" s="283"/>
      <c r="BE42" s="283"/>
      <c r="BF42" s="283"/>
      <c r="BG42" s="283"/>
      <c r="BH42" s="283"/>
      <c r="BI42" s="283"/>
      <c r="BJ42" s="283"/>
      <c r="BK42" s="283"/>
      <c r="BL42" s="283"/>
      <c r="BM42" s="283"/>
      <c r="BN42" s="283"/>
      <c r="BO42" s="283"/>
      <c r="BP42" s="283"/>
      <c r="BQ42" s="283"/>
      <c r="BR42" s="283"/>
      <c r="BS42" s="283"/>
      <c r="BT42" s="283"/>
      <c r="BU42" s="283"/>
      <c r="BV42" s="283"/>
      <c r="BW42" s="283"/>
      <c r="BX42" s="283"/>
      <c r="BY42" s="283"/>
      <c r="BZ42" s="283"/>
      <c r="CA42" s="283"/>
      <c r="CB42" s="283"/>
      <c r="CC42" s="283"/>
      <c r="CD42" s="283"/>
      <c r="CE42" s="283"/>
      <c r="CF42" s="283"/>
      <c r="CG42" s="283"/>
      <c r="CH42" s="283"/>
      <c r="CI42" s="283"/>
      <c r="CJ42" s="283"/>
      <c r="CK42" s="283"/>
      <c r="CL42" s="283"/>
      <c r="CM42" s="283"/>
      <c r="CN42" s="283"/>
    </row>
    <row r="43" spans="1:92" ht="245.25" hidden="1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282"/>
      <c r="AH43" s="283"/>
      <c r="AI43" s="283"/>
      <c r="AJ43" s="283"/>
      <c r="AK43" s="283"/>
      <c r="AL43" s="283"/>
      <c r="AM43" s="283"/>
      <c r="AN43" s="283"/>
      <c r="AO43" s="283"/>
      <c r="AP43" s="283"/>
      <c r="AQ43" s="283"/>
      <c r="AR43" s="283"/>
      <c r="AS43" s="283"/>
      <c r="AT43" s="283"/>
      <c r="AU43" s="283"/>
      <c r="AV43" s="283"/>
      <c r="AW43" s="283"/>
      <c r="AX43" s="283"/>
      <c r="AY43" s="283"/>
      <c r="AZ43" s="283"/>
      <c r="BA43" s="283"/>
      <c r="BB43" s="283"/>
      <c r="BC43" s="283"/>
      <c r="BD43" s="283"/>
      <c r="BE43" s="283"/>
      <c r="BF43" s="283"/>
      <c r="BG43" s="283"/>
      <c r="BH43" s="283"/>
      <c r="BI43" s="283"/>
      <c r="BJ43" s="283"/>
      <c r="BK43" s="283"/>
      <c r="BL43" s="283"/>
      <c r="BM43" s="283"/>
      <c r="BN43" s="283"/>
      <c r="BO43" s="283"/>
      <c r="BP43" s="283"/>
      <c r="BQ43" s="283"/>
      <c r="BR43" s="283"/>
      <c r="BS43" s="283"/>
      <c r="BT43" s="283"/>
      <c r="BU43" s="283"/>
      <c r="BV43" s="283"/>
      <c r="BW43" s="283"/>
      <c r="BX43" s="283"/>
      <c r="BY43" s="283"/>
      <c r="BZ43" s="283"/>
      <c r="CA43" s="283"/>
      <c r="CB43" s="283"/>
      <c r="CC43" s="283"/>
      <c r="CD43" s="283"/>
      <c r="CE43" s="283"/>
      <c r="CF43" s="283"/>
      <c r="CG43" s="283"/>
      <c r="CH43" s="283"/>
      <c r="CI43" s="283"/>
      <c r="CJ43" s="283"/>
      <c r="CK43" s="283"/>
      <c r="CL43" s="283"/>
      <c r="CM43" s="283"/>
      <c r="CN43" s="283"/>
    </row>
    <row r="44" spans="1:92" ht="14.25" hidden="1" customHeight="1" x14ac:dyDescent="0.2">
      <c r="A44" s="3"/>
      <c r="B44" s="3"/>
      <c r="C44" s="3"/>
      <c r="D44" s="65" t="s">
        <v>380</v>
      </c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282"/>
      <c r="AH44" s="283"/>
      <c r="AI44" s="283"/>
      <c r="AJ44" s="283"/>
      <c r="AK44" s="283"/>
      <c r="AL44" s="283"/>
      <c r="AM44" s="283"/>
      <c r="AN44" s="283"/>
      <c r="AO44" s="283"/>
      <c r="AP44" s="283"/>
      <c r="AQ44" s="283"/>
      <c r="AR44" s="283"/>
      <c r="AS44" s="283"/>
      <c r="AT44" s="283"/>
      <c r="AU44" s="283"/>
      <c r="AV44" s="283"/>
      <c r="AW44" s="283"/>
      <c r="AX44" s="283"/>
      <c r="AY44" s="283"/>
      <c r="AZ44" s="283"/>
      <c r="BA44" s="283"/>
      <c r="BB44" s="283"/>
      <c r="BC44" s="283"/>
      <c r="BD44" s="283"/>
      <c r="BE44" s="283"/>
      <c r="BF44" s="283"/>
      <c r="BG44" s="283"/>
      <c r="BH44" s="283"/>
      <c r="BI44" s="283"/>
      <c r="BJ44" s="283"/>
      <c r="BK44" s="283"/>
      <c r="BL44" s="283"/>
      <c r="BM44" s="283"/>
      <c r="BN44" s="283"/>
      <c r="BO44" s="283"/>
      <c r="BP44" s="283"/>
      <c r="BQ44" s="283"/>
      <c r="BR44" s="283"/>
      <c r="BS44" s="283"/>
      <c r="BT44" s="283"/>
      <c r="BU44" s="283"/>
      <c r="BV44" s="283"/>
      <c r="BW44" s="283"/>
      <c r="BX44" s="283"/>
      <c r="BY44" s="283"/>
      <c r="BZ44" s="283"/>
      <c r="CA44" s="283"/>
      <c r="CB44" s="283"/>
      <c r="CC44" s="283"/>
      <c r="CD44" s="283"/>
      <c r="CE44" s="283"/>
      <c r="CF44" s="283"/>
      <c r="CG44" s="283"/>
      <c r="CH44" s="283"/>
      <c r="CI44" s="283"/>
      <c r="CJ44" s="283"/>
      <c r="CK44" s="283"/>
      <c r="CL44" s="283"/>
      <c r="CM44" s="283"/>
      <c r="CN44" s="283"/>
    </row>
    <row r="45" spans="1:92" ht="14.25" hidden="1" customHeight="1" x14ac:dyDescent="0.2">
      <c r="A45" s="3"/>
      <c r="B45" s="3"/>
      <c r="C45" s="3"/>
      <c r="D45" s="4" t="s">
        <v>279</v>
      </c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282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  <c r="CK45" s="283"/>
      <c r="CL45" s="283"/>
      <c r="CM45" s="283"/>
      <c r="CN45" s="283"/>
    </row>
    <row r="46" spans="1:92" ht="14.25" hidden="1" customHeight="1" x14ac:dyDescent="0.2">
      <c r="A46" s="3"/>
      <c r="B46" s="3"/>
      <c r="C46" s="3"/>
      <c r="D46" s="3" t="s">
        <v>280</v>
      </c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282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  <c r="CK46" s="283"/>
      <c r="CL46" s="283"/>
      <c r="CM46" s="283"/>
      <c r="CN46" s="283"/>
    </row>
    <row r="47" spans="1:92" ht="14.25" hidden="1" customHeight="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282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  <c r="CK47" s="283"/>
      <c r="CL47" s="283"/>
      <c r="CM47" s="283"/>
      <c r="CN47" s="283"/>
    </row>
    <row r="48" spans="1:92" ht="14.25" hidden="1" customHeight="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282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  <c r="CK48" s="283"/>
      <c r="CL48" s="283"/>
      <c r="CM48" s="283"/>
      <c r="CN48" s="283"/>
    </row>
    <row r="49" spans="1:92" ht="14.25" hidden="1" customHeight="1" x14ac:dyDescent="0.2">
      <c r="A49" s="3"/>
      <c r="B49" s="3"/>
      <c r="C49" s="3"/>
      <c r="D49" s="4" t="s">
        <v>270</v>
      </c>
      <c r="E49" s="3"/>
      <c r="F49" s="3"/>
      <c r="G49" s="4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282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  <c r="CK49" s="283"/>
      <c r="CL49" s="283"/>
      <c r="CM49" s="283"/>
      <c r="CN49" s="283"/>
    </row>
    <row r="50" spans="1:92" ht="14.25" hidden="1" customHeight="1" x14ac:dyDescent="0.2">
      <c r="A50" s="3"/>
      <c r="B50" s="3"/>
      <c r="C50" s="3"/>
      <c r="D50" s="52" t="s">
        <v>281</v>
      </c>
      <c r="E50" s="52" t="s">
        <v>282</v>
      </c>
      <c r="F50" s="3"/>
      <c r="G50" s="52"/>
      <c r="H50" s="5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282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  <c r="CK50" s="283"/>
      <c r="CL50" s="283"/>
      <c r="CM50" s="283"/>
      <c r="CN50" s="283"/>
    </row>
    <row r="51" spans="1:92" ht="14.25" hidden="1" customHeight="1" x14ac:dyDescent="0.2">
      <c r="A51" s="3"/>
      <c r="B51" s="3"/>
      <c r="C51" s="3"/>
      <c r="D51" s="224">
        <v>0.65</v>
      </c>
      <c r="E51" s="183">
        <v>13526.26</v>
      </c>
      <c r="F51" s="3"/>
      <c r="G51" s="224"/>
      <c r="H51" s="18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282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  <c r="CK51" s="283"/>
      <c r="CL51" s="283"/>
      <c r="CM51" s="283"/>
      <c r="CN51" s="283"/>
    </row>
    <row r="52" spans="1:92" ht="14.25" hidden="1" customHeight="1" x14ac:dyDescent="0.2">
      <c r="A52" s="3"/>
      <c r="B52" s="3"/>
      <c r="C52" s="3"/>
      <c r="D52" s="224">
        <v>0.66</v>
      </c>
      <c r="E52" s="183">
        <v>14532.9</v>
      </c>
      <c r="F52" s="3"/>
      <c r="G52" s="224"/>
      <c r="H52" s="18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282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  <c r="CK52" s="283"/>
      <c r="CL52" s="283"/>
      <c r="CM52" s="283"/>
      <c r="CN52" s="283"/>
    </row>
    <row r="53" spans="1:92" ht="14.25" hidden="1" customHeight="1" x14ac:dyDescent="0.2">
      <c r="A53" s="3"/>
      <c r="B53" s="3"/>
      <c r="C53" s="3"/>
      <c r="D53" s="224">
        <v>0.67</v>
      </c>
      <c r="E53" s="183">
        <v>15693.18</v>
      </c>
      <c r="F53" s="3"/>
      <c r="G53" s="224"/>
      <c r="H53" s="18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282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  <c r="CK53" s="283"/>
      <c r="CL53" s="283"/>
      <c r="CM53" s="283"/>
      <c r="CN53" s="283"/>
    </row>
    <row r="54" spans="1:92" ht="14.25" hidden="1" customHeight="1" x14ac:dyDescent="0.2">
      <c r="A54" s="3"/>
      <c r="B54" s="3"/>
      <c r="C54" s="3"/>
      <c r="D54" s="224">
        <v>0.68</v>
      </c>
      <c r="E54" s="183">
        <v>17060.96</v>
      </c>
      <c r="F54" s="3"/>
      <c r="G54" s="224"/>
      <c r="H54" s="18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282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  <c r="CK54" s="283"/>
      <c r="CL54" s="283"/>
      <c r="CM54" s="283"/>
      <c r="CN54" s="283"/>
    </row>
    <row r="55" spans="1:92" ht="14.25" hidden="1" customHeight="1" x14ac:dyDescent="0.2">
      <c r="A55" s="3"/>
      <c r="B55" s="3"/>
      <c r="C55" s="3"/>
      <c r="D55" s="224">
        <v>0.69</v>
      </c>
      <c r="E55" s="183">
        <v>18697.349999999999</v>
      </c>
      <c r="F55" s="3"/>
      <c r="G55" s="224"/>
      <c r="H55" s="18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282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  <c r="CK55" s="283"/>
      <c r="CL55" s="283"/>
      <c r="CM55" s="283"/>
      <c r="CN55" s="283"/>
    </row>
    <row r="56" spans="1:92" ht="14.25" hidden="1" customHeight="1" x14ac:dyDescent="0.2">
      <c r="A56" s="3"/>
      <c r="B56" s="3"/>
      <c r="C56" s="3"/>
      <c r="D56" s="224">
        <v>0.7</v>
      </c>
      <c r="E56" s="183">
        <v>20690</v>
      </c>
      <c r="F56" s="3"/>
      <c r="G56" s="224"/>
      <c r="H56" s="18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282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  <c r="CK56" s="283"/>
      <c r="CL56" s="283"/>
      <c r="CM56" s="283"/>
      <c r="CN56" s="283"/>
    </row>
    <row r="57" spans="1:92" ht="14.25" hidden="1" customHeight="1" x14ac:dyDescent="0.2">
      <c r="A57" s="3"/>
      <c r="B57" s="3"/>
      <c r="C57" s="3"/>
      <c r="D57" s="224">
        <v>0.71</v>
      </c>
      <c r="E57" s="183">
        <v>23169.42</v>
      </c>
      <c r="F57" s="3"/>
      <c r="G57" s="224"/>
      <c r="H57" s="18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282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  <c r="CK57" s="283"/>
      <c r="CL57" s="283"/>
      <c r="CM57" s="283"/>
      <c r="CN57" s="283"/>
    </row>
    <row r="58" spans="1:92" ht="14.25" hidden="1" customHeight="1" x14ac:dyDescent="0.2">
      <c r="A58" s="3"/>
      <c r="B58" s="3"/>
      <c r="C58" s="35"/>
      <c r="D58" s="224">
        <v>0.72</v>
      </c>
      <c r="E58" s="183">
        <v>26338.7</v>
      </c>
      <c r="F58" s="3"/>
      <c r="G58" s="224"/>
      <c r="H58" s="18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282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  <c r="CK58" s="283"/>
      <c r="CL58" s="283"/>
      <c r="CM58" s="283"/>
      <c r="CN58" s="283"/>
    </row>
    <row r="59" spans="1:92" ht="14.25" hidden="1" customHeight="1" x14ac:dyDescent="0.2">
      <c r="A59" s="3"/>
      <c r="B59" s="3"/>
      <c r="C59" s="3"/>
      <c r="D59" s="224">
        <v>0.73</v>
      </c>
      <c r="E59" s="183">
        <v>30532.13</v>
      </c>
      <c r="F59" s="3"/>
      <c r="G59" s="224"/>
      <c r="H59" s="18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282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  <c r="CK59" s="283"/>
      <c r="CL59" s="283"/>
      <c r="CM59" s="283"/>
      <c r="CN59" s="283"/>
    </row>
    <row r="60" spans="1:92" ht="14.25" hidden="1" customHeight="1" x14ac:dyDescent="0.2">
      <c r="A60" s="3"/>
      <c r="B60" s="3"/>
      <c r="C60" s="3"/>
      <c r="D60" s="224">
        <v>0.74</v>
      </c>
      <c r="E60" s="183">
        <v>36341.67</v>
      </c>
      <c r="F60" s="3"/>
      <c r="G60" s="224"/>
      <c r="H60" s="18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282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  <c r="CK60" s="283"/>
      <c r="CL60" s="283"/>
      <c r="CM60" s="283"/>
      <c r="CN60" s="283"/>
    </row>
    <row r="61" spans="1:92" ht="14.25" hidden="1" customHeight="1" x14ac:dyDescent="0.2">
      <c r="A61" s="3"/>
      <c r="B61" s="3"/>
      <c r="C61" s="3"/>
      <c r="D61" s="224">
        <v>0.75</v>
      </c>
      <c r="E61" s="183">
        <v>44924.28</v>
      </c>
      <c r="F61" s="3"/>
      <c r="G61" s="224"/>
      <c r="H61" s="18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282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  <c r="CK61" s="283"/>
      <c r="CL61" s="283"/>
      <c r="CM61" s="283"/>
      <c r="CN61" s="283"/>
    </row>
    <row r="62" spans="1:92" ht="14.25" hidden="1" customHeight="1" x14ac:dyDescent="0.2">
      <c r="A62" s="3"/>
      <c r="B62" s="3"/>
      <c r="C62" s="3"/>
      <c r="D62" s="224">
        <v>0.76</v>
      </c>
      <c r="E62" s="183">
        <v>58887.48</v>
      </c>
      <c r="F62" s="3"/>
      <c r="G62" s="224"/>
      <c r="H62" s="18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282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  <c r="CK62" s="283"/>
      <c r="CL62" s="283"/>
      <c r="CM62" s="283"/>
      <c r="CN62" s="283"/>
    </row>
    <row r="63" spans="1:92" ht="14.25" hidden="1" customHeight="1" x14ac:dyDescent="0.2">
      <c r="A63" s="3"/>
      <c r="B63" s="3"/>
      <c r="C63" s="3"/>
      <c r="D63" s="224">
        <v>0.77</v>
      </c>
      <c r="E63" s="183">
        <v>85600.25</v>
      </c>
      <c r="F63" s="3"/>
      <c r="G63" s="224"/>
      <c r="H63" s="18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282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  <c r="CK63" s="283"/>
      <c r="CL63" s="283"/>
      <c r="CM63" s="283"/>
      <c r="CN63" s="283"/>
    </row>
    <row r="64" spans="1:92" ht="14.25" hidden="1" customHeight="1" x14ac:dyDescent="0.2">
      <c r="A64" s="3"/>
      <c r="B64" s="3"/>
      <c r="C64" s="3"/>
      <c r="D64" s="224">
        <v>0.78</v>
      </c>
      <c r="E64" s="183">
        <v>157190.89000000001</v>
      </c>
      <c r="F64" s="3"/>
      <c r="G64" s="224"/>
      <c r="H64" s="18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282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  <c r="CK64" s="283"/>
      <c r="CL64" s="283"/>
      <c r="CM64" s="283"/>
      <c r="CN64" s="283"/>
    </row>
    <row r="65" spans="1:92" ht="14.25" hidden="1" customHeight="1" x14ac:dyDescent="0.2">
      <c r="A65" s="3"/>
      <c r="B65" s="3"/>
      <c r="C65" s="3"/>
      <c r="D65" s="224">
        <v>0.79</v>
      </c>
      <c r="E65" s="183">
        <v>980407.11</v>
      </c>
      <c r="F65" s="3"/>
      <c r="G65" s="224"/>
      <c r="H65" s="18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282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3"/>
      <c r="CN65" s="283"/>
    </row>
    <row r="66" spans="1:92" ht="14.25" hidden="1" customHeight="1" x14ac:dyDescent="0.2">
      <c r="A66" s="3"/>
      <c r="B66" s="3"/>
      <c r="C66" s="3"/>
      <c r="D66" s="52">
        <v>0.8</v>
      </c>
      <c r="E66" s="225">
        <v>-230260.23</v>
      </c>
      <c r="F66" s="3"/>
      <c r="G66" s="52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282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  <c r="CK66" s="283"/>
      <c r="CL66" s="283"/>
      <c r="CM66" s="283"/>
      <c r="CN66" s="283"/>
    </row>
    <row r="67" spans="1:92" ht="14.25" hidden="1" customHeight="1" x14ac:dyDescent="0.2">
      <c r="A67" s="3"/>
      <c r="B67" s="3"/>
      <c r="C67" s="3"/>
      <c r="D67" s="52">
        <v>0.81</v>
      </c>
      <c r="E67" s="225">
        <v>-102806.63</v>
      </c>
      <c r="F67" s="3"/>
      <c r="G67" s="52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282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  <c r="CK67" s="283"/>
      <c r="CL67" s="283"/>
      <c r="CM67" s="283"/>
      <c r="CN67" s="283"/>
    </row>
    <row r="68" spans="1:92" ht="14.25" hidden="1" customHeight="1" x14ac:dyDescent="0.2">
      <c r="A68" s="3"/>
      <c r="B68" s="3"/>
      <c r="C68" s="3"/>
      <c r="D68" s="52">
        <v>0.82</v>
      </c>
      <c r="E68" s="225">
        <v>-66083.92</v>
      </c>
      <c r="F68" s="3"/>
      <c r="G68" s="52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282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  <c r="CK68" s="283"/>
      <c r="CL68" s="283"/>
      <c r="CM68" s="283"/>
      <c r="CN68" s="283"/>
    </row>
    <row r="69" spans="1:92" ht="14.25" hidden="1" customHeight="1" x14ac:dyDescent="0.2">
      <c r="A69" s="3"/>
      <c r="B69" s="3"/>
      <c r="C69" s="3"/>
      <c r="D69" s="52">
        <v>0.83</v>
      </c>
      <c r="E69" s="225">
        <v>-48641.11</v>
      </c>
      <c r="F69" s="3"/>
      <c r="G69" s="52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282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  <c r="CK69" s="283"/>
      <c r="CL69" s="283"/>
      <c r="CM69" s="283"/>
      <c r="CN69" s="283"/>
    </row>
    <row r="70" spans="1:92" ht="14.25" hidden="1" customHeight="1" x14ac:dyDescent="0.2">
      <c r="A70" s="3"/>
      <c r="B70" s="3"/>
      <c r="C70" s="3"/>
      <c r="D70" s="52">
        <v>0.84</v>
      </c>
      <c r="E70" s="225">
        <v>-38452.080000000002</v>
      </c>
      <c r="F70" s="3"/>
      <c r="G70" s="52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282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  <c r="CK70" s="283"/>
      <c r="CL70" s="283"/>
      <c r="CM70" s="283"/>
      <c r="CN70" s="283"/>
    </row>
    <row r="71" spans="1:92" ht="14.25" hidden="1" customHeight="1" x14ac:dyDescent="0.2">
      <c r="A71" s="3"/>
      <c r="B71" s="3"/>
      <c r="C71" s="3"/>
      <c r="D71" s="52">
        <v>0.85</v>
      </c>
      <c r="E71" s="225">
        <v>-31771</v>
      </c>
      <c r="F71" s="3"/>
      <c r="G71" s="52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282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  <c r="CK71" s="283"/>
      <c r="CL71" s="283"/>
      <c r="CM71" s="283"/>
      <c r="CN71" s="283"/>
    </row>
    <row r="72" spans="1:92" ht="14.25" hidden="1" customHeight="1" x14ac:dyDescent="0.2">
      <c r="A72" s="3"/>
      <c r="B72" s="3"/>
      <c r="C72" s="3"/>
      <c r="D72" s="52">
        <v>0.86</v>
      </c>
      <c r="E72" s="225">
        <v>-27052.42</v>
      </c>
      <c r="F72" s="3"/>
      <c r="G72" s="52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282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  <c r="CK72" s="283"/>
      <c r="CL72" s="283"/>
      <c r="CM72" s="283"/>
      <c r="CN72" s="283"/>
    </row>
    <row r="73" spans="1:92" ht="14.25" hidden="1" customHeight="1" x14ac:dyDescent="0.2">
      <c r="A73" s="3"/>
      <c r="B73" s="3"/>
      <c r="C73" s="3"/>
      <c r="D73" s="52">
        <v>0.87</v>
      </c>
      <c r="E73" s="225">
        <v>-23542.43</v>
      </c>
      <c r="F73" s="3"/>
      <c r="G73" s="52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282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  <c r="CK73" s="283"/>
      <c r="CL73" s="283"/>
      <c r="CM73" s="283"/>
      <c r="CN73" s="283"/>
    </row>
    <row r="74" spans="1:92" ht="14.25" hidden="1" customHeight="1" x14ac:dyDescent="0.2">
      <c r="A74" s="3"/>
      <c r="B74" s="3"/>
      <c r="C74" s="3"/>
      <c r="D74" s="88">
        <v>0.88</v>
      </c>
      <c r="E74" s="183">
        <v>-20829.46</v>
      </c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282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  <c r="CK74" s="283"/>
      <c r="CL74" s="283"/>
      <c r="CM74" s="283"/>
      <c r="CN74" s="283"/>
    </row>
    <row r="75" spans="1:92" ht="14.25" hidden="1" customHeight="1" x14ac:dyDescent="0.2">
      <c r="A75" s="3"/>
      <c r="B75" s="3"/>
      <c r="C75" s="3"/>
      <c r="D75" s="88"/>
      <c r="E75" s="18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282"/>
      <c r="AH75" s="283"/>
      <c r="AI75" s="283"/>
      <c r="AJ75" s="283"/>
      <c r="AK75" s="283"/>
      <c r="AL75" s="283"/>
      <c r="AM75" s="283"/>
      <c r="AN75" s="283"/>
      <c r="AO75" s="283"/>
      <c r="AP75" s="283"/>
      <c r="AQ75" s="283"/>
      <c r="AR75" s="283"/>
      <c r="AS75" s="283"/>
      <c r="AT75" s="283"/>
      <c r="AU75" s="283"/>
      <c r="AV75" s="283"/>
      <c r="AW75" s="283"/>
      <c r="AX75" s="283"/>
      <c r="AY75" s="283"/>
      <c r="AZ75" s="283"/>
      <c r="BA75" s="283"/>
      <c r="BB75" s="283"/>
      <c r="BC75" s="283"/>
      <c r="BD75" s="283"/>
      <c r="BE75" s="283"/>
      <c r="BF75" s="283"/>
      <c r="BG75" s="283"/>
      <c r="BH75" s="283"/>
      <c r="BI75" s="283"/>
      <c r="BJ75" s="283"/>
      <c r="BK75" s="283"/>
      <c r="BL75" s="283"/>
      <c r="BM75" s="283"/>
      <c r="BN75" s="283"/>
      <c r="BO75" s="283"/>
      <c r="BP75" s="283"/>
      <c r="BQ75" s="283"/>
      <c r="BR75" s="283"/>
      <c r="BS75" s="283"/>
      <c r="BT75" s="283"/>
      <c r="BU75" s="283"/>
      <c r="BV75" s="283"/>
      <c r="BW75" s="283"/>
      <c r="BX75" s="283"/>
      <c r="BY75" s="283"/>
      <c r="BZ75" s="283"/>
      <c r="CA75" s="283"/>
      <c r="CB75" s="283"/>
      <c r="CC75" s="283"/>
      <c r="CD75" s="283"/>
      <c r="CE75" s="283"/>
      <c r="CF75" s="283"/>
      <c r="CG75" s="283"/>
      <c r="CH75" s="283"/>
      <c r="CI75" s="283"/>
      <c r="CJ75" s="283"/>
      <c r="CK75" s="283"/>
      <c r="CL75" s="283"/>
      <c r="CM75" s="283"/>
      <c r="CN75" s="283"/>
    </row>
    <row r="76" spans="1:92" ht="14.25" hidden="1" customHeight="1" x14ac:dyDescent="0.2">
      <c r="A76" s="3"/>
      <c r="B76" s="3"/>
      <c r="C76" s="3"/>
      <c r="D76" s="226" t="s">
        <v>377</v>
      </c>
      <c r="E76" s="18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282"/>
      <c r="AH76" s="283"/>
      <c r="AI76" s="283"/>
      <c r="AJ76" s="283"/>
      <c r="AK76" s="283"/>
      <c r="AL76" s="283"/>
      <c r="AM76" s="283"/>
      <c r="AN76" s="283"/>
      <c r="AO76" s="283"/>
      <c r="AP76" s="283"/>
      <c r="AQ76" s="283"/>
      <c r="AR76" s="283"/>
      <c r="AS76" s="283"/>
      <c r="AT76" s="283"/>
      <c r="AU76" s="283"/>
      <c r="AV76" s="283"/>
      <c r="AW76" s="283"/>
      <c r="AX76" s="283"/>
      <c r="AY76" s="283"/>
      <c r="AZ76" s="283"/>
      <c r="BA76" s="283"/>
      <c r="BB76" s="283"/>
      <c r="BC76" s="283"/>
      <c r="BD76" s="283"/>
      <c r="BE76" s="283"/>
      <c r="BF76" s="283"/>
      <c r="BG76" s="283"/>
      <c r="BH76" s="283"/>
      <c r="BI76" s="283"/>
      <c r="BJ76" s="283"/>
      <c r="BK76" s="283"/>
      <c r="BL76" s="283"/>
      <c r="BM76" s="283"/>
      <c r="BN76" s="283"/>
      <c r="BO76" s="283"/>
      <c r="BP76" s="283"/>
      <c r="BQ76" s="283"/>
      <c r="BR76" s="283"/>
      <c r="BS76" s="283"/>
      <c r="BT76" s="283"/>
      <c r="BU76" s="283"/>
      <c r="BV76" s="283"/>
      <c r="BW76" s="283"/>
      <c r="BX76" s="283"/>
      <c r="BY76" s="283"/>
      <c r="BZ76" s="283"/>
      <c r="CA76" s="283"/>
      <c r="CB76" s="283"/>
      <c r="CC76" s="283"/>
      <c r="CD76" s="283"/>
      <c r="CE76" s="283"/>
      <c r="CF76" s="283"/>
      <c r="CG76" s="283"/>
      <c r="CH76" s="283"/>
      <c r="CI76" s="283"/>
      <c r="CJ76" s="283"/>
      <c r="CK76" s="283"/>
      <c r="CL76" s="283"/>
      <c r="CM76" s="283"/>
      <c r="CN76" s="283"/>
    </row>
    <row r="77" spans="1:92" ht="14.25" hidden="1" customHeight="1" x14ac:dyDescent="0.2">
      <c r="A77" s="3"/>
      <c r="B77" s="3"/>
      <c r="C77" s="3"/>
      <c r="D77" s="88" t="s">
        <v>378</v>
      </c>
      <c r="E77" s="18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282"/>
      <c r="AH77" s="283"/>
      <c r="AI77" s="283"/>
      <c r="AJ77" s="283"/>
      <c r="AK77" s="283"/>
      <c r="AL77" s="283"/>
      <c r="AM77" s="283"/>
      <c r="AN77" s="283"/>
      <c r="AO77" s="283"/>
      <c r="AP77" s="283"/>
      <c r="AQ77" s="283"/>
      <c r="AR77" s="283"/>
      <c r="AS77" s="283"/>
      <c r="AT77" s="283"/>
      <c r="AU77" s="283"/>
      <c r="AV77" s="283"/>
      <c r="AW77" s="283"/>
      <c r="AX77" s="283"/>
      <c r="AY77" s="283"/>
      <c r="AZ77" s="283"/>
      <c r="BA77" s="283"/>
      <c r="BB77" s="283"/>
      <c r="BC77" s="283"/>
      <c r="BD77" s="283"/>
      <c r="BE77" s="283"/>
      <c r="BF77" s="283"/>
      <c r="BG77" s="283"/>
      <c r="BH77" s="283"/>
      <c r="BI77" s="283"/>
      <c r="BJ77" s="283"/>
      <c r="BK77" s="283"/>
      <c r="BL77" s="283"/>
      <c r="BM77" s="283"/>
      <c r="BN77" s="283"/>
      <c r="BO77" s="283"/>
      <c r="BP77" s="283"/>
      <c r="BQ77" s="283"/>
      <c r="BR77" s="283"/>
      <c r="BS77" s="283"/>
      <c r="BT77" s="283"/>
      <c r="BU77" s="283"/>
      <c r="BV77" s="283"/>
      <c r="BW77" s="283"/>
      <c r="BX77" s="283"/>
      <c r="BY77" s="283"/>
      <c r="BZ77" s="283"/>
      <c r="CA77" s="283"/>
      <c r="CB77" s="283"/>
      <c r="CC77" s="283"/>
      <c r="CD77" s="283"/>
      <c r="CE77" s="283"/>
      <c r="CF77" s="283"/>
      <c r="CG77" s="283"/>
      <c r="CH77" s="283"/>
      <c r="CI77" s="283"/>
      <c r="CJ77" s="283"/>
      <c r="CK77" s="283"/>
      <c r="CL77" s="283"/>
      <c r="CM77" s="283"/>
      <c r="CN77" s="283"/>
    </row>
    <row r="78" spans="1:92" ht="14.25" hidden="1" customHeight="1" x14ac:dyDescent="0.2">
      <c r="A78" s="3"/>
      <c r="B78" s="3"/>
      <c r="C78" s="3"/>
      <c r="D78" s="88">
        <v>0.5</v>
      </c>
      <c r="E78" s="183">
        <v>-1339019</v>
      </c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282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  <c r="CK78" s="283"/>
      <c r="CL78" s="283"/>
      <c r="CM78" s="283"/>
      <c r="CN78" s="283"/>
    </row>
    <row r="79" spans="1:92" ht="14.25" hidden="1" customHeight="1" x14ac:dyDescent="0.2">
      <c r="A79" s="3"/>
      <c r="B79" s="3"/>
      <c r="C79" s="3"/>
      <c r="D79" s="88">
        <v>0.55000000000000004</v>
      </c>
      <c r="E79" s="183">
        <v>2061549</v>
      </c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282"/>
      <c r="AH79" s="283"/>
      <c r="AI79" s="283"/>
      <c r="AJ79" s="283"/>
      <c r="AK79" s="283"/>
      <c r="AL79" s="283"/>
      <c r="AM79" s="283"/>
      <c r="AN79" s="283"/>
      <c r="AO79" s="283"/>
      <c r="AP79" s="283"/>
      <c r="AQ79" s="283"/>
      <c r="AR79" s="283"/>
      <c r="AS79" s="283"/>
      <c r="AT79" s="283"/>
      <c r="AU79" s="283"/>
      <c r="AV79" s="283"/>
      <c r="AW79" s="283"/>
      <c r="AX79" s="283"/>
      <c r="AY79" s="283"/>
      <c r="AZ79" s="283"/>
      <c r="BA79" s="283"/>
      <c r="BB79" s="283"/>
      <c r="BC79" s="283"/>
      <c r="BD79" s="283"/>
      <c r="BE79" s="283"/>
      <c r="BF79" s="283"/>
      <c r="BG79" s="283"/>
      <c r="BH79" s="283"/>
      <c r="BI79" s="283"/>
      <c r="BJ79" s="283"/>
      <c r="BK79" s="283"/>
      <c r="BL79" s="283"/>
      <c r="BM79" s="283"/>
      <c r="BN79" s="283"/>
      <c r="BO79" s="283"/>
      <c r="BP79" s="283"/>
      <c r="BQ79" s="283"/>
      <c r="BR79" s="283"/>
      <c r="BS79" s="283"/>
      <c r="BT79" s="283"/>
      <c r="BU79" s="283"/>
      <c r="BV79" s="283"/>
      <c r="BW79" s="283"/>
      <c r="BX79" s="283"/>
      <c r="BY79" s="283"/>
      <c r="BZ79" s="283"/>
      <c r="CA79" s="283"/>
      <c r="CB79" s="283"/>
      <c r="CC79" s="283"/>
      <c r="CD79" s="283"/>
      <c r="CE79" s="283"/>
      <c r="CF79" s="283"/>
      <c r="CG79" s="283"/>
      <c r="CH79" s="283"/>
      <c r="CI79" s="283"/>
      <c r="CJ79" s="283"/>
      <c r="CK79" s="283"/>
      <c r="CL79" s="283"/>
      <c r="CM79" s="283"/>
      <c r="CN79" s="283"/>
    </row>
    <row r="80" spans="1:92" ht="14.25" hidden="1" customHeight="1" x14ac:dyDescent="0.2">
      <c r="A80" s="3"/>
      <c r="B80" s="3"/>
      <c r="C80" s="3"/>
      <c r="D80" s="88">
        <v>0.56000000000000005</v>
      </c>
      <c r="E80" s="183">
        <v>1367148</v>
      </c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282"/>
      <c r="AH80" s="283"/>
      <c r="AI80" s="283"/>
      <c r="AJ80" s="283"/>
      <c r="AK80" s="283"/>
      <c r="AL80" s="283"/>
      <c r="AM80" s="283"/>
      <c r="AN80" s="283"/>
      <c r="AO80" s="283"/>
      <c r="AP80" s="283"/>
      <c r="AQ80" s="283"/>
      <c r="AR80" s="283"/>
      <c r="AS80" s="283"/>
      <c r="AT80" s="283"/>
      <c r="AU80" s="283"/>
      <c r="AV80" s="283"/>
      <c r="AW80" s="283"/>
      <c r="AX80" s="283"/>
      <c r="AY80" s="283"/>
      <c r="AZ80" s="283"/>
      <c r="BA80" s="283"/>
      <c r="BB80" s="283"/>
      <c r="BC80" s="283"/>
      <c r="BD80" s="283"/>
      <c r="BE80" s="283"/>
      <c r="BF80" s="283"/>
      <c r="BG80" s="283"/>
      <c r="BH80" s="283"/>
      <c r="BI80" s="283"/>
      <c r="BJ80" s="283"/>
      <c r="BK80" s="283"/>
      <c r="BL80" s="283"/>
      <c r="BM80" s="283"/>
      <c r="BN80" s="283"/>
      <c r="BO80" s="283"/>
      <c r="BP80" s="283"/>
      <c r="BQ80" s="283"/>
      <c r="BR80" s="283"/>
      <c r="BS80" s="283"/>
      <c r="BT80" s="283"/>
      <c r="BU80" s="283"/>
      <c r="BV80" s="283"/>
      <c r="BW80" s="283"/>
      <c r="BX80" s="283"/>
      <c r="BY80" s="283"/>
      <c r="BZ80" s="283"/>
      <c r="CA80" s="283"/>
      <c r="CB80" s="283"/>
      <c r="CC80" s="283"/>
      <c r="CD80" s="283"/>
      <c r="CE80" s="283"/>
      <c r="CF80" s="283"/>
      <c r="CG80" s="283"/>
      <c r="CH80" s="283"/>
      <c r="CI80" s="283"/>
      <c r="CJ80" s="283"/>
      <c r="CK80" s="283"/>
      <c r="CL80" s="283"/>
      <c r="CM80" s="283"/>
      <c r="CN80" s="283"/>
    </row>
    <row r="81" spans="1:92" ht="14.25" hidden="1" customHeight="1" x14ac:dyDescent="0.2">
      <c r="A81" s="3"/>
      <c r="B81" s="3"/>
      <c r="C81" s="3"/>
      <c r="D81" s="88">
        <v>0.56999999999999995</v>
      </c>
      <c r="E81" s="183">
        <v>1022676</v>
      </c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282"/>
      <c r="AH81" s="283"/>
      <c r="AI81" s="283"/>
      <c r="AJ81" s="283"/>
      <c r="AK81" s="283"/>
      <c r="AL81" s="283"/>
      <c r="AM81" s="283"/>
      <c r="AN81" s="283"/>
      <c r="AO81" s="283"/>
      <c r="AP81" s="283"/>
      <c r="AQ81" s="283"/>
      <c r="AR81" s="283"/>
      <c r="AS81" s="283"/>
      <c r="AT81" s="283"/>
      <c r="AU81" s="283"/>
      <c r="AV81" s="283"/>
      <c r="AW81" s="283"/>
      <c r="AX81" s="283"/>
      <c r="AY81" s="283"/>
      <c r="AZ81" s="283"/>
      <c r="BA81" s="283"/>
      <c r="BB81" s="283"/>
      <c r="BC81" s="283"/>
      <c r="BD81" s="283"/>
      <c r="BE81" s="283"/>
      <c r="BF81" s="283"/>
      <c r="BG81" s="283"/>
      <c r="BH81" s="283"/>
      <c r="BI81" s="283"/>
      <c r="BJ81" s="283"/>
      <c r="BK81" s="283"/>
      <c r="BL81" s="283"/>
      <c r="BM81" s="283"/>
      <c r="BN81" s="283"/>
      <c r="BO81" s="283"/>
      <c r="BP81" s="283"/>
      <c r="BQ81" s="283"/>
      <c r="BR81" s="283"/>
      <c r="BS81" s="283"/>
      <c r="BT81" s="283"/>
      <c r="BU81" s="283"/>
      <c r="BV81" s="283"/>
      <c r="BW81" s="283"/>
      <c r="BX81" s="283"/>
      <c r="BY81" s="283"/>
      <c r="BZ81" s="283"/>
      <c r="CA81" s="283"/>
      <c r="CB81" s="283"/>
      <c r="CC81" s="283"/>
      <c r="CD81" s="283"/>
      <c r="CE81" s="283"/>
      <c r="CF81" s="283"/>
      <c r="CG81" s="283"/>
      <c r="CH81" s="283"/>
      <c r="CI81" s="283"/>
      <c r="CJ81" s="283"/>
      <c r="CK81" s="283"/>
      <c r="CL81" s="283"/>
      <c r="CM81" s="283"/>
      <c r="CN81" s="283"/>
    </row>
    <row r="82" spans="1:92" ht="14.25" hidden="1" customHeight="1" x14ac:dyDescent="0.2">
      <c r="A82" s="3"/>
      <c r="B82" s="3"/>
      <c r="C82" s="3"/>
      <c r="D82" s="88">
        <v>0.57999999999999996</v>
      </c>
      <c r="E82" s="183">
        <v>816857</v>
      </c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282"/>
      <c r="AH82" s="283"/>
      <c r="AI82" s="283"/>
      <c r="AJ82" s="283"/>
      <c r="AK82" s="283"/>
      <c r="AL82" s="283"/>
      <c r="AM82" s="283"/>
      <c r="AN82" s="283"/>
      <c r="AO82" s="283"/>
      <c r="AP82" s="283"/>
      <c r="AQ82" s="283"/>
      <c r="AR82" s="283"/>
      <c r="AS82" s="283"/>
      <c r="AT82" s="283"/>
      <c r="AU82" s="283"/>
      <c r="AV82" s="283"/>
      <c r="AW82" s="283"/>
      <c r="AX82" s="283"/>
      <c r="AY82" s="283"/>
      <c r="AZ82" s="283"/>
      <c r="BA82" s="283"/>
      <c r="BB82" s="283"/>
      <c r="BC82" s="283"/>
      <c r="BD82" s="283"/>
      <c r="BE82" s="283"/>
      <c r="BF82" s="283"/>
      <c r="BG82" s="283"/>
      <c r="BH82" s="283"/>
      <c r="BI82" s="283"/>
      <c r="BJ82" s="283"/>
      <c r="BK82" s="283"/>
      <c r="BL82" s="283"/>
      <c r="BM82" s="283"/>
      <c r="BN82" s="283"/>
      <c r="BO82" s="283"/>
      <c r="BP82" s="283"/>
      <c r="BQ82" s="283"/>
      <c r="BR82" s="283"/>
      <c r="BS82" s="283"/>
      <c r="BT82" s="283"/>
      <c r="BU82" s="283"/>
      <c r="BV82" s="283"/>
      <c r="BW82" s="283"/>
      <c r="BX82" s="283"/>
      <c r="BY82" s="283"/>
      <c r="BZ82" s="283"/>
      <c r="CA82" s="283"/>
      <c r="CB82" s="283"/>
      <c r="CC82" s="283"/>
      <c r="CD82" s="283"/>
      <c r="CE82" s="283"/>
      <c r="CF82" s="283"/>
      <c r="CG82" s="283"/>
      <c r="CH82" s="283"/>
      <c r="CI82" s="283"/>
      <c r="CJ82" s="283"/>
      <c r="CK82" s="283"/>
      <c r="CL82" s="283"/>
      <c r="CM82" s="283"/>
      <c r="CN82" s="283"/>
    </row>
    <row r="83" spans="1:92" ht="14.25" hidden="1" customHeight="1" x14ac:dyDescent="0.2">
      <c r="A83" s="3"/>
      <c r="B83" s="3"/>
      <c r="C83" s="3"/>
      <c r="D83" s="88">
        <v>0.59</v>
      </c>
      <c r="E83" s="183">
        <v>680003</v>
      </c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282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  <c r="CK83" s="283"/>
      <c r="CL83" s="283"/>
      <c r="CM83" s="283"/>
      <c r="CN83" s="283"/>
    </row>
    <row r="84" spans="1:92" ht="14.25" hidden="1" customHeight="1" x14ac:dyDescent="0.2">
      <c r="A84" s="3"/>
      <c r="B84" s="3"/>
      <c r="C84" s="3"/>
      <c r="D84" s="88">
        <v>0.6</v>
      </c>
      <c r="E84" s="183">
        <v>582425</v>
      </c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282"/>
      <c r="AH84" s="283"/>
      <c r="AI84" s="283"/>
      <c r="AJ84" s="283"/>
      <c r="AK84" s="283"/>
      <c r="AL84" s="283"/>
      <c r="AM84" s="283"/>
      <c r="AN84" s="283"/>
      <c r="AO84" s="283"/>
      <c r="AP84" s="283"/>
      <c r="AQ84" s="283"/>
      <c r="AR84" s="283"/>
      <c r="AS84" s="283"/>
      <c r="AT84" s="283"/>
      <c r="AU84" s="283"/>
      <c r="AV84" s="283"/>
      <c r="AW84" s="283"/>
      <c r="AX84" s="283"/>
      <c r="AY84" s="283"/>
      <c r="AZ84" s="283"/>
      <c r="BA84" s="283"/>
      <c r="BB84" s="283"/>
      <c r="BC84" s="283"/>
      <c r="BD84" s="283"/>
      <c r="BE84" s="283"/>
      <c r="BF84" s="283"/>
      <c r="BG84" s="283"/>
      <c r="BH84" s="283"/>
      <c r="BI84" s="283"/>
      <c r="BJ84" s="283"/>
      <c r="BK84" s="283"/>
      <c r="BL84" s="283"/>
      <c r="BM84" s="283"/>
      <c r="BN84" s="283"/>
      <c r="BO84" s="283"/>
      <c r="BP84" s="283"/>
      <c r="BQ84" s="283"/>
      <c r="BR84" s="283"/>
      <c r="BS84" s="283"/>
      <c r="BT84" s="283"/>
      <c r="BU84" s="283"/>
      <c r="BV84" s="283"/>
      <c r="BW84" s="283"/>
      <c r="BX84" s="283"/>
      <c r="BY84" s="283"/>
      <c r="BZ84" s="283"/>
      <c r="CA84" s="283"/>
      <c r="CB84" s="283"/>
      <c r="CC84" s="283"/>
      <c r="CD84" s="283"/>
      <c r="CE84" s="283"/>
      <c r="CF84" s="283"/>
      <c r="CG84" s="283"/>
      <c r="CH84" s="283"/>
      <c r="CI84" s="283"/>
      <c r="CJ84" s="283"/>
      <c r="CK84" s="283"/>
      <c r="CL84" s="283"/>
      <c r="CM84" s="283"/>
      <c r="CN84" s="283"/>
    </row>
    <row r="85" spans="1:92" ht="14.25" hidden="1" customHeight="1" x14ac:dyDescent="0.2">
      <c r="A85" s="3"/>
      <c r="B85" s="3"/>
      <c r="C85" s="3"/>
      <c r="D85" s="88">
        <v>0.61</v>
      </c>
      <c r="E85" s="183">
        <v>509337</v>
      </c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282"/>
      <c r="AH85" s="283"/>
      <c r="AI85" s="283"/>
      <c r="AJ85" s="283"/>
      <c r="AK85" s="283"/>
      <c r="AL85" s="283"/>
      <c r="AM85" s="283"/>
      <c r="AN85" s="283"/>
      <c r="AO85" s="283"/>
      <c r="AP85" s="283"/>
      <c r="AQ85" s="283"/>
      <c r="AR85" s="283"/>
      <c r="AS85" s="283"/>
      <c r="AT85" s="283"/>
      <c r="AU85" s="283"/>
      <c r="AV85" s="283"/>
      <c r="AW85" s="283"/>
      <c r="AX85" s="283"/>
      <c r="AY85" s="283"/>
      <c r="AZ85" s="283"/>
      <c r="BA85" s="283"/>
      <c r="BB85" s="283"/>
      <c r="BC85" s="283"/>
      <c r="BD85" s="283"/>
      <c r="BE85" s="283"/>
      <c r="BF85" s="283"/>
      <c r="BG85" s="283"/>
      <c r="BH85" s="283"/>
      <c r="BI85" s="283"/>
      <c r="BJ85" s="283"/>
      <c r="BK85" s="283"/>
      <c r="BL85" s="283"/>
      <c r="BM85" s="283"/>
      <c r="BN85" s="283"/>
      <c r="BO85" s="283"/>
      <c r="BP85" s="283"/>
      <c r="BQ85" s="283"/>
      <c r="BR85" s="283"/>
      <c r="BS85" s="283"/>
      <c r="BT85" s="283"/>
      <c r="BU85" s="283"/>
      <c r="BV85" s="283"/>
      <c r="BW85" s="283"/>
      <c r="BX85" s="283"/>
      <c r="BY85" s="283"/>
      <c r="BZ85" s="283"/>
      <c r="CA85" s="283"/>
      <c r="CB85" s="283"/>
      <c r="CC85" s="283"/>
      <c r="CD85" s="283"/>
      <c r="CE85" s="283"/>
      <c r="CF85" s="283"/>
      <c r="CG85" s="283"/>
      <c r="CH85" s="283"/>
      <c r="CI85" s="283"/>
      <c r="CJ85" s="283"/>
      <c r="CK85" s="283"/>
      <c r="CL85" s="283"/>
      <c r="CM85" s="283"/>
      <c r="CN85" s="283"/>
    </row>
    <row r="86" spans="1:92" ht="14.25" hidden="1" customHeight="1" x14ac:dyDescent="0.2">
      <c r="A86" s="3"/>
      <c r="B86" s="3"/>
      <c r="C86" s="3"/>
      <c r="D86" s="88">
        <v>0.62</v>
      </c>
      <c r="E86" s="183">
        <v>452547</v>
      </c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282"/>
      <c r="AH86" s="283"/>
      <c r="AI86" s="283"/>
      <c r="AJ86" s="283"/>
      <c r="AK86" s="283"/>
      <c r="AL86" s="283"/>
      <c r="AM86" s="283"/>
      <c r="AN86" s="283"/>
      <c r="AO86" s="283"/>
      <c r="AP86" s="283"/>
      <c r="AQ86" s="283"/>
      <c r="AR86" s="283"/>
      <c r="AS86" s="283"/>
      <c r="AT86" s="283"/>
      <c r="AU86" s="283"/>
      <c r="AV86" s="283"/>
      <c r="AW86" s="283"/>
      <c r="AX86" s="283"/>
      <c r="AY86" s="283"/>
      <c r="AZ86" s="283"/>
      <c r="BA86" s="283"/>
      <c r="BB86" s="283"/>
      <c r="BC86" s="283"/>
      <c r="BD86" s="283"/>
      <c r="BE86" s="283"/>
      <c r="BF86" s="283"/>
      <c r="BG86" s="283"/>
      <c r="BH86" s="283"/>
      <c r="BI86" s="283"/>
      <c r="BJ86" s="283"/>
      <c r="BK86" s="283"/>
      <c r="BL86" s="283"/>
      <c r="BM86" s="283"/>
      <c r="BN86" s="283"/>
      <c r="BO86" s="283"/>
      <c r="BP86" s="283"/>
      <c r="BQ86" s="283"/>
      <c r="BR86" s="283"/>
      <c r="BS86" s="283"/>
      <c r="BT86" s="283"/>
      <c r="BU86" s="283"/>
      <c r="BV86" s="283"/>
      <c r="BW86" s="283"/>
      <c r="BX86" s="283"/>
      <c r="BY86" s="283"/>
      <c r="BZ86" s="283"/>
      <c r="CA86" s="283"/>
      <c r="CB86" s="283"/>
      <c r="CC86" s="283"/>
      <c r="CD86" s="283"/>
      <c r="CE86" s="283"/>
      <c r="CF86" s="283"/>
      <c r="CG86" s="283"/>
      <c r="CH86" s="283"/>
      <c r="CI86" s="283"/>
      <c r="CJ86" s="283"/>
      <c r="CK86" s="283"/>
      <c r="CL86" s="283"/>
      <c r="CM86" s="283"/>
      <c r="CN86" s="283"/>
    </row>
    <row r="87" spans="1:92" ht="14.25" hidden="1" customHeight="1" x14ac:dyDescent="0.2">
      <c r="A87" s="3"/>
      <c r="B87" s="3"/>
      <c r="C87" s="3"/>
      <c r="D87" s="88">
        <v>0.63</v>
      </c>
      <c r="E87" s="183">
        <v>407151</v>
      </c>
      <c r="F87" s="3" t="s">
        <v>379</v>
      </c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282"/>
      <c r="AH87" s="283"/>
      <c r="AI87" s="283"/>
      <c r="AJ87" s="283"/>
      <c r="AK87" s="283"/>
      <c r="AL87" s="283"/>
      <c r="AM87" s="283"/>
      <c r="AN87" s="283"/>
      <c r="AO87" s="283"/>
      <c r="AP87" s="283"/>
      <c r="AQ87" s="283"/>
      <c r="AR87" s="283"/>
      <c r="AS87" s="283"/>
      <c r="AT87" s="283"/>
      <c r="AU87" s="283"/>
      <c r="AV87" s="283"/>
      <c r="AW87" s="283"/>
      <c r="AX87" s="283"/>
      <c r="AY87" s="283"/>
      <c r="AZ87" s="283"/>
      <c r="BA87" s="283"/>
      <c r="BB87" s="283"/>
      <c r="BC87" s="283"/>
      <c r="BD87" s="283"/>
      <c r="BE87" s="283"/>
      <c r="BF87" s="283"/>
      <c r="BG87" s="283"/>
      <c r="BH87" s="283"/>
      <c r="BI87" s="283"/>
      <c r="BJ87" s="283"/>
      <c r="BK87" s="283"/>
      <c r="BL87" s="283"/>
      <c r="BM87" s="283"/>
      <c r="BN87" s="283"/>
      <c r="BO87" s="283"/>
      <c r="BP87" s="283"/>
      <c r="BQ87" s="283"/>
      <c r="BR87" s="283"/>
      <c r="BS87" s="283"/>
      <c r="BT87" s="283"/>
      <c r="BU87" s="283"/>
      <c r="BV87" s="283"/>
      <c r="BW87" s="283"/>
      <c r="BX87" s="283"/>
      <c r="BY87" s="283"/>
      <c r="BZ87" s="283"/>
      <c r="CA87" s="283"/>
      <c r="CB87" s="283"/>
      <c r="CC87" s="283"/>
      <c r="CD87" s="283"/>
      <c r="CE87" s="283"/>
      <c r="CF87" s="283"/>
      <c r="CG87" s="283"/>
      <c r="CH87" s="283"/>
      <c r="CI87" s="283"/>
      <c r="CJ87" s="283"/>
      <c r="CK87" s="283"/>
      <c r="CL87" s="283"/>
      <c r="CM87" s="283"/>
      <c r="CN87" s="283"/>
    </row>
    <row r="88" spans="1:92" ht="14.25" hidden="1" customHeight="1" x14ac:dyDescent="0.2">
      <c r="A88" s="3"/>
      <c r="B88" s="3"/>
      <c r="C88" s="3"/>
      <c r="D88" s="88">
        <v>0.64</v>
      </c>
      <c r="E88" s="183">
        <v>370632</v>
      </c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282"/>
      <c r="AH88" s="283"/>
      <c r="AI88" s="283"/>
      <c r="AJ88" s="283"/>
      <c r="AK88" s="283"/>
      <c r="AL88" s="283"/>
      <c r="AM88" s="283"/>
      <c r="AN88" s="283"/>
      <c r="AO88" s="283"/>
      <c r="AP88" s="283"/>
      <c r="AQ88" s="283"/>
      <c r="AR88" s="283"/>
      <c r="AS88" s="283"/>
      <c r="AT88" s="283"/>
      <c r="AU88" s="283"/>
      <c r="AV88" s="283"/>
      <c r="AW88" s="283"/>
      <c r="AX88" s="283"/>
      <c r="AY88" s="283"/>
      <c r="AZ88" s="283"/>
      <c r="BA88" s="283"/>
      <c r="BB88" s="283"/>
      <c r="BC88" s="283"/>
      <c r="BD88" s="283"/>
      <c r="BE88" s="283"/>
      <c r="BF88" s="283"/>
      <c r="BG88" s="283"/>
      <c r="BH88" s="283"/>
      <c r="BI88" s="283"/>
      <c r="BJ88" s="283"/>
      <c r="BK88" s="283"/>
      <c r="BL88" s="283"/>
      <c r="BM88" s="283"/>
      <c r="BN88" s="283"/>
      <c r="BO88" s="283"/>
      <c r="BP88" s="283"/>
      <c r="BQ88" s="283"/>
      <c r="BR88" s="283"/>
      <c r="BS88" s="283"/>
      <c r="BT88" s="283"/>
      <c r="BU88" s="283"/>
      <c r="BV88" s="283"/>
      <c r="BW88" s="283"/>
      <c r="BX88" s="283"/>
      <c r="BY88" s="283"/>
      <c r="BZ88" s="283"/>
      <c r="CA88" s="283"/>
      <c r="CB88" s="283"/>
      <c r="CC88" s="283"/>
      <c r="CD88" s="283"/>
      <c r="CE88" s="283"/>
      <c r="CF88" s="283"/>
      <c r="CG88" s="283"/>
      <c r="CH88" s="283"/>
      <c r="CI88" s="283"/>
      <c r="CJ88" s="283"/>
      <c r="CK88" s="283"/>
      <c r="CL88" s="283"/>
      <c r="CM88" s="283"/>
      <c r="CN88" s="283"/>
    </row>
    <row r="89" spans="1:92" ht="14.25" hidden="1" customHeight="1" x14ac:dyDescent="0.2">
      <c r="A89" s="3"/>
      <c r="B89" s="3"/>
      <c r="C89" s="3"/>
      <c r="D89" s="88">
        <v>0.65</v>
      </c>
      <c r="E89" s="183">
        <v>339116</v>
      </c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282"/>
      <c r="AH89" s="283"/>
      <c r="AI89" s="283"/>
      <c r="AJ89" s="283"/>
      <c r="AK89" s="283"/>
      <c r="AL89" s="283"/>
      <c r="AM89" s="283"/>
      <c r="AN89" s="283"/>
      <c r="AO89" s="283"/>
      <c r="AP89" s="283"/>
      <c r="AQ89" s="283"/>
      <c r="AR89" s="283"/>
      <c r="AS89" s="283"/>
      <c r="AT89" s="283"/>
      <c r="AU89" s="283"/>
      <c r="AV89" s="283"/>
      <c r="AW89" s="283"/>
      <c r="AX89" s="283"/>
      <c r="AY89" s="283"/>
      <c r="AZ89" s="283"/>
      <c r="BA89" s="283"/>
      <c r="BB89" s="283"/>
      <c r="BC89" s="283"/>
      <c r="BD89" s="283"/>
      <c r="BE89" s="283"/>
      <c r="BF89" s="283"/>
      <c r="BG89" s="283"/>
      <c r="BH89" s="283"/>
      <c r="BI89" s="283"/>
      <c r="BJ89" s="283"/>
      <c r="BK89" s="283"/>
      <c r="BL89" s="283"/>
      <c r="BM89" s="283"/>
      <c r="BN89" s="283"/>
      <c r="BO89" s="283"/>
      <c r="BP89" s="283"/>
      <c r="BQ89" s="283"/>
      <c r="BR89" s="283"/>
      <c r="BS89" s="283"/>
      <c r="BT89" s="283"/>
      <c r="BU89" s="283"/>
      <c r="BV89" s="283"/>
      <c r="BW89" s="283"/>
      <c r="BX89" s="283"/>
      <c r="BY89" s="283"/>
      <c r="BZ89" s="283"/>
      <c r="CA89" s="283"/>
      <c r="CB89" s="283"/>
      <c r="CC89" s="283"/>
      <c r="CD89" s="283"/>
      <c r="CE89" s="283"/>
      <c r="CF89" s="283"/>
      <c r="CG89" s="283"/>
      <c r="CH89" s="283"/>
      <c r="CI89" s="283"/>
      <c r="CJ89" s="283"/>
      <c r="CK89" s="283"/>
      <c r="CL89" s="283"/>
      <c r="CM89" s="283"/>
      <c r="CN89" s="283"/>
    </row>
    <row r="90" spans="1:92" ht="14.25" hidden="1" customHeight="1" x14ac:dyDescent="0.2">
      <c r="A90" s="3"/>
      <c r="B90" s="3"/>
      <c r="C90" s="3"/>
      <c r="D90" s="88">
        <v>0.66</v>
      </c>
      <c r="E90" s="183">
        <v>312967</v>
      </c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282"/>
      <c r="AH90" s="283"/>
      <c r="AI90" s="283"/>
      <c r="AJ90" s="283"/>
      <c r="AK90" s="283"/>
      <c r="AL90" s="283"/>
      <c r="AM90" s="283"/>
      <c r="AN90" s="283"/>
      <c r="AO90" s="283"/>
      <c r="AP90" s="283"/>
      <c r="AQ90" s="283"/>
      <c r="AR90" s="283"/>
      <c r="AS90" s="283"/>
      <c r="AT90" s="283"/>
      <c r="AU90" s="283"/>
      <c r="AV90" s="283"/>
      <c r="AW90" s="283"/>
      <c r="AX90" s="283"/>
      <c r="AY90" s="283"/>
      <c r="AZ90" s="283"/>
      <c r="BA90" s="283"/>
      <c r="BB90" s="283"/>
      <c r="BC90" s="283"/>
      <c r="BD90" s="283"/>
      <c r="BE90" s="283"/>
      <c r="BF90" s="283"/>
      <c r="BG90" s="283"/>
      <c r="BH90" s="283"/>
      <c r="BI90" s="283"/>
      <c r="BJ90" s="283"/>
      <c r="BK90" s="283"/>
      <c r="BL90" s="283"/>
      <c r="BM90" s="283"/>
      <c r="BN90" s="283"/>
      <c r="BO90" s="283"/>
      <c r="BP90" s="283"/>
      <c r="BQ90" s="283"/>
      <c r="BR90" s="283"/>
      <c r="BS90" s="283"/>
      <c r="BT90" s="283"/>
      <c r="BU90" s="283"/>
      <c r="BV90" s="283"/>
      <c r="BW90" s="283"/>
      <c r="BX90" s="283"/>
      <c r="BY90" s="283"/>
      <c r="BZ90" s="283"/>
      <c r="CA90" s="283"/>
      <c r="CB90" s="283"/>
      <c r="CC90" s="283"/>
      <c r="CD90" s="283"/>
      <c r="CE90" s="283"/>
      <c r="CF90" s="283"/>
      <c r="CG90" s="283"/>
      <c r="CH90" s="283"/>
      <c r="CI90" s="283"/>
      <c r="CJ90" s="283"/>
      <c r="CK90" s="283"/>
      <c r="CL90" s="283"/>
      <c r="CM90" s="283"/>
      <c r="CN90" s="283"/>
    </row>
    <row r="91" spans="1:92" ht="14.25" hidden="1" customHeight="1" x14ac:dyDescent="0.2">
      <c r="A91" s="3"/>
      <c r="B91" s="3"/>
      <c r="C91" s="3"/>
      <c r="D91" s="88">
        <v>0.67</v>
      </c>
      <c r="E91" s="183">
        <v>290562</v>
      </c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282"/>
      <c r="AH91" s="283"/>
      <c r="AI91" s="283"/>
      <c r="AJ91" s="283"/>
      <c r="AK91" s="283"/>
      <c r="AL91" s="283"/>
      <c r="AM91" s="283"/>
      <c r="AN91" s="283"/>
      <c r="AO91" s="283"/>
      <c r="AP91" s="283"/>
      <c r="AQ91" s="283"/>
      <c r="AR91" s="283"/>
      <c r="AS91" s="283"/>
      <c r="AT91" s="283"/>
      <c r="AU91" s="283"/>
      <c r="AV91" s="283"/>
      <c r="AW91" s="283"/>
      <c r="AX91" s="283"/>
      <c r="AY91" s="283"/>
      <c r="AZ91" s="283"/>
      <c r="BA91" s="283"/>
      <c r="BB91" s="283"/>
      <c r="BC91" s="283"/>
      <c r="BD91" s="283"/>
      <c r="BE91" s="283"/>
      <c r="BF91" s="283"/>
      <c r="BG91" s="283"/>
      <c r="BH91" s="283"/>
      <c r="BI91" s="283"/>
      <c r="BJ91" s="283"/>
      <c r="BK91" s="283"/>
      <c r="BL91" s="283"/>
      <c r="BM91" s="283"/>
      <c r="BN91" s="283"/>
      <c r="BO91" s="283"/>
      <c r="BP91" s="283"/>
      <c r="BQ91" s="283"/>
      <c r="BR91" s="283"/>
      <c r="BS91" s="283"/>
      <c r="BT91" s="283"/>
      <c r="BU91" s="283"/>
      <c r="BV91" s="283"/>
      <c r="BW91" s="283"/>
      <c r="BX91" s="283"/>
      <c r="BY91" s="283"/>
      <c r="BZ91" s="283"/>
      <c r="CA91" s="283"/>
      <c r="CB91" s="283"/>
      <c r="CC91" s="283"/>
      <c r="CD91" s="283"/>
      <c r="CE91" s="283"/>
      <c r="CF91" s="283"/>
      <c r="CG91" s="283"/>
      <c r="CH91" s="283"/>
      <c r="CI91" s="283"/>
      <c r="CJ91" s="283"/>
      <c r="CK91" s="283"/>
      <c r="CL91" s="283"/>
      <c r="CM91" s="283"/>
      <c r="CN91" s="283"/>
    </row>
    <row r="92" spans="1:92" ht="14.25" hidden="1" customHeight="1" x14ac:dyDescent="0.2">
      <c r="A92" s="3"/>
      <c r="B92" s="3"/>
      <c r="C92" s="3"/>
      <c r="D92" s="88">
        <v>0.68</v>
      </c>
      <c r="E92" s="183">
        <v>271151</v>
      </c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282"/>
      <c r="AH92" s="283"/>
      <c r="AI92" s="283"/>
      <c r="AJ92" s="283"/>
      <c r="AK92" s="283"/>
      <c r="AL92" s="283"/>
      <c r="AM92" s="283"/>
      <c r="AN92" s="283"/>
      <c r="AO92" s="283"/>
      <c r="AP92" s="283"/>
      <c r="AQ92" s="283"/>
      <c r="AR92" s="283"/>
      <c r="AS92" s="283"/>
      <c r="AT92" s="283"/>
      <c r="AU92" s="283"/>
      <c r="AV92" s="283"/>
      <c r="AW92" s="283"/>
      <c r="AX92" s="283"/>
      <c r="AY92" s="283"/>
      <c r="AZ92" s="283"/>
      <c r="BA92" s="283"/>
      <c r="BB92" s="283"/>
      <c r="BC92" s="283"/>
      <c r="BD92" s="283"/>
      <c r="BE92" s="283"/>
      <c r="BF92" s="283"/>
      <c r="BG92" s="283"/>
      <c r="BH92" s="283"/>
      <c r="BI92" s="283"/>
      <c r="BJ92" s="283"/>
      <c r="BK92" s="283"/>
      <c r="BL92" s="283"/>
      <c r="BM92" s="283"/>
      <c r="BN92" s="283"/>
      <c r="BO92" s="283"/>
      <c r="BP92" s="283"/>
      <c r="BQ92" s="283"/>
      <c r="BR92" s="283"/>
      <c r="BS92" s="283"/>
      <c r="BT92" s="283"/>
      <c r="BU92" s="283"/>
      <c r="BV92" s="283"/>
      <c r="BW92" s="283"/>
      <c r="BX92" s="283"/>
      <c r="BY92" s="283"/>
      <c r="BZ92" s="283"/>
      <c r="CA92" s="283"/>
      <c r="CB92" s="283"/>
      <c r="CC92" s="283"/>
      <c r="CD92" s="283"/>
      <c r="CE92" s="283"/>
      <c r="CF92" s="283"/>
      <c r="CG92" s="283"/>
      <c r="CH92" s="283"/>
      <c r="CI92" s="283"/>
      <c r="CJ92" s="283"/>
      <c r="CK92" s="283"/>
      <c r="CL92" s="283"/>
      <c r="CM92" s="283"/>
      <c r="CN92" s="283"/>
    </row>
    <row r="93" spans="1:92" ht="14.25" hidden="1" customHeight="1" x14ac:dyDescent="0.2">
      <c r="A93" s="3"/>
      <c r="B93" s="3"/>
      <c r="C93" s="3"/>
      <c r="D93" s="88">
        <v>0.69</v>
      </c>
      <c r="E93" s="183">
        <v>254171</v>
      </c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282"/>
      <c r="AH93" s="283"/>
      <c r="AI93" s="283"/>
      <c r="AJ93" s="283"/>
      <c r="AK93" s="283"/>
      <c r="AL93" s="283"/>
      <c r="AM93" s="283"/>
      <c r="AN93" s="283"/>
      <c r="AO93" s="283"/>
      <c r="AP93" s="283"/>
      <c r="AQ93" s="283"/>
      <c r="AR93" s="283"/>
      <c r="AS93" s="283"/>
      <c r="AT93" s="283"/>
      <c r="AU93" s="283"/>
      <c r="AV93" s="283"/>
      <c r="AW93" s="283"/>
      <c r="AX93" s="283"/>
      <c r="AY93" s="283"/>
      <c r="AZ93" s="283"/>
      <c r="BA93" s="283"/>
      <c r="BB93" s="283"/>
      <c r="BC93" s="283"/>
      <c r="BD93" s="283"/>
      <c r="BE93" s="283"/>
      <c r="BF93" s="283"/>
      <c r="BG93" s="283"/>
      <c r="BH93" s="283"/>
      <c r="BI93" s="283"/>
      <c r="BJ93" s="283"/>
      <c r="BK93" s="283"/>
      <c r="BL93" s="283"/>
      <c r="BM93" s="283"/>
      <c r="BN93" s="283"/>
      <c r="BO93" s="283"/>
      <c r="BP93" s="283"/>
      <c r="BQ93" s="283"/>
      <c r="BR93" s="283"/>
      <c r="BS93" s="283"/>
      <c r="BT93" s="283"/>
      <c r="BU93" s="283"/>
      <c r="BV93" s="283"/>
      <c r="BW93" s="283"/>
      <c r="BX93" s="283"/>
      <c r="BY93" s="283"/>
      <c r="BZ93" s="283"/>
      <c r="CA93" s="283"/>
      <c r="CB93" s="283"/>
      <c r="CC93" s="283"/>
      <c r="CD93" s="283"/>
      <c r="CE93" s="283"/>
      <c r="CF93" s="283"/>
      <c r="CG93" s="283"/>
      <c r="CH93" s="283"/>
      <c r="CI93" s="283"/>
      <c r="CJ93" s="283"/>
      <c r="CK93" s="283"/>
      <c r="CL93" s="283"/>
      <c r="CM93" s="283"/>
      <c r="CN93" s="283"/>
    </row>
    <row r="94" spans="1:92" ht="14.25" hidden="1" customHeight="1" x14ac:dyDescent="0.2">
      <c r="A94" s="3"/>
      <c r="B94" s="3"/>
      <c r="C94" s="3"/>
      <c r="D94" s="88">
        <v>0.7</v>
      </c>
      <c r="E94" s="183">
        <v>239192</v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282"/>
      <c r="AH94" s="283"/>
      <c r="AI94" s="283"/>
      <c r="AJ94" s="283"/>
      <c r="AK94" s="283"/>
      <c r="AL94" s="283"/>
      <c r="AM94" s="283"/>
      <c r="AN94" s="283"/>
      <c r="AO94" s="283"/>
      <c r="AP94" s="283"/>
      <c r="AQ94" s="283"/>
      <c r="AR94" s="283"/>
      <c r="AS94" s="283"/>
      <c r="AT94" s="283"/>
      <c r="AU94" s="283"/>
      <c r="AV94" s="283"/>
      <c r="AW94" s="283"/>
      <c r="AX94" s="283"/>
      <c r="AY94" s="283"/>
      <c r="AZ94" s="283"/>
      <c r="BA94" s="283"/>
      <c r="BB94" s="283"/>
      <c r="BC94" s="283"/>
      <c r="BD94" s="283"/>
      <c r="BE94" s="283"/>
      <c r="BF94" s="283"/>
      <c r="BG94" s="283"/>
      <c r="BH94" s="283"/>
      <c r="BI94" s="283"/>
      <c r="BJ94" s="283"/>
      <c r="BK94" s="283"/>
      <c r="BL94" s="283"/>
      <c r="BM94" s="283"/>
      <c r="BN94" s="283"/>
      <c r="BO94" s="283"/>
      <c r="BP94" s="283"/>
      <c r="BQ94" s="283"/>
      <c r="BR94" s="283"/>
      <c r="BS94" s="283"/>
      <c r="BT94" s="283"/>
      <c r="BU94" s="283"/>
      <c r="BV94" s="283"/>
      <c r="BW94" s="283"/>
      <c r="BX94" s="283"/>
      <c r="BY94" s="283"/>
      <c r="BZ94" s="283"/>
      <c r="CA94" s="283"/>
      <c r="CB94" s="283"/>
      <c r="CC94" s="283"/>
      <c r="CD94" s="283"/>
      <c r="CE94" s="283"/>
      <c r="CF94" s="283"/>
      <c r="CG94" s="283"/>
      <c r="CH94" s="283"/>
      <c r="CI94" s="283"/>
      <c r="CJ94" s="283"/>
      <c r="CK94" s="283"/>
      <c r="CL94" s="283"/>
      <c r="CM94" s="283"/>
      <c r="CN94" s="283"/>
    </row>
    <row r="95" spans="1:92" ht="14.25" hidden="1" customHeight="1" x14ac:dyDescent="0.2">
      <c r="A95" s="3"/>
      <c r="B95" s="3"/>
      <c r="C95" s="3"/>
      <c r="D95" s="52">
        <v>0.71</v>
      </c>
      <c r="E95" s="183">
        <v>225881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282"/>
      <c r="AH95" s="283"/>
      <c r="AI95" s="283"/>
      <c r="AJ95" s="283"/>
      <c r="AK95" s="283"/>
      <c r="AL95" s="283"/>
      <c r="AM95" s="283"/>
      <c r="AN95" s="283"/>
      <c r="AO95" s="283"/>
      <c r="AP95" s="283"/>
      <c r="AQ95" s="283"/>
      <c r="AR95" s="283"/>
      <c r="AS95" s="283"/>
      <c r="AT95" s="283"/>
      <c r="AU95" s="283"/>
      <c r="AV95" s="283"/>
      <c r="AW95" s="283"/>
      <c r="AX95" s="283"/>
      <c r="AY95" s="283"/>
      <c r="AZ95" s="283"/>
      <c r="BA95" s="283"/>
      <c r="BB95" s="283"/>
      <c r="BC95" s="283"/>
      <c r="BD95" s="283"/>
      <c r="BE95" s="283"/>
      <c r="BF95" s="283"/>
      <c r="BG95" s="283"/>
      <c r="BH95" s="283"/>
      <c r="BI95" s="283"/>
      <c r="BJ95" s="283"/>
      <c r="BK95" s="283"/>
      <c r="BL95" s="283"/>
      <c r="BM95" s="283"/>
      <c r="BN95" s="283"/>
      <c r="BO95" s="283"/>
      <c r="BP95" s="283"/>
      <c r="BQ95" s="283"/>
      <c r="BR95" s="283"/>
      <c r="BS95" s="283"/>
      <c r="BT95" s="283"/>
      <c r="BU95" s="283"/>
      <c r="BV95" s="283"/>
      <c r="BW95" s="283"/>
      <c r="BX95" s="283"/>
      <c r="BY95" s="283"/>
      <c r="BZ95" s="283"/>
      <c r="CA95" s="283"/>
      <c r="CB95" s="283"/>
      <c r="CC95" s="283"/>
      <c r="CD95" s="283"/>
      <c r="CE95" s="283"/>
      <c r="CF95" s="283"/>
      <c r="CG95" s="283"/>
      <c r="CH95" s="283"/>
      <c r="CI95" s="283"/>
      <c r="CJ95" s="283"/>
      <c r="CK95" s="283"/>
      <c r="CL95" s="283"/>
      <c r="CM95" s="283"/>
      <c r="CN95" s="283"/>
    </row>
    <row r="96" spans="1:92" ht="14.25" hidden="1" customHeight="1" x14ac:dyDescent="0.2">
      <c r="A96" s="3"/>
      <c r="B96" s="3"/>
      <c r="C96" s="3"/>
      <c r="D96" s="52">
        <v>0.72</v>
      </c>
      <c r="E96" s="183">
        <v>213973</v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282"/>
      <c r="AH96" s="283"/>
      <c r="AI96" s="283"/>
      <c r="AJ96" s="283"/>
      <c r="AK96" s="283"/>
      <c r="AL96" s="283"/>
      <c r="AM96" s="283"/>
      <c r="AN96" s="283"/>
      <c r="AO96" s="283"/>
      <c r="AP96" s="283"/>
      <c r="AQ96" s="283"/>
      <c r="AR96" s="283"/>
      <c r="AS96" s="283"/>
      <c r="AT96" s="283"/>
      <c r="AU96" s="283"/>
      <c r="AV96" s="283"/>
      <c r="AW96" s="283"/>
      <c r="AX96" s="283"/>
      <c r="AY96" s="283"/>
      <c r="AZ96" s="283"/>
      <c r="BA96" s="283"/>
      <c r="BB96" s="283"/>
      <c r="BC96" s="283"/>
      <c r="BD96" s="283"/>
      <c r="BE96" s="283"/>
      <c r="BF96" s="283"/>
      <c r="BG96" s="283"/>
      <c r="BH96" s="283"/>
      <c r="BI96" s="283"/>
      <c r="BJ96" s="283"/>
      <c r="BK96" s="283"/>
      <c r="BL96" s="283"/>
      <c r="BM96" s="283"/>
      <c r="BN96" s="283"/>
      <c r="BO96" s="283"/>
      <c r="BP96" s="283"/>
      <c r="BQ96" s="283"/>
      <c r="BR96" s="283"/>
      <c r="BS96" s="283"/>
      <c r="BT96" s="283"/>
      <c r="BU96" s="283"/>
      <c r="BV96" s="283"/>
      <c r="BW96" s="283"/>
      <c r="BX96" s="283"/>
      <c r="BY96" s="283"/>
      <c r="BZ96" s="283"/>
      <c r="CA96" s="283"/>
      <c r="CB96" s="283"/>
      <c r="CC96" s="283"/>
      <c r="CD96" s="283"/>
      <c r="CE96" s="283"/>
      <c r="CF96" s="283"/>
      <c r="CG96" s="283"/>
      <c r="CH96" s="283"/>
      <c r="CI96" s="283"/>
      <c r="CJ96" s="283"/>
      <c r="CK96" s="283"/>
      <c r="CL96" s="283"/>
      <c r="CM96" s="283"/>
      <c r="CN96" s="283"/>
    </row>
    <row r="97" spans="1:92" ht="14.25" hidden="1" customHeight="1" x14ac:dyDescent="0.2">
      <c r="A97" s="3"/>
      <c r="B97" s="3"/>
      <c r="C97" s="3"/>
      <c r="D97" s="52">
        <v>0.73</v>
      </c>
      <c r="E97" s="183">
        <v>203258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282"/>
      <c r="AH97" s="283"/>
      <c r="AI97" s="283"/>
      <c r="AJ97" s="283"/>
      <c r="AK97" s="283"/>
      <c r="AL97" s="283"/>
      <c r="AM97" s="283"/>
      <c r="AN97" s="283"/>
      <c r="AO97" s="283"/>
      <c r="AP97" s="283"/>
      <c r="AQ97" s="283"/>
      <c r="AR97" s="283"/>
      <c r="AS97" s="283"/>
      <c r="AT97" s="283"/>
      <c r="AU97" s="283"/>
      <c r="AV97" s="283"/>
      <c r="AW97" s="283"/>
      <c r="AX97" s="283"/>
      <c r="AY97" s="283"/>
      <c r="AZ97" s="283"/>
      <c r="BA97" s="283"/>
      <c r="BB97" s="283"/>
      <c r="BC97" s="283"/>
      <c r="BD97" s="283"/>
      <c r="BE97" s="283"/>
      <c r="BF97" s="283"/>
      <c r="BG97" s="283"/>
      <c r="BH97" s="283"/>
      <c r="BI97" s="283"/>
      <c r="BJ97" s="283"/>
      <c r="BK97" s="283"/>
      <c r="BL97" s="283"/>
      <c r="BM97" s="283"/>
      <c r="BN97" s="283"/>
      <c r="BO97" s="283"/>
      <c r="BP97" s="283"/>
      <c r="BQ97" s="283"/>
      <c r="BR97" s="283"/>
      <c r="BS97" s="283"/>
      <c r="BT97" s="283"/>
      <c r="BU97" s="283"/>
      <c r="BV97" s="283"/>
      <c r="BW97" s="283"/>
      <c r="BX97" s="283"/>
      <c r="BY97" s="283"/>
      <c r="BZ97" s="283"/>
      <c r="CA97" s="283"/>
      <c r="CB97" s="283"/>
      <c r="CC97" s="283"/>
      <c r="CD97" s="283"/>
      <c r="CE97" s="283"/>
      <c r="CF97" s="283"/>
      <c r="CG97" s="283"/>
      <c r="CH97" s="283"/>
      <c r="CI97" s="283"/>
      <c r="CJ97" s="283"/>
      <c r="CK97" s="283"/>
      <c r="CL97" s="283"/>
      <c r="CM97" s="283"/>
      <c r="CN97" s="283"/>
    </row>
    <row r="98" spans="1:92" ht="14.25" hidden="1" customHeight="1" x14ac:dyDescent="0.2">
      <c r="A98" s="3"/>
      <c r="B98" s="3"/>
      <c r="C98" s="3"/>
      <c r="D98" s="52">
        <v>0.74</v>
      </c>
      <c r="E98" s="52">
        <v>193564</v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282"/>
      <c r="AH98" s="283"/>
      <c r="AI98" s="283"/>
      <c r="AJ98" s="283"/>
      <c r="AK98" s="283"/>
      <c r="AL98" s="283"/>
      <c r="AM98" s="283"/>
      <c r="AN98" s="283"/>
      <c r="AO98" s="283"/>
      <c r="AP98" s="283"/>
      <c r="AQ98" s="283"/>
      <c r="AR98" s="283"/>
      <c r="AS98" s="283"/>
      <c r="AT98" s="283"/>
      <c r="AU98" s="283"/>
      <c r="AV98" s="283"/>
      <c r="AW98" s="283"/>
      <c r="AX98" s="283"/>
      <c r="AY98" s="283"/>
      <c r="AZ98" s="283"/>
      <c r="BA98" s="283"/>
      <c r="BB98" s="283"/>
      <c r="BC98" s="283"/>
      <c r="BD98" s="283"/>
      <c r="BE98" s="283"/>
      <c r="BF98" s="283"/>
      <c r="BG98" s="283"/>
      <c r="BH98" s="283"/>
      <c r="BI98" s="283"/>
      <c r="BJ98" s="283"/>
      <c r="BK98" s="283"/>
      <c r="BL98" s="283"/>
      <c r="BM98" s="283"/>
      <c r="BN98" s="283"/>
      <c r="BO98" s="283"/>
      <c r="BP98" s="283"/>
      <c r="BQ98" s="283"/>
      <c r="BR98" s="283"/>
      <c r="BS98" s="283"/>
      <c r="BT98" s="283"/>
      <c r="BU98" s="283"/>
      <c r="BV98" s="283"/>
      <c r="BW98" s="283"/>
      <c r="BX98" s="283"/>
      <c r="BY98" s="283"/>
      <c r="BZ98" s="283"/>
      <c r="CA98" s="283"/>
      <c r="CB98" s="283"/>
      <c r="CC98" s="283"/>
      <c r="CD98" s="283"/>
      <c r="CE98" s="283"/>
      <c r="CF98" s="283"/>
      <c r="CG98" s="283"/>
      <c r="CH98" s="283"/>
      <c r="CI98" s="283"/>
      <c r="CJ98" s="283"/>
      <c r="CK98" s="283"/>
      <c r="CL98" s="283"/>
      <c r="CM98" s="283"/>
      <c r="CN98" s="283"/>
    </row>
    <row r="99" spans="1:92" ht="14.25" hidden="1" customHeight="1" x14ac:dyDescent="0.2">
      <c r="A99" s="3"/>
      <c r="B99" s="3"/>
      <c r="C99" s="3"/>
      <c r="D99" s="52">
        <v>0.75</v>
      </c>
      <c r="E99" s="52">
        <v>184753</v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282"/>
      <c r="AH99" s="283"/>
      <c r="AI99" s="283"/>
      <c r="AJ99" s="283"/>
      <c r="AK99" s="283"/>
      <c r="AL99" s="283"/>
      <c r="AM99" s="283"/>
      <c r="AN99" s="283"/>
      <c r="AO99" s="283"/>
      <c r="AP99" s="283"/>
      <c r="AQ99" s="283"/>
      <c r="AR99" s="283"/>
      <c r="AS99" s="283"/>
      <c r="AT99" s="283"/>
      <c r="AU99" s="283"/>
      <c r="AV99" s="283"/>
      <c r="AW99" s="283"/>
      <c r="AX99" s="283"/>
      <c r="AY99" s="283"/>
      <c r="AZ99" s="283"/>
      <c r="BA99" s="283"/>
      <c r="BB99" s="283"/>
      <c r="BC99" s="283"/>
      <c r="BD99" s="283"/>
      <c r="BE99" s="283"/>
      <c r="BF99" s="283"/>
      <c r="BG99" s="283"/>
      <c r="BH99" s="283"/>
      <c r="BI99" s="283"/>
      <c r="BJ99" s="283"/>
      <c r="BK99" s="283"/>
      <c r="BL99" s="283"/>
      <c r="BM99" s="283"/>
      <c r="BN99" s="283"/>
      <c r="BO99" s="283"/>
      <c r="BP99" s="283"/>
      <c r="BQ99" s="283"/>
      <c r="BR99" s="283"/>
      <c r="BS99" s="283"/>
      <c r="BT99" s="283"/>
      <c r="BU99" s="283"/>
      <c r="BV99" s="283"/>
      <c r="BW99" s="283"/>
      <c r="BX99" s="283"/>
      <c r="BY99" s="283"/>
      <c r="BZ99" s="283"/>
      <c r="CA99" s="283"/>
      <c r="CB99" s="283"/>
      <c r="CC99" s="283"/>
      <c r="CD99" s="283"/>
      <c r="CE99" s="283"/>
      <c r="CF99" s="283"/>
      <c r="CG99" s="283"/>
      <c r="CH99" s="283"/>
      <c r="CI99" s="283"/>
      <c r="CJ99" s="283"/>
      <c r="CK99" s="283"/>
      <c r="CL99" s="283"/>
      <c r="CM99" s="283"/>
      <c r="CN99" s="283"/>
    </row>
    <row r="100" spans="1:92" ht="14.25" hidden="1" customHeight="1" x14ac:dyDescent="0.2">
      <c r="A100" s="3"/>
      <c r="B100" s="3"/>
      <c r="C100" s="3"/>
      <c r="D100" s="52">
        <v>0.76</v>
      </c>
      <c r="E100" s="52">
        <v>176710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282"/>
      <c r="AH100" s="283"/>
      <c r="AI100" s="283"/>
      <c r="AJ100" s="283"/>
      <c r="AK100" s="283"/>
      <c r="AL100" s="283"/>
      <c r="AM100" s="283"/>
      <c r="AN100" s="283"/>
      <c r="AO100" s="283"/>
      <c r="AP100" s="283"/>
      <c r="AQ100" s="283"/>
      <c r="AR100" s="283"/>
      <c r="AS100" s="283"/>
      <c r="AT100" s="283"/>
      <c r="AU100" s="283"/>
      <c r="AV100" s="283"/>
      <c r="AW100" s="283"/>
      <c r="AX100" s="283"/>
      <c r="AY100" s="283"/>
      <c r="AZ100" s="283"/>
      <c r="BA100" s="283"/>
      <c r="BB100" s="283"/>
      <c r="BC100" s="283"/>
      <c r="BD100" s="283"/>
      <c r="BE100" s="283"/>
      <c r="BF100" s="283"/>
      <c r="BG100" s="283"/>
      <c r="BH100" s="283"/>
      <c r="BI100" s="283"/>
      <c r="BJ100" s="283"/>
      <c r="BK100" s="283"/>
      <c r="BL100" s="283"/>
      <c r="BM100" s="283"/>
      <c r="BN100" s="283"/>
      <c r="BO100" s="283"/>
      <c r="BP100" s="283"/>
      <c r="BQ100" s="283"/>
      <c r="BR100" s="283"/>
      <c r="BS100" s="283"/>
      <c r="BT100" s="283"/>
      <c r="BU100" s="283"/>
      <c r="BV100" s="283"/>
      <c r="BW100" s="283"/>
      <c r="BX100" s="283"/>
      <c r="BY100" s="283"/>
      <c r="BZ100" s="283"/>
      <c r="CA100" s="283"/>
      <c r="CB100" s="283"/>
      <c r="CC100" s="283"/>
      <c r="CD100" s="283"/>
      <c r="CE100" s="283"/>
      <c r="CF100" s="283"/>
      <c r="CG100" s="283"/>
      <c r="CH100" s="283"/>
      <c r="CI100" s="283"/>
      <c r="CJ100" s="283"/>
      <c r="CK100" s="283"/>
      <c r="CL100" s="283"/>
      <c r="CM100" s="283"/>
      <c r="CN100" s="283"/>
    </row>
    <row r="101" spans="1:92" ht="14.25" hidden="1" customHeight="1" x14ac:dyDescent="0.2">
      <c r="A101" s="3"/>
      <c r="B101" s="3"/>
      <c r="C101" s="3"/>
      <c r="D101" s="52">
        <v>0.77</v>
      </c>
      <c r="E101" s="52">
        <v>169337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282"/>
      <c r="AH101" s="283"/>
      <c r="AI101" s="283"/>
      <c r="AJ101" s="283"/>
      <c r="AK101" s="283"/>
      <c r="AL101" s="283"/>
      <c r="AM101" s="283"/>
      <c r="AN101" s="283"/>
      <c r="AO101" s="283"/>
      <c r="AP101" s="283"/>
      <c r="AQ101" s="283"/>
      <c r="AR101" s="283"/>
      <c r="AS101" s="283"/>
      <c r="AT101" s="283"/>
      <c r="AU101" s="283"/>
      <c r="AV101" s="283"/>
      <c r="AW101" s="283"/>
      <c r="AX101" s="283"/>
      <c r="AY101" s="283"/>
      <c r="AZ101" s="283"/>
      <c r="BA101" s="283"/>
      <c r="BB101" s="283"/>
      <c r="BC101" s="283"/>
      <c r="BD101" s="283"/>
      <c r="BE101" s="283"/>
      <c r="BF101" s="283"/>
      <c r="BG101" s="283"/>
      <c r="BH101" s="283"/>
      <c r="BI101" s="283"/>
      <c r="BJ101" s="283"/>
      <c r="BK101" s="283"/>
      <c r="BL101" s="283"/>
      <c r="BM101" s="283"/>
      <c r="BN101" s="283"/>
      <c r="BO101" s="283"/>
      <c r="BP101" s="283"/>
      <c r="BQ101" s="283"/>
      <c r="BR101" s="283"/>
      <c r="BS101" s="283"/>
      <c r="BT101" s="283"/>
      <c r="BU101" s="283"/>
      <c r="BV101" s="283"/>
      <c r="BW101" s="283"/>
      <c r="BX101" s="283"/>
      <c r="BY101" s="283"/>
      <c r="BZ101" s="283"/>
      <c r="CA101" s="283"/>
      <c r="CB101" s="283"/>
      <c r="CC101" s="283"/>
      <c r="CD101" s="283"/>
      <c r="CE101" s="283"/>
      <c r="CF101" s="283"/>
      <c r="CG101" s="283"/>
      <c r="CH101" s="283"/>
      <c r="CI101" s="283"/>
      <c r="CJ101" s="283"/>
      <c r="CK101" s="283"/>
      <c r="CL101" s="283"/>
      <c r="CM101" s="283"/>
      <c r="CN101" s="283"/>
    </row>
    <row r="102" spans="1:92" ht="14.25" hidden="1" customHeight="1" x14ac:dyDescent="0.2">
      <c r="A102" s="3"/>
      <c r="B102" s="3"/>
      <c r="C102" s="3"/>
      <c r="D102" s="52">
        <v>0.78</v>
      </c>
      <c r="E102" s="52">
        <v>162555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282"/>
      <c r="AH102" s="283"/>
      <c r="AI102" s="283"/>
      <c r="AJ102" s="283"/>
      <c r="AK102" s="283"/>
      <c r="AL102" s="283"/>
      <c r="AM102" s="283"/>
      <c r="AN102" s="283"/>
      <c r="AO102" s="283"/>
      <c r="AP102" s="283"/>
      <c r="AQ102" s="283"/>
      <c r="AR102" s="283"/>
      <c r="AS102" s="283"/>
      <c r="AT102" s="283"/>
      <c r="AU102" s="283"/>
      <c r="AV102" s="283"/>
      <c r="AW102" s="283"/>
      <c r="AX102" s="283"/>
      <c r="AY102" s="283"/>
      <c r="AZ102" s="283"/>
      <c r="BA102" s="283"/>
      <c r="BB102" s="283"/>
      <c r="BC102" s="283"/>
      <c r="BD102" s="283"/>
      <c r="BE102" s="283"/>
      <c r="BF102" s="283"/>
      <c r="BG102" s="283"/>
      <c r="BH102" s="283"/>
      <c r="BI102" s="283"/>
      <c r="BJ102" s="283"/>
      <c r="BK102" s="283"/>
      <c r="BL102" s="283"/>
      <c r="BM102" s="283"/>
      <c r="BN102" s="283"/>
      <c r="BO102" s="283"/>
      <c r="BP102" s="283"/>
      <c r="BQ102" s="283"/>
      <c r="BR102" s="283"/>
      <c r="BS102" s="283"/>
      <c r="BT102" s="283"/>
      <c r="BU102" s="283"/>
      <c r="BV102" s="283"/>
      <c r="BW102" s="283"/>
      <c r="BX102" s="283"/>
      <c r="BY102" s="283"/>
      <c r="BZ102" s="283"/>
      <c r="CA102" s="283"/>
      <c r="CB102" s="283"/>
      <c r="CC102" s="283"/>
      <c r="CD102" s="283"/>
      <c r="CE102" s="283"/>
      <c r="CF102" s="283"/>
      <c r="CG102" s="283"/>
      <c r="CH102" s="283"/>
      <c r="CI102" s="283"/>
      <c r="CJ102" s="283"/>
      <c r="CK102" s="283"/>
      <c r="CL102" s="283"/>
      <c r="CM102" s="283"/>
      <c r="CN102" s="283"/>
    </row>
    <row r="103" spans="1:92" ht="14.25" hidden="1" customHeight="1" x14ac:dyDescent="0.2">
      <c r="A103" s="3"/>
      <c r="B103" s="3"/>
      <c r="C103" s="3"/>
      <c r="D103" s="52">
        <v>0.79</v>
      </c>
      <c r="E103" s="52">
        <v>156296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282"/>
      <c r="AH103" s="283"/>
      <c r="AI103" s="283"/>
      <c r="AJ103" s="283"/>
      <c r="AK103" s="283"/>
      <c r="AL103" s="283"/>
      <c r="AM103" s="283"/>
      <c r="AN103" s="283"/>
      <c r="AO103" s="283"/>
      <c r="AP103" s="283"/>
      <c r="AQ103" s="283"/>
      <c r="AR103" s="283"/>
      <c r="AS103" s="283"/>
      <c r="AT103" s="283"/>
      <c r="AU103" s="283"/>
      <c r="AV103" s="283"/>
      <c r="AW103" s="283"/>
      <c r="AX103" s="283"/>
      <c r="AY103" s="283"/>
      <c r="AZ103" s="283"/>
      <c r="BA103" s="283"/>
      <c r="BB103" s="283"/>
      <c r="BC103" s="283"/>
      <c r="BD103" s="283"/>
      <c r="BE103" s="283"/>
      <c r="BF103" s="283"/>
      <c r="BG103" s="283"/>
      <c r="BH103" s="283"/>
      <c r="BI103" s="283"/>
      <c r="BJ103" s="283"/>
      <c r="BK103" s="283"/>
      <c r="BL103" s="283"/>
      <c r="BM103" s="283"/>
      <c r="BN103" s="283"/>
      <c r="BO103" s="283"/>
      <c r="BP103" s="283"/>
      <c r="BQ103" s="283"/>
      <c r="BR103" s="283"/>
      <c r="BS103" s="283"/>
      <c r="BT103" s="283"/>
      <c r="BU103" s="283"/>
      <c r="BV103" s="283"/>
      <c r="BW103" s="283"/>
      <c r="BX103" s="283"/>
      <c r="BY103" s="283"/>
      <c r="BZ103" s="283"/>
      <c r="CA103" s="283"/>
      <c r="CB103" s="283"/>
      <c r="CC103" s="283"/>
      <c r="CD103" s="283"/>
      <c r="CE103" s="283"/>
      <c r="CF103" s="283"/>
      <c r="CG103" s="283"/>
      <c r="CH103" s="283"/>
      <c r="CI103" s="283"/>
      <c r="CJ103" s="283"/>
      <c r="CK103" s="283"/>
      <c r="CL103" s="283"/>
      <c r="CM103" s="283"/>
      <c r="CN103" s="283"/>
    </row>
    <row r="104" spans="1:92" ht="14.25" hidden="1" customHeight="1" x14ac:dyDescent="0.2">
      <c r="A104" s="3"/>
      <c r="B104" s="3"/>
      <c r="C104" s="3"/>
      <c r="D104" s="52">
        <v>0.8</v>
      </c>
      <c r="E104" s="52">
        <v>150500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282"/>
      <c r="AH104" s="283"/>
      <c r="AI104" s="283"/>
      <c r="AJ104" s="283"/>
      <c r="AK104" s="283"/>
      <c r="AL104" s="283"/>
      <c r="AM104" s="283"/>
      <c r="AN104" s="283"/>
      <c r="AO104" s="283"/>
      <c r="AP104" s="283"/>
      <c r="AQ104" s="283"/>
      <c r="AR104" s="283"/>
      <c r="AS104" s="283"/>
      <c r="AT104" s="283"/>
      <c r="AU104" s="283"/>
      <c r="AV104" s="283"/>
      <c r="AW104" s="283"/>
      <c r="AX104" s="283"/>
      <c r="AY104" s="283"/>
      <c r="AZ104" s="283"/>
      <c r="BA104" s="283"/>
      <c r="BB104" s="283"/>
      <c r="BC104" s="283"/>
      <c r="BD104" s="283"/>
      <c r="BE104" s="283"/>
      <c r="BF104" s="283"/>
      <c r="BG104" s="283"/>
      <c r="BH104" s="283"/>
      <c r="BI104" s="283"/>
      <c r="BJ104" s="283"/>
      <c r="BK104" s="283"/>
      <c r="BL104" s="283"/>
      <c r="BM104" s="283"/>
      <c r="BN104" s="283"/>
      <c r="BO104" s="283"/>
      <c r="BP104" s="283"/>
      <c r="BQ104" s="283"/>
      <c r="BR104" s="283"/>
      <c r="BS104" s="283"/>
      <c r="BT104" s="283"/>
      <c r="BU104" s="283"/>
      <c r="BV104" s="283"/>
      <c r="BW104" s="283"/>
      <c r="BX104" s="283"/>
      <c r="BY104" s="283"/>
      <c r="BZ104" s="283"/>
      <c r="CA104" s="283"/>
      <c r="CB104" s="283"/>
      <c r="CC104" s="283"/>
      <c r="CD104" s="283"/>
      <c r="CE104" s="283"/>
      <c r="CF104" s="283"/>
      <c r="CG104" s="283"/>
      <c r="CH104" s="283"/>
      <c r="CI104" s="283"/>
      <c r="CJ104" s="283"/>
      <c r="CK104" s="283"/>
      <c r="CL104" s="283"/>
      <c r="CM104" s="283"/>
      <c r="CN104" s="283"/>
    </row>
    <row r="105" spans="1:92" ht="14.25" hidden="1" customHeight="1" x14ac:dyDescent="0.2">
      <c r="A105" s="3"/>
      <c r="B105" s="3"/>
      <c r="C105" s="3"/>
      <c r="D105" s="52"/>
      <c r="E105" s="52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282"/>
      <c r="AH105" s="283"/>
      <c r="AI105" s="283"/>
      <c r="AJ105" s="283"/>
      <c r="AK105" s="283"/>
      <c r="AL105" s="283"/>
      <c r="AM105" s="283"/>
      <c r="AN105" s="283"/>
      <c r="AO105" s="283"/>
      <c r="AP105" s="283"/>
      <c r="AQ105" s="283"/>
      <c r="AR105" s="283"/>
      <c r="AS105" s="283"/>
      <c r="AT105" s="283"/>
      <c r="AU105" s="283"/>
      <c r="AV105" s="283"/>
      <c r="AW105" s="283"/>
      <c r="AX105" s="283"/>
      <c r="AY105" s="283"/>
      <c r="AZ105" s="283"/>
      <c r="BA105" s="283"/>
      <c r="BB105" s="283"/>
      <c r="BC105" s="283"/>
      <c r="BD105" s="283"/>
      <c r="BE105" s="283"/>
      <c r="BF105" s="283"/>
      <c r="BG105" s="283"/>
      <c r="BH105" s="283"/>
      <c r="BI105" s="283"/>
      <c r="BJ105" s="283"/>
      <c r="BK105" s="283"/>
      <c r="BL105" s="283"/>
      <c r="BM105" s="283"/>
      <c r="BN105" s="283"/>
      <c r="BO105" s="283"/>
      <c r="BP105" s="283"/>
      <c r="BQ105" s="283"/>
      <c r="BR105" s="283"/>
      <c r="BS105" s="283"/>
      <c r="BT105" s="283"/>
      <c r="BU105" s="283"/>
      <c r="BV105" s="283"/>
      <c r="BW105" s="283"/>
      <c r="BX105" s="283"/>
      <c r="BY105" s="283"/>
      <c r="BZ105" s="283"/>
      <c r="CA105" s="283"/>
      <c r="CB105" s="283"/>
      <c r="CC105" s="283"/>
      <c r="CD105" s="283"/>
      <c r="CE105" s="283"/>
      <c r="CF105" s="283"/>
      <c r="CG105" s="283"/>
      <c r="CH105" s="283"/>
      <c r="CI105" s="283"/>
      <c r="CJ105" s="283"/>
      <c r="CK105" s="283"/>
      <c r="CL105" s="283"/>
      <c r="CM105" s="283"/>
      <c r="CN105" s="283"/>
    </row>
    <row r="106" spans="1:92" ht="14.25" hidden="1" customHeight="1" x14ac:dyDescent="0.2">
      <c r="A106" s="3"/>
      <c r="B106" s="3"/>
      <c r="C106" s="3"/>
      <c r="D106" s="52"/>
      <c r="E106" s="52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82"/>
      <c r="AH106" s="283"/>
      <c r="AI106" s="283"/>
      <c r="AJ106" s="283"/>
      <c r="AK106" s="283"/>
      <c r="AL106" s="283"/>
      <c r="AM106" s="283"/>
      <c r="AN106" s="283"/>
      <c r="AO106" s="283"/>
      <c r="AP106" s="283"/>
      <c r="AQ106" s="283"/>
      <c r="AR106" s="283"/>
      <c r="AS106" s="283"/>
      <c r="AT106" s="283"/>
      <c r="AU106" s="283"/>
      <c r="AV106" s="283"/>
      <c r="AW106" s="283"/>
      <c r="AX106" s="283"/>
      <c r="AY106" s="283"/>
      <c r="AZ106" s="283"/>
      <c r="BA106" s="283"/>
      <c r="BB106" s="283"/>
      <c r="BC106" s="283"/>
      <c r="BD106" s="283"/>
      <c r="BE106" s="283"/>
      <c r="BF106" s="283"/>
      <c r="BG106" s="283"/>
      <c r="BH106" s="283"/>
      <c r="BI106" s="283"/>
      <c r="BJ106" s="283"/>
      <c r="BK106" s="283"/>
      <c r="BL106" s="283"/>
      <c r="BM106" s="283"/>
      <c r="BN106" s="283"/>
      <c r="BO106" s="283"/>
      <c r="BP106" s="283"/>
      <c r="BQ106" s="283"/>
      <c r="BR106" s="283"/>
      <c r="BS106" s="283"/>
      <c r="BT106" s="283"/>
      <c r="BU106" s="283"/>
      <c r="BV106" s="283"/>
      <c r="BW106" s="283"/>
      <c r="BX106" s="283"/>
      <c r="BY106" s="283"/>
      <c r="BZ106" s="283"/>
      <c r="CA106" s="283"/>
      <c r="CB106" s="283"/>
      <c r="CC106" s="283"/>
      <c r="CD106" s="283"/>
      <c r="CE106" s="283"/>
      <c r="CF106" s="283"/>
      <c r="CG106" s="283"/>
      <c r="CH106" s="283"/>
      <c r="CI106" s="283"/>
      <c r="CJ106" s="283"/>
      <c r="CK106" s="283"/>
      <c r="CL106" s="283"/>
      <c r="CM106" s="283"/>
      <c r="CN106" s="283"/>
    </row>
    <row r="107" spans="1:92" ht="14.25" hidden="1" customHeight="1" x14ac:dyDescent="0.2">
      <c r="A107" s="3"/>
      <c r="B107" s="3"/>
      <c r="C107" s="3"/>
      <c r="D107" s="52"/>
      <c r="E107" s="52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82"/>
      <c r="AH107" s="283"/>
      <c r="AI107" s="283"/>
      <c r="AJ107" s="283"/>
      <c r="AK107" s="283"/>
      <c r="AL107" s="283"/>
      <c r="AM107" s="283"/>
      <c r="AN107" s="283"/>
      <c r="AO107" s="283"/>
      <c r="AP107" s="283"/>
      <c r="AQ107" s="283"/>
      <c r="AR107" s="283"/>
      <c r="AS107" s="283"/>
      <c r="AT107" s="283"/>
      <c r="AU107" s="283"/>
      <c r="AV107" s="283"/>
      <c r="AW107" s="283"/>
      <c r="AX107" s="283"/>
      <c r="AY107" s="283"/>
      <c r="AZ107" s="283"/>
      <c r="BA107" s="283"/>
      <c r="BB107" s="283"/>
      <c r="BC107" s="283"/>
      <c r="BD107" s="283"/>
      <c r="BE107" s="283"/>
      <c r="BF107" s="283"/>
      <c r="BG107" s="283"/>
      <c r="BH107" s="283"/>
      <c r="BI107" s="283"/>
      <c r="BJ107" s="283"/>
      <c r="BK107" s="283"/>
      <c r="BL107" s="283"/>
      <c r="BM107" s="283"/>
      <c r="BN107" s="283"/>
      <c r="BO107" s="283"/>
      <c r="BP107" s="283"/>
      <c r="BQ107" s="283"/>
      <c r="BR107" s="283"/>
      <c r="BS107" s="283"/>
      <c r="BT107" s="283"/>
      <c r="BU107" s="283"/>
      <c r="BV107" s="283"/>
      <c r="BW107" s="283"/>
      <c r="BX107" s="283"/>
      <c r="BY107" s="283"/>
      <c r="BZ107" s="283"/>
      <c r="CA107" s="283"/>
      <c r="CB107" s="283"/>
      <c r="CC107" s="283"/>
      <c r="CD107" s="283"/>
      <c r="CE107" s="283"/>
      <c r="CF107" s="283"/>
      <c r="CG107" s="283"/>
      <c r="CH107" s="283"/>
      <c r="CI107" s="283"/>
      <c r="CJ107" s="283"/>
      <c r="CK107" s="283"/>
      <c r="CL107" s="283"/>
      <c r="CM107" s="283"/>
      <c r="CN107" s="283"/>
    </row>
    <row r="108" spans="1:92" ht="14.25" hidden="1" customHeight="1" x14ac:dyDescent="0.2">
      <c r="A108" s="3"/>
      <c r="B108" s="3"/>
      <c r="C108" s="3"/>
      <c r="D108" s="52"/>
      <c r="E108" s="52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82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  <c r="CK108" s="283"/>
      <c r="CL108" s="283"/>
      <c r="CM108" s="283"/>
      <c r="CN108" s="283"/>
    </row>
    <row r="109" spans="1:92" ht="14.25" hidden="1" customHeight="1" x14ac:dyDescent="0.2">
      <c r="A109" s="3"/>
      <c r="B109" s="3"/>
      <c r="C109" s="3"/>
      <c r="D109" s="52"/>
      <c r="E109" s="52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82"/>
      <c r="AH109" s="283"/>
      <c r="AI109" s="283"/>
      <c r="AJ109" s="283"/>
      <c r="AK109" s="283"/>
      <c r="AL109" s="283"/>
      <c r="AM109" s="283"/>
      <c r="AN109" s="283"/>
      <c r="AO109" s="283"/>
      <c r="AP109" s="283"/>
      <c r="AQ109" s="283"/>
      <c r="AR109" s="283"/>
      <c r="AS109" s="283"/>
      <c r="AT109" s="283"/>
      <c r="AU109" s="283"/>
      <c r="AV109" s="283"/>
      <c r="AW109" s="283"/>
      <c r="AX109" s="283"/>
      <c r="AY109" s="283"/>
      <c r="AZ109" s="283"/>
      <c r="BA109" s="283"/>
      <c r="BB109" s="283"/>
      <c r="BC109" s="283"/>
      <c r="BD109" s="283"/>
      <c r="BE109" s="283"/>
      <c r="BF109" s="283"/>
      <c r="BG109" s="283"/>
      <c r="BH109" s="283"/>
      <c r="BI109" s="283"/>
      <c r="BJ109" s="283"/>
      <c r="BK109" s="283"/>
      <c r="BL109" s="283"/>
      <c r="BM109" s="283"/>
      <c r="BN109" s="283"/>
      <c r="BO109" s="283"/>
      <c r="BP109" s="283"/>
      <c r="BQ109" s="283"/>
      <c r="BR109" s="283"/>
      <c r="BS109" s="283"/>
      <c r="BT109" s="283"/>
      <c r="BU109" s="283"/>
      <c r="BV109" s="283"/>
      <c r="BW109" s="283"/>
      <c r="BX109" s="283"/>
      <c r="BY109" s="283"/>
      <c r="BZ109" s="283"/>
      <c r="CA109" s="283"/>
      <c r="CB109" s="283"/>
      <c r="CC109" s="283"/>
      <c r="CD109" s="283"/>
      <c r="CE109" s="283"/>
      <c r="CF109" s="283"/>
      <c r="CG109" s="283"/>
      <c r="CH109" s="283"/>
      <c r="CI109" s="283"/>
      <c r="CJ109" s="283"/>
      <c r="CK109" s="283"/>
      <c r="CL109" s="283"/>
      <c r="CM109" s="283"/>
      <c r="CN109" s="283"/>
    </row>
    <row r="110" spans="1:92" ht="14.25" hidden="1" customHeight="1" x14ac:dyDescent="0.2">
      <c r="A110" s="3"/>
      <c r="B110" s="3"/>
      <c r="C110" s="3"/>
      <c r="D110" s="52"/>
      <c r="E110" s="52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282"/>
      <c r="AH110" s="283"/>
      <c r="AI110" s="283"/>
      <c r="AJ110" s="283"/>
      <c r="AK110" s="283"/>
      <c r="AL110" s="283"/>
      <c r="AM110" s="283"/>
      <c r="AN110" s="283"/>
      <c r="AO110" s="283"/>
      <c r="AP110" s="283"/>
      <c r="AQ110" s="283"/>
      <c r="AR110" s="283"/>
      <c r="AS110" s="283"/>
      <c r="AT110" s="283"/>
      <c r="AU110" s="283"/>
      <c r="AV110" s="283"/>
      <c r="AW110" s="283"/>
      <c r="AX110" s="283"/>
      <c r="AY110" s="283"/>
      <c r="AZ110" s="283"/>
      <c r="BA110" s="283"/>
      <c r="BB110" s="283"/>
      <c r="BC110" s="283"/>
      <c r="BD110" s="283"/>
      <c r="BE110" s="283"/>
      <c r="BF110" s="283"/>
      <c r="BG110" s="283"/>
      <c r="BH110" s="283"/>
      <c r="BI110" s="283"/>
      <c r="BJ110" s="283"/>
      <c r="BK110" s="283"/>
      <c r="BL110" s="283"/>
      <c r="BM110" s="283"/>
      <c r="BN110" s="283"/>
      <c r="BO110" s="283"/>
      <c r="BP110" s="283"/>
      <c r="BQ110" s="283"/>
      <c r="BR110" s="283"/>
      <c r="BS110" s="283"/>
      <c r="BT110" s="283"/>
      <c r="BU110" s="283"/>
      <c r="BV110" s="283"/>
      <c r="BW110" s="283"/>
      <c r="BX110" s="283"/>
      <c r="BY110" s="283"/>
      <c r="BZ110" s="283"/>
      <c r="CA110" s="283"/>
      <c r="CB110" s="283"/>
      <c r="CC110" s="283"/>
      <c r="CD110" s="283"/>
      <c r="CE110" s="283"/>
      <c r="CF110" s="283"/>
      <c r="CG110" s="283"/>
      <c r="CH110" s="283"/>
      <c r="CI110" s="283"/>
      <c r="CJ110" s="283"/>
      <c r="CK110" s="283"/>
      <c r="CL110" s="283"/>
      <c r="CM110" s="283"/>
      <c r="CN110" s="283"/>
    </row>
    <row r="111" spans="1:92" ht="14.25" hidden="1" customHeight="1" x14ac:dyDescent="0.2">
      <c r="A111" s="3"/>
      <c r="B111" s="3"/>
      <c r="C111" s="3"/>
      <c r="D111" s="52"/>
      <c r="E111" s="52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282"/>
      <c r="AH111" s="283"/>
      <c r="AI111" s="283"/>
      <c r="AJ111" s="283"/>
      <c r="AK111" s="283"/>
      <c r="AL111" s="283"/>
      <c r="AM111" s="283"/>
      <c r="AN111" s="283"/>
      <c r="AO111" s="283"/>
      <c r="AP111" s="283"/>
      <c r="AQ111" s="283"/>
      <c r="AR111" s="283"/>
      <c r="AS111" s="283"/>
      <c r="AT111" s="283"/>
      <c r="AU111" s="283"/>
      <c r="AV111" s="283"/>
      <c r="AW111" s="283"/>
      <c r="AX111" s="283"/>
      <c r="AY111" s="283"/>
      <c r="AZ111" s="283"/>
      <c r="BA111" s="283"/>
      <c r="BB111" s="283"/>
      <c r="BC111" s="283"/>
      <c r="BD111" s="283"/>
      <c r="BE111" s="283"/>
      <c r="BF111" s="283"/>
      <c r="BG111" s="283"/>
      <c r="BH111" s="283"/>
      <c r="BI111" s="283"/>
      <c r="BJ111" s="283"/>
      <c r="BK111" s="283"/>
      <c r="BL111" s="283"/>
      <c r="BM111" s="283"/>
      <c r="BN111" s="283"/>
      <c r="BO111" s="283"/>
      <c r="BP111" s="283"/>
      <c r="BQ111" s="283"/>
      <c r="BR111" s="283"/>
      <c r="BS111" s="283"/>
      <c r="BT111" s="283"/>
      <c r="BU111" s="283"/>
      <c r="BV111" s="283"/>
      <c r="BW111" s="283"/>
      <c r="BX111" s="283"/>
      <c r="BY111" s="283"/>
      <c r="BZ111" s="283"/>
      <c r="CA111" s="283"/>
      <c r="CB111" s="283"/>
      <c r="CC111" s="283"/>
      <c r="CD111" s="283"/>
      <c r="CE111" s="283"/>
      <c r="CF111" s="283"/>
      <c r="CG111" s="283"/>
      <c r="CH111" s="283"/>
      <c r="CI111" s="283"/>
      <c r="CJ111" s="283"/>
      <c r="CK111" s="283"/>
      <c r="CL111" s="283"/>
      <c r="CM111" s="283"/>
      <c r="CN111" s="283"/>
    </row>
    <row r="112" spans="1:92" ht="14.25" hidden="1" customHeight="1" x14ac:dyDescent="0.2">
      <c r="A112" s="3"/>
      <c r="B112" s="3"/>
      <c r="C112" s="3"/>
      <c r="D112" s="52"/>
      <c r="E112" s="52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282"/>
      <c r="AH112" s="283"/>
      <c r="AI112" s="283"/>
      <c r="AJ112" s="283"/>
      <c r="AK112" s="283"/>
      <c r="AL112" s="283"/>
      <c r="AM112" s="283"/>
      <c r="AN112" s="283"/>
      <c r="AO112" s="283"/>
      <c r="AP112" s="283"/>
      <c r="AQ112" s="283"/>
      <c r="AR112" s="283"/>
      <c r="AS112" s="283"/>
      <c r="AT112" s="283"/>
      <c r="AU112" s="283"/>
      <c r="AV112" s="283"/>
      <c r="AW112" s="283"/>
      <c r="AX112" s="283"/>
      <c r="AY112" s="283"/>
      <c r="AZ112" s="283"/>
      <c r="BA112" s="283"/>
      <c r="BB112" s="283"/>
      <c r="BC112" s="283"/>
      <c r="BD112" s="283"/>
      <c r="BE112" s="283"/>
      <c r="BF112" s="283"/>
      <c r="BG112" s="283"/>
      <c r="BH112" s="283"/>
      <c r="BI112" s="283"/>
      <c r="BJ112" s="283"/>
      <c r="BK112" s="283"/>
      <c r="BL112" s="283"/>
      <c r="BM112" s="283"/>
      <c r="BN112" s="283"/>
      <c r="BO112" s="283"/>
      <c r="BP112" s="283"/>
      <c r="BQ112" s="283"/>
      <c r="BR112" s="283"/>
      <c r="BS112" s="283"/>
      <c r="BT112" s="283"/>
      <c r="BU112" s="283"/>
      <c r="BV112" s="283"/>
      <c r="BW112" s="283"/>
      <c r="BX112" s="283"/>
      <c r="BY112" s="283"/>
      <c r="BZ112" s="283"/>
      <c r="CA112" s="283"/>
      <c r="CB112" s="283"/>
      <c r="CC112" s="283"/>
      <c r="CD112" s="283"/>
      <c r="CE112" s="283"/>
      <c r="CF112" s="283"/>
      <c r="CG112" s="283"/>
      <c r="CH112" s="283"/>
      <c r="CI112" s="283"/>
      <c r="CJ112" s="283"/>
      <c r="CK112" s="283"/>
      <c r="CL112" s="283"/>
      <c r="CM112" s="283"/>
      <c r="CN112" s="283"/>
    </row>
    <row r="113" spans="1:92" ht="14.25" hidden="1" customHeight="1" x14ac:dyDescent="0.2">
      <c r="A113" s="3"/>
      <c r="B113" s="3"/>
      <c r="C113" s="3"/>
      <c r="D113" s="52"/>
      <c r="E113" s="52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282"/>
      <c r="AH113" s="283"/>
      <c r="AI113" s="283"/>
      <c r="AJ113" s="283"/>
      <c r="AK113" s="283"/>
      <c r="AL113" s="283"/>
      <c r="AM113" s="283"/>
      <c r="AN113" s="283"/>
      <c r="AO113" s="283"/>
      <c r="AP113" s="283"/>
      <c r="AQ113" s="283"/>
      <c r="AR113" s="283"/>
      <c r="AS113" s="283"/>
      <c r="AT113" s="283"/>
      <c r="AU113" s="283"/>
      <c r="AV113" s="283"/>
      <c r="AW113" s="283"/>
      <c r="AX113" s="283"/>
      <c r="AY113" s="283"/>
      <c r="AZ113" s="283"/>
      <c r="BA113" s="283"/>
      <c r="BB113" s="283"/>
      <c r="BC113" s="283"/>
      <c r="BD113" s="283"/>
      <c r="BE113" s="283"/>
      <c r="BF113" s="283"/>
      <c r="BG113" s="283"/>
      <c r="BH113" s="283"/>
      <c r="BI113" s="283"/>
      <c r="BJ113" s="283"/>
      <c r="BK113" s="283"/>
      <c r="BL113" s="283"/>
      <c r="BM113" s="283"/>
      <c r="BN113" s="283"/>
      <c r="BO113" s="283"/>
      <c r="BP113" s="283"/>
      <c r="BQ113" s="283"/>
      <c r="BR113" s="283"/>
      <c r="BS113" s="283"/>
      <c r="BT113" s="283"/>
      <c r="BU113" s="283"/>
      <c r="BV113" s="283"/>
      <c r="BW113" s="283"/>
      <c r="BX113" s="283"/>
      <c r="BY113" s="283"/>
      <c r="BZ113" s="283"/>
      <c r="CA113" s="283"/>
      <c r="CB113" s="283"/>
      <c r="CC113" s="283"/>
      <c r="CD113" s="283"/>
      <c r="CE113" s="283"/>
      <c r="CF113" s="283"/>
      <c r="CG113" s="283"/>
      <c r="CH113" s="283"/>
      <c r="CI113" s="283"/>
      <c r="CJ113" s="283"/>
      <c r="CK113" s="283"/>
      <c r="CL113" s="283"/>
      <c r="CM113" s="283"/>
      <c r="CN113" s="283"/>
    </row>
    <row r="114" spans="1:92" ht="14.25" hidden="1" customHeight="1" x14ac:dyDescent="0.2">
      <c r="A114" s="3"/>
      <c r="B114" s="3"/>
      <c r="C114" s="3"/>
      <c r="D114" s="52"/>
      <c r="E114" s="52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282"/>
      <c r="AH114" s="283"/>
      <c r="AI114" s="283"/>
      <c r="AJ114" s="283"/>
      <c r="AK114" s="283"/>
      <c r="AL114" s="283"/>
      <c r="AM114" s="283"/>
      <c r="AN114" s="283"/>
      <c r="AO114" s="283"/>
      <c r="AP114" s="283"/>
      <c r="AQ114" s="283"/>
      <c r="AR114" s="283"/>
      <c r="AS114" s="283"/>
      <c r="AT114" s="283"/>
      <c r="AU114" s="283"/>
      <c r="AV114" s="283"/>
      <c r="AW114" s="283"/>
      <c r="AX114" s="283"/>
      <c r="AY114" s="283"/>
      <c r="AZ114" s="283"/>
      <c r="BA114" s="283"/>
      <c r="BB114" s="283"/>
      <c r="BC114" s="283"/>
      <c r="BD114" s="283"/>
      <c r="BE114" s="283"/>
      <c r="BF114" s="283"/>
      <c r="BG114" s="283"/>
      <c r="BH114" s="283"/>
      <c r="BI114" s="283"/>
      <c r="BJ114" s="283"/>
      <c r="BK114" s="283"/>
      <c r="BL114" s="283"/>
      <c r="BM114" s="283"/>
      <c r="BN114" s="283"/>
      <c r="BO114" s="283"/>
      <c r="BP114" s="283"/>
      <c r="BQ114" s="283"/>
      <c r="BR114" s="283"/>
      <c r="BS114" s="283"/>
      <c r="BT114" s="283"/>
      <c r="BU114" s="283"/>
      <c r="BV114" s="283"/>
      <c r="BW114" s="283"/>
      <c r="BX114" s="283"/>
      <c r="BY114" s="283"/>
      <c r="BZ114" s="283"/>
      <c r="CA114" s="283"/>
      <c r="CB114" s="283"/>
      <c r="CC114" s="283"/>
      <c r="CD114" s="283"/>
      <c r="CE114" s="283"/>
      <c r="CF114" s="283"/>
      <c r="CG114" s="283"/>
      <c r="CH114" s="283"/>
      <c r="CI114" s="283"/>
      <c r="CJ114" s="283"/>
      <c r="CK114" s="283"/>
      <c r="CL114" s="283"/>
      <c r="CM114" s="283"/>
      <c r="CN114" s="283"/>
    </row>
    <row r="115" spans="1:92" ht="14.25" hidden="1" customHeight="1" x14ac:dyDescent="0.2">
      <c r="A115" s="3"/>
      <c r="B115" s="3"/>
      <c r="C115" s="3"/>
      <c r="D115" s="52"/>
      <c r="E115" s="52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82"/>
      <c r="AH115" s="283"/>
      <c r="AI115" s="283"/>
      <c r="AJ115" s="283"/>
      <c r="AK115" s="283"/>
      <c r="AL115" s="283"/>
      <c r="AM115" s="283"/>
      <c r="AN115" s="283"/>
      <c r="AO115" s="283"/>
      <c r="AP115" s="283"/>
      <c r="AQ115" s="283"/>
      <c r="AR115" s="283"/>
      <c r="AS115" s="283"/>
      <c r="AT115" s="283"/>
      <c r="AU115" s="283"/>
      <c r="AV115" s="283"/>
      <c r="AW115" s="283"/>
      <c r="AX115" s="283"/>
      <c r="AY115" s="283"/>
      <c r="AZ115" s="283"/>
      <c r="BA115" s="283"/>
      <c r="BB115" s="283"/>
      <c r="BC115" s="283"/>
      <c r="BD115" s="283"/>
      <c r="BE115" s="283"/>
      <c r="BF115" s="283"/>
      <c r="BG115" s="283"/>
      <c r="BH115" s="283"/>
      <c r="BI115" s="283"/>
      <c r="BJ115" s="283"/>
      <c r="BK115" s="283"/>
      <c r="BL115" s="283"/>
      <c r="BM115" s="283"/>
      <c r="BN115" s="283"/>
      <c r="BO115" s="283"/>
      <c r="BP115" s="283"/>
      <c r="BQ115" s="283"/>
      <c r="BR115" s="283"/>
      <c r="BS115" s="283"/>
      <c r="BT115" s="283"/>
      <c r="BU115" s="283"/>
      <c r="BV115" s="283"/>
      <c r="BW115" s="283"/>
      <c r="BX115" s="283"/>
      <c r="BY115" s="283"/>
      <c r="BZ115" s="283"/>
      <c r="CA115" s="283"/>
      <c r="CB115" s="283"/>
      <c r="CC115" s="283"/>
      <c r="CD115" s="283"/>
      <c r="CE115" s="283"/>
      <c r="CF115" s="283"/>
      <c r="CG115" s="283"/>
      <c r="CH115" s="283"/>
      <c r="CI115" s="283"/>
      <c r="CJ115" s="283"/>
      <c r="CK115" s="283"/>
      <c r="CL115" s="283"/>
      <c r="CM115" s="283"/>
      <c r="CN115" s="283"/>
    </row>
    <row r="116" spans="1:92" ht="14.25" customHeight="1" x14ac:dyDescent="0.2">
      <c r="A116" s="3"/>
      <c r="B116" s="3"/>
      <c r="C116" s="3"/>
      <c r="D116" s="52"/>
      <c r="E116" s="52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82"/>
      <c r="AH116" s="283"/>
      <c r="AI116" s="283"/>
      <c r="AJ116" s="283"/>
      <c r="AK116" s="283"/>
      <c r="AL116" s="283"/>
      <c r="AM116" s="283"/>
      <c r="AN116" s="283"/>
      <c r="AO116" s="283"/>
      <c r="AP116" s="283"/>
      <c r="AQ116" s="283"/>
      <c r="AR116" s="283"/>
      <c r="AS116" s="283"/>
      <c r="AT116" s="283"/>
      <c r="AU116" s="283"/>
      <c r="AV116" s="283"/>
      <c r="AW116" s="283"/>
      <c r="AX116" s="283"/>
      <c r="AY116" s="283"/>
      <c r="AZ116" s="283"/>
      <c r="BA116" s="283"/>
      <c r="BB116" s="283"/>
      <c r="BC116" s="283"/>
      <c r="BD116" s="283"/>
      <c r="BE116" s="283"/>
      <c r="BF116" s="283"/>
      <c r="BG116" s="283"/>
      <c r="BH116" s="283"/>
      <c r="BI116" s="283"/>
      <c r="BJ116" s="283"/>
      <c r="BK116" s="283"/>
      <c r="BL116" s="283"/>
      <c r="BM116" s="283"/>
      <c r="BN116" s="283"/>
      <c r="BO116" s="283"/>
      <c r="BP116" s="283"/>
      <c r="BQ116" s="283"/>
      <c r="BR116" s="283"/>
      <c r="BS116" s="283"/>
      <c r="BT116" s="283"/>
      <c r="BU116" s="283"/>
      <c r="BV116" s="283"/>
      <c r="BW116" s="283"/>
      <c r="BX116" s="283"/>
      <c r="BY116" s="283"/>
      <c r="BZ116" s="283"/>
      <c r="CA116" s="283"/>
      <c r="CB116" s="283"/>
      <c r="CC116" s="283"/>
      <c r="CD116" s="283"/>
      <c r="CE116" s="283"/>
      <c r="CF116" s="283"/>
      <c r="CG116" s="283"/>
      <c r="CH116" s="283"/>
      <c r="CI116" s="283"/>
      <c r="CJ116" s="283"/>
      <c r="CK116" s="283"/>
      <c r="CL116" s="283"/>
      <c r="CM116" s="283"/>
      <c r="CN116" s="283"/>
    </row>
    <row r="117" spans="1:92" ht="14.25" customHeight="1" x14ac:dyDescent="0.2">
      <c r="A117" s="3"/>
      <c r="B117" s="3"/>
      <c r="C117" s="3"/>
      <c r="D117" s="52"/>
      <c r="E117" s="52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82"/>
      <c r="AH117" s="283"/>
      <c r="AI117" s="283"/>
      <c r="AJ117" s="283"/>
      <c r="AK117" s="283"/>
      <c r="AL117" s="283"/>
      <c r="AM117" s="283"/>
      <c r="AN117" s="283"/>
      <c r="AO117" s="283"/>
      <c r="AP117" s="283"/>
      <c r="AQ117" s="283"/>
      <c r="AR117" s="283"/>
      <c r="AS117" s="283"/>
      <c r="AT117" s="283"/>
      <c r="AU117" s="283"/>
      <c r="AV117" s="283"/>
      <c r="AW117" s="283"/>
      <c r="AX117" s="283"/>
      <c r="AY117" s="283"/>
      <c r="AZ117" s="283"/>
      <c r="BA117" s="283"/>
      <c r="BB117" s="283"/>
      <c r="BC117" s="283"/>
      <c r="BD117" s="283"/>
      <c r="BE117" s="283"/>
      <c r="BF117" s="283"/>
      <c r="BG117" s="283"/>
      <c r="BH117" s="283"/>
      <c r="BI117" s="283"/>
      <c r="BJ117" s="283"/>
      <c r="BK117" s="283"/>
      <c r="BL117" s="283"/>
      <c r="BM117" s="283"/>
      <c r="BN117" s="283"/>
      <c r="BO117" s="283"/>
      <c r="BP117" s="283"/>
      <c r="BQ117" s="283"/>
      <c r="BR117" s="283"/>
      <c r="BS117" s="283"/>
      <c r="BT117" s="283"/>
      <c r="BU117" s="283"/>
      <c r="BV117" s="283"/>
      <c r="BW117" s="283"/>
      <c r="BX117" s="283"/>
      <c r="BY117" s="283"/>
      <c r="BZ117" s="283"/>
      <c r="CA117" s="283"/>
      <c r="CB117" s="283"/>
      <c r="CC117" s="283"/>
      <c r="CD117" s="283"/>
      <c r="CE117" s="283"/>
      <c r="CF117" s="283"/>
      <c r="CG117" s="283"/>
      <c r="CH117" s="283"/>
      <c r="CI117" s="283"/>
      <c r="CJ117" s="283"/>
      <c r="CK117" s="283"/>
      <c r="CL117" s="283"/>
      <c r="CM117" s="283"/>
      <c r="CN117" s="283"/>
    </row>
    <row r="118" spans="1:92" ht="14.25" customHeight="1" x14ac:dyDescent="0.2">
      <c r="A118" s="3"/>
      <c r="B118" s="3"/>
      <c r="C118" s="3"/>
      <c r="D118" s="52"/>
      <c r="E118" s="52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82"/>
      <c r="AH118" s="283"/>
      <c r="AI118" s="283"/>
      <c r="AJ118" s="283"/>
      <c r="AK118" s="283"/>
      <c r="AL118" s="283"/>
      <c r="AM118" s="283"/>
      <c r="AN118" s="283"/>
      <c r="AO118" s="283"/>
      <c r="AP118" s="283"/>
      <c r="AQ118" s="283"/>
      <c r="AR118" s="283"/>
      <c r="AS118" s="283"/>
      <c r="AT118" s="283"/>
      <c r="AU118" s="283"/>
      <c r="AV118" s="283"/>
      <c r="AW118" s="283"/>
      <c r="AX118" s="283"/>
      <c r="AY118" s="283"/>
      <c r="AZ118" s="283"/>
      <c r="BA118" s="283"/>
      <c r="BB118" s="283"/>
      <c r="BC118" s="283"/>
      <c r="BD118" s="283"/>
      <c r="BE118" s="283"/>
      <c r="BF118" s="283"/>
      <c r="BG118" s="283"/>
      <c r="BH118" s="283"/>
      <c r="BI118" s="283"/>
      <c r="BJ118" s="283"/>
      <c r="BK118" s="283"/>
      <c r="BL118" s="283"/>
      <c r="BM118" s="283"/>
      <c r="BN118" s="283"/>
      <c r="BO118" s="283"/>
      <c r="BP118" s="283"/>
      <c r="BQ118" s="283"/>
      <c r="BR118" s="283"/>
      <c r="BS118" s="283"/>
      <c r="BT118" s="283"/>
      <c r="BU118" s="283"/>
      <c r="BV118" s="283"/>
      <c r="BW118" s="283"/>
      <c r="BX118" s="283"/>
      <c r="BY118" s="283"/>
      <c r="BZ118" s="283"/>
      <c r="CA118" s="283"/>
      <c r="CB118" s="283"/>
      <c r="CC118" s="283"/>
      <c r="CD118" s="283"/>
      <c r="CE118" s="283"/>
      <c r="CF118" s="283"/>
      <c r="CG118" s="283"/>
      <c r="CH118" s="283"/>
      <c r="CI118" s="283"/>
      <c r="CJ118" s="283"/>
      <c r="CK118" s="283"/>
      <c r="CL118" s="283"/>
      <c r="CM118" s="283"/>
      <c r="CN118" s="283"/>
    </row>
    <row r="119" spans="1:92" ht="14.25" customHeight="1" x14ac:dyDescent="0.2">
      <c r="A119" s="3"/>
      <c r="B119" s="3"/>
      <c r="C119" s="3"/>
      <c r="D119" s="52"/>
      <c r="E119" s="52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82"/>
      <c r="AH119" s="283"/>
      <c r="AI119" s="283"/>
      <c r="AJ119" s="283"/>
      <c r="AK119" s="283"/>
      <c r="AL119" s="283"/>
      <c r="AM119" s="283"/>
      <c r="AN119" s="283"/>
      <c r="AO119" s="283"/>
      <c r="AP119" s="283"/>
      <c r="AQ119" s="283"/>
      <c r="AR119" s="283"/>
      <c r="AS119" s="283"/>
      <c r="AT119" s="283"/>
      <c r="AU119" s="283"/>
      <c r="AV119" s="283"/>
      <c r="AW119" s="283"/>
      <c r="AX119" s="283"/>
      <c r="AY119" s="283"/>
      <c r="AZ119" s="283"/>
      <c r="BA119" s="283"/>
      <c r="BB119" s="283"/>
      <c r="BC119" s="283"/>
      <c r="BD119" s="283"/>
      <c r="BE119" s="283"/>
      <c r="BF119" s="283"/>
      <c r="BG119" s="283"/>
      <c r="BH119" s="283"/>
      <c r="BI119" s="283"/>
      <c r="BJ119" s="283"/>
      <c r="BK119" s="283"/>
      <c r="BL119" s="283"/>
      <c r="BM119" s="283"/>
      <c r="BN119" s="283"/>
      <c r="BO119" s="283"/>
      <c r="BP119" s="283"/>
      <c r="BQ119" s="283"/>
      <c r="BR119" s="283"/>
      <c r="BS119" s="283"/>
      <c r="BT119" s="283"/>
      <c r="BU119" s="283"/>
      <c r="BV119" s="283"/>
      <c r="BW119" s="283"/>
      <c r="BX119" s="283"/>
      <c r="BY119" s="283"/>
      <c r="BZ119" s="283"/>
      <c r="CA119" s="283"/>
      <c r="CB119" s="283"/>
      <c r="CC119" s="283"/>
      <c r="CD119" s="283"/>
      <c r="CE119" s="283"/>
      <c r="CF119" s="283"/>
      <c r="CG119" s="283"/>
      <c r="CH119" s="283"/>
      <c r="CI119" s="283"/>
      <c r="CJ119" s="283"/>
      <c r="CK119" s="283"/>
      <c r="CL119" s="283"/>
      <c r="CM119" s="283"/>
      <c r="CN119" s="283"/>
    </row>
    <row r="120" spans="1:92" ht="14.25" customHeight="1" x14ac:dyDescent="0.2">
      <c r="A120" s="3"/>
      <c r="B120" s="3"/>
      <c r="C120" s="3"/>
      <c r="D120" s="52"/>
      <c r="E120" s="52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82"/>
      <c r="AH120" s="283"/>
      <c r="AI120" s="283"/>
      <c r="AJ120" s="283"/>
      <c r="AK120" s="283"/>
      <c r="AL120" s="283"/>
      <c r="AM120" s="283"/>
      <c r="AN120" s="283"/>
      <c r="AO120" s="283"/>
      <c r="AP120" s="283"/>
      <c r="AQ120" s="283"/>
      <c r="AR120" s="283"/>
      <c r="AS120" s="283"/>
      <c r="AT120" s="283"/>
      <c r="AU120" s="283"/>
      <c r="AV120" s="283"/>
      <c r="AW120" s="283"/>
      <c r="AX120" s="283"/>
      <c r="AY120" s="283"/>
      <c r="AZ120" s="283"/>
      <c r="BA120" s="283"/>
      <c r="BB120" s="283"/>
      <c r="BC120" s="283"/>
      <c r="BD120" s="283"/>
      <c r="BE120" s="283"/>
      <c r="BF120" s="283"/>
      <c r="BG120" s="283"/>
      <c r="BH120" s="283"/>
      <c r="BI120" s="283"/>
      <c r="BJ120" s="283"/>
      <c r="BK120" s="283"/>
      <c r="BL120" s="283"/>
      <c r="BM120" s="283"/>
      <c r="BN120" s="283"/>
      <c r="BO120" s="283"/>
      <c r="BP120" s="283"/>
      <c r="BQ120" s="283"/>
      <c r="BR120" s="283"/>
      <c r="BS120" s="283"/>
      <c r="BT120" s="283"/>
      <c r="BU120" s="283"/>
      <c r="BV120" s="283"/>
      <c r="BW120" s="283"/>
      <c r="BX120" s="283"/>
      <c r="BY120" s="283"/>
      <c r="BZ120" s="283"/>
      <c r="CA120" s="283"/>
      <c r="CB120" s="283"/>
      <c r="CC120" s="283"/>
      <c r="CD120" s="283"/>
      <c r="CE120" s="283"/>
      <c r="CF120" s="283"/>
      <c r="CG120" s="283"/>
      <c r="CH120" s="283"/>
      <c r="CI120" s="283"/>
      <c r="CJ120" s="283"/>
      <c r="CK120" s="283"/>
      <c r="CL120" s="283"/>
      <c r="CM120" s="283"/>
      <c r="CN120" s="283"/>
    </row>
    <row r="121" spans="1:92" ht="14.25" customHeight="1" x14ac:dyDescent="0.2">
      <c r="A121" s="3"/>
      <c r="B121" s="3"/>
      <c r="C121" s="3"/>
      <c r="D121" s="52"/>
      <c r="E121" s="52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82"/>
      <c r="AH121" s="283"/>
      <c r="AI121" s="283"/>
      <c r="AJ121" s="283"/>
      <c r="AK121" s="283"/>
      <c r="AL121" s="283"/>
      <c r="AM121" s="283"/>
      <c r="AN121" s="283"/>
      <c r="AO121" s="283"/>
      <c r="AP121" s="283"/>
      <c r="AQ121" s="283"/>
      <c r="AR121" s="283"/>
      <c r="AS121" s="283"/>
      <c r="AT121" s="283"/>
      <c r="AU121" s="283"/>
      <c r="AV121" s="283"/>
      <c r="AW121" s="283"/>
      <c r="AX121" s="283"/>
      <c r="AY121" s="283"/>
      <c r="AZ121" s="283"/>
      <c r="BA121" s="283"/>
      <c r="BB121" s="283"/>
      <c r="BC121" s="283"/>
      <c r="BD121" s="283"/>
      <c r="BE121" s="283"/>
      <c r="BF121" s="283"/>
      <c r="BG121" s="283"/>
      <c r="BH121" s="283"/>
      <c r="BI121" s="283"/>
      <c r="BJ121" s="283"/>
      <c r="BK121" s="283"/>
      <c r="BL121" s="283"/>
      <c r="BM121" s="283"/>
      <c r="BN121" s="283"/>
      <c r="BO121" s="283"/>
      <c r="BP121" s="283"/>
      <c r="BQ121" s="283"/>
      <c r="BR121" s="283"/>
      <c r="BS121" s="283"/>
      <c r="BT121" s="283"/>
      <c r="BU121" s="283"/>
      <c r="BV121" s="283"/>
      <c r="BW121" s="283"/>
      <c r="BX121" s="283"/>
      <c r="BY121" s="283"/>
      <c r="BZ121" s="283"/>
      <c r="CA121" s="283"/>
      <c r="CB121" s="283"/>
      <c r="CC121" s="283"/>
      <c r="CD121" s="283"/>
      <c r="CE121" s="283"/>
      <c r="CF121" s="283"/>
      <c r="CG121" s="283"/>
      <c r="CH121" s="283"/>
      <c r="CI121" s="283"/>
      <c r="CJ121" s="283"/>
      <c r="CK121" s="283"/>
      <c r="CL121" s="283"/>
      <c r="CM121" s="283"/>
      <c r="CN121" s="283"/>
    </row>
    <row r="122" spans="1:92" ht="14.25" customHeight="1" x14ac:dyDescent="0.2">
      <c r="A122" s="3"/>
      <c r="B122" s="3"/>
      <c r="C122" s="3"/>
      <c r="D122" s="52"/>
      <c r="E122" s="52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82"/>
      <c r="AH122" s="283"/>
      <c r="AI122" s="283"/>
      <c r="AJ122" s="283"/>
      <c r="AK122" s="283"/>
      <c r="AL122" s="283"/>
      <c r="AM122" s="283"/>
      <c r="AN122" s="283"/>
      <c r="AO122" s="283"/>
      <c r="AP122" s="283"/>
      <c r="AQ122" s="283"/>
      <c r="AR122" s="283"/>
      <c r="AS122" s="283"/>
      <c r="AT122" s="283"/>
      <c r="AU122" s="283"/>
      <c r="AV122" s="283"/>
      <c r="AW122" s="283"/>
      <c r="AX122" s="283"/>
      <c r="AY122" s="283"/>
      <c r="AZ122" s="283"/>
      <c r="BA122" s="283"/>
      <c r="BB122" s="283"/>
      <c r="BC122" s="283"/>
      <c r="BD122" s="283"/>
      <c r="BE122" s="283"/>
      <c r="BF122" s="283"/>
      <c r="BG122" s="283"/>
      <c r="BH122" s="283"/>
      <c r="BI122" s="283"/>
      <c r="BJ122" s="283"/>
      <c r="BK122" s="283"/>
      <c r="BL122" s="283"/>
      <c r="BM122" s="283"/>
      <c r="BN122" s="283"/>
      <c r="BO122" s="283"/>
      <c r="BP122" s="283"/>
      <c r="BQ122" s="283"/>
      <c r="BR122" s="283"/>
      <c r="BS122" s="283"/>
      <c r="BT122" s="283"/>
      <c r="BU122" s="283"/>
      <c r="BV122" s="283"/>
      <c r="BW122" s="283"/>
      <c r="BX122" s="283"/>
      <c r="BY122" s="283"/>
      <c r="BZ122" s="283"/>
      <c r="CA122" s="283"/>
      <c r="CB122" s="283"/>
      <c r="CC122" s="283"/>
      <c r="CD122" s="283"/>
      <c r="CE122" s="283"/>
      <c r="CF122" s="283"/>
      <c r="CG122" s="283"/>
      <c r="CH122" s="283"/>
      <c r="CI122" s="283"/>
      <c r="CJ122" s="283"/>
      <c r="CK122" s="283"/>
      <c r="CL122" s="283"/>
      <c r="CM122" s="283"/>
      <c r="CN122" s="283"/>
    </row>
    <row r="123" spans="1:92" ht="14.25" customHeight="1" x14ac:dyDescent="0.2">
      <c r="A123" s="3"/>
      <c r="B123" s="3"/>
      <c r="C123" s="3"/>
      <c r="D123" s="52"/>
      <c r="E123" s="52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82"/>
      <c r="AH123" s="283"/>
      <c r="AI123" s="283"/>
      <c r="AJ123" s="283"/>
      <c r="AK123" s="283"/>
      <c r="AL123" s="283"/>
      <c r="AM123" s="283"/>
      <c r="AN123" s="283"/>
      <c r="AO123" s="283"/>
      <c r="AP123" s="283"/>
      <c r="AQ123" s="283"/>
      <c r="AR123" s="283"/>
      <c r="AS123" s="283"/>
      <c r="AT123" s="283"/>
      <c r="AU123" s="283"/>
      <c r="AV123" s="283"/>
      <c r="AW123" s="283"/>
      <c r="AX123" s="283"/>
      <c r="AY123" s="283"/>
      <c r="AZ123" s="283"/>
      <c r="BA123" s="283"/>
      <c r="BB123" s="283"/>
      <c r="BC123" s="283"/>
      <c r="BD123" s="283"/>
      <c r="BE123" s="283"/>
      <c r="BF123" s="283"/>
      <c r="BG123" s="283"/>
      <c r="BH123" s="283"/>
      <c r="BI123" s="283"/>
      <c r="BJ123" s="283"/>
      <c r="BK123" s="283"/>
      <c r="BL123" s="283"/>
      <c r="BM123" s="283"/>
      <c r="BN123" s="283"/>
      <c r="BO123" s="283"/>
      <c r="BP123" s="283"/>
      <c r="BQ123" s="283"/>
      <c r="BR123" s="283"/>
      <c r="BS123" s="283"/>
      <c r="BT123" s="283"/>
      <c r="BU123" s="283"/>
      <c r="BV123" s="283"/>
      <c r="BW123" s="283"/>
      <c r="BX123" s="283"/>
      <c r="BY123" s="283"/>
      <c r="BZ123" s="283"/>
      <c r="CA123" s="283"/>
      <c r="CB123" s="283"/>
      <c r="CC123" s="283"/>
      <c r="CD123" s="283"/>
      <c r="CE123" s="283"/>
      <c r="CF123" s="283"/>
      <c r="CG123" s="283"/>
      <c r="CH123" s="283"/>
      <c r="CI123" s="283"/>
      <c r="CJ123" s="283"/>
      <c r="CK123" s="283"/>
      <c r="CL123" s="283"/>
      <c r="CM123" s="283"/>
      <c r="CN123" s="283"/>
    </row>
    <row r="124" spans="1:92" ht="14.25" customHeight="1" x14ac:dyDescent="0.2">
      <c r="A124" s="3"/>
      <c r="B124" s="3"/>
      <c r="C124" s="3"/>
      <c r="D124" s="52"/>
      <c r="E124" s="52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82"/>
      <c r="AH124" s="283"/>
      <c r="AI124" s="283"/>
      <c r="AJ124" s="283"/>
      <c r="AK124" s="283"/>
      <c r="AL124" s="283"/>
      <c r="AM124" s="283"/>
      <c r="AN124" s="283"/>
      <c r="AO124" s="283"/>
      <c r="AP124" s="283"/>
      <c r="AQ124" s="283"/>
      <c r="AR124" s="283"/>
      <c r="AS124" s="283"/>
      <c r="AT124" s="283"/>
      <c r="AU124" s="283"/>
      <c r="AV124" s="283"/>
      <c r="AW124" s="283"/>
      <c r="AX124" s="283"/>
      <c r="AY124" s="283"/>
      <c r="AZ124" s="283"/>
      <c r="BA124" s="283"/>
      <c r="BB124" s="283"/>
      <c r="BC124" s="283"/>
      <c r="BD124" s="283"/>
      <c r="BE124" s="283"/>
      <c r="BF124" s="283"/>
      <c r="BG124" s="283"/>
      <c r="BH124" s="283"/>
      <c r="BI124" s="283"/>
      <c r="BJ124" s="283"/>
      <c r="BK124" s="283"/>
      <c r="BL124" s="283"/>
      <c r="BM124" s="283"/>
      <c r="BN124" s="283"/>
      <c r="BO124" s="283"/>
      <c r="BP124" s="283"/>
      <c r="BQ124" s="283"/>
      <c r="BR124" s="283"/>
      <c r="BS124" s="283"/>
      <c r="BT124" s="283"/>
      <c r="BU124" s="283"/>
      <c r="BV124" s="283"/>
      <c r="BW124" s="283"/>
      <c r="BX124" s="283"/>
      <c r="BY124" s="283"/>
      <c r="BZ124" s="283"/>
      <c r="CA124" s="283"/>
      <c r="CB124" s="283"/>
      <c r="CC124" s="283"/>
      <c r="CD124" s="283"/>
      <c r="CE124" s="283"/>
      <c r="CF124" s="283"/>
      <c r="CG124" s="283"/>
      <c r="CH124" s="283"/>
      <c r="CI124" s="283"/>
      <c r="CJ124" s="283"/>
      <c r="CK124" s="283"/>
      <c r="CL124" s="283"/>
      <c r="CM124" s="283"/>
      <c r="CN124" s="283"/>
    </row>
    <row r="125" spans="1:92" ht="14.25" customHeight="1" x14ac:dyDescent="0.2">
      <c r="A125" s="3"/>
      <c r="B125" s="3"/>
      <c r="C125" s="3"/>
      <c r="D125" s="52"/>
      <c r="E125" s="52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82"/>
      <c r="AH125" s="283"/>
      <c r="AI125" s="283"/>
      <c r="AJ125" s="283"/>
      <c r="AK125" s="283"/>
      <c r="AL125" s="283"/>
      <c r="AM125" s="283"/>
      <c r="AN125" s="283"/>
      <c r="AO125" s="283"/>
      <c r="AP125" s="283"/>
      <c r="AQ125" s="283"/>
      <c r="AR125" s="283"/>
      <c r="AS125" s="283"/>
      <c r="AT125" s="283"/>
      <c r="AU125" s="283"/>
      <c r="AV125" s="283"/>
      <c r="AW125" s="283"/>
      <c r="AX125" s="283"/>
      <c r="AY125" s="283"/>
      <c r="AZ125" s="283"/>
      <c r="BA125" s="283"/>
      <c r="BB125" s="283"/>
      <c r="BC125" s="283"/>
      <c r="BD125" s="283"/>
      <c r="BE125" s="283"/>
      <c r="BF125" s="283"/>
      <c r="BG125" s="283"/>
      <c r="BH125" s="283"/>
      <c r="BI125" s="283"/>
      <c r="BJ125" s="283"/>
      <c r="BK125" s="283"/>
      <c r="BL125" s="283"/>
      <c r="BM125" s="283"/>
      <c r="BN125" s="283"/>
      <c r="BO125" s="283"/>
      <c r="BP125" s="283"/>
      <c r="BQ125" s="283"/>
      <c r="BR125" s="283"/>
      <c r="BS125" s="283"/>
      <c r="BT125" s="283"/>
      <c r="BU125" s="283"/>
      <c r="BV125" s="283"/>
      <c r="BW125" s="283"/>
      <c r="BX125" s="283"/>
      <c r="BY125" s="283"/>
      <c r="BZ125" s="283"/>
      <c r="CA125" s="283"/>
      <c r="CB125" s="283"/>
      <c r="CC125" s="283"/>
      <c r="CD125" s="283"/>
      <c r="CE125" s="283"/>
      <c r="CF125" s="283"/>
      <c r="CG125" s="283"/>
      <c r="CH125" s="283"/>
      <c r="CI125" s="283"/>
      <c r="CJ125" s="283"/>
      <c r="CK125" s="283"/>
      <c r="CL125" s="283"/>
      <c r="CM125" s="283"/>
      <c r="CN125" s="283"/>
    </row>
    <row r="126" spans="1:92" ht="14.25" customHeight="1" x14ac:dyDescent="0.2">
      <c r="A126" s="3"/>
      <c r="B126" s="3"/>
      <c r="C126" s="3"/>
      <c r="D126" s="52"/>
      <c r="E126" s="52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82"/>
      <c r="AH126" s="283"/>
      <c r="AI126" s="283"/>
      <c r="AJ126" s="283"/>
      <c r="AK126" s="283"/>
      <c r="AL126" s="283"/>
      <c r="AM126" s="283"/>
      <c r="AN126" s="283"/>
      <c r="AO126" s="283"/>
      <c r="AP126" s="283"/>
      <c r="AQ126" s="283"/>
      <c r="AR126" s="283"/>
      <c r="AS126" s="283"/>
      <c r="AT126" s="283"/>
      <c r="AU126" s="283"/>
      <c r="AV126" s="283"/>
      <c r="AW126" s="283"/>
      <c r="AX126" s="283"/>
      <c r="AY126" s="283"/>
      <c r="AZ126" s="283"/>
      <c r="BA126" s="283"/>
      <c r="BB126" s="283"/>
      <c r="BC126" s="283"/>
      <c r="BD126" s="283"/>
      <c r="BE126" s="283"/>
      <c r="BF126" s="283"/>
      <c r="BG126" s="283"/>
      <c r="BH126" s="283"/>
      <c r="BI126" s="283"/>
      <c r="BJ126" s="283"/>
      <c r="BK126" s="283"/>
      <c r="BL126" s="283"/>
      <c r="BM126" s="283"/>
      <c r="BN126" s="283"/>
      <c r="BO126" s="283"/>
      <c r="BP126" s="283"/>
      <c r="BQ126" s="283"/>
      <c r="BR126" s="283"/>
      <c r="BS126" s="283"/>
      <c r="BT126" s="283"/>
      <c r="BU126" s="283"/>
      <c r="BV126" s="283"/>
      <c r="BW126" s="283"/>
      <c r="BX126" s="283"/>
      <c r="BY126" s="283"/>
      <c r="BZ126" s="283"/>
      <c r="CA126" s="283"/>
      <c r="CB126" s="283"/>
      <c r="CC126" s="283"/>
      <c r="CD126" s="283"/>
      <c r="CE126" s="283"/>
      <c r="CF126" s="283"/>
      <c r="CG126" s="283"/>
      <c r="CH126" s="283"/>
      <c r="CI126" s="283"/>
      <c r="CJ126" s="283"/>
      <c r="CK126" s="283"/>
      <c r="CL126" s="283"/>
      <c r="CM126" s="283"/>
      <c r="CN126" s="283"/>
    </row>
    <row r="127" spans="1:92" ht="14.25" customHeight="1" x14ac:dyDescent="0.2">
      <c r="A127" s="3"/>
      <c r="B127" s="3"/>
      <c r="C127" s="3"/>
      <c r="D127" s="52"/>
      <c r="E127" s="52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82"/>
      <c r="AH127" s="283"/>
      <c r="AI127" s="283"/>
      <c r="AJ127" s="283"/>
      <c r="AK127" s="283"/>
      <c r="AL127" s="283"/>
      <c r="AM127" s="283"/>
      <c r="AN127" s="283"/>
      <c r="AO127" s="283"/>
      <c r="AP127" s="283"/>
      <c r="AQ127" s="283"/>
      <c r="AR127" s="283"/>
      <c r="AS127" s="283"/>
      <c r="AT127" s="283"/>
      <c r="AU127" s="283"/>
      <c r="AV127" s="283"/>
      <c r="AW127" s="283"/>
      <c r="AX127" s="283"/>
      <c r="AY127" s="283"/>
      <c r="AZ127" s="283"/>
      <c r="BA127" s="283"/>
      <c r="BB127" s="283"/>
      <c r="BC127" s="283"/>
      <c r="BD127" s="283"/>
      <c r="BE127" s="283"/>
      <c r="BF127" s="283"/>
      <c r="BG127" s="283"/>
      <c r="BH127" s="283"/>
      <c r="BI127" s="283"/>
      <c r="BJ127" s="283"/>
      <c r="BK127" s="283"/>
      <c r="BL127" s="283"/>
      <c r="BM127" s="283"/>
      <c r="BN127" s="283"/>
      <c r="BO127" s="283"/>
      <c r="BP127" s="283"/>
      <c r="BQ127" s="283"/>
      <c r="BR127" s="283"/>
      <c r="BS127" s="283"/>
      <c r="BT127" s="283"/>
      <c r="BU127" s="283"/>
      <c r="BV127" s="283"/>
      <c r="BW127" s="283"/>
      <c r="BX127" s="283"/>
      <c r="BY127" s="283"/>
      <c r="BZ127" s="283"/>
      <c r="CA127" s="283"/>
      <c r="CB127" s="283"/>
      <c r="CC127" s="283"/>
      <c r="CD127" s="283"/>
      <c r="CE127" s="283"/>
      <c r="CF127" s="283"/>
      <c r="CG127" s="283"/>
      <c r="CH127" s="283"/>
      <c r="CI127" s="283"/>
      <c r="CJ127" s="283"/>
      <c r="CK127" s="283"/>
      <c r="CL127" s="283"/>
      <c r="CM127" s="283"/>
      <c r="CN127" s="283"/>
    </row>
    <row r="128" spans="1:92" ht="14.25" customHeight="1" x14ac:dyDescent="0.2">
      <c r="A128" s="3"/>
      <c r="B128" s="3"/>
      <c r="C128" s="3"/>
      <c r="D128" s="52"/>
      <c r="E128" s="52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82"/>
      <c r="AH128" s="283"/>
      <c r="AI128" s="283"/>
      <c r="AJ128" s="283"/>
      <c r="AK128" s="283"/>
      <c r="AL128" s="283"/>
      <c r="AM128" s="283"/>
      <c r="AN128" s="283"/>
      <c r="AO128" s="283"/>
      <c r="AP128" s="283"/>
      <c r="AQ128" s="283"/>
      <c r="AR128" s="283"/>
      <c r="AS128" s="283"/>
      <c r="AT128" s="283"/>
      <c r="AU128" s="283"/>
      <c r="AV128" s="283"/>
      <c r="AW128" s="283"/>
      <c r="AX128" s="283"/>
      <c r="AY128" s="283"/>
      <c r="AZ128" s="283"/>
      <c r="BA128" s="283"/>
      <c r="BB128" s="283"/>
      <c r="BC128" s="283"/>
      <c r="BD128" s="283"/>
      <c r="BE128" s="283"/>
      <c r="BF128" s="283"/>
      <c r="BG128" s="283"/>
      <c r="BH128" s="283"/>
      <c r="BI128" s="283"/>
      <c r="BJ128" s="283"/>
      <c r="BK128" s="283"/>
      <c r="BL128" s="283"/>
      <c r="BM128" s="283"/>
      <c r="BN128" s="283"/>
      <c r="BO128" s="283"/>
      <c r="BP128" s="283"/>
      <c r="BQ128" s="283"/>
      <c r="BR128" s="283"/>
      <c r="BS128" s="283"/>
      <c r="BT128" s="283"/>
      <c r="BU128" s="283"/>
      <c r="BV128" s="283"/>
      <c r="BW128" s="283"/>
      <c r="BX128" s="283"/>
      <c r="BY128" s="283"/>
      <c r="BZ128" s="283"/>
      <c r="CA128" s="283"/>
      <c r="CB128" s="283"/>
      <c r="CC128" s="283"/>
      <c r="CD128" s="283"/>
      <c r="CE128" s="283"/>
      <c r="CF128" s="283"/>
      <c r="CG128" s="283"/>
      <c r="CH128" s="283"/>
      <c r="CI128" s="283"/>
      <c r="CJ128" s="283"/>
      <c r="CK128" s="283"/>
      <c r="CL128" s="283"/>
      <c r="CM128" s="283"/>
      <c r="CN128" s="283"/>
    </row>
    <row r="129" spans="1:92" ht="14.25" customHeight="1" x14ac:dyDescent="0.2">
      <c r="A129" s="3"/>
      <c r="B129" s="3"/>
      <c r="C129" s="3"/>
      <c r="D129" s="52"/>
      <c r="E129" s="52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82"/>
      <c r="AH129" s="283"/>
      <c r="AI129" s="283"/>
      <c r="AJ129" s="283"/>
      <c r="AK129" s="283"/>
      <c r="AL129" s="283"/>
      <c r="AM129" s="283"/>
      <c r="AN129" s="283"/>
      <c r="AO129" s="283"/>
      <c r="AP129" s="283"/>
      <c r="AQ129" s="283"/>
      <c r="AR129" s="283"/>
      <c r="AS129" s="283"/>
      <c r="AT129" s="283"/>
      <c r="AU129" s="283"/>
      <c r="AV129" s="283"/>
      <c r="AW129" s="283"/>
      <c r="AX129" s="283"/>
      <c r="AY129" s="283"/>
      <c r="AZ129" s="283"/>
      <c r="BA129" s="283"/>
      <c r="BB129" s="283"/>
      <c r="BC129" s="283"/>
      <c r="BD129" s="283"/>
      <c r="BE129" s="283"/>
      <c r="BF129" s="283"/>
      <c r="BG129" s="283"/>
      <c r="BH129" s="283"/>
      <c r="BI129" s="283"/>
      <c r="BJ129" s="283"/>
      <c r="BK129" s="283"/>
      <c r="BL129" s="283"/>
      <c r="BM129" s="283"/>
      <c r="BN129" s="283"/>
      <c r="BO129" s="283"/>
      <c r="BP129" s="283"/>
      <c r="BQ129" s="283"/>
      <c r="BR129" s="283"/>
      <c r="BS129" s="283"/>
      <c r="BT129" s="283"/>
      <c r="BU129" s="283"/>
      <c r="BV129" s="283"/>
      <c r="BW129" s="283"/>
      <c r="BX129" s="283"/>
      <c r="BY129" s="283"/>
      <c r="BZ129" s="283"/>
      <c r="CA129" s="283"/>
      <c r="CB129" s="283"/>
      <c r="CC129" s="283"/>
      <c r="CD129" s="283"/>
      <c r="CE129" s="283"/>
      <c r="CF129" s="283"/>
      <c r="CG129" s="283"/>
      <c r="CH129" s="283"/>
      <c r="CI129" s="283"/>
      <c r="CJ129" s="283"/>
      <c r="CK129" s="283"/>
      <c r="CL129" s="283"/>
      <c r="CM129" s="283"/>
      <c r="CN129" s="283"/>
    </row>
    <row r="130" spans="1:92" ht="14.25" customHeight="1" x14ac:dyDescent="0.2">
      <c r="A130" s="3"/>
      <c r="B130" s="3"/>
      <c r="C130" s="3"/>
      <c r="D130" s="52"/>
      <c r="E130" s="52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82"/>
      <c r="AH130" s="283"/>
      <c r="AI130" s="283"/>
      <c r="AJ130" s="283"/>
      <c r="AK130" s="283"/>
      <c r="AL130" s="283"/>
      <c r="AM130" s="283"/>
      <c r="AN130" s="283"/>
      <c r="AO130" s="283"/>
      <c r="AP130" s="283"/>
      <c r="AQ130" s="283"/>
      <c r="AR130" s="283"/>
      <c r="AS130" s="283"/>
      <c r="AT130" s="283"/>
      <c r="AU130" s="283"/>
      <c r="AV130" s="283"/>
      <c r="AW130" s="283"/>
      <c r="AX130" s="283"/>
      <c r="AY130" s="283"/>
      <c r="AZ130" s="283"/>
      <c r="BA130" s="283"/>
      <c r="BB130" s="283"/>
      <c r="BC130" s="283"/>
      <c r="BD130" s="283"/>
      <c r="BE130" s="283"/>
      <c r="BF130" s="283"/>
      <c r="BG130" s="283"/>
      <c r="BH130" s="283"/>
      <c r="BI130" s="283"/>
      <c r="BJ130" s="283"/>
      <c r="BK130" s="283"/>
      <c r="BL130" s="283"/>
      <c r="BM130" s="283"/>
      <c r="BN130" s="283"/>
      <c r="BO130" s="283"/>
      <c r="BP130" s="283"/>
      <c r="BQ130" s="283"/>
      <c r="BR130" s="283"/>
      <c r="BS130" s="283"/>
      <c r="BT130" s="283"/>
      <c r="BU130" s="283"/>
      <c r="BV130" s="283"/>
      <c r="BW130" s="283"/>
      <c r="BX130" s="283"/>
      <c r="BY130" s="283"/>
      <c r="BZ130" s="283"/>
      <c r="CA130" s="283"/>
      <c r="CB130" s="283"/>
      <c r="CC130" s="283"/>
      <c r="CD130" s="283"/>
      <c r="CE130" s="283"/>
      <c r="CF130" s="283"/>
      <c r="CG130" s="283"/>
      <c r="CH130" s="283"/>
      <c r="CI130" s="283"/>
      <c r="CJ130" s="283"/>
      <c r="CK130" s="283"/>
      <c r="CL130" s="283"/>
      <c r="CM130" s="283"/>
      <c r="CN130" s="283"/>
    </row>
    <row r="131" spans="1:92" ht="14.25" customHeight="1" x14ac:dyDescent="0.2">
      <c r="A131" s="3"/>
      <c r="B131" s="3"/>
      <c r="C131" s="3"/>
      <c r="D131" s="52"/>
      <c r="E131" s="52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282"/>
      <c r="AH131" s="283"/>
      <c r="AI131" s="283"/>
      <c r="AJ131" s="283"/>
      <c r="AK131" s="283"/>
      <c r="AL131" s="283"/>
      <c r="AM131" s="283"/>
      <c r="AN131" s="283"/>
      <c r="AO131" s="283"/>
      <c r="AP131" s="283"/>
      <c r="AQ131" s="283"/>
      <c r="AR131" s="283"/>
      <c r="AS131" s="283"/>
      <c r="AT131" s="283"/>
      <c r="AU131" s="283"/>
      <c r="AV131" s="283"/>
      <c r="AW131" s="283"/>
      <c r="AX131" s="283"/>
      <c r="AY131" s="283"/>
      <c r="AZ131" s="283"/>
      <c r="BA131" s="283"/>
      <c r="BB131" s="283"/>
      <c r="BC131" s="283"/>
      <c r="BD131" s="283"/>
      <c r="BE131" s="283"/>
      <c r="BF131" s="283"/>
      <c r="BG131" s="283"/>
      <c r="BH131" s="283"/>
      <c r="BI131" s="283"/>
      <c r="BJ131" s="283"/>
      <c r="BK131" s="283"/>
      <c r="BL131" s="283"/>
      <c r="BM131" s="283"/>
      <c r="BN131" s="283"/>
      <c r="BO131" s="283"/>
      <c r="BP131" s="283"/>
      <c r="BQ131" s="283"/>
      <c r="BR131" s="283"/>
      <c r="BS131" s="283"/>
      <c r="BT131" s="283"/>
      <c r="BU131" s="283"/>
      <c r="BV131" s="283"/>
      <c r="BW131" s="283"/>
      <c r="BX131" s="283"/>
      <c r="BY131" s="283"/>
      <c r="BZ131" s="283"/>
      <c r="CA131" s="283"/>
      <c r="CB131" s="283"/>
      <c r="CC131" s="283"/>
      <c r="CD131" s="283"/>
      <c r="CE131" s="283"/>
      <c r="CF131" s="283"/>
      <c r="CG131" s="283"/>
      <c r="CH131" s="283"/>
      <c r="CI131" s="283"/>
      <c r="CJ131" s="283"/>
      <c r="CK131" s="283"/>
      <c r="CL131" s="283"/>
      <c r="CM131" s="283"/>
      <c r="CN131" s="283"/>
    </row>
    <row r="132" spans="1:92" ht="14.25" customHeight="1" x14ac:dyDescent="0.2">
      <c r="A132" s="3"/>
      <c r="B132" s="3"/>
      <c r="C132" s="3"/>
      <c r="D132" s="52"/>
      <c r="E132" s="52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282"/>
      <c r="AH132" s="283"/>
      <c r="AI132" s="283"/>
      <c r="AJ132" s="283"/>
      <c r="AK132" s="283"/>
      <c r="AL132" s="283"/>
      <c r="AM132" s="283"/>
      <c r="AN132" s="283"/>
      <c r="AO132" s="283"/>
      <c r="AP132" s="283"/>
      <c r="AQ132" s="283"/>
      <c r="AR132" s="283"/>
      <c r="AS132" s="283"/>
      <c r="AT132" s="283"/>
      <c r="AU132" s="283"/>
      <c r="AV132" s="283"/>
      <c r="AW132" s="283"/>
      <c r="AX132" s="283"/>
      <c r="AY132" s="283"/>
      <c r="AZ132" s="283"/>
      <c r="BA132" s="283"/>
      <c r="BB132" s="283"/>
      <c r="BC132" s="283"/>
      <c r="BD132" s="283"/>
      <c r="BE132" s="283"/>
      <c r="BF132" s="283"/>
      <c r="BG132" s="283"/>
      <c r="BH132" s="283"/>
      <c r="BI132" s="283"/>
      <c r="BJ132" s="283"/>
      <c r="BK132" s="283"/>
      <c r="BL132" s="283"/>
      <c r="BM132" s="283"/>
      <c r="BN132" s="283"/>
      <c r="BO132" s="283"/>
      <c r="BP132" s="283"/>
      <c r="BQ132" s="283"/>
      <c r="BR132" s="283"/>
      <c r="BS132" s="283"/>
      <c r="BT132" s="283"/>
      <c r="BU132" s="283"/>
      <c r="BV132" s="283"/>
      <c r="BW132" s="283"/>
      <c r="BX132" s="283"/>
      <c r="BY132" s="283"/>
      <c r="BZ132" s="283"/>
      <c r="CA132" s="283"/>
      <c r="CB132" s="283"/>
      <c r="CC132" s="283"/>
      <c r="CD132" s="283"/>
      <c r="CE132" s="283"/>
      <c r="CF132" s="283"/>
      <c r="CG132" s="283"/>
      <c r="CH132" s="283"/>
      <c r="CI132" s="283"/>
      <c r="CJ132" s="283"/>
      <c r="CK132" s="283"/>
      <c r="CL132" s="283"/>
      <c r="CM132" s="283"/>
      <c r="CN132" s="283"/>
    </row>
    <row r="133" spans="1:92" ht="14.25" customHeight="1" x14ac:dyDescent="0.2">
      <c r="A133" s="3"/>
      <c r="B133" s="3"/>
      <c r="C133" s="3"/>
      <c r="D133" s="52"/>
      <c r="E133" s="52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282"/>
      <c r="AH133" s="283"/>
      <c r="AI133" s="283"/>
      <c r="AJ133" s="283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283"/>
      <c r="BL133" s="283"/>
      <c r="BM133" s="283"/>
      <c r="BN133" s="283"/>
      <c r="BO133" s="283"/>
      <c r="BP133" s="283"/>
      <c r="BQ133" s="283"/>
      <c r="BR133" s="283"/>
      <c r="BS133" s="283"/>
      <c r="BT133" s="283"/>
      <c r="BU133" s="283"/>
      <c r="BV133" s="283"/>
      <c r="BW133" s="283"/>
      <c r="BX133" s="283"/>
      <c r="BY133" s="283"/>
      <c r="BZ133" s="283"/>
      <c r="CA133" s="283"/>
      <c r="CB133" s="283"/>
      <c r="CC133" s="283"/>
      <c r="CD133" s="283"/>
      <c r="CE133" s="283"/>
      <c r="CF133" s="283"/>
      <c r="CG133" s="283"/>
      <c r="CH133" s="283"/>
      <c r="CI133" s="283"/>
      <c r="CJ133" s="283"/>
      <c r="CK133" s="283"/>
      <c r="CL133" s="283"/>
      <c r="CM133" s="283"/>
      <c r="CN133" s="283"/>
    </row>
    <row r="134" spans="1:92" ht="14.25" customHeight="1" x14ac:dyDescent="0.2">
      <c r="A134" s="3"/>
      <c r="B134" s="3"/>
      <c r="C134" s="3"/>
      <c r="D134" s="52"/>
      <c r="E134" s="52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282"/>
      <c r="AH134" s="283"/>
      <c r="AI134" s="283"/>
      <c r="AJ134" s="283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283"/>
      <c r="BL134" s="283"/>
      <c r="BM134" s="283"/>
      <c r="BN134" s="283"/>
      <c r="BO134" s="283"/>
      <c r="BP134" s="283"/>
      <c r="BQ134" s="283"/>
      <c r="BR134" s="283"/>
      <c r="BS134" s="283"/>
      <c r="BT134" s="283"/>
      <c r="BU134" s="283"/>
      <c r="BV134" s="283"/>
      <c r="BW134" s="283"/>
      <c r="BX134" s="283"/>
      <c r="BY134" s="283"/>
      <c r="BZ134" s="283"/>
      <c r="CA134" s="283"/>
      <c r="CB134" s="283"/>
      <c r="CC134" s="283"/>
      <c r="CD134" s="283"/>
      <c r="CE134" s="283"/>
      <c r="CF134" s="283"/>
      <c r="CG134" s="283"/>
      <c r="CH134" s="283"/>
      <c r="CI134" s="283"/>
      <c r="CJ134" s="283"/>
      <c r="CK134" s="283"/>
      <c r="CL134" s="283"/>
      <c r="CM134" s="283"/>
      <c r="CN134" s="283"/>
    </row>
    <row r="135" spans="1:92" ht="14.25" customHeight="1" x14ac:dyDescent="0.2">
      <c r="A135" s="3"/>
      <c r="B135" s="3"/>
      <c r="C135" s="3"/>
      <c r="D135" s="52"/>
      <c r="E135" s="52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282"/>
      <c r="AH135" s="283"/>
      <c r="AI135" s="283"/>
      <c r="AJ135" s="283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283"/>
      <c r="BL135" s="283"/>
      <c r="BM135" s="283"/>
      <c r="BN135" s="283"/>
      <c r="BO135" s="283"/>
      <c r="BP135" s="283"/>
      <c r="BQ135" s="283"/>
      <c r="BR135" s="283"/>
      <c r="BS135" s="283"/>
      <c r="BT135" s="283"/>
      <c r="BU135" s="283"/>
      <c r="BV135" s="283"/>
      <c r="BW135" s="283"/>
      <c r="BX135" s="283"/>
      <c r="BY135" s="283"/>
      <c r="BZ135" s="283"/>
      <c r="CA135" s="283"/>
      <c r="CB135" s="283"/>
      <c r="CC135" s="283"/>
      <c r="CD135" s="283"/>
      <c r="CE135" s="283"/>
      <c r="CF135" s="283"/>
      <c r="CG135" s="283"/>
      <c r="CH135" s="283"/>
      <c r="CI135" s="283"/>
      <c r="CJ135" s="283"/>
      <c r="CK135" s="283"/>
      <c r="CL135" s="283"/>
      <c r="CM135" s="283"/>
      <c r="CN135" s="283"/>
    </row>
    <row r="136" spans="1:92" ht="14.25" customHeight="1" x14ac:dyDescent="0.2">
      <c r="A136" s="3"/>
      <c r="B136" s="3"/>
      <c r="C136" s="3"/>
      <c r="D136" s="52"/>
      <c r="E136" s="52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282"/>
      <c r="AH136" s="283"/>
      <c r="AI136" s="283"/>
      <c r="AJ136" s="283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283"/>
      <c r="BL136" s="283"/>
      <c r="BM136" s="283"/>
      <c r="BN136" s="283"/>
      <c r="BO136" s="283"/>
      <c r="BP136" s="283"/>
      <c r="BQ136" s="283"/>
      <c r="BR136" s="283"/>
      <c r="BS136" s="283"/>
      <c r="BT136" s="283"/>
      <c r="BU136" s="283"/>
      <c r="BV136" s="283"/>
      <c r="BW136" s="283"/>
      <c r="BX136" s="283"/>
      <c r="BY136" s="283"/>
      <c r="BZ136" s="283"/>
      <c r="CA136" s="283"/>
      <c r="CB136" s="283"/>
      <c r="CC136" s="283"/>
      <c r="CD136" s="283"/>
      <c r="CE136" s="283"/>
      <c r="CF136" s="283"/>
      <c r="CG136" s="283"/>
      <c r="CH136" s="283"/>
      <c r="CI136" s="283"/>
      <c r="CJ136" s="283"/>
      <c r="CK136" s="283"/>
      <c r="CL136" s="283"/>
      <c r="CM136" s="283"/>
      <c r="CN136" s="283"/>
    </row>
    <row r="137" spans="1:92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282"/>
      <c r="AH137" s="283"/>
      <c r="AI137" s="283"/>
      <c r="AJ137" s="283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283"/>
      <c r="BL137" s="283"/>
      <c r="BM137" s="283"/>
      <c r="BN137" s="283"/>
      <c r="BO137" s="283"/>
      <c r="BP137" s="283"/>
      <c r="BQ137" s="283"/>
      <c r="BR137" s="283"/>
      <c r="BS137" s="283"/>
      <c r="BT137" s="283"/>
      <c r="BU137" s="283"/>
      <c r="BV137" s="283"/>
      <c r="BW137" s="283"/>
      <c r="BX137" s="283"/>
      <c r="BY137" s="283"/>
      <c r="BZ137" s="283"/>
      <c r="CA137" s="283"/>
      <c r="CB137" s="283"/>
      <c r="CC137" s="283"/>
      <c r="CD137" s="283"/>
      <c r="CE137" s="283"/>
      <c r="CF137" s="283"/>
      <c r="CG137" s="283"/>
      <c r="CH137" s="283"/>
      <c r="CI137" s="283"/>
      <c r="CJ137" s="283"/>
      <c r="CK137" s="283"/>
      <c r="CL137" s="283"/>
      <c r="CM137" s="283"/>
      <c r="CN137" s="283"/>
    </row>
    <row r="138" spans="1:92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282"/>
      <c r="AH138" s="283"/>
      <c r="AI138" s="283"/>
      <c r="AJ138" s="283"/>
      <c r="AK138" s="283"/>
      <c r="AL138" s="283"/>
      <c r="AM138" s="283"/>
      <c r="AN138" s="283"/>
      <c r="AO138" s="283"/>
      <c r="AP138" s="283"/>
      <c r="AQ138" s="283"/>
      <c r="AR138" s="283"/>
      <c r="AS138" s="283"/>
      <c r="AT138" s="283"/>
      <c r="AU138" s="283"/>
      <c r="AV138" s="283"/>
      <c r="AW138" s="283"/>
      <c r="AX138" s="283"/>
      <c r="AY138" s="283"/>
      <c r="AZ138" s="283"/>
      <c r="BA138" s="283"/>
      <c r="BB138" s="283"/>
      <c r="BC138" s="283"/>
      <c r="BD138" s="283"/>
      <c r="BE138" s="283"/>
      <c r="BF138" s="283"/>
      <c r="BG138" s="283"/>
      <c r="BH138" s="283"/>
      <c r="BI138" s="283"/>
      <c r="BJ138" s="283"/>
      <c r="BK138" s="283"/>
      <c r="BL138" s="283"/>
      <c r="BM138" s="283"/>
      <c r="BN138" s="283"/>
      <c r="BO138" s="283"/>
      <c r="BP138" s="283"/>
      <c r="BQ138" s="283"/>
      <c r="BR138" s="283"/>
      <c r="BS138" s="283"/>
      <c r="BT138" s="283"/>
      <c r="BU138" s="283"/>
      <c r="BV138" s="283"/>
      <c r="BW138" s="283"/>
      <c r="BX138" s="283"/>
      <c r="BY138" s="283"/>
      <c r="BZ138" s="283"/>
      <c r="CA138" s="283"/>
      <c r="CB138" s="283"/>
      <c r="CC138" s="283"/>
      <c r="CD138" s="283"/>
      <c r="CE138" s="283"/>
      <c r="CF138" s="283"/>
      <c r="CG138" s="283"/>
      <c r="CH138" s="283"/>
      <c r="CI138" s="283"/>
      <c r="CJ138" s="283"/>
      <c r="CK138" s="283"/>
      <c r="CL138" s="283"/>
      <c r="CM138" s="283"/>
      <c r="CN138" s="283"/>
    </row>
    <row r="139" spans="1:92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282"/>
      <c r="AH139" s="283"/>
      <c r="AI139" s="283"/>
      <c r="AJ139" s="283"/>
      <c r="AK139" s="283"/>
      <c r="AL139" s="283"/>
      <c r="AM139" s="283"/>
      <c r="AN139" s="283"/>
      <c r="AO139" s="283"/>
      <c r="AP139" s="283"/>
      <c r="AQ139" s="283"/>
      <c r="AR139" s="283"/>
      <c r="AS139" s="283"/>
      <c r="AT139" s="283"/>
      <c r="AU139" s="283"/>
      <c r="AV139" s="283"/>
      <c r="AW139" s="283"/>
      <c r="AX139" s="283"/>
      <c r="AY139" s="283"/>
      <c r="AZ139" s="283"/>
      <c r="BA139" s="283"/>
      <c r="BB139" s="283"/>
      <c r="BC139" s="283"/>
      <c r="BD139" s="283"/>
      <c r="BE139" s="283"/>
      <c r="BF139" s="283"/>
      <c r="BG139" s="283"/>
      <c r="BH139" s="283"/>
      <c r="BI139" s="283"/>
      <c r="BJ139" s="283"/>
      <c r="BK139" s="283"/>
      <c r="BL139" s="283"/>
      <c r="BM139" s="283"/>
      <c r="BN139" s="283"/>
      <c r="BO139" s="283"/>
      <c r="BP139" s="283"/>
      <c r="BQ139" s="283"/>
      <c r="BR139" s="283"/>
      <c r="BS139" s="283"/>
      <c r="BT139" s="283"/>
      <c r="BU139" s="283"/>
      <c r="BV139" s="283"/>
      <c r="BW139" s="283"/>
      <c r="BX139" s="283"/>
      <c r="BY139" s="283"/>
      <c r="BZ139" s="283"/>
      <c r="CA139" s="283"/>
      <c r="CB139" s="283"/>
      <c r="CC139" s="283"/>
      <c r="CD139" s="283"/>
      <c r="CE139" s="283"/>
      <c r="CF139" s="283"/>
      <c r="CG139" s="283"/>
      <c r="CH139" s="283"/>
      <c r="CI139" s="283"/>
      <c r="CJ139" s="283"/>
      <c r="CK139" s="283"/>
      <c r="CL139" s="283"/>
      <c r="CM139" s="283"/>
      <c r="CN139" s="283"/>
    </row>
    <row r="140" spans="1:92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282"/>
      <c r="AH140" s="283"/>
      <c r="AI140" s="283"/>
      <c r="AJ140" s="283"/>
      <c r="AK140" s="283"/>
      <c r="AL140" s="283"/>
      <c r="AM140" s="283"/>
      <c r="AN140" s="283"/>
      <c r="AO140" s="283"/>
      <c r="AP140" s="283"/>
      <c r="AQ140" s="283"/>
      <c r="AR140" s="283"/>
      <c r="AS140" s="283"/>
      <c r="AT140" s="283"/>
      <c r="AU140" s="283"/>
      <c r="AV140" s="283"/>
      <c r="AW140" s="283"/>
      <c r="AX140" s="283"/>
      <c r="AY140" s="283"/>
      <c r="AZ140" s="283"/>
      <c r="BA140" s="283"/>
      <c r="BB140" s="283"/>
      <c r="BC140" s="283"/>
      <c r="BD140" s="283"/>
      <c r="BE140" s="283"/>
      <c r="BF140" s="283"/>
      <c r="BG140" s="283"/>
      <c r="BH140" s="283"/>
      <c r="BI140" s="283"/>
      <c r="BJ140" s="283"/>
      <c r="BK140" s="283"/>
      <c r="BL140" s="283"/>
      <c r="BM140" s="283"/>
      <c r="BN140" s="283"/>
      <c r="BO140" s="283"/>
      <c r="BP140" s="283"/>
      <c r="BQ140" s="283"/>
      <c r="BR140" s="283"/>
      <c r="BS140" s="283"/>
      <c r="BT140" s="283"/>
      <c r="BU140" s="283"/>
      <c r="BV140" s="283"/>
      <c r="BW140" s="283"/>
      <c r="BX140" s="283"/>
      <c r="BY140" s="283"/>
      <c r="BZ140" s="283"/>
      <c r="CA140" s="283"/>
      <c r="CB140" s="283"/>
      <c r="CC140" s="283"/>
      <c r="CD140" s="283"/>
      <c r="CE140" s="283"/>
      <c r="CF140" s="283"/>
      <c r="CG140" s="283"/>
      <c r="CH140" s="283"/>
      <c r="CI140" s="283"/>
      <c r="CJ140" s="283"/>
      <c r="CK140" s="283"/>
      <c r="CL140" s="283"/>
      <c r="CM140" s="283"/>
      <c r="CN140" s="283"/>
    </row>
    <row r="141" spans="1:92" ht="14.25" customHeight="1" x14ac:dyDescent="0.2">
      <c r="A141" s="3"/>
      <c r="B141" s="3"/>
      <c r="C141" s="3"/>
      <c r="D141" s="3"/>
      <c r="E141" s="3"/>
      <c r="F141" s="3"/>
      <c r="G141" s="3"/>
      <c r="H141" s="61"/>
      <c r="I141" s="61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282"/>
      <c r="AH141" s="283"/>
      <c r="AI141" s="283"/>
      <c r="AJ141" s="283"/>
      <c r="AK141" s="283"/>
      <c r="AL141" s="283"/>
      <c r="AM141" s="283"/>
      <c r="AN141" s="283"/>
      <c r="AO141" s="283"/>
      <c r="AP141" s="283"/>
      <c r="AQ141" s="283"/>
      <c r="AR141" s="283"/>
      <c r="AS141" s="283"/>
      <c r="AT141" s="283"/>
      <c r="AU141" s="283"/>
      <c r="AV141" s="283"/>
      <c r="AW141" s="283"/>
      <c r="AX141" s="283"/>
      <c r="AY141" s="283"/>
      <c r="AZ141" s="283"/>
      <c r="BA141" s="283"/>
      <c r="BB141" s="283"/>
      <c r="BC141" s="283"/>
      <c r="BD141" s="283"/>
      <c r="BE141" s="283"/>
      <c r="BF141" s="283"/>
      <c r="BG141" s="283"/>
      <c r="BH141" s="283"/>
      <c r="BI141" s="283"/>
      <c r="BJ141" s="283"/>
      <c r="BK141" s="283"/>
      <c r="BL141" s="283"/>
      <c r="BM141" s="283"/>
      <c r="BN141" s="283"/>
      <c r="BO141" s="283"/>
      <c r="BP141" s="283"/>
      <c r="BQ141" s="283"/>
      <c r="BR141" s="283"/>
      <c r="BS141" s="283"/>
      <c r="BT141" s="283"/>
      <c r="BU141" s="283"/>
      <c r="BV141" s="283"/>
      <c r="BW141" s="283"/>
      <c r="BX141" s="283"/>
      <c r="BY141" s="283"/>
      <c r="BZ141" s="283"/>
      <c r="CA141" s="283"/>
      <c r="CB141" s="283"/>
      <c r="CC141" s="283"/>
      <c r="CD141" s="283"/>
      <c r="CE141" s="283"/>
      <c r="CF141" s="283"/>
      <c r="CG141" s="283"/>
      <c r="CH141" s="283"/>
      <c r="CI141" s="283"/>
      <c r="CJ141" s="283"/>
      <c r="CK141" s="283"/>
      <c r="CL141" s="283"/>
      <c r="CM141" s="283"/>
      <c r="CN141" s="283"/>
    </row>
    <row r="142" spans="1:92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282"/>
      <c r="AH142" s="283"/>
      <c r="AI142" s="283"/>
      <c r="AJ142" s="283"/>
      <c r="AK142" s="283"/>
      <c r="AL142" s="283"/>
      <c r="AM142" s="283"/>
      <c r="AN142" s="283"/>
      <c r="AO142" s="283"/>
      <c r="AP142" s="283"/>
      <c r="AQ142" s="283"/>
      <c r="AR142" s="283"/>
      <c r="AS142" s="283"/>
      <c r="AT142" s="283"/>
      <c r="AU142" s="283"/>
      <c r="AV142" s="283"/>
      <c r="AW142" s="283"/>
      <c r="AX142" s="283"/>
      <c r="AY142" s="283"/>
      <c r="AZ142" s="283"/>
      <c r="BA142" s="283"/>
      <c r="BB142" s="283"/>
      <c r="BC142" s="283"/>
      <c r="BD142" s="283"/>
      <c r="BE142" s="283"/>
      <c r="BF142" s="283"/>
      <c r="BG142" s="283"/>
      <c r="BH142" s="283"/>
      <c r="BI142" s="283"/>
      <c r="BJ142" s="283"/>
      <c r="BK142" s="283"/>
      <c r="BL142" s="283"/>
      <c r="BM142" s="283"/>
      <c r="BN142" s="283"/>
      <c r="BO142" s="283"/>
      <c r="BP142" s="283"/>
      <c r="BQ142" s="283"/>
      <c r="BR142" s="283"/>
      <c r="BS142" s="283"/>
      <c r="BT142" s="283"/>
      <c r="BU142" s="283"/>
      <c r="BV142" s="283"/>
      <c r="BW142" s="283"/>
      <c r="BX142" s="283"/>
      <c r="BY142" s="283"/>
      <c r="BZ142" s="283"/>
      <c r="CA142" s="283"/>
      <c r="CB142" s="283"/>
      <c r="CC142" s="283"/>
      <c r="CD142" s="283"/>
      <c r="CE142" s="283"/>
      <c r="CF142" s="283"/>
      <c r="CG142" s="283"/>
      <c r="CH142" s="283"/>
      <c r="CI142" s="283"/>
      <c r="CJ142" s="283"/>
      <c r="CK142" s="283"/>
      <c r="CL142" s="283"/>
      <c r="CM142" s="283"/>
      <c r="CN142" s="283"/>
    </row>
    <row r="143" spans="1:92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282"/>
      <c r="AH143" s="283"/>
      <c r="AI143" s="283"/>
      <c r="AJ143" s="283"/>
      <c r="AK143" s="283"/>
      <c r="AL143" s="283"/>
      <c r="AM143" s="283"/>
      <c r="AN143" s="283"/>
      <c r="AO143" s="283"/>
      <c r="AP143" s="283"/>
      <c r="AQ143" s="283"/>
      <c r="AR143" s="283"/>
      <c r="AS143" s="283"/>
      <c r="AT143" s="283"/>
      <c r="AU143" s="283"/>
      <c r="AV143" s="283"/>
      <c r="AW143" s="283"/>
      <c r="AX143" s="283"/>
      <c r="AY143" s="283"/>
      <c r="AZ143" s="283"/>
      <c r="BA143" s="283"/>
      <c r="BB143" s="283"/>
      <c r="BC143" s="283"/>
      <c r="BD143" s="283"/>
      <c r="BE143" s="283"/>
      <c r="BF143" s="283"/>
      <c r="BG143" s="283"/>
      <c r="BH143" s="283"/>
      <c r="BI143" s="283"/>
      <c r="BJ143" s="283"/>
      <c r="BK143" s="283"/>
      <c r="BL143" s="283"/>
      <c r="BM143" s="283"/>
      <c r="BN143" s="283"/>
      <c r="BO143" s="283"/>
      <c r="BP143" s="283"/>
      <c r="BQ143" s="283"/>
      <c r="BR143" s="283"/>
      <c r="BS143" s="283"/>
      <c r="BT143" s="283"/>
      <c r="BU143" s="283"/>
      <c r="BV143" s="283"/>
      <c r="BW143" s="283"/>
      <c r="BX143" s="283"/>
      <c r="BY143" s="283"/>
      <c r="BZ143" s="283"/>
      <c r="CA143" s="283"/>
      <c r="CB143" s="283"/>
      <c r="CC143" s="283"/>
      <c r="CD143" s="283"/>
      <c r="CE143" s="283"/>
      <c r="CF143" s="283"/>
      <c r="CG143" s="283"/>
      <c r="CH143" s="283"/>
      <c r="CI143" s="283"/>
      <c r="CJ143" s="283"/>
      <c r="CK143" s="283"/>
      <c r="CL143" s="283"/>
      <c r="CM143" s="283"/>
      <c r="CN143" s="283"/>
    </row>
    <row r="144" spans="1:92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282"/>
      <c r="AH144" s="283"/>
      <c r="AI144" s="283"/>
      <c r="AJ144" s="283"/>
      <c r="AK144" s="283"/>
      <c r="AL144" s="283"/>
      <c r="AM144" s="283"/>
      <c r="AN144" s="283"/>
      <c r="AO144" s="283"/>
      <c r="AP144" s="283"/>
      <c r="AQ144" s="283"/>
      <c r="AR144" s="283"/>
      <c r="AS144" s="283"/>
      <c r="AT144" s="283"/>
      <c r="AU144" s="283"/>
      <c r="AV144" s="283"/>
      <c r="AW144" s="283"/>
      <c r="AX144" s="283"/>
      <c r="AY144" s="283"/>
      <c r="AZ144" s="283"/>
      <c r="BA144" s="283"/>
      <c r="BB144" s="283"/>
      <c r="BC144" s="283"/>
      <c r="BD144" s="283"/>
      <c r="BE144" s="283"/>
      <c r="BF144" s="283"/>
      <c r="BG144" s="283"/>
      <c r="BH144" s="283"/>
      <c r="BI144" s="283"/>
      <c r="BJ144" s="283"/>
      <c r="BK144" s="283"/>
      <c r="BL144" s="283"/>
      <c r="BM144" s="283"/>
      <c r="BN144" s="283"/>
      <c r="BO144" s="283"/>
      <c r="BP144" s="283"/>
      <c r="BQ144" s="283"/>
      <c r="BR144" s="283"/>
      <c r="BS144" s="283"/>
      <c r="BT144" s="283"/>
      <c r="BU144" s="283"/>
      <c r="BV144" s="283"/>
      <c r="BW144" s="283"/>
      <c r="BX144" s="283"/>
      <c r="BY144" s="283"/>
      <c r="BZ144" s="283"/>
      <c r="CA144" s="283"/>
      <c r="CB144" s="283"/>
      <c r="CC144" s="283"/>
      <c r="CD144" s="283"/>
      <c r="CE144" s="283"/>
      <c r="CF144" s="283"/>
      <c r="CG144" s="283"/>
      <c r="CH144" s="283"/>
      <c r="CI144" s="283"/>
      <c r="CJ144" s="283"/>
      <c r="CK144" s="283"/>
      <c r="CL144" s="283"/>
      <c r="CM144" s="283"/>
      <c r="CN144" s="283"/>
    </row>
    <row r="145" spans="1:92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282"/>
      <c r="AH145" s="283"/>
      <c r="AI145" s="283"/>
      <c r="AJ145" s="283"/>
      <c r="AK145" s="283"/>
      <c r="AL145" s="283"/>
      <c r="AM145" s="283"/>
      <c r="AN145" s="283"/>
      <c r="AO145" s="283"/>
      <c r="AP145" s="283"/>
      <c r="AQ145" s="283"/>
      <c r="AR145" s="283"/>
      <c r="AS145" s="283"/>
      <c r="AT145" s="283"/>
      <c r="AU145" s="283"/>
      <c r="AV145" s="283"/>
      <c r="AW145" s="283"/>
      <c r="AX145" s="283"/>
      <c r="AY145" s="283"/>
      <c r="AZ145" s="283"/>
      <c r="BA145" s="283"/>
      <c r="BB145" s="283"/>
      <c r="BC145" s="283"/>
      <c r="BD145" s="283"/>
      <c r="BE145" s="283"/>
      <c r="BF145" s="283"/>
      <c r="BG145" s="283"/>
      <c r="BH145" s="283"/>
      <c r="BI145" s="283"/>
      <c r="BJ145" s="283"/>
      <c r="BK145" s="283"/>
      <c r="BL145" s="283"/>
      <c r="BM145" s="283"/>
      <c r="BN145" s="283"/>
      <c r="BO145" s="283"/>
      <c r="BP145" s="283"/>
      <c r="BQ145" s="283"/>
      <c r="BR145" s="283"/>
      <c r="BS145" s="283"/>
      <c r="BT145" s="283"/>
      <c r="BU145" s="283"/>
      <c r="BV145" s="283"/>
      <c r="BW145" s="283"/>
      <c r="BX145" s="283"/>
      <c r="BY145" s="283"/>
      <c r="BZ145" s="283"/>
      <c r="CA145" s="283"/>
      <c r="CB145" s="283"/>
      <c r="CC145" s="283"/>
      <c r="CD145" s="283"/>
      <c r="CE145" s="283"/>
      <c r="CF145" s="283"/>
      <c r="CG145" s="283"/>
      <c r="CH145" s="283"/>
      <c r="CI145" s="283"/>
      <c r="CJ145" s="283"/>
      <c r="CK145" s="283"/>
      <c r="CL145" s="283"/>
      <c r="CM145" s="283"/>
      <c r="CN145" s="283"/>
    </row>
    <row r="146" spans="1:92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282"/>
      <c r="AH146" s="283"/>
      <c r="AI146" s="283"/>
      <c r="AJ146" s="283"/>
      <c r="AK146" s="283"/>
      <c r="AL146" s="283"/>
      <c r="AM146" s="283"/>
      <c r="AN146" s="283"/>
      <c r="AO146" s="283"/>
      <c r="AP146" s="283"/>
      <c r="AQ146" s="283"/>
      <c r="AR146" s="283"/>
      <c r="AS146" s="283"/>
      <c r="AT146" s="283"/>
      <c r="AU146" s="283"/>
      <c r="AV146" s="283"/>
      <c r="AW146" s="283"/>
      <c r="AX146" s="283"/>
      <c r="AY146" s="283"/>
      <c r="AZ146" s="283"/>
      <c r="BA146" s="283"/>
      <c r="BB146" s="283"/>
      <c r="BC146" s="283"/>
      <c r="BD146" s="283"/>
      <c r="BE146" s="283"/>
      <c r="BF146" s="283"/>
      <c r="BG146" s="283"/>
      <c r="BH146" s="283"/>
      <c r="BI146" s="283"/>
      <c r="BJ146" s="283"/>
      <c r="BK146" s="283"/>
      <c r="BL146" s="283"/>
      <c r="BM146" s="283"/>
      <c r="BN146" s="283"/>
      <c r="BO146" s="283"/>
      <c r="BP146" s="283"/>
      <c r="BQ146" s="283"/>
      <c r="BR146" s="283"/>
      <c r="BS146" s="283"/>
      <c r="BT146" s="283"/>
      <c r="BU146" s="283"/>
      <c r="BV146" s="283"/>
      <c r="BW146" s="283"/>
      <c r="BX146" s="283"/>
      <c r="BY146" s="283"/>
      <c r="BZ146" s="283"/>
      <c r="CA146" s="283"/>
      <c r="CB146" s="283"/>
      <c r="CC146" s="283"/>
      <c r="CD146" s="283"/>
      <c r="CE146" s="283"/>
      <c r="CF146" s="283"/>
      <c r="CG146" s="283"/>
      <c r="CH146" s="283"/>
      <c r="CI146" s="283"/>
      <c r="CJ146" s="283"/>
      <c r="CK146" s="283"/>
      <c r="CL146" s="283"/>
      <c r="CM146" s="283"/>
      <c r="CN146" s="283"/>
    </row>
    <row r="147" spans="1:92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282"/>
      <c r="AH147" s="283"/>
      <c r="AI147" s="283"/>
      <c r="AJ147" s="283"/>
      <c r="AK147" s="283"/>
      <c r="AL147" s="283"/>
      <c r="AM147" s="283"/>
      <c r="AN147" s="283"/>
      <c r="AO147" s="283"/>
      <c r="AP147" s="283"/>
      <c r="AQ147" s="283"/>
      <c r="AR147" s="283"/>
      <c r="AS147" s="283"/>
      <c r="AT147" s="283"/>
      <c r="AU147" s="283"/>
      <c r="AV147" s="283"/>
      <c r="AW147" s="283"/>
      <c r="AX147" s="283"/>
      <c r="AY147" s="283"/>
      <c r="AZ147" s="283"/>
      <c r="BA147" s="283"/>
      <c r="BB147" s="283"/>
      <c r="BC147" s="283"/>
      <c r="BD147" s="283"/>
      <c r="BE147" s="283"/>
      <c r="BF147" s="283"/>
      <c r="BG147" s="283"/>
      <c r="BH147" s="283"/>
      <c r="BI147" s="283"/>
      <c r="BJ147" s="283"/>
      <c r="BK147" s="283"/>
      <c r="BL147" s="283"/>
      <c r="BM147" s="283"/>
      <c r="BN147" s="283"/>
      <c r="BO147" s="283"/>
      <c r="BP147" s="283"/>
      <c r="BQ147" s="283"/>
      <c r="BR147" s="283"/>
      <c r="BS147" s="283"/>
      <c r="BT147" s="283"/>
      <c r="BU147" s="283"/>
      <c r="BV147" s="283"/>
      <c r="BW147" s="283"/>
      <c r="BX147" s="283"/>
      <c r="BY147" s="283"/>
      <c r="BZ147" s="283"/>
      <c r="CA147" s="283"/>
      <c r="CB147" s="283"/>
      <c r="CC147" s="283"/>
      <c r="CD147" s="283"/>
      <c r="CE147" s="283"/>
      <c r="CF147" s="283"/>
      <c r="CG147" s="283"/>
      <c r="CH147" s="283"/>
      <c r="CI147" s="283"/>
      <c r="CJ147" s="283"/>
      <c r="CK147" s="283"/>
      <c r="CL147" s="283"/>
      <c r="CM147" s="283"/>
      <c r="CN147" s="283"/>
    </row>
    <row r="148" spans="1:92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282"/>
      <c r="AH148" s="283"/>
      <c r="AI148" s="283"/>
      <c r="AJ148" s="283"/>
      <c r="AK148" s="283"/>
      <c r="AL148" s="283"/>
      <c r="AM148" s="283"/>
      <c r="AN148" s="283"/>
      <c r="AO148" s="283"/>
      <c r="AP148" s="283"/>
      <c r="AQ148" s="283"/>
      <c r="AR148" s="283"/>
      <c r="AS148" s="283"/>
      <c r="AT148" s="283"/>
      <c r="AU148" s="283"/>
      <c r="AV148" s="283"/>
      <c r="AW148" s="283"/>
      <c r="AX148" s="283"/>
      <c r="AY148" s="283"/>
      <c r="AZ148" s="283"/>
      <c r="BA148" s="283"/>
      <c r="BB148" s="283"/>
      <c r="BC148" s="283"/>
      <c r="BD148" s="283"/>
      <c r="BE148" s="283"/>
      <c r="BF148" s="283"/>
      <c r="BG148" s="283"/>
      <c r="BH148" s="283"/>
      <c r="BI148" s="283"/>
      <c r="BJ148" s="283"/>
      <c r="BK148" s="283"/>
      <c r="BL148" s="283"/>
      <c r="BM148" s="283"/>
      <c r="BN148" s="283"/>
      <c r="BO148" s="283"/>
      <c r="BP148" s="283"/>
      <c r="BQ148" s="283"/>
      <c r="BR148" s="283"/>
      <c r="BS148" s="283"/>
      <c r="BT148" s="283"/>
      <c r="BU148" s="283"/>
      <c r="BV148" s="283"/>
      <c r="BW148" s="283"/>
      <c r="BX148" s="283"/>
      <c r="BY148" s="283"/>
      <c r="BZ148" s="283"/>
      <c r="CA148" s="283"/>
      <c r="CB148" s="283"/>
      <c r="CC148" s="283"/>
      <c r="CD148" s="283"/>
      <c r="CE148" s="283"/>
      <c r="CF148" s="283"/>
      <c r="CG148" s="283"/>
      <c r="CH148" s="283"/>
      <c r="CI148" s="283"/>
      <c r="CJ148" s="283"/>
      <c r="CK148" s="283"/>
      <c r="CL148" s="283"/>
      <c r="CM148" s="283"/>
      <c r="CN148" s="283"/>
    </row>
    <row r="149" spans="1:92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282"/>
      <c r="AH149" s="283"/>
      <c r="AI149" s="283"/>
      <c r="AJ149" s="283"/>
      <c r="AK149" s="283"/>
      <c r="AL149" s="283"/>
      <c r="AM149" s="283"/>
      <c r="AN149" s="283"/>
      <c r="AO149" s="283"/>
      <c r="AP149" s="283"/>
      <c r="AQ149" s="283"/>
      <c r="AR149" s="283"/>
      <c r="AS149" s="283"/>
      <c r="AT149" s="283"/>
      <c r="AU149" s="283"/>
      <c r="AV149" s="283"/>
      <c r="AW149" s="283"/>
      <c r="AX149" s="283"/>
      <c r="AY149" s="283"/>
      <c r="AZ149" s="283"/>
      <c r="BA149" s="283"/>
      <c r="BB149" s="283"/>
      <c r="BC149" s="283"/>
      <c r="BD149" s="283"/>
      <c r="BE149" s="283"/>
      <c r="BF149" s="283"/>
      <c r="BG149" s="283"/>
      <c r="BH149" s="283"/>
      <c r="BI149" s="283"/>
      <c r="BJ149" s="283"/>
      <c r="BK149" s="283"/>
      <c r="BL149" s="283"/>
      <c r="BM149" s="283"/>
      <c r="BN149" s="283"/>
      <c r="BO149" s="283"/>
      <c r="BP149" s="283"/>
      <c r="BQ149" s="283"/>
      <c r="BR149" s="283"/>
      <c r="BS149" s="283"/>
      <c r="BT149" s="283"/>
      <c r="BU149" s="283"/>
      <c r="BV149" s="283"/>
      <c r="BW149" s="283"/>
      <c r="BX149" s="283"/>
      <c r="BY149" s="283"/>
      <c r="BZ149" s="283"/>
      <c r="CA149" s="283"/>
      <c r="CB149" s="283"/>
      <c r="CC149" s="283"/>
      <c r="CD149" s="283"/>
      <c r="CE149" s="283"/>
      <c r="CF149" s="283"/>
      <c r="CG149" s="283"/>
      <c r="CH149" s="283"/>
      <c r="CI149" s="283"/>
      <c r="CJ149" s="283"/>
      <c r="CK149" s="283"/>
      <c r="CL149" s="283"/>
      <c r="CM149" s="283"/>
      <c r="CN149" s="283"/>
    </row>
    <row r="150" spans="1:92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282"/>
      <c r="AH150" s="283"/>
      <c r="AI150" s="283"/>
      <c r="AJ150" s="283"/>
      <c r="AK150" s="283"/>
      <c r="AL150" s="283"/>
      <c r="AM150" s="283"/>
      <c r="AN150" s="283"/>
      <c r="AO150" s="283"/>
      <c r="AP150" s="283"/>
      <c r="AQ150" s="283"/>
      <c r="AR150" s="283"/>
      <c r="AS150" s="283"/>
      <c r="AT150" s="283"/>
      <c r="AU150" s="283"/>
      <c r="AV150" s="283"/>
      <c r="AW150" s="283"/>
      <c r="AX150" s="283"/>
      <c r="AY150" s="283"/>
      <c r="AZ150" s="283"/>
      <c r="BA150" s="283"/>
      <c r="BB150" s="283"/>
      <c r="BC150" s="283"/>
      <c r="BD150" s="283"/>
      <c r="BE150" s="283"/>
      <c r="BF150" s="283"/>
      <c r="BG150" s="283"/>
      <c r="BH150" s="283"/>
      <c r="BI150" s="283"/>
      <c r="BJ150" s="283"/>
      <c r="BK150" s="283"/>
      <c r="BL150" s="283"/>
      <c r="BM150" s="283"/>
      <c r="BN150" s="283"/>
      <c r="BO150" s="283"/>
      <c r="BP150" s="283"/>
      <c r="BQ150" s="283"/>
      <c r="BR150" s="283"/>
      <c r="BS150" s="283"/>
      <c r="BT150" s="283"/>
      <c r="BU150" s="283"/>
      <c r="BV150" s="283"/>
      <c r="BW150" s="283"/>
      <c r="BX150" s="283"/>
      <c r="BY150" s="283"/>
      <c r="BZ150" s="283"/>
      <c r="CA150" s="283"/>
      <c r="CB150" s="283"/>
      <c r="CC150" s="283"/>
      <c r="CD150" s="283"/>
      <c r="CE150" s="283"/>
      <c r="CF150" s="283"/>
      <c r="CG150" s="283"/>
      <c r="CH150" s="283"/>
      <c r="CI150" s="283"/>
      <c r="CJ150" s="283"/>
      <c r="CK150" s="283"/>
      <c r="CL150" s="283"/>
      <c r="CM150" s="283"/>
      <c r="CN150" s="283"/>
    </row>
    <row r="151" spans="1:92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282"/>
      <c r="AH151" s="283"/>
      <c r="AI151" s="283"/>
      <c r="AJ151" s="283"/>
      <c r="AK151" s="283"/>
      <c r="AL151" s="283"/>
      <c r="AM151" s="283"/>
      <c r="AN151" s="283"/>
      <c r="AO151" s="283"/>
      <c r="AP151" s="283"/>
      <c r="AQ151" s="283"/>
      <c r="AR151" s="283"/>
      <c r="AS151" s="283"/>
      <c r="AT151" s="283"/>
      <c r="AU151" s="283"/>
      <c r="AV151" s="283"/>
      <c r="AW151" s="283"/>
      <c r="AX151" s="283"/>
      <c r="AY151" s="283"/>
      <c r="AZ151" s="283"/>
      <c r="BA151" s="283"/>
      <c r="BB151" s="283"/>
      <c r="BC151" s="283"/>
      <c r="BD151" s="283"/>
      <c r="BE151" s="283"/>
      <c r="BF151" s="283"/>
      <c r="BG151" s="283"/>
      <c r="BH151" s="283"/>
      <c r="BI151" s="283"/>
      <c r="BJ151" s="283"/>
      <c r="BK151" s="283"/>
      <c r="BL151" s="283"/>
      <c r="BM151" s="283"/>
      <c r="BN151" s="283"/>
      <c r="BO151" s="283"/>
      <c r="BP151" s="283"/>
      <c r="BQ151" s="283"/>
      <c r="BR151" s="283"/>
      <c r="BS151" s="283"/>
      <c r="BT151" s="283"/>
      <c r="BU151" s="283"/>
      <c r="BV151" s="283"/>
      <c r="BW151" s="283"/>
      <c r="BX151" s="283"/>
      <c r="BY151" s="283"/>
      <c r="BZ151" s="283"/>
      <c r="CA151" s="283"/>
      <c r="CB151" s="283"/>
      <c r="CC151" s="283"/>
      <c r="CD151" s="283"/>
      <c r="CE151" s="283"/>
      <c r="CF151" s="283"/>
      <c r="CG151" s="283"/>
      <c r="CH151" s="283"/>
      <c r="CI151" s="283"/>
      <c r="CJ151" s="283"/>
      <c r="CK151" s="283"/>
      <c r="CL151" s="283"/>
      <c r="CM151" s="283"/>
      <c r="CN151" s="283"/>
    </row>
    <row r="152" spans="1:92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282"/>
      <c r="AH152" s="283"/>
      <c r="AI152" s="283"/>
      <c r="AJ152" s="283"/>
      <c r="AK152" s="283"/>
      <c r="AL152" s="283"/>
      <c r="AM152" s="283"/>
      <c r="AN152" s="283"/>
      <c r="AO152" s="283"/>
      <c r="AP152" s="283"/>
      <c r="AQ152" s="283"/>
      <c r="AR152" s="283"/>
      <c r="AS152" s="283"/>
      <c r="AT152" s="283"/>
      <c r="AU152" s="283"/>
      <c r="AV152" s="283"/>
      <c r="AW152" s="283"/>
      <c r="AX152" s="283"/>
      <c r="AY152" s="283"/>
      <c r="AZ152" s="283"/>
      <c r="BA152" s="283"/>
      <c r="BB152" s="283"/>
      <c r="BC152" s="283"/>
      <c r="BD152" s="283"/>
      <c r="BE152" s="283"/>
      <c r="BF152" s="283"/>
      <c r="BG152" s="283"/>
      <c r="BH152" s="283"/>
      <c r="BI152" s="283"/>
      <c r="BJ152" s="283"/>
      <c r="BK152" s="283"/>
      <c r="BL152" s="283"/>
      <c r="BM152" s="283"/>
      <c r="BN152" s="283"/>
      <c r="BO152" s="283"/>
      <c r="BP152" s="283"/>
      <c r="BQ152" s="283"/>
      <c r="BR152" s="283"/>
      <c r="BS152" s="283"/>
      <c r="BT152" s="283"/>
      <c r="BU152" s="283"/>
      <c r="BV152" s="283"/>
      <c r="BW152" s="283"/>
      <c r="BX152" s="283"/>
      <c r="BY152" s="283"/>
      <c r="BZ152" s="283"/>
      <c r="CA152" s="283"/>
      <c r="CB152" s="283"/>
      <c r="CC152" s="283"/>
      <c r="CD152" s="283"/>
      <c r="CE152" s="283"/>
      <c r="CF152" s="283"/>
      <c r="CG152" s="283"/>
      <c r="CH152" s="283"/>
      <c r="CI152" s="283"/>
      <c r="CJ152" s="283"/>
      <c r="CK152" s="283"/>
      <c r="CL152" s="283"/>
      <c r="CM152" s="283"/>
      <c r="CN152" s="283"/>
    </row>
    <row r="153" spans="1:92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282"/>
      <c r="AH153" s="283"/>
      <c r="AI153" s="283"/>
      <c r="AJ153" s="283"/>
      <c r="AK153" s="283"/>
      <c r="AL153" s="283"/>
      <c r="AM153" s="283"/>
      <c r="AN153" s="283"/>
      <c r="AO153" s="283"/>
      <c r="AP153" s="283"/>
      <c r="AQ153" s="283"/>
      <c r="AR153" s="283"/>
      <c r="AS153" s="283"/>
      <c r="AT153" s="283"/>
      <c r="AU153" s="283"/>
      <c r="AV153" s="283"/>
      <c r="AW153" s="283"/>
      <c r="AX153" s="283"/>
      <c r="AY153" s="283"/>
      <c r="AZ153" s="283"/>
      <c r="BA153" s="283"/>
      <c r="BB153" s="283"/>
      <c r="BC153" s="283"/>
      <c r="BD153" s="283"/>
      <c r="BE153" s="283"/>
      <c r="BF153" s="283"/>
      <c r="BG153" s="283"/>
      <c r="BH153" s="283"/>
      <c r="BI153" s="283"/>
      <c r="BJ153" s="283"/>
      <c r="BK153" s="283"/>
      <c r="BL153" s="283"/>
      <c r="BM153" s="283"/>
      <c r="BN153" s="283"/>
      <c r="BO153" s="283"/>
      <c r="BP153" s="283"/>
      <c r="BQ153" s="283"/>
      <c r="BR153" s="283"/>
      <c r="BS153" s="283"/>
      <c r="BT153" s="283"/>
      <c r="BU153" s="283"/>
      <c r="BV153" s="283"/>
      <c r="BW153" s="283"/>
      <c r="BX153" s="283"/>
      <c r="BY153" s="283"/>
      <c r="BZ153" s="283"/>
      <c r="CA153" s="283"/>
      <c r="CB153" s="283"/>
      <c r="CC153" s="283"/>
      <c r="CD153" s="283"/>
      <c r="CE153" s="283"/>
      <c r="CF153" s="283"/>
      <c r="CG153" s="283"/>
      <c r="CH153" s="283"/>
      <c r="CI153" s="283"/>
      <c r="CJ153" s="283"/>
      <c r="CK153" s="283"/>
      <c r="CL153" s="283"/>
      <c r="CM153" s="283"/>
      <c r="CN153" s="283"/>
    </row>
    <row r="154" spans="1:92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282"/>
      <c r="AH154" s="283"/>
      <c r="AI154" s="283"/>
      <c r="AJ154" s="283"/>
      <c r="AK154" s="283"/>
      <c r="AL154" s="283"/>
      <c r="AM154" s="283"/>
      <c r="AN154" s="283"/>
      <c r="AO154" s="283"/>
      <c r="AP154" s="283"/>
      <c r="AQ154" s="283"/>
      <c r="AR154" s="283"/>
      <c r="AS154" s="283"/>
      <c r="AT154" s="283"/>
      <c r="AU154" s="283"/>
      <c r="AV154" s="283"/>
      <c r="AW154" s="283"/>
      <c r="AX154" s="283"/>
      <c r="AY154" s="283"/>
      <c r="AZ154" s="283"/>
      <c r="BA154" s="283"/>
      <c r="BB154" s="283"/>
      <c r="BC154" s="283"/>
      <c r="BD154" s="283"/>
      <c r="BE154" s="283"/>
      <c r="BF154" s="283"/>
      <c r="BG154" s="283"/>
      <c r="BH154" s="283"/>
      <c r="BI154" s="283"/>
      <c r="BJ154" s="283"/>
      <c r="BK154" s="283"/>
      <c r="BL154" s="283"/>
      <c r="BM154" s="283"/>
      <c r="BN154" s="283"/>
      <c r="BO154" s="283"/>
      <c r="BP154" s="283"/>
      <c r="BQ154" s="283"/>
      <c r="BR154" s="283"/>
      <c r="BS154" s="283"/>
      <c r="BT154" s="283"/>
      <c r="BU154" s="283"/>
      <c r="BV154" s="283"/>
      <c r="BW154" s="283"/>
      <c r="BX154" s="283"/>
      <c r="BY154" s="283"/>
      <c r="BZ154" s="283"/>
      <c r="CA154" s="283"/>
      <c r="CB154" s="283"/>
      <c r="CC154" s="283"/>
      <c r="CD154" s="283"/>
      <c r="CE154" s="283"/>
      <c r="CF154" s="283"/>
      <c r="CG154" s="283"/>
      <c r="CH154" s="283"/>
      <c r="CI154" s="283"/>
      <c r="CJ154" s="283"/>
      <c r="CK154" s="283"/>
      <c r="CL154" s="283"/>
      <c r="CM154" s="283"/>
      <c r="CN154" s="283"/>
    </row>
    <row r="155" spans="1:92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282"/>
      <c r="AH155" s="283"/>
      <c r="AI155" s="283"/>
      <c r="AJ155" s="283"/>
      <c r="AK155" s="283"/>
      <c r="AL155" s="283"/>
      <c r="AM155" s="283"/>
      <c r="AN155" s="283"/>
      <c r="AO155" s="283"/>
      <c r="AP155" s="283"/>
      <c r="AQ155" s="283"/>
      <c r="AR155" s="283"/>
      <c r="AS155" s="283"/>
      <c r="AT155" s="283"/>
      <c r="AU155" s="283"/>
      <c r="AV155" s="283"/>
      <c r="AW155" s="283"/>
      <c r="AX155" s="283"/>
      <c r="AY155" s="283"/>
      <c r="AZ155" s="283"/>
      <c r="BA155" s="283"/>
      <c r="BB155" s="283"/>
      <c r="BC155" s="283"/>
      <c r="BD155" s="283"/>
      <c r="BE155" s="283"/>
      <c r="BF155" s="283"/>
      <c r="BG155" s="283"/>
      <c r="BH155" s="283"/>
      <c r="BI155" s="283"/>
      <c r="BJ155" s="283"/>
      <c r="BK155" s="283"/>
      <c r="BL155" s="283"/>
      <c r="BM155" s="283"/>
      <c r="BN155" s="283"/>
      <c r="BO155" s="283"/>
      <c r="BP155" s="283"/>
      <c r="BQ155" s="283"/>
      <c r="BR155" s="283"/>
      <c r="BS155" s="283"/>
      <c r="BT155" s="283"/>
      <c r="BU155" s="283"/>
      <c r="BV155" s="283"/>
      <c r="BW155" s="283"/>
      <c r="BX155" s="283"/>
      <c r="BY155" s="283"/>
      <c r="BZ155" s="283"/>
      <c r="CA155" s="283"/>
      <c r="CB155" s="283"/>
      <c r="CC155" s="283"/>
      <c r="CD155" s="283"/>
      <c r="CE155" s="283"/>
      <c r="CF155" s="283"/>
      <c r="CG155" s="283"/>
      <c r="CH155" s="283"/>
      <c r="CI155" s="283"/>
      <c r="CJ155" s="283"/>
      <c r="CK155" s="283"/>
      <c r="CL155" s="283"/>
      <c r="CM155" s="283"/>
      <c r="CN155" s="283"/>
    </row>
    <row r="156" spans="1:92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282"/>
      <c r="AH156" s="283"/>
      <c r="AI156" s="283"/>
      <c r="AJ156" s="283"/>
      <c r="AK156" s="283"/>
      <c r="AL156" s="283"/>
      <c r="AM156" s="283"/>
      <c r="AN156" s="283"/>
      <c r="AO156" s="283"/>
      <c r="AP156" s="283"/>
      <c r="AQ156" s="283"/>
      <c r="AR156" s="283"/>
      <c r="AS156" s="283"/>
      <c r="AT156" s="283"/>
      <c r="AU156" s="283"/>
      <c r="AV156" s="283"/>
      <c r="AW156" s="283"/>
      <c r="AX156" s="283"/>
      <c r="AY156" s="283"/>
      <c r="AZ156" s="283"/>
      <c r="BA156" s="283"/>
      <c r="BB156" s="283"/>
      <c r="BC156" s="283"/>
      <c r="BD156" s="283"/>
      <c r="BE156" s="283"/>
      <c r="BF156" s="283"/>
      <c r="BG156" s="283"/>
      <c r="BH156" s="283"/>
      <c r="BI156" s="283"/>
      <c r="BJ156" s="283"/>
      <c r="BK156" s="283"/>
      <c r="BL156" s="283"/>
      <c r="BM156" s="283"/>
      <c r="BN156" s="283"/>
      <c r="BO156" s="283"/>
      <c r="BP156" s="283"/>
      <c r="BQ156" s="283"/>
      <c r="BR156" s="283"/>
      <c r="BS156" s="283"/>
      <c r="BT156" s="283"/>
      <c r="BU156" s="283"/>
      <c r="BV156" s="283"/>
      <c r="BW156" s="283"/>
      <c r="BX156" s="283"/>
      <c r="BY156" s="283"/>
      <c r="BZ156" s="283"/>
      <c r="CA156" s="283"/>
      <c r="CB156" s="283"/>
      <c r="CC156" s="283"/>
      <c r="CD156" s="283"/>
      <c r="CE156" s="283"/>
      <c r="CF156" s="283"/>
      <c r="CG156" s="283"/>
      <c r="CH156" s="283"/>
      <c r="CI156" s="283"/>
      <c r="CJ156" s="283"/>
      <c r="CK156" s="283"/>
      <c r="CL156" s="283"/>
      <c r="CM156" s="283"/>
      <c r="CN156" s="283"/>
    </row>
    <row r="157" spans="1:92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282"/>
      <c r="AH157" s="283"/>
      <c r="AI157" s="283"/>
      <c r="AJ157" s="283"/>
      <c r="AK157" s="283"/>
      <c r="AL157" s="283"/>
      <c r="AM157" s="283"/>
      <c r="AN157" s="283"/>
      <c r="AO157" s="283"/>
      <c r="AP157" s="283"/>
      <c r="AQ157" s="283"/>
      <c r="AR157" s="283"/>
      <c r="AS157" s="283"/>
      <c r="AT157" s="283"/>
      <c r="AU157" s="283"/>
      <c r="AV157" s="283"/>
      <c r="AW157" s="283"/>
      <c r="AX157" s="283"/>
      <c r="AY157" s="283"/>
      <c r="AZ157" s="283"/>
      <c r="BA157" s="283"/>
      <c r="BB157" s="283"/>
      <c r="BC157" s="283"/>
      <c r="BD157" s="283"/>
      <c r="BE157" s="283"/>
      <c r="BF157" s="283"/>
      <c r="BG157" s="283"/>
      <c r="BH157" s="283"/>
      <c r="BI157" s="283"/>
      <c r="BJ157" s="283"/>
      <c r="BK157" s="283"/>
      <c r="BL157" s="283"/>
      <c r="BM157" s="283"/>
      <c r="BN157" s="283"/>
      <c r="BO157" s="283"/>
      <c r="BP157" s="283"/>
      <c r="BQ157" s="283"/>
      <c r="BR157" s="283"/>
      <c r="BS157" s="283"/>
      <c r="BT157" s="283"/>
      <c r="BU157" s="283"/>
      <c r="BV157" s="283"/>
      <c r="BW157" s="283"/>
      <c r="BX157" s="283"/>
      <c r="BY157" s="283"/>
      <c r="BZ157" s="283"/>
      <c r="CA157" s="283"/>
      <c r="CB157" s="283"/>
      <c r="CC157" s="283"/>
      <c r="CD157" s="283"/>
      <c r="CE157" s="283"/>
      <c r="CF157" s="283"/>
      <c r="CG157" s="283"/>
      <c r="CH157" s="283"/>
      <c r="CI157" s="283"/>
      <c r="CJ157" s="283"/>
      <c r="CK157" s="283"/>
      <c r="CL157" s="283"/>
      <c r="CM157" s="283"/>
      <c r="CN157" s="283"/>
    </row>
    <row r="158" spans="1:92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282"/>
      <c r="AH158" s="283"/>
      <c r="AI158" s="283"/>
      <c r="AJ158" s="283"/>
      <c r="AK158" s="283"/>
      <c r="AL158" s="283"/>
      <c r="AM158" s="283"/>
      <c r="AN158" s="283"/>
      <c r="AO158" s="283"/>
      <c r="AP158" s="283"/>
      <c r="AQ158" s="283"/>
      <c r="AR158" s="283"/>
      <c r="AS158" s="283"/>
      <c r="AT158" s="283"/>
      <c r="AU158" s="283"/>
      <c r="AV158" s="283"/>
      <c r="AW158" s="283"/>
      <c r="AX158" s="283"/>
      <c r="AY158" s="283"/>
      <c r="AZ158" s="283"/>
      <c r="BA158" s="283"/>
      <c r="BB158" s="283"/>
      <c r="BC158" s="283"/>
      <c r="BD158" s="283"/>
      <c r="BE158" s="283"/>
      <c r="BF158" s="283"/>
      <c r="BG158" s="283"/>
      <c r="BH158" s="283"/>
      <c r="BI158" s="283"/>
      <c r="BJ158" s="283"/>
      <c r="BK158" s="283"/>
      <c r="BL158" s="283"/>
      <c r="BM158" s="283"/>
      <c r="BN158" s="283"/>
      <c r="BO158" s="283"/>
      <c r="BP158" s="283"/>
      <c r="BQ158" s="283"/>
      <c r="BR158" s="283"/>
      <c r="BS158" s="283"/>
      <c r="BT158" s="283"/>
      <c r="BU158" s="283"/>
      <c r="BV158" s="283"/>
      <c r="BW158" s="283"/>
      <c r="BX158" s="283"/>
      <c r="BY158" s="283"/>
      <c r="BZ158" s="283"/>
      <c r="CA158" s="283"/>
      <c r="CB158" s="283"/>
      <c r="CC158" s="283"/>
      <c r="CD158" s="283"/>
      <c r="CE158" s="283"/>
      <c r="CF158" s="283"/>
      <c r="CG158" s="283"/>
      <c r="CH158" s="283"/>
      <c r="CI158" s="283"/>
      <c r="CJ158" s="283"/>
      <c r="CK158" s="283"/>
      <c r="CL158" s="283"/>
      <c r="CM158" s="283"/>
      <c r="CN158" s="283"/>
    </row>
    <row r="159" spans="1:92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282"/>
      <c r="AH159" s="283"/>
      <c r="AI159" s="283"/>
      <c r="AJ159" s="283"/>
      <c r="AK159" s="283"/>
      <c r="AL159" s="283"/>
      <c r="AM159" s="283"/>
      <c r="AN159" s="283"/>
      <c r="AO159" s="283"/>
      <c r="AP159" s="283"/>
      <c r="AQ159" s="283"/>
      <c r="AR159" s="283"/>
      <c r="AS159" s="283"/>
      <c r="AT159" s="283"/>
      <c r="AU159" s="283"/>
      <c r="AV159" s="283"/>
      <c r="AW159" s="283"/>
      <c r="AX159" s="283"/>
      <c r="AY159" s="283"/>
      <c r="AZ159" s="283"/>
      <c r="BA159" s="283"/>
      <c r="BB159" s="283"/>
      <c r="BC159" s="283"/>
      <c r="BD159" s="283"/>
      <c r="BE159" s="283"/>
      <c r="BF159" s="283"/>
      <c r="BG159" s="283"/>
      <c r="BH159" s="283"/>
      <c r="BI159" s="283"/>
      <c r="BJ159" s="283"/>
      <c r="BK159" s="283"/>
      <c r="BL159" s="283"/>
      <c r="BM159" s="283"/>
      <c r="BN159" s="283"/>
      <c r="BO159" s="283"/>
      <c r="BP159" s="283"/>
      <c r="BQ159" s="283"/>
      <c r="BR159" s="283"/>
      <c r="BS159" s="283"/>
      <c r="BT159" s="283"/>
      <c r="BU159" s="283"/>
      <c r="BV159" s="283"/>
      <c r="BW159" s="283"/>
      <c r="BX159" s="283"/>
      <c r="BY159" s="283"/>
      <c r="BZ159" s="283"/>
      <c r="CA159" s="283"/>
      <c r="CB159" s="283"/>
      <c r="CC159" s="283"/>
      <c r="CD159" s="283"/>
      <c r="CE159" s="283"/>
      <c r="CF159" s="283"/>
      <c r="CG159" s="283"/>
      <c r="CH159" s="283"/>
      <c r="CI159" s="283"/>
      <c r="CJ159" s="283"/>
      <c r="CK159" s="283"/>
      <c r="CL159" s="283"/>
      <c r="CM159" s="283"/>
      <c r="CN159" s="283"/>
    </row>
    <row r="160" spans="1:92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28"/>
    </row>
    <row r="161" spans="1:33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28"/>
    </row>
    <row r="162" spans="1:33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28"/>
    </row>
    <row r="163" spans="1:33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28"/>
    </row>
    <row r="164" spans="1:33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28"/>
    </row>
    <row r="165" spans="1:33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28"/>
    </row>
    <row r="166" spans="1:33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28"/>
    </row>
    <row r="167" spans="1:33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28"/>
    </row>
    <row r="168" spans="1:33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28"/>
    </row>
    <row r="169" spans="1:33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28"/>
    </row>
    <row r="170" spans="1:33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28"/>
    </row>
    <row r="171" spans="1:33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28"/>
    </row>
    <row r="172" spans="1:33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28"/>
    </row>
    <row r="173" spans="1:33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28"/>
    </row>
    <row r="174" spans="1:33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28"/>
    </row>
    <row r="175" spans="1:33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28"/>
    </row>
    <row r="176" spans="1:33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28"/>
    </row>
    <row r="177" spans="1:33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28"/>
    </row>
    <row r="178" spans="1:33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28"/>
    </row>
    <row r="179" spans="1:33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28"/>
    </row>
    <row r="180" spans="1:33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28"/>
    </row>
    <row r="181" spans="1:33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28"/>
    </row>
    <row r="182" spans="1:33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28"/>
    </row>
    <row r="183" spans="1:33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28"/>
    </row>
    <row r="184" spans="1:33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28"/>
    </row>
    <row r="185" spans="1:33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28"/>
    </row>
    <row r="186" spans="1:33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28"/>
    </row>
    <row r="187" spans="1:33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28"/>
    </row>
    <row r="188" spans="1:33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28"/>
    </row>
    <row r="189" spans="1:33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28"/>
    </row>
    <row r="190" spans="1:33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28"/>
    </row>
    <row r="191" spans="1:33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28"/>
    </row>
    <row r="192" spans="1:33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28"/>
    </row>
    <row r="193" spans="1:33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28"/>
    </row>
    <row r="194" spans="1:33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28"/>
    </row>
    <row r="195" spans="1:33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28"/>
    </row>
    <row r="196" spans="1:33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28"/>
    </row>
    <row r="197" spans="1:33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28"/>
    </row>
    <row r="198" spans="1:33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28"/>
    </row>
    <row r="199" spans="1:33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28"/>
    </row>
    <row r="200" spans="1:33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28"/>
    </row>
    <row r="201" spans="1:33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28"/>
    </row>
    <row r="202" spans="1:33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28"/>
    </row>
    <row r="203" spans="1:33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28"/>
    </row>
    <row r="204" spans="1:33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28"/>
    </row>
    <row r="205" spans="1:33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28"/>
    </row>
    <row r="206" spans="1:33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28"/>
    </row>
    <row r="207" spans="1:33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28"/>
    </row>
    <row r="208" spans="1:33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28"/>
    </row>
    <row r="209" spans="1:33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28"/>
    </row>
    <row r="210" spans="1:33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28"/>
    </row>
    <row r="211" spans="1:33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28"/>
    </row>
    <row r="212" spans="1:33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28"/>
    </row>
    <row r="213" spans="1:33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28"/>
    </row>
    <row r="214" spans="1:33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28"/>
    </row>
    <row r="215" spans="1:33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28"/>
    </row>
    <row r="216" spans="1:33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28"/>
    </row>
    <row r="217" spans="1:33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28"/>
    </row>
    <row r="218" spans="1:33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28"/>
    </row>
    <row r="219" spans="1:33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28"/>
    </row>
    <row r="220" spans="1:33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28"/>
    </row>
    <row r="221" spans="1:33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28"/>
    </row>
    <row r="222" spans="1:33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28"/>
    </row>
    <row r="223" spans="1:33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28"/>
    </row>
    <row r="224" spans="1:33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28"/>
    </row>
    <row r="225" spans="1:33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28"/>
    </row>
    <row r="226" spans="1:33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28"/>
    </row>
    <row r="227" spans="1:33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28"/>
    </row>
    <row r="228" spans="1:33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28"/>
    </row>
    <row r="229" spans="1:33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28"/>
    </row>
    <row r="230" spans="1:33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28"/>
    </row>
    <row r="231" spans="1:33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28"/>
    </row>
    <row r="232" spans="1:33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28"/>
    </row>
    <row r="233" spans="1:33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28"/>
    </row>
    <row r="234" spans="1:33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28"/>
    </row>
    <row r="235" spans="1:33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28"/>
    </row>
    <row r="236" spans="1:33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28"/>
    </row>
    <row r="237" spans="1:33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28"/>
    </row>
    <row r="238" spans="1:33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28"/>
    </row>
    <row r="239" spans="1:33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28"/>
    </row>
    <row r="240" spans="1:33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28"/>
    </row>
    <row r="241" spans="1:33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28"/>
    </row>
    <row r="242" spans="1:33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28"/>
    </row>
    <row r="243" spans="1:33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28"/>
    </row>
    <row r="244" spans="1:33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28"/>
    </row>
    <row r="245" spans="1:33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28"/>
    </row>
    <row r="246" spans="1:33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28"/>
    </row>
    <row r="247" spans="1:33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28"/>
    </row>
    <row r="248" spans="1:33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28"/>
    </row>
    <row r="249" spans="1:33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28"/>
    </row>
    <row r="250" spans="1:33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28"/>
    </row>
    <row r="251" spans="1:33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28"/>
    </row>
    <row r="252" spans="1:33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28"/>
    </row>
    <row r="253" spans="1:33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28"/>
    </row>
    <row r="254" spans="1:33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28"/>
    </row>
    <row r="255" spans="1:33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28"/>
    </row>
    <row r="256" spans="1:33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28"/>
    </row>
    <row r="257" spans="1:33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28"/>
    </row>
    <row r="258" spans="1:33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28"/>
    </row>
    <row r="259" spans="1:33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28"/>
    </row>
    <row r="260" spans="1:33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28"/>
    </row>
    <row r="261" spans="1:33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28"/>
    </row>
    <row r="262" spans="1:33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28"/>
    </row>
    <row r="263" spans="1:33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28"/>
    </row>
    <row r="264" spans="1:33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28"/>
    </row>
    <row r="265" spans="1:33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28"/>
    </row>
    <row r="266" spans="1:33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28"/>
    </row>
    <row r="267" spans="1:33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28"/>
    </row>
    <row r="268" spans="1:33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28"/>
    </row>
    <row r="269" spans="1:33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28"/>
    </row>
    <row r="270" spans="1:33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28"/>
    </row>
    <row r="271" spans="1:33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28"/>
    </row>
    <row r="272" spans="1:33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28"/>
    </row>
    <row r="273" spans="1:33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28"/>
    </row>
    <row r="274" spans="1:33" ht="14.25" customHeight="1" x14ac:dyDescent="0.2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</row>
    <row r="275" spans="1:33" ht="14.25" customHeight="1" x14ac:dyDescent="0.2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</row>
    <row r="276" spans="1:33" ht="14.25" customHeight="1" x14ac:dyDescent="0.2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</row>
    <row r="277" spans="1:33" ht="14.25" customHeight="1" x14ac:dyDescent="0.2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</row>
    <row r="278" spans="1:33" ht="14.25" customHeight="1" x14ac:dyDescent="0.2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</row>
    <row r="279" spans="1:33" ht="14.25" customHeight="1" x14ac:dyDescent="0.2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</row>
    <row r="280" spans="1:33" ht="14.25" customHeight="1" x14ac:dyDescent="0.2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</row>
    <row r="281" spans="1:33" ht="14.25" customHeight="1" x14ac:dyDescent="0.2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</row>
    <row r="282" spans="1:33" ht="14.25" customHeight="1" x14ac:dyDescent="0.2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</row>
    <row r="283" spans="1:33" ht="14.25" customHeight="1" x14ac:dyDescent="0.2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</row>
    <row r="284" spans="1:33" ht="14.25" customHeight="1" x14ac:dyDescent="0.2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</row>
    <row r="285" spans="1:33" ht="14.25" customHeight="1" x14ac:dyDescent="0.2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</row>
    <row r="286" spans="1:33" ht="14.25" customHeight="1" x14ac:dyDescent="0.2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</row>
    <row r="287" spans="1:33" ht="14.25" customHeight="1" x14ac:dyDescent="0.2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</row>
    <row r="288" spans="1:33" ht="14.25" customHeight="1" x14ac:dyDescent="0.2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</row>
    <row r="289" spans="1:33" ht="14.25" customHeight="1" x14ac:dyDescent="0.2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</row>
    <row r="290" spans="1:33" ht="14.25" customHeight="1" x14ac:dyDescent="0.2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</row>
    <row r="291" spans="1:33" ht="14.25" customHeight="1" x14ac:dyDescent="0.2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</row>
    <row r="292" spans="1:33" ht="14.25" customHeight="1" x14ac:dyDescent="0.2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</row>
    <row r="293" spans="1:33" ht="14.25" customHeight="1" x14ac:dyDescent="0.2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</row>
    <row r="294" spans="1:33" ht="14.25" customHeight="1" x14ac:dyDescent="0.2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</row>
    <row r="295" spans="1:33" ht="14.25" customHeight="1" x14ac:dyDescent="0.2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</row>
    <row r="296" spans="1:33" ht="14.25" customHeight="1" x14ac:dyDescent="0.2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</row>
    <row r="297" spans="1:33" ht="14.25" customHeight="1" x14ac:dyDescent="0.2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</row>
    <row r="298" spans="1:33" ht="14.25" customHeight="1" x14ac:dyDescent="0.2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</row>
    <row r="299" spans="1:33" ht="14.25" customHeight="1" x14ac:dyDescent="0.2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</row>
    <row r="300" spans="1:33" ht="14.25" customHeight="1" x14ac:dyDescent="0.2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</row>
    <row r="301" spans="1:33" ht="14.25" customHeight="1" x14ac:dyDescent="0.2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</row>
    <row r="302" spans="1:33" ht="14.25" customHeight="1" x14ac:dyDescent="0.2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</row>
    <row r="303" spans="1:33" ht="14.25" customHeight="1" x14ac:dyDescent="0.2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</row>
    <row r="304" spans="1:33" ht="14.25" customHeight="1" x14ac:dyDescent="0.2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</row>
    <row r="305" spans="1:33" ht="14.25" customHeight="1" x14ac:dyDescent="0.2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</row>
    <row r="306" spans="1:33" ht="14.25" customHeight="1" x14ac:dyDescent="0.2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</row>
    <row r="307" spans="1:33" ht="14.25" customHeight="1" x14ac:dyDescent="0.2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</row>
    <row r="308" spans="1:33" ht="14.25" customHeight="1" x14ac:dyDescent="0.2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</row>
    <row r="309" spans="1:33" ht="14.25" customHeight="1" x14ac:dyDescent="0.2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</row>
    <row r="310" spans="1:33" ht="14.25" customHeight="1" x14ac:dyDescent="0.2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</row>
    <row r="311" spans="1:33" ht="14.25" customHeight="1" x14ac:dyDescent="0.2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</row>
    <row r="312" spans="1:33" ht="14.25" customHeight="1" x14ac:dyDescent="0.2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</row>
    <row r="313" spans="1:33" ht="14.25" customHeight="1" x14ac:dyDescent="0.2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</row>
    <row r="314" spans="1:33" ht="14.25" customHeight="1" x14ac:dyDescent="0.2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</row>
    <row r="315" spans="1:33" ht="14.25" customHeight="1" x14ac:dyDescent="0.2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</row>
    <row r="316" spans="1:33" ht="14.25" customHeight="1" x14ac:dyDescent="0.2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</row>
    <row r="317" spans="1:33" ht="14.25" customHeight="1" x14ac:dyDescent="0.2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</row>
    <row r="318" spans="1:33" ht="14.25" customHeight="1" x14ac:dyDescent="0.2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</row>
    <row r="319" spans="1:33" ht="14.25" customHeight="1" x14ac:dyDescent="0.2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</row>
    <row r="320" spans="1:33" ht="14.25" customHeight="1" x14ac:dyDescent="0.2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</row>
    <row r="321" spans="1:33" ht="14.25" customHeight="1" x14ac:dyDescent="0.2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</row>
    <row r="322" spans="1:33" ht="14.25" customHeight="1" x14ac:dyDescent="0.2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</row>
    <row r="323" spans="1:33" ht="14.25" customHeight="1" x14ac:dyDescent="0.2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</row>
    <row r="324" spans="1:33" ht="14.25" customHeight="1" x14ac:dyDescent="0.2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</row>
    <row r="325" spans="1:33" ht="14.25" customHeight="1" x14ac:dyDescent="0.2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</row>
    <row r="326" spans="1:33" ht="14.25" customHeight="1" x14ac:dyDescent="0.2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</row>
    <row r="327" spans="1:33" ht="14.25" customHeight="1" x14ac:dyDescent="0.2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</row>
    <row r="328" spans="1:33" ht="14.25" customHeight="1" x14ac:dyDescent="0.2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</row>
    <row r="329" spans="1:33" ht="14.25" customHeight="1" x14ac:dyDescent="0.2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</row>
    <row r="330" spans="1:33" ht="14.25" customHeight="1" x14ac:dyDescent="0.2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</row>
    <row r="331" spans="1:33" ht="14.25" customHeight="1" x14ac:dyDescent="0.2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</row>
    <row r="332" spans="1:33" ht="14.25" customHeight="1" x14ac:dyDescent="0.2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</row>
    <row r="333" spans="1:33" ht="14.25" customHeight="1" x14ac:dyDescent="0.2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</row>
    <row r="334" spans="1:33" ht="14.25" customHeight="1" x14ac:dyDescent="0.2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</row>
    <row r="335" spans="1:33" ht="14.25" customHeight="1" x14ac:dyDescent="0.2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</row>
    <row r="336" spans="1:33" ht="14.25" customHeight="1" x14ac:dyDescent="0.2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</row>
    <row r="337" spans="1:33" ht="14.25" customHeight="1" x14ac:dyDescent="0.2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</row>
    <row r="338" spans="1:33" ht="14.25" customHeight="1" x14ac:dyDescent="0.2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</row>
    <row r="339" spans="1:33" ht="14.25" customHeight="1" x14ac:dyDescent="0.2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</row>
    <row r="340" spans="1:33" ht="14.25" customHeight="1" x14ac:dyDescent="0.2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</row>
    <row r="341" spans="1:33" ht="14.25" customHeight="1" x14ac:dyDescent="0.2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</row>
    <row r="342" spans="1:33" ht="14.25" customHeight="1" x14ac:dyDescent="0.2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</row>
    <row r="343" spans="1:33" ht="14.25" customHeight="1" x14ac:dyDescent="0.2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</row>
    <row r="344" spans="1:33" ht="14.25" customHeight="1" x14ac:dyDescent="0.2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</row>
    <row r="345" spans="1:33" ht="14.25" customHeight="1" x14ac:dyDescent="0.2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</row>
    <row r="346" spans="1:33" ht="14.25" customHeight="1" x14ac:dyDescent="0.2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</row>
    <row r="347" spans="1:33" ht="14.25" customHeight="1" x14ac:dyDescent="0.2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</row>
    <row r="348" spans="1:33" ht="14.25" customHeight="1" x14ac:dyDescent="0.2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</row>
    <row r="349" spans="1:33" ht="14.25" customHeight="1" x14ac:dyDescent="0.2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</row>
    <row r="350" spans="1:33" ht="14.25" customHeight="1" x14ac:dyDescent="0.2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</row>
    <row r="351" spans="1:33" ht="14.25" customHeight="1" x14ac:dyDescent="0.2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</row>
    <row r="352" spans="1:33" ht="14.25" customHeight="1" x14ac:dyDescent="0.2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</row>
    <row r="353" spans="1:33" ht="14.25" customHeight="1" x14ac:dyDescent="0.2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</row>
    <row r="354" spans="1:33" ht="14.25" customHeight="1" x14ac:dyDescent="0.2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</row>
    <row r="355" spans="1:33" ht="14.25" customHeight="1" x14ac:dyDescent="0.2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</row>
    <row r="356" spans="1:33" ht="14.25" customHeight="1" x14ac:dyDescent="0.2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</row>
    <row r="357" spans="1:33" ht="14.25" customHeight="1" x14ac:dyDescent="0.2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</row>
    <row r="358" spans="1:33" ht="14.25" customHeight="1" x14ac:dyDescent="0.2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</row>
    <row r="359" spans="1:33" ht="14.25" customHeight="1" x14ac:dyDescent="0.2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</row>
    <row r="360" spans="1:33" ht="14.25" customHeight="1" x14ac:dyDescent="0.2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</row>
    <row r="361" spans="1:33" ht="14.25" customHeight="1" x14ac:dyDescent="0.2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</row>
    <row r="362" spans="1:33" ht="14.25" customHeight="1" x14ac:dyDescent="0.2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</row>
    <row r="363" spans="1:33" ht="14.25" customHeight="1" x14ac:dyDescent="0.2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</row>
    <row r="364" spans="1:33" ht="14.25" customHeight="1" x14ac:dyDescent="0.2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</row>
    <row r="365" spans="1:33" ht="14.25" customHeight="1" x14ac:dyDescent="0.2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</row>
    <row r="366" spans="1:33" ht="14.25" customHeight="1" x14ac:dyDescent="0.2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</row>
    <row r="367" spans="1:33" ht="14.25" customHeight="1" x14ac:dyDescent="0.2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</row>
    <row r="368" spans="1:33" ht="14.25" customHeight="1" x14ac:dyDescent="0.2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</row>
    <row r="369" spans="1:33" ht="14.25" customHeight="1" x14ac:dyDescent="0.2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</row>
    <row r="370" spans="1:33" ht="14.25" customHeight="1" x14ac:dyDescent="0.2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</row>
    <row r="371" spans="1:33" ht="14.25" customHeight="1" x14ac:dyDescent="0.2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</row>
    <row r="372" spans="1:33" ht="14.25" customHeight="1" x14ac:dyDescent="0.2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</row>
    <row r="373" spans="1:33" ht="14.25" customHeight="1" x14ac:dyDescent="0.2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</row>
    <row r="374" spans="1:33" ht="14.25" customHeight="1" x14ac:dyDescent="0.2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</row>
    <row r="375" spans="1:33" ht="14.25" customHeight="1" x14ac:dyDescent="0.2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</row>
    <row r="376" spans="1:33" ht="14.25" customHeight="1" x14ac:dyDescent="0.2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</row>
    <row r="377" spans="1:33" ht="14.25" customHeight="1" x14ac:dyDescent="0.2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</row>
    <row r="378" spans="1:33" ht="14.25" customHeight="1" x14ac:dyDescent="0.2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</row>
    <row r="379" spans="1:33" ht="14.25" customHeight="1" x14ac:dyDescent="0.2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</row>
    <row r="380" spans="1:33" ht="14.25" customHeight="1" x14ac:dyDescent="0.2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</row>
    <row r="381" spans="1:33" ht="14.25" customHeight="1" x14ac:dyDescent="0.2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</row>
    <row r="382" spans="1:33" ht="14.25" customHeight="1" x14ac:dyDescent="0.2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</row>
    <row r="383" spans="1:33" ht="14.25" customHeight="1" x14ac:dyDescent="0.2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</row>
    <row r="384" spans="1:33" ht="14.25" customHeight="1" x14ac:dyDescent="0.2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</row>
    <row r="385" spans="1:33" ht="14.25" customHeight="1" x14ac:dyDescent="0.2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</row>
    <row r="386" spans="1:33" ht="14.25" customHeight="1" x14ac:dyDescent="0.2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</row>
    <row r="387" spans="1:33" ht="14.25" customHeight="1" x14ac:dyDescent="0.2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</row>
    <row r="388" spans="1:33" ht="14.25" customHeight="1" x14ac:dyDescent="0.2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</row>
    <row r="389" spans="1:33" ht="14.25" customHeight="1" x14ac:dyDescent="0.2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</row>
    <row r="390" spans="1:33" ht="14.25" customHeight="1" x14ac:dyDescent="0.2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</row>
    <row r="391" spans="1:33" ht="14.25" customHeight="1" x14ac:dyDescent="0.2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</row>
    <row r="392" spans="1:33" ht="14.25" customHeight="1" x14ac:dyDescent="0.2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</row>
    <row r="393" spans="1:33" ht="14.25" customHeight="1" x14ac:dyDescent="0.2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</row>
    <row r="394" spans="1:33" ht="14.25" customHeight="1" x14ac:dyDescent="0.2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</row>
    <row r="395" spans="1:33" ht="14.25" customHeight="1" x14ac:dyDescent="0.2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</row>
    <row r="396" spans="1:33" ht="14.25" customHeight="1" x14ac:dyDescent="0.2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</row>
    <row r="397" spans="1:33" ht="14.25" customHeight="1" x14ac:dyDescent="0.2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</row>
    <row r="398" spans="1:33" ht="14.25" customHeight="1" x14ac:dyDescent="0.2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</row>
    <row r="399" spans="1:33" ht="14.25" customHeight="1" x14ac:dyDescent="0.2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</row>
    <row r="400" spans="1:33" ht="14.25" customHeight="1" x14ac:dyDescent="0.2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</row>
    <row r="401" spans="1:33" ht="14.25" customHeight="1" x14ac:dyDescent="0.2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</row>
    <row r="402" spans="1:33" ht="14.25" customHeight="1" x14ac:dyDescent="0.2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</row>
    <row r="403" spans="1:33" ht="14.25" customHeight="1" x14ac:dyDescent="0.2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</row>
    <row r="404" spans="1:33" ht="14.25" customHeight="1" x14ac:dyDescent="0.2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</row>
    <row r="405" spans="1:33" ht="14.25" customHeight="1" x14ac:dyDescent="0.2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</row>
    <row r="406" spans="1:33" ht="14.25" customHeight="1" x14ac:dyDescent="0.2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</row>
    <row r="407" spans="1:33" ht="14.25" customHeight="1" x14ac:dyDescent="0.2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</row>
    <row r="408" spans="1:33" ht="14.25" customHeight="1" x14ac:dyDescent="0.2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</row>
    <row r="409" spans="1:33" ht="14.25" customHeight="1" x14ac:dyDescent="0.2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</row>
    <row r="410" spans="1:33" ht="14.25" customHeight="1" x14ac:dyDescent="0.2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</row>
    <row r="411" spans="1:33" ht="14.25" customHeight="1" x14ac:dyDescent="0.2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</row>
    <row r="412" spans="1:33" ht="14.25" customHeight="1" x14ac:dyDescent="0.2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</row>
    <row r="413" spans="1:33" ht="14.25" customHeight="1" x14ac:dyDescent="0.2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</row>
    <row r="414" spans="1:33" ht="14.25" customHeight="1" x14ac:dyDescent="0.2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</row>
    <row r="415" spans="1:33" ht="14.25" customHeight="1" x14ac:dyDescent="0.2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</row>
    <row r="416" spans="1:33" ht="14.25" customHeight="1" x14ac:dyDescent="0.2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</row>
    <row r="417" spans="1:33" ht="14.25" customHeight="1" x14ac:dyDescent="0.2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</row>
    <row r="418" spans="1:33" ht="14.25" customHeight="1" x14ac:dyDescent="0.2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</row>
    <row r="419" spans="1:33" ht="14.25" customHeight="1" x14ac:dyDescent="0.2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</row>
    <row r="420" spans="1:33" ht="14.25" customHeight="1" x14ac:dyDescent="0.2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</row>
    <row r="421" spans="1:33" ht="14.25" customHeight="1" x14ac:dyDescent="0.2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</row>
    <row r="422" spans="1:33" ht="14.25" customHeight="1" x14ac:dyDescent="0.2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</row>
    <row r="423" spans="1:33" ht="14.25" customHeight="1" x14ac:dyDescent="0.2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</row>
    <row r="424" spans="1:33" ht="14.25" customHeight="1" x14ac:dyDescent="0.2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</row>
    <row r="425" spans="1:33" ht="14.25" customHeight="1" x14ac:dyDescent="0.2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</row>
    <row r="426" spans="1:33" ht="14.25" customHeight="1" x14ac:dyDescent="0.2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</row>
    <row r="427" spans="1:33" ht="14.25" customHeight="1" x14ac:dyDescent="0.2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</row>
    <row r="428" spans="1:33" ht="14.25" customHeight="1" x14ac:dyDescent="0.2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</row>
    <row r="429" spans="1:33" ht="14.25" customHeight="1" x14ac:dyDescent="0.2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</row>
    <row r="430" spans="1:33" ht="14.25" customHeight="1" x14ac:dyDescent="0.2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</row>
    <row r="431" spans="1:33" ht="14.25" customHeight="1" x14ac:dyDescent="0.2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</row>
    <row r="432" spans="1:33" ht="14.25" customHeight="1" x14ac:dyDescent="0.2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</row>
    <row r="433" spans="1:33" ht="14.25" customHeight="1" x14ac:dyDescent="0.2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</row>
    <row r="434" spans="1:33" ht="14.25" customHeight="1" x14ac:dyDescent="0.2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</row>
    <row r="435" spans="1:33" ht="14.25" customHeight="1" x14ac:dyDescent="0.2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</row>
    <row r="436" spans="1:33" ht="14.25" customHeight="1" x14ac:dyDescent="0.2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</row>
    <row r="437" spans="1:33" ht="14.25" customHeight="1" x14ac:dyDescent="0.2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</row>
    <row r="438" spans="1:33" ht="14.25" customHeight="1" x14ac:dyDescent="0.2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</row>
    <row r="439" spans="1:33" ht="14.25" customHeight="1" x14ac:dyDescent="0.2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</row>
    <row r="440" spans="1:33" ht="14.25" customHeight="1" x14ac:dyDescent="0.2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</row>
    <row r="441" spans="1:33" ht="14.25" customHeight="1" x14ac:dyDescent="0.2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</row>
    <row r="442" spans="1:33" ht="14.25" customHeight="1" x14ac:dyDescent="0.2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</row>
    <row r="443" spans="1:33" ht="14.25" customHeight="1" x14ac:dyDescent="0.2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</row>
    <row r="444" spans="1:33" ht="14.25" customHeight="1" x14ac:dyDescent="0.2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</row>
    <row r="445" spans="1:33" ht="14.25" customHeight="1" x14ac:dyDescent="0.2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</row>
    <row r="446" spans="1:33" ht="14.25" customHeight="1" x14ac:dyDescent="0.2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</row>
    <row r="447" spans="1:33" ht="14.25" customHeight="1" x14ac:dyDescent="0.2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</row>
    <row r="448" spans="1:33" ht="14.25" customHeight="1" x14ac:dyDescent="0.2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</row>
    <row r="449" spans="1:33" ht="14.25" customHeight="1" x14ac:dyDescent="0.2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</row>
    <row r="450" spans="1:33" ht="14.25" customHeight="1" x14ac:dyDescent="0.2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</row>
    <row r="451" spans="1:33" ht="14.25" customHeight="1" x14ac:dyDescent="0.2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</row>
    <row r="452" spans="1:33" ht="14.25" customHeight="1" x14ac:dyDescent="0.2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</row>
    <row r="453" spans="1:33" ht="14.25" customHeight="1" x14ac:dyDescent="0.2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</row>
    <row r="454" spans="1:33" ht="14.25" customHeight="1" x14ac:dyDescent="0.2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</row>
    <row r="455" spans="1:33" ht="14.25" customHeight="1" x14ac:dyDescent="0.2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</row>
    <row r="456" spans="1:33" ht="14.25" customHeight="1" x14ac:dyDescent="0.2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</row>
    <row r="457" spans="1:33" ht="14.25" customHeight="1" x14ac:dyDescent="0.2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</row>
    <row r="458" spans="1:33" ht="14.25" customHeight="1" x14ac:dyDescent="0.2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</row>
    <row r="459" spans="1:33" ht="14.25" customHeight="1" x14ac:dyDescent="0.2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</row>
    <row r="460" spans="1:33" ht="14.25" customHeight="1" x14ac:dyDescent="0.2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</row>
    <row r="461" spans="1:33" ht="14.25" customHeight="1" x14ac:dyDescent="0.2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</row>
    <row r="462" spans="1:33" ht="14.25" customHeight="1" x14ac:dyDescent="0.2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</row>
    <row r="463" spans="1:33" ht="14.25" customHeight="1" x14ac:dyDescent="0.2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</row>
    <row r="464" spans="1:33" ht="14.25" customHeight="1" x14ac:dyDescent="0.2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</row>
    <row r="465" spans="1:33" ht="14.25" customHeight="1" x14ac:dyDescent="0.2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</row>
    <row r="466" spans="1:33" ht="14.25" customHeight="1" x14ac:dyDescent="0.2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</row>
    <row r="467" spans="1:33" ht="14.25" customHeight="1" x14ac:dyDescent="0.2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</row>
    <row r="468" spans="1:33" ht="14.25" customHeight="1" x14ac:dyDescent="0.2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</row>
    <row r="469" spans="1:33" ht="14.25" customHeight="1" x14ac:dyDescent="0.2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</row>
    <row r="470" spans="1:33" ht="14.25" customHeight="1" x14ac:dyDescent="0.2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</row>
    <row r="471" spans="1:33" ht="14.25" customHeight="1" x14ac:dyDescent="0.2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</row>
    <row r="472" spans="1:33" ht="14.25" customHeight="1" x14ac:dyDescent="0.2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</row>
    <row r="473" spans="1:33" ht="14.25" customHeight="1" x14ac:dyDescent="0.2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</row>
    <row r="474" spans="1:33" ht="14.25" customHeight="1" x14ac:dyDescent="0.2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</row>
    <row r="475" spans="1:33" ht="14.25" customHeight="1" x14ac:dyDescent="0.2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</row>
    <row r="476" spans="1:33" ht="14.25" customHeight="1" x14ac:dyDescent="0.2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</row>
    <row r="477" spans="1:33" ht="14.25" customHeight="1" x14ac:dyDescent="0.2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</row>
    <row r="478" spans="1:33" ht="14.25" customHeight="1" x14ac:dyDescent="0.2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</row>
    <row r="479" spans="1:33" ht="14.25" customHeight="1" x14ac:dyDescent="0.2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</row>
    <row r="480" spans="1:33" ht="14.25" customHeight="1" x14ac:dyDescent="0.2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</row>
    <row r="481" spans="1:33" ht="14.25" customHeight="1" x14ac:dyDescent="0.2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</row>
    <row r="482" spans="1:33" ht="14.25" customHeight="1" x14ac:dyDescent="0.2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</row>
    <row r="483" spans="1:33" ht="14.25" customHeight="1" x14ac:dyDescent="0.2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</row>
    <row r="484" spans="1:33" ht="14.25" customHeight="1" x14ac:dyDescent="0.2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</row>
    <row r="485" spans="1:33" ht="14.25" customHeight="1" x14ac:dyDescent="0.2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</row>
    <row r="486" spans="1:33" ht="14.25" customHeight="1" x14ac:dyDescent="0.2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</row>
    <row r="487" spans="1:33" ht="14.25" customHeight="1" x14ac:dyDescent="0.2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</row>
    <row r="488" spans="1:33" ht="14.25" customHeight="1" x14ac:dyDescent="0.2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</row>
    <row r="489" spans="1:33" ht="14.25" customHeight="1" x14ac:dyDescent="0.2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</row>
    <row r="490" spans="1:33" ht="14.25" customHeight="1" x14ac:dyDescent="0.2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</row>
    <row r="491" spans="1:33" ht="14.25" customHeight="1" x14ac:dyDescent="0.2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</row>
    <row r="492" spans="1:33" ht="14.25" customHeight="1" x14ac:dyDescent="0.2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</row>
    <row r="493" spans="1:33" ht="14.25" customHeight="1" x14ac:dyDescent="0.2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</row>
    <row r="494" spans="1:33" ht="14.25" customHeight="1" x14ac:dyDescent="0.2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</row>
    <row r="495" spans="1:33" ht="14.25" customHeight="1" x14ac:dyDescent="0.2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</row>
    <row r="496" spans="1:33" ht="14.25" customHeight="1" x14ac:dyDescent="0.2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</row>
    <row r="497" spans="1:33" ht="14.25" customHeight="1" x14ac:dyDescent="0.2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</row>
    <row r="498" spans="1:33" ht="14.25" customHeight="1" x14ac:dyDescent="0.2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</row>
    <row r="499" spans="1:33" ht="14.25" customHeight="1" x14ac:dyDescent="0.2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</row>
    <row r="500" spans="1:33" ht="14.25" customHeight="1" x14ac:dyDescent="0.2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</row>
    <row r="501" spans="1:33" ht="14.25" customHeight="1" x14ac:dyDescent="0.2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</row>
    <row r="502" spans="1:33" ht="14.25" customHeight="1" x14ac:dyDescent="0.2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</row>
    <row r="503" spans="1:33" ht="14.25" customHeight="1" x14ac:dyDescent="0.2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</row>
    <row r="504" spans="1:33" ht="14.25" customHeight="1" x14ac:dyDescent="0.2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</row>
    <row r="505" spans="1:33" ht="14.25" customHeight="1" x14ac:dyDescent="0.2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</row>
    <row r="506" spans="1:33" ht="14.25" customHeight="1" x14ac:dyDescent="0.2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</row>
    <row r="507" spans="1:33" ht="14.25" customHeight="1" x14ac:dyDescent="0.2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</row>
    <row r="508" spans="1:33" ht="14.25" customHeight="1" x14ac:dyDescent="0.2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</row>
    <row r="509" spans="1:33" ht="14.25" customHeight="1" x14ac:dyDescent="0.2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</row>
    <row r="510" spans="1:33" ht="14.25" customHeight="1" x14ac:dyDescent="0.2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</row>
    <row r="511" spans="1:33" ht="14.25" customHeight="1" x14ac:dyDescent="0.2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</row>
    <row r="512" spans="1:33" ht="14.25" customHeight="1" x14ac:dyDescent="0.2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</row>
    <row r="513" spans="1:33" ht="14.25" customHeight="1" x14ac:dyDescent="0.2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</row>
    <row r="514" spans="1:33" ht="14.25" customHeight="1" x14ac:dyDescent="0.2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</row>
    <row r="515" spans="1:33" ht="14.25" customHeight="1" x14ac:dyDescent="0.2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</row>
    <row r="516" spans="1:33" ht="14.25" customHeight="1" x14ac:dyDescent="0.2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</row>
    <row r="517" spans="1:33" ht="14.25" customHeight="1" x14ac:dyDescent="0.2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</row>
    <row r="518" spans="1:33" ht="14.25" customHeight="1" x14ac:dyDescent="0.2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</row>
    <row r="519" spans="1:33" ht="14.25" customHeight="1" x14ac:dyDescent="0.2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</row>
    <row r="520" spans="1:33" ht="14.25" customHeight="1" x14ac:dyDescent="0.2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</row>
    <row r="521" spans="1:33" ht="14.25" customHeight="1" x14ac:dyDescent="0.2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</row>
    <row r="522" spans="1:33" ht="14.25" customHeight="1" x14ac:dyDescent="0.2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</row>
    <row r="523" spans="1:33" ht="14.25" customHeight="1" x14ac:dyDescent="0.2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</row>
    <row r="524" spans="1:33" ht="14.25" customHeight="1" x14ac:dyDescent="0.2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</row>
    <row r="525" spans="1:33" ht="14.25" customHeight="1" x14ac:dyDescent="0.2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</row>
    <row r="526" spans="1:33" ht="14.25" customHeight="1" x14ac:dyDescent="0.2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</row>
    <row r="527" spans="1:33" ht="14.25" customHeight="1" x14ac:dyDescent="0.2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</row>
    <row r="528" spans="1:33" ht="14.25" customHeight="1" x14ac:dyDescent="0.2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</row>
    <row r="529" spans="1:33" ht="14.25" customHeight="1" x14ac:dyDescent="0.2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</row>
    <row r="530" spans="1:33" ht="14.25" customHeight="1" x14ac:dyDescent="0.2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</row>
    <row r="531" spans="1:33" ht="14.25" customHeight="1" x14ac:dyDescent="0.2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</row>
    <row r="532" spans="1:33" ht="14.25" customHeight="1" x14ac:dyDescent="0.2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</row>
    <row r="533" spans="1:33" ht="14.25" customHeight="1" x14ac:dyDescent="0.2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</row>
    <row r="534" spans="1:33" ht="14.25" customHeight="1" x14ac:dyDescent="0.2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</row>
    <row r="535" spans="1:33" ht="14.25" customHeight="1" x14ac:dyDescent="0.2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</row>
    <row r="536" spans="1:33" ht="14.25" customHeight="1" x14ac:dyDescent="0.2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</row>
    <row r="537" spans="1:33" ht="14.25" customHeight="1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</row>
    <row r="538" spans="1:33" ht="14.25" customHeight="1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</row>
    <row r="539" spans="1:33" ht="14.25" customHeight="1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</row>
    <row r="540" spans="1:33" ht="14.25" customHeight="1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</row>
    <row r="541" spans="1:33" ht="14.25" customHeight="1" x14ac:dyDescent="0.2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</row>
    <row r="542" spans="1:33" ht="14.25" customHeight="1" x14ac:dyDescent="0.2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</row>
    <row r="543" spans="1:33" ht="14.25" customHeight="1" x14ac:dyDescent="0.2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</row>
    <row r="544" spans="1:33" ht="14.25" customHeight="1" x14ac:dyDescent="0.2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</row>
    <row r="545" spans="1:33" ht="14.25" customHeight="1" x14ac:dyDescent="0.2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</row>
    <row r="546" spans="1:33" ht="14.25" customHeight="1" x14ac:dyDescent="0.2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</row>
    <row r="547" spans="1:33" ht="14.25" customHeight="1" x14ac:dyDescent="0.2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</row>
    <row r="548" spans="1:33" ht="14.25" customHeight="1" x14ac:dyDescent="0.2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</row>
    <row r="549" spans="1:33" ht="14.25" customHeight="1" x14ac:dyDescent="0.2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</row>
    <row r="550" spans="1:33" ht="14.25" customHeight="1" x14ac:dyDescent="0.2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</row>
    <row r="551" spans="1:33" ht="14.25" customHeight="1" x14ac:dyDescent="0.2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</row>
    <row r="552" spans="1:33" ht="14.25" customHeight="1" x14ac:dyDescent="0.2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</row>
    <row r="553" spans="1:33" ht="14.25" customHeight="1" x14ac:dyDescent="0.2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</row>
    <row r="554" spans="1:33" ht="14.25" customHeight="1" x14ac:dyDescent="0.2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</row>
    <row r="555" spans="1:33" ht="14.25" customHeight="1" x14ac:dyDescent="0.2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</row>
    <row r="556" spans="1:33" ht="14.25" customHeight="1" x14ac:dyDescent="0.2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</row>
    <row r="557" spans="1:33" ht="14.25" customHeight="1" x14ac:dyDescent="0.2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</row>
    <row r="558" spans="1:33" ht="14.25" customHeight="1" x14ac:dyDescent="0.2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</row>
    <row r="559" spans="1:33" ht="14.25" customHeight="1" x14ac:dyDescent="0.2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</row>
    <row r="560" spans="1:33" ht="14.25" customHeight="1" x14ac:dyDescent="0.2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</row>
    <row r="561" spans="1:33" ht="14.25" customHeight="1" x14ac:dyDescent="0.2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</row>
    <row r="562" spans="1:33" ht="14.25" customHeight="1" x14ac:dyDescent="0.2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</row>
    <row r="563" spans="1:33" ht="14.25" customHeight="1" x14ac:dyDescent="0.2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</row>
    <row r="564" spans="1:33" ht="14.25" customHeight="1" x14ac:dyDescent="0.2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</row>
    <row r="565" spans="1:33" ht="14.25" customHeight="1" x14ac:dyDescent="0.2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</row>
    <row r="566" spans="1:33" ht="14.25" customHeight="1" x14ac:dyDescent="0.2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</row>
    <row r="567" spans="1:33" ht="14.25" customHeight="1" x14ac:dyDescent="0.2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</row>
    <row r="568" spans="1:33" ht="14.25" customHeight="1" x14ac:dyDescent="0.2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</row>
    <row r="569" spans="1:33" ht="14.25" customHeight="1" x14ac:dyDescent="0.2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</row>
    <row r="570" spans="1:33" ht="14.25" customHeight="1" x14ac:dyDescent="0.2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</row>
    <row r="571" spans="1:33" ht="14.25" customHeight="1" x14ac:dyDescent="0.2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</row>
    <row r="572" spans="1:33" ht="14.25" customHeight="1" x14ac:dyDescent="0.2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</row>
    <row r="573" spans="1:33" ht="14.25" customHeight="1" x14ac:dyDescent="0.2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</row>
    <row r="574" spans="1:33" ht="14.25" customHeight="1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</row>
    <row r="575" spans="1:33" ht="14.25" customHeight="1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</row>
    <row r="576" spans="1:33" ht="14.25" customHeight="1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</row>
    <row r="577" spans="1:33" ht="14.25" customHeight="1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</row>
    <row r="578" spans="1:33" ht="14.25" customHeight="1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</row>
    <row r="579" spans="1:33" ht="14.25" customHeight="1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</row>
    <row r="580" spans="1:33" ht="14.25" customHeight="1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</row>
    <row r="581" spans="1:33" ht="14.25" customHeight="1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</row>
    <row r="582" spans="1:33" ht="14.25" customHeight="1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</row>
    <row r="583" spans="1:33" ht="14.25" customHeight="1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</row>
    <row r="584" spans="1:33" ht="14.25" customHeight="1" x14ac:dyDescent="0.2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</row>
    <row r="585" spans="1:33" ht="14.25" customHeight="1" x14ac:dyDescent="0.2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</row>
    <row r="586" spans="1:33" ht="14.25" customHeight="1" x14ac:dyDescent="0.2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</row>
    <row r="587" spans="1:33" ht="14.25" customHeight="1" x14ac:dyDescent="0.2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</row>
    <row r="588" spans="1:33" ht="14.25" customHeight="1" x14ac:dyDescent="0.2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</row>
    <row r="589" spans="1:33" ht="14.25" customHeight="1" x14ac:dyDescent="0.2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</row>
    <row r="590" spans="1:33" ht="14.25" customHeight="1" x14ac:dyDescent="0.2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</row>
    <row r="591" spans="1:33" ht="14.25" customHeight="1" x14ac:dyDescent="0.2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</row>
    <row r="592" spans="1:33" ht="14.25" customHeight="1" x14ac:dyDescent="0.2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</row>
    <row r="593" spans="1:33" ht="14.25" customHeight="1" x14ac:dyDescent="0.2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</row>
    <row r="594" spans="1:33" ht="14.25" customHeight="1" x14ac:dyDescent="0.2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</row>
    <row r="595" spans="1:33" ht="14.25" customHeight="1" x14ac:dyDescent="0.2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</row>
    <row r="596" spans="1:33" ht="14.25" customHeight="1" x14ac:dyDescent="0.2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</row>
    <row r="597" spans="1:33" ht="14.25" customHeight="1" x14ac:dyDescent="0.2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</row>
    <row r="598" spans="1:33" ht="14.25" customHeight="1" x14ac:dyDescent="0.2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</row>
    <row r="599" spans="1:33" ht="14.25" customHeight="1" x14ac:dyDescent="0.2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</row>
    <row r="600" spans="1:33" ht="14.25" customHeight="1" x14ac:dyDescent="0.2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</row>
    <row r="601" spans="1:33" ht="14.25" customHeight="1" x14ac:dyDescent="0.2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</row>
    <row r="602" spans="1:33" ht="14.25" customHeight="1" x14ac:dyDescent="0.2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</row>
    <row r="603" spans="1:33" ht="14.25" customHeight="1" x14ac:dyDescent="0.2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</row>
    <row r="604" spans="1:33" ht="14.25" customHeight="1" x14ac:dyDescent="0.2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</row>
    <row r="605" spans="1:33" ht="14.25" customHeight="1" x14ac:dyDescent="0.2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</row>
    <row r="606" spans="1:33" ht="14.25" customHeight="1" x14ac:dyDescent="0.2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</row>
    <row r="607" spans="1:33" ht="14.25" customHeight="1" x14ac:dyDescent="0.2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</row>
    <row r="608" spans="1:33" ht="14.25" customHeight="1" x14ac:dyDescent="0.2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</row>
    <row r="609" spans="1:33" ht="14.25" customHeight="1" x14ac:dyDescent="0.2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</row>
    <row r="610" spans="1:33" ht="14.25" customHeight="1" x14ac:dyDescent="0.2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</row>
    <row r="611" spans="1:33" ht="14.25" customHeight="1" x14ac:dyDescent="0.2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</row>
    <row r="612" spans="1:33" ht="14.25" customHeight="1" x14ac:dyDescent="0.2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</row>
    <row r="613" spans="1:33" ht="14.25" customHeight="1" x14ac:dyDescent="0.2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</row>
    <row r="614" spans="1:33" ht="14.25" customHeight="1" x14ac:dyDescent="0.2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</row>
    <row r="615" spans="1:33" ht="14.25" customHeight="1" x14ac:dyDescent="0.2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</row>
    <row r="616" spans="1:33" ht="14.25" customHeight="1" x14ac:dyDescent="0.2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</row>
    <row r="617" spans="1:33" ht="14.25" customHeight="1" x14ac:dyDescent="0.2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</row>
    <row r="618" spans="1:33" ht="14.25" customHeight="1" x14ac:dyDescent="0.2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</row>
    <row r="619" spans="1:33" ht="14.25" customHeight="1" x14ac:dyDescent="0.2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</row>
    <row r="620" spans="1:33" ht="14.25" customHeight="1" x14ac:dyDescent="0.2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</row>
    <row r="621" spans="1:33" ht="14.25" customHeight="1" x14ac:dyDescent="0.2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</row>
    <row r="622" spans="1:33" ht="14.25" customHeight="1" x14ac:dyDescent="0.2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</row>
    <row r="623" spans="1:33" ht="14.25" customHeight="1" x14ac:dyDescent="0.2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</row>
    <row r="624" spans="1:33" ht="14.25" customHeight="1" x14ac:dyDescent="0.2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</row>
    <row r="625" spans="1:33" ht="14.25" customHeight="1" x14ac:dyDescent="0.2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</row>
    <row r="626" spans="1:33" ht="14.25" customHeight="1" x14ac:dyDescent="0.2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</row>
    <row r="627" spans="1:33" ht="14.25" customHeight="1" x14ac:dyDescent="0.2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</row>
    <row r="628" spans="1:33" ht="14.25" customHeight="1" x14ac:dyDescent="0.2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</row>
    <row r="629" spans="1:33" ht="14.25" customHeight="1" x14ac:dyDescent="0.2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</row>
    <row r="630" spans="1:33" ht="14.25" customHeight="1" x14ac:dyDescent="0.2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</row>
    <row r="631" spans="1:33" ht="14.25" customHeight="1" x14ac:dyDescent="0.2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</row>
    <row r="632" spans="1:33" ht="14.25" customHeight="1" x14ac:dyDescent="0.2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</row>
    <row r="633" spans="1:33" ht="14.25" customHeight="1" x14ac:dyDescent="0.2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</row>
    <row r="634" spans="1:33" ht="14.25" customHeight="1" x14ac:dyDescent="0.2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</row>
    <row r="635" spans="1:33" ht="14.25" customHeight="1" x14ac:dyDescent="0.2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</row>
    <row r="636" spans="1:33" ht="14.25" customHeight="1" x14ac:dyDescent="0.2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</row>
    <row r="637" spans="1:33" ht="14.25" customHeight="1" x14ac:dyDescent="0.2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</row>
    <row r="638" spans="1:33" ht="14.25" customHeight="1" x14ac:dyDescent="0.2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</row>
    <row r="639" spans="1:33" ht="14.25" customHeight="1" x14ac:dyDescent="0.2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</row>
    <row r="640" spans="1:33" ht="14.25" customHeight="1" x14ac:dyDescent="0.2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</row>
    <row r="641" spans="1:33" ht="14.25" customHeight="1" x14ac:dyDescent="0.2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</row>
    <row r="642" spans="1:33" ht="14.25" customHeight="1" x14ac:dyDescent="0.2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</row>
    <row r="643" spans="1:33" ht="14.25" customHeight="1" x14ac:dyDescent="0.2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</row>
    <row r="644" spans="1:33" ht="14.25" customHeight="1" x14ac:dyDescent="0.2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</row>
    <row r="645" spans="1:33" ht="14.25" customHeight="1" x14ac:dyDescent="0.2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</row>
    <row r="646" spans="1:33" ht="14.25" customHeight="1" x14ac:dyDescent="0.2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</row>
    <row r="647" spans="1:33" ht="14.25" customHeight="1" x14ac:dyDescent="0.2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</row>
    <row r="648" spans="1:33" ht="14.25" customHeight="1" x14ac:dyDescent="0.2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</row>
    <row r="649" spans="1:33" ht="14.25" customHeight="1" x14ac:dyDescent="0.2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</row>
    <row r="650" spans="1:33" ht="14.25" customHeight="1" x14ac:dyDescent="0.2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</row>
    <row r="651" spans="1:33" ht="14.25" customHeight="1" x14ac:dyDescent="0.2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</row>
    <row r="652" spans="1:33" ht="14.25" customHeight="1" x14ac:dyDescent="0.2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</row>
    <row r="653" spans="1:33" ht="14.25" customHeight="1" x14ac:dyDescent="0.2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</row>
    <row r="654" spans="1:33" ht="14.25" customHeight="1" x14ac:dyDescent="0.2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</row>
    <row r="655" spans="1:33" ht="14.25" customHeight="1" x14ac:dyDescent="0.2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</row>
    <row r="656" spans="1:33" ht="14.25" customHeight="1" x14ac:dyDescent="0.2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</row>
    <row r="657" spans="1:33" ht="14.25" customHeight="1" x14ac:dyDescent="0.2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</row>
    <row r="658" spans="1:33" ht="14.25" customHeight="1" x14ac:dyDescent="0.2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</row>
    <row r="659" spans="1:33" ht="14.25" customHeight="1" x14ac:dyDescent="0.2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</row>
    <row r="660" spans="1:33" ht="14.25" customHeight="1" x14ac:dyDescent="0.2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</row>
    <row r="661" spans="1:33" ht="14.25" customHeight="1" x14ac:dyDescent="0.2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</row>
    <row r="662" spans="1:33" ht="14.25" customHeight="1" x14ac:dyDescent="0.2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</row>
    <row r="663" spans="1:33" ht="14.25" customHeight="1" x14ac:dyDescent="0.2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</row>
    <row r="664" spans="1:33" ht="14.25" customHeight="1" x14ac:dyDescent="0.2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</row>
    <row r="665" spans="1:33" ht="14.25" customHeight="1" x14ac:dyDescent="0.2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</row>
    <row r="666" spans="1:33" ht="14.25" customHeight="1" x14ac:dyDescent="0.2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</row>
    <row r="667" spans="1:33" ht="14.25" customHeight="1" x14ac:dyDescent="0.2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</row>
    <row r="668" spans="1:33" ht="14.25" customHeight="1" x14ac:dyDescent="0.2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</row>
    <row r="669" spans="1:33" ht="14.25" customHeight="1" x14ac:dyDescent="0.2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</row>
    <row r="670" spans="1:33" ht="14.25" customHeight="1" x14ac:dyDescent="0.2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</row>
    <row r="671" spans="1:33" ht="14.25" customHeight="1" x14ac:dyDescent="0.2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</row>
    <row r="672" spans="1:33" ht="14.25" customHeight="1" x14ac:dyDescent="0.2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</row>
    <row r="673" spans="1:33" ht="14.25" customHeight="1" x14ac:dyDescent="0.2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</row>
    <row r="674" spans="1:33" ht="14.25" customHeight="1" x14ac:dyDescent="0.2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</row>
    <row r="675" spans="1:33" ht="14.25" customHeight="1" x14ac:dyDescent="0.2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</row>
    <row r="676" spans="1:33" ht="14.25" customHeight="1" x14ac:dyDescent="0.2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</row>
    <row r="677" spans="1:33" ht="14.25" customHeight="1" x14ac:dyDescent="0.2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</row>
    <row r="678" spans="1:33" ht="14.25" customHeight="1" x14ac:dyDescent="0.2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</row>
    <row r="679" spans="1:33" ht="14.25" customHeight="1" x14ac:dyDescent="0.2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</row>
    <row r="680" spans="1:33" ht="14.25" customHeight="1" x14ac:dyDescent="0.2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</row>
    <row r="681" spans="1:33" ht="14.25" customHeight="1" x14ac:dyDescent="0.2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</row>
    <row r="682" spans="1:33" ht="14.25" customHeight="1" x14ac:dyDescent="0.2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</row>
    <row r="683" spans="1:33" ht="14.25" customHeight="1" x14ac:dyDescent="0.2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</row>
    <row r="684" spans="1:33" ht="14.25" customHeight="1" x14ac:dyDescent="0.2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</row>
    <row r="685" spans="1:33" ht="14.25" customHeight="1" x14ac:dyDescent="0.2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</row>
    <row r="686" spans="1:33" ht="14.25" customHeight="1" x14ac:dyDescent="0.2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</row>
    <row r="687" spans="1:33" ht="14.25" customHeight="1" x14ac:dyDescent="0.2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</row>
    <row r="688" spans="1:33" ht="14.25" customHeight="1" x14ac:dyDescent="0.2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</row>
    <row r="689" spans="1:33" ht="14.25" customHeight="1" x14ac:dyDescent="0.2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</row>
    <row r="690" spans="1:33" ht="14.25" customHeight="1" x14ac:dyDescent="0.2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</row>
    <row r="691" spans="1:33" ht="14.25" customHeight="1" x14ac:dyDescent="0.2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</row>
    <row r="692" spans="1:33" ht="14.25" customHeight="1" x14ac:dyDescent="0.2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</row>
    <row r="693" spans="1:33" ht="14.25" customHeight="1" x14ac:dyDescent="0.2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</row>
    <row r="694" spans="1:33" ht="14.25" customHeight="1" x14ac:dyDescent="0.2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</row>
    <row r="695" spans="1:33" ht="14.25" customHeight="1" x14ac:dyDescent="0.2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</row>
    <row r="696" spans="1:33" ht="14.25" customHeight="1" x14ac:dyDescent="0.2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</row>
    <row r="697" spans="1:33" ht="14.25" customHeight="1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</row>
    <row r="698" spans="1:33" ht="14.25" customHeight="1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</row>
    <row r="699" spans="1:33" ht="14.25" customHeight="1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</row>
    <row r="700" spans="1:33" ht="14.25" customHeight="1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</row>
    <row r="701" spans="1:33" ht="14.25" customHeight="1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</row>
    <row r="702" spans="1:33" ht="14.25" customHeight="1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</row>
    <row r="703" spans="1:33" ht="14.25" customHeight="1" x14ac:dyDescent="0.2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</row>
    <row r="704" spans="1:33" ht="14.25" customHeight="1" x14ac:dyDescent="0.2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</row>
    <row r="705" spans="1:33" ht="14.25" customHeight="1" x14ac:dyDescent="0.2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</row>
    <row r="706" spans="1:33" ht="14.25" customHeight="1" x14ac:dyDescent="0.2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</row>
    <row r="707" spans="1:33" ht="14.25" customHeight="1" x14ac:dyDescent="0.2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</row>
    <row r="708" spans="1:33" ht="14.25" customHeight="1" x14ac:dyDescent="0.2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</row>
    <row r="709" spans="1:33" ht="14.25" customHeight="1" x14ac:dyDescent="0.2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</row>
    <row r="710" spans="1:33" ht="14.25" customHeight="1" x14ac:dyDescent="0.2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</row>
    <row r="711" spans="1:33" ht="14.25" customHeight="1" x14ac:dyDescent="0.2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</row>
    <row r="712" spans="1:33" ht="14.25" customHeight="1" x14ac:dyDescent="0.2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</row>
    <row r="713" spans="1:33" ht="14.25" customHeight="1" x14ac:dyDescent="0.2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</row>
    <row r="714" spans="1:33" ht="14.25" customHeight="1" x14ac:dyDescent="0.2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</row>
    <row r="715" spans="1:33" ht="14.25" customHeight="1" x14ac:dyDescent="0.2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</row>
    <row r="716" spans="1:33" ht="14.25" customHeight="1" x14ac:dyDescent="0.2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</row>
    <row r="717" spans="1:33" ht="14.25" customHeight="1" x14ac:dyDescent="0.2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</row>
    <row r="718" spans="1:33" ht="14.25" customHeight="1" x14ac:dyDescent="0.2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</row>
    <row r="719" spans="1:33" ht="14.25" customHeight="1" x14ac:dyDescent="0.2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</row>
    <row r="720" spans="1:33" ht="14.25" customHeight="1" x14ac:dyDescent="0.2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</row>
    <row r="721" spans="1:33" ht="14.25" customHeight="1" x14ac:dyDescent="0.2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</row>
    <row r="722" spans="1:33" ht="14.25" customHeight="1" x14ac:dyDescent="0.2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</row>
    <row r="723" spans="1:33" ht="14.25" customHeight="1" x14ac:dyDescent="0.2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</row>
    <row r="724" spans="1:33" ht="14.25" customHeight="1" x14ac:dyDescent="0.2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</row>
    <row r="725" spans="1:33" ht="14.25" customHeight="1" x14ac:dyDescent="0.2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</row>
    <row r="726" spans="1:33" ht="14.25" customHeight="1" x14ac:dyDescent="0.2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</row>
    <row r="727" spans="1:33" ht="14.25" customHeight="1" x14ac:dyDescent="0.2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</row>
    <row r="728" spans="1:33" ht="14.25" customHeight="1" x14ac:dyDescent="0.2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</row>
    <row r="729" spans="1:33" ht="14.25" customHeight="1" x14ac:dyDescent="0.2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</row>
    <row r="730" spans="1:33" ht="14.25" customHeight="1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</row>
    <row r="731" spans="1:33" ht="14.25" customHeight="1" x14ac:dyDescent="0.2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</row>
    <row r="732" spans="1:33" ht="14.25" customHeight="1" x14ac:dyDescent="0.2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</row>
    <row r="733" spans="1:33" ht="14.25" customHeight="1" x14ac:dyDescent="0.2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</row>
    <row r="734" spans="1:33" ht="14.25" customHeight="1" x14ac:dyDescent="0.2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</row>
    <row r="735" spans="1:33" ht="14.25" customHeight="1" x14ac:dyDescent="0.2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</row>
    <row r="736" spans="1:33" ht="14.25" customHeight="1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</row>
    <row r="737" spans="1:33" ht="14.25" customHeight="1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</row>
    <row r="738" spans="1:33" ht="14.25" customHeight="1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</row>
    <row r="739" spans="1:33" ht="14.25" customHeight="1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</row>
    <row r="740" spans="1:33" ht="14.25" customHeight="1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</row>
    <row r="741" spans="1:33" ht="14.25" customHeight="1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</row>
    <row r="742" spans="1:33" ht="14.25" customHeight="1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</row>
    <row r="743" spans="1:33" ht="14.25" customHeight="1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</row>
    <row r="744" spans="1:33" ht="14.25" customHeight="1" x14ac:dyDescent="0.2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</row>
    <row r="745" spans="1:33" ht="14.25" customHeight="1" x14ac:dyDescent="0.2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</row>
    <row r="746" spans="1:33" ht="14.25" customHeight="1" x14ac:dyDescent="0.2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</row>
    <row r="747" spans="1:33" ht="14.25" customHeight="1" x14ac:dyDescent="0.2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</row>
    <row r="748" spans="1:33" ht="14.25" customHeight="1" x14ac:dyDescent="0.2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</row>
    <row r="749" spans="1:33" ht="14.25" customHeight="1" x14ac:dyDescent="0.2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</row>
    <row r="750" spans="1:33" ht="14.25" customHeight="1" x14ac:dyDescent="0.2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</row>
    <row r="751" spans="1:33" ht="14.25" customHeight="1" x14ac:dyDescent="0.2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</row>
    <row r="752" spans="1:33" ht="14.25" customHeight="1" x14ac:dyDescent="0.2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</row>
    <row r="753" spans="1:33" ht="14.25" customHeight="1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</row>
    <row r="754" spans="1:33" ht="14.25" customHeight="1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</row>
    <row r="755" spans="1:33" ht="14.25" customHeight="1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</row>
    <row r="756" spans="1:33" ht="14.25" customHeight="1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</row>
    <row r="757" spans="1:33" ht="14.25" customHeight="1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</row>
    <row r="758" spans="1:33" ht="14.25" customHeight="1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</row>
    <row r="759" spans="1:33" ht="14.25" customHeight="1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</row>
    <row r="760" spans="1:33" ht="14.25" customHeight="1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</row>
    <row r="761" spans="1:33" ht="14.25" customHeight="1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</row>
    <row r="762" spans="1:33" ht="14.25" customHeight="1" x14ac:dyDescent="0.2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</row>
    <row r="763" spans="1:33" ht="14.25" customHeight="1" x14ac:dyDescent="0.2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</row>
    <row r="764" spans="1:33" ht="14.25" customHeight="1" x14ac:dyDescent="0.2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</row>
    <row r="765" spans="1:33" ht="14.25" customHeight="1" x14ac:dyDescent="0.2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</row>
    <row r="766" spans="1:33" ht="14.25" customHeight="1" x14ac:dyDescent="0.2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</row>
    <row r="767" spans="1:33" ht="14.25" customHeight="1" x14ac:dyDescent="0.2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</row>
    <row r="768" spans="1:33" ht="14.25" customHeight="1" x14ac:dyDescent="0.2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</row>
    <row r="769" spans="1:33" ht="14.25" customHeight="1" x14ac:dyDescent="0.2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</row>
    <row r="770" spans="1:33" ht="14.25" customHeight="1" x14ac:dyDescent="0.2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</row>
    <row r="771" spans="1:33" ht="14.25" customHeight="1" x14ac:dyDescent="0.2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</row>
    <row r="772" spans="1:33" ht="14.25" customHeight="1" x14ac:dyDescent="0.2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</row>
    <row r="773" spans="1:33" ht="14.25" customHeight="1" x14ac:dyDescent="0.2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</row>
    <row r="774" spans="1:33" ht="14.25" customHeight="1" x14ac:dyDescent="0.2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</row>
    <row r="775" spans="1:33" ht="14.25" customHeight="1" x14ac:dyDescent="0.2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</row>
    <row r="776" spans="1:33" ht="14.25" customHeight="1" x14ac:dyDescent="0.2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</row>
    <row r="777" spans="1:33" ht="14.25" customHeight="1" x14ac:dyDescent="0.2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</row>
    <row r="778" spans="1:33" ht="14.25" customHeight="1" x14ac:dyDescent="0.2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</row>
    <row r="779" spans="1:33" ht="14.25" customHeight="1" x14ac:dyDescent="0.2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</row>
    <row r="780" spans="1:33" ht="14.25" customHeight="1" x14ac:dyDescent="0.2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</row>
    <row r="781" spans="1:33" ht="14.25" customHeight="1" x14ac:dyDescent="0.2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</row>
    <row r="782" spans="1:33" ht="14.25" customHeight="1" x14ac:dyDescent="0.2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</row>
    <row r="783" spans="1:33" ht="14.25" customHeight="1" x14ac:dyDescent="0.2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</row>
    <row r="784" spans="1:33" ht="14.25" customHeight="1" x14ac:dyDescent="0.2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</row>
    <row r="785" spans="1:33" ht="14.25" customHeight="1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</row>
    <row r="786" spans="1:33" ht="14.25" customHeight="1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</row>
    <row r="787" spans="1:33" ht="14.25" customHeight="1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</row>
    <row r="788" spans="1:33" ht="14.25" customHeight="1" x14ac:dyDescent="0.2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</row>
    <row r="789" spans="1:33" ht="14.25" customHeight="1" x14ac:dyDescent="0.2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</row>
    <row r="790" spans="1:33" ht="14.25" customHeight="1" x14ac:dyDescent="0.2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</row>
    <row r="791" spans="1:33" ht="14.25" customHeight="1" x14ac:dyDescent="0.2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</row>
    <row r="792" spans="1:33" ht="14.25" customHeight="1" x14ac:dyDescent="0.2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</row>
    <row r="793" spans="1:33" ht="14.25" customHeight="1" x14ac:dyDescent="0.2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</row>
    <row r="794" spans="1:33" ht="14.25" customHeight="1" x14ac:dyDescent="0.2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</row>
    <row r="795" spans="1:33" ht="14.25" customHeight="1" x14ac:dyDescent="0.2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</row>
    <row r="796" spans="1:33" ht="14.25" customHeight="1" x14ac:dyDescent="0.2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</row>
    <row r="797" spans="1:33" ht="14.25" customHeight="1" x14ac:dyDescent="0.2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</row>
    <row r="798" spans="1:33" ht="14.25" customHeight="1" x14ac:dyDescent="0.2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</row>
    <row r="799" spans="1:33" ht="14.25" customHeight="1" x14ac:dyDescent="0.2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</row>
    <row r="800" spans="1:33" ht="14.25" customHeight="1" x14ac:dyDescent="0.2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</row>
    <row r="801" spans="1:33" ht="14.25" customHeight="1" x14ac:dyDescent="0.2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</row>
    <row r="802" spans="1:33" ht="14.25" customHeight="1" x14ac:dyDescent="0.2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</row>
    <row r="803" spans="1:33" ht="14.25" customHeight="1" x14ac:dyDescent="0.2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</row>
    <row r="804" spans="1:33" ht="14.25" customHeight="1" x14ac:dyDescent="0.2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</row>
    <row r="805" spans="1:33" ht="14.25" customHeight="1" x14ac:dyDescent="0.2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</row>
    <row r="806" spans="1:33" ht="14.25" customHeight="1" x14ac:dyDescent="0.2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</row>
    <row r="807" spans="1:33" ht="14.25" customHeight="1" x14ac:dyDescent="0.2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</row>
    <row r="808" spans="1:33" ht="14.25" customHeight="1" x14ac:dyDescent="0.2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</row>
    <row r="809" spans="1:33" ht="14.25" customHeight="1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</row>
    <row r="810" spans="1:33" ht="14.25" customHeight="1" x14ac:dyDescent="0.2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</row>
    <row r="811" spans="1:33" ht="14.25" customHeight="1" x14ac:dyDescent="0.2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</row>
    <row r="812" spans="1:33" ht="14.25" customHeight="1" x14ac:dyDescent="0.2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</row>
    <row r="813" spans="1:33" ht="14.25" customHeight="1" x14ac:dyDescent="0.2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</row>
    <row r="814" spans="1:33" ht="14.25" customHeight="1" x14ac:dyDescent="0.2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</row>
    <row r="815" spans="1:33" ht="14.25" customHeight="1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</row>
    <row r="816" spans="1:33" ht="14.25" customHeight="1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</row>
    <row r="817" spans="1:33" ht="14.25" customHeight="1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</row>
    <row r="818" spans="1:33" ht="14.25" customHeight="1" x14ac:dyDescent="0.2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</row>
    <row r="819" spans="1:33" ht="14.25" customHeight="1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</row>
    <row r="820" spans="1:33" ht="14.25" customHeight="1" x14ac:dyDescent="0.2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</row>
    <row r="821" spans="1:33" ht="14.25" customHeight="1" x14ac:dyDescent="0.2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</row>
    <row r="822" spans="1:33" ht="14.25" customHeight="1" x14ac:dyDescent="0.2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</row>
    <row r="823" spans="1:33" ht="14.25" customHeight="1" x14ac:dyDescent="0.2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</row>
    <row r="824" spans="1:33" ht="14.25" customHeight="1" x14ac:dyDescent="0.2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</row>
    <row r="825" spans="1:33" ht="14.25" customHeight="1" x14ac:dyDescent="0.2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</row>
    <row r="826" spans="1:33" ht="14.25" customHeight="1" x14ac:dyDescent="0.2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</row>
    <row r="827" spans="1:33" ht="14.25" customHeight="1" x14ac:dyDescent="0.2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</row>
    <row r="828" spans="1:33" ht="14.25" customHeight="1" x14ac:dyDescent="0.2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</row>
    <row r="829" spans="1:33" ht="14.25" customHeight="1" x14ac:dyDescent="0.2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</row>
    <row r="830" spans="1:33" ht="14.25" customHeight="1" x14ac:dyDescent="0.2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</row>
    <row r="831" spans="1:33" ht="14.25" customHeight="1" x14ac:dyDescent="0.2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</row>
    <row r="832" spans="1:33" ht="14.25" customHeight="1" x14ac:dyDescent="0.2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</row>
    <row r="833" spans="1:33" ht="14.25" customHeight="1" x14ac:dyDescent="0.2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</row>
    <row r="834" spans="1:33" ht="14.25" customHeight="1" x14ac:dyDescent="0.2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</row>
    <row r="835" spans="1:33" ht="14.25" customHeight="1" x14ac:dyDescent="0.2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</row>
    <row r="836" spans="1:33" ht="14.25" customHeight="1" x14ac:dyDescent="0.2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</row>
    <row r="837" spans="1:33" ht="14.25" customHeight="1" x14ac:dyDescent="0.2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</row>
    <row r="838" spans="1:33" ht="14.25" customHeight="1" x14ac:dyDescent="0.2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</row>
    <row r="839" spans="1:33" ht="14.25" customHeight="1" x14ac:dyDescent="0.2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</row>
    <row r="840" spans="1:33" ht="14.25" customHeight="1" x14ac:dyDescent="0.2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</row>
    <row r="841" spans="1:33" ht="14.25" customHeight="1" x14ac:dyDescent="0.2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</row>
    <row r="842" spans="1:33" ht="14.25" customHeight="1" x14ac:dyDescent="0.2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</row>
    <row r="843" spans="1:33" ht="14.25" customHeight="1" x14ac:dyDescent="0.2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</row>
    <row r="844" spans="1:33" ht="14.25" customHeight="1" x14ac:dyDescent="0.2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</row>
    <row r="845" spans="1:33" ht="14.25" customHeight="1" x14ac:dyDescent="0.2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</row>
    <row r="846" spans="1:33" ht="14.25" customHeight="1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</row>
    <row r="847" spans="1:33" ht="14.25" customHeight="1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</row>
    <row r="848" spans="1:33" ht="14.25" customHeight="1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</row>
    <row r="849" spans="1:33" ht="14.25" customHeight="1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</row>
    <row r="850" spans="1:33" ht="14.25" customHeight="1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</row>
    <row r="851" spans="1:33" ht="14.25" customHeight="1" x14ac:dyDescent="0.2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</row>
    <row r="852" spans="1:33" ht="14.25" customHeight="1" x14ac:dyDescent="0.2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</row>
    <row r="853" spans="1:33" ht="14.25" customHeight="1" x14ac:dyDescent="0.2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</row>
    <row r="854" spans="1:33" ht="14.25" customHeight="1" x14ac:dyDescent="0.2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</row>
    <row r="855" spans="1:33" ht="14.25" customHeight="1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</row>
    <row r="856" spans="1:33" ht="14.25" customHeight="1" x14ac:dyDescent="0.2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</row>
    <row r="857" spans="1:33" ht="14.25" customHeight="1" x14ac:dyDescent="0.2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</row>
    <row r="858" spans="1:33" ht="14.25" customHeight="1" x14ac:dyDescent="0.2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</row>
    <row r="859" spans="1:33" ht="14.25" customHeight="1" x14ac:dyDescent="0.2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</row>
    <row r="860" spans="1:33" ht="14.25" customHeight="1" x14ac:dyDescent="0.2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</row>
    <row r="861" spans="1:33" ht="14.25" customHeight="1" x14ac:dyDescent="0.2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</row>
    <row r="862" spans="1:33" ht="14.25" customHeight="1" x14ac:dyDescent="0.2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</row>
    <row r="863" spans="1:33" ht="14.25" customHeight="1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</row>
    <row r="864" spans="1:33" ht="14.25" customHeight="1" x14ac:dyDescent="0.2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</row>
    <row r="865" spans="1:33" ht="14.25" customHeight="1" x14ac:dyDescent="0.2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</row>
    <row r="866" spans="1:33" ht="14.25" customHeight="1" x14ac:dyDescent="0.2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</row>
    <row r="867" spans="1:33" ht="14.25" customHeight="1" x14ac:dyDescent="0.2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</row>
    <row r="868" spans="1:33" ht="14.25" customHeight="1" x14ac:dyDescent="0.2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</row>
    <row r="869" spans="1:33" ht="14.25" customHeight="1" x14ac:dyDescent="0.2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</row>
    <row r="870" spans="1:33" ht="14.25" customHeight="1" x14ac:dyDescent="0.2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</row>
    <row r="871" spans="1:33" ht="14.25" customHeight="1" x14ac:dyDescent="0.2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</row>
    <row r="872" spans="1:33" ht="14.25" customHeight="1" x14ac:dyDescent="0.2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</row>
    <row r="873" spans="1:33" ht="14.25" customHeight="1" x14ac:dyDescent="0.2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</row>
    <row r="874" spans="1:33" ht="14.25" customHeight="1" x14ac:dyDescent="0.2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</row>
    <row r="875" spans="1:33" ht="14.25" customHeight="1" x14ac:dyDescent="0.2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</row>
    <row r="876" spans="1:33" ht="14.25" customHeight="1" x14ac:dyDescent="0.2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</row>
    <row r="877" spans="1:33" ht="14.25" customHeight="1" x14ac:dyDescent="0.2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</row>
    <row r="878" spans="1:33" ht="14.25" customHeight="1" x14ac:dyDescent="0.2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</row>
    <row r="879" spans="1:33" ht="14.25" customHeight="1" x14ac:dyDescent="0.2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</row>
    <row r="880" spans="1:33" ht="14.25" customHeight="1" x14ac:dyDescent="0.2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</row>
    <row r="881" spans="1:33" ht="14.25" customHeight="1" x14ac:dyDescent="0.2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</row>
    <row r="882" spans="1:33" ht="14.25" customHeight="1" x14ac:dyDescent="0.2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</row>
    <row r="883" spans="1:33" ht="14.25" customHeight="1" x14ac:dyDescent="0.2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</row>
    <row r="884" spans="1:33" ht="14.25" customHeight="1" x14ac:dyDescent="0.2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</row>
    <row r="885" spans="1:33" ht="14.25" customHeight="1" x14ac:dyDescent="0.2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</row>
    <row r="886" spans="1:33" ht="14.25" customHeight="1" x14ac:dyDescent="0.2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</row>
    <row r="887" spans="1:33" ht="14.25" customHeight="1" x14ac:dyDescent="0.2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</row>
    <row r="888" spans="1:33" ht="14.25" customHeight="1" x14ac:dyDescent="0.2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</row>
    <row r="889" spans="1:33" ht="14.25" customHeight="1" x14ac:dyDescent="0.2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</row>
    <row r="890" spans="1:33" ht="14.25" customHeight="1" x14ac:dyDescent="0.2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</row>
    <row r="891" spans="1:33" ht="14.25" customHeight="1" x14ac:dyDescent="0.2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</row>
    <row r="892" spans="1:33" ht="14.25" customHeight="1" x14ac:dyDescent="0.2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</row>
    <row r="893" spans="1:33" ht="14.25" customHeight="1" x14ac:dyDescent="0.2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</row>
    <row r="894" spans="1:33" ht="14.25" customHeight="1" x14ac:dyDescent="0.2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</row>
    <row r="895" spans="1:33" ht="14.25" customHeight="1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</row>
    <row r="896" spans="1:33" ht="14.25" customHeight="1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</row>
    <row r="897" spans="1:33" ht="14.25" customHeight="1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</row>
    <row r="898" spans="1:33" ht="14.25" customHeight="1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</row>
    <row r="899" spans="1:33" ht="14.25" customHeight="1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</row>
    <row r="900" spans="1:33" ht="14.25" customHeight="1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</row>
    <row r="901" spans="1:33" ht="14.25" customHeight="1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</row>
    <row r="902" spans="1:33" ht="14.25" customHeight="1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</row>
    <row r="903" spans="1:33" ht="14.25" customHeight="1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</row>
    <row r="904" spans="1:33" ht="14.25" customHeight="1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</row>
    <row r="905" spans="1:33" ht="14.25" customHeight="1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</row>
    <row r="906" spans="1:33" ht="14.25" customHeight="1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</row>
    <row r="907" spans="1:33" ht="14.25" customHeight="1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</row>
    <row r="908" spans="1:33" ht="14.25" customHeight="1" x14ac:dyDescent="0.2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</row>
    <row r="909" spans="1:33" ht="14.25" customHeight="1" x14ac:dyDescent="0.2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</row>
    <row r="910" spans="1:33" ht="14.25" customHeight="1" x14ac:dyDescent="0.2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</row>
    <row r="911" spans="1:33" ht="14.25" customHeight="1" x14ac:dyDescent="0.2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</row>
    <row r="912" spans="1:33" ht="14.25" customHeight="1" x14ac:dyDescent="0.2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</row>
    <row r="913" spans="1:33" ht="14.25" customHeight="1" x14ac:dyDescent="0.2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</row>
    <row r="914" spans="1:33" ht="14.25" customHeight="1" x14ac:dyDescent="0.2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</row>
    <row r="915" spans="1:33" ht="14.25" customHeight="1" x14ac:dyDescent="0.2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</row>
    <row r="916" spans="1:33" ht="14.25" customHeight="1" x14ac:dyDescent="0.2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</row>
    <row r="917" spans="1:33" ht="14.25" customHeight="1" x14ac:dyDescent="0.2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</row>
    <row r="918" spans="1:33" ht="14.25" customHeight="1" x14ac:dyDescent="0.2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</row>
    <row r="919" spans="1:33" ht="14.25" customHeight="1" x14ac:dyDescent="0.2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</row>
    <row r="920" spans="1:33" ht="14.25" customHeight="1" x14ac:dyDescent="0.2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</row>
    <row r="921" spans="1:33" ht="14.25" customHeight="1" x14ac:dyDescent="0.2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</row>
    <row r="922" spans="1:33" ht="14.25" customHeight="1" x14ac:dyDescent="0.2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</row>
    <row r="923" spans="1:33" ht="14.25" customHeight="1" x14ac:dyDescent="0.2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</row>
    <row r="924" spans="1:33" ht="14.25" customHeight="1" x14ac:dyDescent="0.2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</row>
    <row r="925" spans="1:33" ht="14.25" customHeight="1" x14ac:dyDescent="0.2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</row>
    <row r="926" spans="1:33" ht="14.25" customHeight="1" x14ac:dyDescent="0.2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</row>
    <row r="927" spans="1:33" ht="14.25" customHeight="1" x14ac:dyDescent="0.2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</row>
    <row r="928" spans="1:33" ht="14.25" customHeight="1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</row>
    <row r="929" spans="1:33" ht="14.25" customHeight="1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</row>
    <row r="930" spans="1:33" ht="14.25" customHeight="1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</row>
    <row r="931" spans="1:33" ht="14.25" customHeight="1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</row>
    <row r="932" spans="1:33" ht="14.25" customHeight="1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</row>
    <row r="933" spans="1:33" ht="14.25" customHeight="1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</row>
    <row r="934" spans="1:33" ht="14.25" customHeight="1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</row>
    <row r="935" spans="1:33" ht="14.25" customHeight="1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</row>
    <row r="936" spans="1:33" ht="14.25" customHeight="1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</row>
    <row r="937" spans="1:33" ht="14.25" customHeight="1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</row>
    <row r="938" spans="1:33" ht="14.25" customHeight="1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</row>
    <row r="939" spans="1:33" ht="14.25" customHeight="1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</row>
    <row r="940" spans="1:33" ht="14.25" customHeight="1" x14ac:dyDescent="0.2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</row>
    <row r="941" spans="1:33" ht="14.25" customHeight="1" x14ac:dyDescent="0.2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</row>
    <row r="942" spans="1:33" ht="14.25" customHeight="1" x14ac:dyDescent="0.2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</row>
    <row r="943" spans="1:33" ht="14.25" customHeight="1" x14ac:dyDescent="0.2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</row>
    <row r="944" spans="1:33" ht="14.25" customHeight="1" x14ac:dyDescent="0.2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</row>
    <row r="945" spans="1:33" ht="14.25" customHeight="1" x14ac:dyDescent="0.2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</row>
    <row r="946" spans="1:33" ht="14.25" customHeight="1" x14ac:dyDescent="0.2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</row>
    <row r="947" spans="1:33" ht="14.25" customHeight="1" x14ac:dyDescent="0.2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</row>
    <row r="948" spans="1:33" ht="14.25" customHeight="1" x14ac:dyDescent="0.2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</row>
    <row r="949" spans="1:33" ht="14.25" customHeight="1" x14ac:dyDescent="0.2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</row>
    <row r="950" spans="1:33" ht="14.25" customHeight="1" x14ac:dyDescent="0.2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</row>
    <row r="951" spans="1:33" ht="14.25" customHeight="1" x14ac:dyDescent="0.2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</row>
    <row r="952" spans="1:33" ht="14.25" customHeight="1" x14ac:dyDescent="0.2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</row>
    <row r="953" spans="1:33" ht="14.25" customHeight="1" x14ac:dyDescent="0.2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</row>
    <row r="954" spans="1:33" ht="14.25" customHeight="1" x14ac:dyDescent="0.2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</row>
    <row r="955" spans="1:33" ht="14.25" customHeight="1" x14ac:dyDescent="0.2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</row>
    <row r="956" spans="1:33" ht="14.25" customHeight="1" x14ac:dyDescent="0.2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</row>
    <row r="957" spans="1:33" ht="14.25" customHeight="1" x14ac:dyDescent="0.2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</row>
    <row r="958" spans="1:33" ht="14.25" customHeight="1" x14ac:dyDescent="0.2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</row>
    <row r="959" spans="1:33" ht="14.25" customHeight="1" x14ac:dyDescent="0.2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</row>
    <row r="960" spans="1:33" ht="14.25" customHeight="1" x14ac:dyDescent="0.2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</row>
    <row r="961" spans="1:33" ht="14.25" customHeight="1" x14ac:dyDescent="0.2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</row>
    <row r="962" spans="1:33" ht="14.25" customHeight="1" x14ac:dyDescent="0.2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</row>
    <row r="963" spans="1:33" ht="14.25" customHeight="1" x14ac:dyDescent="0.2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</row>
    <row r="964" spans="1:33" ht="14.25" customHeight="1" x14ac:dyDescent="0.2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</row>
    <row r="965" spans="1:33" ht="14.25" customHeight="1" x14ac:dyDescent="0.2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</row>
    <row r="966" spans="1:33" ht="14.25" customHeight="1" x14ac:dyDescent="0.2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</row>
    <row r="967" spans="1:33" ht="14.25" customHeight="1" x14ac:dyDescent="0.2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</row>
    <row r="968" spans="1:33" ht="14.25" customHeight="1" x14ac:dyDescent="0.2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</row>
    <row r="969" spans="1:33" ht="14.25" customHeight="1" x14ac:dyDescent="0.2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</row>
    <row r="970" spans="1:33" ht="14.25" customHeight="1" x14ac:dyDescent="0.2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</row>
    <row r="971" spans="1:33" ht="14.25" customHeight="1" x14ac:dyDescent="0.2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</row>
    <row r="972" spans="1:33" ht="14.25" customHeight="1" x14ac:dyDescent="0.2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</row>
    <row r="973" spans="1:33" ht="14.25" customHeight="1" x14ac:dyDescent="0.2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</row>
    <row r="974" spans="1:33" ht="14.25" customHeight="1" x14ac:dyDescent="0.2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</row>
    <row r="975" spans="1:33" ht="14.25" customHeight="1" x14ac:dyDescent="0.2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</row>
    <row r="976" spans="1:33" ht="14.25" customHeight="1" x14ac:dyDescent="0.2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</row>
    <row r="977" spans="1:33" ht="14.25" customHeight="1" x14ac:dyDescent="0.2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</row>
    <row r="978" spans="1:33" ht="14.25" customHeight="1" x14ac:dyDescent="0.2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</row>
    <row r="979" spans="1:33" ht="14.25" customHeight="1" x14ac:dyDescent="0.2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</row>
    <row r="980" spans="1:33" ht="14.25" customHeight="1" x14ac:dyDescent="0.2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</row>
    <row r="981" spans="1:33" ht="14.25" customHeight="1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</row>
    <row r="982" spans="1:33" ht="14.25" customHeight="1" x14ac:dyDescent="0.2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</row>
    <row r="983" spans="1:33" ht="14.25" customHeight="1" x14ac:dyDescent="0.2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</row>
    <row r="984" spans="1:33" ht="14.25" customHeight="1" x14ac:dyDescent="0.2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</row>
    <row r="985" spans="1:33" ht="14.25" customHeight="1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</row>
    <row r="986" spans="1:33" ht="14.25" customHeight="1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</row>
    <row r="987" spans="1:33" ht="14.25" customHeight="1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</row>
    <row r="988" spans="1:33" ht="14.25" customHeight="1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</row>
    <row r="989" spans="1:33" ht="14.25" customHeight="1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</row>
    <row r="990" spans="1:33" ht="14.25" customHeight="1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</row>
  </sheetData>
  <mergeCells count="4">
    <mergeCell ref="B4:I5"/>
    <mergeCell ref="C11:C20"/>
    <mergeCell ref="C21:C27"/>
    <mergeCell ref="C28:C31"/>
  </mergeCells>
  <pageMargins left="0.7" right="0.7" top="0.75" bottom="0.75" header="0" footer="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1048569"/>
  <sheetViews>
    <sheetView zoomScale="130" zoomScaleNormal="130" workbookViewId="0">
      <selection activeCell="D26" sqref="D26"/>
    </sheetView>
  </sheetViews>
  <sheetFormatPr defaultColWidth="12.625" defaultRowHeight="15" customHeight="1" x14ac:dyDescent="0.2"/>
  <cols>
    <col min="1" max="1" width="26" customWidth="1"/>
    <col min="2" max="2" width="18.875" customWidth="1"/>
    <col min="3" max="3" width="27" customWidth="1"/>
    <col min="4" max="4" width="34.125" customWidth="1"/>
    <col min="5" max="26" width="7.625" customWidth="1"/>
  </cols>
  <sheetData>
    <row r="1" spans="1:10" ht="14.25" x14ac:dyDescent="0.2">
      <c r="A1" s="279" t="s">
        <v>258</v>
      </c>
      <c r="B1" s="280" t="s">
        <v>262</v>
      </c>
      <c r="C1" s="280" t="s">
        <v>263</v>
      </c>
      <c r="D1" s="281" t="s">
        <v>264</v>
      </c>
      <c r="E1" s="409"/>
      <c r="F1" s="257"/>
      <c r="G1" s="257"/>
      <c r="H1" s="257"/>
      <c r="I1" s="257"/>
      <c r="J1" s="257"/>
    </row>
    <row r="2" spans="1:10" ht="14.25" x14ac:dyDescent="0.2">
      <c r="A2" s="528" t="s">
        <v>376</v>
      </c>
      <c r="B2" s="278">
        <v>42492.54</v>
      </c>
      <c r="C2" s="278">
        <v>162742.17000000001</v>
      </c>
      <c r="D2" s="278">
        <f t="shared" ref="D2:D21" si="0">ABS(B2-C2)</f>
        <v>120249.63</v>
      </c>
      <c r="E2" s="257"/>
      <c r="F2" s="257"/>
      <c r="G2" s="257"/>
      <c r="H2" s="257"/>
      <c r="I2" s="257"/>
      <c r="J2" s="257"/>
    </row>
    <row r="3" spans="1:10" ht="14.25" x14ac:dyDescent="0.2">
      <c r="A3" s="528" t="s">
        <v>569</v>
      </c>
      <c r="B3" s="278">
        <v>114874.82</v>
      </c>
      <c r="C3" s="278">
        <v>40002.42</v>
      </c>
      <c r="D3" s="278">
        <f t="shared" si="0"/>
        <v>74872.400000000009</v>
      </c>
      <c r="E3" s="408"/>
      <c r="F3" s="257"/>
      <c r="G3" s="257"/>
      <c r="H3" s="257"/>
      <c r="I3" s="257"/>
      <c r="J3" s="257"/>
    </row>
    <row r="4" spans="1:10" ht="14.25" x14ac:dyDescent="0.2">
      <c r="A4" s="531" t="s">
        <v>570</v>
      </c>
      <c r="B4" s="278">
        <v>41488.080000000002</v>
      </c>
      <c r="C4" s="278">
        <v>104802.04</v>
      </c>
      <c r="D4" s="278">
        <f t="shared" si="0"/>
        <v>63313.959999999992</v>
      </c>
      <c r="E4" s="408"/>
      <c r="F4" s="257"/>
      <c r="G4" s="257"/>
      <c r="H4" s="257"/>
      <c r="I4" s="257"/>
      <c r="J4" s="257"/>
    </row>
    <row r="5" spans="1:10" ht="14.25" x14ac:dyDescent="0.2">
      <c r="A5" s="528" t="s">
        <v>375</v>
      </c>
      <c r="B5" s="278">
        <v>97278.88</v>
      </c>
      <c r="C5" s="278">
        <v>45922.18</v>
      </c>
      <c r="D5" s="278">
        <f t="shared" si="0"/>
        <v>51356.700000000004</v>
      </c>
      <c r="E5" s="408"/>
      <c r="F5" s="257"/>
      <c r="G5" s="257"/>
      <c r="H5" s="257"/>
      <c r="I5" s="257"/>
      <c r="J5" s="257"/>
    </row>
    <row r="6" spans="1:10" ht="14.25" x14ac:dyDescent="0.2">
      <c r="A6" s="531" t="s">
        <v>272</v>
      </c>
      <c r="B6" s="278">
        <v>47980.99</v>
      </c>
      <c r="C6" s="278">
        <v>70731.070000000007</v>
      </c>
      <c r="D6" s="278">
        <f t="shared" si="0"/>
        <v>22750.080000000009</v>
      </c>
      <c r="E6" s="408"/>
      <c r="F6" s="257"/>
      <c r="G6" s="257"/>
      <c r="H6" s="257"/>
      <c r="I6" s="257"/>
      <c r="J6" s="257"/>
    </row>
    <row r="7" spans="1:10" ht="14.25" x14ac:dyDescent="0.2">
      <c r="A7" s="528" t="s">
        <v>442</v>
      </c>
      <c r="B7" s="278">
        <v>69653.649999999994</v>
      </c>
      <c r="C7" s="278">
        <v>51711.06</v>
      </c>
      <c r="D7" s="278">
        <f t="shared" si="0"/>
        <v>17942.589999999997</v>
      </c>
      <c r="E7" s="408"/>
      <c r="F7" s="257"/>
      <c r="G7" s="257"/>
      <c r="H7" s="257"/>
      <c r="I7" s="257"/>
      <c r="J7" s="257"/>
    </row>
    <row r="8" spans="1:10" ht="14.25" x14ac:dyDescent="0.2">
      <c r="A8" s="529" t="s">
        <v>277</v>
      </c>
      <c r="B8" s="278">
        <v>56034.66</v>
      </c>
      <c r="C8" s="278">
        <v>62677.39</v>
      </c>
      <c r="D8" s="278">
        <f t="shared" si="0"/>
        <v>6642.7299999999959</v>
      </c>
      <c r="E8" s="408"/>
      <c r="F8" s="257"/>
      <c r="G8" s="257"/>
      <c r="H8" s="257"/>
      <c r="I8" s="257"/>
      <c r="J8" s="257"/>
    </row>
    <row r="9" spans="1:10" ht="14.25" x14ac:dyDescent="0.2">
      <c r="A9" s="528" t="s">
        <v>443</v>
      </c>
      <c r="B9" s="278">
        <v>56024.98</v>
      </c>
      <c r="C9" s="278">
        <v>62607.55</v>
      </c>
      <c r="D9" s="278">
        <f t="shared" si="0"/>
        <v>6582.57</v>
      </c>
      <c r="E9" s="408"/>
      <c r="F9" s="257"/>
      <c r="G9" s="257"/>
      <c r="H9" s="257"/>
      <c r="I9" s="257"/>
      <c r="J9" s="257"/>
    </row>
    <row r="10" spans="1:10" ht="14.25" x14ac:dyDescent="0.2">
      <c r="A10" s="531" t="s">
        <v>372</v>
      </c>
      <c r="B10" s="278">
        <v>62268.28</v>
      </c>
      <c r="C10" s="278">
        <v>56443.79</v>
      </c>
      <c r="D10" s="278">
        <f t="shared" si="0"/>
        <v>5824.489999999998</v>
      </c>
      <c r="E10" s="408"/>
      <c r="F10" s="257"/>
      <c r="G10" s="257"/>
      <c r="H10" s="257"/>
      <c r="I10" s="257"/>
      <c r="J10" s="257"/>
    </row>
    <row r="11" spans="1:10" ht="14.25" x14ac:dyDescent="0.2">
      <c r="A11" s="605" t="s">
        <v>267</v>
      </c>
      <c r="B11" s="278">
        <v>61898.1</v>
      </c>
      <c r="C11" s="278">
        <v>56813.97</v>
      </c>
      <c r="D11" s="278">
        <f t="shared" si="0"/>
        <v>5084.1299999999974</v>
      </c>
      <c r="E11" s="408"/>
      <c r="F11" s="257"/>
      <c r="G11" s="257"/>
      <c r="H11" s="257"/>
      <c r="I11" s="257"/>
      <c r="J11" s="257"/>
    </row>
    <row r="12" spans="1:10" ht="14.25" x14ac:dyDescent="0.2">
      <c r="A12" s="529" t="s">
        <v>371</v>
      </c>
      <c r="B12" s="278">
        <v>61475.29</v>
      </c>
      <c r="C12" s="278">
        <v>57236.78</v>
      </c>
      <c r="D12" s="278">
        <f t="shared" si="0"/>
        <v>4238.510000000002</v>
      </c>
      <c r="E12" s="408"/>
      <c r="F12" s="257"/>
      <c r="G12" s="257"/>
      <c r="H12" s="257"/>
      <c r="I12" s="257"/>
      <c r="J12" s="257"/>
    </row>
    <row r="13" spans="1:10" ht="14.25" x14ac:dyDescent="0.2">
      <c r="A13" s="528" t="s">
        <v>79</v>
      </c>
      <c r="B13" s="278">
        <v>61199.03</v>
      </c>
      <c r="C13" s="278">
        <v>57513.04</v>
      </c>
      <c r="D13" s="278">
        <f t="shared" si="0"/>
        <v>3685.989999999998</v>
      </c>
      <c r="E13" s="408"/>
      <c r="F13" s="257"/>
      <c r="G13" s="257"/>
      <c r="H13" s="257"/>
      <c r="I13" s="257"/>
      <c r="J13" s="257"/>
    </row>
    <row r="14" spans="1:10" ht="15.75" customHeight="1" x14ac:dyDescent="0.2">
      <c r="A14" s="528" t="s">
        <v>266</v>
      </c>
      <c r="B14" s="278">
        <v>58257.91</v>
      </c>
      <c r="C14" s="278">
        <v>60454.15</v>
      </c>
      <c r="D14" s="278">
        <f t="shared" si="0"/>
        <v>2196.239999999998</v>
      </c>
      <c r="E14" s="408"/>
      <c r="F14" s="257"/>
      <c r="G14" s="257"/>
      <c r="H14" s="257"/>
      <c r="I14" s="257"/>
      <c r="J14" s="257"/>
    </row>
    <row r="15" spans="1:10" ht="15.75" customHeight="1" x14ac:dyDescent="0.2">
      <c r="A15" s="528" t="s">
        <v>268</v>
      </c>
      <c r="B15" s="278">
        <v>58554.57</v>
      </c>
      <c r="C15" s="278">
        <v>60157.49</v>
      </c>
      <c r="D15" s="278">
        <f t="shared" si="0"/>
        <v>1602.9199999999983</v>
      </c>
      <c r="E15" s="408"/>
      <c r="F15" s="257"/>
      <c r="G15" s="257"/>
      <c r="H15" s="257"/>
      <c r="I15" s="257"/>
      <c r="J15" s="257"/>
    </row>
    <row r="16" spans="1:10" ht="15.75" customHeight="1" x14ac:dyDescent="0.2">
      <c r="A16" s="528" t="s">
        <v>276</v>
      </c>
      <c r="B16" s="278">
        <v>59797.25</v>
      </c>
      <c r="C16" s="278">
        <v>58914.81</v>
      </c>
      <c r="D16" s="278">
        <f t="shared" si="0"/>
        <v>882.44000000000233</v>
      </c>
      <c r="E16" s="408"/>
      <c r="F16" s="257"/>
      <c r="G16" s="257"/>
      <c r="H16" s="257"/>
      <c r="I16" s="257"/>
      <c r="J16" s="257"/>
    </row>
    <row r="17" spans="1:10" ht="15.75" customHeight="1" x14ac:dyDescent="0.2">
      <c r="A17" s="528" t="s">
        <v>274</v>
      </c>
      <c r="B17" s="278">
        <v>59633.3</v>
      </c>
      <c r="C17" s="278">
        <v>59078.77</v>
      </c>
      <c r="D17" s="278">
        <f t="shared" si="0"/>
        <v>554.53000000000611</v>
      </c>
      <c r="E17" s="408"/>
      <c r="F17" s="257"/>
      <c r="G17" s="257"/>
      <c r="H17" s="257"/>
      <c r="I17" s="257"/>
      <c r="J17" s="257"/>
    </row>
    <row r="18" spans="1:10" ht="15.75" customHeight="1" x14ac:dyDescent="0.2">
      <c r="A18" s="528" t="s">
        <v>373</v>
      </c>
      <c r="B18" s="278">
        <v>59548.47</v>
      </c>
      <c r="C18" s="278">
        <v>59163.6</v>
      </c>
      <c r="D18" s="278">
        <f t="shared" si="0"/>
        <v>384.87000000000262</v>
      </c>
      <c r="E18" s="408"/>
      <c r="F18" s="257"/>
      <c r="G18" s="257"/>
      <c r="H18" s="257"/>
      <c r="I18" s="257"/>
      <c r="J18" s="257"/>
    </row>
    <row r="19" spans="1:10" ht="15.75" customHeight="1" x14ac:dyDescent="0.2">
      <c r="A19" s="530" t="s">
        <v>275</v>
      </c>
      <c r="B19" s="278">
        <v>59542.61</v>
      </c>
      <c r="C19" s="278">
        <v>59169.46</v>
      </c>
      <c r="D19" s="278">
        <f t="shared" si="0"/>
        <v>373.15000000000146</v>
      </c>
      <c r="E19" s="257"/>
      <c r="F19" s="257"/>
      <c r="G19" s="257"/>
      <c r="H19" s="257"/>
      <c r="I19" s="257"/>
      <c r="J19" s="257"/>
    </row>
    <row r="20" spans="1:10" ht="15.75" customHeight="1" x14ac:dyDescent="0.2">
      <c r="A20" s="528" t="s">
        <v>273</v>
      </c>
      <c r="B20" s="278">
        <v>59433.17</v>
      </c>
      <c r="C20" s="278">
        <v>59278.9</v>
      </c>
      <c r="D20" s="278">
        <f t="shared" si="0"/>
        <v>154.2699999999968</v>
      </c>
      <c r="E20" s="257"/>
      <c r="F20" s="257"/>
      <c r="G20" s="257"/>
      <c r="H20" s="257"/>
      <c r="I20" s="257"/>
      <c r="J20" s="257"/>
    </row>
    <row r="21" spans="1:10" ht="15.75" customHeight="1" x14ac:dyDescent="0.2">
      <c r="A21" s="529" t="s">
        <v>269</v>
      </c>
      <c r="B21" s="278">
        <v>59284.76</v>
      </c>
      <c r="C21" s="278">
        <v>59427.31</v>
      </c>
      <c r="D21" s="278">
        <f t="shared" si="0"/>
        <v>142.54999999999563</v>
      </c>
      <c r="E21" s="257"/>
      <c r="F21" s="257"/>
      <c r="G21" s="257"/>
      <c r="H21" s="257"/>
      <c r="I21" s="257"/>
      <c r="J21" s="257"/>
    </row>
    <row r="22" spans="1:10" ht="15.75" customHeight="1" x14ac:dyDescent="0.2">
      <c r="E22" s="257"/>
      <c r="F22" s="257"/>
      <c r="G22" s="257"/>
      <c r="H22" s="257"/>
      <c r="I22" s="257"/>
      <c r="J22" s="257"/>
    </row>
    <row r="23" spans="1:10" ht="15.75" customHeight="1" x14ac:dyDescent="0.2">
      <c r="E23" s="257"/>
      <c r="F23" s="257"/>
      <c r="G23" s="257"/>
      <c r="H23" s="257"/>
      <c r="I23" s="257"/>
      <c r="J23" s="257"/>
    </row>
    <row r="24" spans="1:10" ht="15.75" customHeight="1" x14ac:dyDescent="0.2">
      <c r="E24" s="257"/>
      <c r="F24" s="257"/>
      <c r="G24" s="257"/>
      <c r="H24" s="257"/>
      <c r="I24" s="257"/>
      <c r="J24" s="257"/>
    </row>
    <row r="25" spans="1:10" ht="15.75" customHeight="1" x14ac:dyDescent="0.2">
      <c r="E25" s="257"/>
      <c r="F25" s="257"/>
      <c r="G25" s="257"/>
      <c r="H25" s="257"/>
      <c r="I25" s="257"/>
      <c r="J25" s="257"/>
    </row>
    <row r="26" spans="1:10" ht="15.75" customHeight="1" x14ac:dyDescent="0.2">
      <c r="E26" s="257"/>
      <c r="F26" s="257"/>
      <c r="G26" s="257"/>
      <c r="H26" s="257"/>
      <c r="I26" s="257"/>
    </row>
    <row r="27" spans="1:10" ht="15.75" customHeight="1" x14ac:dyDescent="0.2">
      <c r="E27" s="257"/>
      <c r="F27" s="257"/>
      <c r="G27" s="257"/>
      <c r="H27" s="257"/>
      <c r="I27" s="257"/>
      <c r="J27" s="257"/>
    </row>
    <row r="28" spans="1:10" ht="15.75" customHeight="1" x14ac:dyDescent="0.2">
      <c r="E28" s="257"/>
      <c r="F28" s="257"/>
      <c r="G28" s="257"/>
      <c r="H28" s="257"/>
      <c r="I28" s="257"/>
      <c r="J28" s="257"/>
    </row>
    <row r="29" spans="1:10" ht="15.75" customHeight="1" x14ac:dyDescent="0.2"/>
    <row r="30" spans="1:10" ht="15.75" customHeight="1" x14ac:dyDescent="0.2"/>
    <row r="31" spans="1:10" ht="15.75" customHeight="1" x14ac:dyDescent="0.2"/>
    <row r="32" spans="1:10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1048569" spans="5:5" ht="15" customHeight="1" x14ac:dyDescent="0.2">
      <c r="E1048569" s="408"/>
    </row>
  </sheetData>
  <autoFilter ref="A1:D1" xr:uid="{00000000-0009-0000-0000-000007000000}">
    <sortState xmlns:xlrd2="http://schemas.microsoft.com/office/spreadsheetml/2017/richdata2" ref="A2:D21">
      <sortCondition descending="1" ref="D1"/>
    </sortState>
  </autoFilter>
  <pageMargins left="0.7" right="0.7" top="0.75" bottom="0.75" header="0" footer="0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CW1206"/>
  <sheetViews>
    <sheetView topLeftCell="P1" zoomScale="85" zoomScaleNormal="85" workbookViewId="0">
      <selection activeCell="AG5" sqref="AG5"/>
    </sheetView>
  </sheetViews>
  <sheetFormatPr defaultColWidth="12.625" defaultRowHeight="15" customHeight="1" x14ac:dyDescent="0.2"/>
  <cols>
    <col min="1" max="1" width="2.625" customWidth="1"/>
    <col min="2" max="2" width="10.375" customWidth="1"/>
    <col min="3" max="3" width="14" customWidth="1"/>
    <col min="4" max="4" width="15.625" customWidth="1"/>
    <col min="5" max="5" width="14.25" customWidth="1"/>
    <col min="6" max="6" width="10.375" customWidth="1"/>
    <col min="7" max="7" width="9.375" customWidth="1"/>
    <col min="8" max="8" width="12.875" customWidth="1"/>
    <col min="9" max="9" width="13.375" customWidth="1"/>
    <col min="10" max="10" width="13.875" customWidth="1"/>
    <col min="11" max="11" width="8.875" customWidth="1"/>
    <col min="12" max="12" width="10.25" customWidth="1"/>
    <col min="13" max="13" width="9" customWidth="1"/>
    <col min="14" max="14" width="8.5" customWidth="1"/>
    <col min="15" max="15" width="9.25" customWidth="1"/>
    <col min="16" max="16" width="9.5" customWidth="1"/>
    <col min="17" max="17" width="10.125" customWidth="1"/>
    <col min="18" max="18" width="9.5" customWidth="1"/>
    <col min="19" max="19" width="8.125" customWidth="1"/>
    <col min="20" max="20" width="9.875" customWidth="1"/>
    <col min="21" max="21" width="10.125" customWidth="1"/>
    <col min="22" max="22" width="8.5" customWidth="1"/>
    <col min="23" max="23" width="9.125" customWidth="1"/>
    <col min="24" max="26" width="8" customWidth="1"/>
    <col min="27" max="27" width="1" customWidth="1"/>
    <col min="28" max="28" width="14.25" customWidth="1"/>
    <col min="29" max="29" width="15.125" customWidth="1"/>
    <col min="30" max="30" width="14.5" customWidth="1"/>
    <col min="31" max="31" width="16" customWidth="1"/>
    <col min="32" max="32" width="14.875" customWidth="1"/>
    <col min="33" max="33" width="16.125" customWidth="1"/>
    <col min="34" max="34" width="1" customWidth="1"/>
    <col min="35" max="35" width="12.125" customWidth="1"/>
    <col min="36" max="37" width="11.625" customWidth="1"/>
    <col min="38" max="38" width="1" customWidth="1"/>
    <col min="39" max="39" width="11" customWidth="1"/>
    <col min="40" max="40" width="11.125" customWidth="1"/>
    <col min="41" max="41" width="9.875" customWidth="1"/>
    <col min="42" max="42" width="1" customWidth="1"/>
    <col min="43" max="43" width="8" customWidth="1"/>
    <col min="44" max="44" width="11.125" customWidth="1"/>
    <col min="46" max="46" width="11.625" customWidth="1"/>
    <col min="47" max="47" width="1" style="274" customWidth="1"/>
    <col min="48" max="48" width="12.375" style="319" customWidth="1"/>
    <col min="49" max="49" width="1" style="274" customWidth="1"/>
    <col min="50" max="50" width="6.125" style="274" customWidth="1"/>
    <col min="51" max="51" width="8" customWidth="1"/>
    <col min="52" max="52" width="12" customWidth="1"/>
    <col min="53" max="53" width="13.625" customWidth="1"/>
    <col min="54" max="54" width="11.625" customWidth="1"/>
    <col min="55" max="76" width="8" customWidth="1"/>
    <col min="77" max="77" width="13.5" customWidth="1"/>
    <col min="78" max="101" width="8" customWidth="1"/>
  </cols>
  <sheetData>
    <row r="1" spans="1:101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314"/>
      <c r="AW1" s="1"/>
      <c r="AX1" s="310"/>
      <c r="AY1" s="227"/>
      <c r="AZ1" s="227"/>
      <c r="BA1" s="227"/>
      <c r="BB1" s="227"/>
      <c r="BC1" s="227"/>
      <c r="BD1" s="227"/>
      <c r="BE1" s="227"/>
      <c r="BF1" s="227"/>
      <c r="BG1" s="227"/>
      <c r="BH1" s="227"/>
      <c r="BI1" s="227"/>
      <c r="BJ1" s="227"/>
      <c r="BK1" s="227"/>
      <c r="BL1" s="227"/>
      <c r="BM1" s="227"/>
      <c r="BN1" s="227"/>
      <c r="BO1" s="227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</row>
    <row r="2" spans="1:101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670" t="s">
        <v>577</v>
      </c>
      <c r="AC2" s="671">
        <f>(AVERAGE(AF14:AF1013)/AVERAGE(AG14:AG1013))</f>
        <v>75497.711836846414</v>
      </c>
      <c r="AD2" s="1"/>
      <c r="AE2" s="672" t="s">
        <v>452</v>
      </c>
      <c r="AF2" s="673">
        <f>MIN(AG14:AG1013)</f>
        <v>-0.39930715647040405</v>
      </c>
      <c r="AG2" s="671">
        <f>MIN(AF14:AF1013)</f>
        <v>-8929.0960919991921</v>
      </c>
      <c r="AH2" s="673"/>
      <c r="AI2" s="674">
        <f>1.96*AI3</f>
        <v>1001.1039810856121</v>
      </c>
      <c r="AJ2" s="674">
        <f>1.96*AJ3</f>
        <v>1063.7782913384031</v>
      </c>
      <c r="AK2" s="674">
        <f>1.96*AK3</f>
        <v>949.56276361507207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314"/>
      <c r="AW2" s="1"/>
      <c r="AX2" s="310"/>
      <c r="AY2" s="227"/>
      <c r="AZ2" s="227"/>
      <c r="BA2" s="227"/>
      <c r="BB2" s="227"/>
      <c r="BC2" s="227"/>
      <c r="BD2" s="227"/>
      <c r="BE2" s="227"/>
      <c r="BF2" s="227"/>
      <c r="BG2" s="227"/>
      <c r="BH2" s="227"/>
      <c r="BI2" s="227"/>
      <c r="BJ2" s="227"/>
      <c r="BK2" s="227"/>
      <c r="BL2" s="227"/>
      <c r="BM2" s="227"/>
      <c r="BN2" s="227"/>
      <c r="BO2" s="227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</row>
    <row r="3" spans="1:101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672" t="s">
        <v>578</v>
      </c>
      <c r="AF3" s="673">
        <f>MAX(AG14:AG1013)</f>
        <v>0.70901377740376104</v>
      </c>
      <c r="AG3" s="671">
        <f>MAX(AF14:AF1013)</f>
        <v>27079.73116288826</v>
      </c>
      <c r="AH3" s="673"/>
      <c r="AI3" s="674">
        <f>AI5/SQRT(1000)</f>
        <v>510.76733728857761</v>
      </c>
      <c r="AJ3" s="674">
        <f>AJ5/SQRT(1000)</f>
        <v>542.74402619306284</v>
      </c>
      <c r="AK3" s="674">
        <f>AK5/SQRT(1000)</f>
        <v>484.4707977627919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314"/>
      <c r="AW3" s="1"/>
      <c r="AX3" s="310"/>
      <c r="AY3" s="227"/>
      <c r="AZ3" s="227"/>
      <c r="BA3" s="227"/>
      <c r="BB3" s="227"/>
      <c r="BC3" s="227"/>
      <c r="BD3" s="227"/>
      <c r="BE3" s="227"/>
      <c r="BF3" s="227"/>
      <c r="BG3" s="227"/>
      <c r="BH3" s="227"/>
      <c r="BI3" s="227"/>
      <c r="BJ3" s="227"/>
      <c r="BK3" s="227"/>
      <c r="BL3" s="227"/>
      <c r="BM3" s="227"/>
      <c r="BN3" s="227"/>
      <c r="BO3" s="227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</row>
    <row r="4" spans="1:101" ht="14.25" customHeight="1" x14ac:dyDescent="0.2">
      <c r="A4" s="207"/>
      <c r="B4" s="618" t="s">
        <v>283</v>
      </c>
      <c r="C4" s="619"/>
      <c r="D4" s="619"/>
      <c r="E4" s="619"/>
      <c r="F4" s="619"/>
      <c r="G4" s="619"/>
      <c r="H4" s="619"/>
      <c r="I4" s="619"/>
      <c r="J4" s="619"/>
      <c r="K4" s="620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315"/>
      <c r="AW4" s="8"/>
      <c r="AX4" s="311"/>
      <c r="AY4" s="228"/>
      <c r="AZ4" s="228"/>
      <c r="BA4" s="228"/>
      <c r="BB4" s="228"/>
      <c r="BC4" s="228"/>
      <c r="BD4" s="228"/>
      <c r="BE4" s="228"/>
      <c r="BF4" s="228"/>
      <c r="BG4" s="228"/>
      <c r="BH4" s="228"/>
      <c r="BI4" s="228"/>
      <c r="BJ4" s="228"/>
      <c r="BK4" s="228"/>
      <c r="BL4" s="228"/>
      <c r="BM4" s="228"/>
      <c r="BN4" s="228"/>
      <c r="BO4" s="22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</row>
    <row r="5" spans="1:101" ht="14.25" customHeight="1" x14ac:dyDescent="0.2">
      <c r="A5" s="207"/>
      <c r="B5" s="621"/>
      <c r="C5" s="622"/>
      <c r="D5" s="622"/>
      <c r="E5" s="622"/>
      <c r="F5" s="622"/>
      <c r="G5" s="622"/>
      <c r="H5" s="622"/>
      <c r="I5" s="622"/>
      <c r="J5" s="622"/>
      <c r="K5" s="623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660" t="s">
        <v>581</v>
      </c>
      <c r="AE5" s="660"/>
      <c r="AF5" s="615">
        <f>1.96*AF8</f>
        <v>329.87983329799363</v>
      </c>
      <c r="AG5" s="616">
        <f>1.96*AG8</f>
        <v>1.1260374012763483E-2</v>
      </c>
      <c r="AH5" s="8"/>
      <c r="AI5" s="617">
        <f>STDEV(AI13:AI1012)</f>
        <v>16151.881402513565</v>
      </c>
      <c r="AJ5" s="617">
        <f>STDEV(AJ13:AJ1012)</f>
        <v>17163.073092201645</v>
      </c>
      <c r="AK5" s="617">
        <f>STDEV(AK13:AK1012)</f>
        <v>15320.311807692296</v>
      </c>
      <c r="AL5" s="8"/>
      <c r="AM5" s="8"/>
      <c r="AN5" s="8"/>
      <c r="AO5" s="8"/>
      <c r="AP5" s="8"/>
      <c r="AQ5" s="8"/>
      <c r="AR5" s="8"/>
      <c r="AS5" s="8"/>
      <c r="AT5" s="8"/>
      <c r="AU5" s="8"/>
      <c r="AV5" s="315"/>
      <c r="AW5" s="8"/>
      <c r="AX5" s="311"/>
      <c r="AY5" s="228"/>
      <c r="AZ5" s="228"/>
      <c r="BA5" s="228"/>
      <c r="BB5" s="228"/>
      <c r="BC5" s="228"/>
      <c r="BD5" s="228"/>
      <c r="BE5" s="228"/>
      <c r="BF5" s="228"/>
      <c r="BG5" s="228"/>
      <c r="BH5" s="228"/>
      <c r="BI5" s="228"/>
      <c r="BJ5" s="228"/>
      <c r="BK5" s="228"/>
      <c r="BL5" s="228"/>
      <c r="BM5" s="228"/>
      <c r="BN5" s="228"/>
      <c r="BO5" s="22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</row>
    <row r="6" spans="1:101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229"/>
      <c r="AB6" s="3"/>
      <c r="AC6" s="3"/>
      <c r="AD6" s="3"/>
      <c r="AE6" s="3" t="s">
        <v>453</v>
      </c>
      <c r="AF6" s="440">
        <f>AVERAGE(AF14:AF1013)</f>
        <v>9802.6674020230257</v>
      </c>
      <c r="AG6" s="608">
        <f>AVERAGE(AG14:AG1013)</f>
        <v>0.12984058938378137</v>
      </c>
      <c r="AH6" s="229"/>
      <c r="AI6" s="230" t="s">
        <v>284</v>
      </c>
      <c r="AJ6" s="52">
        <v>100000</v>
      </c>
      <c r="AK6" s="3"/>
      <c r="AL6" s="229"/>
      <c r="AM6" s="3"/>
      <c r="AN6" s="3"/>
      <c r="AO6" s="3"/>
      <c r="AP6" s="229"/>
      <c r="AQ6" s="3"/>
      <c r="AR6" s="3"/>
      <c r="AS6" s="3"/>
      <c r="AT6" s="3"/>
      <c r="AU6" s="229"/>
      <c r="AV6" s="321">
        <f>AV12-MAX(AI11:AJ11)</f>
        <v>4654.4239635287377</v>
      </c>
      <c r="AW6" s="229"/>
      <c r="AX6" s="312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/>
      <c r="BM6" s="135"/>
      <c r="BN6" s="135"/>
      <c r="BO6" s="135"/>
      <c r="BP6" s="3"/>
      <c r="BQ6" s="3"/>
      <c r="BR6" s="3"/>
      <c r="BS6" s="3"/>
      <c r="BT6" s="3"/>
      <c r="BU6" s="3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3"/>
      <c r="CT6" s="3"/>
      <c r="CU6" s="3"/>
      <c r="CV6" s="3"/>
      <c r="CW6" s="3"/>
    </row>
    <row r="7" spans="1:101" ht="14.25" customHeight="1" x14ac:dyDescent="0.2">
      <c r="A7" s="3"/>
      <c r="B7" s="4" t="s">
        <v>285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229"/>
      <c r="AB7" s="3"/>
      <c r="AC7" s="3"/>
      <c r="AD7" s="3"/>
      <c r="AE7" s="3" t="s">
        <v>586</v>
      </c>
      <c r="AF7" s="440">
        <f>STDEV(AF14:AF1013)</f>
        <v>5322.3042213179297</v>
      </c>
      <c r="AG7" s="608">
        <f>STDEV(AG14:AG1013)</f>
        <v>0.18167565911072719</v>
      </c>
      <c r="AH7" s="229"/>
      <c r="AI7" s="3"/>
      <c r="AJ7" s="3"/>
      <c r="AK7" s="3"/>
      <c r="AL7" s="229"/>
      <c r="AM7" s="3"/>
      <c r="AN7" s="3"/>
      <c r="AO7" s="3"/>
      <c r="AP7" s="229"/>
      <c r="AQ7" s="3"/>
      <c r="AR7" s="3"/>
      <c r="AS7" s="3"/>
      <c r="AT7" s="3"/>
      <c r="AU7" s="229"/>
      <c r="AV7" s="316"/>
      <c r="AW7" s="229"/>
      <c r="AX7" s="312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3"/>
      <c r="CT7" s="3"/>
      <c r="CU7" s="3"/>
      <c r="CV7" s="3"/>
      <c r="CW7" s="3"/>
    </row>
    <row r="8" spans="1:101" ht="14.25" customHeight="1" x14ac:dyDescent="0.2">
      <c r="A8" s="3"/>
      <c r="B8" s="231" t="s">
        <v>265</v>
      </c>
      <c r="C8" s="3"/>
      <c r="D8" s="3"/>
      <c r="E8" s="3"/>
      <c r="F8" s="3"/>
      <c r="G8" s="3"/>
      <c r="H8" s="3"/>
      <c r="I8" s="3"/>
      <c r="J8" s="3"/>
      <c r="K8" s="3"/>
      <c r="L8" s="231" t="s">
        <v>271</v>
      </c>
      <c r="M8" s="3"/>
      <c r="N8" s="3"/>
      <c r="O8" s="3"/>
      <c r="P8" s="3"/>
      <c r="Q8" s="3"/>
      <c r="R8" s="3"/>
      <c r="S8" s="3"/>
      <c r="T8" s="231" t="s">
        <v>286</v>
      </c>
      <c r="U8" s="3"/>
      <c r="V8" s="3"/>
      <c r="W8" s="3"/>
      <c r="X8" s="3"/>
      <c r="Y8" s="231" t="s">
        <v>287</v>
      </c>
      <c r="Z8" s="3"/>
      <c r="AA8" s="229"/>
      <c r="AB8" s="4" t="s">
        <v>288</v>
      </c>
      <c r="AC8" s="3"/>
      <c r="AD8" s="3"/>
      <c r="AE8" s="400" t="s">
        <v>585</v>
      </c>
      <c r="AF8" s="613">
        <f>AF7/SQRT(1000)</f>
        <v>168.30603739693552</v>
      </c>
      <c r="AG8" s="614">
        <f>AG7/SQRT(1000)</f>
        <v>5.7450887820221855E-3</v>
      </c>
      <c r="AH8" s="229"/>
      <c r="AI8" s="4" t="s">
        <v>289</v>
      </c>
      <c r="AJ8" s="3"/>
      <c r="AK8" s="3"/>
      <c r="AL8" s="229"/>
      <c r="AM8" s="4" t="s">
        <v>290</v>
      </c>
      <c r="AN8" s="3"/>
      <c r="AO8" s="3"/>
      <c r="AP8" s="229"/>
      <c r="AQ8" s="4" t="s">
        <v>291</v>
      </c>
      <c r="AR8" s="3"/>
      <c r="AS8" s="3"/>
      <c r="AT8" s="3"/>
      <c r="AU8" s="229"/>
      <c r="AV8" s="317" t="s">
        <v>384</v>
      </c>
      <c r="AW8" s="229"/>
      <c r="AX8" s="312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3"/>
      <c r="CT8" s="3"/>
      <c r="CU8" s="3"/>
      <c r="CV8" s="3"/>
      <c r="CW8" s="3"/>
    </row>
    <row r="9" spans="1:101" ht="6" customHeight="1" x14ac:dyDescent="0.2">
      <c r="A9" s="286"/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229"/>
      <c r="AB9" s="80"/>
      <c r="AC9" s="80"/>
      <c r="AD9" s="80"/>
      <c r="AE9" s="80"/>
      <c r="AF9" s="80"/>
      <c r="AG9" s="80"/>
      <c r="AH9" s="229"/>
      <c r="AI9" s="80"/>
      <c r="AJ9" s="80"/>
      <c r="AK9" s="80"/>
      <c r="AL9" s="229"/>
      <c r="AM9" s="80"/>
      <c r="AN9" s="80"/>
      <c r="AO9" s="80"/>
      <c r="AP9" s="229"/>
      <c r="AQ9" s="80"/>
      <c r="AR9" s="80"/>
      <c r="AS9" s="80"/>
      <c r="AT9" s="80"/>
      <c r="AU9" s="229"/>
      <c r="AV9" s="80"/>
      <c r="AW9" s="229"/>
      <c r="AX9" s="312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3"/>
      <c r="CT9" s="3"/>
      <c r="CU9" s="3"/>
      <c r="CV9" s="3"/>
      <c r="CW9" s="3"/>
    </row>
    <row r="10" spans="1:101" ht="14.25" customHeight="1" x14ac:dyDescent="0.2">
      <c r="A10" s="286"/>
      <c r="B10" s="656" t="s">
        <v>292</v>
      </c>
      <c r="C10" s="657"/>
      <c r="D10" s="657"/>
      <c r="E10" s="657"/>
      <c r="F10" s="655"/>
      <c r="G10" s="656" t="s">
        <v>381</v>
      </c>
      <c r="H10" s="657"/>
      <c r="I10" s="657"/>
      <c r="J10" s="657"/>
      <c r="K10" s="655"/>
      <c r="L10" s="658"/>
      <c r="M10" s="657"/>
      <c r="N10" s="657"/>
      <c r="O10" s="657"/>
      <c r="P10" s="657"/>
      <c r="Q10" s="657"/>
      <c r="R10" s="657"/>
      <c r="S10" s="655"/>
      <c r="T10" s="659"/>
      <c r="U10" s="657"/>
      <c r="V10" s="657"/>
      <c r="W10" s="657"/>
      <c r="X10" s="655"/>
      <c r="Y10" s="659"/>
      <c r="Z10" s="655"/>
      <c r="AA10" s="229"/>
      <c r="AB10" s="654" t="s">
        <v>293</v>
      </c>
      <c r="AC10" s="655"/>
      <c r="AD10" s="654" t="s">
        <v>382</v>
      </c>
      <c r="AE10" s="655"/>
      <c r="AF10" s="654" t="s">
        <v>294</v>
      </c>
      <c r="AG10" s="655"/>
      <c r="AH10" s="229"/>
      <c r="AI10" s="232" t="s">
        <v>113</v>
      </c>
      <c r="AJ10" s="232" t="s">
        <v>358</v>
      </c>
      <c r="AK10" s="232" t="s">
        <v>294</v>
      </c>
      <c r="AL10" s="229"/>
      <c r="AM10" s="232" t="s">
        <v>113</v>
      </c>
      <c r="AN10" s="232" t="s">
        <v>358</v>
      </c>
      <c r="AO10" s="232" t="s">
        <v>294</v>
      </c>
      <c r="AP10" s="229"/>
      <c r="AQ10" s="232" t="s">
        <v>284</v>
      </c>
      <c r="AR10" s="232" t="s">
        <v>455</v>
      </c>
      <c r="AS10" s="232" t="s">
        <v>456</v>
      </c>
      <c r="AT10" s="233" t="s">
        <v>294</v>
      </c>
      <c r="AU10" s="229"/>
      <c r="AV10" s="316"/>
      <c r="AW10" s="229"/>
      <c r="AX10" s="312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3"/>
      <c r="CT10" s="3"/>
      <c r="CU10" s="3"/>
      <c r="CV10" s="3"/>
      <c r="CW10" s="3"/>
    </row>
    <row r="11" spans="1:101" ht="14.25" customHeight="1" thickBot="1" x14ac:dyDescent="0.25">
      <c r="A11" s="287"/>
      <c r="B11" s="234" t="s">
        <v>180</v>
      </c>
      <c r="C11" s="234" t="s">
        <v>181</v>
      </c>
      <c r="D11" s="234" t="s">
        <v>295</v>
      </c>
      <c r="E11" s="234" t="s">
        <v>185</v>
      </c>
      <c r="F11" s="235" t="s">
        <v>187</v>
      </c>
      <c r="G11" s="234" t="s">
        <v>180</v>
      </c>
      <c r="H11" s="234" t="s">
        <v>181</v>
      </c>
      <c r="I11" s="234" t="s">
        <v>295</v>
      </c>
      <c r="J11" s="234" t="s">
        <v>185</v>
      </c>
      <c r="K11" s="236" t="s">
        <v>187</v>
      </c>
      <c r="L11" s="236" t="s">
        <v>191</v>
      </c>
      <c r="M11" s="236" t="s">
        <v>296</v>
      </c>
      <c r="N11" s="236" t="s">
        <v>193</v>
      </c>
      <c r="O11" s="236" t="s">
        <v>195</v>
      </c>
      <c r="P11" s="236" t="s">
        <v>197</v>
      </c>
      <c r="Q11" s="236" t="s">
        <v>297</v>
      </c>
      <c r="R11" s="236" t="s">
        <v>199</v>
      </c>
      <c r="S11" s="236" t="s">
        <v>298</v>
      </c>
      <c r="T11" s="236"/>
      <c r="U11" s="236"/>
      <c r="V11" s="236" t="s">
        <v>566</v>
      </c>
      <c r="W11" s="236" t="s">
        <v>565</v>
      </c>
      <c r="X11" s="236" t="s">
        <v>164</v>
      </c>
      <c r="Y11" s="236" t="s">
        <v>167</v>
      </c>
      <c r="Z11" s="237" t="s">
        <v>131</v>
      </c>
      <c r="AA11" s="238"/>
      <c r="AB11" s="239" t="s">
        <v>177</v>
      </c>
      <c r="AC11" s="239" t="s">
        <v>179</v>
      </c>
      <c r="AD11" s="239" t="s">
        <v>177</v>
      </c>
      <c r="AE11" s="239" t="s">
        <v>179</v>
      </c>
      <c r="AF11" s="239" t="s">
        <v>215</v>
      </c>
      <c r="AG11" s="239" t="s">
        <v>299</v>
      </c>
      <c r="AH11" s="238"/>
      <c r="AI11" s="320">
        <f>AVERAGE(AI14:AI1013)</f>
        <v>233993.77218020483</v>
      </c>
      <c r="AJ11" s="320">
        <f>AVERAGE(AJ14:AJ1013)</f>
        <v>230812.38064384999</v>
      </c>
      <c r="AK11" s="320">
        <f>AVERAGE(AK14:AK1013)</f>
        <v>3181.391536355125</v>
      </c>
      <c r="AL11" s="238"/>
      <c r="AM11" s="45"/>
      <c r="AN11" s="45"/>
      <c r="AO11" s="45"/>
      <c r="AP11" s="238"/>
      <c r="AQ11" s="45"/>
      <c r="AR11" s="45"/>
      <c r="AS11" s="45"/>
      <c r="AT11" s="45"/>
      <c r="AU11" s="238"/>
      <c r="AV11" s="316"/>
      <c r="AW11" s="238"/>
      <c r="AX11" s="312"/>
      <c r="AY11" s="14"/>
      <c r="AZ11" s="298" t="s">
        <v>215</v>
      </c>
      <c r="BA11" s="298" t="s">
        <v>299</v>
      </c>
      <c r="BB11" s="14" t="s">
        <v>253</v>
      </c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240"/>
      <c r="BX11" s="240"/>
      <c r="BY11" s="240"/>
      <c r="BZ11" s="240"/>
      <c r="CA11" s="240"/>
      <c r="CB11" s="240"/>
      <c r="CC11" s="240"/>
      <c r="CD11" s="240"/>
      <c r="CE11" s="240"/>
      <c r="CF11" s="240"/>
      <c r="CG11" s="240"/>
      <c r="CH11" s="240"/>
      <c r="CI11" s="240"/>
      <c r="CJ11" s="240"/>
      <c r="CK11" s="240"/>
      <c r="CL11" s="240"/>
      <c r="CM11" s="240"/>
      <c r="CN11" s="240"/>
      <c r="CO11" s="240"/>
      <c r="CP11" s="240"/>
      <c r="CQ11" s="240"/>
      <c r="CR11" s="240"/>
      <c r="CS11" s="45"/>
      <c r="CT11" s="45"/>
      <c r="CU11" s="45"/>
      <c r="CV11" s="45"/>
      <c r="CW11" s="45"/>
    </row>
    <row r="12" spans="1:101" ht="14.25" customHeight="1" thickBot="1" x14ac:dyDescent="0.25">
      <c r="A12" s="286"/>
      <c r="B12" s="241">
        <f>Parameters!B21</f>
        <v>0.16</v>
      </c>
      <c r="C12" s="241">
        <f>Parameters!B22</f>
        <v>0.34799999999999998</v>
      </c>
      <c r="D12" s="241">
        <f>Parameters!B23</f>
        <v>1.4999999999999999E-2</v>
      </c>
      <c r="E12" s="241">
        <f>Parameters!B24</f>
        <v>0.86199999999999999</v>
      </c>
      <c r="F12" s="242">
        <f>Parameters!B25</f>
        <v>0.81200000000000006</v>
      </c>
      <c r="G12" s="241">
        <f>Parameters!B28</f>
        <v>0.4</v>
      </c>
      <c r="H12" s="241">
        <f>Parameters!B29</f>
        <v>0.34799999999999998</v>
      </c>
      <c r="I12" s="241">
        <f>Parameters!B30</f>
        <v>1.7999999999999999E-2</v>
      </c>
      <c r="J12" s="241">
        <f>Parameters!B31</f>
        <v>0.90399999999999991</v>
      </c>
      <c r="K12" s="241">
        <f>Parameters!B32</f>
        <v>0.76500000000000001</v>
      </c>
      <c r="L12" s="243">
        <f>Parameters!B34</f>
        <v>12182.016</v>
      </c>
      <c r="M12" s="244">
        <f>Parameters!B35</f>
        <v>0</v>
      </c>
      <c r="N12" s="244">
        <f>Parameters!B36</f>
        <v>18604.830000000002</v>
      </c>
      <c r="O12" s="244">
        <f>Parameters!B37</f>
        <v>1237.24</v>
      </c>
      <c r="P12" s="245">
        <f>Parameters!B38</f>
        <v>45002</v>
      </c>
      <c r="Q12" s="245">
        <f>Parameters!B39</f>
        <v>98442</v>
      </c>
      <c r="R12" s="245">
        <f>Parameters!B40</f>
        <v>23632</v>
      </c>
      <c r="S12" s="244">
        <f>Parameters!B41</f>
        <v>8624.6029999999992</v>
      </c>
      <c r="T12" s="242">
        <f>Parameters!B47</f>
        <v>0.751</v>
      </c>
      <c r="U12" s="242">
        <f>Parameters!B48</f>
        <v>0.75800000000000001</v>
      </c>
      <c r="V12" s="242">
        <f>Parameters!C67</f>
        <v>0.723923076923077</v>
      </c>
      <c r="W12" s="242">
        <f>Parameters!H67</f>
        <v>0.72750000000000004</v>
      </c>
      <c r="X12" s="242">
        <f>uPostT</f>
        <v>0.76</v>
      </c>
      <c r="Y12" s="242">
        <f>rrDeath1_2</f>
        <v>0</v>
      </c>
      <c r="Z12" s="242">
        <f>rrDeath3</f>
        <v>0</v>
      </c>
      <c r="AA12" s="229"/>
      <c r="AB12" s="246">
        <f>'Markov Model_b (3)'!$AE$10</f>
        <v>83411.12036559642</v>
      </c>
      <c r="AC12" s="285">
        <f>'Markov Model_b (3)'!$AF$10</f>
        <v>3.2916479698099272</v>
      </c>
      <c r="AD12" s="246">
        <f>'Markov Model_b (3)'!$AE$12</f>
        <v>70697.727140358664</v>
      </c>
      <c r="AE12" s="285">
        <f>'Markov Model_b (3)'!$AF$12</f>
        <v>3.0774592472643962</v>
      </c>
      <c r="AF12" s="247">
        <f t="shared" ref="AF12:AG12" si="0">AB12-AD12</f>
        <v>12713.393225237756</v>
      </c>
      <c r="AG12" s="284">
        <f t="shared" si="0"/>
        <v>0.21418872254553101</v>
      </c>
      <c r="AH12" s="229"/>
      <c r="AI12" s="3"/>
      <c r="AJ12" s="3"/>
      <c r="AK12" s="3"/>
      <c r="AL12" s="609"/>
      <c r="AM12" s="308">
        <f t="shared" ref="AM12:AO12" si="1">AVERAGE(AM14:AM1013)</f>
        <v>0.57099999999999995</v>
      </c>
      <c r="AN12" s="308">
        <f t="shared" si="1"/>
        <v>0.42899999999999999</v>
      </c>
      <c r="AO12" s="308">
        <f t="shared" si="1"/>
        <v>0.57099999999999995</v>
      </c>
      <c r="AP12" s="610"/>
      <c r="AQ12" s="3"/>
      <c r="AR12" s="3"/>
      <c r="AS12" s="3"/>
      <c r="AT12" s="3"/>
      <c r="AU12" s="229"/>
      <c r="AV12" s="318">
        <f>AVERAGE(AV14:AV1013)</f>
        <v>238648.19614373357</v>
      </c>
      <c r="AW12" s="229"/>
      <c r="AX12" s="312"/>
      <c r="AY12" s="14"/>
      <c r="AZ12" s="299">
        <f>AF12</f>
        <v>12713.393225237756</v>
      </c>
      <c r="BA12" s="299">
        <f>AG12</f>
        <v>0.21418872254553101</v>
      </c>
      <c r="BB12" s="14">
        <f t="shared" ref="BB12:BB268" si="2">AZ12/BA12</f>
        <v>59356.034594842946</v>
      </c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3"/>
      <c r="CT12" s="3"/>
      <c r="CU12" s="3"/>
      <c r="CV12" s="3"/>
      <c r="CW12" s="3"/>
    </row>
    <row r="13" spans="1:101" ht="6.75" customHeight="1" x14ac:dyDescent="0.2">
      <c r="A13" s="286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229"/>
      <c r="AB13" s="80"/>
      <c r="AC13" s="80"/>
      <c r="AD13" s="80"/>
      <c r="AE13" s="80"/>
      <c r="AF13" s="80"/>
      <c r="AG13" s="80"/>
      <c r="AH13" s="229"/>
      <c r="AI13" s="80"/>
      <c r="AJ13" s="80"/>
      <c r="AK13" s="80"/>
      <c r="AL13" s="229"/>
      <c r="AM13" s="80"/>
      <c r="AN13" s="80"/>
      <c r="AO13" s="80"/>
      <c r="AP13" s="229"/>
      <c r="AQ13" s="80"/>
      <c r="AR13" s="80"/>
      <c r="AS13" s="80"/>
      <c r="AT13" s="80"/>
      <c r="AU13" s="229"/>
      <c r="AV13" s="80"/>
      <c r="AW13" s="229"/>
      <c r="AX13" s="312"/>
      <c r="AY13" s="14"/>
      <c r="AZ13" s="300"/>
      <c r="BA13" s="300"/>
      <c r="BB13" s="300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3"/>
      <c r="CT13" s="3"/>
      <c r="CU13" s="3"/>
      <c r="CV13" s="3"/>
      <c r="CW13" s="3"/>
    </row>
    <row r="14" spans="1:101" ht="14.25" customHeight="1" x14ac:dyDescent="0.2">
      <c r="A14" s="286"/>
      <c r="B14" s="52">
        <v>0.21365552390364662</v>
      </c>
      <c r="C14" s="288">
        <v>0.72609836487059365</v>
      </c>
      <c r="D14" s="288">
        <v>1.8132417965885494E-2</v>
      </c>
      <c r="E14" s="288">
        <v>1.913202207384912E-2</v>
      </c>
      <c r="F14" s="289">
        <v>0.80036765184756931</v>
      </c>
      <c r="G14" s="92">
        <v>0.41481164233629075</v>
      </c>
      <c r="H14" s="288">
        <v>0.70648394090639899</v>
      </c>
      <c r="I14" s="288">
        <v>6.8454127362778706E-3</v>
      </c>
      <c r="J14" s="288">
        <v>0.15665149374312304</v>
      </c>
      <c r="K14" s="288">
        <v>0.71636437513247087</v>
      </c>
      <c r="L14" s="290">
        <v>9855.7155039547324</v>
      </c>
      <c r="M14" s="288">
        <v>0</v>
      </c>
      <c r="N14" s="288">
        <v>18655.540664089425</v>
      </c>
      <c r="O14" s="288">
        <v>1046.3076521909172</v>
      </c>
      <c r="P14" s="288">
        <v>54650.415895791688</v>
      </c>
      <c r="Q14" s="291">
        <v>104048.1431790092</v>
      </c>
      <c r="R14" s="288">
        <v>18782.069726656602</v>
      </c>
      <c r="S14" s="288">
        <v>7171.5850309319803</v>
      </c>
      <c r="T14" s="290">
        <v>0.751</v>
      </c>
      <c r="U14" s="288">
        <v>0.75800000000000001</v>
      </c>
      <c r="V14" s="288">
        <v>0.723923076923077</v>
      </c>
      <c r="W14" s="288">
        <v>0.72750000000000004</v>
      </c>
      <c r="X14" s="288">
        <v>0.76</v>
      </c>
      <c r="Y14" s="288">
        <v>0</v>
      </c>
      <c r="Z14" s="289">
        <v>0</v>
      </c>
      <c r="AA14" s="229"/>
      <c r="AB14" s="292">
        <v>70239.721113058753</v>
      </c>
      <c r="AC14" s="288">
        <v>3.2371918067458827</v>
      </c>
      <c r="AD14" s="288">
        <v>57495.848966452431</v>
      </c>
      <c r="AE14" s="288">
        <v>2.8543478306662182</v>
      </c>
      <c r="AF14" s="288">
        <v>12743.872146606322</v>
      </c>
      <c r="AG14" s="289">
        <v>0.38284397607966447</v>
      </c>
      <c r="AH14" s="229"/>
      <c r="AI14" s="205">
        <f>AC14*cRatio-AB14</f>
        <v>253479.45956152951</v>
      </c>
      <c r="AJ14" s="205">
        <f>AE14*cRatio-AD14</f>
        <v>227938.93410016937</v>
      </c>
      <c r="AK14" s="205">
        <f t="shared" ref="AK14:AK77" si="3">AG14*cRatio-AF14</f>
        <v>25540.525461360128</v>
      </c>
      <c r="AL14" s="229"/>
      <c r="AM14" s="52">
        <f t="shared" ref="AM14:AM268" si="4">IF(MAX(AI14:AJ14)=AI14,1,0)</f>
        <v>1</v>
      </c>
      <c r="AN14" s="52">
        <f t="shared" ref="AN14:AN268" si="5">IF(MAX(AI14:AJ14)=AJ14,1,0)</f>
        <v>0</v>
      </c>
      <c r="AO14" s="52">
        <f t="shared" ref="AO14:AO268" si="6">IF(AK14&gt;0,1,0)</f>
        <v>1</v>
      </c>
      <c r="AP14" s="229"/>
      <c r="AQ14" s="45">
        <v>0</v>
      </c>
      <c r="AR14" s="45">
        <v>0.03</v>
      </c>
      <c r="AS14" s="45">
        <v>0.97</v>
      </c>
      <c r="AT14" s="45">
        <v>0.03</v>
      </c>
      <c r="AU14" s="229"/>
      <c r="AV14" s="318">
        <f>MAX(AI14:AJ14)</f>
        <v>253479.45956152951</v>
      </c>
      <c r="AW14" s="229"/>
      <c r="AX14" s="312"/>
      <c r="AY14" s="14"/>
      <c r="AZ14" s="14">
        <f>AF14</f>
        <v>12743.872146606322</v>
      </c>
      <c r="BA14" s="14">
        <f>AG14</f>
        <v>0.38284397607966447</v>
      </c>
      <c r="BB14" s="14">
        <f>AZ14/BA14</f>
        <v>33287.377999528719</v>
      </c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3"/>
      <c r="CT14" s="3"/>
      <c r="CU14" s="3"/>
      <c r="CV14" s="3"/>
      <c r="CW14" s="3"/>
    </row>
    <row r="15" spans="1:101" ht="14.25" customHeight="1" x14ac:dyDescent="0.2">
      <c r="A15" s="286"/>
      <c r="B15" s="52">
        <v>0.16641534811495695</v>
      </c>
      <c r="C15" s="288">
        <v>2.0380984158693969E-2</v>
      </c>
      <c r="D15" s="288">
        <v>8.9752723467654803E-3</v>
      </c>
      <c r="E15" s="288">
        <v>2.0214492331225964E-2</v>
      </c>
      <c r="F15" s="289">
        <v>0.83764286261672616</v>
      </c>
      <c r="G15" s="92">
        <v>0.3763343645755608</v>
      </c>
      <c r="H15" s="288">
        <v>0.67377324566387553</v>
      </c>
      <c r="I15" s="288">
        <v>1.3646963997669157E-2</v>
      </c>
      <c r="J15" s="288">
        <v>1</v>
      </c>
      <c r="K15" s="288">
        <v>0.76043558187871829</v>
      </c>
      <c r="L15" s="290">
        <v>13644.013325254893</v>
      </c>
      <c r="M15" s="288">
        <v>0</v>
      </c>
      <c r="N15" s="288">
        <v>14403.62138454816</v>
      </c>
      <c r="O15" s="288">
        <v>1390.6753647122357</v>
      </c>
      <c r="P15" s="288">
        <v>28760.099861615821</v>
      </c>
      <c r="Q15" s="291">
        <v>98406.76398694473</v>
      </c>
      <c r="R15" s="288">
        <v>21056.400652150496</v>
      </c>
      <c r="S15" s="288">
        <v>14654.167664192222</v>
      </c>
      <c r="T15" s="290">
        <v>0.751</v>
      </c>
      <c r="U15" s="288">
        <v>0.75800000000000001</v>
      </c>
      <c r="V15" s="288">
        <v>0.723923076923077</v>
      </c>
      <c r="W15" s="288">
        <v>0.72750000000000004</v>
      </c>
      <c r="X15" s="288">
        <v>0.76</v>
      </c>
      <c r="Y15" s="288">
        <v>0</v>
      </c>
      <c r="Z15" s="289">
        <v>0</v>
      </c>
      <c r="AA15" s="229"/>
      <c r="AB15" s="52">
        <v>135645.29627929765</v>
      </c>
      <c r="AC15" s="288">
        <v>3.412443163523736</v>
      </c>
      <c r="AD15" s="288">
        <v>117637.33879067071</v>
      </c>
      <c r="AE15" s="288">
        <v>3.056361863862433</v>
      </c>
      <c r="AF15" s="288">
        <v>18007.95748862694</v>
      </c>
      <c r="AG15" s="289">
        <v>0.35608129966130297</v>
      </c>
      <c r="AH15" s="229"/>
      <c r="AI15" s="205">
        <f t="shared" ref="AI15:AI77" si="7">AC15*cRatio-AB15</f>
        <v>205599.02007307592</v>
      </c>
      <c r="AJ15" s="205">
        <f t="shared" ref="AJ15:AJ77" si="8">AE15*cRatio-AD15</f>
        <v>187998.84759557262</v>
      </c>
      <c r="AK15" s="205">
        <f t="shared" si="3"/>
        <v>17600.172477503358</v>
      </c>
      <c r="AL15" s="229"/>
      <c r="AM15" s="52">
        <f t="shared" si="4"/>
        <v>1</v>
      </c>
      <c r="AN15" s="52">
        <f t="shared" si="5"/>
        <v>0</v>
      </c>
      <c r="AO15" s="52">
        <f t="shared" si="6"/>
        <v>1</v>
      </c>
      <c r="AP15" s="229"/>
      <c r="AQ15" s="45">
        <v>100</v>
      </c>
      <c r="AR15" s="45">
        <v>0.03</v>
      </c>
      <c r="AS15" s="45">
        <v>0.97</v>
      </c>
      <c r="AT15" s="45">
        <v>0.03</v>
      </c>
      <c r="AU15" s="229"/>
      <c r="AV15" s="318">
        <f t="shared" ref="AV15:AV78" si="9">MAX(AI15:AJ15)</f>
        <v>205599.02007307592</v>
      </c>
      <c r="AW15" s="229"/>
      <c r="AX15" s="312"/>
      <c r="AY15" s="14"/>
      <c r="AZ15" s="14">
        <f>AF15</f>
        <v>18007.95748862694</v>
      </c>
      <c r="BA15" s="14">
        <f t="shared" ref="BA15:BA78" si="10">AG15</f>
        <v>0.35608129966130297</v>
      </c>
      <c r="BB15" s="14">
        <f t="shared" si="2"/>
        <v>50572.600992401822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3"/>
      <c r="CT15" s="3"/>
      <c r="CU15" s="3"/>
      <c r="CV15" s="3"/>
      <c r="CW15" s="3"/>
    </row>
    <row r="16" spans="1:101" ht="14.25" customHeight="1" x14ac:dyDescent="0.2">
      <c r="A16" s="286"/>
      <c r="B16" s="52">
        <v>0.16392909666344679</v>
      </c>
      <c r="C16" s="288">
        <v>2.4574197234586381E-2</v>
      </c>
      <c r="D16" s="288">
        <v>2.8356626684363895E-2</v>
      </c>
      <c r="E16" s="288">
        <v>1.4020975726089829E-2</v>
      </c>
      <c r="F16" s="289">
        <v>0.78320250369701561</v>
      </c>
      <c r="G16" s="92">
        <v>0.38380746160544027</v>
      </c>
      <c r="H16" s="288">
        <v>0.33744029406763915</v>
      </c>
      <c r="I16" s="288">
        <v>2.8017592626817587E-3</v>
      </c>
      <c r="J16" s="288">
        <v>0.99999999999999822</v>
      </c>
      <c r="K16" s="288">
        <v>0.74741638595063176</v>
      </c>
      <c r="L16" s="290">
        <v>12352.701565975489</v>
      </c>
      <c r="M16" s="288">
        <v>0</v>
      </c>
      <c r="N16" s="288">
        <v>14984.016224859808</v>
      </c>
      <c r="O16" s="288">
        <v>1179.6036744996127</v>
      </c>
      <c r="P16" s="288">
        <v>50740.0789319244</v>
      </c>
      <c r="Q16" s="291">
        <v>108376.89496175385</v>
      </c>
      <c r="R16" s="288">
        <v>22064.218450787132</v>
      </c>
      <c r="S16" s="288">
        <v>7880.5884879708874</v>
      </c>
      <c r="T16" s="290">
        <v>0.751</v>
      </c>
      <c r="U16" s="288">
        <v>0.75800000000000001</v>
      </c>
      <c r="V16" s="288">
        <v>0.723923076923077</v>
      </c>
      <c r="W16" s="288">
        <v>0.72750000000000004</v>
      </c>
      <c r="X16" s="288">
        <v>0.76</v>
      </c>
      <c r="Y16" s="288">
        <v>0</v>
      </c>
      <c r="Z16" s="289">
        <v>0</v>
      </c>
      <c r="AA16" s="229"/>
      <c r="AB16" s="52">
        <v>74260.892159750932</v>
      </c>
      <c r="AC16" s="288">
        <v>3.1572218266554133</v>
      </c>
      <c r="AD16" s="288">
        <v>62223.323759067345</v>
      </c>
      <c r="AE16" s="288">
        <v>2.9963657278144535</v>
      </c>
      <c r="AF16" s="288">
        <v>12037.568400683587</v>
      </c>
      <c r="AG16" s="289">
        <v>0.16085609884095975</v>
      </c>
      <c r="AH16" s="229"/>
      <c r="AI16" s="205">
        <f t="shared" si="7"/>
        <v>241461.29050579038</v>
      </c>
      <c r="AJ16" s="205">
        <f t="shared" si="8"/>
        <v>237413.249022378</v>
      </c>
      <c r="AK16" s="205">
        <f t="shared" si="3"/>
        <v>4048.0414834123876</v>
      </c>
      <c r="AL16" s="229"/>
      <c r="AM16" s="52">
        <f t="shared" si="4"/>
        <v>1</v>
      </c>
      <c r="AN16" s="52">
        <f t="shared" si="5"/>
        <v>0</v>
      </c>
      <c r="AO16" s="52">
        <f t="shared" si="6"/>
        <v>1</v>
      </c>
      <c r="AP16" s="229"/>
      <c r="AQ16" s="45">
        <v>200</v>
      </c>
      <c r="AR16" s="45">
        <v>0.03</v>
      </c>
      <c r="AS16" s="45">
        <v>0.97</v>
      </c>
      <c r="AT16" s="45">
        <v>0.03</v>
      </c>
      <c r="AU16" s="229"/>
      <c r="AV16" s="318">
        <f t="shared" si="9"/>
        <v>241461.29050579038</v>
      </c>
      <c r="AW16" s="229"/>
      <c r="AX16" s="312"/>
      <c r="AY16" s="14"/>
      <c r="AZ16" s="14">
        <f t="shared" ref="AZ16:AZ79" si="11">AF16</f>
        <v>12037.568400683587</v>
      </c>
      <c r="BA16" s="14">
        <f t="shared" si="10"/>
        <v>0.16085609884095975</v>
      </c>
      <c r="BB16" s="14">
        <f t="shared" si="2"/>
        <v>74834.392276200029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3"/>
      <c r="CT16" s="3"/>
      <c r="CU16" s="3"/>
      <c r="CV16" s="3"/>
      <c r="CW16" s="3"/>
    </row>
    <row r="17" spans="1:101" ht="14.25" customHeight="1" x14ac:dyDescent="0.2">
      <c r="A17" s="286"/>
      <c r="B17" s="52">
        <v>0.1437719309929758</v>
      </c>
      <c r="C17" s="288">
        <v>6.7441859660364228E-2</v>
      </c>
      <c r="D17" s="288">
        <v>1.8194532597332835E-2</v>
      </c>
      <c r="E17" s="288">
        <v>1.3193593375607372E-2</v>
      </c>
      <c r="F17" s="289">
        <v>0.77257148199015968</v>
      </c>
      <c r="G17" s="92">
        <v>0.39364765967065624</v>
      </c>
      <c r="H17" s="288">
        <v>9.0638084831358864E-2</v>
      </c>
      <c r="I17" s="288">
        <v>2.4379684934168089E-2</v>
      </c>
      <c r="J17" s="288">
        <v>0.99559964960727654</v>
      </c>
      <c r="K17" s="288">
        <v>0.76412687465050655</v>
      </c>
      <c r="L17" s="290">
        <v>7213.6798757434508</v>
      </c>
      <c r="M17" s="288">
        <v>0</v>
      </c>
      <c r="N17" s="288">
        <v>24962.656420953437</v>
      </c>
      <c r="O17" s="288">
        <v>1225.6469502433119</v>
      </c>
      <c r="P17" s="288">
        <v>30031.387444440461</v>
      </c>
      <c r="Q17" s="291">
        <v>104975.83020227004</v>
      </c>
      <c r="R17" s="288">
        <v>22493.70618694105</v>
      </c>
      <c r="S17" s="288">
        <v>7439.2996355082832</v>
      </c>
      <c r="T17" s="290">
        <v>0.751</v>
      </c>
      <c r="U17" s="288">
        <v>0.75800000000000001</v>
      </c>
      <c r="V17" s="288">
        <v>0.723923076923077</v>
      </c>
      <c r="W17" s="288">
        <v>0.72750000000000004</v>
      </c>
      <c r="X17" s="288">
        <v>0.76</v>
      </c>
      <c r="Y17" s="288">
        <v>0</v>
      </c>
      <c r="Z17" s="289">
        <v>0</v>
      </c>
      <c r="AA17" s="229"/>
      <c r="AB17" s="52">
        <v>64796.803456195834</v>
      </c>
      <c r="AC17" s="288">
        <v>3.107925158088706</v>
      </c>
      <c r="AD17" s="288">
        <v>59496.870463421117</v>
      </c>
      <c r="AE17" s="288">
        <v>3.0734209988330812</v>
      </c>
      <c r="AF17" s="288">
        <v>5299.9329927747167</v>
      </c>
      <c r="AG17" s="289">
        <v>3.4504159255624778E-2</v>
      </c>
      <c r="AH17" s="229"/>
      <c r="AI17" s="205">
        <f t="shared" si="7"/>
        <v>245995.71235267477</v>
      </c>
      <c r="AJ17" s="205">
        <f t="shared" si="8"/>
        <v>247845.22941988701</v>
      </c>
      <c r="AK17" s="205">
        <f t="shared" si="3"/>
        <v>-1849.517067212239</v>
      </c>
      <c r="AL17" s="229"/>
      <c r="AM17" s="52">
        <f t="shared" si="4"/>
        <v>0</v>
      </c>
      <c r="AN17" s="52">
        <f t="shared" si="5"/>
        <v>1</v>
      </c>
      <c r="AO17" s="52">
        <f t="shared" si="6"/>
        <v>0</v>
      </c>
      <c r="AP17" s="229"/>
      <c r="AQ17" s="45">
        <v>300</v>
      </c>
      <c r="AR17" s="45">
        <v>0.03</v>
      </c>
      <c r="AS17" s="45">
        <v>0.97</v>
      </c>
      <c r="AT17" s="45">
        <v>0.03</v>
      </c>
      <c r="AU17" s="229"/>
      <c r="AV17" s="318">
        <f t="shared" si="9"/>
        <v>247845.22941988701</v>
      </c>
      <c r="AW17" s="229"/>
      <c r="AX17" s="312"/>
      <c r="AY17" s="14"/>
      <c r="AZ17" s="14">
        <f t="shared" si="11"/>
        <v>5299.9329927747167</v>
      </c>
      <c r="BA17" s="14">
        <f t="shared" si="10"/>
        <v>3.4504159255624778E-2</v>
      </c>
      <c r="BB17" s="14">
        <f t="shared" si="2"/>
        <v>153602.72810909702</v>
      </c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3"/>
      <c r="CT17" s="3"/>
      <c r="CU17" s="3"/>
      <c r="CV17" s="3"/>
      <c r="CW17" s="3"/>
    </row>
    <row r="18" spans="1:101" ht="14.25" customHeight="1" x14ac:dyDescent="0.2">
      <c r="A18" s="286"/>
      <c r="B18" s="52">
        <v>0.118993034776327</v>
      </c>
      <c r="C18" s="288">
        <v>0.94842732234706784</v>
      </c>
      <c r="D18" s="288">
        <v>2.3457929754573947E-2</v>
      </c>
      <c r="E18" s="288">
        <v>9.5401517444930525E-3</v>
      </c>
      <c r="F18" s="289">
        <v>0.81439492121146839</v>
      </c>
      <c r="G18" s="92">
        <v>0.4047021050253925</v>
      </c>
      <c r="H18" s="288">
        <v>0.6131331857616894</v>
      </c>
      <c r="I18" s="288">
        <v>1.2247163067668605E-2</v>
      </c>
      <c r="J18" s="288">
        <v>1</v>
      </c>
      <c r="K18" s="288">
        <v>0.72543482946369908</v>
      </c>
      <c r="L18" s="290">
        <v>11535.206034782424</v>
      </c>
      <c r="M18" s="288">
        <v>0</v>
      </c>
      <c r="N18" s="288">
        <v>24203.417680597773</v>
      </c>
      <c r="O18" s="288">
        <v>1300.6253132264794</v>
      </c>
      <c r="P18" s="288">
        <v>43887.071829049724</v>
      </c>
      <c r="Q18" s="291">
        <v>99065.662032735214</v>
      </c>
      <c r="R18" s="288">
        <v>31915.791292993174</v>
      </c>
      <c r="S18" s="288">
        <v>6797.6045762373924</v>
      </c>
      <c r="T18" s="290">
        <v>0.751</v>
      </c>
      <c r="U18" s="288">
        <v>0.75800000000000001</v>
      </c>
      <c r="V18" s="288">
        <v>0.723923076923077</v>
      </c>
      <c r="W18" s="288">
        <v>0.72750000000000004</v>
      </c>
      <c r="X18" s="288">
        <v>0.76</v>
      </c>
      <c r="Y18" s="288">
        <v>0</v>
      </c>
      <c r="Z18" s="289">
        <v>0</v>
      </c>
      <c r="AA18" s="229"/>
      <c r="AB18" s="52">
        <v>70388.612295080733</v>
      </c>
      <c r="AC18" s="288">
        <v>3.3028860007833392</v>
      </c>
      <c r="AD18" s="288">
        <v>58499.245335939449</v>
      </c>
      <c r="AE18" s="288">
        <v>2.8956748607128739</v>
      </c>
      <c r="AF18" s="288">
        <v>11889.366959141284</v>
      </c>
      <c r="AG18" s="289">
        <v>0.40721114007046522</v>
      </c>
      <c r="AH18" s="229"/>
      <c r="AI18" s="205">
        <f t="shared" si="7"/>
        <v>259899.98778325319</v>
      </c>
      <c r="AJ18" s="205">
        <f t="shared" si="8"/>
        <v>231068.24073534796</v>
      </c>
      <c r="AK18" s="205">
        <f t="shared" si="3"/>
        <v>28831.747047905235</v>
      </c>
      <c r="AL18" s="229"/>
      <c r="AM18" s="52">
        <f t="shared" si="4"/>
        <v>1</v>
      </c>
      <c r="AN18" s="52">
        <f t="shared" si="5"/>
        <v>0</v>
      </c>
      <c r="AO18" s="52">
        <f t="shared" si="6"/>
        <v>1</v>
      </c>
      <c r="AP18" s="229"/>
      <c r="AQ18" s="45">
        <v>400</v>
      </c>
      <c r="AR18" s="45">
        <v>0.03</v>
      </c>
      <c r="AS18" s="45">
        <v>0.97</v>
      </c>
      <c r="AT18" s="45">
        <v>0.03</v>
      </c>
      <c r="AU18" s="229"/>
      <c r="AV18" s="318">
        <f t="shared" si="9"/>
        <v>259899.98778325319</v>
      </c>
      <c r="AW18" s="229"/>
      <c r="AX18" s="312"/>
      <c r="AY18" s="14"/>
      <c r="AZ18" s="14">
        <f t="shared" si="11"/>
        <v>11889.366959141284</v>
      </c>
      <c r="BA18" s="14">
        <f t="shared" si="10"/>
        <v>0.40721114007046522</v>
      </c>
      <c r="BB18" s="14">
        <f t="shared" si="2"/>
        <v>29197.057224622851</v>
      </c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3"/>
      <c r="CT18" s="3"/>
      <c r="CU18" s="3"/>
      <c r="CV18" s="3"/>
      <c r="CW18" s="3"/>
    </row>
    <row r="19" spans="1:101" ht="14.25" customHeight="1" x14ac:dyDescent="0.2">
      <c r="A19" s="286"/>
      <c r="B19" s="52">
        <v>0.11495492880039225</v>
      </c>
      <c r="C19" s="288">
        <v>0.27506392682709935</v>
      </c>
      <c r="D19" s="288">
        <v>3.9308659680876934E-2</v>
      </c>
      <c r="E19" s="288">
        <v>1.2931771509560387E-2</v>
      </c>
      <c r="F19" s="289">
        <v>0.80266512301919235</v>
      </c>
      <c r="G19" s="92">
        <v>0.41315245763477271</v>
      </c>
      <c r="H19" s="288">
        <v>0.8261773479569503</v>
      </c>
      <c r="I19" s="288">
        <v>2.0420105607340422E-2</v>
      </c>
      <c r="J19" s="288">
        <v>0.56196199444927453</v>
      </c>
      <c r="K19" s="288">
        <v>0.7677025588728138</v>
      </c>
      <c r="L19" s="290">
        <v>14638.231261473149</v>
      </c>
      <c r="M19" s="288">
        <v>0</v>
      </c>
      <c r="N19" s="288">
        <v>15367.529783480668</v>
      </c>
      <c r="O19" s="288">
        <v>964.66053748549803</v>
      </c>
      <c r="P19" s="288">
        <v>48137.027145471387</v>
      </c>
      <c r="Q19" s="291">
        <v>106511.57638609955</v>
      </c>
      <c r="R19" s="288">
        <v>19094.968950946211</v>
      </c>
      <c r="S19" s="288">
        <v>13002.428115738094</v>
      </c>
      <c r="T19" s="290">
        <v>0.751</v>
      </c>
      <c r="U19" s="288">
        <v>0.75800000000000001</v>
      </c>
      <c r="V19" s="288">
        <v>0.723923076923077</v>
      </c>
      <c r="W19" s="288">
        <v>0.72750000000000004</v>
      </c>
      <c r="X19" s="288">
        <v>0.76</v>
      </c>
      <c r="Y19" s="288">
        <v>0</v>
      </c>
      <c r="Z19" s="289">
        <v>0</v>
      </c>
      <c r="AA19" s="229"/>
      <c r="AB19" s="52">
        <v>119184.06387459119</v>
      </c>
      <c r="AC19" s="288">
        <v>3.2479304652512861</v>
      </c>
      <c r="AD19" s="288">
        <v>107563.20159619917</v>
      </c>
      <c r="AE19" s="288">
        <v>3.0899663333268967</v>
      </c>
      <c r="AF19" s="288">
        <v>11620.862278392015</v>
      </c>
      <c r="AG19" s="289">
        <v>0.15796413192438941</v>
      </c>
      <c r="AH19" s="229"/>
      <c r="AI19" s="205">
        <f t="shared" si="7"/>
        <v>205608.98265053739</v>
      </c>
      <c r="AJ19" s="205">
        <f t="shared" si="8"/>
        <v>201433.43173649051</v>
      </c>
      <c r="AK19" s="205">
        <f t="shared" si="3"/>
        <v>4175.5509140469258</v>
      </c>
      <c r="AL19" s="229"/>
      <c r="AM19" s="52">
        <f t="shared" si="4"/>
        <v>1</v>
      </c>
      <c r="AN19" s="52">
        <f t="shared" si="5"/>
        <v>0</v>
      </c>
      <c r="AO19" s="52">
        <f t="shared" si="6"/>
        <v>1</v>
      </c>
      <c r="AP19" s="229"/>
      <c r="AQ19" s="45">
        <v>500</v>
      </c>
      <c r="AR19" s="45">
        <v>0.03</v>
      </c>
      <c r="AS19" s="45">
        <v>0.97</v>
      </c>
      <c r="AT19" s="45">
        <v>0.03</v>
      </c>
      <c r="AU19" s="229"/>
      <c r="AV19" s="318">
        <f t="shared" si="9"/>
        <v>205608.98265053739</v>
      </c>
      <c r="AW19" s="229"/>
      <c r="AX19" s="312"/>
      <c r="AY19" s="14"/>
      <c r="AZ19" s="14">
        <f t="shared" si="11"/>
        <v>11620.862278392015</v>
      </c>
      <c r="BA19" s="14">
        <f t="shared" si="10"/>
        <v>0.15796413192438941</v>
      </c>
      <c r="BB19" s="14">
        <f t="shared" si="2"/>
        <v>73566.461808902401</v>
      </c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3"/>
      <c r="CT19" s="3"/>
      <c r="CU19" s="3"/>
      <c r="CV19" s="3"/>
      <c r="CW19" s="3"/>
    </row>
    <row r="20" spans="1:101" ht="14.25" customHeight="1" x14ac:dyDescent="0.2">
      <c r="A20" s="286"/>
      <c r="B20" s="52">
        <v>0.17195870380824185</v>
      </c>
      <c r="C20" s="288">
        <v>2.5695583730077524E-2</v>
      </c>
      <c r="D20" s="288">
        <v>2.2489440422190587E-2</v>
      </c>
      <c r="E20" s="288">
        <v>1.6373356142464823E-2</v>
      </c>
      <c r="F20" s="289">
        <v>0.80897107688397529</v>
      </c>
      <c r="G20" s="92">
        <v>0.41696092389890049</v>
      </c>
      <c r="H20" s="288">
        <v>0.84988305764430649</v>
      </c>
      <c r="I20" s="288">
        <v>2.6067613435376114E-2</v>
      </c>
      <c r="J20" s="288">
        <v>0.75222195012863202</v>
      </c>
      <c r="K20" s="288">
        <v>0.7957292649689498</v>
      </c>
      <c r="L20" s="290">
        <v>14425.441109677466</v>
      </c>
      <c r="M20" s="288">
        <v>0</v>
      </c>
      <c r="N20" s="288">
        <v>16283.9371721059</v>
      </c>
      <c r="O20" s="288">
        <v>1075.8247024158345</v>
      </c>
      <c r="P20" s="288">
        <v>50761.990883189916</v>
      </c>
      <c r="Q20" s="291">
        <v>78256.318174248125</v>
      </c>
      <c r="R20" s="288">
        <v>21220.22961493854</v>
      </c>
      <c r="S20" s="288">
        <v>10963.741083539655</v>
      </c>
      <c r="T20" s="290">
        <v>0.751</v>
      </c>
      <c r="U20" s="288">
        <v>0.75800000000000001</v>
      </c>
      <c r="V20" s="288">
        <v>0.723923076923077</v>
      </c>
      <c r="W20" s="288">
        <v>0.72750000000000004</v>
      </c>
      <c r="X20" s="288">
        <v>0.76</v>
      </c>
      <c r="Y20" s="288">
        <v>0</v>
      </c>
      <c r="Z20" s="289">
        <v>0</v>
      </c>
      <c r="AA20" s="229"/>
      <c r="AB20" s="52">
        <v>102837.91611348129</v>
      </c>
      <c r="AC20" s="288">
        <v>3.2774478050957008</v>
      </c>
      <c r="AD20" s="288">
        <v>96170.451046472706</v>
      </c>
      <c r="AE20" s="288">
        <v>3.2203489979446291</v>
      </c>
      <c r="AF20" s="288">
        <v>6667.465067008583</v>
      </c>
      <c r="AG20" s="289">
        <v>5.7098807151071629E-2</v>
      </c>
      <c r="AH20" s="229"/>
      <c r="AI20" s="205">
        <f t="shared" si="7"/>
        <v>224906.86439608881</v>
      </c>
      <c r="AJ20" s="205">
        <f t="shared" si="8"/>
        <v>225864.44874799019</v>
      </c>
      <c r="AK20" s="205">
        <f t="shared" si="3"/>
        <v>-957.58435190141972</v>
      </c>
      <c r="AL20" s="229"/>
      <c r="AM20" s="52">
        <f t="shared" si="4"/>
        <v>0</v>
      </c>
      <c r="AN20" s="52">
        <f t="shared" si="5"/>
        <v>1</v>
      </c>
      <c r="AO20" s="52">
        <f t="shared" si="6"/>
        <v>0</v>
      </c>
      <c r="AP20" s="229"/>
      <c r="AQ20" s="45">
        <v>600</v>
      </c>
      <c r="AR20" s="45">
        <v>2.9000000000000001E-2</v>
      </c>
      <c r="AS20" s="45">
        <v>0.97099999999999997</v>
      </c>
      <c r="AT20" s="45">
        <v>2.9000000000000001E-2</v>
      </c>
      <c r="AU20" s="229"/>
      <c r="AV20" s="318">
        <f t="shared" si="9"/>
        <v>225864.44874799019</v>
      </c>
      <c r="AW20" s="229"/>
      <c r="AX20" s="312"/>
      <c r="AY20" s="14"/>
      <c r="AZ20" s="14">
        <f t="shared" si="11"/>
        <v>6667.465067008583</v>
      </c>
      <c r="BA20" s="14">
        <f t="shared" si="10"/>
        <v>5.7098807151071629E-2</v>
      </c>
      <c r="BB20" s="14">
        <f t="shared" si="2"/>
        <v>116770.65423394661</v>
      </c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3"/>
      <c r="CT20" s="3"/>
      <c r="CU20" s="3"/>
      <c r="CV20" s="3"/>
      <c r="CW20" s="3"/>
    </row>
    <row r="21" spans="1:101" ht="14.25" customHeight="1" x14ac:dyDescent="0.2">
      <c r="A21" s="286"/>
      <c r="B21" s="52">
        <v>0.16272710460685325</v>
      </c>
      <c r="C21" s="288">
        <v>0.12380842887741664</v>
      </c>
      <c r="D21" s="288">
        <v>1.293671745957152E-2</v>
      </c>
      <c r="E21" s="288">
        <v>9.8479157537803355E-3</v>
      </c>
      <c r="F21" s="289">
        <v>0.77821908897325909</v>
      </c>
      <c r="G21" s="92">
        <v>0.45969497956610306</v>
      </c>
      <c r="H21" s="288">
        <v>0.29188045842651106</v>
      </c>
      <c r="I21" s="288">
        <v>3.9255939755946323E-2</v>
      </c>
      <c r="J21" s="288">
        <v>0.99999999994459909</v>
      </c>
      <c r="K21" s="288">
        <v>0.75849153893498811</v>
      </c>
      <c r="L21" s="290">
        <v>13760.236147069763</v>
      </c>
      <c r="M21" s="288">
        <v>0</v>
      </c>
      <c r="N21" s="288">
        <v>14068.127670955466</v>
      </c>
      <c r="O21" s="288">
        <v>1174.1879093755565</v>
      </c>
      <c r="P21" s="288">
        <v>36221.268680736554</v>
      </c>
      <c r="Q21" s="291">
        <v>78002.155919535289</v>
      </c>
      <c r="R21" s="288">
        <v>18089.359425855859</v>
      </c>
      <c r="S21" s="288">
        <v>10304.146671237861</v>
      </c>
      <c r="T21" s="290">
        <v>0.751</v>
      </c>
      <c r="U21" s="288">
        <v>0.75800000000000001</v>
      </c>
      <c r="V21" s="288">
        <v>0.723923076923077</v>
      </c>
      <c r="W21" s="288">
        <v>0.72750000000000004</v>
      </c>
      <c r="X21" s="288">
        <v>0.76</v>
      </c>
      <c r="Y21" s="288">
        <v>0</v>
      </c>
      <c r="Z21" s="289">
        <v>0</v>
      </c>
      <c r="AA21" s="229"/>
      <c r="AB21" s="52">
        <v>93886.280164706754</v>
      </c>
      <c r="AC21" s="288">
        <v>3.1340913693012027</v>
      </c>
      <c r="AD21" s="288">
        <v>83160.864876414111</v>
      </c>
      <c r="AE21" s="288">
        <v>3.0473861955116952</v>
      </c>
      <c r="AF21" s="288">
        <v>10725.415288292643</v>
      </c>
      <c r="AG21" s="289">
        <v>8.6705173789507484E-2</v>
      </c>
      <c r="AH21" s="229"/>
      <c r="AI21" s="205">
        <f t="shared" si="7"/>
        <v>219522.85676541354</v>
      </c>
      <c r="AJ21" s="205">
        <f t="shared" si="8"/>
        <v>221577.75467475539</v>
      </c>
      <c r="AK21" s="205">
        <f t="shared" si="3"/>
        <v>-2054.8979093418948</v>
      </c>
      <c r="AL21" s="229"/>
      <c r="AM21" s="52">
        <f t="shared" si="4"/>
        <v>0</v>
      </c>
      <c r="AN21" s="52">
        <f t="shared" si="5"/>
        <v>1</v>
      </c>
      <c r="AO21" s="52">
        <f t="shared" si="6"/>
        <v>0</v>
      </c>
      <c r="AP21" s="229"/>
      <c r="AQ21" s="45">
        <v>700</v>
      </c>
      <c r="AR21" s="45">
        <v>2.9000000000000001E-2</v>
      </c>
      <c r="AS21" s="45">
        <v>0.97099999999999997</v>
      </c>
      <c r="AT21" s="45">
        <v>2.9000000000000001E-2</v>
      </c>
      <c r="AU21" s="229"/>
      <c r="AV21" s="318">
        <f t="shared" si="9"/>
        <v>221577.75467475539</v>
      </c>
      <c r="AW21" s="229"/>
      <c r="AX21" s="312"/>
      <c r="AY21" s="14"/>
      <c r="AZ21" s="14">
        <f t="shared" si="11"/>
        <v>10725.415288292643</v>
      </c>
      <c r="BA21" s="14">
        <f t="shared" si="10"/>
        <v>8.6705173789507484E-2</v>
      </c>
      <c r="BB21" s="14">
        <f t="shared" si="2"/>
        <v>123699.83035073006</v>
      </c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>
        <v>0</v>
      </c>
      <c r="BT21" s="301">
        <v>100000</v>
      </c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3"/>
      <c r="CT21" s="3"/>
      <c r="CU21" s="3"/>
      <c r="CV21" s="3"/>
      <c r="CW21" s="3"/>
    </row>
    <row r="22" spans="1:101" ht="14.25" customHeight="1" x14ac:dyDescent="0.2">
      <c r="A22" s="286"/>
      <c r="B22" s="52">
        <v>0.13843838282397147</v>
      </c>
      <c r="C22" s="288">
        <v>0.59190352912586697</v>
      </c>
      <c r="D22" s="288">
        <v>1.7960892524509053E-2</v>
      </c>
      <c r="E22" s="288">
        <v>3.7761137682110202E-2</v>
      </c>
      <c r="F22" s="289">
        <v>0.7777022686801458</v>
      </c>
      <c r="G22" s="92">
        <v>0.36234149624691259</v>
      </c>
      <c r="H22" s="288">
        <v>0.26325884764759644</v>
      </c>
      <c r="I22" s="288">
        <v>1.3770362202706794E-2</v>
      </c>
      <c r="J22" s="288">
        <v>0.99322510554117338</v>
      </c>
      <c r="K22" s="288">
        <v>0.76683327595701534</v>
      </c>
      <c r="L22" s="290">
        <v>9329.0608514320229</v>
      </c>
      <c r="M22" s="288">
        <v>0</v>
      </c>
      <c r="N22" s="288">
        <v>18222.958760556085</v>
      </c>
      <c r="O22" s="288">
        <v>960.79701811491452</v>
      </c>
      <c r="P22" s="288">
        <v>43022.251373450687</v>
      </c>
      <c r="Q22" s="291">
        <v>98113.94199847235</v>
      </c>
      <c r="R22" s="288">
        <v>25089.102614175597</v>
      </c>
      <c r="S22" s="288">
        <v>10086.419473508713</v>
      </c>
      <c r="T22" s="290">
        <v>0.751</v>
      </c>
      <c r="U22" s="288">
        <v>0.75800000000000001</v>
      </c>
      <c r="V22" s="288">
        <v>0.723923076923077</v>
      </c>
      <c r="W22" s="288">
        <v>0.72750000000000004</v>
      </c>
      <c r="X22" s="288">
        <v>0.76</v>
      </c>
      <c r="Y22" s="288">
        <v>0</v>
      </c>
      <c r="Z22" s="289">
        <v>0</v>
      </c>
      <c r="AA22" s="229"/>
      <c r="AB22" s="52">
        <v>89443.455300669899</v>
      </c>
      <c r="AC22" s="288">
        <v>3.1316947836845377</v>
      </c>
      <c r="AD22" s="288">
        <v>80701.511878436329</v>
      </c>
      <c r="AE22" s="288">
        <v>3.0859421506456104</v>
      </c>
      <c r="AF22" s="288">
        <v>8741.9434222335694</v>
      </c>
      <c r="AG22" s="289">
        <v>4.5752633038927293E-2</v>
      </c>
      <c r="AH22" s="229"/>
      <c r="AI22" s="205">
        <f t="shared" si="7"/>
        <v>223726.02306778386</v>
      </c>
      <c r="AJ22" s="205">
        <f t="shared" si="8"/>
        <v>227892.70318612474</v>
      </c>
      <c r="AK22" s="205">
        <f t="shared" si="3"/>
        <v>-4166.6801183408397</v>
      </c>
      <c r="AL22" s="229"/>
      <c r="AM22" s="52">
        <f t="shared" si="4"/>
        <v>0</v>
      </c>
      <c r="AN22" s="52">
        <f t="shared" si="5"/>
        <v>1</v>
      </c>
      <c r="AO22" s="52">
        <f t="shared" si="6"/>
        <v>0</v>
      </c>
      <c r="AP22" s="229"/>
      <c r="AQ22" s="45">
        <v>800</v>
      </c>
      <c r="AR22" s="45">
        <v>2.9000000000000001E-2</v>
      </c>
      <c r="AS22" s="45">
        <v>0.97099999999999997</v>
      </c>
      <c r="AT22" s="45">
        <v>2.9000000000000001E-2</v>
      </c>
      <c r="AU22" s="229"/>
      <c r="AV22" s="318">
        <f t="shared" si="9"/>
        <v>227892.70318612474</v>
      </c>
      <c r="AW22" s="229"/>
      <c r="AX22" s="312"/>
      <c r="AY22" s="14"/>
      <c r="AZ22" s="14">
        <f t="shared" si="11"/>
        <v>8741.9434222335694</v>
      </c>
      <c r="BA22" s="14">
        <f t="shared" si="10"/>
        <v>4.5752633038927293E-2</v>
      </c>
      <c r="BB22" s="14">
        <f t="shared" si="2"/>
        <v>191069.7339494263</v>
      </c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>
        <v>1</v>
      </c>
      <c r="BT22" s="301">
        <v>100000</v>
      </c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3"/>
      <c r="CT22" s="3"/>
      <c r="CU22" s="3"/>
      <c r="CV22" s="3"/>
      <c r="CW22" s="3"/>
    </row>
    <row r="23" spans="1:101" ht="14.25" customHeight="1" x14ac:dyDescent="0.2">
      <c r="A23" s="286"/>
      <c r="B23" s="52">
        <v>0.15194621217478813</v>
      </c>
      <c r="C23" s="288">
        <v>0.89922882893041944</v>
      </c>
      <c r="D23" s="288">
        <v>9.3752329726930744E-3</v>
      </c>
      <c r="E23" s="288">
        <v>1.8482913130682177E-2</v>
      </c>
      <c r="F23" s="289">
        <v>0.79012546337420231</v>
      </c>
      <c r="G23" s="92">
        <v>0.40244172035567805</v>
      </c>
      <c r="H23" s="288">
        <v>6.712318046978373E-2</v>
      </c>
      <c r="I23" s="288">
        <v>1.6733448788466387E-2</v>
      </c>
      <c r="J23" s="288">
        <v>0.60217676205252124</v>
      </c>
      <c r="K23" s="288">
        <v>0.77734511871168388</v>
      </c>
      <c r="L23" s="290">
        <v>10655.118459849751</v>
      </c>
      <c r="M23" s="288">
        <v>0</v>
      </c>
      <c r="N23" s="288">
        <v>15996.014936837651</v>
      </c>
      <c r="O23" s="288">
        <v>909.08529984533277</v>
      </c>
      <c r="P23" s="288">
        <v>62082.439194213708</v>
      </c>
      <c r="Q23" s="291">
        <v>84483.007626462189</v>
      </c>
      <c r="R23" s="288">
        <v>19212.76641985778</v>
      </c>
      <c r="S23" s="288">
        <v>7592.9218707948139</v>
      </c>
      <c r="T23" s="290">
        <v>0.751</v>
      </c>
      <c r="U23" s="288">
        <v>0.75800000000000001</v>
      </c>
      <c r="V23" s="288">
        <v>0.723923076923077</v>
      </c>
      <c r="W23" s="288">
        <v>0.72750000000000004</v>
      </c>
      <c r="X23" s="288">
        <v>0.76</v>
      </c>
      <c r="Y23" s="288">
        <v>0</v>
      </c>
      <c r="Z23" s="289">
        <v>0</v>
      </c>
      <c r="AA23" s="229"/>
      <c r="AB23" s="52">
        <v>72948.165680683975</v>
      </c>
      <c r="AC23" s="288">
        <v>3.1894193013962013</v>
      </c>
      <c r="AD23" s="288">
        <v>60733.320132568857</v>
      </c>
      <c r="AE23" s="288">
        <v>3.1346846458992674</v>
      </c>
      <c r="AF23" s="288">
        <v>12214.845548115118</v>
      </c>
      <c r="AG23" s="289">
        <v>5.4734655496933904E-2</v>
      </c>
      <c r="AH23" s="229"/>
      <c r="AI23" s="205">
        <f t="shared" si="7"/>
        <v>245993.76445893617</v>
      </c>
      <c r="AJ23" s="205">
        <f t="shared" si="8"/>
        <v>252735.14445735791</v>
      </c>
      <c r="AK23" s="205">
        <f t="shared" si="3"/>
        <v>-6741.3799984217276</v>
      </c>
      <c r="AL23" s="229"/>
      <c r="AM23" s="52">
        <f t="shared" si="4"/>
        <v>0</v>
      </c>
      <c r="AN23" s="52">
        <f t="shared" si="5"/>
        <v>1</v>
      </c>
      <c r="AO23" s="52">
        <f t="shared" si="6"/>
        <v>0</v>
      </c>
      <c r="AP23" s="229"/>
      <c r="AQ23" s="45">
        <v>900</v>
      </c>
      <c r="AR23" s="45">
        <v>2.9000000000000001E-2</v>
      </c>
      <c r="AS23" s="45">
        <v>0.97099999999999997</v>
      </c>
      <c r="AT23" s="45">
        <v>2.9000000000000001E-2</v>
      </c>
      <c r="AU23" s="229"/>
      <c r="AV23" s="318">
        <f t="shared" si="9"/>
        <v>252735.14445735791</v>
      </c>
      <c r="AW23" s="229"/>
      <c r="AX23" s="312"/>
      <c r="AY23" s="14"/>
      <c r="AZ23" s="14">
        <f t="shared" si="11"/>
        <v>12214.845548115118</v>
      </c>
      <c r="BA23" s="14">
        <f t="shared" si="10"/>
        <v>5.4734655496933904E-2</v>
      </c>
      <c r="BB23" s="14">
        <f t="shared" si="2"/>
        <v>223164.74703671722</v>
      </c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3"/>
      <c r="CT23" s="3"/>
      <c r="CU23" s="3"/>
      <c r="CV23" s="3"/>
      <c r="CW23" s="3"/>
    </row>
    <row r="24" spans="1:101" ht="14.25" customHeight="1" x14ac:dyDescent="0.2">
      <c r="A24" s="286"/>
      <c r="B24" s="52">
        <v>0.17662712770789379</v>
      </c>
      <c r="C24" s="288">
        <v>0.30681535739832</v>
      </c>
      <c r="D24" s="288">
        <v>1.9334264438660154E-2</v>
      </c>
      <c r="E24" s="288">
        <v>1.4168149248507267E-2</v>
      </c>
      <c r="F24" s="289">
        <v>0.81248349628523497</v>
      </c>
      <c r="G24" s="92">
        <v>0.39057011686721671</v>
      </c>
      <c r="H24" s="288">
        <v>0.29564440286140842</v>
      </c>
      <c r="I24" s="288">
        <v>1.0318741065730058E-2</v>
      </c>
      <c r="J24" s="288">
        <v>1</v>
      </c>
      <c r="K24" s="288">
        <v>0.75339261404097813</v>
      </c>
      <c r="L24" s="290">
        <v>18028.450648215425</v>
      </c>
      <c r="M24" s="288">
        <v>0</v>
      </c>
      <c r="N24" s="288">
        <v>17093.271830025016</v>
      </c>
      <c r="O24" s="288">
        <v>1157.2385415124254</v>
      </c>
      <c r="P24" s="288">
        <v>33815.23809945635</v>
      </c>
      <c r="Q24" s="291">
        <v>90230.10559709584</v>
      </c>
      <c r="R24" s="288">
        <v>27408.907737956957</v>
      </c>
      <c r="S24" s="288">
        <v>7630.3866578950474</v>
      </c>
      <c r="T24" s="290">
        <v>0.751</v>
      </c>
      <c r="U24" s="288">
        <v>0.75800000000000001</v>
      </c>
      <c r="V24" s="288">
        <v>0.723923076923077</v>
      </c>
      <c r="W24" s="288">
        <v>0.72750000000000004</v>
      </c>
      <c r="X24" s="288">
        <v>0.76</v>
      </c>
      <c r="Y24" s="288">
        <v>0</v>
      </c>
      <c r="Z24" s="289">
        <v>0</v>
      </c>
      <c r="AA24" s="229"/>
      <c r="AB24" s="52">
        <v>81418.632687545876</v>
      </c>
      <c r="AC24" s="288">
        <v>3.2939160237305054</v>
      </c>
      <c r="AD24" s="288">
        <v>61510.124847091989</v>
      </c>
      <c r="AE24" s="288">
        <v>3.0238727041662403</v>
      </c>
      <c r="AF24" s="288">
        <v>19908.507840453887</v>
      </c>
      <c r="AG24" s="289">
        <v>0.27004331956426508</v>
      </c>
      <c r="AH24" s="229"/>
      <c r="AI24" s="205">
        <f t="shared" si="7"/>
        <v>247972.96968550465</v>
      </c>
      <c r="AJ24" s="205">
        <f t="shared" si="8"/>
        <v>240877.14556953203</v>
      </c>
      <c r="AK24" s="205">
        <f t="shared" si="3"/>
        <v>7095.8241159726203</v>
      </c>
      <c r="AL24" s="229"/>
      <c r="AM24" s="52">
        <f t="shared" si="4"/>
        <v>1</v>
      </c>
      <c r="AN24" s="52">
        <f t="shared" si="5"/>
        <v>0</v>
      </c>
      <c r="AO24" s="52">
        <f t="shared" si="6"/>
        <v>1</v>
      </c>
      <c r="AP24" s="229"/>
      <c r="AQ24" s="45">
        <v>1000</v>
      </c>
      <c r="AR24" s="45">
        <v>2.9000000000000001E-2</v>
      </c>
      <c r="AS24" s="45">
        <v>0.97099999999999997</v>
      </c>
      <c r="AT24" s="45">
        <v>2.9000000000000001E-2</v>
      </c>
      <c r="AU24" s="229"/>
      <c r="AV24" s="318">
        <f t="shared" si="9"/>
        <v>247972.96968550465</v>
      </c>
      <c r="AW24" s="229"/>
      <c r="AX24" s="312"/>
      <c r="AY24" s="14"/>
      <c r="AZ24" s="14">
        <f t="shared" si="11"/>
        <v>19908.507840453887</v>
      </c>
      <c r="BA24" s="14">
        <f t="shared" si="10"/>
        <v>0.27004331956426508</v>
      </c>
      <c r="BB24" s="14">
        <f t="shared" si="2"/>
        <v>73723.385835197623</v>
      </c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3"/>
      <c r="CT24" s="3"/>
      <c r="CU24" s="3"/>
      <c r="CV24" s="3"/>
      <c r="CW24" s="3"/>
    </row>
    <row r="25" spans="1:101" ht="14.25" customHeight="1" x14ac:dyDescent="0.2">
      <c r="A25" s="286"/>
      <c r="B25" s="52">
        <v>0.14683678555369695</v>
      </c>
      <c r="C25" s="288">
        <v>0.42439557692420671</v>
      </c>
      <c r="D25" s="288">
        <v>9.2079002729418095E-3</v>
      </c>
      <c r="E25" s="288">
        <v>9.6764849881003888E-3</v>
      </c>
      <c r="F25" s="289">
        <v>0.7922394726518972</v>
      </c>
      <c r="G25" s="92">
        <v>0.49241117949173518</v>
      </c>
      <c r="H25" s="288">
        <v>0.99610362480329206</v>
      </c>
      <c r="I25" s="288">
        <v>2.1281902020779619E-2</v>
      </c>
      <c r="J25" s="288">
        <v>3.0218695272063957E-3</v>
      </c>
      <c r="K25" s="288">
        <v>0.73163563311909374</v>
      </c>
      <c r="L25" s="290">
        <v>10783.670516770779</v>
      </c>
      <c r="M25" s="288">
        <v>0</v>
      </c>
      <c r="N25" s="288">
        <v>17977.313758006825</v>
      </c>
      <c r="O25" s="288">
        <v>1079.3104809823635</v>
      </c>
      <c r="P25" s="288">
        <v>30557.186174705377</v>
      </c>
      <c r="Q25" s="291">
        <v>95266.047486006966</v>
      </c>
      <c r="R25" s="288">
        <v>24169.670667493181</v>
      </c>
      <c r="S25" s="288">
        <v>10973.19650209736</v>
      </c>
      <c r="T25" s="290">
        <v>0.751</v>
      </c>
      <c r="U25" s="288">
        <v>0.75800000000000001</v>
      </c>
      <c r="V25" s="288">
        <v>0.723923076923077</v>
      </c>
      <c r="W25" s="288">
        <v>0.72750000000000004</v>
      </c>
      <c r="X25" s="288">
        <v>0.76</v>
      </c>
      <c r="Y25" s="288">
        <v>0</v>
      </c>
      <c r="Z25" s="289">
        <v>0</v>
      </c>
      <c r="AA25" s="229"/>
      <c r="AB25" s="52">
        <v>98662.296233437053</v>
      </c>
      <c r="AC25" s="288">
        <v>3.1992661713367161</v>
      </c>
      <c r="AD25" s="288">
        <v>93296.941664308601</v>
      </c>
      <c r="AE25" s="288">
        <v>2.9240017476084863</v>
      </c>
      <c r="AF25" s="288">
        <v>5365.3545691284526</v>
      </c>
      <c r="AG25" s="289">
        <v>0.27526442372822979</v>
      </c>
      <c r="AH25" s="229"/>
      <c r="AI25" s="205">
        <f t="shared" si="7"/>
        <v>221264.32090023454</v>
      </c>
      <c r="AJ25" s="205">
        <f t="shared" si="8"/>
        <v>199103.23309654003</v>
      </c>
      <c r="AK25" s="205">
        <f t="shared" si="3"/>
        <v>22161.087803694525</v>
      </c>
      <c r="AL25" s="229"/>
      <c r="AM25" s="52">
        <f t="shared" si="4"/>
        <v>1</v>
      </c>
      <c r="AN25" s="52">
        <f t="shared" si="5"/>
        <v>0</v>
      </c>
      <c r="AO25" s="52">
        <f t="shared" si="6"/>
        <v>1</v>
      </c>
      <c r="AP25" s="229"/>
      <c r="AQ25" s="45">
        <v>1500</v>
      </c>
      <c r="AR25" s="45">
        <v>2.8000000000000001E-2</v>
      </c>
      <c r="AS25" s="45">
        <v>0.97199999999999998</v>
      </c>
      <c r="AT25" s="45">
        <v>2.8000000000000001E-2</v>
      </c>
      <c r="AU25" s="229"/>
      <c r="AV25" s="318">
        <f t="shared" si="9"/>
        <v>221264.32090023454</v>
      </c>
      <c r="AW25" s="229"/>
      <c r="AX25" s="312"/>
      <c r="AY25" s="14"/>
      <c r="AZ25" s="14">
        <f t="shared" si="11"/>
        <v>5365.3545691284526</v>
      </c>
      <c r="BA25" s="14">
        <f t="shared" si="10"/>
        <v>0.27526442372822979</v>
      </c>
      <c r="BB25" s="14">
        <f t="shared" si="2"/>
        <v>19491.638245361119</v>
      </c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3"/>
      <c r="CT25" s="3"/>
      <c r="CU25" s="3"/>
      <c r="CV25" s="3"/>
      <c r="CW25" s="3"/>
    </row>
    <row r="26" spans="1:101" ht="14.25" customHeight="1" x14ac:dyDescent="0.2">
      <c r="A26" s="286"/>
      <c r="B26" s="52">
        <v>0.21100250339538562</v>
      </c>
      <c r="C26" s="288">
        <v>1.4386235415692289E-2</v>
      </c>
      <c r="D26" s="288">
        <v>1.1896326445369469E-2</v>
      </c>
      <c r="E26" s="288">
        <v>2.853662185407202E-2</v>
      </c>
      <c r="F26" s="289">
        <v>0.79099957400924692</v>
      </c>
      <c r="G26" s="92">
        <v>0.40914455872258204</v>
      </c>
      <c r="H26" s="288">
        <v>0.33677282814594106</v>
      </c>
      <c r="I26" s="288">
        <v>8.1106201127813977E-3</v>
      </c>
      <c r="J26" s="288">
        <v>0.99999999999657296</v>
      </c>
      <c r="K26" s="288">
        <v>0.74485091826770355</v>
      </c>
      <c r="L26" s="290">
        <v>16831.12234525002</v>
      </c>
      <c r="M26" s="288">
        <v>0</v>
      </c>
      <c r="N26" s="288">
        <v>14057.141680955623</v>
      </c>
      <c r="O26" s="288">
        <v>1935.8285974513035</v>
      </c>
      <c r="P26" s="288">
        <v>54629.545421398747</v>
      </c>
      <c r="Q26" s="291">
        <v>101670.80241931388</v>
      </c>
      <c r="R26" s="288">
        <v>26194.264629977835</v>
      </c>
      <c r="S26" s="288">
        <v>8975.9448983335496</v>
      </c>
      <c r="T26" s="290">
        <v>0.751</v>
      </c>
      <c r="U26" s="288">
        <v>0.75800000000000001</v>
      </c>
      <c r="V26" s="288">
        <v>0.723923076923077</v>
      </c>
      <c r="W26" s="288">
        <v>0.72750000000000004</v>
      </c>
      <c r="X26" s="288">
        <v>0.76</v>
      </c>
      <c r="Y26" s="288">
        <v>0</v>
      </c>
      <c r="Z26" s="289">
        <v>0</v>
      </c>
      <c r="AA26" s="229"/>
      <c r="AB26" s="52">
        <v>87885.147385557008</v>
      </c>
      <c r="AC26" s="288">
        <v>3.193489982148968</v>
      </c>
      <c r="AD26" s="288">
        <v>71605.766799645877</v>
      </c>
      <c r="AE26" s="288">
        <v>2.9845748381138959</v>
      </c>
      <c r="AF26" s="288">
        <v>16279.380585911131</v>
      </c>
      <c r="AG26" s="289">
        <v>0.20891514403507205</v>
      </c>
      <c r="AH26" s="229"/>
      <c r="AI26" s="205">
        <f t="shared" si="7"/>
        <v>231463.85082933976</v>
      </c>
      <c r="AJ26" s="205">
        <f t="shared" si="8"/>
        <v>226851.71701174372</v>
      </c>
      <c r="AK26" s="205">
        <f t="shared" si="3"/>
        <v>4612.1338175960736</v>
      </c>
      <c r="AL26" s="229"/>
      <c r="AM26" s="52">
        <f t="shared" si="4"/>
        <v>1</v>
      </c>
      <c r="AN26" s="52">
        <f t="shared" si="5"/>
        <v>0</v>
      </c>
      <c r="AO26" s="52">
        <f t="shared" si="6"/>
        <v>1</v>
      </c>
      <c r="AP26" s="229"/>
      <c r="AQ26" s="45">
        <v>2000</v>
      </c>
      <c r="AR26" s="45">
        <v>2.7E-2</v>
      </c>
      <c r="AS26" s="45">
        <v>0.97299999999999998</v>
      </c>
      <c r="AT26" s="45">
        <v>2.7E-2</v>
      </c>
      <c r="AU26" s="229"/>
      <c r="AV26" s="318">
        <f t="shared" si="9"/>
        <v>231463.85082933976</v>
      </c>
      <c r="AW26" s="229"/>
      <c r="AX26" s="312"/>
      <c r="AY26" s="14"/>
      <c r="AZ26" s="14">
        <f t="shared" si="11"/>
        <v>16279.380585911131</v>
      </c>
      <c r="BA26" s="14">
        <f t="shared" si="10"/>
        <v>0.20891514403507205</v>
      </c>
      <c r="BB26" s="14">
        <f t="shared" si="2"/>
        <v>77923.410775708035</v>
      </c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3"/>
      <c r="CT26" s="3"/>
      <c r="CU26" s="3"/>
      <c r="CV26" s="3"/>
      <c r="CW26" s="3"/>
    </row>
    <row r="27" spans="1:101" ht="14.25" customHeight="1" x14ac:dyDescent="0.2">
      <c r="A27" s="286"/>
      <c r="B27" s="52">
        <v>0.1437401743653369</v>
      </c>
      <c r="C27" s="288">
        <v>0.29378381202416048</v>
      </c>
      <c r="D27" s="288">
        <v>1.3371970266354579E-2</v>
      </c>
      <c r="E27" s="288">
        <v>2.0179809801584181E-2</v>
      </c>
      <c r="F27" s="289">
        <v>0.7836444620248989</v>
      </c>
      <c r="G27" s="92">
        <v>0.40661625740123597</v>
      </c>
      <c r="H27" s="288">
        <v>8.245286636252333E-2</v>
      </c>
      <c r="I27" s="288">
        <v>2.1005273576574224E-2</v>
      </c>
      <c r="J27" s="288">
        <v>0.9999999596072624</v>
      </c>
      <c r="K27" s="288">
        <v>0.69967101590034808</v>
      </c>
      <c r="L27" s="290">
        <v>18722.123177826983</v>
      </c>
      <c r="M27" s="288">
        <v>0</v>
      </c>
      <c r="N27" s="288">
        <v>18442.401369462659</v>
      </c>
      <c r="O27" s="288">
        <v>1237.3021137361668</v>
      </c>
      <c r="P27" s="288">
        <v>57769.689765004077</v>
      </c>
      <c r="Q27" s="291">
        <v>110363.85824686514</v>
      </c>
      <c r="R27" s="288">
        <v>20126.752829945126</v>
      </c>
      <c r="S27" s="288">
        <v>8421.0911861166096</v>
      </c>
      <c r="T27" s="290">
        <v>0.751</v>
      </c>
      <c r="U27" s="288">
        <v>0.75800000000000001</v>
      </c>
      <c r="V27" s="288">
        <v>0.723923076923077</v>
      </c>
      <c r="W27" s="288">
        <v>0.72750000000000004</v>
      </c>
      <c r="X27" s="288">
        <v>0.76</v>
      </c>
      <c r="Y27" s="288">
        <v>0</v>
      </c>
      <c r="Z27" s="289">
        <v>0</v>
      </c>
      <c r="AA27" s="229"/>
      <c r="AB27" s="52">
        <v>85311.565855199529</v>
      </c>
      <c r="AC27" s="288">
        <v>3.1592750511939931</v>
      </c>
      <c r="AD27" s="288">
        <v>61560.056154504644</v>
      </c>
      <c r="AE27" s="288">
        <v>2.7786280917796824</v>
      </c>
      <c r="AF27" s="288">
        <v>23751.509700694885</v>
      </c>
      <c r="AG27" s="289">
        <v>0.3806469594143107</v>
      </c>
      <c r="AH27" s="229"/>
      <c r="AI27" s="205">
        <f t="shared" si="7"/>
        <v>230615.93926419975</v>
      </c>
      <c r="AJ27" s="205">
        <f t="shared" si="8"/>
        <v>216302.75302346359</v>
      </c>
      <c r="AK27" s="205">
        <f t="shared" si="3"/>
        <v>14313.186240736184</v>
      </c>
      <c r="AL27" s="229"/>
      <c r="AM27" s="52">
        <f t="shared" si="4"/>
        <v>1</v>
      </c>
      <c r="AN27" s="52">
        <f t="shared" si="5"/>
        <v>0</v>
      </c>
      <c r="AO27" s="52">
        <f t="shared" si="6"/>
        <v>1</v>
      </c>
      <c r="AP27" s="229"/>
      <c r="AQ27" s="45">
        <v>2500</v>
      </c>
      <c r="AR27" s="45">
        <v>2.5999999999999999E-2</v>
      </c>
      <c r="AS27" s="45">
        <v>0.97399999999999998</v>
      </c>
      <c r="AT27" s="45">
        <v>2.5999999999999999E-2</v>
      </c>
      <c r="AU27" s="229"/>
      <c r="AV27" s="318">
        <f t="shared" si="9"/>
        <v>230615.93926419975</v>
      </c>
      <c r="AW27" s="229"/>
      <c r="AX27" s="312"/>
      <c r="AY27" s="14"/>
      <c r="AZ27" s="14">
        <f t="shared" si="11"/>
        <v>23751.509700694885</v>
      </c>
      <c r="BA27" s="14">
        <f t="shared" si="10"/>
        <v>0.3806469594143107</v>
      </c>
      <c r="BB27" s="14">
        <f t="shared" si="2"/>
        <v>62397.739199705087</v>
      </c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3"/>
      <c r="CT27" s="3"/>
      <c r="CU27" s="3"/>
      <c r="CV27" s="3"/>
      <c r="CW27" s="3"/>
    </row>
    <row r="28" spans="1:101" ht="14.25" customHeight="1" x14ac:dyDescent="0.2">
      <c r="A28" s="286"/>
      <c r="B28" s="52">
        <v>0.15474661303458276</v>
      </c>
      <c r="C28" s="288">
        <v>0.96770681153128657</v>
      </c>
      <c r="D28" s="288">
        <v>1.9071909981662305E-2</v>
      </c>
      <c r="E28" s="288">
        <v>1.5475910097489387E-2</v>
      </c>
      <c r="F28" s="289">
        <v>0.7999486046434372</v>
      </c>
      <c r="G28" s="92">
        <v>0.43421951841297657</v>
      </c>
      <c r="H28" s="288">
        <v>0.20631357807455925</v>
      </c>
      <c r="I28" s="288">
        <v>1.6896182944564409E-2</v>
      </c>
      <c r="J28" s="288">
        <v>0.99999995484398319</v>
      </c>
      <c r="K28" s="288">
        <v>0.72891725815044162</v>
      </c>
      <c r="L28" s="290">
        <v>11983.803398690387</v>
      </c>
      <c r="M28" s="288">
        <v>0</v>
      </c>
      <c r="N28" s="288">
        <v>15725.125562970114</v>
      </c>
      <c r="O28" s="288">
        <v>1464.0945086437196</v>
      </c>
      <c r="P28" s="288">
        <v>37254.028082370482</v>
      </c>
      <c r="Q28" s="291">
        <v>117725.43545921493</v>
      </c>
      <c r="R28" s="288">
        <v>23795.050924802628</v>
      </c>
      <c r="S28" s="288">
        <v>7721.078076120295</v>
      </c>
      <c r="T28" s="290">
        <v>0.751</v>
      </c>
      <c r="U28" s="288">
        <v>0.75800000000000001</v>
      </c>
      <c r="V28" s="288">
        <v>0.723923076923077</v>
      </c>
      <c r="W28" s="288">
        <v>0.72750000000000004</v>
      </c>
      <c r="X28" s="288">
        <v>0.76</v>
      </c>
      <c r="Y28" s="288">
        <v>0</v>
      </c>
      <c r="Z28" s="289">
        <v>0</v>
      </c>
      <c r="AA28" s="229"/>
      <c r="AB28" s="52">
        <v>77284.652130492119</v>
      </c>
      <c r="AC28" s="288">
        <v>3.2352340221130476</v>
      </c>
      <c r="AD28" s="288">
        <v>60272.871987725986</v>
      </c>
      <c r="AE28" s="288">
        <v>2.9115760415785545</v>
      </c>
      <c r="AF28" s="288">
        <v>17011.780142766132</v>
      </c>
      <c r="AG28" s="289">
        <v>0.32365798053449302</v>
      </c>
      <c r="AH28" s="229"/>
      <c r="AI28" s="205">
        <f t="shared" si="7"/>
        <v>246238.75008081264</v>
      </c>
      <c r="AJ28" s="205">
        <f t="shared" si="8"/>
        <v>230884.73217012946</v>
      </c>
      <c r="AK28" s="205">
        <f t="shared" si="3"/>
        <v>15354.017910683167</v>
      </c>
      <c r="AL28" s="229"/>
      <c r="AM28" s="52">
        <f t="shared" si="4"/>
        <v>1</v>
      </c>
      <c r="AN28" s="52">
        <f t="shared" si="5"/>
        <v>0</v>
      </c>
      <c r="AO28" s="52">
        <f t="shared" si="6"/>
        <v>1</v>
      </c>
      <c r="AP28" s="229"/>
      <c r="AQ28" s="45">
        <v>3000</v>
      </c>
      <c r="AR28" s="45">
        <v>2.5999999999999999E-2</v>
      </c>
      <c r="AS28" s="45">
        <v>0.97399999999999998</v>
      </c>
      <c r="AT28" s="45">
        <v>2.5999999999999999E-2</v>
      </c>
      <c r="AU28" s="229"/>
      <c r="AV28" s="318">
        <f t="shared" si="9"/>
        <v>246238.75008081264</v>
      </c>
      <c r="AW28" s="229"/>
      <c r="AX28" s="312"/>
      <c r="AY28" s="14"/>
      <c r="AZ28" s="14">
        <f t="shared" si="11"/>
        <v>17011.780142766132</v>
      </c>
      <c r="BA28" s="14">
        <f t="shared" si="10"/>
        <v>0.32365798053449302</v>
      </c>
      <c r="BB28" s="14">
        <f t="shared" si="2"/>
        <v>52560.9784584105</v>
      </c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3"/>
      <c r="CT28" s="3"/>
      <c r="CU28" s="3"/>
      <c r="CV28" s="3"/>
      <c r="CW28" s="3"/>
    </row>
    <row r="29" spans="1:101" ht="14.25" customHeight="1" x14ac:dyDescent="0.2">
      <c r="A29" s="286"/>
      <c r="B29" s="52">
        <v>0.15996462355623597</v>
      </c>
      <c r="C29" s="288">
        <v>0.80782955421232061</v>
      </c>
      <c r="D29" s="288">
        <v>7.4073235667774682E-3</v>
      </c>
      <c r="E29" s="288">
        <v>1.4836194494886823E-2</v>
      </c>
      <c r="F29" s="289">
        <v>0.71105398245294016</v>
      </c>
      <c r="G29" s="92">
        <v>0.41914027824279676</v>
      </c>
      <c r="H29" s="288">
        <v>0.56977957835120097</v>
      </c>
      <c r="I29" s="288">
        <v>1.5378455820114788E-2</v>
      </c>
      <c r="J29" s="288">
        <v>0.99999995583651913</v>
      </c>
      <c r="K29" s="288">
        <v>0.7927286482834488</v>
      </c>
      <c r="L29" s="290">
        <v>16330.42364060816</v>
      </c>
      <c r="M29" s="288">
        <v>0</v>
      </c>
      <c r="N29" s="288">
        <v>26249.258155741525</v>
      </c>
      <c r="O29" s="288">
        <v>1076.2589088629431</v>
      </c>
      <c r="P29" s="288">
        <v>47028.846897955525</v>
      </c>
      <c r="Q29" s="291">
        <v>101233.83831897251</v>
      </c>
      <c r="R29" s="288">
        <v>24785.784803902479</v>
      </c>
      <c r="S29" s="288">
        <v>8376.6707048936751</v>
      </c>
      <c r="T29" s="290">
        <v>0.751</v>
      </c>
      <c r="U29" s="288">
        <v>0.75800000000000001</v>
      </c>
      <c r="V29" s="288">
        <v>0.723923076923077</v>
      </c>
      <c r="W29" s="288">
        <v>0.72750000000000004</v>
      </c>
      <c r="X29" s="288">
        <v>0.76</v>
      </c>
      <c r="Y29" s="288">
        <v>0</v>
      </c>
      <c r="Z29" s="289">
        <v>0</v>
      </c>
      <c r="AA29" s="229"/>
      <c r="AB29" s="52">
        <v>78807.388367700187</v>
      </c>
      <c r="AC29" s="288">
        <v>2.8261457323144343</v>
      </c>
      <c r="AD29" s="288">
        <v>73748.586081017929</v>
      </c>
      <c r="AE29" s="288">
        <v>3.2063306859669707</v>
      </c>
      <c r="AF29" s="288">
        <v>5058.8022866822575</v>
      </c>
      <c r="AG29" s="289">
        <v>-0.38018495365253635</v>
      </c>
      <c r="AH29" s="229"/>
      <c r="AI29" s="205">
        <f t="shared" si="7"/>
        <v>203807.18486374323</v>
      </c>
      <c r="AJ29" s="205">
        <f t="shared" si="8"/>
        <v>246884.48251567915</v>
      </c>
      <c r="AK29" s="205">
        <f t="shared" si="3"/>
        <v>-43077.297651935893</v>
      </c>
      <c r="AL29" s="229"/>
      <c r="AM29" s="52">
        <f t="shared" si="4"/>
        <v>0</v>
      </c>
      <c r="AN29" s="52">
        <f t="shared" si="5"/>
        <v>1</v>
      </c>
      <c r="AO29" s="52">
        <f t="shared" si="6"/>
        <v>0</v>
      </c>
      <c r="AP29" s="229"/>
      <c r="AQ29" s="45">
        <v>3500</v>
      </c>
      <c r="AR29" s="45">
        <v>2.5999999999999999E-2</v>
      </c>
      <c r="AS29" s="45">
        <v>0.97399999999999998</v>
      </c>
      <c r="AT29" s="45">
        <v>2.5999999999999999E-2</v>
      </c>
      <c r="AU29" s="229"/>
      <c r="AV29" s="318">
        <f t="shared" si="9"/>
        <v>246884.48251567915</v>
      </c>
      <c r="AW29" s="229"/>
      <c r="AX29" s="312"/>
      <c r="AY29" s="14"/>
      <c r="AZ29" s="14">
        <f t="shared" si="11"/>
        <v>5058.8022866822575</v>
      </c>
      <c r="BA29" s="14">
        <f t="shared" si="10"/>
        <v>-0.38018495365253635</v>
      </c>
      <c r="BB29" s="14">
        <f t="shared" si="2"/>
        <v>-13306.161219903681</v>
      </c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3"/>
      <c r="CT29" s="3"/>
      <c r="CU29" s="3"/>
      <c r="CV29" s="3"/>
      <c r="CW29" s="3"/>
    </row>
    <row r="30" spans="1:101" ht="14.25" customHeight="1" x14ac:dyDescent="0.2">
      <c r="A30" s="286"/>
      <c r="B30" s="52">
        <v>0.15787574711460106</v>
      </c>
      <c r="C30" s="288">
        <v>2.6900908784655914E-2</v>
      </c>
      <c r="D30" s="288">
        <v>9.4669000269901413E-3</v>
      </c>
      <c r="E30" s="288">
        <v>1.6415897802103285E-2</v>
      </c>
      <c r="F30" s="289">
        <v>0.77493902771482803</v>
      </c>
      <c r="G30" s="92">
        <v>0.41073524176588483</v>
      </c>
      <c r="H30" s="288">
        <v>0.99176974921531191</v>
      </c>
      <c r="I30" s="288">
        <v>6.8504932174725877E-3</v>
      </c>
      <c r="J30" s="288">
        <v>0.99999767970069375</v>
      </c>
      <c r="K30" s="288">
        <v>0.76858784978878447</v>
      </c>
      <c r="L30" s="290">
        <v>11984.840722606978</v>
      </c>
      <c r="M30" s="288">
        <v>0</v>
      </c>
      <c r="N30" s="288">
        <v>19139.968386485034</v>
      </c>
      <c r="O30" s="288">
        <v>1584.2269001808538</v>
      </c>
      <c r="P30" s="288">
        <v>33470.239855108972</v>
      </c>
      <c r="Q30" s="291">
        <v>105921.36786305637</v>
      </c>
      <c r="R30" s="288">
        <v>22325.641785409938</v>
      </c>
      <c r="S30" s="288">
        <v>8360.5360994821276</v>
      </c>
      <c r="T30" s="290">
        <v>0.751</v>
      </c>
      <c r="U30" s="288">
        <v>0.75800000000000001</v>
      </c>
      <c r="V30" s="288">
        <v>0.723923076923077</v>
      </c>
      <c r="W30" s="288">
        <v>0.72750000000000004</v>
      </c>
      <c r="X30" s="288">
        <v>0.76</v>
      </c>
      <c r="Y30" s="288">
        <v>0</v>
      </c>
      <c r="Z30" s="289">
        <v>0</v>
      </c>
      <c r="AA30" s="229"/>
      <c r="AB30" s="52">
        <v>76645.344253977673</v>
      </c>
      <c r="AC30" s="288">
        <v>3.1188882627017946</v>
      </c>
      <c r="AD30" s="288">
        <v>74205.826001583831</v>
      </c>
      <c r="AE30" s="288">
        <v>3.0940658462521688</v>
      </c>
      <c r="AF30" s="288">
        <v>2439.518252393842</v>
      </c>
      <c r="AG30" s="289">
        <v>2.4822416449625795E-2</v>
      </c>
      <c r="AH30" s="229"/>
      <c r="AI30" s="205">
        <f t="shared" si="7"/>
        <v>235243.4820162018</v>
      </c>
      <c r="AJ30" s="205">
        <f t="shared" si="8"/>
        <v>235200.75862363307</v>
      </c>
      <c r="AK30" s="205">
        <f t="shared" si="3"/>
        <v>42.723392568737381</v>
      </c>
      <c r="AL30" s="229"/>
      <c r="AM30" s="52">
        <f t="shared" si="4"/>
        <v>1</v>
      </c>
      <c r="AN30" s="52">
        <f t="shared" si="5"/>
        <v>0</v>
      </c>
      <c r="AO30" s="52">
        <f t="shared" si="6"/>
        <v>1</v>
      </c>
      <c r="AP30" s="229"/>
      <c r="AQ30" s="45">
        <v>4000</v>
      </c>
      <c r="AR30" s="45">
        <v>2.7E-2</v>
      </c>
      <c r="AS30" s="45">
        <v>0.97299999999999998</v>
      </c>
      <c r="AT30" s="45">
        <v>2.7E-2</v>
      </c>
      <c r="AU30" s="229"/>
      <c r="AV30" s="318">
        <f t="shared" si="9"/>
        <v>235243.4820162018</v>
      </c>
      <c r="AW30" s="229"/>
      <c r="AX30" s="312"/>
      <c r="AY30" s="14"/>
      <c r="AZ30" s="14">
        <f t="shared" si="11"/>
        <v>2439.518252393842</v>
      </c>
      <c r="BA30" s="14">
        <f t="shared" si="10"/>
        <v>2.4822416449625795E-2</v>
      </c>
      <c r="BB30" s="14">
        <f t="shared" si="2"/>
        <v>98278.838297011098</v>
      </c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3"/>
      <c r="CT30" s="3"/>
      <c r="CU30" s="3"/>
      <c r="CV30" s="3"/>
      <c r="CW30" s="3"/>
    </row>
    <row r="31" spans="1:101" ht="14.25" customHeight="1" x14ac:dyDescent="0.2">
      <c r="A31" s="286"/>
      <c r="B31" s="52">
        <v>0.14251423980510583</v>
      </c>
      <c r="C31" s="288">
        <v>0.27057310833971593</v>
      </c>
      <c r="D31" s="288">
        <v>2.1941473289818547E-2</v>
      </c>
      <c r="E31" s="288">
        <v>2.2152648267088848E-2</v>
      </c>
      <c r="F31" s="289">
        <v>0.79349779216650251</v>
      </c>
      <c r="G31" s="92">
        <v>0.3583356131818019</v>
      </c>
      <c r="H31" s="288">
        <v>0.2945608555296626</v>
      </c>
      <c r="I31" s="288">
        <v>8.9597588540581644E-3</v>
      </c>
      <c r="J31" s="288">
        <v>0.99999966387859351</v>
      </c>
      <c r="K31" s="288">
        <v>0.72311173122863315</v>
      </c>
      <c r="L31" s="290">
        <v>6579.6095876056315</v>
      </c>
      <c r="M31" s="288">
        <v>0</v>
      </c>
      <c r="N31" s="288">
        <v>23509.921471836849</v>
      </c>
      <c r="O31" s="288">
        <v>735.71590088789071</v>
      </c>
      <c r="P31" s="288">
        <v>40554.86869043723</v>
      </c>
      <c r="Q31" s="291">
        <v>96397.970734030008</v>
      </c>
      <c r="R31" s="288">
        <v>22612.687868725458</v>
      </c>
      <c r="S31" s="288">
        <v>7450.7827473839916</v>
      </c>
      <c r="T31" s="290">
        <v>0.751</v>
      </c>
      <c r="U31" s="288">
        <v>0.75800000000000001</v>
      </c>
      <c r="V31" s="288">
        <v>0.723923076923077</v>
      </c>
      <c r="W31" s="288">
        <v>0.72750000000000004</v>
      </c>
      <c r="X31" s="288">
        <v>0.76</v>
      </c>
      <c r="Y31" s="288">
        <v>0</v>
      </c>
      <c r="Z31" s="289">
        <v>0</v>
      </c>
      <c r="AA31" s="229"/>
      <c r="AB31" s="52">
        <v>66406.380172920602</v>
      </c>
      <c r="AC31" s="288">
        <v>3.2051306412938088</v>
      </c>
      <c r="AD31" s="288">
        <v>56888.054181648506</v>
      </c>
      <c r="AE31" s="288">
        <v>2.8850779489670666</v>
      </c>
      <c r="AF31" s="288">
        <v>9518.3259912720969</v>
      </c>
      <c r="AG31" s="289">
        <v>0.32005269232674216</v>
      </c>
      <c r="AH31" s="229"/>
      <c r="AI31" s="205">
        <f t="shared" si="7"/>
        <v>254106.68395646027</v>
      </c>
      <c r="AJ31" s="205">
        <f t="shared" si="8"/>
        <v>231619.74071505814</v>
      </c>
      <c r="AK31" s="205">
        <f t="shared" si="3"/>
        <v>22486.943241402118</v>
      </c>
      <c r="AL31" s="229"/>
      <c r="AM31" s="52">
        <f t="shared" si="4"/>
        <v>1</v>
      </c>
      <c r="AN31" s="52">
        <f t="shared" si="5"/>
        <v>0</v>
      </c>
      <c r="AO31" s="52">
        <f t="shared" si="6"/>
        <v>1</v>
      </c>
      <c r="AP31" s="229"/>
      <c r="AQ31" s="45">
        <v>4500</v>
      </c>
      <c r="AR31" s="45">
        <v>2.5999999999999999E-2</v>
      </c>
      <c r="AS31" s="45">
        <v>0.97399999999999998</v>
      </c>
      <c r="AT31" s="45">
        <v>2.5999999999999999E-2</v>
      </c>
      <c r="AU31" s="229"/>
      <c r="AV31" s="318">
        <f t="shared" si="9"/>
        <v>254106.68395646027</v>
      </c>
      <c r="AW31" s="229"/>
      <c r="AX31" s="312"/>
      <c r="AY31" s="14"/>
      <c r="AZ31" s="14">
        <f t="shared" si="11"/>
        <v>9518.3259912720969</v>
      </c>
      <c r="BA31" s="14">
        <f t="shared" si="10"/>
        <v>0.32005269232674216</v>
      </c>
      <c r="BB31" s="14">
        <f t="shared" si="2"/>
        <v>29739.871650743145</v>
      </c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3"/>
      <c r="CT31" s="3"/>
      <c r="CU31" s="3"/>
      <c r="CV31" s="3"/>
      <c r="CW31" s="3"/>
    </row>
    <row r="32" spans="1:101" ht="14.25" customHeight="1" x14ac:dyDescent="0.2">
      <c r="A32" s="286"/>
      <c r="B32" s="52">
        <v>0.16985383380646613</v>
      </c>
      <c r="C32" s="288">
        <v>0.52594677652654642</v>
      </c>
      <c r="D32" s="288">
        <v>1.3948647952400802E-2</v>
      </c>
      <c r="E32" s="288">
        <v>1.6876648229137481E-2</v>
      </c>
      <c r="F32" s="289">
        <v>0.74956604573642904</v>
      </c>
      <c r="G32" s="92">
        <v>0.40303588413118296</v>
      </c>
      <c r="H32" s="288">
        <v>8.614492313818016E-2</v>
      </c>
      <c r="I32" s="288">
        <v>1.6042004466345627E-2</v>
      </c>
      <c r="J32" s="288">
        <v>0.99999999884623592</v>
      </c>
      <c r="K32" s="288">
        <v>0.74763137381293243</v>
      </c>
      <c r="L32" s="290">
        <v>9363.5065233654859</v>
      </c>
      <c r="M32" s="288">
        <v>0</v>
      </c>
      <c r="N32" s="288">
        <v>17228.297043157971</v>
      </c>
      <c r="O32" s="288">
        <v>1241.0651374977781</v>
      </c>
      <c r="P32" s="288">
        <v>44232.84937515857</v>
      </c>
      <c r="Q32" s="291">
        <v>89509.862248714038</v>
      </c>
      <c r="R32" s="288">
        <v>22692.996053115308</v>
      </c>
      <c r="S32" s="288">
        <v>9905.0101744647218</v>
      </c>
      <c r="T32" s="290">
        <v>0.751</v>
      </c>
      <c r="U32" s="288">
        <v>0.75800000000000001</v>
      </c>
      <c r="V32" s="288">
        <v>0.723923076923077</v>
      </c>
      <c r="W32" s="288">
        <v>0.72750000000000004</v>
      </c>
      <c r="X32" s="288">
        <v>0.76</v>
      </c>
      <c r="Y32" s="288">
        <v>0</v>
      </c>
      <c r="Z32" s="289">
        <v>0</v>
      </c>
      <c r="AA32" s="229"/>
      <c r="AB32" s="52">
        <v>85335.208188599441</v>
      </c>
      <c r="AC32" s="288">
        <v>3.0018544759567387</v>
      </c>
      <c r="AD32" s="288">
        <v>76170.959165305772</v>
      </c>
      <c r="AE32" s="288">
        <v>2.997354283161751</v>
      </c>
      <c r="AF32" s="288">
        <v>9164.2490232936689</v>
      </c>
      <c r="AG32" s="289">
        <v>4.5001927949877008E-3</v>
      </c>
      <c r="AH32" s="229"/>
      <c r="AI32" s="205">
        <f t="shared" si="7"/>
        <v>214850.2394070744</v>
      </c>
      <c r="AJ32" s="205">
        <f t="shared" si="8"/>
        <v>223564.46915086935</v>
      </c>
      <c r="AK32" s="205">
        <f t="shared" si="3"/>
        <v>-8714.2297437948982</v>
      </c>
      <c r="AL32" s="229"/>
      <c r="AM32" s="52">
        <f t="shared" si="4"/>
        <v>0</v>
      </c>
      <c r="AN32" s="52">
        <f t="shared" si="5"/>
        <v>1</v>
      </c>
      <c r="AO32" s="52">
        <f t="shared" si="6"/>
        <v>0</v>
      </c>
      <c r="AP32" s="229"/>
      <c r="AQ32" s="45">
        <v>5000</v>
      </c>
      <c r="AR32" s="45">
        <v>2.4E-2</v>
      </c>
      <c r="AS32" s="45">
        <v>0.97599999999999998</v>
      </c>
      <c r="AT32" s="45">
        <v>2.4E-2</v>
      </c>
      <c r="AU32" s="229"/>
      <c r="AV32" s="318">
        <f t="shared" si="9"/>
        <v>223564.46915086935</v>
      </c>
      <c r="AW32" s="229"/>
      <c r="AX32" s="312"/>
      <c r="AY32" s="14"/>
      <c r="AZ32" s="14">
        <f t="shared" si="11"/>
        <v>9164.2490232936689</v>
      </c>
      <c r="BA32" s="14">
        <f t="shared" si="10"/>
        <v>4.5001927949877008E-3</v>
      </c>
      <c r="BB32" s="14">
        <f t="shared" si="2"/>
        <v>2036412.5362586193</v>
      </c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3"/>
      <c r="CT32" s="3"/>
      <c r="CU32" s="3"/>
      <c r="CV32" s="3"/>
      <c r="CW32" s="3"/>
    </row>
    <row r="33" spans="1:101" ht="14.25" customHeight="1" x14ac:dyDescent="0.2">
      <c r="A33" s="286"/>
      <c r="B33" s="52">
        <v>0.193397447276207</v>
      </c>
      <c r="C33" s="288">
        <v>0.36613581477105461</v>
      </c>
      <c r="D33" s="288">
        <v>8.3825302851479114E-3</v>
      </c>
      <c r="E33" s="288">
        <v>1.3995004002249142E-2</v>
      </c>
      <c r="F33" s="289">
        <v>0.81075530612793945</v>
      </c>
      <c r="G33" s="92">
        <v>0.44841174720899168</v>
      </c>
      <c r="H33" s="288">
        <v>0.57201018270547133</v>
      </c>
      <c r="I33" s="288">
        <v>2.4322974883687065E-2</v>
      </c>
      <c r="J33" s="288">
        <v>0.68183493329570255</v>
      </c>
      <c r="K33" s="288">
        <v>0.74724386116064578</v>
      </c>
      <c r="L33" s="290">
        <v>13182.285942795035</v>
      </c>
      <c r="M33" s="288">
        <v>0</v>
      </c>
      <c r="N33" s="288">
        <v>15501.669052924779</v>
      </c>
      <c r="O33" s="288">
        <v>1049.4034388167768</v>
      </c>
      <c r="P33" s="288">
        <v>53649.241751027592</v>
      </c>
      <c r="Q33" s="291">
        <v>95639.118896852568</v>
      </c>
      <c r="R33" s="288">
        <v>30374.571506023502</v>
      </c>
      <c r="S33" s="288">
        <v>7719.1081948483943</v>
      </c>
      <c r="T33" s="290">
        <v>0.751</v>
      </c>
      <c r="U33" s="288">
        <v>0.75800000000000001</v>
      </c>
      <c r="V33" s="288">
        <v>0.723923076923077</v>
      </c>
      <c r="W33" s="288">
        <v>0.72750000000000004</v>
      </c>
      <c r="X33" s="288">
        <v>0.76</v>
      </c>
      <c r="Y33" s="288">
        <v>0</v>
      </c>
      <c r="Z33" s="289">
        <v>0</v>
      </c>
      <c r="AA33" s="229"/>
      <c r="AB33" s="52">
        <v>77664.221321319754</v>
      </c>
      <c r="AC33" s="288">
        <v>3.2858108677337348</v>
      </c>
      <c r="AD33" s="288">
        <v>67267.104463017167</v>
      </c>
      <c r="AE33" s="288">
        <v>2.9955724784931435</v>
      </c>
      <c r="AF33" s="288">
        <v>10397.116858302586</v>
      </c>
      <c r="AG33" s="289">
        <v>0.29023838924059131</v>
      </c>
      <c r="AH33" s="229"/>
      <c r="AI33" s="205">
        <f t="shared" si="7"/>
        <v>250916.86545205372</v>
      </c>
      <c r="AJ33" s="205">
        <f t="shared" si="8"/>
        <v>232290.14338629719</v>
      </c>
      <c r="AK33" s="205">
        <f t="shared" si="3"/>
        <v>18626.722065756545</v>
      </c>
      <c r="AL33" s="229"/>
      <c r="AM33" s="52">
        <f t="shared" si="4"/>
        <v>1</v>
      </c>
      <c r="AN33" s="52">
        <f t="shared" si="5"/>
        <v>0</v>
      </c>
      <c r="AO33" s="52">
        <f t="shared" si="6"/>
        <v>1</v>
      </c>
      <c r="AP33" s="229"/>
      <c r="AQ33" s="45">
        <v>6000</v>
      </c>
      <c r="AR33" s="45">
        <v>2.5000000000000001E-2</v>
      </c>
      <c r="AS33" s="45">
        <v>0.97499999999999998</v>
      </c>
      <c r="AT33" s="45">
        <v>2.5000000000000001E-2</v>
      </c>
      <c r="AU33" s="229"/>
      <c r="AV33" s="318">
        <f t="shared" si="9"/>
        <v>250916.86545205372</v>
      </c>
      <c r="AW33" s="229"/>
      <c r="AX33" s="312"/>
      <c r="AY33" s="14"/>
      <c r="AZ33" s="14">
        <f t="shared" si="11"/>
        <v>10397.116858302586</v>
      </c>
      <c r="BA33" s="14">
        <f t="shared" si="10"/>
        <v>0.29023838924059131</v>
      </c>
      <c r="BB33" s="14">
        <f t="shared" si="2"/>
        <v>35822.679713412967</v>
      </c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3"/>
      <c r="CT33" s="3"/>
      <c r="CU33" s="3"/>
      <c r="CV33" s="3"/>
      <c r="CW33" s="3"/>
    </row>
    <row r="34" spans="1:101" ht="14.25" customHeight="1" x14ac:dyDescent="0.2">
      <c r="A34" s="286"/>
      <c r="B34" s="52">
        <v>0.16463819811048985</v>
      </c>
      <c r="C34" s="288">
        <v>0.87681194999172263</v>
      </c>
      <c r="D34" s="288">
        <v>1.6266838134897377E-2</v>
      </c>
      <c r="E34" s="288">
        <v>1.2980827267646221E-2</v>
      </c>
      <c r="F34" s="289">
        <v>0.78194342057717647</v>
      </c>
      <c r="G34" s="92">
        <v>0.39369259434926146</v>
      </c>
      <c r="H34" s="288">
        <v>3.8936538994402227E-2</v>
      </c>
      <c r="I34" s="288">
        <v>1.8354225366044807E-2</v>
      </c>
      <c r="J34" s="288">
        <v>0.99993864793363585</v>
      </c>
      <c r="K34" s="288">
        <v>0.75088602076637867</v>
      </c>
      <c r="L34" s="290">
        <v>12232.177611173303</v>
      </c>
      <c r="M34" s="288">
        <v>0</v>
      </c>
      <c r="N34" s="288">
        <v>14111.71948216011</v>
      </c>
      <c r="O34" s="288">
        <v>1283.5265051925378</v>
      </c>
      <c r="P34" s="288">
        <v>52804.529985386289</v>
      </c>
      <c r="Q34" s="291">
        <v>115658.14550636265</v>
      </c>
      <c r="R34" s="288">
        <v>23451.144356768611</v>
      </c>
      <c r="S34" s="288">
        <v>7200.3451105464546</v>
      </c>
      <c r="T34" s="290">
        <v>0.751</v>
      </c>
      <c r="U34" s="288">
        <v>0.75800000000000001</v>
      </c>
      <c r="V34" s="288">
        <v>0.723923076923077</v>
      </c>
      <c r="W34" s="288">
        <v>0.72750000000000004</v>
      </c>
      <c r="X34" s="288">
        <v>0.76</v>
      </c>
      <c r="Y34" s="288">
        <v>0</v>
      </c>
      <c r="Z34" s="289">
        <v>0</v>
      </c>
      <c r="AA34" s="229"/>
      <c r="AB34" s="52">
        <v>71893.368755412943</v>
      </c>
      <c r="AC34" s="288">
        <v>3.1513741305021599</v>
      </c>
      <c r="AD34" s="288">
        <v>56238.557590309247</v>
      </c>
      <c r="AE34" s="288">
        <v>3.0123286727620631</v>
      </c>
      <c r="AF34" s="288">
        <v>15654.811165103696</v>
      </c>
      <c r="AG34" s="289">
        <v>0.1390454577400968</v>
      </c>
      <c r="AH34" s="229"/>
      <c r="AI34" s="205">
        <f t="shared" si="7"/>
        <v>243244.04429480305</v>
      </c>
      <c r="AJ34" s="205">
        <f t="shared" si="8"/>
        <v>244994.30968589708</v>
      </c>
      <c r="AK34" s="205">
        <f t="shared" si="3"/>
        <v>-1750.2653910940153</v>
      </c>
      <c r="AL34" s="229"/>
      <c r="AM34" s="52">
        <f t="shared" si="4"/>
        <v>0</v>
      </c>
      <c r="AN34" s="52">
        <f t="shared" si="5"/>
        <v>1</v>
      </c>
      <c r="AO34" s="52">
        <f t="shared" si="6"/>
        <v>0</v>
      </c>
      <c r="AP34" s="229"/>
      <c r="AQ34" s="45">
        <v>7000</v>
      </c>
      <c r="AR34" s="45">
        <v>2.4E-2</v>
      </c>
      <c r="AS34" s="45">
        <v>0.97599999999999998</v>
      </c>
      <c r="AT34" s="45">
        <v>2.4E-2</v>
      </c>
      <c r="AU34" s="229"/>
      <c r="AV34" s="318">
        <f t="shared" si="9"/>
        <v>244994.30968589708</v>
      </c>
      <c r="AW34" s="229"/>
      <c r="AX34" s="312"/>
      <c r="AY34" s="14"/>
      <c r="AZ34" s="14">
        <f t="shared" si="11"/>
        <v>15654.811165103696</v>
      </c>
      <c r="BA34" s="14">
        <f t="shared" si="10"/>
        <v>0.1390454577400968</v>
      </c>
      <c r="BB34" s="14">
        <f t="shared" si="2"/>
        <v>112587.72073206163</v>
      </c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3"/>
      <c r="CT34" s="3"/>
      <c r="CU34" s="3"/>
      <c r="CV34" s="3"/>
      <c r="CW34" s="3"/>
    </row>
    <row r="35" spans="1:101" ht="14.25" customHeight="1" x14ac:dyDescent="0.2">
      <c r="A35" s="286"/>
      <c r="B35" s="52">
        <v>0.15817877700445304</v>
      </c>
      <c r="C35" s="288">
        <v>0.87622223466116145</v>
      </c>
      <c r="D35" s="288">
        <v>4.3195690919267038E-3</v>
      </c>
      <c r="E35" s="288">
        <v>6.1914072119482796E-3</v>
      </c>
      <c r="F35" s="289">
        <v>0.80087370836800464</v>
      </c>
      <c r="G35" s="92">
        <v>0.417375909581156</v>
      </c>
      <c r="H35" s="288">
        <v>0.55406148778131736</v>
      </c>
      <c r="I35" s="288">
        <v>4.2721603989658075E-2</v>
      </c>
      <c r="J35" s="288">
        <v>0.99984481188108609</v>
      </c>
      <c r="K35" s="288">
        <v>0.80510724565664116</v>
      </c>
      <c r="L35" s="290">
        <v>11940.204748581684</v>
      </c>
      <c r="M35" s="288">
        <v>0</v>
      </c>
      <c r="N35" s="288">
        <v>18192.666991999911</v>
      </c>
      <c r="O35" s="288">
        <v>1102.7964845332624</v>
      </c>
      <c r="P35" s="288">
        <v>38880.689779634879</v>
      </c>
      <c r="Q35" s="291">
        <v>82538.394680750032</v>
      </c>
      <c r="R35" s="288">
        <v>23390.218756930437</v>
      </c>
      <c r="S35" s="288">
        <v>7586.8018289097608</v>
      </c>
      <c r="T35" s="290">
        <v>0.751</v>
      </c>
      <c r="U35" s="288">
        <v>0.75800000000000001</v>
      </c>
      <c r="V35" s="288">
        <v>0.723923076923077</v>
      </c>
      <c r="W35" s="288">
        <v>0.72750000000000004</v>
      </c>
      <c r="X35" s="288">
        <v>0.76</v>
      </c>
      <c r="Y35" s="288">
        <v>0</v>
      </c>
      <c r="Z35" s="289">
        <v>0</v>
      </c>
      <c r="AA35" s="229"/>
      <c r="AB35" s="52">
        <v>75580.141529383371</v>
      </c>
      <c r="AC35" s="288">
        <v>3.2395564652440778</v>
      </c>
      <c r="AD35" s="288">
        <v>69401.013178509878</v>
      </c>
      <c r="AE35" s="288">
        <v>3.2642526353130568</v>
      </c>
      <c r="AF35" s="288">
        <v>6179.1283508734923</v>
      </c>
      <c r="AG35" s="289">
        <v>-2.4696170068978951E-2</v>
      </c>
      <c r="AH35" s="229"/>
      <c r="AI35" s="205">
        <f t="shared" si="7"/>
        <v>248375.50499502441</v>
      </c>
      <c r="AJ35" s="205">
        <f t="shared" si="8"/>
        <v>257024.25035279576</v>
      </c>
      <c r="AK35" s="205">
        <f t="shared" si="3"/>
        <v>-8648.7453577713877</v>
      </c>
      <c r="AL35" s="229"/>
      <c r="AM35" s="52">
        <f t="shared" si="4"/>
        <v>0</v>
      </c>
      <c r="AN35" s="52">
        <f t="shared" si="5"/>
        <v>1</v>
      </c>
      <c r="AO35" s="52">
        <f t="shared" si="6"/>
        <v>0</v>
      </c>
      <c r="AP35" s="229"/>
      <c r="AQ35" s="45">
        <v>8000</v>
      </c>
      <c r="AR35" s="45">
        <v>2.3E-2</v>
      </c>
      <c r="AS35" s="45">
        <v>0.97699999999999998</v>
      </c>
      <c r="AT35" s="45">
        <v>2.3E-2</v>
      </c>
      <c r="AU35" s="229"/>
      <c r="AV35" s="318">
        <f t="shared" si="9"/>
        <v>257024.25035279576</v>
      </c>
      <c r="AW35" s="229"/>
      <c r="AX35" s="312"/>
      <c r="AY35" s="14"/>
      <c r="AZ35" s="14">
        <f t="shared" si="11"/>
        <v>6179.1283508734923</v>
      </c>
      <c r="BA35" s="14">
        <f t="shared" si="10"/>
        <v>-2.4696170068978951E-2</v>
      </c>
      <c r="BB35" s="14">
        <f t="shared" si="2"/>
        <v>-250205.93612752703</v>
      </c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3"/>
      <c r="CT35" s="3"/>
      <c r="CU35" s="3"/>
      <c r="CV35" s="3"/>
      <c r="CW35" s="3"/>
    </row>
    <row r="36" spans="1:101" ht="14.25" customHeight="1" x14ac:dyDescent="0.2">
      <c r="A36" s="286"/>
      <c r="B36" s="52">
        <v>0.16284989884446277</v>
      </c>
      <c r="C36" s="288">
        <v>0.2769692985393265</v>
      </c>
      <c r="D36" s="288">
        <v>2.5324696093583454E-2</v>
      </c>
      <c r="E36" s="288">
        <v>1.300564071648192E-2</v>
      </c>
      <c r="F36" s="289">
        <v>0.78386220537616558</v>
      </c>
      <c r="G36" s="92">
        <v>0.4065183133286232</v>
      </c>
      <c r="H36" s="288">
        <v>0.75176107478025012</v>
      </c>
      <c r="I36" s="288">
        <v>2.4380064328174966E-2</v>
      </c>
      <c r="J36" s="288">
        <v>0.99999998191451023</v>
      </c>
      <c r="K36" s="288">
        <v>0.76517374685340755</v>
      </c>
      <c r="L36" s="290">
        <v>15039.007763719974</v>
      </c>
      <c r="M36" s="288">
        <v>0</v>
      </c>
      <c r="N36" s="288">
        <v>16434.691850865209</v>
      </c>
      <c r="O36" s="288">
        <v>1093.8351294101212</v>
      </c>
      <c r="P36" s="288">
        <v>38774.149102506497</v>
      </c>
      <c r="Q36" s="291">
        <v>93027.879943121196</v>
      </c>
      <c r="R36" s="288">
        <v>20693.798094927221</v>
      </c>
      <c r="S36" s="288">
        <v>8225.3222150160291</v>
      </c>
      <c r="T36" s="290">
        <v>0.751</v>
      </c>
      <c r="U36" s="288">
        <v>0.75800000000000001</v>
      </c>
      <c r="V36" s="288">
        <v>0.723923076923077</v>
      </c>
      <c r="W36" s="288">
        <v>0.72750000000000004</v>
      </c>
      <c r="X36" s="288">
        <v>0.76</v>
      </c>
      <c r="Y36" s="288">
        <v>0</v>
      </c>
      <c r="Z36" s="289">
        <v>0</v>
      </c>
      <c r="AA36" s="229"/>
      <c r="AB36" s="52">
        <v>80382.317408263596</v>
      </c>
      <c r="AC36" s="288">
        <v>3.1602867433652757</v>
      </c>
      <c r="AD36" s="288">
        <v>70899.487427323547</v>
      </c>
      <c r="AE36" s="288">
        <v>3.0782629785080919</v>
      </c>
      <c r="AF36" s="288">
        <v>9482.8299809400487</v>
      </c>
      <c r="AG36" s="289">
        <v>8.2023764857183767E-2</v>
      </c>
      <c r="AH36" s="229"/>
      <c r="AI36" s="205">
        <f t="shared" si="7"/>
        <v>235646.35692826399</v>
      </c>
      <c r="AJ36" s="205">
        <f t="shared" si="8"/>
        <v>236926.81042348564</v>
      </c>
      <c r="AK36" s="205">
        <f t="shared" si="3"/>
        <v>-1280.4534952216727</v>
      </c>
      <c r="AL36" s="229"/>
      <c r="AM36" s="52">
        <f t="shared" si="4"/>
        <v>0</v>
      </c>
      <c r="AN36" s="52">
        <f t="shared" si="5"/>
        <v>1</v>
      </c>
      <c r="AO36" s="52">
        <f t="shared" si="6"/>
        <v>0</v>
      </c>
      <c r="AP36" s="229"/>
      <c r="AQ36" s="45">
        <v>9000</v>
      </c>
      <c r="AR36" s="45">
        <v>2.3E-2</v>
      </c>
      <c r="AS36" s="45">
        <v>0.97699999999999998</v>
      </c>
      <c r="AT36" s="45">
        <v>2.3E-2</v>
      </c>
      <c r="AU36" s="229"/>
      <c r="AV36" s="318">
        <f t="shared" si="9"/>
        <v>236926.81042348564</v>
      </c>
      <c r="AW36" s="229"/>
      <c r="AX36" s="312"/>
      <c r="AY36" s="14"/>
      <c r="AZ36" s="14">
        <f t="shared" si="11"/>
        <v>9482.8299809400487</v>
      </c>
      <c r="BA36" s="14">
        <f t="shared" si="10"/>
        <v>8.2023764857183767E-2</v>
      </c>
      <c r="BB36" s="14">
        <f t="shared" si="2"/>
        <v>115610.76228884571</v>
      </c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3"/>
      <c r="CT36" s="3"/>
      <c r="CU36" s="3"/>
      <c r="CV36" s="3"/>
      <c r="CW36" s="3"/>
    </row>
    <row r="37" spans="1:101" ht="14.25" customHeight="1" x14ac:dyDescent="0.2">
      <c r="A37" s="286"/>
      <c r="B37" s="52">
        <v>0.16597404500514579</v>
      </c>
      <c r="C37" s="288">
        <v>0.31870876721949737</v>
      </c>
      <c r="D37" s="288">
        <v>2.0739673210155574E-2</v>
      </c>
      <c r="E37" s="288">
        <v>6.087371745487704E-3</v>
      </c>
      <c r="F37" s="289">
        <v>0.80832556977962444</v>
      </c>
      <c r="G37" s="92">
        <v>0.37614921141065005</v>
      </c>
      <c r="H37" s="288">
        <v>0.92166690023498754</v>
      </c>
      <c r="I37" s="288">
        <v>1.1720920537830712E-2</v>
      </c>
      <c r="J37" s="288">
        <v>1</v>
      </c>
      <c r="K37" s="288">
        <v>0.78989265229828631</v>
      </c>
      <c r="L37" s="290">
        <v>8987.8136510335626</v>
      </c>
      <c r="M37" s="288">
        <v>0</v>
      </c>
      <c r="N37" s="288">
        <v>21617.208955251906</v>
      </c>
      <c r="O37" s="288">
        <v>1044.7552040997155</v>
      </c>
      <c r="P37" s="288">
        <v>33102.280101533928</v>
      </c>
      <c r="Q37" s="291">
        <v>50855.316353982162</v>
      </c>
      <c r="R37" s="288">
        <v>23178.934662263564</v>
      </c>
      <c r="S37" s="288">
        <v>5366.2641494754707</v>
      </c>
      <c r="T37" s="290">
        <v>0.751</v>
      </c>
      <c r="U37" s="288">
        <v>0.75800000000000001</v>
      </c>
      <c r="V37" s="288">
        <v>0.723923076923077</v>
      </c>
      <c r="W37" s="288">
        <v>0.72750000000000004</v>
      </c>
      <c r="X37" s="288">
        <v>0.76</v>
      </c>
      <c r="Y37" s="288">
        <v>0</v>
      </c>
      <c r="Z37" s="289">
        <v>0</v>
      </c>
      <c r="AA37" s="229"/>
      <c r="AB37" s="52">
        <v>53516.555040289306</v>
      </c>
      <c r="AC37" s="288">
        <v>3.2744234057844626</v>
      </c>
      <c r="AD37" s="288">
        <v>51099.709404430112</v>
      </c>
      <c r="AE37" s="288">
        <v>3.1930944962007732</v>
      </c>
      <c r="AF37" s="288">
        <v>2416.8456358591939</v>
      </c>
      <c r="AG37" s="289">
        <v>8.1328909583689324E-2</v>
      </c>
      <c r="AH37" s="229"/>
      <c r="AI37" s="205">
        <f t="shared" si="7"/>
        <v>273925.78553815698</v>
      </c>
      <c r="AJ37" s="205">
        <f t="shared" si="8"/>
        <v>268209.74021564721</v>
      </c>
      <c r="AK37" s="205">
        <f t="shared" si="3"/>
        <v>5716.045322509739</v>
      </c>
      <c r="AL37" s="229"/>
      <c r="AM37" s="52">
        <f t="shared" si="4"/>
        <v>1</v>
      </c>
      <c r="AN37" s="52">
        <f t="shared" si="5"/>
        <v>0</v>
      </c>
      <c r="AO37" s="52">
        <f t="shared" si="6"/>
        <v>1</v>
      </c>
      <c r="AP37" s="229"/>
      <c r="AQ37" s="45">
        <v>10000</v>
      </c>
      <c r="AR37" s="45">
        <v>2.1999999999999999E-2</v>
      </c>
      <c r="AS37" s="45">
        <v>0.97799999999999998</v>
      </c>
      <c r="AT37" s="45">
        <v>2.1999999999999999E-2</v>
      </c>
      <c r="AU37" s="229"/>
      <c r="AV37" s="318">
        <f t="shared" si="9"/>
        <v>273925.78553815698</v>
      </c>
      <c r="AW37" s="229"/>
      <c r="AX37" s="312"/>
      <c r="AY37" s="14"/>
      <c r="AZ37" s="14">
        <f t="shared" si="11"/>
        <v>2416.8456358591939</v>
      </c>
      <c r="BA37" s="14">
        <f t="shared" si="10"/>
        <v>8.1328909583689324E-2</v>
      </c>
      <c r="BB37" s="14">
        <f t="shared" si="2"/>
        <v>29716.931509725997</v>
      </c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3"/>
      <c r="CT37" s="3"/>
      <c r="CU37" s="3"/>
      <c r="CV37" s="3"/>
      <c r="CW37" s="3"/>
    </row>
    <row r="38" spans="1:101" ht="14.25" customHeight="1" x14ac:dyDescent="0.2">
      <c r="A38" s="286"/>
      <c r="B38" s="52">
        <v>0.14798451534351229</v>
      </c>
      <c r="C38" s="288">
        <v>0.56247104366830558</v>
      </c>
      <c r="D38" s="288">
        <v>1.9124959099534156E-2</v>
      </c>
      <c r="E38" s="288">
        <v>1.3932144464555282E-2</v>
      </c>
      <c r="F38" s="289">
        <v>0.84583756943993582</v>
      </c>
      <c r="G38" s="92">
        <v>0.42853028444186003</v>
      </c>
      <c r="H38" s="288">
        <v>6.4013593070717245E-2</v>
      </c>
      <c r="I38" s="288">
        <v>2.9215473584366602E-2</v>
      </c>
      <c r="J38" s="288">
        <v>0.74046413567456915</v>
      </c>
      <c r="K38" s="288">
        <v>0.78860857646109128</v>
      </c>
      <c r="L38" s="290">
        <v>11409.538502745825</v>
      </c>
      <c r="M38" s="288">
        <v>0</v>
      </c>
      <c r="N38" s="288">
        <v>13138.792036191513</v>
      </c>
      <c r="O38" s="288">
        <v>1031.7938477139414</v>
      </c>
      <c r="P38" s="288">
        <v>50214.021751533961</v>
      </c>
      <c r="Q38" s="291">
        <v>72546.31352565893</v>
      </c>
      <c r="R38" s="288">
        <v>25770.646652294305</v>
      </c>
      <c r="S38" s="288">
        <v>9466.0634307554719</v>
      </c>
      <c r="T38" s="290">
        <v>0.751</v>
      </c>
      <c r="U38" s="288">
        <v>0.75800000000000001</v>
      </c>
      <c r="V38" s="288">
        <v>0.723923076923077</v>
      </c>
      <c r="W38" s="288">
        <v>0.72750000000000004</v>
      </c>
      <c r="X38" s="288">
        <v>0.76</v>
      </c>
      <c r="Y38" s="288">
        <v>0</v>
      </c>
      <c r="Z38" s="289">
        <v>0</v>
      </c>
      <c r="AA38" s="229"/>
      <c r="AB38" s="52">
        <v>93200.264400492961</v>
      </c>
      <c r="AC38" s="288">
        <v>3.4512632285493248</v>
      </c>
      <c r="AD38" s="288">
        <v>77243.246182437157</v>
      </c>
      <c r="AE38" s="288">
        <v>3.1871056137483391</v>
      </c>
      <c r="AF38" s="288">
        <v>15957.018218055804</v>
      </c>
      <c r="AG38" s="289">
        <v>0.26415761480098565</v>
      </c>
      <c r="AH38" s="229"/>
      <c r="AI38" s="205">
        <f t="shared" si="7"/>
        <v>251926.05845443951</v>
      </c>
      <c r="AJ38" s="205">
        <f t="shared" si="8"/>
        <v>241467.31519239675</v>
      </c>
      <c r="AK38" s="205">
        <f t="shared" si="3"/>
        <v>10458.743262042761</v>
      </c>
      <c r="AL38" s="229"/>
      <c r="AM38" s="52">
        <f t="shared" si="4"/>
        <v>1</v>
      </c>
      <c r="AN38" s="52">
        <f t="shared" si="5"/>
        <v>0</v>
      </c>
      <c r="AO38" s="52">
        <f t="shared" si="6"/>
        <v>1</v>
      </c>
      <c r="AP38" s="229"/>
      <c r="AQ38" s="45">
        <v>11000</v>
      </c>
      <c r="AR38" s="45">
        <v>2.1000000000000001E-2</v>
      </c>
      <c r="AS38" s="45">
        <v>0.97899999999999998</v>
      </c>
      <c r="AT38" s="45">
        <v>2.1000000000000001E-2</v>
      </c>
      <c r="AU38" s="229"/>
      <c r="AV38" s="318">
        <f t="shared" si="9"/>
        <v>251926.05845443951</v>
      </c>
      <c r="AW38" s="229"/>
      <c r="AX38" s="312"/>
      <c r="AY38" s="14"/>
      <c r="AZ38" s="14">
        <f t="shared" si="11"/>
        <v>15957.018218055804</v>
      </c>
      <c r="BA38" s="14">
        <f t="shared" si="10"/>
        <v>0.26415761480098565</v>
      </c>
      <c r="BB38" s="14">
        <f t="shared" si="2"/>
        <v>60407.186179651493</v>
      </c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3"/>
      <c r="CT38" s="3"/>
      <c r="CU38" s="3"/>
      <c r="CV38" s="3"/>
      <c r="CW38" s="3"/>
    </row>
    <row r="39" spans="1:101" ht="14.25" customHeight="1" x14ac:dyDescent="0.2">
      <c r="A39" s="286"/>
      <c r="B39" s="52">
        <v>0.18700379592245164</v>
      </c>
      <c r="C39" s="288">
        <v>0.14748909011246594</v>
      </c>
      <c r="D39" s="288">
        <v>9.2881080998503621E-3</v>
      </c>
      <c r="E39" s="288">
        <v>8.418089682066577E-3</v>
      </c>
      <c r="F39" s="289">
        <v>0.79641026102557244</v>
      </c>
      <c r="G39" s="92">
        <v>0.40009984909936636</v>
      </c>
      <c r="H39" s="288">
        <v>0.95624476403045233</v>
      </c>
      <c r="I39" s="288">
        <v>2.1170262485002311E-2</v>
      </c>
      <c r="J39" s="288">
        <v>0.99999326558295931</v>
      </c>
      <c r="K39" s="288">
        <v>0.75612150572543868</v>
      </c>
      <c r="L39" s="290">
        <v>14252.642958895438</v>
      </c>
      <c r="M39" s="288">
        <v>0</v>
      </c>
      <c r="N39" s="288">
        <v>24538.772837706183</v>
      </c>
      <c r="O39" s="288">
        <v>1475.1413875946482</v>
      </c>
      <c r="P39" s="288">
        <v>40176.735540329712</v>
      </c>
      <c r="Q39" s="291">
        <v>82100.589881508364</v>
      </c>
      <c r="R39" s="288">
        <v>25674.711204321335</v>
      </c>
      <c r="S39" s="288">
        <v>9179.447520206526</v>
      </c>
      <c r="T39" s="290">
        <v>0.751</v>
      </c>
      <c r="U39" s="288">
        <v>0.75800000000000001</v>
      </c>
      <c r="V39" s="288">
        <v>0.723923076923077</v>
      </c>
      <c r="W39" s="288">
        <v>0.72750000000000004</v>
      </c>
      <c r="X39" s="288">
        <v>0.76</v>
      </c>
      <c r="Y39" s="288">
        <v>0</v>
      </c>
      <c r="Z39" s="289">
        <v>0</v>
      </c>
      <c r="AA39" s="229"/>
      <c r="AB39" s="52">
        <v>87771.893424682406</v>
      </c>
      <c r="AC39" s="288">
        <v>3.2187138952480092</v>
      </c>
      <c r="AD39" s="288">
        <v>80691.13403339377</v>
      </c>
      <c r="AE39" s="288">
        <v>3.0364517834524891</v>
      </c>
      <c r="AF39" s="288">
        <v>7080.7593912886368</v>
      </c>
      <c r="AG39" s="289">
        <v>0.1822621117955201</v>
      </c>
      <c r="AH39" s="229"/>
      <c r="AI39" s="205">
        <f t="shared" si="7"/>
        <v>234099.49610011853</v>
      </c>
      <c r="AJ39" s="205">
        <f t="shared" si="8"/>
        <v>222954.04431185516</v>
      </c>
      <c r="AK39" s="205">
        <f t="shared" si="3"/>
        <v>11145.451788263374</v>
      </c>
      <c r="AL39" s="229"/>
      <c r="AM39" s="52">
        <f t="shared" si="4"/>
        <v>1</v>
      </c>
      <c r="AN39" s="52">
        <f t="shared" si="5"/>
        <v>0</v>
      </c>
      <c r="AO39" s="52">
        <f t="shared" si="6"/>
        <v>1</v>
      </c>
      <c r="AP39" s="229"/>
      <c r="AQ39" s="45">
        <v>12000</v>
      </c>
      <c r="AR39" s="45">
        <v>2.1999999999999999E-2</v>
      </c>
      <c r="AS39" s="45">
        <v>0.97799999999999998</v>
      </c>
      <c r="AT39" s="45">
        <v>2.1999999999999999E-2</v>
      </c>
      <c r="AU39" s="229"/>
      <c r="AV39" s="318">
        <f t="shared" si="9"/>
        <v>234099.49610011853</v>
      </c>
      <c r="AW39" s="229"/>
      <c r="AX39" s="312"/>
      <c r="AY39" s="14"/>
      <c r="AZ39" s="14">
        <f t="shared" si="11"/>
        <v>7080.7593912886368</v>
      </c>
      <c r="BA39" s="14">
        <f t="shared" si="10"/>
        <v>0.1822621117955201</v>
      </c>
      <c r="BB39" s="14">
        <f t="shared" si="2"/>
        <v>38849.321570642955</v>
      </c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3"/>
      <c r="CT39" s="3"/>
      <c r="CU39" s="3"/>
      <c r="CV39" s="3"/>
      <c r="CW39" s="3"/>
    </row>
    <row r="40" spans="1:101" ht="14.25" customHeight="1" x14ac:dyDescent="0.2">
      <c r="A40" s="286"/>
      <c r="B40" s="52">
        <v>0.17572410620273149</v>
      </c>
      <c r="C40" s="288">
        <v>0.95555706268823071</v>
      </c>
      <c r="D40" s="288">
        <v>1.2562274605782605E-2</v>
      </c>
      <c r="E40" s="288">
        <v>1.6639616508673627E-2</v>
      </c>
      <c r="F40" s="289">
        <v>0.83202080671836876</v>
      </c>
      <c r="G40" s="92">
        <v>0.38922763664852389</v>
      </c>
      <c r="H40" s="288">
        <v>0.91894593030647653</v>
      </c>
      <c r="I40" s="288">
        <v>1.8516358787729614E-2</v>
      </c>
      <c r="J40" s="288">
        <v>4.5523973508912428E-3</v>
      </c>
      <c r="K40" s="288">
        <v>0.7430270060469113</v>
      </c>
      <c r="L40" s="290">
        <v>8628.0708309877427</v>
      </c>
      <c r="M40" s="288">
        <v>0</v>
      </c>
      <c r="N40" s="288">
        <v>20158.398303032824</v>
      </c>
      <c r="O40" s="288">
        <v>1156.3659026662503</v>
      </c>
      <c r="P40" s="288">
        <v>50711.345214066321</v>
      </c>
      <c r="Q40" s="291">
        <v>81679.095420342535</v>
      </c>
      <c r="R40" s="288">
        <v>32594.680866139839</v>
      </c>
      <c r="S40" s="288">
        <v>7372.4394087894489</v>
      </c>
      <c r="T40" s="290">
        <v>0.751</v>
      </c>
      <c r="U40" s="288">
        <v>0.75800000000000001</v>
      </c>
      <c r="V40" s="288">
        <v>0.723923076923077</v>
      </c>
      <c r="W40" s="288">
        <v>0.72750000000000004</v>
      </c>
      <c r="X40" s="288">
        <v>0.76</v>
      </c>
      <c r="Y40" s="288">
        <v>0</v>
      </c>
      <c r="Z40" s="289">
        <v>0</v>
      </c>
      <c r="AA40" s="229"/>
      <c r="AB40" s="52">
        <v>75228.146095303804</v>
      </c>
      <c r="AC40" s="288">
        <v>3.3858712112620455</v>
      </c>
      <c r="AD40" s="288">
        <v>67331.460777507164</v>
      </c>
      <c r="AE40" s="288">
        <v>2.976198446989275</v>
      </c>
      <c r="AF40" s="288">
        <v>7896.6853177966404</v>
      </c>
      <c r="AG40" s="289">
        <v>0.40967276427277044</v>
      </c>
      <c r="AH40" s="229"/>
      <c r="AI40" s="205">
        <f t="shared" si="7"/>
        <v>263358.97503090074</v>
      </c>
      <c r="AJ40" s="205">
        <f t="shared" si="8"/>
        <v>230288.38392142032</v>
      </c>
      <c r="AK40" s="205">
        <f t="shared" si="3"/>
        <v>33070.591109480403</v>
      </c>
      <c r="AL40" s="229"/>
      <c r="AM40" s="52">
        <f t="shared" si="4"/>
        <v>1</v>
      </c>
      <c r="AN40" s="52">
        <f t="shared" si="5"/>
        <v>0</v>
      </c>
      <c r="AO40" s="52">
        <f t="shared" si="6"/>
        <v>1</v>
      </c>
      <c r="AP40" s="229"/>
      <c r="AQ40" s="45">
        <v>13000</v>
      </c>
      <c r="AR40" s="45">
        <v>2.1000000000000001E-2</v>
      </c>
      <c r="AS40" s="45">
        <v>0.97899999999999998</v>
      </c>
      <c r="AT40" s="45">
        <v>2.1000000000000001E-2</v>
      </c>
      <c r="AU40" s="229"/>
      <c r="AV40" s="318">
        <f t="shared" si="9"/>
        <v>263358.97503090074</v>
      </c>
      <c r="AW40" s="229"/>
      <c r="AX40" s="312"/>
      <c r="AY40" s="14"/>
      <c r="AZ40" s="14">
        <f t="shared" si="11"/>
        <v>7896.6853177966404</v>
      </c>
      <c r="BA40" s="14">
        <f t="shared" si="10"/>
        <v>0.40967276427277044</v>
      </c>
      <c r="BB40" s="14">
        <f t="shared" si="2"/>
        <v>19275.592635049637</v>
      </c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3"/>
      <c r="CT40" s="3"/>
      <c r="CU40" s="3"/>
      <c r="CV40" s="3"/>
      <c r="CW40" s="3"/>
    </row>
    <row r="41" spans="1:101" ht="14.25" customHeight="1" x14ac:dyDescent="0.2">
      <c r="A41" s="286"/>
      <c r="B41" s="52">
        <v>0.1592956977551325</v>
      </c>
      <c r="C41" s="288">
        <v>0.53048104968241683</v>
      </c>
      <c r="D41" s="288">
        <v>1.9696408004645671E-2</v>
      </c>
      <c r="E41" s="288">
        <v>1.4326355661082365E-2</v>
      </c>
      <c r="F41" s="289">
        <v>0.78591643485699425</v>
      </c>
      <c r="G41" s="92">
        <v>0.45320316174830988</v>
      </c>
      <c r="H41" s="288">
        <v>0.5801883987926324</v>
      </c>
      <c r="I41" s="288">
        <v>1.4939556534213458E-2</v>
      </c>
      <c r="J41" s="288">
        <v>0.99999999955098262</v>
      </c>
      <c r="K41" s="288">
        <v>0.69207135068613901</v>
      </c>
      <c r="L41" s="290">
        <v>10749.398933564464</v>
      </c>
      <c r="M41" s="288">
        <v>0</v>
      </c>
      <c r="N41" s="288">
        <v>20977.722463731243</v>
      </c>
      <c r="O41" s="288">
        <v>909.1756434770133</v>
      </c>
      <c r="P41" s="288">
        <v>53706.615454692306</v>
      </c>
      <c r="Q41" s="291">
        <v>95038.267365632331</v>
      </c>
      <c r="R41" s="288">
        <v>18713.91917220848</v>
      </c>
      <c r="S41" s="288">
        <v>11701.029941209632</v>
      </c>
      <c r="T41" s="290">
        <v>0.751</v>
      </c>
      <c r="U41" s="288">
        <v>0.75800000000000001</v>
      </c>
      <c r="V41" s="288">
        <v>0.723923076923077</v>
      </c>
      <c r="W41" s="288">
        <v>0.72750000000000004</v>
      </c>
      <c r="X41" s="288">
        <v>0.76</v>
      </c>
      <c r="Y41" s="288">
        <v>0</v>
      </c>
      <c r="Z41" s="289">
        <v>0</v>
      </c>
      <c r="AA41" s="229"/>
      <c r="AB41" s="52">
        <v>103838.89352566079</v>
      </c>
      <c r="AC41" s="288">
        <v>3.1698348873577351</v>
      </c>
      <c r="AD41" s="288">
        <v>87224.620991615855</v>
      </c>
      <c r="AE41" s="288">
        <v>2.7443021224957631</v>
      </c>
      <c r="AF41" s="288">
        <v>16614.27253404494</v>
      </c>
      <c r="AG41" s="289">
        <v>0.425532764861972</v>
      </c>
      <c r="AH41" s="229"/>
      <c r="AI41" s="205">
        <f t="shared" si="7"/>
        <v>213144.59521011269</v>
      </c>
      <c r="AJ41" s="205">
        <f t="shared" si="8"/>
        <v>187205.59125796042</v>
      </c>
      <c r="AK41" s="205">
        <f t="shared" si="3"/>
        <v>25939.003952152263</v>
      </c>
      <c r="AL41" s="229"/>
      <c r="AM41" s="52">
        <f t="shared" si="4"/>
        <v>1</v>
      </c>
      <c r="AN41" s="52">
        <f t="shared" si="5"/>
        <v>0</v>
      </c>
      <c r="AO41" s="52">
        <f t="shared" si="6"/>
        <v>1</v>
      </c>
      <c r="AP41" s="229"/>
      <c r="AQ41" s="45">
        <v>14000</v>
      </c>
      <c r="AR41" s="45">
        <v>2.1000000000000001E-2</v>
      </c>
      <c r="AS41" s="45">
        <v>0.97899999999999998</v>
      </c>
      <c r="AT41" s="45">
        <v>2.1000000000000001E-2</v>
      </c>
      <c r="AU41" s="229"/>
      <c r="AV41" s="318">
        <f t="shared" si="9"/>
        <v>213144.59521011269</v>
      </c>
      <c r="AW41" s="229"/>
      <c r="AX41" s="312"/>
      <c r="AY41" s="14"/>
      <c r="AZ41" s="14">
        <f t="shared" si="11"/>
        <v>16614.27253404494</v>
      </c>
      <c r="BA41" s="14">
        <f t="shared" si="10"/>
        <v>0.425532764861972</v>
      </c>
      <c r="BB41" s="14">
        <f t="shared" si="2"/>
        <v>39043.462468592828</v>
      </c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3"/>
      <c r="CT41" s="3"/>
      <c r="CU41" s="3"/>
      <c r="CV41" s="3"/>
      <c r="CW41" s="3"/>
    </row>
    <row r="42" spans="1:101" ht="14.25" customHeight="1" x14ac:dyDescent="0.2">
      <c r="A42" s="286"/>
      <c r="B42" s="52">
        <v>0.18340850489039484</v>
      </c>
      <c r="C42" s="288">
        <v>0.40367390995767594</v>
      </c>
      <c r="D42" s="288">
        <v>8.7694896041828913E-3</v>
      </c>
      <c r="E42" s="288">
        <v>2.0753218926570893E-2</v>
      </c>
      <c r="F42" s="289">
        <v>0.78396358924411003</v>
      </c>
      <c r="G42" s="92">
        <v>0.42268004018923822</v>
      </c>
      <c r="H42" s="288">
        <v>0.87249502167178627</v>
      </c>
      <c r="I42" s="288">
        <v>3.6801752302463187E-2</v>
      </c>
      <c r="J42" s="288">
        <v>1</v>
      </c>
      <c r="K42" s="288">
        <v>0.68598748375179475</v>
      </c>
      <c r="L42" s="290">
        <v>12985.169099462644</v>
      </c>
      <c r="M42" s="288">
        <v>0</v>
      </c>
      <c r="N42" s="288">
        <v>20812.419370992258</v>
      </c>
      <c r="O42" s="288">
        <v>1168.9490894707583</v>
      </c>
      <c r="P42" s="288">
        <v>50627.785764562614</v>
      </c>
      <c r="Q42" s="291">
        <v>70660.157404750644</v>
      </c>
      <c r="R42" s="288">
        <v>22251.459993417771</v>
      </c>
      <c r="S42" s="288">
        <v>8475.6831990083556</v>
      </c>
      <c r="T42" s="290">
        <v>0.751</v>
      </c>
      <c r="U42" s="288">
        <v>0.75800000000000001</v>
      </c>
      <c r="V42" s="288">
        <v>0.723923076923077</v>
      </c>
      <c r="W42" s="288">
        <v>0.72750000000000004</v>
      </c>
      <c r="X42" s="288">
        <v>0.76</v>
      </c>
      <c r="Y42" s="288">
        <v>0</v>
      </c>
      <c r="Z42" s="289">
        <v>0</v>
      </c>
      <c r="AA42" s="229"/>
      <c r="AB42" s="52">
        <v>80760.030073863047</v>
      </c>
      <c r="AC42" s="288">
        <v>3.1607578245252528</v>
      </c>
      <c r="AD42" s="288">
        <v>68724.954765584494</v>
      </c>
      <c r="AE42" s="288">
        <v>2.7168882817308999</v>
      </c>
      <c r="AF42" s="288">
        <v>12035.075308278552</v>
      </c>
      <c r="AG42" s="289">
        <v>0.44386954279435287</v>
      </c>
      <c r="AH42" s="229"/>
      <c r="AI42" s="205">
        <f t="shared" si="7"/>
        <v>235315.75237866223</v>
      </c>
      <c r="AJ42" s="205">
        <f t="shared" si="8"/>
        <v>202963.87340750551</v>
      </c>
      <c r="AK42" s="205">
        <f t="shared" si="3"/>
        <v>32351.878971156737</v>
      </c>
      <c r="AL42" s="229"/>
      <c r="AM42" s="52">
        <f t="shared" si="4"/>
        <v>1</v>
      </c>
      <c r="AN42" s="52">
        <f t="shared" si="5"/>
        <v>0</v>
      </c>
      <c r="AO42" s="52">
        <f t="shared" si="6"/>
        <v>1</v>
      </c>
      <c r="AP42" s="229"/>
      <c r="AQ42" s="45">
        <v>15000</v>
      </c>
      <c r="AR42" s="45">
        <v>2.1999999999999999E-2</v>
      </c>
      <c r="AS42" s="45">
        <v>0.97799999999999998</v>
      </c>
      <c r="AT42" s="45">
        <v>2.1999999999999999E-2</v>
      </c>
      <c r="AU42" s="229"/>
      <c r="AV42" s="318">
        <f t="shared" si="9"/>
        <v>235315.75237866223</v>
      </c>
      <c r="AW42" s="229"/>
      <c r="AX42" s="312"/>
      <c r="AY42" s="14"/>
      <c r="AZ42" s="14">
        <f t="shared" si="11"/>
        <v>12035.075308278552</v>
      </c>
      <c r="BA42" s="14">
        <f t="shared" si="10"/>
        <v>0.44386954279435287</v>
      </c>
      <c r="BB42" s="14">
        <f t="shared" si="2"/>
        <v>27113.992171016038</v>
      </c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3"/>
      <c r="CT42" s="3"/>
      <c r="CU42" s="3"/>
      <c r="CV42" s="3"/>
      <c r="CW42" s="3"/>
    </row>
    <row r="43" spans="1:101" ht="14.25" customHeight="1" x14ac:dyDescent="0.2">
      <c r="A43" s="286"/>
      <c r="B43" s="52">
        <v>0.15240648668964496</v>
      </c>
      <c r="C43" s="288">
        <v>2.8634536332053533E-2</v>
      </c>
      <c r="D43" s="288">
        <v>3.504397134753412E-2</v>
      </c>
      <c r="E43" s="288">
        <v>7.6320219727851789E-3</v>
      </c>
      <c r="F43" s="289">
        <v>0.74944057112385742</v>
      </c>
      <c r="G43" s="92">
        <v>0.34826944004915467</v>
      </c>
      <c r="H43" s="288">
        <v>2.1914231025234952E-2</v>
      </c>
      <c r="I43" s="288">
        <v>1.2368274784651473E-2</v>
      </c>
      <c r="J43" s="288">
        <v>0.99957617194238646</v>
      </c>
      <c r="K43" s="288">
        <v>0.77857977512347087</v>
      </c>
      <c r="L43" s="290">
        <v>12650.29233926782</v>
      </c>
      <c r="M43" s="288">
        <v>0</v>
      </c>
      <c r="N43" s="288">
        <v>15231.873153830742</v>
      </c>
      <c r="O43" s="288">
        <v>1178.4432462091377</v>
      </c>
      <c r="P43" s="288">
        <v>45962.279931839432</v>
      </c>
      <c r="Q43" s="291">
        <v>85853.937239836261</v>
      </c>
      <c r="R43" s="288">
        <v>19343.102020613034</v>
      </c>
      <c r="S43" s="288">
        <v>8873.7398369719631</v>
      </c>
      <c r="T43" s="290">
        <v>0.751</v>
      </c>
      <c r="U43" s="288">
        <v>0.75800000000000001</v>
      </c>
      <c r="V43" s="288">
        <v>0.723923076923077</v>
      </c>
      <c r="W43" s="288">
        <v>0.72750000000000004</v>
      </c>
      <c r="X43" s="288">
        <v>0.76</v>
      </c>
      <c r="Y43" s="288">
        <v>0</v>
      </c>
      <c r="Z43" s="289">
        <v>0</v>
      </c>
      <c r="AA43" s="229"/>
      <c r="AB43" s="52">
        <v>79228.916877631636</v>
      </c>
      <c r="AC43" s="288">
        <v>3.0012782289555968</v>
      </c>
      <c r="AD43" s="288">
        <v>70084.448825329237</v>
      </c>
      <c r="AE43" s="288">
        <v>3.1404210697607788</v>
      </c>
      <c r="AF43" s="288">
        <v>9144.4680523023999</v>
      </c>
      <c r="AG43" s="289">
        <v>-0.13914284080518202</v>
      </c>
      <c r="AH43" s="229"/>
      <c r="AI43" s="205">
        <f t="shared" si="7"/>
        <v>220898.90601792803</v>
      </c>
      <c r="AJ43" s="205">
        <f t="shared" si="8"/>
        <v>243957.65815074864</v>
      </c>
      <c r="AK43" s="205">
        <f t="shared" si="3"/>
        <v>-23058.752132820602</v>
      </c>
      <c r="AL43" s="229"/>
      <c r="AM43" s="52">
        <f t="shared" si="4"/>
        <v>0</v>
      </c>
      <c r="AN43" s="52">
        <f t="shared" si="5"/>
        <v>1</v>
      </c>
      <c r="AO43" s="52">
        <f t="shared" si="6"/>
        <v>0</v>
      </c>
      <c r="AP43" s="229"/>
      <c r="AQ43" s="45">
        <v>16000</v>
      </c>
      <c r="AR43" s="45">
        <v>2.5000000000000001E-2</v>
      </c>
      <c r="AS43" s="45">
        <v>0.97499999999999998</v>
      </c>
      <c r="AT43" s="45">
        <v>2.5000000000000001E-2</v>
      </c>
      <c r="AU43" s="229"/>
      <c r="AV43" s="318">
        <f t="shared" si="9"/>
        <v>243957.65815074864</v>
      </c>
      <c r="AW43" s="229"/>
      <c r="AX43" s="312"/>
      <c r="AY43" s="14"/>
      <c r="AZ43" s="14">
        <f t="shared" si="11"/>
        <v>9144.4680523023999</v>
      </c>
      <c r="BA43" s="14">
        <f t="shared" si="10"/>
        <v>-0.13914284080518202</v>
      </c>
      <c r="BB43" s="14">
        <f t="shared" si="2"/>
        <v>-65720.003985730305</v>
      </c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3"/>
      <c r="CT43" s="3"/>
      <c r="CU43" s="3"/>
      <c r="CV43" s="3"/>
      <c r="CW43" s="3"/>
    </row>
    <row r="44" spans="1:101" ht="14.25" customHeight="1" x14ac:dyDescent="0.2">
      <c r="A44" s="286"/>
      <c r="B44" s="52">
        <v>0.1510452471656252</v>
      </c>
      <c r="C44" s="288">
        <v>0.51481474705766983</v>
      </c>
      <c r="D44" s="288">
        <v>1.7808023994807298E-2</v>
      </c>
      <c r="E44" s="288">
        <v>9.5254916277822902E-3</v>
      </c>
      <c r="F44" s="289">
        <v>0.79971074377422391</v>
      </c>
      <c r="G44" s="92">
        <v>0.44886958339311722</v>
      </c>
      <c r="H44" s="288">
        <v>0.96899185792438036</v>
      </c>
      <c r="I44" s="288">
        <v>2.3490891324901342E-2</v>
      </c>
      <c r="J44" s="288">
        <v>0.99991823999205398</v>
      </c>
      <c r="K44" s="288">
        <v>0.79612440062928713</v>
      </c>
      <c r="L44" s="290">
        <v>8203.1968019370415</v>
      </c>
      <c r="M44" s="288">
        <v>0</v>
      </c>
      <c r="N44" s="288">
        <v>21433.391162379037</v>
      </c>
      <c r="O44" s="288">
        <v>1405.9555368487695</v>
      </c>
      <c r="P44" s="288">
        <v>37542.210941174846</v>
      </c>
      <c r="Q44" s="291">
        <v>62425.730666652213</v>
      </c>
      <c r="R44" s="288">
        <v>20935.41563098273</v>
      </c>
      <c r="S44" s="288">
        <v>10738.255981664479</v>
      </c>
      <c r="T44" s="290">
        <v>0.751</v>
      </c>
      <c r="U44" s="288">
        <v>0.75800000000000001</v>
      </c>
      <c r="V44" s="288">
        <v>0.723923076923077</v>
      </c>
      <c r="W44" s="288">
        <v>0.72750000000000004</v>
      </c>
      <c r="X44" s="288">
        <v>0.76</v>
      </c>
      <c r="Y44" s="288">
        <v>0</v>
      </c>
      <c r="Z44" s="289">
        <v>0</v>
      </c>
      <c r="AA44" s="229"/>
      <c r="AB44" s="52">
        <v>95248.794372334945</v>
      </c>
      <c r="AC44" s="288">
        <v>3.2341228608897747</v>
      </c>
      <c r="AD44" s="288">
        <v>96163.369584306885</v>
      </c>
      <c r="AE44" s="288">
        <v>3.2221960542903614</v>
      </c>
      <c r="AF44" s="288">
        <v>-914.57521197194001</v>
      </c>
      <c r="AG44" s="289">
        <v>1.1926806599413364E-2</v>
      </c>
      <c r="AH44" s="229"/>
      <c r="AI44" s="205">
        <f t="shared" si="7"/>
        <v>228163.49171664251</v>
      </c>
      <c r="AJ44" s="205">
        <f t="shared" si="8"/>
        <v>226056.23584472924</v>
      </c>
      <c r="AK44" s="205">
        <f t="shared" si="3"/>
        <v>2107.2558719132767</v>
      </c>
      <c r="AL44" s="229"/>
      <c r="AM44" s="52">
        <f t="shared" si="4"/>
        <v>1</v>
      </c>
      <c r="AN44" s="52">
        <f t="shared" si="5"/>
        <v>0</v>
      </c>
      <c r="AO44" s="52">
        <f t="shared" si="6"/>
        <v>1</v>
      </c>
      <c r="AP44" s="229"/>
      <c r="AQ44" s="45">
        <v>17000</v>
      </c>
      <c r="AR44" s="45">
        <v>2.4E-2</v>
      </c>
      <c r="AS44" s="45">
        <v>0.97599999999999998</v>
      </c>
      <c r="AT44" s="45">
        <v>2.4E-2</v>
      </c>
      <c r="AU44" s="229"/>
      <c r="AV44" s="318">
        <f t="shared" si="9"/>
        <v>228163.49171664251</v>
      </c>
      <c r="AW44" s="229"/>
      <c r="AX44" s="312"/>
      <c r="AY44" s="14"/>
      <c r="AZ44" s="14">
        <f t="shared" si="11"/>
        <v>-914.57521197194001</v>
      </c>
      <c r="BA44" s="14">
        <f t="shared" si="10"/>
        <v>1.1926806599413364E-2</v>
      </c>
      <c r="BB44" s="14">
        <f t="shared" si="2"/>
        <v>-76682.320984137084</v>
      </c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3"/>
      <c r="CT44" s="3"/>
      <c r="CU44" s="3"/>
      <c r="CV44" s="3"/>
      <c r="CW44" s="3"/>
    </row>
    <row r="45" spans="1:101" ht="14.25" customHeight="1" x14ac:dyDescent="0.2">
      <c r="A45" s="286"/>
      <c r="B45" s="52">
        <v>0.1624408349503883</v>
      </c>
      <c r="C45" s="288">
        <v>0.16902193823206235</v>
      </c>
      <c r="D45" s="288">
        <v>1.9332941956222482E-2</v>
      </c>
      <c r="E45" s="288">
        <v>1.4479098865425089E-2</v>
      </c>
      <c r="F45" s="289">
        <v>0.81962884102787947</v>
      </c>
      <c r="G45" s="92">
        <v>0.34588507534594948</v>
      </c>
      <c r="H45" s="288">
        <v>0.27109655346206901</v>
      </c>
      <c r="I45" s="288">
        <v>1.614050257124755E-2</v>
      </c>
      <c r="J45" s="288">
        <v>0.99999676810609284</v>
      </c>
      <c r="K45" s="288">
        <v>0.79827107016186938</v>
      </c>
      <c r="L45" s="290">
        <v>11120.903231324097</v>
      </c>
      <c r="M45" s="288">
        <v>0</v>
      </c>
      <c r="N45" s="288">
        <v>17410.1135619751</v>
      </c>
      <c r="O45" s="288">
        <v>892.81824677843258</v>
      </c>
      <c r="P45" s="288">
        <v>54296.188684929271</v>
      </c>
      <c r="Q45" s="291">
        <v>119282.80665150232</v>
      </c>
      <c r="R45" s="288">
        <v>23459.032267189701</v>
      </c>
      <c r="S45" s="288">
        <v>6295.6584674145324</v>
      </c>
      <c r="T45" s="290">
        <v>0.751</v>
      </c>
      <c r="U45" s="288">
        <v>0.75800000000000001</v>
      </c>
      <c r="V45" s="288">
        <v>0.723923076923077</v>
      </c>
      <c r="W45" s="288">
        <v>0.72750000000000004</v>
      </c>
      <c r="X45" s="288">
        <v>0.76</v>
      </c>
      <c r="Y45" s="288">
        <v>0</v>
      </c>
      <c r="Z45" s="289">
        <v>0</v>
      </c>
      <c r="AA45" s="229"/>
      <c r="AB45" s="52">
        <v>63384.705965930851</v>
      </c>
      <c r="AC45" s="288">
        <v>3.3274771846469315</v>
      </c>
      <c r="AD45" s="288">
        <v>53674.815750586487</v>
      </c>
      <c r="AE45" s="288">
        <v>3.2322349325726352</v>
      </c>
      <c r="AF45" s="288">
        <v>9709.8902153443632</v>
      </c>
      <c r="AG45" s="289">
        <v>9.5242252074296374E-2</v>
      </c>
      <c r="AH45" s="229"/>
      <c r="AI45" s="205">
        <f t="shared" si="7"/>
        <v>269363.01249876234</v>
      </c>
      <c r="AJ45" s="205">
        <f t="shared" si="8"/>
        <v>269548.67750667699</v>
      </c>
      <c r="AK45" s="205">
        <f t="shared" si="3"/>
        <v>-185.66500791472572</v>
      </c>
      <c r="AL45" s="229"/>
      <c r="AM45" s="52">
        <f t="shared" si="4"/>
        <v>0</v>
      </c>
      <c r="AN45" s="52">
        <f t="shared" si="5"/>
        <v>1</v>
      </c>
      <c r="AO45" s="52">
        <f t="shared" si="6"/>
        <v>0</v>
      </c>
      <c r="AP45" s="229"/>
      <c r="AQ45" s="45">
        <v>18000</v>
      </c>
      <c r="AR45" s="45">
        <v>2.5000000000000001E-2</v>
      </c>
      <c r="AS45" s="45">
        <v>0.97499999999999998</v>
      </c>
      <c r="AT45" s="45">
        <v>2.5000000000000001E-2</v>
      </c>
      <c r="AU45" s="229"/>
      <c r="AV45" s="318">
        <f t="shared" si="9"/>
        <v>269548.67750667699</v>
      </c>
      <c r="AW45" s="229"/>
      <c r="AX45" s="312"/>
      <c r="AY45" s="14"/>
      <c r="AZ45" s="14">
        <f t="shared" si="11"/>
        <v>9709.8902153443632</v>
      </c>
      <c r="BA45" s="14">
        <f t="shared" si="10"/>
        <v>9.5242252074296374E-2</v>
      </c>
      <c r="BB45" s="14">
        <f t="shared" si="2"/>
        <v>101949.39749818067</v>
      </c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3"/>
      <c r="CT45" s="3"/>
      <c r="CU45" s="3"/>
      <c r="CV45" s="3"/>
      <c r="CW45" s="3"/>
    </row>
    <row r="46" spans="1:101" ht="14.25" customHeight="1" x14ac:dyDescent="0.2">
      <c r="A46" s="286"/>
      <c r="B46" s="52">
        <v>0.16594119553671838</v>
      </c>
      <c r="C46" s="288">
        <v>0.53639547677459132</v>
      </c>
      <c r="D46" s="288">
        <v>2.5129178738257263E-2</v>
      </c>
      <c r="E46" s="288">
        <v>1.762423560813986E-2</v>
      </c>
      <c r="F46" s="289">
        <v>0.78541125888095997</v>
      </c>
      <c r="G46" s="92">
        <v>0.43668737969455362</v>
      </c>
      <c r="H46" s="288">
        <v>0.79851333814184966</v>
      </c>
      <c r="I46" s="288">
        <v>2.0536609153155805E-2</v>
      </c>
      <c r="J46" s="288">
        <v>0.9999999996078347</v>
      </c>
      <c r="K46" s="288">
        <v>0.71704170772398512</v>
      </c>
      <c r="L46" s="290">
        <v>13733.405931894418</v>
      </c>
      <c r="M46" s="288">
        <v>0</v>
      </c>
      <c r="N46" s="288">
        <v>19559.328759569406</v>
      </c>
      <c r="O46" s="288">
        <v>816.00661058160642</v>
      </c>
      <c r="P46" s="288">
        <v>37129.386772885882</v>
      </c>
      <c r="Q46" s="291">
        <v>93207.839287879702</v>
      </c>
      <c r="R46" s="288">
        <v>25933.197617044014</v>
      </c>
      <c r="S46" s="288">
        <v>7772.8829569245127</v>
      </c>
      <c r="T46" s="290">
        <v>0.751</v>
      </c>
      <c r="U46" s="288">
        <v>0.75800000000000001</v>
      </c>
      <c r="V46" s="288">
        <v>0.723923076923077</v>
      </c>
      <c r="W46" s="288">
        <v>0.72750000000000004</v>
      </c>
      <c r="X46" s="288">
        <v>0.76</v>
      </c>
      <c r="Y46" s="288">
        <v>0</v>
      </c>
      <c r="Z46" s="289">
        <v>0</v>
      </c>
      <c r="AA46" s="229"/>
      <c r="AB46" s="52">
        <v>77022.532195863707</v>
      </c>
      <c r="AC46" s="288">
        <v>3.167486194717418</v>
      </c>
      <c r="AD46" s="288">
        <v>66258.804698752108</v>
      </c>
      <c r="AE46" s="288">
        <v>2.8574294298585157</v>
      </c>
      <c r="AF46" s="288">
        <v>10763.727497111598</v>
      </c>
      <c r="AG46" s="289">
        <v>0.31005676485890232</v>
      </c>
      <c r="AH46" s="229"/>
      <c r="AI46" s="205">
        <f t="shared" si="7"/>
        <v>239726.08727587806</v>
      </c>
      <c r="AJ46" s="205">
        <f t="shared" si="8"/>
        <v>219484.13828709943</v>
      </c>
      <c r="AK46" s="205">
        <f t="shared" si="3"/>
        <v>20241.948988778633</v>
      </c>
      <c r="AL46" s="229"/>
      <c r="AM46" s="52">
        <f t="shared" si="4"/>
        <v>1</v>
      </c>
      <c r="AN46" s="52">
        <f t="shared" si="5"/>
        <v>0</v>
      </c>
      <c r="AO46" s="52">
        <f t="shared" si="6"/>
        <v>1</v>
      </c>
      <c r="AP46" s="229"/>
      <c r="AQ46" s="45">
        <v>19000</v>
      </c>
      <c r="AR46" s="45">
        <v>0.03</v>
      </c>
      <c r="AS46" s="45">
        <v>0.97</v>
      </c>
      <c r="AT46" s="45">
        <v>0.03</v>
      </c>
      <c r="AU46" s="229"/>
      <c r="AV46" s="318">
        <f t="shared" si="9"/>
        <v>239726.08727587806</v>
      </c>
      <c r="AW46" s="229"/>
      <c r="AX46" s="312"/>
      <c r="AY46" s="14"/>
      <c r="AZ46" s="14">
        <f t="shared" si="11"/>
        <v>10763.727497111598</v>
      </c>
      <c r="BA46" s="14">
        <f t="shared" si="10"/>
        <v>0.31005676485890232</v>
      </c>
      <c r="BB46" s="14">
        <f t="shared" si="2"/>
        <v>34715.344791815311</v>
      </c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3"/>
      <c r="CT46" s="3"/>
      <c r="CU46" s="3"/>
      <c r="CV46" s="3"/>
      <c r="CW46" s="3"/>
    </row>
    <row r="47" spans="1:101" ht="14.25" customHeight="1" x14ac:dyDescent="0.2">
      <c r="A47" s="286"/>
      <c r="B47" s="52">
        <v>0.13710185270782388</v>
      </c>
      <c r="C47" s="288">
        <v>0.61086317782406807</v>
      </c>
      <c r="D47" s="288">
        <v>1.241674466058547E-2</v>
      </c>
      <c r="E47" s="288">
        <v>1.9768102065659376E-2</v>
      </c>
      <c r="F47" s="289">
        <v>0.81317960764373876</v>
      </c>
      <c r="G47" s="92">
        <v>0.42512873903065984</v>
      </c>
      <c r="H47" s="288">
        <v>0.59049446845960107</v>
      </c>
      <c r="I47" s="288">
        <v>3.0493008078922523E-2</v>
      </c>
      <c r="J47" s="288">
        <v>0.9999999991556846</v>
      </c>
      <c r="K47" s="288">
        <v>0.73971597461839533</v>
      </c>
      <c r="L47" s="290">
        <v>12007.206409062044</v>
      </c>
      <c r="M47" s="288">
        <v>0</v>
      </c>
      <c r="N47" s="288">
        <v>25416.493580537197</v>
      </c>
      <c r="O47" s="288">
        <v>1297.3996200773222</v>
      </c>
      <c r="P47" s="288">
        <v>50511.069971528683</v>
      </c>
      <c r="Q47" s="291">
        <v>100470.3333984958</v>
      </c>
      <c r="R47" s="288">
        <v>30305.924566301081</v>
      </c>
      <c r="S47" s="288">
        <v>8523.0497968066556</v>
      </c>
      <c r="T47" s="290">
        <v>0.751</v>
      </c>
      <c r="U47" s="288">
        <v>0.75800000000000001</v>
      </c>
      <c r="V47" s="288">
        <v>0.723923076923077</v>
      </c>
      <c r="W47" s="288">
        <v>0.72750000000000004</v>
      </c>
      <c r="X47" s="288">
        <v>0.76</v>
      </c>
      <c r="Y47" s="288">
        <v>0</v>
      </c>
      <c r="Z47" s="289">
        <v>0</v>
      </c>
      <c r="AA47" s="229"/>
      <c r="AB47" s="52">
        <v>83527.276889041939</v>
      </c>
      <c r="AC47" s="288">
        <v>3.2971820869968842</v>
      </c>
      <c r="AD47" s="288">
        <v>73321.134127185869</v>
      </c>
      <c r="AE47" s="288">
        <v>2.9610058000328054</v>
      </c>
      <c r="AF47" s="288">
        <v>10206.14276185607</v>
      </c>
      <c r="AG47" s="289">
        <v>0.33617628696407875</v>
      </c>
      <c r="AH47" s="229"/>
      <c r="AI47" s="205">
        <f t="shared" si="7"/>
        <v>246190.93181064649</v>
      </c>
      <c r="AJ47" s="205">
        <f t="shared" si="8"/>
        <v>222779.44587609469</v>
      </c>
      <c r="AK47" s="205">
        <f t="shared" si="3"/>
        <v>23411.485934551805</v>
      </c>
      <c r="AL47" s="229"/>
      <c r="AM47" s="52">
        <f t="shared" si="4"/>
        <v>1</v>
      </c>
      <c r="AN47" s="52">
        <f t="shared" si="5"/>
        <v>0</v>
      </c>
      <c r="AO47" s="52">
        <f t="shared" si="6"/>
        <v>1</v>
      </c>
      <c r="AP47" s="229"/>
      <c r="AQ47" s="45">
        <v>20000</v>
      </c>
      <c r="AR47" s="45">
        <v>3.3000000000000002E-2</v>
      </c>
      <c r="AS47" s="45">
        <v>0.96699999999999997</v>
      </c>
      <c r="AT47" s="45">
        <v>3.3000000000000002E-2</v>
      </c>
      <c r="AU47" s="229"/>
      <c r="AV47" s="318">
        <f t="shared" si="9"/>
        <v>246190.93181064649</v>
      </c>
      <c r="AW47" s="229"/>
      <c r="AX47" s="312"/>
      <c r="AY47" s="14"/>
      <c r="AZ47" s="14">
        <f t="shared" si="11"/>
        <v>10206.14276185607</v>
      </c>
      <c r="BA47" s="14">
        <f t="shared" si="10"/>
        <v>0.33617628696407875</v>
      </c>
      <c r="BB47" s="14">
        <f t="shared" si="2"/>
        <v>30359.496364318584</v>
      </c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3"/>
      <c r="CT47" s="3"/>
      <c r="CU47" s="3"/>
      <c r="CV47" s="3"/>
      <c r="CW47" s="3"/>
    </row>
    <row r="48" spans="1:101" ht="14.25" customHeight="1" x14ac:dyDescent="0.2">
      <c r="A48" s="286"/>
      <c r="B48" s="52">
        <v>0.1472098845550161</v>
      </c>
      <c r="C48" s="288">
        <v>0.20608788161771965</v>
      </c>
      <c r="D48" s="288">
        <v>1.1711475099829362E-2</v>
      </c>
      <c r="E48" s="288">
        <v>1.6632619747541155E-2</v>
      </c>
      <c r="F48" s="289">
        <v>0.76959927460255018</v>
      </c>
      <c r="G48" s="92">
        <v>0.36982442899533602</v>
      </c>
      <c r="H48" s="288">
        <v>0.35885379056311395</v>
      </c>
      <c r="I48" s="288">
        <v>4.7866040197811044E-2</v>
      </c>
      <c r="J48" s="288">
        <v>0.99999999999837885</v>
      </c>
      <c r="K48" s="288">
        <v>0.79958343930991371</v>
      </c>
      <c r="L48" s="290">
        <v>9624.5104682181827</v>
      </c>
      <c r="M48" s="288">
        <v>0</v>
      </c>
      <c r="N48" s="288">
        <v>18622.260017352019</v>
      </c>
      <c r="O48" s="288">
        <v>1281.0304967883442</v>
      </c>
      <c r="P48" s="288">
        <v>52165.495876694622</v>
      </c>
      <c r="Q48" s="291">
        <v>97868.076590998302</v>
      </c>
      <c r="R48" s="288">
        <v>32347.93476129523</v>
      </c>
      <c r="S48" s="288">
        <v>9574.2172660193373</v>
      </c>
      <c r="T48" s="290">
        <v>0.751</v>
      </c>
      <c r="U48" s="288">
        <v>0.75800000000000001</v>
      </c>
      <c r="V48" s="288">
        <v>0.723923076923077</v>
      </c>
      <c r="W48" s="288">
        <v>0.72750000000000004</v>
      </c>
      <c r="X48" s="288">
        <v>0.76</v>
      </c>
      <c r="Y48" s="288">
        <v>0</v>
      </c>
      <c r="Z48" s="289">
        <v>0</v>
      </c>
      <c r="AA48" s="229"/>
      <c r="AB48" s="52">
        <v>83928.344030468288</v>
      </c>
      <c r="AC48" s="288">
        <v>3.0941745673350027</v>
      </c>
      <c r="AD48" s="288">
        <v>84000.837556730796</v>
      </c>
      <c r="AE48" s="288">
        <v>3.2383757912955784</v>
      </c>
      <c r="AF48" s="288">
        <v>-72.493526262507658</v>
      </c>
      <c r="AG48" s="289">
        <v>-0.14420122396057566</v>
      </c>
      <c r="AH48" s="229"/>
      <c r="AI48" s="205">
        <f t="shared" si="7"/>
        <v>225489.11270303201</v>
      </c>
      <c r="AJ48" s="205">
        <f t="shared" si="8"/>
        <v>239836.74157282704</v>
      </c>
      <c r="AK48" s="205">
        <f t="shared" si="3"/>
        <v>-14347.628869795059</v>
      </c>
      <c r="AL48" s="229"/>
      <c r="AM48" s="52">
        <f t="shared" si="4"/>
        <v>0</v>
      </c>
      <c r="AN48" s="52">
        <f t="shared" si="5"/>
        <v>1</v>
      </c>
      <c r="AO48" s="52">
        <f t="shared" si="6"/>
        <v>0</v>
      </c>
      <c r="AP48" s="229"/>
      <c r="AQ48" s="45">
        <v>21000</v>
      </c>
      <c r="AR48" s="45">
        <v>3.9E-2</v>
      </c>
      <c r="AS48" s="45">
        <v>0.96099999999999997</v>
      </c>
      <c r="AT48" s="45">
        <v>3.9E-2</v>
      </c>
      <c r="AU48" s="229"/>
      <c r="AV48" s="318">
        <f t="shared" si="9"/>
        <v>239836.74157282704</v>
      </c>
      <c r="AW48" s="229"/>
      <c r="AX48" s="312"/>
      <c r="AY48" s="14"/>
      <c r="AZ48" s="14">
        <f t="shared" si="11"/>
        <v>-72.493526262507658</v>
      </c>
      <c r="BA48" s="14">
        <f t="shared" si="10"/>
        <v>-0.14420122396057566</v>
      </c>
      <c r="BB48" s="14">
        <f t="shared" si="2"/>
        <v>502.72476385032104</v>
      </c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3"/>
      <c r="CT48" s="3"/>
      <c r="CU48" s="3"/>
      <c r="CV48" s="3"/>
      <c r="CW48" s="3"/>
    </row>
    <row r="49" spans="1:101" ht="14.25" customHeight="1" x14ac:dyDescent="0.2">
      <c r="A49" s="286"/>
      <c r="B49" s="52">
        <v>0.18435363602879629</v>
      </c>
      <c r="C49" s="288">
        <v>0.98586506180000866</v>
      </c>
      <c r="D49" s="288">
        <v>1.0346659290665828E-2</v>
      </c>
      <c r="E49" s="288">
        <v>8.4819094554108784E-3</v>
      </c>
      <c r="F49" s="289">
        <v>0.80427647894362952</v>
      </c>
      <c r="G49" s="92">
        <v>0.39243258717154889</v>
      </c>
      <c r="H49" s="288">
        <v>0.68529003716976611</v>
      </c>
      <c r="I49" s="288">
        <v>6.0287902371347138E-3</v>
      </c>
      <c r="J49" s="288">
        <v>0.99999999990177268</v>
      </c>
      <c r="K49" s="288">
        <v>0.78629164563981457</v>
      </c>
      <c r="L49" s="290">
        <v>13157.513374716982</v>
      </c>
      <c r="M49" s="288">
        <v>0</v>
      </c>
      <c r="N49" s="288">
        <v>19921.992817414666</v>
      </c>
      <c r="O49" s="288">
        <v>1276.5225192926182</v>
      </c>
      <c r="P49" s="288">
        <v>44090.579828618131</v>
      </c>
      <c r="Q49" s="291">
        <v>111301.21296903664</v>
      </c>
      <c r="R49" s="288">
        <v>28240.003599994245</v>
      </c>
      <c r="S49" s="288">
        <v>9258.3042096051922</v>
      </c>
      <c r="T49" s="290">
        <v>0.751</v>
      </c>
      <c r="U49" s="288">
        <v>0.75800000000000001</v>
      </c>
      <c r="V49" s="288">
        <v>0.723923076923077</v>
      </c>
      <c r="W49" s="288">
        <v>0.72750000000000004</v>
      </c>
      <c r="X49" s="288">
        <v>0.76</v>
      </c>
      <c r="Y49" s="288">
        <v>0</v>
      </c>
      <c r="Z49" s="289">
        <v>0</v>
      </c>
      <c r="AA49" s="229"/>
      <c r="AB49" s="52">
        <v>92473.49938531412</v>
      </c>
      <c r="AC49" s="288">
        <v>3.255467077602983</v>
      </c>
      <c r="AD49" s="288">
        <v>81120.519252705315</v>
      </c>
      <c r="AE49" s="288">
        <v>3.1763061092079723</v>
      </c>
      <c r="AF49" s="288">
        <v>11352.980132608805</v>
      </c>
      <c r="AG49" s="289">
        <v>7.9160968395010745E-2</v>
      </c>
      <c r="AH49" s="229"/>
      <c r="AI49" s="205">
        <f t="shared" si="7"/>
        <v>233073.20837498415</v>
      </c>
      <c r="AJ49" s="205">
        <f t="shared" si="8"/>
        <v>236510.09166809189</v>
      </c>
      <c r="AK49" s="205">
        <f t="shared" si="3"/>
        <v>-3436.8832931077313</v>
      </c>
      <c r="AL49" s="229"/>
      <c r="AM49" s="52">
        <f t="shared" si="4"/>
        <v>0</v>
      </c>
      <c r="AN49" s="52">
        <f t="shared" si="5"/>
        <v>1</v>
      </c>
      <c r="AO49" s="52">
        <f t="shared" si="6"/>
        <v>0</v>
      </c>
      <c r="AP49" s="229"/>
      <c r="AQ49" s="45">
        <v>22000</v>
      </c>
      <c r="AR49" s="45">
        <v>4.2000000000000003E-2</v>
      </c>
      <c r="AS49" s="45">
        <v>0.95799999999999996</v>
      </c>
      <c r="AT49" s="45">
        <v>4.2000000000000003E-2</v>
      </c>
      <c r="AU49" s="229"/>
      <c r="AV49" s="318">
        <f t="shared" si="9"/>
        <v>236510.09166809189</v>
      </c>
      <c r="AW49" s="229"/>
      <c r="AX49" s="312"/>
      <c r="AY49" s="14"/>
      <c r="AZ49" s="14">
        <f t="shared" si="11"/>
        <v>11352.980132608805</v>
      </c>
      <c r="BA49" s="14">
        <f t="shared" si="10"/>
        <v>7.9160968395010745E-2</v>
      </c>
      <c r="BB49" s="14">
        <f t="shared" si="2"/>
        <v>143416.38768184077</v>
      </c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3"/>
      <c r="CT49" s="3"/>
      <c r="CU49" s="3"/>
      <c r="CV49" s="3"/>
      <c r="CW49" s="3"/>
    </row>
    <row r="50" spans="1:101" ht="14.25" customHeight="1" x14ac:dyDescent="0.2">
      <c r="A50" s="286"/>
      <c r="B50" s="52">
        <v>0.22289941673012681</v>
      </c>
      <c r="C50" s="288">
        <v>0.94871530916258073</v>
      </c>
      <c r="D50" s="288">
        <v>1.1970371965343661E-2</v>
      </c>
      <c r="E50" s="288">
        <v>2.5198230817343403E-2</v>
      </c>
      <c r="F50" s="289">
        <v>0.79979486473712347</v>
      </c>
      <c r="G50" s="92">
        <v>0.37616037734000762</v>
      </c>
      <c r="H50" s="288">
        <v>0.71905247840704667</v>
      </c>
      <c r="I50" s="288">
        <v>3.7861224063872601E-2</v>
      </c>
      <c r="J50" s="288">
        <v>1</v>
      </c>
      <c r="K50" s="288">
        <v>0.79428473169204061</v>
      </c>
      <c r="L50" s="290">
        <v>11843.81992775487</v>
      </c>
      <c r="M50" s="288">
        <v>0</v>
      </c>
      <c r="N50" s="288">
        <v>18369.66201347873</v>
      </c>
      <c r="O50" s="288">
        <v>1495.7752101019366</v>
      </c>
      <c r="P50" s="288">
        <v>34369.499227518405</v>
      </c>
      <c r="Q50" s="291">
        <v>110528.1918086465</v>
      </c>
      <c r="R50" s="288">
        <v>31651.012212961465</v>
      </c>
      <c r="S50" s="288">
        <v>8037.5710400765875</v>
      </c>
      <c r="T50" s="290">
        <v>0.751</v>
      </c>
      <c r="U50" s="288">
        <v>0.75800000000000001</v>
      </c>
      <c r="V50" s="288">
        <v>0.723923076923077</v>
      </c>
      <c r="W50" s="288">
        <v>0.72750000000000004</v>
      </c>
      <c r="X50" s="288">
        <v>0.76</v>
      </c>
      <c r="Y50" s="288">
        <v>0</v>
      </c>
      <c r="Z50" s="289">
        <v>0</v>
      </c>
      <c r="AA50" s="229"/>
      <c r="AB50" s="52">
        <v>82824.795248261376</v>
      </c>
      <c r="AC50" s="288">
        <v>3.2345158197646038</v>
      </c>
      <c r="AD50" s="288">
        <v>75211.886134732616</v>
      </c>
      <c r="AE50" s="288">
        <v>3.2135986409250075</v>
      </c>
      <c r="AF50" s="288">
        <v>7612.9091135287599</v>
      </c>
      <c r="AG50" s="289">
        <v>2.0917178839596318E-2</v>
      </c>
      <c r="AH50" s="229"/>
      <c r="AI50" s="205">
        <f t="shared" si="7"/>
        <v>240626.78672819899</v>
      </c>
      <c r="AJ50" s="205">
        <f t="shared" si="8"/>
        <v>246147.97795776813</v>
      </c>
      <c r="AK50" s="205">
        <f t="shared" si="3"/>
        <v>-5521.1912295691282</v>
      </c>
      <c r="AL50" s="229"/>
      <c r="AM50" s="52">
        <f t="shared" si="4"/>
        <v>0</v>
      </c>
      <c r="AN50" s="52">
        <f t="shared" si="5"/>
        <v>1</v>
      </c>
      <c r="AO50" s="52">
        <f t="shared" si="6"/>
        <v>0</v>
      </c>
      <c r="AP50" s="229"/>
      <c r="AQ50" s="45">
        <v>23000</v>
      </c>
      <c r="AR50" s="45">
        <v>4.5999999999999999E-2</v>
      </c>
      <c r="AS50" s="45">
        <v>0.95399999999999996</v>
      </c>
      <c r="AT50" s="45">
        <v>4.5999999999999999E-2</v>
      </c>
      <c r="AU50" s="229"/>
      <c r="AV50" s="318">
        <f t="shared" si="9"/>
        <v>246147.97795776813</v>
      </c>
      <c r="AW50" s="229"/>
      <c r="AX50" s="312"/>
      <c r="AY50" s="14"/>
      <c r="AZ50" s="14">
        <f t="shared" si="11"/>
        <v>7612.9091135287599</v>
      </c>
      <c r="BA50" s="14">
        <f t="shared" si="10"/>
        <v>2.0917178839596318E-2</v>
      </c>
      <c r="BB50" s="14">
        <f t="shared" si="2"/>
        <v>363954.87039186602</v>
      </c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3"/>
      <c r="CT50" s="3"/>
      <c r="CU50" s="3"/>
      <c r="CV50" s="3"/>
      <c r="CW50" s="3"/>
    </row>
    <row r="51" spans="1:101" ht="14.25" customHeight="1" x14ac:dyDescent="0.2">
      <c r="A51" s="286"/>
      <c r="B51" s="52">
        <v>0.20310861134499791</v>
      </c>
      <c r="C51" s="288">
        <v>0.22393939714008196</v>
      </c>
      <c r="D51" s="288">
        <v>1.8378750610744232E-2</v>
      </c>
      <c r="E51" s="288">
        <v>8.1578858441331507E-3</v>
      </c>
      <c r="F51" s="289">
        <v>0.77889962057116313</v>
      </c>
      <c r="G51" s="92">
        <v>0.39636338111181324</v>
      </c>
      <c r="H51" s="288">
        <v>0.4990555862107402</v>
      </c>
      <c r="I51" s="288">
        <v>1.0525700069484688E-2</v>
      </c>
      <c r="J51" s="288">
        <v>9.9805311795311477E-2</v>
      </c>
      <c r="K51" s="288">
        <v>0.70735248490489777</v>
      </c>
      <c r="L51" s="290">
        <v>9827.9555829744531</v>
      </c>
      <c r="M51" s="288">
        <v>0</v>
      </c>
      <c r="N51" s="288">
        <v>20264.849769375938</v>
      </c>
      <c r="O51" s="288">
        <v>989.83817964874754</v>
      </c>
      <c r="P51" s="288">
        <v>43063.224579261841</v>
      </c>
      <c r="Q51" s="291">
        <v>91318.661649402216</v>
      </c>
      <c r="R51" s="288">
        <v>21947.382722285689</v>
      </c>
      <c r="S51" s="288">
        <v>7321.865777235419</v>
      </c>
      <c r="T51" s="290">
        <v>0.751</v>
      </c>
      <c r="U51" s="288">
        <v>0.75800000000000001</v>
      </c>
      <c r="V51" s="288">
        <v>0.723923076923077</v>
      </c>
      <c r="W51" s="288">
        <v>0.72750000000000004</v>
      </c>
      <c r="X51" s="288">
        <v>0.76</v>
      </c>
      <c r="Y51" s="288">
        <v>0</v>
      </c>
      <c r="Z51" s="289">
        <v>0</v>
      </c>
      <c r="AA51" s="229"/>
      <c r="AB51" s="52">
        <v>67842.785884620011</v>
      </c>
      <c r="AC51" s="288">
        <v>3.1372477517560022</v>
      </c>
      <c r="AD51" s="288">
        <v>56759.874965739182</v>
      </c>
      <c r="AE51" s="288">
        <v>2.8134160616276054</v>
      </c>
      <c r="AF51" s="288">
        <v>11082.910918880829</v>
      </c>
      <c r="AG51" s="289">
        <v>0.32383169012839685</v>
      </c>
      <c r="AH51" s="229"/>
      <c r="AI51" s="205">
        <f t="shared" si="7"/>
        <v>245881.98929098019</v>
      </c>
      <c r="AJ51" s="205">
        <f t="shared" si="8"/>
        <v>224581.73119702135</v>
      </c>
      <c r="AK51" s="205">
        <f t="shared" si="3"/>
        <v>21300.258093958855</v>
      </c>
      <c r="AL51" s="229"/>
      <c r="AM51" s="52">
        <f t="shared" si="4"/>
        <v>1</v>
      </c>
      <c r="AN51" s="52">
        <f t="shared" si="5"/>
        <v>0</v>
      </c>
      <c r="AO51" s="52">
        <f t="shared" si="6"/>
        <v>1</v>
      </c>
      <c r="AP51" s="229"/>
      <c r="AQ51" s="45">
        <v>24000</v>
      </c>
      <c r="AR51" s="45">
        <v>5.0999999999999997E-2</v>
      </c>
      <c r="AS51" s="45">
        <v>0.94899999999999995</v>
      </c>
      <c r="AT51" s="45">
        <v>5.0999999999999997E-2</v>
      </c>
      <c r="AU51" s="229"/>
      <c r="AV51" s="318">
        <f t="shared" si="9"/>
        <v>245881.98929098019</v>
      </c>
      <c r="AW51" s="229"/>
      <c r="AX51" s="312"/>
      <c r="AY51" s="14"/>
      <c r="AZ51" s="14">
        <f t="shared" si="11"/>
        <v>11082.910918880829</v>
      </c>
      <c r="BA51" s="14">
        <f t="shared" si="10"/>
        <v>0.32383169012839685</v>
      </c>
      <c r="BB51" s="14">
        <f t="shared" si="2"/>
        <v>34224.293843775871</v>
      </c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3"/>
      <c r="CT51" s="3"/>
      <c r="CU51" s="3"/>
      <c r="CV51" s="3"/>
      <c r="CW51" s="3"/>
    </row>
    <row r="52" spans="1:101" ht="14.25" customHeight="1" x14ac:dyDescent="0.2">
      <c r="A52" s="286"/>
      <c r="B52" s="52">
        <v>0.17480580934906897</v>
      </c>
      <c r="C52" s="288">
        <v>0.46846359759236167</v>
      </c>
      <c r="D52" s="288">
        <v>1.1267262601331459E-2</v>
      </c>
      <c r="E52" s="288">
        <v>1.4055503606881976E-2</v>
      </c>
      <c r="F52" s="289">
        <v>0.77046334522302207</v>
      </c>
      <c r="G52" s="92">
        <v>0.37841903547361061</v>
      </c>
      <c r="H52" s="288">
        <v>0.28924093479629037</v>
      </c>
      <c r="I52" s="288">
        <v>6.7342276543977076E-3</v>
      </c>
      <c r="J52" s="288">
        <v>0.99999999999999978</v>
      </c>
      <c r="K52" s="288">
        <v>0.70670519803279885</v>
      </c>
      <c r="L52" s="290">
        <v>10711.459135342287</v>
      </c>
      <c r="M52" s="288">
        <v>0</v>
      </c>
      <c r="N52" s="288">
        <v>14670.294873961495</v>
      </c>
      <c r="O52" s="288">
        <v>1192.7732391398126</v>
      </c>
      <c r="P52" s="288">
        <v>49469.755240250015</v>
      </c>
      <c r="Q52" s="291">
        <v>122755.41766543957</v>
      </c>
      <c r="R52" s="288">
        <v>21743.393174450877</v>
      </c>
      <c r="S52" s="288">
        <v>7763.1978767779456</v>
      </c>
      <c r="T52" s="290">
        <v>0.751</v>
      </c>
      <c r="U52" s="288">
        <v>0.75800000000000001</v>
      </c>
      <c r="V52" s="288">
        <v>0.723923076923077</v>
      </c>
      <c r="W52" s="288">
        <v>0.72750000000000004</v>
      </c>
      <c r="X52" s="288">
        <v>0.76</v>
      </c>
      <c r="Y52" s="288">
        <v>0</v>
      </c>
      <c r="Z52" s="289">
        <v>0</v>
      </c>
      <c r="AA52" s="229"/>
      <c r="AB52" s="52">
        <v>72172.224676722224</v>
      </c>
      <c r="AC52" s="288">
        <v>3.0981706665027824</v>
      </c>
      <c r="AD52" s="288">
        <v>58024.292129981659</v>
      </c>
      <c r="AE52" s="288">
        <v>2.8104810291936309</v>
      </c>
      <c r="AF52" s="288">
        <v>14147.932546740565</v>
      </c>
      <c r="AG52" s="289">
        <v>0.28768963730915154</v>
      </c>
      <c r="AH52" s="229"/>
      <c r="AI52" s="205">
        <f t="shared" si="7"/>
        <v>237644.841973556</v>
      </c>
      <c r="AJ52" s="205">
        <f t="shared" si="8"/>
        <v>223023.81078938142</v>
      </c>
      <c r="AK52" s="205">
        <f t="shared" si="3"/>
        <v>14621.03118417459</v>
      </c>
      <c r="AL52" s="229"/>
      <c r="AM52" s="52">
        <f t="shared" si="4"/>
        <v>1</v>
      </c>
      <c r="AN52" s="52">
        <f t="shared" si="5"/>
        <v>0</v>
      </c>
      <c r="AO52" s="52">
        <f t="shared" si="6"/>
        <v>1</v>
      </c>
      <c r="AP52" s="229"/>
      <c r="AQ52" s="45">
        <v>25000</v>
      </c>
      <c r="AR52" s="45">
        <v>5.6000000000000001E-2</v>
      </c>
      <c r="AS52" s="45">
        <v>0.94399999999999995</v>
      </c>
      <c r="AT52" s="45">
        <v>5.6000000000000001E-2</v>
      </c>
      <c r="AU52" s="229"/>
      <c r="AV52" s="318">
        <f t="shared" si="9"/>
        <v>237644.841973556</v>
      </c>
      <c r="AW52" s="229"/>
      <c r="AX52" s="312"/>
      <c r="AY52" s="14"/>
      <c r="AZ52" s="14">
        <f t="shared" si="11"/>
        <v>14147.932546740565</v>
      </c>
      <c r="BA52" s="14">
        <f t="shared" si="10"/>
        <v>0.28768963730915154</v>
      </c>
      <c r="BB52" s="14">
        <f t="shared" si="2"/>
        <v>49177.762115696867</v>
      </c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3"/>
      <c r="CT52" s="3"/>
      <c r="CU52" s="3"/>
      <c r="CV52" s="3"/>
      <c r="CW52" s="3"/>
    </row>
    <row r="53" spans="1:101" ht="14.25" customHeight="1" x14ac:dyDescent="0.2">
      <c r="A53" s="286"/>
      <c r="B53" s="52">
        <v>0.1637667088409881</v>
      </c>
      <c r="C53" s="288">
        <v>0.11577064215577444</v>
      </c>
      <c r="D53" s="288">
        <v>1.2153141917314645E-2</v>
      </c>
      <c r="E53" s="288">
        <v>1.2412695968592862E-2</v>
      </c>
      <c r="F53" s="289">
        <v>0.82732770058540894</v>
      </c>
      <c r="G53" s="92">
        <v>0.37611524703507115</v>
      </c>
      <c r="H53" s="288">
        <v>0.23625268238694755</v>
      </c>
      <c r="I53" s="288">
        <v>5.5640098099827007E-3</v>
      </c>
      <c r="J53" s="288">
        <v>0.63949135028554149</v>
      </c>
      <c r="K53" s="288">
        <v>0.74450429471548274</v>
      </c>
      <c r="L53" s="290">
        <v>10310.34773652359</v>
      </c>
      <c r="M53" s="288">
        <v>0</v>
      </c>
      <c r="N53" s="288">
        <v>17472.423998660874</v>
      </c>
      <c r="O53" s="288">
        <v>744.32200584291286</v>
      </c>
      <c r="P53" s="288">
        <v>40686.316372776862</v>
      </c>
      <c r="Q53" s="291">
        <v>58843.307498382797</v>
      </c>
      <c r="R53" s="288">
        <v>25461.690169123063</v>
      </c>
      <c r="S53" s="288">
        <v>12587.440129560197</v>
      </c>
      <c r="T53" s="290">
        <v>0.751</v>
      </c>
      <c r="U53" s="288">
        <v>0.75800000000000001</v>
      </c>
      <c r="V53" s="288">
        <v>0.723923076923077</v>
      </c>
      <c r="W53" s="288">
        <v>0.72750000000000004</v>
      </c>
      <c r="X53" s="288">
        <v>0.76</v>
      </c>
      <c r="Y53" s="288">
        <v>0</v>
      </c>
      <c r="Z53" s="289">
        <v>0</v>
      </c>
      <c r="AA53" s="229"/>
      <c r="AB53" s="52">
        <v>114155.32023456274</v>
      </c>
      <c r="AC53" s="288">
        <v>3.3637277908993828</v>
      </c>
      <c r="AD53" s="288">
        <v>96184.352553325953</v>
      </c>
      <c r="AE53" s="288">
        <v>2.9829825517697497</v>
      </c>
      <c r="AF53" s="288">
        <v>17970.967681236783</v>
      </c>
      <c r="AG53" s="289">
        <v>0.3807452391296331</v>
      </c>
      <c r="AH53" s="229"/>
      <c r="AI53" s="205">
        <f t="shared" si="7"/>
        <v>222217.45885537553</v>
      </c>
      <c r="AJ53" s="205">
        <f t="shared" si="8"/>
        <v>202113.90262364905</v>
      </c>
      <c r="AK53" s="205">
        <f t="shared" si="3"/>
        <v>20103.556231726528</v>
      </c>
      <c r="AL53" s="229"/>
      <c r="AM53" s="52">
        <f t="shared" si="4"/>
        <v>1</v>
      </c>
      <c r="AN53" s="52">
        <f t="shared" si="5"/>
        <v>0</v>
      </c>
      <c r="AO53" s="52">
        <f t="shared" si="6"/>
        <v>1</v>
      </c>
      <c r="AP53" s="229"/>
      <c r="AQ53" s="45">
        <v>26000</v>
      </c>
      <c r="AR53" s="45">
        <v>5.8000000000000003E-2</v>
      </c>
      <c r="AS53" s="45">
        <v>0.94199999999999995</v>
      </c>
      <c r="AT53" s="45">
        <v>5.8000000000000003E-2</v>
      </c>
      <c r="AU53" s="229"/>
      <c r="AV53" s="318">
        <f t="shared" si="9"/>
        <v>222217.45885537553</v>
      </c>
      <c r="AW53" s="229"/>
      <c r="AX53" s="312"/>
      <c r="AY53" s="14"/>
      <c r="AZ53" s="14">
        <f t="shared" si="11"/>
        <v>17970.967681236783</v>
      </c>
      <c r="BA53" s="14">
        <f t="shared" si="10"/>
        <v>0.3807452391296331</v>
      </c>
      <c r="BB53" s="14">
        <f t="shared" si="2"/>
        <v>47199.454738600609</v>
      </c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35"/>
      <c r="CM53" s="135"/>
      <c r="CN53" s="135"/>
      <c r="CO53" s="135"/>
      <c r="CP53" s="14"/>
      <c r="CQ53" s="14"/>
      <c r="CR53" s="14"/>
      <c r="CS53" s="3"/>
      <c r="CT53" s="3"/>
      <c r="CU53" s="3"/>
      <c r="CV53" s="3"/>
      <c r="CW53" s="3"/>
    </row>
    <row r="54" spans="1:101" ht="14.25" customHeight="1" x14ac:dyDescent="0.2">
      <c r="A54" s="286"/>
      <c r="B54" s="52">
        <v>0.16578716298909635</v>
      </c>
      <c r="C54" s="288">
        <v>0.1455715443552367</v>
      </c>
      <c r="D54" s="288">
        <v>1.189155181833996E-2</v>
      </c>
      <c r="E54" s="288">
        <v>1.153264165093271E-2</v>
      </c>
      <c r="F54" s="289">
        <v>0.80326040809331811</v>
      </c>
      <c r="G54" s="92">
        <v>0.34804526040002765</v>
      </c>
      <c r="H54" s="288">
        <v>0.50340039483527033</v>
      </c>
      <c r="I54" s="288">
        <v>2.1505129985971871E-2</v>
      </c>
      <c r="J54" s="288">
        <v>0.99999999999998135</v>
      </c>
      <c r="K54" s="288">
        <v>0.74606726822970648</v>
      </c>
      <c r="L54" s="290">
        <v>13245.025840401917</v>
      </c>
      <c r="M54" s="288">
        <v>0</v>
      </c>
      <c r="N54" s="288">
        <v>22258.212579502793</v>
      </c>
      <c r="O54" s="288">
        <v>1844.2933090335785</v>
      </c>
      <c r="P54" s="288">
        <v>34981.278733439278</v>
      </c>
      <c r="Q54" s="291">
        <v>62258.693682582758</v>
      </c>
      <c r="R54" s="288">
        <v>24389.875199870228</v>
      </c>
      <c r="S54" s="288">
        <v>11145.282046699289</v>
      </c>
      <c r="T54" s="290">
        <v>0.751</v>
      </c>
      <c r="U54" s="288">
        <v>0.75800000000000001</v>
      </c>
      <c r="V54" s="288">
        <v>0.723923076923077</v>
      </c>
      <c r="W54" s="288">
        <v>0.72750000000000004</v>
      </c>
      <c r="X54" s="288">
        <v>0.76</v>
      </c>
      <c r="Y54" s="288">
        <v>0</v>
      </c>
      <c r="Z54" s="289">
        <v>0</v>
      </c>
      <c r="AA54" s="229"/>
      <c r="AB54" s="52">
        <v>102914.29532652645</v>
      </c>
      <c r="AC54" s="288">
        <v>3.2507142502733393</v>
      </c>
      <c r="AD54" s="288">
        <v>88658.937638907853</v>
      </c>
      <c r="AE54" s="288">
        <v>2.9901638893356601</v>
      </c>
      <c r="AF54" s="288">
        <v>14255.357687618598</v>
      </c>
      <c r="AG54" s="289">
        <v>0.26055036093767914</v>
      </c>
      <c r="AH54" s="229"/>
      <c r="AI54" s="205">
        <f t="shared" si="7"/>
        <v>222157.12970080745</v>
      </c>
      <c r="AJ54" s="205">
        <f t="shared" si="8"/>
        <v>210357.45129465812</v>
      </c>
      <c r="AK54" s="205">
        <f t="shared" si="3"/>
        <v>11799.678406149316</v>
      </c>
      <c r="AL54" s="229"/>
      <c r="AM54" s="52">
        <f t="shared" si="4"/>
        <v>1</v>
      </c>
      <c r="AN54" s="52">
        <f t="shared" si="5"/>
        <v>0</v>
      </c>
      <c r="AO54" s="52">
        <f t="shared" si="6"/>
        <v>1</v>
      </c>
      <c r="AP54" s="229"/>
      <c r="AQ54" s="45">
        <v>27000</v>
      </c>
      <c r="AR54" s="45">
        <v>6.3E-2</v>
      </c>
      <c r="AS54" s="45">
        <v>0.93700000000000006</v>
      </c>
      <c r="AT54" s="45">
        <v>6.3E-2</v>
      </c>
      <c r="AU54" s="229"/>
      <c r="AV54" s="318">
        <f t="shared" si="9"/>
        <v>222157.12970080745</v>
      </c>
      <c r="AW54" s="229"/>
      <c r="AX54" s="312"/>
      <c r="AY54" s="14"/>
      <c r="AZ54" s="14">
        <f t="shared" si="11"/>
        <v>14255.357687618598</v>
      </c>
      <c r="BA54" s="14">
        <f t="shared" si="10"/>
        <v>0.26055036093767914</v>
      </c>
      <c r="BB54" s="14">
        <f t="shared" si="2"/>
        <v>54712.484896646631</v>
      </c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 t="s">
        <v>300</v>
      </c>
      <c r="CC54" s="14" t="s">
        <v>301</v>
      </c>
      <c r="CD54" s="14"/>
      <c r="CE54" s="14"/>
      <c r="CF54" s="14"/>
      <c r="CG54" s="14"/>
      <c r="CH54" s="14"/>
      <c r="CI54" s="14"/>
      <c r="CJ54" s="14"/>
      <c r="CK54" s="14"/>
      <c r="CL54" s="135"/>
      <c r="CM54" s="135"/>
      <c r="CN54" s="135"/>
      <c r="CO54" s="135"/>
      <c r="CP54" s="14"/>
      <c r="CQ54" s="14"/>
      <c r="CR54" s="14"/>
      <c r="CS54" s="3"/>
      <c r="CT54" s="3"/>
      <c r="CU54" s="3"/>
      <c r="CV54" s="3"/>
      <c r="CW54" s="3"/>
    </row>
    <row r="55" spans="1:101" ht="14.25" customHeight="1" x14ac:dyDescent="0.2">
      <c r="A55" s="286"/>
      <c r="B55" s="52">
        <v>0.13158111855911853</v>
      </c>
      <c r="C55" s="288">
        <v>0.32290938502858024</v>
      </c>
      <c r="D55" s="288">
        <v>1.9420762512385448E-2</v>
      </c>
      <c r="E55" s="288">
        <v>1.4909896786628463E-2</v>
      </c>
      <c r="F55" s="289">
        <v>0.76340909674809476</v>
      </c>
      <c r="G55" s="92">
        <v>0.39194095676342272</v>
      </c>
      <c r="H55" s="288">
        <v>0.98874924991512469</v>
      </c>
      <c r="I55" s="288">
        <v>1.1716564309444228E-2</v>
      </c>
      <c r="J55" s="288">
        <v>0.99999905491474861</v>
      </c>
      <c r="K55" s="288">
        <v>0.71446358588917913</v>
      </c>
      <c r="L55" s="290">
        <v>11314.23444976549</v>
      </c>
      <c r="M55" s="288">
        <v>0</v>
      </c>
      <c r="N55" s="288">
        <v>25112.670789158474</v>
      </c>
      <c r="O55" s="288">
        <v>1498.9506421832514</v>
      </c>
      <c r="P55" s="288">
        <v>52662.872131922282</v>
      </c>
      <c r="Q55" s="291">
        <v>92257.836242231497</v>
      </c>
      <c r="R55" s="288">
        <v>23827.670387639086</v>
      </c>
      <c r="S55" s="288">
        <v>7114.1998601724354</v>
      </c>
      <c r="T55" s="290">
        <v>0.751</v>
      </c>
      <c r="U55" s="288">
        <v>0.75800000000000001</v>
      </c>
      <c r="V55" s="288">
        <v>0.723923076923077</v>
      </c>
      <c r="W55" s="288">
        <v>0.72750000000000004</v>
      </c>
      <c r="X55" s="288">
        <v>0.76</v>
      </c>
      <c r="Y55" s="288">
        <v>0</v>
      </c>
      <c r="Z55" s="289">
        <v>0</v>
      </c>
      <c r="AA55" s="229"/>
      <c r="AB55" s="52">
        <v>66542.35417730741</v>
      </c>
      <c r="AC55" s="288">
        <v>3.0655808701033078</v>
      </c>
      <c r="AD55" s="288">
        <v>61213.172859421276</v>
      </c>
      <c r="AE55" s="288">
        <v>2.845703842926901</v>
      </c>
      <c r="AF55" s="288">
        <v>5329.1813178861339</v>
      </c>
      <c r="AG55" s="289">
        <v>0.21987702717640678</v>
      </c>
      <c r="AH55" s="229"/>
      <c r="AI55" s="205">
        <f t="shared" si="7"/>
        <v>240015.73283302336</v>
      </c>
      <c r="AJ55" s="205">
        <f t="shared" si="8"/>
        <v>223357.21143326879</v>
      </c>
      <c r="AK55" s="205">
        <f t="shared" si="3"/>
        <v>16658.521399754543</v>
      </c>
      <c r="AL55" s="229"/>
      <c r="AM55" s="52">
        <f t="shared" si="4"/>
        <v>1</v>
      </c>
      <c r="AN55" s="52">
        <f t="shared" si="5"/>
        <v>0</v>
      </c>
      <c r="AO55" s="52">
        <f t="shared" si="6"/>
        <v>1</v>
      </c>
      <c r="AP55" s="229"/>
      <c r="AQ55" s="45">
        <v>28000</v>
      </c>
      <c r="AR55" s="45">
        <v>7.0999999999999994E-2</v>
      </c>
      <c r="AS55" s="45">
        <v>0.92900000000000005</v>
      </c>
      <c r="AT55" s="45">
        <v>7.0999999999999994E-2</v>
      </c>
      <c r="AU55" s="229"/>
      <c r="AV55" s="318">
        <f t="shared" si="9"/>
        <v>240015.73283302336</v>
      </c>
      <c r="AW55" s="229"/>
      <c r="AX55" s="312"/>
      <c r="AY55" s="14"/>
      <c r="AZ55" s="14">
        <f t="shared" si="11"/>
        <v>5329.1813178861339</v>
      </c>
      <c r="BA55" s="14">
        <f t="shared" si="10"/>
        <v>0.21987702717640678</v>
      </c>
      <c r="BB55" s="14">
        <f t="shared" si="2"/>
        <v>24237.099192770809</v>
      </c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>
        <v>100000</v>
      </c>
      <c r="CC55" s="14">
        <v>1</v>
      </c>
      <c r="CD55" s="14"/>
      <c r="CE55" s="14"/>
      <c r="CF55" s="14"/>
      <c r="CG55" s="14"/>
      <c r="CH55" s="14"/>
      <c r="CI55" s="14"/>
      <c r="CJ55" s="14"/>
      <c r="CK55" s="14"/>
      <c r="CL55" s="135"/>
      <c r="CM55" s="135"/>
      <c r="CN55" s="135"/>
      <c r="CO55" s="135"/>
      <c r="CP55" s="14"/>
      <c r="CQ55" s="14"/>
      <c r="CR55" s="14"/>
      <c r="CS55" s="3"/>
      <c r="CT55" s="3"/>
      <c r="CU55" s="3"/>
      <c r="CV55" s="3"/>
      <c r="CW55" s="3"/>
    </row>
    <row r="56" spans="1:101" ht="14.25" customHeight="1" x14ac:dyDescent="0.2">
      <c r="A56" s="286"/>
      <c r="B56" s="52">
        <v>0.14862486559909555</v>
      </c>
      <c r="C56" s="288">
        <v>0.15275930330993459</v>
      </c>
      <c r="D56" s="288">
        <v>1.4318897109862918E-2</v>
      </c>
      <c r="E56" s="288">
        <v>1.9074558664791241E-2</v>
      </c>
      <c r="F56" s="289">
        <v>0.79995858411640308</v>
      </c>
      <c r="G56" s="92">
        <v>0.39379420188304021</v>
      </c>
      <c r="H56" s="288">
        <v>0.75697184427458264</v>
      </c>
      <c r="I56" s="288">
        <v>1.3990048030280077E-2</v>
      </c>
      <c r="J56" s="288">
        <v>2.1682658125592735E-2</v>
      </c>
      <c r="K56" s="288">
        <v>0.7690426191783033</v>
      </c>
      <c r="L56" s="290">
        <v>11798.10710387039</v>
      </c>
      <c r="M56" s="288">
        <v>0</v>
      </c>
      <c r="N56" s="288">
        <v>24448.482353444473</v>
      </c>
      <c r="O56" s="288">
        <v>874.31868339228197</v>
      </c>
      <c r="P56" s="288">
        <v>45146.056221090446</v>
      </c>
      <c r="Q56" s="291">
        <v>78261.666389634265</v>
      </c>
      <c r="R56" s="288">
        <v>21905.927505395863</v>
      </c>
      <c r="S56" s="288">
        <v>7910.1358972969329</v>
      </c>
      <c r="T56" s="290">
        <v>0.751</v>
      </c>
      <c r="U56" s="288">
        <v>0.75800000000000001</v>
      </c>
      <c r="V56" s="288">
        <v>0.723923076923077</v>
      </c>
      <c r="W56" s="288">
        <v>0.72750000000000004</v>
      </c>
      <c r="X56" s="288">
        <v>0.76</v>
      </c>
      <c r="Y56" s="288">
        <v>0</v>
      </c>
      <c r="Z56" s="289">
        <v>0</v>
      </c>
      <c r="AA56" s="229"/>
      <c r="AB56" s="52">
        <v>75254.274538525729</v>
      </c>
      <c r="AC56" s="288">
        <v>3.2352806429162198</v>
      </c>
      <c r="AD56" s="288">
        <v>67900.034133072113</v>
      </c>
      <c r="AE56" s="288">
        <v>3.0961722252515074</v>
      </c>
      <c r="AF56" s="288">
        <v>7354.2404054536164</v>
      </c>
      <c r="AG56" s="289">
        <v>0.13910841766471238</v>
      </c>
      <c r="AH56" s="229"/>
      <c r="AI56" s="205">
        <f t="shared" si="7"/>
        <v>248273.78975309624</v>
      </c>
      <c r="AJ56" s="205">
        <f t="shared" si="8"/>
        <v>241717.18839207862</v>
      </c>
      <c r="AK56" s="205">
        <f t="shared" si="3"/>
        <v>6556.6013610176215</v>
      </c>
      <c r="AL56" s="229"/>
      <c r="AM56" s="52">
        <f t="shared" si="4"/>
        <v>1</v>
      </c>
      <c r="AN56" s="52">
        <f t="shared" si="5"/>
        <v>0</v>
      </c>
      <c r="AO56" s="52">
        <f t="shared" si="6"/>
        <v>1</v>
      </c>
      <c r="AP56" s="229"/>
      <c r="AQ56" s="45">
        <v>29000</v>
      </c>
      <c r="AR56" s="45">
        <v>8.2000000000000003E-2</v>
      </c>
      <c r="AS56" s="45">
        <v>0.91800000000000004</v>
      </c>
      <c r="AT56" s="45">
        <v>8.2000000000000003E-2</v>
      </c>
      <c r="AU56" s="229"/>
      <c r="AV56" s="318">
        <f t="shared" si="9"/>
        <v>248273.78975309624</v>
      </c>
      <c r="AW56" s="229"/>
      <c r="AX56" s="312"/>
      <c r="AY56" s="14"/>
      <c r="AZ56" s="14">
        <f t="shared" si="11"/>
        <v>7354.2404054536164</v>
      </c>
      <c r="BA56" s="14">
        <f t="shared" si="10"/>
        <v>0.13910841766471238</v>
      </c>
      <c r="BB56" s="14">
        <f t="shared" si="2"/>
        <v>52866.969008153457</v>
      </c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>
        <v>-100000</v>
      </c>
      <c r="CC56" s="14">
        <v>-1</v>
      </c>
      <c r="CD56" s="14"/>
      <c r="CE56" s="14"/>
      <c r="CF56" s="14"/>
      <c r="CG56" s="14"/>
      <c r="CH56" s="14"/>
      <c r="CI56" s="14"/>
      <c r="CJ56" s="14"/>
      <c r="CK56" s="14"/>
      <c r="CL56" s="135"/>
      <c r="CM56" s="135"/>
      <c r="CN56" s="135"/>
      <c r="CO56" s="135"/>
      <c r="CP56" s="14"/>
      <c r="CQ56" s="14"/>
      <c r="CR56" s="14"/>
      <c r="CS56" s="3"/>
      <c r="CT56" s="3"/>
      <c r="CU56" s="3"/>
      <c r="CV56" s="3"/>
      <c r="CW56" s="3"/>
    </row>
    <row r="57" spans="1:101" ht="14.25" customHeight="1" x14ac:dyDescent="0.2">
      <c r="A57" s="286"/>
      <c r="B57" s="52">
        <v>0.17717088223721777</v>
      </c>
      <c r="C57" s="288">
        <v>0.50440718731323386</v>
      </c>
      <c r="D57" s="288">
        <v>1.4051016416023398E-2</v>
      </c>
      <c r="E57" s="288">
        <v>2.4218737223065778E-2</v>
      </c>
      <c r="F57" s="289">
        <v>0.79945377273327578</v>
      </c>
      <c r="G57" s="92">
        <v>0.41844807653241822</v>
      </c>
      <c r="H57" s="288">
        <v>0.68300848047347995</v>
      </c>
      <c r="I57" s="288">
        <v>9.0650888967945854E-3</v>
      </c>
      <c r="J57" s="288">
        <v>0.99884969324913808</v>
      </c>
      <c r="K57" s="288">
        <v>0.7573182877269351</v>
      </c>
      <c r="L57" s="290">
        <v>13489.367834001556</v>
      </c>
      <c r="M57" s="288">
        <v>0</v>
      </c>
      <c r="N57" s="288">
        <v>23466.46864294065</v>
      </c>
      <c r="O57" s="288">
        <v>1019.8352516206338</v>
      </c>
      <c r="P57" s="288">
        <v>46570.339737630726</v>
      </c>
      <c r="Q57" s="291">
        <v>100749.4034626268</v>
      </c>
      <c r="R57" s="288">
        <v>34896.816636343763</v>
      </c>
      <c r="S57" s="288">
        <v>7392.581569516974</v>
      </c>
      <c r="T57" s="290">
        <v>0.751</v>
      </c>
      <c r="U57" s="288">
        <v>0.75800000000000001</v>
      </c>
      <c r="V57" s="288">
        <v>0.723923076923077</v>
      </c>
      <c r="W57" s="288">
        <v>0.72750000000000004</v>
      </c>
      <c r="X57" s="288">
        <v>0.76</v>
      </c>
      <c r="Y57" s="288">
        <v>0</v>
      </c>
      <c r="Z57" s="289">
        <v>0</v>
      </c>
      <c r="AA57" s="229"/>
      <c r="AB57" s="52">
        <v>75566.460371075664</v>
      </c>
      <c r="AC57" s="288">
        <v>3.2329225266906643</v>
      </c>
      <c r="AD57" s="288">
        <v>66850.338157911217</v>
      </c>
      <c r="AE57" s="288">
        <v>3.04197216382292</v>
      </c>
      <c r="AF57" s="288">
        <v>8716.1222131644463</v>
      </c>
      <c r="AG57" s="289">
        <v>0.19095036286774425</v>
      </c>
      <c r="AH57" s="229"/>
      <c r="AI57" s="205">
        <f t="shared" si="7"/>
        <v>247725.79229799076</v>
      </c>
      <c r="AJ57" s="205">
        <f t="shared" si="8"/>
        <v>237346.87822438078</v>
      </c>
      <c r="AK57" s="205">
        <f t="shared" si="3"/>
        <v>10378.91407360998</v>
      </c>
      <c r="AL57" s="229"/>
      <c r="AM57" s="52">
        <f t="shared" si="4"/>
        <v>1</v>
      </c>
      <c r="AN57" s="52">
        <f t="shared" si="5"/>
        <v>0</v>
      </c>
      <c r="AO57" s="52">
        <f t="shared" si="6"/>
        <v>1</v>
      </c>
      <c r="AP57" s="229"/>
      <c r="AQ57" s="45">
        <v>30000</v>
      </c>
      <c r="AR57" s="45">
        <v>0.1</v>
      </c>
      <c r="AS57" s="45">
        <v>0.9</v>
      </c>
      <c r="AT57" s="45">
        <v>0.1</v>
      </c>
      <c r="AU57" s="229"/>
      <c r="AV57" s="318">
        <f t="shared" si="9"/>
        <v>247725.79229799076</v>
      </c>
      <c r="AW57" s="229"/>
      <c r="AX57" s="312"/>
      <c r="AY57" s="14"/>
      <c r="AZ57" s="14">
        <f t="shared" si="11"/>
        <v>8716.1222131644463</v>
      </c>
      <c r="BA57" s="14">
        <f t="shared" si="10"/>
        <v>0.19095036286774425</v>
      </c>
      <c r="BB57" s="14">
        <f t="shared" si="2"/>
        <v>45646.010210524677</v>
      </c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35"/>
      <c r="CM57" s="135"/>
      <c r="CN57" s="135"/>
      <c r="CO57" s="135"/>
      <c r="CP57" s="14"/>
      <c r="CQ57" s="14"/>
      <c r="CR57" s="14"/>
      <c r="CS57" s="3"/>
      <c r="CT57" s="3"/>
      <c r="CU57" s="3"/>
      <c r="CV57" s="3"/>
      <c r="CW57" s="3"/>
    </row>
    <row r="58" spans="1:101" ht="14.25" customHeight="1" x14ac:dyDescent="0.2">
      <c r="A58" s="286"/>
      <c r="B58" s="52">
        <v>0.18579388595376478</v>
      </c>
      <c r="C58" s="288">
        <v>0.60454963096836456</v>
      </c>
      <c r="D58" s="288">
        <v>1.5125083169725384E-2</v>
      </c>
      <c r="E58" s="288">
        <v>1.1696994980638928E-2</v>
      </c>
      <c r="F58" s="289">
        <v>0.82550927829808751</v>
      </c>
      <c r="G58" s="92">
        <v>0.39265008968222653</v>
      </c>
      <c r="H58" s="288">
        <v>0.21373406767624695</v>
      </c>
      <c r="I58" s="288">
        <v>1.6759229063586401E-2</v>
      </c>
      <c r="J58" s="288">
        <v>0.41885816949237697</v>
      </c>
      <c r="K58" s="288">
        <v>0.75677559617973289</v>
      </c>
      <c r="L58" s="290">
        <v>6707.0854801303085</v>
      </c>
      <c r="M58" s="288">
        <v>0</v>
      </c>
      <c r="N58" s="288">
        <v>14244.737643018881</v>
      </c>
      <c r="O58" s="288">
        <v>1441.587040560893</v>
      </c>
      <c r="P58" s="288">
        <v>43757.427468071663</v>
      </c>
      <c r="Q58" s="291">
        <v>107327.75520331544</v>
      </c>
      <c r="R58" s="288">
        <v>28892.528107739286</v>
      </c>
      <c r="S58" s="288">
        <v>8150.0960713531422</v>
      </c>
      <c r="T58" s="290">
        <v>0.751</v>
      </c>
      <c r="U58" s="288">
        <v>0.75800000000000001</v>
      </c>
      <c r="V58" s="288">
        <v>0.723923076923077</v>
      </c>
      <c r="W58" s="288">
        <v>0.72750000000000004</v>
      </c>
      <c r="X58" s="288">
        <v>0.76</v>
      </c>
      <c r="Y58" s="288">
        <v>0</v>
      </c>
      <c r="Z58" s="289">
        <v>0</v>
      </c>
      <c r="AA58" s="229"/>
      <c r="AB58" s="52">
        <v>77146.071926205535</v>
      </c>
      <c r="AC58" s="288">
        <v>3.3551572392375908</v>
      </c>
      <c r="AD58" s="288">
        <v>65433.658176097706</v>
      </c>
      <c r="AE58" s="288">
        <v>3.0394686180036872</v>
      </c>
      <c r="AF58" s="288">
        <v>11712.413750107829</v>
      </c>
      <c r="AG58" s="289">
        <v>0.31568862123390362</v>
      </c>
      <c r="AH58" s="229"/>
      <c r="AI58" s="205">
        <f t="shared" si="7"/>
        <v>258369.65199755353</v>
      </c>
      <c r="AJ58" s="205">
        <f t="shared" si="8"/>
        <v>238513.203624271</v>
      </c>
      <c r="AK58" s="205">
        <f t="shared" si="3"/>
        <v>19856.448373282532</v>
      </c>
      <c r="AL58" s="229"/>
      <c r="AM58" s="52">
        <f t="shared" si="4"/>
        <v>1</v>
      </c>
      <c r="AN58" s="52">
        <f t="shared" si="5"/>
        <v>0</v>
      </c>
      <c r="AO58" s="52">
        <f t="shared" si="6"/>
        <v>1</v>
      </c>
      <c r="AP58" s="229"/>
      <c r="AQ58" s="45">
        <v>35000</v>
      </c>
      <c r="AR58" s="45">
        <v>0.14599999999999999</v>
      </c>
      <c r="AS58" s="45">
        <v>0.85399999999999998</v>
      </c>
      <c r="AT58" s="45">
        <v>0.14599999999999999</v>
      </c>
      <c r="AU58" s="229"/>
      <c r="AV58" s="318">
        <f t="shared" si="9"/>
        <v>258369.65199755353</v>
      </c>
      <c r="AW58" s="229"/>
      <c r="AX58" s="312"/>
      <c r="AY58" s="14"/>
      <c r="AZ58" s="14">
        <f t="shared" si="11"/>
        <v>11712.413750107829</v>
      </c>
      <c r="BA58" s="14">
        <f t="shared" si="10"/>
        <v>0.31568862123390362</v>
      </c>
      <c r="BB58" s="14">
        <f t="shared" si="2"/>
        <v>37101.159060876424</v>
      </c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35"/>
      <c r="CM58" s="135"/>
      <c r="CN58" s="135"/>
      <c r="CO58" s="135"/>
      <c r="CP58" s="14"/>
      <c r="CQ58" s="14"/>
      <c r="CR58" s="14"/>
      <c r="CS58" s="3"/>
      <c r="CT58" s="3"/>
      <c r="CU58" s="3"/>
      <c r="CV58" s="3"/>
      <c r="CW58" s="3"/>
    </row>
    <row r="59" spans="1:101" ht="14.25" customHeight="1" x14ac:dyDescent="0.2">
      <c r="A59" s="286"/>
      <c r="B59" s="52">
        <v>0.14616623559127223</v>
      </c>
      <c r="C59" s="288">
        <v>0.22877433072794634</v>
      </c>
      <c r="D59" s="288">
        <v>5.478425827015963E-3</v>
      </c>
      <c r="E59" s="288">
        <v>1.4337183391083036E-2</v>
      </c>
      <c r="F59" s="289">
        <v>0.79355852536600069</v>
      </c>
      <c r="G59" s="92">
        <v>0.36773917255265975</v>
      </c>
      <c r="H59" s="288">
        <v>0.9470209334892894</v>
      </c>
      <c r="I59" s="288">
        <v>3.1986035122418488E-2</v>
      </c>
      <c r="J59" s="288">
        <v>0.99999999504948422</v>
      </c>
      <c r="K59" s="288">
        <v>0.75776297032769246</v>
      </c>
      <c r="L59" s="290">
        <v>10894.469187602561</v>
      </c>
      <c r="M59" s="288">
        <v>0</v>
      </c>
      <c r="N59" s="288">
        <v>22399.569164447712</v>
      </c>
      <c r="O59" s="288">
        <v>1055.8079951070108</v>
      </c>
      <c r="P59" s="288">
        <v>46500.449975448166</v>
      </c>
      <c r="Q59" s="291">
        <v>96929.619671947235</v>
      </c>
      <c r="R59" s="288">
        <v>22181.12189703124</v>
      </c>
      <c r="S59" s="288">
        <v>12462.49857992489</v>
      </c>
      <c r="T59" s="290">
        <v>0.751</v>
      </c>
      <c r="U59" s="288">
        <v>0.75800000000000001</v>
      </c>
      <c r="V59" s="288">
        <v>0.723923076923077</v>
      </c>
      <c r="W59" s="288">
        <v>0.72750000000000004</v>
      </c>
      <c r="X59" s="288">
        <v>0.76</v>
      </c>
      <c r="Y59" s="288">
        <v>0</v>
      </c>
      <c r="Z59" s="289">
        <v>0</v>
      </c>
      <c r="AA59" s="229"/>
      <c r="AB59" s="52">
        <v>109799.76996396414</v>
      </c>
      <c r="AC59" s="288">
        <v>3.2054137546648769</v>
      </c>
      <c r="AD59" s="288">
        <v>104043.64425424307</v>
      </c>
      <c r="AE59" s="288">
        <v>3.0440239205989941</v>
      </c>
      <c r="AF59" s="288">
        <v>5756.1257097210619</v>
      </c>
      <c r="AG59" s="289">
        <v>0.16138983406588281</v>
      </c>
      <c r="AH59" s="229"/>
      <c r="AI59" s="205">
        <f t="shared" si="7"/>
        <v>210741.60550252354</v>
      </c>
      <c r="AJ59" s="205">
        <f t="shared" si="8"/>
        <v>200358.74780565634</v>
      </c>
      <c r="AK59" s="205">
        <f t="shared" si="3"/>
        <v>10382.857696867219</v>
      </c>
      <c r="AL59" s="229"/>
      <c r="AM59" s="52">
        <f t="shared" si="4"/>
        <v>1</v>
      </c>
      <c r="AN59" s="52">
        <f t="shared" si="5"/>
        <v>0</v>
      </c>
      <c r="AO59" s="52">
        <f t="shared" si="6"/>
        <v>1</v>
      </c>
      <c r="AP59" s="229"/>
      <c r="AQ59" s="45">
        <v>40000</v>
      </c>
      <c r="AR59" s="45">
        <v>0.20300000000000001</v>
      </c>
      <c r="AS59" s="45">
        <v>0.79700000000000004</v>
      </c>
      <c r="AT59" s="45">
        <v>0.20300000000000001</v>
      </c>
      <c r="AU59" s="229"/>
      <c r="AV59" s="318">
        <f t="shared" si="9"/>
        <v>210741.60550252354</v>
      </c>
      <c r="AW59" s="229"/>
      <c r="AX59" s="312"/>
      <c r="AY59" s="14"/>
      <c r="AZ59" s="14">
        <f t="shared" si="11"/>
        <v>5756.1257097210619</v>
      </c>
      <c r="BA59" s="14">
        <f t="shared" si="10"/>
        <v>0.16138983406588281</v>
      </c>
      <c r="BB59" s="14">
        <f t="shared" si="2"/>
        <v>35665.974520869058</v>
      </c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>
        <v>0</v>
      </c>
      <c r="CA59" s="14">
        <v>100000</v>
      </c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35"/>
      <c r="CM59" s="135"/>
      <c r="CN59" s="135"/>
      <c r="CO59" s="135"/>
      <c r="CP59" s="14"/>
      <c r="CQ59" s="14"/>
      <c r="CR59" s="14"/>
      <c r="CS59" s="3"/>
      <c r="CT59" s="3"/>
      <c r="CU59" s="3"/>
      <c r="CV59" s="3"/>
      <c r="CW59" s="3"/>
    </row>
    <row r="60" spans="1:101" ht="14.25" customHeight="1" x14ac:dyDescent="0.2">
      <c r="A60" s="286"/>
      <c r="B60" s="52">
        <v>0.1062177502635315</v>
      </c>
      <c r="C60" s="288">
        <v>0.5127600040141862</v>
      </c>
      <c r="D60" s="288">
        <v>2.1031082440350457E-2</v>
      </c>
      <c r="E60" s="288">
        <v>2.0594005844254193E-2</v>
      </c>
      <c r="F60" s="289">
        <v>0.7818988842868515</v>
      </c>
      <c r="G60" s="92">
        <v>0.37741468333703149</v>
      </c>
      <c r="H60" s="288">
        <v>0.26982233545431961</v>
      </c>
      <c r="I60" s="288">
        <v>2.8393032626707893E-2</v>
      </c>
      <c r="J60" s="288">
        <v>0.96583211968927496</v>
      </c>
      <c r="K60" s="288">
        <v>0.78388731820322033</v>
      </c>
      <c r="L60" s="290">
        <v>8652.7950580620563</v>
      </c>
      <c r="M60" s="288">
        <v>0</v>
      </c>
      <c r="N60" s="288">
        <v>16312.762379359394</v>
      </c>
      <c r="O60" s="288">
        <v>1165.0828527880888</v>
      </c>
      <c r="P60" s="288">
        <v>55157.810401821633</v>
      </c>
      <c r="Q60" s="291">
        <v>114898.55098630243</v>
      </c>
      <c r="R60" s="288">
        <v>23368.814661737622</v>
      </c>
      <c r="S60" s="288">
        <v>11006.192153468814</v>
      </c>
      <c r="T60" s="290">
        <v>0.751</v>
      </c>
      <c r="U60" s="288">
        <v>0.75800000000000001</v>
      </c>
      <c r="V60" s="288">
        <v>0.723923076923077</v>
      </c>
      <c r="W60" s="288">
        <v>0.72750000000000004</v>
      </c>
      <c r="X60" s="288">
        <v>0.76</v>
      </c>
      <c r="Y60" s="288">
        <v>0</v>
      </c>
      <c r="Z60" s="289">
        <v>0</v>
      </c>
      <c r="AA60" s="229"/>
      <c r="AB60" s="52">
        <v>95525.659167705977</v>
      </c>
      <c r="AC60" s="288">
        <v>3.151167331315841</v>
      </c>
      <c r="AD60" s="288">
        <v>90881.913621989137</v>
      </c>
      <c r="AE60" s="288">
        <v>3.1651081844673579</v>
      </c>
      <c r="AF60" s="288">
        <v>4643.7455457168398</v>
      </c>
      <c r="AG60" s="289">
        <v>-1.394085315151683E-2</v>
      </c>
      <c r="AH60" s="229"/>
      <c r="AI60" s="205">
        <f t="shared" si="7"/>
        <v>219591.07396387815</v>
      </c>
      <c r="AJ60" s="205">
        <f t="shared" si="8"/>
        <v>225628.90482474666</v>
      </c>
      <c r="AK60" s="205">
        <f t="shared" si="3"/>
        <v>-6037.8308608685229</v>
      </c>
      <c r="AL60" s="229"/>
      <c r="AM60" s="52">
        <f t="shared" si="4"/>
        <v>0</v>
      </c>
      <c r="AN60" s="52">
        <f t="shared" si="5"/>
        <v>1</v>
      </c>
      <c r="AO60" s="52">
        <f t="shared" si="6"/>
        <v>0</v>
      </c>
      <c r="AP60" s="229"/>
      <c r="AQ60" s="45">
        <v>45000</v>
      </c>
      <c r="AR60" s="45">
        <v>0.26400000000000001</v>
      </c>
      <c r="AS60" s="45">
        <v>0.73599999999999999</v>
      </c>
      <c r="AT60" s="45">
        <v>0.26400000000000001</v>
      </c>
      <c r="AU60" s="229"/>
      <c r="AV60" s="318">
        <f t="shared" si="9"/>
        <v>225628.90482474666</v>
      </c>
      <c r="AW60" s="229"/>
      <c r="AX60" s="312"/>
      <c r="AY60" s="14"/>
      <c r="AZ60" s="14">
        <f t="shared" si="11"/>
        <v>4643.7455457168398</v>
      </c>
      <c r="BA60" s="14">
        <f t="shared" si="10"/>
        <v>-1.394085315151683E-2</v>
      </c>
      <c r="BB60" s="14">
        <f t="shared" si="2"/>
        <v>-333103.39727748861</v>
      </c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>
        <v>0.1</v>
      </c>
      <c r="CA60" s="14">
        <v>100000</v>
      </c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35"/>
      <c r="CM60" s="135"/>
      <c r="CN60" s="135"/>
      <c r="CO60" s="135"/>
      <c r="CP60" s="14"/>
      <c r="CQ60" s="14"/>
      <c r="CR60" s="14"/>
      <c r="CS60" s="3"/>
      <c r="CT60" s="3"/>
      <c r="CU60" s="3"/>
      <c r="CV60" s="3"/>
      <c r="CW60" s="3"/>
    </row>
    <row r="61" spans="1:101" ht="14.25" customHeight="1" x14ac:dyDescent="0.2">
      <c r="A61" s="286"/>
      <c r="B61" s="52">
        <v>0.17424567426392079</v>
      </c>
      <c r="C61" s="288">
        <v>0.75851342632785423</v>
      </c>
      <c r="D61" s="288">
        <v>1.0352246513828314E-2</v>
      </c>
      <c r="E61" s="288">
        <v>1.3328868536287671E-2</v>
      </c>
      <c r="F61" s="289">
        <v>0.74801062561437004</v>
      </c>
      <c r="G61" s="92">
        <v>0.44882818161962412</v>
      </c>
      <c r="H61" s="288">
        <v>0.15844430677585422</v>
      </c>
      <c r="I61" s="288">
        <v>5.0099564173401112E-2</v>
      </c>
      <c r="J61" s="288">
        <v>0.26089690852017033</v>
      </c>
      <c r="K61" s="288">
        <v>0.73536203076836837</v>
      </c>
      <c r="L61" s="290">
        <v>13595.783836717643</v>
      </c>
      <c r="M61" s="288">
        <v>0</v>
      </c>
      <c r="N61" s="288">
        <v>22215.475930000946</v>
      </c>
      <c r="O61" s="288">
        <v>1345.6277662594587</v>
      </c>
      <c r="P61" s="288">
        <v>44398.89656698866</v>
      </c>
      <c r="Q61" s="291">
        <v>114689.73190967047</v>
      </c>
      <c r="R61" s="288">
        <v>24546.641967809664</v>
      </c>
      <c r="S61" s="288">
        <v>10455.841057248521</v>
      </c>
      <c r="T61" s="290">
        <v>0.751</v>
      </c>
      <c r="U61" s="288">
        <v>0.75800000000000001</v>
      </c>
      <c r="V61" s="288">
        <v>0.723923076923077</v>
      </c>
      <c r="W61" s="288">
        <v>0.72750000000000004</v>
      </c>
      <c r="X61" s="288">
        <v>0.76</v>
      </c>
      <c r="Y61" s="288">
        <v>0</v>
      </c>
      <c r="Z61" s="289">
        <v>0</v>
      </c>
      <c r="AA61" s="229"/>
      <c r="AB61" s="52">
        <v>94729.57987483828</v>
      </c>
      <c r="AC61" s="288">
        <v>2.994712893314337</v>
      </c>
      <c r="AD61" s="288">
        <v>82320.003826214175</v>
      </c>
      <c r="AE61" s="288">
        <v>2.9410540579618547</v>
      </c>
      <c r="AF61" s="288">
        <v>12409.576048624105</v>
      </c>
      <c r="AG61" s="289">
        <v>5.3658835352482281E-2</v>
      </c>
      <c r="AH61" s="229"/>
      <c r="AI61" s="205">
        <f t="shared" si="7"/>
        <v>204741.70945659542</v>
      </c>
      <c r="AJ61" s="205">
        <f t="shared" si="8"/>
        <v>211785.40196997131</v>
      </c>
      <c r="AK61" s="205">
        <f t="shared" si="3"/>
        <v>-7043.6925133758768</v>
      </c>
      <c r="AL61" s="229"/>
      <c r="AM61" s="52">
        <f t="shared" si="4"/>
        <v>0</v>
      </c>
      <c r="AN61" s="52">
        <f t="shared" si="5"/>
        <v>1</v>
      </c>
      <c r="AO61" s="52">
        <f t="shared" si="6"/>
        <v>0</v>
      </c>
      <c r="AP61" s="229"/>
      <c r="AQ61" s="45">
        <v>50000</v>
      </c>
      <c r="AR61" s="45">
        <v>0.317</v>
      </c>
      <c r="AS61" s="45">
        <v>0.68300000000000005</v>
      </c>
      <c r="AT61" s="45">
        <v>0.317</v>
      </c>
      <c r="AU61" s="229"/>
      <c r="AV61" s="318">
        <f t="shared" si="9"/>
        <v>211785.40196997131</v>
      </c>
      <c r="AW61" s="229"/>
      <c r="AX61" s="312"/>
      <c r="AY61" s="14"/>
      <c r="AZ61" s="14">
        <f t="shared" si="11"/>
        <v>12409.576048624105</v>
      </c>
      <c r="BA61" s="14">
        <f t="shared" si="10"/>
        <v>5.3658835352482281E-2</v>
      </c>
      <c r="BB61" s="14">
        <f t="shared" si="2"/>
        <v>231268.08413015681</v>
      </c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>
        <v>0.2</v>
      </c>
      <c r="CA61" s="14">
        <v>100000</v>
      </c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35"/>
      <c r="CM61" s="135"/>
      <c r="CN61" s="135"/>
      <c r="CO61" s="135"/>
      <c r="CP61" s="14"/>
      <c r="CQ61" s="14"/>
      <c r="CR61" s="14"/>
      <c r="CS61" s="3"/>
      <c r="CT61" s="3"/>
      <c r="CU61" s="3"/>
      <c r="CV61" s="3"/>
      <c r="CW61" s="3"/>
    </row>
    <row r="62" spans="1:101" ht="14.25" customHeight="1" x14ac:dyDescent="0.2">
      <c r="A62" s="286"/>
      <c r="B62" s="52">
        <v>0.19356593709837888</v>
      </c>
      <c r="C62" s="288">
        <v>0.20727488199564748</v>
      </c>
      <c r="D62" s="288">
        <v>1.0957549749230203E-2</v>
      </c>
      <c r="E62" s="288">
        <v>1.9486981171552897E-2</v>
      </c>
      <c r="F62" s="289">
        <v>0.76684139846174149</v>
      </c>
      <c r="G62" s="92">
        <v>0.39894352322262094</v>
      </c>
      <c r="H62" s="288">
        <v>0.12679419746458337</v>
      </c>
      <c r="I62" s="288">
        <v>7.933416539088637E-3</v>
      </c>
      <c r="J62" s="288">
        <v>0.99999999999773981</v>
      </c>
      <c r="K62" s="288">
        <v>0.79592649403366855</v>
      </c>
      <c r="L62" s="290">
        <v>9656.8063775922019</v>
      </c>
      <c r="M62" s="288">
        <v>0</v>
      </c>
      <c r="N62" s="288">
        <v>18890.03325740965</v>
      </c>
      <c r="O62" s="288">
        <v>1234.6483231577506</v>
      </c>
      <c r="P62" s="288">
        <v>49998.963161298379</v>
      </c>
      <c r="Q62" s="291">
        <v>77191.202745169154</v>
      </c>
      <c r="R62" s="288">
        <v>17190.397260802853</v>
      </c>
      <c r="S62" s="288">
        <v>9196.6649564127929</v>
      </c>
      <c r="T62" s="290">
        <v>0.751</v>
      </c>
      <c r="U62" s="288">
        <v>0.75800000000000001</v>
      </c>
      <c r="V62" s="288">
        <v>0.723923076923077</v>
      </c>
      <c r="W62" s="288">
        <v>0.72750000000000004</v>
      </c>
      <c r="X62" s="288">
        <v>0.76</v>
      </c>
      <c r="Y62" s="288">
        <v>0</v>
      </c>
      <c r="Z62" s="289">
        <v>0</v>
      </c>
      <c r="AA62" s="229"/>
      <c r="AB62" s="52">
        <v>80586.780100319054</v>
      </c>
      <c r="AC62" s="288">
        <v>3.0814279499273489</v>
      </c>
      <c r="AD62" s="288">
        <v>74819.233805982571</v>
      </c>
      <c r="AE62" s="288">
        <v>3.2212709118001128</v>
      </c>
      <c r="AF62" s="288">
        <v>5767.5462943364837</v>
      </c>
      <c r="AG62" s="289">
        <v>-0.1398429618727639</v>
      </c>
      <c r="AH62" s="229"/>
      <c r="AI62" s="205">
        <f t="shared" si="7"/>
        <v>227556.01489241584</v>
      </c>
      <c r="AJ62" s="205">
        <f t="shared" si="8"/>
        <v>247307.85737402871</v>
      </c>
      <c r="AK62" s="205">
        <f t="shared" si="3"/>
        <v>-19751.842481612875</v>
      </c>
      <c r="AL62" s="229"/>
      <c r="AM62" s="52">
        <f t="shared" si="4"/>
        <v>0</v>
      </c>
      <c r="AN62" s="52">
        <f t="shared" si="5"/>
        <v>1</v>
      </c>
      <c r="AO62" s="52">
        <f t="shared" si="6"/>
        <v>0</v>
      </c>
      <c r="AP62" s="229"/>
      <c r="AQ62" s="45">
        <v>55000</v>
      </c>
      <c r="AR62" s="45">
        <v>0.36499999999999999</v>
      </c>
      <c r="AS62" s="45">
        <v>0.63500000000000001</v>
      </c>
      <c r="AT62" s="45">
        <v>0.36499999999999999</v>
      </c>
      <c r="AU62" s="229"/>
      <c r="AV62" s="318">
        <f t="shared" si="9"/>
        <v>247307.85737402871</v>
      </c>
      <c r="AW62" s="229"/>
      <c r="AX62" s="312"/>
      <c r="AY62" s="14"/>
      <c r="AZ62" s="14">
        <f t="shared" si="11"/>
        <v>5767.5462943364837</v>
      </c>
      <c r="BA62" s="14">
        <f t="shared" si="10"/>
        <v>-0.1398429618727639</v>
      </c>
      <c r="BB62" s="14">
        <f t="shared" si="2"/>
        <v>-41243.021580049804</v>
      </c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>
        <v>0.3</v>
      </c>
      <c r="CA62" s="14">
        <v>100000</v>
      </c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35"/>
      <c r="CM62" s="135"/>
      <c r="CN62" s="135"/>
      <c r="CO62" s="135"/>
      <c r="CP62" s="14"/>
      <c r="CQ62" s="14"/>
      <c r="CR62" s="14"/>
      <c r="CS62" s="3"/>
      <c r="CT62" s="3"/>
      <c r="CU62" s="3"/>
      <c r="CV62" s="3"/>
      <c r="CW62" s="3"/>
    </row>
    <row r="63" spans="1:101" ht="14.25" customHeight="1" x14ac:dyDescent="0.2">
      <c r="A63" s="286"/>
      <c r="B63" s="52">
        <v>0.18960205550529885</v>
      </c>
      <c r="C63" s="288">
        <v>0.44226265431273104</v>
      </c>
      <c r="D63" s="288">
        <v>2.6394138750339136E-2</v>
      </c>
      <c r="E63" s="288">
        <v>5.0175756208900388E-3</v>
      </c>
      <c r="F63" s="289">
        <v>0.80493884168897589</v>
      </c>
      <c r="G63" s="92">
        <v>0.44754263279773099</v>
      </c>
      <c r="H63" s="288">
        <v>0.42719554166793394</v>
      </c>
      <c r="I63" s="288">
        <v>3.5853323428105766E-2</v>
      </c>
      <c r="J63" s="288">
        <v>0.99999985365889588</v>
      </c>
      <c r="K63" s="288">
        <v>0.78049575572846952</v>
      </c>
      <c r="L63" s="290">
        <v>6262.2711054969041</v>
      </c>
      <c r="M63" s="288">
        <v>0</v>
      </c>
      <c r="N63" s="288">
        <v>15014.151364574192</v>
      </c>
      <c r="O63" s="288">
        <v>1152.1128898724471</v>
      </c>
      <c r="P63" s="288">
        <v>38166.971231987904</v>
      </c>
      <c r="Q63" s="291">
        <v>104626.57236619208</v>
      </c>
      <c r="R63" s="288">
        <v>21961.255712906106</v>
      </c>
      <c r="S63" s="288">
        <v>10460.708648019943</v>
      </c>
      <c r="T63" s="290">
        <v>0.751</v>
      </c>
      <c r="U63" s="288">
        <v>0.75800000000000001</v>
      </c>
      <c r="V63" s="288">
        <v>0.723923076923077</v>
      </c>
      <c r="W63" s="288">
        <v>0.72750000000000004</v>
      </c>
      <c r="X63" s="288">
        <v>0.76</v>
      </c>
      <c r="Y63" s="288">
        <v>0</v>
      </c>
      <c r="Z63" s="289">
        <v>0</v>
      </c>
      <c r="AA63" s="229"/>
      <c r="AB63" s="52">
        <v>92226.707885922471</v>
      </c>
      <c r="AC63" s="288">
        <v>3.2585662528669594</v>
      </c>
      <c r="AD63" s="288">
        <v>88664.890261850916</v>
      </c>
      <c r="AE63" s="288">
        <v>3.1493277993673856</v>
      </c>
      <c r="AF63" s="288">
        <v>3561.8176240715547</v>
      </c>
      <c r="AG63" s="289">
        <v>0.10923845349957384</v>
      </c>
      <c r="AH63" s="229"/>
      <c r="AI63" s="205">
        <f t="shared" si="7"/>
        <v>233629.9174007735</v>
      </c>
      <c r="AJ63" s="205">
        <f t="shared" si="8"/>
        <v>226267.88967488764</v>
      </c>
      <c r="AK63" s="205">
        <f t="shared" si="3"/>
        <v>7362.0277258858296</v>
      </c>
      <c r="AL63" s="229"/>
      <c r="AM63" s="52">
        <f t="shared" si="4"/>
        <v>1</v>
      </c>
      <c r="AN63" s="52">
        <f t="shared" si="5"/>
        <v>0</v>
      </c>
      <c r="AO63" s="52">
        <f t="shared" si="6"/>
        <v>1</v>
      </c>
      <c r="AP63" s="229"/>
      <c r="AQ63" s="45">
        <v>60000</v>
      </c>
      <c r="AR63" s="45">
        <v>0.39700000000000002</v>
      </c>
      <c r="AS63" s="45">
        <v>0.60299999999999998</v>
      </c>
      <c r="AT63" s="45">
        <v>0.39700000000000002</v>
      </c>
      <c r="AU63" s="229"/>
      <c r="AV63" s="318">
        <f t="shared" si="9"/>
        <v>233629.9174007735</v>
      </c>
      <c r="AW63" s="229"/>
      <c r="AX63" s="312"/>
      <c r="AY63" s="14"/>
      <c r="AZ63" s="14">
        <f t="shared" si="11"/>
        <v>3561.8176240715547</v>
      </c>
      <c r="BA63" s="14">
        <f t="shared" si="10"/>
        <v>0.10923845349957384</v>
      </c>
      <c r="BB63" s="14">
        <f t="shared" si="2"/>
        <v>32605.895725953775</v>
      </c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>
        <v>0.4</v>
      </c>
      <c r="CA63" s="14">
        <v>100000</v>
      </c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35"/>
      <c r="CM63" s="135"/>
      <c r="CN63" s="135"/>
      <c r="CO63" s="135"/>
      <c r="CP63" s="14"/>
      <c r="CQ63" s="14"/>
      <c r="CR63" s="14"/>
      <c r="CS63" s="3"/>
      <c r="CT63" s="3"/>
      <c r="CU63" s="3"/>
      <c r="CV63" s="3"/>
      <c r="CW63" s="3"/>
    </row>
    <row r="64" spans="1:101" ht="14.25" customHeight="1" x14ac:dyDescent="0.2">
      <c r="A64" s="286"/>
      <c r="B64" s="52">
        <v>0.1383110621003206</v>
      </c>
      <c r="C64" s="288">
        <v>0.13240833216978154</v>
      </c>
      <c r="D64" s="288">
        <v>1.1999318333858242E-2</v>
      </c>
      <c r="E64" s="288">
        <v>5.4534362073523357E-3</v>
      </c>
      <c r="F64" s="289">
        <v>0.78469938224315128</v>
      </c>
      <c r="G64" s="92">
        <v>0.37820004506668708</v>
      </c>
      <c r="H64" s="288">
        <v>0.81856607951261162</v>
      </c>
      <c r="I64" s="288">
        <v>6.154162726317451E-3</v>
      </c>
      <c r="J64" s="288">
        <v>0.99999680365057331</v>
      </c>
      <c r="K64" s="288">
        <v>0.66451337509054886</v>
      </c>
      <c r="L64" s="290">
        <v>11061.659634998156</v>
      </c>
      <c r="M64" s="288">
        <v>0</v>
      </c>
      <c r="N64" s="288">
        <v>16935.169125341425</v>
      </c>
      <c r="O64" s="288">
        <v>842.78300200442516</v>
      </c>
      <c r="P64" s="288">
        <v>51135.32758977545</v>
      </c>
      <c r="Q64" s="291">
        <v>103880.41074382886</v>
      </c>
      <c r="R64" s="288">
        <v>26334.926320152463</v>
      </c>
      <c r="S64" s="288">
        <v>9795.6707988500239</v>
      </c>
      <c r="T64" s="290">
        <v>0.751</v>
      </c>
      <c r="U64" s="288">
        <v>0.75800000000000001</v>
      </c>
      <c r="V64" s="288">
        <v>0.723923076923077</v>
      </c>
      <c r="W64" s="288">
        <v>0.72750000000000004</v>
      </c>
      <c r="X64" s="288">
        <v>0.76</v>
      </c>
      <c r="Y64" s="288">
        <v>0</v>
      </c>
      <c r="Z64" s="289">
        <v>0</v>
      </c>
      <c r="AA64" s="229"/>
      <c r="AB64" s="52">
        <v>87949.003283571539</v>
      </c>
      <c r="AC64" s="288">
        <v>3.1641771771696079</v>
      </c>
      <c r="AD64" s="288">
        <v>73738.028034209914</v>
      </c>
      <c r="AE64" s="288">
        <v>2.6205925716840448</v>
      </c>
      <c r="AF64" s="288">
        <v>14210.975249361625</v>
      </c>
      <c r="AG64" s="289">
        <v>0.54358460548556309</v>
      </c>
      <c r="AH64" s="229"/>
      <c r="AI64" s="205">
        <f t="shared" si="7"/>
        <v>228468.71443338922</v>
      </c>
      <c r="AJ64" s="205">
        <f t="shared" si="8"/>
        <v>188321.22913419455</v>
      </c>
      <c r="AK64" s="205">
        <f t="shared" si="3"/>
        <v>40147.485299194683</v>
      </c>
      <c r="AL64" s="229"/>
      <c r="AM64" s="52">
        <f t="shared" si="4"/>
        <v>1</v>
      </c>
      <c r="AN64" s="52">
        <f t="shared" si="5"/>
        <v>0</v>
      </c>
      <c r="AO64" s="52">
        <f t="shared" si="6"/>
        <v>1</v>
      </c>
      <c r="AP64" s="229"/>
      <c r="AQ64" s="45">
        <v>65000</v>
      </c>
      <c r="AR64" s="45">
        <v>0.42899999999999999</v>
      </c>
      <c r="AS64" s="45">
        <v>0.57099999999999995</v>
      </c>
      <c r="AT64" s="45">
        <v>0.42899999999999999</v>
      </c>
      <c r="AU64" s="229"/>
      <c r="AV64" s="318">
        <f t="shared" si="9"/>
        <v>228468.71443338922</v>
      </c>
      <c r="AW64" s="229"/>
      <c r="AX64" s="312"/>
      <c r="AY64" s="14"/>
      <c r="AZ64" s="14">
        <f t="shared" si="11"/>
        <v>14210.975249361625</v>
      </c>
      <c r="BA64" s="14">
        <f t="shared" si="10"/>
        <v>0.54358460548556309</v>
      </c>
      <c r="BB64" s="14">
        <f t="shared" si="2"/>
        <v>26143.078935555048</v>
      </c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>
        <v>0.5</v>
      </c>
      <c r="CA64" s="14">
        <v>100000</v>
      </c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35"/>
      <c r="CM64" s="135"/>
      <c r="CN64" s="135"/>
      <c r="CO64" s="135"/>
      <c r="CP64" s="14"/>
      <c r="CQ64" s="14"/>
      <c r="CR64" s="14"/>
      <c r="CS64" s="3"/>
      <c r="CT64" s="3"/>
      <c r="CU64" s="3"/>
      <c r="CV64" s="3"/>
      <c r="CW64" s="3"/>
    </row>
    <row r="65" spans="1:101" ht="14.25" customHeight="1" x14ac:dyDescent="0.2">
      <c r="A65" s="286"/>
      <c r="B65" s="52">
        <v>0.17234274227890922</v>
      </c>
      <c r="C65" s="288">
        <v>0.48559178114979784</v>
      </c>
      <c r="D65" s="288">
        <v>1.0288900573317461E-2</v>
      </c>
      <c r="E65" s="288">
        <v>1.9941200416929483E-2</v>
      </c>
      <c r="F65" s="289">
        <v>0.78036276135008498</v>
      </c>
      <c r="G65" s="92">
        <v>0.40540216949628471</v>
      </c>
      <c r="H65" s="288">
        <v>0.92040118738687648</v>
      </c>
      <c r="I65" s="288">
        <v>1.8554776340432788E-2</v>
      </c>
      <c r="J65" s="288">
        <v>0.99999994981104778</v>
      </c>
      <c r="K65" s="288">
        <v>0.76563679700235776</v>
      </c>
      <c r="L65" s="290">
        <v>14143.753097728342</v>
      </c>
      <c r="M65" s="288">
        <v>0</v>
      </c>
      <c r="N65" s="288">
        <v>14378.434917346545</v>
      </c>
      <c r="O65" s="288">
        <v>1015.2125438478328</v>
      </c>
      <c r="P65" s="288">
        <v>32391.563164992134</v>
      </c>
      <c r="Q65" s="291">
        <v>100061.73704151255</v>
      </c>
      <c r="R65" s="288">
        <v>29634.650811664193</v>
      </c>
      <c r="S65" s="288">
        <v>6606.819999657434</v>
      </c>
      <c r="T65" s="290">
        <v>0.751</v>
      </c>
      <c r="U65" s="288">
        <v>0.75800000000000001</v>
      </c>
      <c r="V65" s="288">
        <v>0.723923076923077</v>
      </c>
      <c r="W65" s="288">
        <v>0.72750000000000004</v>
      </c>
      <c r="X65" s="288">
        <v>0.76</v>
      </c>
      <c r="Y65" s="288">
        <v>0</v>
      </c>
      <c r="Z65" s="289">
        <v>0</v>
      </c>
      <c r="AA65" s="229"/>
      <c r="AB65" s="52">
        <v>68031.249419501924</v>
      </c>
      <c r="AC65" s="288">
        <v>3.144036423827183</v>
      </c>
      <c r="AD65" s="288">
        <v>62917.094794387609</v>
      </c>
      <c r="AE65" s="288">
        <v>3.0804052230579289</v>
      </c>
      <c r="AF65" s="288">
        <v>5114.1546251143154</v>
      </c>
      <c r="AG65" s="289">
        <v>6.3631200769254104E-2</v>
      </c>
      <c r="AH65" s="229"/>
      <c r="AI65" s="205">
        <f t="shared" si="7"/>
        <v>246372.39296321635</v>
      </c>
      <c r="AJ65" s="205">
        <f t="shared" si="8"/>
        <v>245123.42751140529</v>
      </c>
      <c r="AK65" s="205">
        <f t="shared" si="3"/>
        <v>1248.9654518110947</v>
      </c>
      <c r="AL65" s="229"/>
      <c r="AM65" s="52">
        <f t="shared" si="4"/>
        <v>1</v>
      </c>
      <c r="AN65" s="52">
        <f t="shared" si="5"/>
        <v>0</v>
      </c>
      <c r="AO65" s="52">
        <f t="shared" si="6"/>
        <v>1</v>
      </c>
      <c r="AP65" s="229"/>
      <c r="AQ65" s="45">
        <v>70000</v>
      </c>
      <c r="AR65" s="45">
        <v>0.45800000000000002</v>
      </c>
      <c r="AS65" s="45">
        <v>0.54200000000000004</v>
      </c>
      <c r="AT65" s="45">
        <v>0.45800000000000002</v>
      </c>
      <c r="AU65" s="229"/>
      <c r="AV65" s="318">
        <f t="shared" si="9"/>
        <v>246372.39296321635</v>
      </c>
      <c r="AW65" s="229"/>
      <c r="AX65" s="312"/>
      <c r="AY65" s="14"/>
      <c r="AZ65" s="14">
        <f t="shared" si="11"/>
        <v>5114.1546251143154</v>
      </c>
      <c r="BA65" s="14">
        <f t="shared" si="10"/>
        <v>6.3631200769254104E-2</v>
      </c>
      <c r="BB65" s="14">
        <f t="shared" si="2"/>
        <v>80371.807592627083</v>
      </c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>
        <v>0.6</v>
      </c>
      <c r="CA65" s="14">
        <v>100000</v>
      </c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35"/>
      <c r="CM65" s="135"/>
      <c r="CN65" s="135"/>
      <c r="CO65" s="135"/>
      <c r="CP65" s="14"/>
      <c r="CQ65" s="14"/>
      <c r="CR65" s="14"/>
      <c r="CS65" s="3"/>
      <c r="CT65" s="3"/>
      <c r="CU65" s="3"/>
      <c r="CV65" s="3"/>
      <c r="CW65" s="3"/>
    </row>
    <row r="66" spans="1:101" ht="14.25" customHeight="1" x14ac:dyDescent="0.2">
      <c r="A66" s="286"/>
      <c r="B66" s="52">
        <v>0.1585378681456325</v>
      </c>
      <c r="C66" s="288">
        <v>1.1432513898096328E-2</v>
      </c>
      <c r="D66" s="288">
        <v>6.2463067520269009E-3</v>
      </c>
      <c r="E66" s="288">
        <v>1.0565016735815695E-2</v>
      </c>
      <c r="F66" s="289">
        <v>0.78832077184605864</v>
      </c>
      <c r="G66" s="92">
        <v>0.33478117812390168</v>
      </c>
      <c r="H66" s="288">
        <v>2.7558704805171447E-2</v>
      </c>
      <c r="I66" s="288">
        <v>3.1066309782960988E-2</v>
      </c>
      <c r="J66" s="288">
        <v>1</v>
      </c>
      <c r="K66" s="288">
        <v>0.72269294273992113</v>
      </c>
      <c r="L66" s="290">
        <v>15747.254613115239</v>
      </c>
      <c r="M66" s="288">
        <v>0</v>
      </c>
      <c r="N66" s="288">
        <v>13999.299768208861</v>
      </c>
      <c r="O66" s="288">
        <v>889.82890569521885</v>
      </c>
      <c r="P66" s="288">
        <v>38856.655739957765</v>
      </c>
      <c r="Q66" s="291">
        <v>105623.31955550845</v>
      </c>
      <c r="R66" s="288">
        <v>30717.763381536293</v>
      </c>
      <c r="S66" s="288">
        <v>8549.4749603658674</v>
      </c>
      <c r="T66" s="290">
        <v>0.751</v>
      </c>
      <c r="U66" s="288">
        <v>0.75800000000000001</v>
      </c>
      <c r="V66" s="288">
        <v>0.723923076923077</v>
      </c>
      <c r="W66" s="288">
        <v>0.72750000000000004</v>
      </c>
      <c r="X66" s="288">
        <v>0.76</v>
      </c>
      <c r="Y66" s="288">
        <v>0</v>
      </c>
      <c r="Z66" s="289">
        <v>0</v>
      </c>
      <c r="AA66" s="229"/>
      <c r="AB66" s="52">
        <v>82787.869934146773</v>
      </c>
      <c r="AC66" s="288">
        <v>3.1810187526762022</v>
      </c>
      <c r="AD66" s="288">
        <v>63835.039821796796</v>
      </c>
      <c r="AE66" s="288">
        <v>2.8831685323832699</v>
      </c>
      <c r="AF66" s="288">
        <v>18952.830112349977</v>
      </c>
      <c r="AG66" s="289">
        <v>0.29785022029293229</v>
      </c>
      <c r="AH66" s="229"/>
      <c r="AI66" s="205">
        <f t="shared" si="7"/>
        <v>235314.00533347344</v>
      </c>
      <c r="AJ66" s="205">
        <f t="shared" si="8"/>
        <v>224481.81341653017</v>
      </c>
      <c r="AK66" s="205">
        <f t="shared" si="3"/>
        <v>10832.191916943251</v>
      </c>
      <c r="AL66" s="229"/>
      <c r="AM66" s="52">
        <f t="shared" si="4"/>
        <v>1</v>
      </c>
      <c r="AN66" s="52">
        <f t="shared" si="5"/>
        <v>0</v>
      </c>
      <c r="AO66" s="52">
        <f t="shared" si="6"/>
        <v>1</v>
      </c>
      <c r="AP66" s="229"/>
      <c r="AQ66" s="45">
        <v>75000</v>
      </c>
      <c r="AR66" s="45">
        <v>0.48199999999999998</v>
      </c>
      <c r="AS66" s="45">
        <v>0.51800000000000002</v>
      </c>
      <c r="AT66" s="45">
        <v>0.48199999999999998</v>
      </c>
      <c r="AU66" s="229"/>
      <c r="AV66" s="318">
        <f t="shared" si="9"/>
        <v>235314.00533347344</v>
      </c>
      <c r="AW66" s="229"/>
      <c r="AX66" s="312"/>
      <c r="AY66" s="14"/>
      <c r="AZ66" s="14">
        <f t="shared" si="11"/>
        <v>18952.830112349977</v>
      </c>
      <c r="BA66" s="14">
        <f t="shared" si="10"/>
        <v>0.29785022029293229</v>
      </c>
      <c r="BB66" s="14">
        <f t="shared" si="2"/>
        <v>63632.083581170715</v>
      </c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>
        <v>0.7</v>
      </c>
      <c r="CA66" s="14">
        <v>100000</v>
      </c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35"/>
      <c r="CM66" s="135"/>
      <c r="CN66" s="135"/>
      <c r="CO66" s="135"/>
      <c r="CP66" s="14"/>
      <c r="CQ66" s="14"/>
      <c r="CR66" s="14"/>
      <c r="CS66" s="3"/>
      <c r="CT66" s="3"/>
      <c r="CU66" s="3"/>
      <c r="CV66" s="3"/>
      <c r="CW66" s="3"/>
    </row>
    <row r="67" spans="1:101" ht="14.25" customHeight="1" x14ac:dyDescent="0.2">
      <c r="A67" s="286"/>
      <c r="B67" s="52">
        <v>0.19330126123674995</v>
      </c>
      <c r="C67" s="288">
        <v>0.78090174051184313</v>
      </c>
      <c r="D67" s="288">
        <v>1.1149766365734544E-2</v>
      </c>
      <c r="E67" s="288">
        <v>1.2532937015594313E-2</v>
      </c>
      <c r="F67" s="289">
        <v>0.77544133472087573</v>
      </c>
      <c r="G67" s="92">
        <v>0.43477180072601396</v>
      </c>
      <c r="H67" s="288">
        <v>0.97836936862358692</v>
      </c>
      <c r="I67" s="288">
        <v>3.0377593001314398E-3</v>
      </c>
      <c r="J67" s="288">
        <v>0.50933523824863258</v>
      </c>
      <c r="K67" s="288">
        <v>0.72931649658976261</v>
      </c>
      <c r="L67" s="290">
        <v>13165.474269657328</v>
      </c>
      <c r="M67" s="288">
        <v>0</v>
      </c>
      <c r="N67" s="288">
        <v>19018.82288396162</v>
      </c>
      <c r="O67" s="288">
        <v>1456.7955474996199</v>
      </c>
      <c r="P67" s="288">
        <v>29595.709724576271</v>
      </c>
      <c r="Q67" s="291">
        <v>96318.175988694493</v>
      </c>
      <c r="R67" s="288">
        <v>21599.206613372069</v>
      </c>
      <c r="S67" s="288">
        <v>7704.1772565840965</v>
      </c>
      <c r="T67" s="290">
        <v>0.751</v>
      </c>
      <c r="U67" s="288">
        <v>0.75800000000000001</v>
      </c>
      <c r="V67" s="288">
        <v>0.723923076923077</v>
      </c>
      <c r="W67" s="288">
        <v>0.72750000000000004</v>
      </c>
      <c r="X67" s="288">
        <v>0.76</v>
      </c>
      <c r="Y67" s="288">
        <v>0</v>
      </c>
      <c r="Z67" s="289">
        <v>0</v>
      </c>
      <c r="AA67" s="229"/>
      <c r="AB67" s="52">
        <v>76073.980015870344</v>
      </c>
      <c r="AC67" s="288">
        <v>3.1212153648933825</v>
      </c>
      <c r="AD67" s="288">
        <v>66003.20410066453</v>
      </c>
      <c r="AE67" s="288">
        <v>2.9134002328320716</v>
      </c>
      <c r="AF67" s="288">
        <v>10070.775915205813</v>
      </c>
      <c r="AG67" s="289">
        <v>0.20781513206131086</v>
      </c>
      <c r="AH67" s="229"/>
      <c r="AI67" s="205">
        <f t="shared" si="7"/>
        <v>236047.55647346791</v>
      </c>
      <c r="AJ67" s="205">
        <f t="shared" si="8"/>
        <v>225336.81918254262</v>
      </c>
      <c r="AK67" s="205">
        <f t="shared" si="3"/>
        <v>10710.737290925274</v>
      </c>
      <c r="AL67" s="229"/>
      <c r="AM67" s="52">
        <f t="shared" si="4"/>
        <v>1</v>
      </c>
      <c r="AN67" s="52">
        <f t="shared" si="5"/>
        <v>0</v>
      </c>
      <c r="AO67" s="52">
        <f t="shared" si="6"/>
        <v>1</v>
      </c>
      <c r="AP67" s="229"/>
      <c r="AQ67" s="45">
        <v>80000</v>
      </c>
      <c r="AR67" s="45">
        <v>0.50700000000000001</v>
      </c>
      <c r="AS67" s="45">
        <v>0.49299999999999999</v>
      </c>
      <c r="AT67" s="45">
        <v>0.50700000000000001</v>
      </c>
      <c r="AU67" s="229"/>
      <c r="AV67" s="318">
        <f t="shared" si="9"/>
        <v>236047.55647346791</v>
      </c>
      <c r="AW67" s="229"/>
      <c r="AX67" s="312"/>
      <c r="AY67" s="14"/>
      <c r="AZ67" s="14">
        <f t="shared" si="11"/>
        <v>10070.775915205813</v>
      </c>
      <c r="BA67" s="14">
        <f t="shared" si="10"/>
        <v>0.20781513206131086</v>
      </c>
      <c r="BB67" s="14">
        <f t="shared" si="2"/>
        <v>48460.262808170643</v>
      </c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>
        <v>0.8</v>
      </c>
      <c r="CA67" s="14">
        <v>100000</v>
      </c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35"/>
      <c r="CM67" s="135"/>
      <c r="CN67" s="135"/>
      <c r="CO67" s="135"/>
      <c r="CP67" s="14"/>
      <c r="CQ67" s="14"/>
      <c r="CR67" s="14"/>
      <c r="CS67" s="3"/>
      <c r="CT67" s="3"/>
      <c r="CU67" s="3"/>
      <c r="CV67" s="3"/>
      <c r="CW67" s="3"/>
    </row>
    <row r="68" spans="1:101" ht="14.25" customHeight="1" x14ac:dyDescent="0.2">
      <c r="A68" s="286"/>
      <c r="B68" s="52">
        <v>0.15248618784786738</v>
      </c>
      <c r="C68" s="288">
        <v>0.14225872990894942</v>
      </c>
      <c r="D68" s="288">
        <v>1.4968058308705845E-2</v>
      </c>
      <c r="E68" s="288">
        <v>1.001644670358293E-2</v>
      </c>
      <c r="F68" s="289">
        <v>0.75791375657827798</v>
      </c>
      <c r="G68" s="92">
        <v>0.40775842135578577</v>
      </c>
      <c r="H68" s="288">
        <v>0.38054907780962222</v>
      </c>
      <c r="I68" s="288">
        <v>7.8799365168738429E-3</v>
      </c>
      <c r="J68" s="288">
        <v>0.99999999999964551</v>
      </c>
      <c r="K68" s="288">
        <v>0.77218361523027512</v>
      </c>
      <c r="L68" s="290">
        <v>10213.876850924589</v>
      </c>
      <c r="M68" s="288">
        <v>0</v>
      </c>
      <c r="N68" s="288">
        <v>24716.111014097667</v>
      </c>
      <c r="O68" s="288">
        <v>989.07174391524177</v>
      </c>
      <c r="P68" s="288">
        <v>29252.679937474728</v>
      </c>
      <c r="Q68" s="291">
        <v>91099.36154541724</v>
      </c>
      <c r="R68" s="288">
        <v>19795.964623249358</v>
      </c>
      <c r="S68" s="288">
        <v>7174.7235871180583</v>
      </c>
      <c r="T68" s="290">
        <v>0.751</v>
      </c>
      <c r="U68" s="288">
        <v>0.75800000000000001</v>
      </c>
      <c r="V68" s="288">
        <v>0.723923076923077</v>
      </c>
      <c r="W68" s="288">
        <v>0.72750000000000004</v>
      </c>
      <c r="X68" s="288">
        <v>0.76</v>
      </c>
      <c r="Y68" s="288">
        <v>0</v>
      </c>
      <c r="Z68" s="289">
        <v>0</v>
      </c>
      <c r="AA68" s="229"/>
      <c r="AB68" s="52">
        <v>64850.14543997599</v>
      </c>
      <c r="AC68" s="288">
        <v>3.0402471315291604</v>
      </c>
      <c r="AD68" s="288">
        <v>59170.438729645924</v>
      </c>
      <c r="AE68" s="288">
        <v>3.1107294410976873</v>
      </c>
      <c r="AF68" s="288">
        <v>5679.7067103300651</v>
      </c>
      <c r="AG68" s="289">
        <v>-7.0482309568526968E-2</v>
      </c>
      <c r="AH68" s="229"/>
      <c r="AI68" s="205">
        <f t="shared" si="7"/>
        <v>239174.56771294007</v>
      </c>
      <c r="AJ68" s="205">
        <f t="shared" si="8"/>
        <v>251902.50538012281</v>
      </c>
      <c r="AK68" s="205">
        <f t="shared" si="3"/>
        <v>-12727.937667182763</v>
      </c>
      <c r="AL68" s="229"/>
      <c r="AM68" s="52">
        <f t="shared" si="4"/>
        <v>0</v>
      </c>
      <c r="AN68" s="52">
        <f t="shared" si="5"/>
        <v>1</v>
      </c>
      <c r="AO68" s="52">
        <f t="shared" si="6"/>
        <v>0</v>
      </c>
      <c r="AP68" s="229"/>
      <c r="AQ68" s="45">
        <v>85000</v>
      </c>
      <c r="AR68" s="45">
        <v>0.52400000000000002</v>
      </c>
      <c r="AS68" s="45">
        <v>0.47599999999999998</v>
      </c>
      <c r="AT68" s="45">
        <v>0.52400000000000002</v>
      </c>
      <c r="AU68" s="229"/>
      <c r="AV68" s="318">
        <f t="shared" si="9"/>
        <v>251902.50538012281</v>
      </c>
      <c r="AW68" s="229"/>
      <c r="AX68" s="312"/>
      <c r="AY68" s="14"/>
      <c r="AZ68" s="14">
        <f t="shared" si="11"/>
        <v>5679.7067103300651</v>
      </c>
      <c r="BA68" s="14">
        <f t="shared" si="10"/>
        <v>-7.0482309568526968E-2</v>
      </c>
      <c r="BB68" s="14">
        <f t="shared" si="2"/>
        <v>-80583.436398433085</v>
      </c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>
        <v>0.9</v>
      </c>
      <c r="CA68" s="14">
        <v>100000</v>
      </c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35"/>
      <c r="CM68" s="135"/>
      <c r="CN68" s="135"/>
      <c r="CO68" s="135"/>
      <c r="CP68" s="14"/>
      <c r="CQ68" s="14"/>
      <c r="CR68" s="14"/>
      <c r="CS68" s="3"/>
      <c r="CT68" s="3"/>
      <c r="CU68" s="3"/>
      <c r="CV68" s="3"/>
      <c r="CW68" s="3"/>
    </row>
    <row r="69" spans="1:101" ht="14.25" customHeight="1" x14ac:dyDescent="0.2">
      <c r="A69" s="286"/>
      <c r="B69" s="52">
        <v>0.15467738018200586</v>
      </c>
      <c r="C69" s="288">
        <v>0.4442204182257975</v>
      </c>
      <c r="D69" s="288">
        <v>2.5595644638573889E-2</v>
      </c>
      <c r="E69" s="288">
        <v>1.550408458308028E-2</v>
      </c>
      <c r="F69" s="289">
        <v>0.78311765147145485</v>
      </c>
      <c r="G69" s="92">
        <v>0.32482235349564542</v>
      </c>
      <c r="H69" s="288">
        <v>0.19093294137982469</v>
      </c>
      <c r="I69" s="288">
        <v>1.4490303868121246E-2</v>
      </c>
      <c r="J69" s="288">
        <v>0.99999999999997558</v>
      </c>
      <c r="K69" s="288">
        <v>0.76483418758984012</v>
      </c>
      <c r="L69" s="290">
        <v>8975.6287053029318</v>
      </c>
      <c r="M69" s="288">
        <v>0</v>
      </c>
      <c r="N69" s="288">
        <v>29641.631859617617</v>
      </c>
      <c r="O69" s="288">
        <v>999.72014754861652</v>
      </c>
      <c r="P69" s="288">
        <v>62037.641257622934</v>
      </c>
      <c r="Q69" s="291">
        <v>92097.231211376202</v>
      </c>
      <c r="R69" s="288">
        <v>23851.687292722294</v>
      </c>
      <c r="S69" s="288">
        <v>5160.1232155068938</v>
      </c>
      <c r="T69" s="290">
        <v>0.751</v>
      </c>
      <c r="U69" s="288">
        <v>0.75800000000000001</v>
      </c>
      <c r="V69" s="288">
        <v>0.723923076923077</v>
      </c>
      <c r="W69" s="288">
        <v>0.72750000000000004</v>
      </c>
      <c r="X69" s="288">
        <v>0.76</v>
      </c>
      <c r="Y69" s="288">
        <v>0</v>
      </c>
      <c r="Z69" s="289">
        <v>0</v>
      </c>
      <c r="AA69" s="229"/>
      <c r="AB69" s="52">
        <v>51154.352844694127</v>
      </c>
      <c r="AC69" s="288">
        <v>3.1568276601310128</v>
      </c>
      <c r="AD69" s="288">
        <v>42051.50971002203</v>
      </c>
      <c r="AE69" s="288">
        <v>3.0766922641381029</v>
      </c>
      <c r="AF69" s="288">
        <v>9102.8431346720972</v>
      </c>
      <c r="AG69" s="289">
        <v>8.0135395992909864E-2</v>
      </c>
      <c r="AH69" s="229"/>
      <c r="AI69" s="205">
        <f t="shared" si="7"/>
        <v>264528.41316840716</v>
      </c>
      <c r="AJ69" s="205">
        <f t="shared" si="8"/>
        <v>265617.71670378826</v>
      </c>
      <c r="AK69" s="205">
        <f t="shared" si="3"/>
        <v>-1089.303535381111</v>
      </c>
      <c r="AL69" s="229"/>
      <c r="AM69" s="52">
        <f t="shared" si="4"/>
        <v>0</v>
      </c>
      <c r="AN69" s="52">
        <f t="shared" si="5"/>
        <v>1</v>
      </c>
      <c r="AO69" s="52">
        <f t="shared" si="6"/>
        <v>0</v>
      </c>
      <c r="AP69" s="229"/>
      <c r="AQ69" s="45">
        <v>90000</v>
      </c>
      <c r="AR69" s="45">
        <v>0.54200000000000004</v>
      </c>
      <c r="AS69" s="45">
        <v>0.45800000000000002</v>
      </c>
      <c r="AT69" s="45">
        <v>0.54200000000000004</v>
      </c>
      <c r="AU69" s="229"/>
      <c r="AV69" s="318">
        <f t="shared" si="9"/>
        <v>265617.71670378826</v>
      </c>
      <c r="AW69" s="229"/>
      <c r="AX69" s="312"/>
      <c r="AY69" s="14"/>
      <c r="AZ69" s="14">
        <f t="shared" si="11"/>
        <v>9102.8431346720972</v>
      </c>
      <c r="BA69" s="14">
        <f t="shared" si="10"/>
        <v>8.0135395992909864E-2</v>
      </c>
      <c r="BB69" s="14">
        <f t="shared" si="2"/>
        <v>113593.28823279901</v>
      </c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>
        <v>10</v>
      </c>
      <c r="CA69" s="14">
        <v>100000</v>
      </c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35"/>
      <c r="CM69" s="135"/>
      <c r="CN69" s="135"/>
      <c r="CO69" s="135"/>
      <c r="CP69" s="14"/>
      <c r="CQ69" s="14"/>
      <c r="CR69" s="14"/>
      <c r="CS69" s="3"/>
      <c r="CT69" s="3"/>
      <c r="CU69" s="3"/>
      <c r="CV69" s="3"/>
      <c r="CW69" s="3"/>
    </row>
    <row r="70" spans="1:101" ht="14.25" customHeight="1" x14ac:dyDescent="0.2">
      <c r="A70" s="286"/>
      <c r="B70" s="52">
        <v>0.15853859235365916</v>
      </c>
      <c r="C70" s="288">
        <v>0.89368028288922807</v>
      </c>
      <c r="D70" s="288">
        <v>2.207642684736344E-2</v>
      </c>
      <c r="E70" s="288">
        <v>8.0237564747148837E-3</v>
      </c>
      <c r="F70" s="289">
        <v>0.78489101526136551</v>
      </c>
      <c r="G70" s="92">
        <v>0.48991446810513184</v>
      </c>
      <c r="H70" s="288">
        <v>0.93638593983556495</v>
      </c>
      <c r="I70" s="288">
        <v>2.3171364064185851E-2</v>
      </c>
      <c r="J70" s="288">
        <v>0.99993968209043538</v>
      </c>
      <c r="K70" s="288">
        <v>0.80141843665861767</v>
      </c>
      <c r="L70" s="290">
        <v>13839.358490225186</v>
      </c>
      <c r="M70" s="288">
        <v>0</v>
      </c>
      <c r="N70" s="288">
        <v>15822.812524249977</v>
      </c>
      <c r="O70" s="288">
        <v>1669.597359679261</v>
      </c>
      <c r="P70" s="288">
        <v>40275.201242847616</v>
      </c>
      <c r="Q70" s="291">
        <v>81775.324914735873</v>
      </c>
      <c r="R70" s="288">
        <v>26899.731013833774</v>
      </c>
      <c r="S70" s="288">
        <v>10803.913611393202</v>
      </c>
      <c r="T70" s="290">
        <v>0.751</v>
      </c>
      <c r="U70" s="288">
        <v>0.75800000000000001</v>
      </c>
      <c r="V70" s="288">
        <v>0.723923076923077</v>
      </c>
      <c r="W70" s="288">
        <v>0.72750000000000004</v>
      </c>
      <c r="X70" s="288">
        <v>0.76</v>
      </c>
      <c r="Y70" s="288">
        <v>0</v>
      </c>
      <c r="Z70" s="289">
        <v>0</v>
      </c>
      <c r="AA70" s="229"/>
      <c r="AB70" s="52">
        <v>102173.40997056857</v>
      </c>
      <c r="AC70" s="288">
        <v>3.1650678671111092</v>
      </c>
      <c r="AD70" s="288">
        <v>101048.41909870927</v>
      </c>
      <c r="AE70" s="288">
        <v>3.2469666920044475</v>
      </c>
      <c r="AF70" s="288">
        <v>1124.9908718592924</v>
      </c>
      <c r="AG70" s="289">
        <v>-8.1898824893338329E-2</v>
      </c>
      <c r="AH70" s="229"/>
      <c r="AI70" s="205">
        <f t="shared" si="7"/>
        <v>214333.37674054236</v>
      </c>
      <c r="AJ70" s="205">
        <f t="shared" si="8"/>
        <v>223648.2501017355</v>
      </c>
      <c r="AK70" s="205">
        <f t="shared" si="3"/>
        <v>-9314.8733611931257</v>
      </c>
      <c r="AL70" s="229"/>
      <c r="AM70" s="52">
        <f t="shared" si="4"/>
        <v>0</v>
      </c>
      <c r="AN70" s="52">
        <f t="shared" si="5"/>
        <v>1</v>
      </c>
      <c r="AO70" s="52">
        <f t="shared" si="6"/>
        <v>0</v>
      </c>
      <c r="AP70" s="229"/>
      <c r="AQ70" s="45">
        <v>95000</v>
      </c>
      <c r="AR70" s="45">
        <v>0.55500000000000005</v>
      </c>
      <c r="AS70" s="45">
        <v>0.44500000000000001</v>
      </c>
      <c r="AT70" s="45">
        <v>0.55500000000000005</v>
      </c>
      <c r="AU70" s="229"/>
      <c r="AV70" s="318">
        <f t="shared" si="9"/>
        <v>223648.2501017355</v>
      </c>
      <c r="AW70" s="229"/>
      <c r="AX70" s="312"/>
      <c r="AY70" s="14"/>
      <c r="AZ70" s="14">
        <f t="shared" si="11"/>
        <v>1124.9908718592924</v>
      </c>
      <c r="BA70" s="14">
        <f t="shared" si="10"/>
        <v>-8.1898824893338329E-2</v>
      </c>
      <c r="BB70" s="14">
        <f t="shared" si="2"/>
        <v>-13736.349371611062</v>
      </c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35"/>
      <c r="CM70" s="135"/>
      <c r="CN70" s="135"/>
      <c r="CO70" s="135"/>
      <c r="CP70" s="14"/>
      <c r="CQ70" s="14"/>
      <c r="CR70" s="14"/>
      <c r="CS70" s="3"/>
      <c r="CT70" s="3"/>
      <c r="CU70" s="3"/>
      <c r="CV70" s="3"/>
      <c r="CW70" s="3"/>
    </row>
    <row r="71" spans="1:101" ht="14.25" customHeight="1" x14ac:dyDescent="0.2">
      <c r="A71" s="286"/>
      <c r="B71" s="52">
        <v>0.19804450983336996</v>
      </c>
      <c r="C71" s="288">
        <v>0.39654341982083252</v>
      </c>
      <c r="D71" s="288">
        <v>1.9351479611733668E-2</v>
      </c>
      <c r="E71" s="288">
        <v>9.7486105614708451E-3</v>
      </c>
      <c r="F71" s="289">
        <v>0.82675004457766343</v>
      </c>
      <c r="G71" s="92">
        <v>0.39962257636926524</v>
      </c>
      <c r="H71" s="288">
        <v>0.42254480663546001</v>
      </c>
      <c r="I71" s="288">
        <v>4.9172326771112718E-2</v>
      </c>
      <c r="J71" s="288">
        <v>5.2114706523462913E-5</v>
      </c>
      <c r="K71" s="288">
        <v>0.75818306583665829</v>
      </c>
      <c r="L71" s="290">
        <v>10171.395251257638</v>
      </c>
      <c r="M71" s="288">
        <v>0</v>
      </c>
      <c r="N71" s="288">
        <v>19368.759505059876</v>
      </c>
      <c r="O71" s="288">
        <v>1178.0374227729496</v>
      </c>
      <c r="P71" s="288">
        <v>34776.18227675456</v>
      </c>
      <c r="Q71" s="291">
        <v>106955.11491970852</v>
      </c>
      <c r="R71" s="288">
        <v>16496.47528440924</v>
      </c>
      <c r="S71" s="288">
        <v>10769.173646955209</v>
      </c>
      <c r="T71" s="290">
        <v>0.751</v>
      </c>
      <c r="U71" s="288">
        <v>0.75800000000000001</v>
      </c>
      <c r="V71" s="288">
        <v>0.723923076923077</v>
      </c>
      <c r="W71" s="288">
        <v>0.72750000000000004</v>
      </c>
      <c r="X71" s="288">
        <v>0.76</v>
      </c>
      <c r="Y71" s="288">
        <v>0</v>
      </c>
      <c r="Z71" s="289">
        <v>0</v>
      </c>
      <c r="AA71" s="229"/>
      <c r="AB71" s="52">
        <v>100276.30114553275</v>
      </c>
      <c r="AC71" s="288">
        <v>3.3610046320229578</v>
      </c>
      <c r="AD71" s="288">
        <v>86767.387627029937</v>
      </c>
      <c r="AE71" s="288">
        <v>3.0459625193344642</v>
      </c>
      <c r="AF71" s="288">
        <v>13508.913518502814</v>
      </c>
      <c r="AG71" s="289">
        <v>0.31504211268849369</v>
      </c>
      <c r="AH71" s="229"/>
      <c r="AI71" s="205">
        <f t="shared" si="7"/>
        <v>235824.16205676302</v>
      </c>
      <c r="AJ71" s="205">
        <f t="shared" si="8"/>
        <v>217828.86430641645</v>
      </c>
      <c r="AK71" s="205">
        <f t="shared" si="3"/>
        <v>17995.297750346555</v>
      </c>
      <c r="AL71" s="229"/>
      <c r="AM71" s="52">
        <f t="shared" si="4"/>
        <v>1</v>
      </c>
      <c r="AN71" s="52">
        <f t="shared" si="5"/>
        <v>0</v>
      </c>
      <c r="AO71" s="52">
        <f t="shared" si="6"/>
        <v>1</v>
      </c>
      <c r="AP71" s="229"/>
      <c r="AQ71" s="45">
        <v>100000</v>
      </c>
      <c r="AR71" s="45">
        <v>0.57099999999999995</v>
      </c>
      <c r="AS71" s="45">
        <v>0.42899999999999999</v>
      </c>
      <c r="AT71" s="45">
        <v>0.57099999999999995</v>
      </c>
      <c r="AU71" s="229"/>
      <c r="AV71" s="318">
        <f t="shared" si="9"/>
        <v>235824.16205676302</v>
      </c>
      <c r="AW71" s="229"/>
      <c r="AX71" s="312"/>
      <c r="AY71" s="14"/>
      <c r="AZ71" s="14">
        <f t="shared" si="11"/>
        <v>13508.913518502814</v>
      </c>
      <c r="BA71" s="14">
        <f t="shared" si="10"/>
        <v>0.31504211268849369</v>
      </c>
      <c r="BB71" s="14">
        <f t="shared" si="2"/>
        <v>42879.707107157803</v>
      </c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35"/>
      <c r="CM71" s="135"/>
      <c r="CN71" s="135"/>
      <c r="CO71" s="135"/>
      <c r="CP71" s="14"/>
      <c r="CQ71" s="14"/>
      <c r="CR71" s="14"/>
      <c r="CS71" s="3"/>
      <c r="CT71" s="3"/>
      <c r="CU71" s="3"/>
      <c r="CV71" s="3"/>
      <c r="CW71" s="3"/>
    </row>
    <row r="72" spans="1:101" ht="14.25" customHeight="1" x14ac:dyDescent="0.2">
      <c r="A72" s="286"/>
      <c r="B72" s="52">
        <v>0.14361744297100268</v>
      </c>
      <c r="C72" s="288">
        <v>1.0650860241648815E-3</v>
      </c>
      <c r="D72" s="288">
        <v>6.5100752198585677E-3</v>
      </c>
      <c r="E72" s="288">
        <v>1.1767520341120326E-2</v>
      </c>
      <c r="F72" s="289">
        <v>0.76434198951632282</v>
      </c>
      <c r="G72" s="92">
        <v>0.37101489355697609</v>
      </c>
      <c r="H72" s="288">
        <v>0.21183045274530582</v>
      </c>
      <c r="I72" s="288">
        <v>3.5053047335306185E-3</v>
      </c>
      <c r="J72" s="288">
        <v>0.2918995101227897</v>
      </c>
      <c r="K72" s="288">
        <v>0.76598985402691921</v>
      </c>
      <c r="L72" s="290">
        <v>15973.231755474444</v>
      </c>
      <c r="M72" s="288">
        <v>0</v>
      </c>
      <c r="N72" s="288">
        <v>18029.634557784815</v>
      </c>
      <c r="O72" s="288">
        <v>1510.5293169946581</v>
      </c>
      <c r="P72" s="288">
        <v>40220.814266837151</v>
      </c>
      <c r="Q72" s="291">
        <v>90909.950316263887</v>
      </c>
      <c r="R72" s="288">
        <v>22279.773033007979</v>
      </c>
      <c r="S72" s="288">
        <v>8656.2420654588277</v>
      </c>
      <c r="T72" s="290">
        <v>0.751</v>
      </c>
      <c r="U72" s="288">
        <v>0.75800000000000001</v>
      </c>
      <c r="V72" s="288">
        <v>0.723923076923077</v>
      </c>
      <c r="W72" s="288">
        <v>0.72750000000000004</v>
      </c>
      <c r="X72" s="288">
        <v>0.76</v>
      </c>
      <c r="Y72" s="288">
        <v>0</v>
      </c>
      <c r="Z72" s="289">
        <v>0</v>
      </c>
      <c r="AA72" s="229"/>
      <c r="AB72" s="52">
        <v>81795.998899416343</v>
      </c>
      <c r="AC72" s="288">
        <v>3.0698862462098147</v>
      </c>
      <c r="AD72" s="288">
        <v>68562.943452631022</v>
      </c>
      <c r="AE72" s="288">
        <v>3.0820388250334241</v>
      </c>
      <c r="AF72" s="288">
        <v>13233.055446785322</v>
      </c>
      <c r="AG72" s="289">
        <v>-1.2152578823609428E-2</v>
      </c>
      <c r="AH72" s="229"/>
      <c r="AI72" s="205">
        <f t="shared" si="7"/>
        <v>225192.6257215651</v>
      </c>
      <c r="AJ72" s="205">
        <f t="shared" si="8"/>
        <v>239640.9390507114</v>
      </c>
      <c r="AK72" s="205">
        <f t="shared" si="3"/>
        <v>-14448.313329146265</v>
      </c>
      <c r="AL72" s="229"/>
      <c r="AM72" s="52">
        <f t="shared" si="4"/>
        <v>0</v>
      </c>
      <c r="AN72" s="52">
        <f t="shared" si="5"/>
        <v>1</v>
      </c>
      <c r="AO72" s="52">
        <f t="shared" si="6"/>
        <v>0</v>
      </c>
      <c r="AP72" s="229"/>
      <c r="AQ72" s="52">
        <v>110000</v>
      </c>
      <c r="AR72" s="52">
        <v>0.59299999999999997</v>
      </c>
      <c r="AS72" s="52">
        <v>0.40699999999999997</v>
      </c>
      <c r="AT72" s="52">
        <v>0.59299999999999997</v>
      </c>
      <c r="AU72" s="229"/>
      <c r="AV72" s="318">
        <f t="shared" si="9"/>
        <v>239640.9390507114</v>
      </c>
      <c r="AW72" s="229"/>
      <c r="AX72" s="312"/>
      <c r="AY72" s="14"/>
      <c r="AZ72" s="14">
        <f t="shared" si="11"/>
        <v>13233.055446785322</v>
      </c>
      <c r="BA72" s="14">
        <f t="shared" si="10"/>
        <v>-1.2152578823609428E-2</v>
      </c>
      <c r="BB72" s="14">
        <f t="shared" si="2"/>
        <v>-1088909.2462479484</v>
      </c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35"/>
      <c r="CM72" s="135"/>
      <c r="CN72" s="135"/>
      <c r="CO72" s="135"/>
      <c r="CP72" s="14"/>
      <c r="CQ72" s="14"/>
      <c r="CR72" s="14"/>
      <c r="CS72" s="3"/>
      <c r="CT72" s="3"/>
      <c r="CU72" s="3"/>
      <c r="CV72" s="3"/>
      <c r="CW72" s="3"/>
    </row>
    <row r="73" spans="1:101" ht="14.25" customHeight="1" x14ac:dyDescent="0.2">
      <c r="A73" s="286"/>
      <c r="B73" s="52">
        <v>0.11290232160563986</v>
      </c>
      <c r="C73" s="288">
        <v>0.10303596205983424</v>
      </c>
      <c r="D73" s="288">
        <v>1.0267562017951606E-2</v>
      </c>
      <c r="E73" s="288">
        <v>7.7092045441064438E-3</v>
      </c>
      <c r="F73" s="289">
        <v>0.7823513535497103</v>
      </c>
      <c r="G73" s="92">
        <v>0.44727414508925367</v>
      </c>
      <c r="H73" s="288">
        <v>0.2219155503014176</v>
      </c>
      <c r="I73" s="288">
        <v>9.9133091763185504E-3</v>
      </c>
      <c r="J73" s="288">
        <v>0.99999925906029596</v>
      </c>
      <c r="K73" s="288">
        <v>0.68984234582872284</v>
      </c>
      <c r="L73" s="290">
        <v>11362.773880862165</v>
      </c>
      <c r="M73" s="288">
        <v>0</v>
      </c>
      <c r="N73" s="288">
        <v>25481.688580761911</v>
      </c>
      <c r="O73" s="288">
        <v>1409.7430437179476</v>
      </c>
      <c r="P73" s="288">
        <v>39563.314068542073</v>
      </c>
      <c r="Q73" s="291">
        <v>93793.170942569865</v>
      </c>
      <c r="R73" s="288">
        <v>26137.230284997237</v>
      </c>
      <c r="S73" s="288">
        <v>7560.0518486989968</v>
      </c>
      <c r="T73" s="290">
        <v>0.751</v>
      </c>
      <c r="U73" s="288">
        <v>0.75800000000000001</v>
      </c>
      <c r="V73" s="288">
        <v>0.723923076923077</v>
      </c>
      <c r="W73" s="288">
        <v>0.72750000000000004</v>
      </c>
      <c r="X73" s="288">
        <v>0.76</v>
      </c>
      <c r="Y73" s="288">
        <v>0</v>
      </c>
      <c r="Z73" s="289">
        <v>0</v>
      </c>
      <c r="AA73" s="229"/>
      <c r="AB73" s="52">
        <v>70503.526012314906</v>
      </c>
      <c r="AC73" s="288">
        <v>3.1532684655042553</v>
      </c>
      <c r="AD73" s="288">
        <v>55919.3907018338</v>
      </c>
      <c r="AE73" s="288">
        <v>2.7342514779560956</v>
      </c>
      <c r="AF73" s="288">
        <v>14584.135310481106</v>
      </c>
      <c r="AG73" s="289">
        <v>0.41901698754815975</v>
      </c>
      <c r="AH73" s="229"/>
      <c r="AI73" s="205">
        <f t="shared" si="7"/>
        <v>244823.32053811062</v>
      </c>
      <c r="AJ73" s="205">
        <f t="shared" si="8"/>
        <v>217505.75709377576</v>
      </c>
      <c r="AK73" s="205">
        <f t="shared" si="3"/>
        <v>27317.563444334868</v>
      </c>
      <c r="AL73" s="229"/>
      <c r="AM73" s="52">
        <f t="shared" si="4"/>
        <v>1</v>
      </c>
      <c r="AN73" s="52">
        <f t="shared" si="5"/>
        <v>0</v>
      </c>
      <c r="AO73" s="52">
        <f t="shared" si="6"/>
        <v>1</v>
      </c>
      <c r="AP73" s="229"/>
      <c r="AQ73" s="52">
        <v>120000</v>
      </c>
      <c r="AR73" s="52">
        <v>0.61399999999999999</v>
      </c>
      <c r="AS73" s="52">
        <v>0.38600000000000001</v>
      </c>
      <c r="AT73" s="52">
        <v>0.61399999999999999</v>
      </c>
      <c r="AU73" s="229"/>
      <c r="AV73" s="318">
        <f t="shared" si="9"/>
        <v>244823.32053811062</v>
      </c>
      <c r="AW73" s="229"/>
      <c r="AX73" s="312"/>
      <c r="AY73" s="14"/>
      <c r="AZ73" s="14">
        <f t="shared" si="11"/>
        <v>14584.135310481106</v>
      </c>
      <c r="BA73" s="14">
        <f t="shared" si="10"/>
        <v>0.41901698754815975</v>
      </c>
      <c r="BB73" s="14">
        <f t="shared" si="2"/>
        <v>34805.594388473037</v>
      </c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35"/>
      <c r="CM73" s="135"/>
      <c r="CN73" s="135"/>
      <c r="CO73" s="135"/>
      <c r="CP73" s="14"/>
      <c r="CQ73" s="14"/>
      <c r="CR73" s="14"/>
      <c r="CS73" s="3"/>
      <c r="CT73" s="3"/>
      <c r="CU73" s="3"/>
      <c r="CV73" s="3"/>
      <c r="CW73" s="3"/>
    </row>
    <row r="74" spans="1:101" ht="14.25" customHeight="1" x14ac:dyDescent="0.2">
      <c r="A74" s="286"/>
      <c r="B74" s="52">
        <v>0.1457024166981952</v>
      </c>
      <c r="C74" s="288">
        <v>0.16295895669520258</v>
      </c>
      <c r="D74" s="288">
        <v>6.0065577317779334E-3</v>
      </c>
      <c r="E74" s="288">
        <v>1.9055408177944155E-2</v>
      </c>
      <c r="F74" s="289">
        <v>0.74027295957144601</v>
      </c>
      <c r="G74" s="92">
        <v>0.39821539345506995</v>
      </c>
      <c r="H74" s="288">
        <v>0.92517201210122957</v>
      </c>
      <c r="I74" s="288">
        <v>6.5265511408147013E-3</v>
      </c>
      <c r="J74" s="288">
        <v>0.91937161648413879</v>
      </c>
      <c r="K74" s="288">
        <v>0.78471971645716043</v>
      </c>
      <c r="L74" s="290">
        <v>12216.262729679132</v>
      </c>
      <c r="M74" s="288">
        <v>0</v>
      </c>
      <c r="N74" s="288">
        <v>20520.259915795672</v>
      </c>
      <c r="O74" s="288">
        <v>1191.9103424130853</v>
      </c>
      <c r="P74" s="288">
        <v>51584.376155740705</v>
      </c>
      <c r="Q74" s="291">
        <v>108872.02179940829</v>
      </c>
      <c r="R74" s="288">
        <v>19934.938294328866</v>
      </c>
      <c r="S74" s="288">
        <v>6381.802882077538</v>
      </c>
      <c r="T74" s="290">
        <v>0.751</v>
      </c>
      <c r="U74" s="288">
        <v>0.75800000000000001</v>
      </c>
      <c r="V74" s="288">
        <v>0.723923076923077</v>
      </c>
      <c r="W74" s="288">
        <v>0.72750000000000004</v>
      </c>
      <c r="X74" s="288">
        <v>0.76</v>
      </c>
      <c r="Y74" s="288">
        <v>0</v>
      </c>
      <c r="Z74" s="289">
        <v>0</v>
      </c>
      <c r="AA74" s="229"/>
      <c r="AB74" s="52">
        <v>59740.868049453988</v>
      </c>
      <c r="AC74" s="288">
        <v>2.9592424335574887</v>
      </c>
      <c r="AD74" s="288">
        <v>58171.538839114655</v>
      </c>
      <c r="AE74" s="288">
        <v>3.1689839683661276</v>
      </c>
      <c r="AF74" s="288">
        <v>1569.3292103393323</v>
      </c>
      <c r="AG74" s="289">
        <v>-0.20974153480863889</v>
      </c>
      <c r="AH74" s="229"/>
      <c r="AI74" s="205">
        <f t="shared" si="7"/>
        <v>236183.37530629488</v>
      </c>
      <c r="AJ74" s="205">
        <f t="shared" si="8"/>
        <v>258726.85799749813</v>
      </c>
      <c r="AK74" s="205">
        <f t="shared" si="3"/>
        <v>-22543.482691203222</v>
      </c>
      <c r="AL74" s="229"/>
      <c r="AM74" s="52">
        <f t="shared" si="4"/>
        <v>0</v>
      </c>
      <c r="AN74" s="52">
        <f t="shared" si="5"/>
        <v>1</v>
      </c>
      <c r="AO74" s="52">
        <f t="shared" si="6"/>
        <v>0</v>
      </c>
      <c r="AP74" s="229"/>
      <c r="AQ74" s="52">
        <v>130000</v>
      </c>
      <c r="AR74" s="52">
        <v>0.624</v>
      </c>
      <c r="AS74" s="52">
        <v>0.376</v>
      </c>
      <c r="AT74" s="52">
        <v>0.624</v>
      </c>
      <c r="AU74" s="229"/>
      <c r="AV74" s="318">
        <f t="shared" si="9"/>
        <v>258726.85799749813</v>
      </c>
      <c r="AW74" s="229"/>
      <c r="AX74" s="312"/>
      <c r="AY74" s="14"/>
      <c r="AZ74" s="14">
        <f t="shared" si="11"/>
        <v>1569.3292103393323</v>
      </c>
      <c r="BA74" s="14">
        <f t="shared" si="10"/>
        <v>-0.20974153480863889</v>
      </c>
      <c r="BB74" s="14">
        <f t="shared" si="2"/>
        <v>-7482.2052378473127</v>
      </c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 t="s">
        <v>300</v>
      </c>
      <c r="BT74" s="14" t="s">
        <v>302</v>
      </c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35"/>
      <c r="CM74" s="135"/>
      <c r="CN74" s="135"/>
      <c r="CO74" s="135"/>
      <c r="CP74" s="14"/>
      <c r="CQ74" s="14"/>
      <c r="CR74" s="14"/>
      <c r="CS74" s="3"/>
      <c r="CT74" s="3"/>
      <c r="CU74" s="3"/>
      <c r="CV74" s="3"/>
      <c r="CW74" s="3"/>
    </row>
    <row r="75" spans="1:101" ht="14.25" customHeight="1" x14ac:dyDescent="0.2">
      <c r="A75" s="286"/>
      <c r="B75" s="52">
        <v>0.17176537652719026</v>
      </c>
      <c r="C75" s="288">
        <v>0.10521599867387631</v>
      </c>
      <c r="D75" s="288">
        <v>1.4924936842597325E-2</v>
      </c>
      <c r="E75" s="288">
        <v>1.2034460659987914E-2</v>
      </c>
      <c r="F75" s="289">
        <v>0.76091582399048097</v>
      </c>
      <c r="G75" s="92">
        <v>0.41941076262047505</v>
      </c>
      <c r="H75" s="288">
        <v>0.95047904616168166</v>
      </c>
      <c r="I75" s="288">
        <v>9.9009434823639671E-3</v>
      </c>
      <c r="J75" s="288">
        <v>0.99990426787566067</v>
      </c>
      <c r="K75" s="288">
        <v>0.7733407705360541</v>
      </c>
      <c r="L75" s="290">
        <v>12605.114232243912</v>
      </c>
      <c r="M75" s="288">
        <v>0</v>
      </c>
      <c r="N75" s="288">
        <v>13636.743753652936</v>
      </c>
      <c r="O75" s="288">
        <v>1250.3453050877902</v>
      </c>
      <c r="P75" s="288">
        <v>51516.194210866706</v>
      </c>
      <c r="Q75" s="291">
        <v>91510.449366633242</v>
      </c>
      <c r="R75" s="288">
        <v>18409.780082644906</v>
      </c>
      <c r="S75" s="288">
        <v>7756.5678194048105</v>
      </c>
      <c r="T75" s="290">
        <v>0.751</v>
      </c>
      <c r="U75" s="288">
        <v>0.75800000000000001</v>
      </c>
      <c r="V75" s="288">
        <v>0.723923076923077</v>
      </c>
      <c r="W75" s="288">
        <v>0.72750000000000004</v>
      </c>
      <c r="X75" s="288">
        <v>0.76</v>
      </c>
      <c r="Y75" s="288">
        <v>0</v>
      </c>
      <c r="Z75" s="289">
        <v>0</v>
      </c>
      <c r="AA75" s="229"/>
      <c r="AB75" s="52">
        <v>71833.428173537468</v>
      </c>
      <c r="AC75" s="288">
        <v>3.0540809126077049</v>
      </c>
      <c r="AD75" s="288">
        <v>68263.227423017976</v>
      </c>
      <c r="AE75" s="288">
        <v>3.1160962965410604</v>
      </c>
      <c r="AF75" s="288">
        <v>3570.2007505194924</v>
      </c>
      <c r="AG75" s="289">
        <v>-6.2015383933355483E-2</v>
      </c>
      <c r="AH75" s="229"/>
      <c r="AI75" s="205">
        <f t="shared" si="7"/>
        <v>233574.66308723303</v>
      </c>
      <c r="AJ75" s="205">
        <f t="shared" si="8"/>
        <v>243346.40223108808</v>
      </c>
      <c r="AK75" s="205">
        <f t="shared" si="3"/>
        <v>-9771.7391438550403</v>
      </c>
      <c r="AL75" s="229"/>
      <c r="AM75" s="52">
        <f t="shared" si="4"/>
        <v>0</v>
      </c>
      <c r="AN75" s="52">
        <f t="shared" si="5"/>
        <v>1</v>
      </c>
      <c r="AO75" s="52">
        <f t="shared" si="6"/>
        <v>0</v>
      </c>
      <c r="AP75" s="229"/>
      <c r="AQ75" s="52">
        <v>140000</v>
      </c>
      <c r="AR75" s="52">
        <v>0.63400000000000001</v>
      </c>
      <c r="AS75" s="52">
        <v>0.36599999999999999</v>
      </c>
      <c r="AT75" s="52">
        <v>0.63400000000000001</v>
      </c>
      <c r="AU75" s="229"/>
      <c r="AV75" s="318">
        <f t="shared" si="9"/>
        <v>243346.40223108808</v>
      </c>
      <c r="AW75" s="229"/>
      <c r="AX75" s="312"/>
      <c r="AY75" s="14"/>
      <c r="AZ75" s="14">
        <f t="shared" si="11"/>
        <v>3570.2007505194924</v>
      </c>
      <c r="BA75" s="14">
        <f t="shared" si="10"/>
        <v>-6.2015383933355483E-2</v>
      </c>
      <c r="BB75" s="14">
        <f t="shared" si="2"/>
        <v>-57569.598446027368</v>
      </c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>
        <v>100000</v>
      </c>
      <c r="BT75" s="14">
        <v>1</v>
      </c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35"/>
      <c r="CM75" s="135"/>
      <c r="CN75" s="135"/>
      <c r="CO75" s="135"/>
      <c r="CP75" s="14"/>
      <c r="CQ75" s="14"/>
      <c r="CR75" s="14"/>
      <c r="CS75" s="3"/>
      <c r="CT75" s="3"/>
      <c r="CU75" s="3"/>
      <c r="CV75" s="3"/>
      <c r="CW75" s="3"/>
    </row>
    <row r="76" spans="1:101" ht="14.25" customHeight="1" x14ac:dyDescent="0.2">
      <c r="A76" s="286"/>
      <c r="B76" s="52">
        <v>0.18935060553145944</v>
      </c>
      <c r="C76" s="288">
        <v>0.49688952037831546</v>
      </c>
      <c r="D76" s="288">
        <v>1.6359918930256012E-2</v>
      </c>
      <c r="E76" s="288">
        <v>1.2006004216825924E-2</v>
      </c>
      <c r="F76" s="289">
        <v>0.76008047099414877</v>
      </c>
      <c r="G76" s="92">
        <v>0.42269866700305958</v>
      </c>
      <c r="H76" s="288">
        <v>0.83783932772439984</v>
      </c>
      <c r="I76" s="288">
        <v>1.5041967472810412E-2</v>
      </c>
      <c r="J76" s="288">
        <v>0.99998678495633131</v>
      </c>
      <c r="K76" s="288">
        <v>0.75017494469126489</v>
      </c>
      <c r="L76" s="290">
        <v>16538.055222426719</v>
      </c>
      <c r="M76" s="288">
        <v>0</v>
      </c>
      <c r="N76" s="288">
        <v>11745.523098720229</v>
      </c>
      <c r="O76" s="288">
        <v>952.60882276681536</v>
      </c>
      <c r="P76" s="288">
        <v>55595.38107078342</v>
      </c>
      <c r="Q76" s="291">
        <v>131083.47765782897</v>
      </c>
      <c r="R76" s="288">
        <v>25834.311529596485</v>
      </c>
      <c r="S76" s="288">
        <v>8788.1774713298473</v>
      </c>
      <c r="T76" s="290">
        <v>0.751</v>
      </c>
      <c r="U76" s="288">
        <v>0.75800000000000001</v>
      </c>
      <c r="V76" s="288">
        <v>0.723923076923077</v>
      </c>
      <c r="W76" s="288">
        <v>0.72750000000000004</v>
      </c>
      <c r="X76" s="288">
        <v>0.76</v>
      </c>
      <c r="Y76" s="288">
        <v>0</v>
      </c>
      <c r="Z76" s="289">
        <v>0</v>
      </c>
      <c r="AA76" s="229"/>
      <c r="AB76" s="52">
        <v>85702.173824497906</v>
      </c>
      <c r="AC76" s="288">
        <v>3.0502301157294061</v>
      </c>
      <c r="AD76" s="288">
        <v>76496.705007549346</v>
      </c>
      <c r="AE76" s="288">
        <v>3.0090556389413723</v>
      </c>
      <c r="AF76" s="288">
        <v>9205.4688169485598</v>
      </c>
      <c r="AG76" s="289">
        <v>4.1174476788033765E-2</v>
      </c>
      <c r="AH76" s="229"/>
      <c r="AI76" s="205">
        <f t="shared" si="7"/>
        <v>219320.83774844272</v>
      </c>
      <c r="AJ76" s="205">
        <f t="shared" si="8"/>
        <v>224408.85888658787</v>
      </c>
      <c r="AK76" s="205">
        <f t="shared" si="3"/>
        <v>-5088.0211381451836</v>
      </c>
      <c r="AL76" s="229"/>
      <c r="AM76" s="52">
        <f t="shared" si="4"/>
        <v>0</v>
      </c>
      <c r="AN76" s="52">
        <f t="shared" si="5"/>
        <v>1</v>
      </c>
      <c r="AO76" s="52">
        <f t="shared" si="6"/>
        <v>0</v>
      </c>
      <c r="AP76" s="229"/>
      <c r="AQ76" s="52">
        <v>150000</v>
      </c>
      <c r="AR76" s="52">
        <v>0.64</v>
      </c>
      <c r="AS76" s="52">
        <v>0.36</v>
      </c>
      <c r="AT76" s="52">
        <v>0.64</v>
      </c>
      <c r="AU76" s="229"/>
      <c r="AV76" s="318">
        <f t="shared" si="9"/>
        <v>224408.85888658787</v>
      </c>
      <c r="AW76" s="229"/>
      <c r="AX76" s="312"/>
      <c r="AY76" s="14"/>
      <c r="AZ76" s="14">
        <f t="shared" si="11"/>
        <v>9205.4688169485598</v>
      </c>
      <c r="BA76" s="14">
        <f t="shared" si="10"/>
        <v>4.1174476788033765E-2</v>
      </c>
      <c r="BB76" s="14">
        <f t="shared" si="2"/>
        <v>223572.21111365469</v>
      </c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>
        <v>-100000</v>
      </c>
      <c r="BT76" s="14">
        <v>-1</v>
      </c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35"/>
      <c r="CM76" s="135"/>
      <c r="CN76" s="135"/>
      <c r="CO76" s="135"/>
      <c r="CP76" s="14"/>
      <c r="CQ76" s="14"/>
      <c r="CR76" s="14"/>
      <c r="CS76" s="3"/>
      <c r="CT76" s="3"/>
      <c r="CU76" s="3"/>
      <c r="CV76" s="3"/>
      <c r="CW76" s="3"/>
    </row>
    <row r="77" spans="1:101" ht="14.25" customHeight="1" x14ac:dyDescent="0.2">
      <c r="A77" s="286"/>
      <c r="B77" s="52">
        <v>0.13921900671890808</v>
      </c>
      <c r="C77" s="288">
        <v>0.32642352511879569</v>
      </c>
      <c r="D77" s="288">
        <v>1.1544496591378928E-2</v>
      </c>
      <c r="E77" s="288">
        <v>1.7652997219391287E-2</v>
      </c>
      <c r="F77" s="289">
        <v>0.74899746597315942</v>
      </c>
      <c r="G77" s="92">
        <v>0.41347150007954225</v>
      </c>
      <c r="H77" s="288">
        <v>0.28479249447273391</v>
      </c>
      <c r="I77" s="288">
        <v>1.1686927888170403E-2</v>
      </c>
      <c r="J77" s="288">
        <v>0.99993100466976692</v>
      </c>
      <c r="K77" s="288">
        <v>0.75117587367034733</v>
      </c>
      <c r="L77" s="290">
        <v>8053.5567787651789</v>
      </c>
      <c r="M77" s="288">
        <v>0</v>
      </c>
      <c r="N77" s="288">
        <v>27877.449666410972</v>
      </c>
      <c r="O77" s="288">
        <v>1494.5018111294244</v>
      </c>
      <c r="P77" s="288">
        <v>43026.259368395302</v>
      </c>
      <c r="Q77" s="291">
        <v>98480.85805668481</v>
      </c>
      <c r="R77" s="288">
        <v>27534.733204045882</v>
      </c>
      <c r="S77" s="288">
        <v>8182.5679991352763</v>
      </c>
      <c r="T77" s="290">
        <v>0.751</v>
      </c>
      <c r="U77" s="288">
        <v>0.75800000000000001</v>
      </c>
      <c r="V77" s="288">
        <v>0.723923076923077</v>
      </c>
      <c r="W77" s="288">
        <v>0.72750000000000004</v>
      </c>
      <c r="X77" s="288">
        <v>0.76</v>
      </c>
      <c r="Y77" s="288">
        <v>0</v>
      </c>
      <c r="Z77" s="289">
        <v>0</v>
      </c>
      <c r="AA77" s="229"/>
      <c r="AB77" s="52">
        <v>70361.572547988413</v>
      </c>
      <c r="AC77" s="288">
        <v>2.9992434490330653</v>
      </c>
      <c r="AD77" s="288">
        <v>65974.839926102111</v>
      </c>
      <c r="AE77" s="288">
        <v>3.0136630742139916</v>
      </c>
      <c r="AF77" s="288">
        <v>4386.7326218863018</v>
      </c>
      <c r="AG77" s="289">
        <v>-1.4419625180926321E-2</v>
      </c>
      <c r="AH77" s="229"/>
      <c r="AI77" s="205">
        <f t="shared" si="7"/>
        <v>229562.7723553181</v>
      </c>
      <c r="AJ77" s="205">
        <f t="shared" si="8"/>
        <v>235391.46749529705</v>
      </c>
      <c r="AK77" s="205">
        <f t="shared" si="3"/>
        <v>-5828.6951399789341</v>
      </c>
      <c r="AL77" s="229"/>
      <c r="AM77" s="52">
        <f t="shared" si="4"/>
        <v>0</v>
      </c>
      <c r="AN77" s="52">
        <f t="shared" si="5"/>
        <v>1</v>
      </c>
      <c r="AO77" s="52">
        <f t="shared" si="6"/>
        <v>0</v>
      </c>
      <c r="AP77" s="229"/>
      <c r="AQ77" s="52">
        <v>160000</v>
      </c>
      <c r="AR77" s="52">
        <v>0.64800000000000002</v>
      </c>
      <c r="AS77" s="52">
        <v>0.35199999999999998</v>
      </c>
      <c r="AT77" s="52">
        <v>0.64800000000000002</v>
      </c>
      <c r="AU77" s="229"/>
      <c r="AV77" s="318">
        <f t="shared" si="9"/>
        <v>235391.46749529705</v>
      </c>
      <c r="AW77" s="229"/>
      <c r="AX77" s="312"/>
      <c r="AY77" s="14"/>
      <c r="AZ77" s="14">
        <f t="shared" si="11"/>
        <v>4386.7326218863018</v>
      </c>
      <c r="BA77" s="14">
        <f t="shared" si="10"/>
        <v>-1.4419625180926321E-2</v>
      </c>
      <c r="BB77" s="14">
        <f t="shared" si="2"/>
        <v>-304219.60119246988</v>
      </c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35"/>
      <c r="CM77" s="135"/>
      <c r="CN77" s="135"/>
      <c r="CO77" s="135"/>
      <c r="CP77" s="14"/>
      <c r="CQ77" s="14"/>
      <c r="CR77" s="14"/>
      <c r="CS77" s="3"/>
      <c r="CT77" s="3"/>
      <c r="CU77" s="3"/>
      <c r="CV77" s="3"/>
      <c r="CW77" s="3"/>
    </row>
    <row r="78" spans="1:101" ht="14.25" customHeight="1" x14ac:dyDescent="0.2">
      <c r="A78" s="286"/>
      <c r="B78" s="52">
        <v>0.1688470378509469</v>
      </c>
      <c r="C78" s="288">
        <v>5.7240533307051228E-3</v>
      </c>
      <c r="D78" s="288">
        <v>8.4089900170955384E-3</v>
      </c>
      <c r="E78" s="288">
        <v>2.1314602045516384E-2</v>
      </c>
      <c r="F78" s="289">
        <v>0.80790832663363754</v>
      </c>
      <c r="G78" s="92">
        <v>0.44736673069635402</v>
      </c>
      <c r="H78" s="288">
        <v>0.94614114370460567</v>
      </c>
      <c r="I78" s="288">
        <v>1.0260520498860939E-2</v>
      </c>
      <c r="J78" s="288">
        <v>0.9999999891992275</v>
      </c>
      <c r="K78" s="288">
        <v>0.71670106926161203</v>
      </c>
      <c r="L78" s="290">
        <v>19593.078088399383</v>
      </c>
      <c r="M78" s="288">
        <v>0</v>
      </c>
      <c r="N78" s="288">
        <v>21869.810526103254</v>
      </c>
      <c r="O78" s="288">
        <v>1304.1090587432354</v>
      </c>
      <c r="P78" s="288">
        <v>58797.533104599243</v>
      </c>
      <c r="Q78" s="291">
        <v>72394.31217561668</v>
      </c>
      <c r="R78" s="288">
        <v>30825.04181969407</v>
      </c>
      <c r="S78" s="288">
        <v>8843.1390073506245</v>
      </c>
      <c r="T78" s="290">
        <v>0.751</v>
      </c>
      <c r="U78" s="288">
        <v>0.75800000000000001</v>
      </c>
      <c r="V78" s="288">
        <v>0.723923076923077</v>
      </c>
      <c r="W78" s="288">
        <v>0.72750000000000004</v>
      </c>
      <c r="X78" s="288">
        <v>0.76</v>
      </c>
      <c r="Y78" s="288">
        <v>0</v>
      </c>
      <c r="Z78" s="289">
        <v>0</v>
      </c>
      <c r="AA78" s="229"/>
      <c r="AB78" s="52">
        <v>90694.635909902965</v>
      </c>
      <c r="AC78" s="288">
        <v>3.2724688410775804</v>
      </c>
      <c r="AD78" s="288">
        <v>77398.842840182595</v>
      </c>
      <c r="AE78" s="288">
        <v>2.8558795672824115</v>
      </c>
      <c r="AF78" s="288">
        <v>13295.79306972037</v>
      </c>
      <c r="AG78" s="289">
        <v>0.41658927379516886</v>
      </c>
      <c r="AH78" s="229"/>
      <c r="AI78" s="205">
        <f t="shared" ref="AI78:AI141" si="12">AC78*cRatio-AB78</f>
        <v>236552.24819785508</v>
      </c>
      <c r="AJ78" s="205">
        <f t="shared" ref="AJ78:AJ141" si="13">AE78*cRatio-AD78</f>
        <v>208189.11388805858</v>
      </c>
      <c r="AK78" s="205">
        <f t="shared" ref="AK78:AK141" si="14">AG78*cRatio-AF78</f>
        <v>28363.134309796515</v>
      </c>
      <c r="AL78" s="229"/>
      <c r="AM78" s="52">
        <f t="shared" si="4"/>
        <v>1</v>
      </c>
      <c r="AN78" s="52">
        <f t="shared" si="5"/>
        <v>0</v>
      </c>
      <c r="AO78" s="52">
        <f t="shared" si="6"/>
        <v>1</v>
      </c>
      <c r="AP78" s="229"/>
      <c r="AQ78" s="52">
        <v>170000</v>
      </c>
      <c r="AR78" s="52">
        <v>0.65600000000000003</v>
      </c>
      <c r="AS78" s="52">
        <v>0.34399999999999997</v>
      </c>
      <c r="AT78" s="52">
        <v>0.65600000000000003</v>
      </c>
      <c r="AU78" s="229"/>
      <c r="AV78" s="318">
        <f t="shared" si="9"/>
        <v>236552.24819785508</v>
      </c>
      <c r="AW78" s="229"/>
      <c r="AX78" s="312"/>
      <c r="AY78" s="14"/>
      <c r="AZ78" s="14">
        <f t="shared" si="11"/>
        <v>13295.79306972037</v>
      </c>
      <c r="BA78" s="14">
        <f t="shared" si="10"/>
        <v>0.41658927379516886</v>
      </c>
      <c r="BB78" s="14">
        <f t="shared" si="2"/>
        <v>31915.831506160492</v>
      </c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35"/>
      <c r="CM78" s="135"/>
      <c r="CN78" s="135"/>
      <c r="CO78" s="135"/>
      <c r="CP78" s="14"/>
      <c r="CQ78" s="14"/>
      <c r="CR78" s="14"/>
      <c r="CS78" s="3"/>
      <c r="CT78" s="3"/>
      <c r="CU78" s="3"/>
      <c r="CV78" s="3"/>
      <c r="CW78" s="3"/>
    </row>
    <row r="79" spans="1:101" ht="14.25" customHeight="1" x14ac:dyDescent="0.2">
      <c r="A79" s="286"/>
      <c r="B79" s="52">
        <v>0.158360346908686</v>
      </c>
      <c r="C79" s="288">
        <v>9.9167274732020715E-3</v>
      </c>
      <c r="D79" s="288">
        <v>1.5682611890431297E-2</v>
      </c>
      <c r="E79" s="288">
        <v>1.6420164724806785E-2</v>
      </c>
      <c r="F79" s="289">
        <v>0.77775629402562474</v>
      </c>
      <c r="G79" s="92">
        <v>0.40097956640064991</v>
      </c>
      <c r="H79" s="288">
        <v>0.97834857088263516</v>
      </c>
      <c r="I79" s="288">
        <v>1.4012421300924824E-2</v>
      </c>
      <c r="J79" s="288">
        <v>0.99998313286292939</v>
      </c>
      <c r="K79" s="288">
        <v>0.78574143480099279</v>
      </c>
      <c r="L79" s="290">
        <v>9498.807534220834</v>
      </c>
      <c r="M79" s="288">
        <v>0</v>
      </c>
      <c r="N79" s="288">
        <v>14577.602247094943</v>
      </c>
      <c r="O79" s="288">
        <v>1408.1656392167051</v>
      </c>
      <c r="P79" s="288">
        <v>48754.58656748644</v>
      </c>
      <c r="Q79" s="291">
        <v>105592.17799805509</v>
      </c>
      <c r="R79" s="288">
        <v>33781.184354056008</v>
      </c>
      <c r="S79" s="288">
        <v>7114.7034626084032</v>
      </c>
      <c r="T79" s="290">
        <v>0.751</v>
      </c>
      <c r="U79" s="288">
        <v>0.75800000000000001</v>
      </c>
      <c r="V79" s="288">
        <v>0.723923076923077</v>
      </c>
      <c r="W79" s="288">
        <v>0.72750000000000004</v>
      </c>
      <c r="X79" s="288">
        <v>0.76</v>
      </c>
      <c r="Y79" s="288">
        <v>0</v>
      </c>
      <c r="Z79" s="289">
        <v>0</v>
      </c>
      <c r="AA79" s="229"/>
      <c r="AB79" s="52">
        <v>64834.028144352153</v>
      </c>
      <c r="AC79" s="288">
        <v>3.1319452890026316</v>
      </c>
      <c r="AD79" s="288">
        <v>70326.342685421958</v>
      </c>
      <c r="AE79" s="288">
        <v>3.1737427509176803</v>
      </c>
      <c r="AF79" s="288">
        <v>-5492.3145410698053</v>
      </c>
      <c r="AG79" s="289">
        <v>-4.1797461915048739E-2</v>
      </c>
      <c r="AH79" s="229"/>
      <c r="AI79" s="205">
        <f t="shared" si="12"/>
        <v>248360.50075591099</v>
      </c>
      <c r="AJ79" s="205">
        <f t="shared" si="13"/>
        <v>247047.93240634605</v>
      </c>
      <c r="AK79" s="205">
        <f t="shared" si="14"/>
        <v>1312.5683495649309</v>
      </c>
      <c r="AL79" s="229"/>
      <c r="AM79" s="52">
        <f t="shared" si="4"/>
        <v>1</v>
      </c>
      <c r="AN79" s="52">
        <f t="shared" si="5"/>
        <v>0</v>
      </c>
      <c r="AO79" s="52">
        <f t="shared" si="6"/>
        <v>1</v>
      </c>
      <c r="AP79" s="229"/>
      <c r="AQ79" s="52">
        <v>180000</v>
      </c>
      <c r="AR79" s="52">
        <v>0.66300000000000003</v>
      </c>
      <c r="AS79" s="52">
        <v>0.33700000000000002</v>
      </c>
      <c r="AT79" s="52">
        <v>0.66300000000000003</v>
      </c>
      <c r="AU79" s="229"/>
      <c r="AV79" s="318">
        <f t="shared" ref="AV79:AV142" si="15">MAX(AI79:AJ79)</f>
        <v>248360.50075591099</v>
      </c>
      <c r="AW79" s="229"/>
      <c r="AX79" s="312"/>
      <c r="AY79" s="14"/>
      <c r="AZ79" s="14">
        <f t="shared" si="11"/>
        <v>-5492.3145410698053</v>
      </c>
      <c r="BA79" s="14">
        <f t="shared" ref="BA79:BA142" si="16">AG79</f>
        <v>-4.1797461915048739E-2</v>
      </c>
      <c r="BB79" s="14">
        <f t="shared" si="2"/>
        <v>131403.06347386981</v>
      </c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35"/>
      <c r="CM79" s="135"/>
      <c r="CN79" s="135"/>
      <c r="CO79" s="135"/>
      <c r="CP79" s="14"/>
      <c r="CQ79" s="14"/>
      <c r="CR79" s="14"/>
      <c r="CS79" s="3"/>
      <c r="CT79" s="3"/>
      <c r="CU79" s="3"/>
      <c r="CV79" s="3"/>
      <c r="CW79" s="3"/>
    </row>
    <row r="80" spans="1:101" ht="14.25" customHeight="1" x14ac:dyDescent="0.2">
      <c r="A80" s="286"/>
      <c r="B80" s="52">
        <v>0.180465430274101</v>
      </c>
      <c r="C80" s="288">
        <v>0.61303027009485589</v>
      </c>
      <c r="D80" s="288">
        <v>9.2814582312204293E-3</v>
      </c>
      <c r="E80" s="288">
        <v>1.1056290839531897E-2</v>
      </c>
      <c r="F80" s="289">
        <v>0.78574705334583972</v>
      </c>
      <c r="G80" s="92">
        <v>0.47092986726126984</v>
      </c>
      <c r="H80" s="288">
        <v>0.16283578841474233</v>
      </c>
      <c r="I80" s="288">
        <v>5.0047707959899679E-3</v>
      </c>
      <c r="J80" s="288">
        <v>0.3131485534213872</v>
      </c>
      <c r="K80" s="288">
        <v>0.782408327406098</v>
      </c>
      <c r="L80" s="290">
        <v>14512.442974317766</v>
      </c>
      <c r="M80" s="288">
        <v>0</v>
      </c>
      <c r="N80" s="288">
        <v>20366.79115329772</v>
      </c>
      <c r="O80" s="288">
        <v>1240.189736826326</v>
      </c>
      <c r="P80" s="288">
        <v>45956.383962179956</v>
      </c>
      <c r="Q80" s="291">
        <v>115676.67274635447</v>
      </c>
      <c r="R80" s="288">
        <v>23060.094249767913</v>
      </c>
      <c r="S80" s="288">
        <v>10012.19551705579</v>
      </c>
      <c r="T80" s="290">
        <v>0.751</v>
      </c>
      <c r="U80" s="288">
        <v>0.75800000000000001</v>
      </c>
      <c r="V80" s="288">
        <v>0.723923076923077</v>
      </c>
      <c r="W80" s="288">
        <v>0.72750000000000004</v>
      </c>
      <c r="X80" s="288">
        <v>0.76</v>
      </c>
      <c r="Y80" s="288">
        <v>0</v>
      </c>
      <c r="Z80" s="289">
        <v>0</v>
      </c>
      <c r="AA80" s="229"/>
      <c r="AB80" s="52">
        <v>95384.202473467085</v>
      </c>
      <c r="AC80" s="288">
        <v>3.1690473446766725</v>
      </c>
      <c r="AD80" s="288">
        <v>80811.788177290015</v>
      </c>
      <c r="AE80" s="288">
        <v>3.1582244530037022</v>
      </c>
      <c r="AF80" s="288">
        <v>14572.41429617707</v>
      </c>
      <c r="AG80" s="289">
        <v>1.0822891672970236E-2</v>
      </c>
      <c r="AH80" s="229"/>
      <c r="AI80" s="205">
        <f t="shared" si="12"/>
        <v>221520.53199420014</v>
      </c>
      <c r="AJ80" s="205">
        <f t="shared" si="13"/>
        <v>235010.65712308022</v>
      </c>
      <c r="AK80" s="205">
        <f t="shared" si="14"/>
        <v>-13490.125128880047</v>
      </c>
      <c r="AL80" s="229"/>
      <c r="AM80" s="52">
        <f t="shared" si="4"/>
        <v>0</v>
      </c>
      <c r="AN80" s="52">
        <f t="shared" si="5"/>
        <v>1</v>
      </c>
      <c r="AO80" s="52">
        <f t="shared" si="6"/>
        <v>0</v>
      </c>
      <c r="AP80" s="229"/>
      <c r="AQ80" s="52">
        <v>190000</v>
      </c>
      <c r="AR80" s="52">
        <v>0.66800000000000004</v>
      </c>
      <c r="AS80" s="52">
        <v>0.33200000000000002</v>
      </c>
      <c r="AT80" s="52">
        <v>0.66800000000000004</v>
      </c>
      <c r="AU80" s="229"/>
      <c r="AV80" s="318">
        <f t="shared" si="15"/>
        <v>235010.65712308022</v>
      </c>
      <c r="AW80" s="229"/>
      <c r="AX80" s="312"/>
      <c r="AY80" s="14"/>
      <c r="AZ80" s="14">
        <f t="shared" ref="AZ80:AZ143" si="17">AF80</f>
        <v>14572.41429617707</v>
      </c>
      <c r="BA80" s="14">
        <f t="shared" si="16"/>
        <v>1.0822891672970236E-2</v>
      </c>
      <c r="BB80" s="14">
        <f t="shared" si="2"/>
        <v>1346443.6988287636</v>
      </c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35"/>
      <c r="CM80" s="135"/>
      <c r="CN80" s="135"/>
      <c r="CO80" s="135"/>
      <c r="CP80" s="14"/>
      <c r="CQ80" s="14"/>
      <c r="CR80" s="14"/>
      <c r="CS80" s="3"/>
      <c r="CT80" s="3"/>
      <c r="CU80" s="3"/>
      <c r="CV80" s="3"/>
      <c r="CW80" s="3"/>
    </row>
    <row r="81" spans="1:101" ht="14.25" customHeight="1" x14ac:dyDescent="0.2">
      <c r="A81" s="286"/>
      <c r="B81" s="52">
        <v>0.16344260983925063</v>
      </c>
      <c r="C81" s="288">
        <v>0.27862033009442322</v>
      </c>
      <c r="D81" s="288">
        <v>2.6228529681979529E-2</v>
      </c>
      <c r="E81" s="288">
        <v>9.8827519473912284E-3</v>
      </c>
      <c r="F81" s="289">
        <v>0.76242430571264819</v>
      </c>
      <c r="G81" s="92">
        <v>0.40401380982243051</v>
      </c>
      <c r="H81" s="288">
        <v>6.8038443875515441E-4</v>
      </c>
      <c r="I81" s="288">
        <v>5.7749154015391798E-3</v>
      </c>
      <c r="J81" s="288">
        <v>0.99999999999999722</v>
      </c>
      <c r="K81" s="288">
        <v>0.72892141806944788</v>
      </c>
      <c r="L81" s="290">
        <v>10493.360843476545</v>
      </c>
      <c r="M81" s="288">
        <v>0</v>
      </c>
      <c r="N81" s="288">
        <v>19824.215090537204</v>
      </c>
      <c r="O81" s="288">
        <v>1070.9005085057079</v>
      </c>
      <c r="P81" s="288">
        <v>42598.583665946862</v>
      </c>
      <c r="Q81" s="291">
        <v>150940.60504758472</v>
      </c>
      <c r="R81" s="288">
        <v>19959.253322777204</v>
      </c>
      <c r="S81" s="288">
        <v>7160.1972034310402</v>
      </c>
      <c r="T81" s="290">
        <v>0.751</v>
      </c>
      <c r="U81" s="288">
        <v>0.75800000000000001</v>
      </c>
      <c r="V81" s="288">
        <v>0.723923076923077</v>
      </c>
      <c r="W81" s="288">
        <v>0.72750000000000004</v>
      </c>
      <c r="X81" s="288">
        <v>0.76</v>
      </c>
      <c r="Y81" s="288">
        <v>0</v>
      </c>
      <c r="Z81" s="289">
        <v>0</v>
      </c>
      <c r="AA81" s="229"/>
      <c r="AB81" s="52">
        <v>66284.661235092994</v>
      </c>
      <c r="AC81" s="288">
        <v>3.0610374603367405</v>
      </c>
      <c r="AD81" s="288">
        <v>52992.592711977515</v>
      </c>
      <c r="AE81" s="288">
        <v>2.9115950476911769</v>
      </c>
      <c r="AF81" s="288">
        <v>13292.068523115478</v>
      </c>
      <c r="AG81" s="289">
        <v>0.14944241264556357</v>
      </c>
      <c r="AH81" s="229"/>
      <c r="AI81" s="205">
        <f t="shared" si="12"/>
        <v>239819.08479858105</v>
      </c>
      <c r="AJ81" s="205">
        <f t="shared" si="13"/>
        <v>238166.91205714017</v>
      </c>
      <c r="AK81" s="205">
        <f t="shared" si="14"/>
        <v>1652.1727414408779</v>
      </c>
      <c r="AL81" s="229"/>
      <c r="AM81" s="52">
        <f t="shared" si="4"/>
        <v>1</v>
      </c>
      <c r="AN81" s="52">
        <f t="shared" si="5"/>
        <v>0</v>
      </c>
      <c r="AO81" s="52">
        <f t="shared" si="6"/>
        <v>1</v>
      </c>
      <c r="AP81" s="229"/>
      <c r="AQ81" s="52">
        <v>200000</v>
      </c>
      <c r="AR81" s="52">
        <v>0.67500000000000004</v>
      </c>
      <c r="AS81" s="52">
        <v>0.32500000000000001</v>
      </c>
      <c r="AT81" s="52">
        <v>0.67500000000000004</v>
      </c>
      <c r="AU81" s="229"/>
      <c r="AV81" s="318">
        <f t="shared" si="15"/>
        <v>239819.08479858105</v>
      </c>
      <c r="AW81" s="229"/>
      <c r="AX81" s="312"/>
      <c r="AY81" s="14"/>
      <c r="AZ81" s="14">
        <f t="shared" si="17"/>
        <v>13292.068523115478</v>
      </c>
      <c r="BA81" s="14">
        <f t="shared" si="16"/>
        <v>0.14944241264556357</v>
      </c>
      <c r="BB81" s="14">
        <f t="shared" si="2"/>
        <v>88944.418708232581</v>
      </c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35"/>
      <c r="CM81" s="135"/>
      <c r="CN81" s="135"/>
      <c r="CO81" s="135"/>
      <c r="CP81" s="14"/>
      <c r="CQ81" s="14"/>
      <c r="CR81" s="14"/>
      <c r="CS81" s="3"/>
      <c r="CT81" s="3"/>
      <c r="CU81" s="3"/>
      <c r="CV81" s="3"/>
      <c r="CW81" s="3"/>
    </row>
    <row r="82" spans="1:101" ht="14.25" customHeight="1" x14ac:dyDescent="0.2">
      <c r="A82" s="286"/>
      <c r="B82" s="52">
        <v>0.19259156718814241</v>
      </c>
      <c r="C82" s="288">
        <v>9.7048935491678881E-2</v>
      </c>
      <c r="D82" s="288">
        <v>2.5013833560120657E-2</v>
      </c>
      <c r="E82" s="288">
        <v>1.6019579450268995E-2</v>
      </c>
      <c r="F82" s="289">
        <v>0.7885730421634789</v>
      </c>
      <c r="G82" s="92">
        <v>0.4566128926405022</v>
      </c>
      <c r="H82" s="288">
        <v>0.37022344881956731</v>
      </c>
      <c r="I82" s="288">
        <v>3.9876019797009277E-2</v>
      </c>
      <c r="J82" s="288">
        <v>2.9051681033944749E-3</v>
      </c>
      <c r="K82" s="288">
        <v>0.78678303566472629</v>
      </c>
      <c r="L82" s="290">
        <v>9788.9914871384808</v>
      </c>
      <c r="M82" s="288">
        <v>0</v>
      </c>
      <c r="N82" s="288">
        <v>13149.532583379651</v>
      </c>
      <c r="O82" s="288">
        <v>1447.1801604200023</v>
      </c>
      <c r="P82" s="288">
        <v>44234.043128601974</v>
      </c>
      <c r="Q82" s="291">
        <v>91678.431814550873</v>
      </c>
      <c r="R82" s="288">
        <v>23084.136777612061</v>
      </c>
      <c r="S82" s="288">
        <v>12063.806186844069</v>
      </c>
      <c r="T82" s="290">
        <v>0.751</v>
      </c>
      <c r="U82" s="288">
        <v>0.75800000000000001</v>
      </c>
      <c r="V82" s="288">
        <v>0.723923076923077</v>
      </c>
      <c r="W82" s="288">
        <v>0.72750000000000004</v>
      </c>
      <c r="X82" s="288">
        <v>0.76</v>
      </c>
      <c r="Y82" s="288">
        <v>0</v>
      </c>
      <c r="Z82" s="289">
        <v>0</v>
      </c>
      <c r="AA82" s="229"/>
      <c r="AB82" s="52">
        <v>105147.60068233503</v>
      </c>
      <c r="AC82" s="288">
        <v>3.1821927232822191</v>
      </c>
      <c r="AD82" s="288">
        <v>100766.52991239421</v>
      </c>
      <c r="AE82" s="288">
        <v>3.1785958326259407</v>
      </c>
      <c r="AF82" s="288">
        <v>4381.0707699408231</v>
      </c>
      <c r="AG82" s="289">
        <v>3.5968906562784397E-3</v>
      </c>
      <c r="AH82" s="229"/>
      <c r="AI82" s="205">
        <f t="shared" si="12"/>
        <v>213071.67164588691</v>
      </c>
      <c r="AJ82" s="205">
        <f t="shared" si="13"/>
        <v>217093.05335019986</v>
      </c>
      <c r="AK82" s="205">
        <f t="shared" si="14"/>
        <v>-4021.3817043129793</v>
      </c>
      <c r="AL82" s="229"/>
      <c r="AM82" s="52">
        <f t="shared" si="4"/>
        <v>0</v>
      </c>
      <c r="AN82" s="52">
        <f t="shared" si="5"/>
        <v>1</v>
      </c>
      <c r="AO82" s="52">
        <f t="shared" si="6"/>
        <v>0</v>
      </c>
      <c r="AP82" s="229"/>
      <c r="AQ82" s="52">
        <v>250000</v>
      </c>
      <c r="AR82" s="52">
        <v>0.69199999999999995</v>
      </c>
      <c r="AS82" s="52">
        <v>0.308</v>
      </c>
      <c r="AT82" s="52">
        <v>0.69199999999999995</v>
      </c>
      <c r="AU82" s="229"/>
      <c r="AV82" s="318">
        <f t="shared" si="15"/>
        <v>217093.05335019986</v>
      </c>
      <c r="AW82" s="229"/>
      <c r="AX82" s="312"/>
      <c r="AY82" s="14"/>
      <c r="AZ82" s="14">
        <f t="shared" si="17"/>
        <v>4381.0707699408231</v>
      </c>
      <c r="BA82" s="14">
        <f t="shared" si="16"/>
        <v>3.5968906562784397E-3</v>
      </c>
      <c r="BB82" s="14">
        <f t="shared" si="2"/>
        <v>1218016.1113025725</v>
      </c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35"/>
      <c r="CM82" s="135"/>
      <c r="CN82" s="135"/>
      <c r="CO82" s="135"/>
      <c r="CP82" s="14"/>
      <c r="CQ82" s="14"/>
      <c r="CR82" s="14"/>
      <c r="CS82" s="3"/>
      <c r="CT82" s="3"/>
      <c r="CU82" s="3"/>
      <c r="CV82" s="3"/>
      <c r="CW82" s="3"/>
    </row>
    <row r="83" spans="1:101" ht="14.25" customHeight="1" x14ac:dyDescent="0.2">
      <c r="A83" s="286"/>
      <c r="B83" s="52">
        <v>0.16872000270997922</v>
      </c>
      <c r="C83" s="288">
        <v>8.7638478059137038E-3</v>
      </c>
      <c r="D83" s="288">
        <v>3.3115993650919329E-2</v>
      </c>
      <c r="E83" s="288">
        <v>1.1373011351924634E-2</v>
      </c>
      <c r="F83" s="289">
        <v>0.80821157904598673</v>
      </c>
      <c r="G83" s="92">
        <v>0.42131935068639492</v>
      </c>
      <c r="H83" s="288">
        <v>0.46392915459092954</v>
      </c>
      <c r="I83" s="288">
        <v>1.0706900728404798E-2</v>
      </c>
      <c r="J83" s="288">
        <v>0.99962965745619481</v>
      </c>
      <c r="K83" s="288">
        <v>0.74249997186053707</v>
      </c>
      <c r="L83" s="290">
        <v>10252.855891972578</v>
      </c>
      <c r="M83" s="288">
        <v>0</v>
      </c>
      <c r="N83" s="288">
        <v>17951.926319352566</v>
      </c>
      <c r="O83" s="288">
        <v>1097.2013446325141</v>
      </c>
      <c r="P83" s="288">
        <v>45311.377037460516</v>
      </c>
      <c r="Q83" s="291">
        <v>82344.795863883613</v>
      </c>
      <c r="R83" s="288">
        <v>21936.934155062663</v>
      </c>
      <c r="S83" s="288">
        <v>8328.5953741318226</v>
      </c>
      <c r="T83" s="290">
        <v>0.751</v>
      </c>
      <c r="U83" s="288">
        <v>0.75800000000000001</v>
      </c>
      <c r="V83" s="288">
        <v>0.723923076923077</v>
      </c>
      <c r="W83" s="288">
        <v>0.72750000000000004</v>
      </c>
      <c r="X83" s="288">
        <v>0.76</v>
      </c>
      <c r="Y83" s="288">
        <v>0</v>
      </c>
      <c r="Z83" s="289">
        <v>0</v>
      </c>
      <c r="AA83" s="229"/>
      <c r="AB83" s="52">
        <v>77589.451064407753</v>
      </c>
      <c r="AC83" s="288">
        <v>3.2738893920362333</v>
      </c>
      <c r="AD83" s="288">
        <v>67025.661639317826</v>
      </c>
      <c r="AE83" s="288">
        <v>2.9737789975428606</v>
      </c>
      <c r="AF83" s="288">
        <v>10563.789425089926</v>
      </c>
      <c r="AG83" s="289">
        <v>0.30011039449337273</v>
      </c>
      <c r="AH83" s="229"/>
      <c r="AI83" s="205">
        <f t="shared" si="12"/>
        <v>249799.48813921557</v>
      </c>
      <c r="AJ83" s="205">
        <f t="shared" si="13"/>
        <v>230352.23811496823</v>
      </c>
      <c r="AK83" s="205">
        <f t="shared" si="14"/>
        <v>19447.250024247347</v>
      </c>
      <c r="AL83" s="229"/>
      <c r="AM83" s="52">
        <f t="shared" si="4"/>
        <v>1</v>
      </c>
      <c r="AN83" s="52">
        <f t="shared" si="5"/>
        <v>0</v>
      </c>
      <c r="AO83" s="52">
        <f t="shared" si="6"/>
        <v>1</v>
      </c>
      <c r="AP83" s="229"/>
      <c r="AQ83" s="52">
        <v>300000</v>
      </c>
      <c r="AR83" s="52">
        <v>0.70099999999999996</v>
      </c>
      <c r="AS83" s="52">
        <v>0.29899999999999999</v>
      </c>
      <c r="AT83" s="52">
        <v>0.70099999999999996</v>
      </c>
      <c r="AU83" s="229"/>
      <c r="AV83" s="318">
        <f t="shared" si="15"/>
        <v>249799.48813921557</v>
      </c>
      <c r="AW83" s="229"/>
      <c r="AX83" s="312"/>
      <c r="AY83" s="14"/>
      <c r="AZ83" s="14">
        <f t="shared" si="17"/>
        <v>10563.789425089926</v>
      </c>
      <c r="BA83" s="14">
        <f t="shared" si="16"/>
        <v>0.30011039449337273</v>
      </c>
      <c r="BB83" s="14">
        <f t="shared" si="2"/>
        <v>35199.678581353517</v>
      </c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35"/>
      <c r="CM83" s="135"/>
      <c r="CN83" s="135"/>
      <c r="CO83" s="135"/>
      <c r="CP83" s="14"/>
      <c r="CQ83" s="14"/>
      <c r="CR83" s="14"/>
      <c r="CS83" s="3"/>
      <c r="CT83" s="3"/>
      <c r="CU83" s="3"/>
      <c r="CV83" s="3"/>
      <c r="CW83" s="3"/>
    </row>
    <row r="84" spans="1:101" ht="14.25" customHeight="1" x14ac:dyDescent="0.2">
      <c r="A84" s="286"/>
      <c r="B84" s="52">
        <v>0.12177118958385631</v>
      </c>
      <c r="C84" s="288">
        <v>0.66252280823169274</v>
      </c>
      <c r="D84" s="288">
        <v>2.4432129436190109E-2</v>
      </c>
      <c r="E84" s="288">
        <v>1.3718407091307349E-2</v>
      </c>
      <c r="F84" s="289">
        <v>0.77004042134636141</v>
      </c>
      <c r="G84" s="92">
        <v>0.38654130765272404</v>
      </c>
      <c r="H84" s="288">
        <v>0.60623225841367212</v>
      </c>
      <c r="I84" s="288">
        <v>1.2462471346121119E-2</v>
      </c>
      <c r="J84" s="288">
        <v>0.99999999999995626</v>
      </c>
      <c r="K84" s="288">
        <v>0.76621200196171113</v>
      </c>
      <c r="L84" s="290">
        <v>11845.235197166581</v>
      </c>
      <c r="M84" s="288">
        <v>0</v>
      </c>
      <c r="N84" s="288">
        <v>17447.929331108055</v>
      </c>
      <c r="O84" s="288">
        <v>1032.1978652066464</v>
      </c>
      <c r="P84" s="288">
        <v>33795.178065722321</v>
      </c>
      <c r="Q84" s="291">
        <v>82666.002290184668</v>
      </c>
      <c r="R84" s="288">
        <v>20555.723622977963</v>
      </c>
      <c r="S84" s="288">
        <v>8538.8167699891692</v>
      </c>
      <c r="T84" s="290">
        <v>0.751</v>
      </c>
      <c r="U84" s="288">
        <v>0.75800000000000001</v>
      </c>
      <c r="V84" s="288">
        <v>0.723923076923077</v>
      </c>
      <c r="W84" s="288">
        <v>0.72750000000000004</v>
      </c>
      <c r="X84" s="288">
        <v>0.76</v>
      </c>
      <c r="Y84" s="288">
        <v>0</v>
      </c>
      <c r="Z84" s="289">
        <v>0</v>
      </c>
      <c r="AA84" s="229"/>
      <c r="AB84" s="52">
        <v>78987.164216919919</v>
      </c>
      <c r="AC84" s="288">
        <v>3.0962146085820574</v>
      </c>
      <c r="AD84" s="288">
        <v>71105.806261615799</v>
      </c>
      <c r="AE84" s="288">
        <v>3.0830668087165738</v>
      </c>
      <c r="AF84" s="288">
        <v>7881.35795530412</v>
      </c>
      <c r="AG84" s="289">
        <v>1.3147799865483645E-2</v>
      </c>
      <c r="AH84" s="229"/>
      <c r="AI84" s="205">
        <f t="shared" si="12"/>
        <v>230634.29664128582</v>
      </c>
      <c r="AJ84" s="205">
        <f t="shared" si="13"/>
        <v>237200.87461004159</v>
      </c>
      <c r="AK84" s="205">
        <f t="shared" si="14"/>
        <v>-6566.5779687557551</v>
      </c>
      <c r="AL84" s="229"/>
      <c r="AM84" s="52">
        <f t="shared" si="4"/>
        <v>0</v>
      </c>
      <c r="AN84" s="52">
        <f t="shared" si="5"/>
        <v>1</v>
      </c>
      <c r="AO84" s="52">
        <f t="shared" si="6"/>
        <v>0</v>
      </c>
      <c r="AP84" s="229"/>
      <c r="AQ84" s="52">
        <v>350000</v>
      </c>
      <c r="AR84" s="52">
        <v>0.70599999999999996</v>
      </c>
      <c r="AS84" s="52">
        <v>0.29399999999999998</v>
      </c>
      <c r="AT84" s="52">
        <v>0.70599999999999996</v>
      </c>
      <c r="AU84" s="229"/>
      <c r="AV84" s="318">
        <f t="shared" si="15"/>
        <v>237200.87461004159</v>
      </c>
      <c r="AW84" s="229"/>
      <c r="AX84" s="312"/>
      <c r="AY84" s="14"/>
      <c r="AZ84" s="14">
        <f t="shared" si="17"/>
        <v>7881.35795530412</v>
      </c>
      <c r="BA84" s="14">
        <f t="shared" si="16"/>
        <v>1.3147799865483645E-2</v>
      </c>
      <c r="BB84" s="14">
        <f t="shared" si="2"/>
        <v>599443.10348035581</v>
      </c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35"/>
      <c r="CM84" s="135"/>
      <c r="CN84" s="135"/>
      <c r="CO84" s="135"/>
      <c r="CP84" s="14"/>
      <c r="CQ84" s="14"/>
      <c r="CR84" s="14"/>
      <c r="CS84" s="3"/>
      <c r="CT84" s="3"/>
      <c r="CU84" s="3"/>
      <c r="CV84" s="3"/>
      <c r="CW84" s="3"/>
    </row>
    <row r="85" spans="1:101" ht="14.25" customHeight="1" x14ac:dyDescent="0.2">
      <c r="A85" s="286"/>
      <c r="B85" s="52">
        <v>0.15341911383904652</v>
      </c>
      <c r="C85" s="288">
        <v>3.9773940514521912E-2</v>
      </c>
      <c r="D85" s="288">
        <v>6.2063577876317654E-3</v>
      </c>
      <c r="E85" s="288">
        <v>8.6564416813942908E-3</v>
      </c>
      <c r="F85" s="289">
        <v>0.81132318407539239</v>
      </c>
      <c r="G85" s="92">
        <v>0.42144251719732373</v>
      </c>
      <c r="H85" s="288">
        <v>0.16946561795321188</v>
      </c>
      <c r="I85" s="288">
        <v>2.5490271078502769E-2</v>
      </c>
      <c r="J85" s="288">
        <v>0.99999829459297818</v>
      </c>
      <c r="K85" s="288">
        <v>0.74183057009597031</v>
      </c>
      <c r="L85" s="290">
        <v>12279.982529205818</v>
      </c>
      <c r="M85" s="288">
        <v>0</v>
      </c>
      <c r="N85" s="288">
        <v>14503.655894831078</v>
      </c>
      <c r="O85" s="288">
        <v>1590.4045552346893</v>
      </c>
      <c r="P85" s="288">
        <v>54557.499225392443</v>
      </c>
      <c r="Q85" s="291">
        <v>98751.206599262005</v>
      </c>
      <c r="R85" s="288">
        <v>26213.697082073606</v>
      </c>
      <c r="S85" s="288">
        <v>13032.888822946121</v>
      </c>
      <c r="T85" s="290">
        <v>0.751</v>
      </c>
      <c r="U85" s="288">
        <v>0.75800000000000001</v>
      </c>
      <c r="V85" s="288">
        <v>0.723923076923077</v>
      </c>
      <c r="W85" s="288">
        <v>0.72750000000000004</v>
      </c>
      <c r="X85" s="288">
        <v>0.76</v>
      </c>
      <c r="Y85" s="288">
        <v>0</v>
      </c>
      <c r="Z85" s="289">
        <v>0</v>
      </c>
      <c r="AA85" s="229"/>
      <c r="AB85" s="52">
        <v>117484.16526020081</v>
      </c>
      <c r="AC85" s="288">
        <v>3.2884736802034755</v>
      </c>
      <c r="AD85" s="288">
        <v>100715.52121152321</v>
      </c>
      <c r="AE85" s="288">
        <v>2.9707066141885954</v>
      </c>
      <c r="AF85" s="288">
        <v>16768.644048677597</v>
      </c>
      <c r="AG85" s="289">
        <v>0.31776706601488014</v>
      </c>
      <c r="AH85" s="229"/>
      <c r="AI85" s="205">
        <f t="shared" si="12"/>
        <v>211363.20276014676</v>
      </c>
      <c r="AJ85" s="205">
        <f t="shared" si="13"/>
        <v>196355.14020733634</v>
      </c>
      <c r="AK85" s="205">
        <f t="shared" si="14"/>
        <v>15008.062552810417</v>
      </c>
      <c r="AL85" s="229"/>
      <c r="AM85" s="52">
        <f t="shared" si="4"/>
        <v>1</v>
      </c>
      <c r="AN85" s="52">
        <f t="shared" si="5"/>
        <v>0</v>
      </c>
      <c r="AO85" s="52">
        <f t="shared" si="6"/>
        <v>1</v>
      </c>
      <c r="AP85" s="229"/>
      <c r="AQ85" s="52">
        <v>400000</v>
      </c>
      <c r="AR85" s="52">
        <v>0.71299999999999997</v>
      </c>
      <c r="AS85" s="52">
        <v>0.28699999999999998</v>
      </c>
      <c r="AT85" s="52">
        <v>0.71299999999999997</v>
      </c>
      <c r="AU85" s="229"/>
      <c r="AV85" s="318">
        <f t="shared" si="15"/>
        <v>211363.20276014676</v>
      </c>
      <c r="AW85" s="229"/>
      <c r="AX85" s="312"/>
      <c r="AY85" s="14"/>
      <c r="AZ85" s="14">
        <f t="shared" si="17"/>
        <v>16768.644048677597</v>
      </c>
      <c r="BA85" s="14">
        <f t="shared" si="16"/>
        <v>0.31776706601488014</v>
      </c>
      <c r="BB85" s="14">
        <f t="shared" si="2"/>
        <v>52770.239090454917</v>
      </c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35"/>
      <c r="CM85" s="135"/>
      <c r="CN85" s="135"/>
      <c r="CO85" s="135"/>
      <c r="CP85" s="14"/>
      <c r="CQ85" s="14"/>
      <c r="CR85" s="14"/>
      <c r="CS85" s="3"/>
      <c r="CT85" s="3"/>
      <c r="CU85" s="3"/>
      <c r="CV85" s="3"/>
      <c r="CW85" s="3"/>
    </row>
    <row r="86" spans="1:101" ht="14.25" customHeight="1" x14ac:dyDescent="0.2">
      <c r="A86" s="286"/>
      <c r="B86" s="52">
        <v>0.1449120558543196</v>
      </c>
      <c r="C86" s="288">
        <v>0.18332743018175582</v>
      </c>
      <c r="D86" s="288">
        <v>2.2670742699917978E-2</v>
      </c>
      <c r="E86" s="288">
        <v>2.3813845837511338E-2</v>
      </c>
      <c r="F86" s="289">
        <v>0.78180777778691146</v>
      </c>
      <c r="G86" s="92">
        <v>0.43211904374006838</v>
      </c>
      <c r="H86" s="288">
        <v>0.31643491219155251</v>
      </c>
      <c r="I86" s="288">
        <v>7.9375643937988141E-3</v>
      </c>
      <c r="J86" s="288">
        <v>0.951283764715386</v>
      </c>
      <c r="K86" s="288">
        <v>0.80341536209883491</v>
      </c>
      <c r="L86" s="290">
        <v>6535.4277471405048</v>
      </c>
      <c r="M86" s="288">
        <v>0</v>
      </c>
      <c r="N86" s="288">
        <v>22782.971588198114</v>
      </c>
      <c r="O86" s="288">
        <v>1501.0342201079259</v>
      </c>
      <c r="P86" s="288">
        <v>31885.107528605931</v>
      </c>
      <c r="Q86" s="291">
        <v>93824.284366951659</v>
      </c>
      <c r="R86" s="288">
        <v>29478.959591739156</v>
      </c>
      <c r="S86" s="288">
        <v>9120.316470573016</v>
      </c>
      <c r="T86" s="290">
        <v>0.751</v>
      </c>
      <c r="U86" s="288">
        <v>0.75800000000000001</v>
      </c>
      <c r="V86" s="288">
        <v>0.723923076923077</v>
      </c>
      <c r="W86" s="288">
        <v>0.72750000000000004</v>
      </c>
      <c r="X86" s="288">
        <v>0.76</v>
      </c>
      <c r="Y86" s="288">
        <v>0</v>
      </c>
      <c r="Z86" s="289">
        <v>0</v>
      </c>
      <c r="AA86" s="229"/>
      <c r="AB86" s="52">
        <v>78455.216412428563</v>
      </c>
      <c r="AC86" s="288">
        <v>3.1507442983625924</v>
      </c>
      <c r="AD86" s="288">
        <v>78231.757870701927</v>
      </c>
      <c r="AE86" s="288">
        <v>3.2563217216795</v>
      </c>
      <c r="AF86" s="288">
        <v>223.4585417266353</v>
      </c>
      <c r="AG86" s="289">
        <v>-0.10557742331690756</v>
      </c>
      <c r="AH86" s="229"/>
      <c r="AI86" s="205">
        <f t="shared" si="12"/>
        <v>236619.21342383066</v>
      </c>
      <c r="AJ86" s="205">
        <f t="shared" si="13"/>
        <v>247400.41429724809</v>
      </c>
      <c r="AK86" s="205">
        <f t="shared" si="14"/>
        <v>-10781.200873417391</v>
      </c>
      <c r="AL86" s="229"/>
      <c r="AM86" s="52">
        <f t="shared" si="4"/>
        <v>0</v>
      </c>
      <c r="AN86" s="52">
        <f t="shared" si="5"/>
        <v>1</v>
      </c>
      <c r="AO86" s="52">
        <f t="shared" si="6"/>
        <v>0</v>
      </c>
      <c r="AP86" s="229"/>
      <c r="AQ86" s="52">
        <v>450000</v>
      </c>
      <c r="AR86" s="52">
        <v>0.71699999999999997</v>
      </c>
      <c r="AS86" s="52">
        <v>0.28299999999999997</v>
      </c>
      <c r="AT86" s="52">
        <v>0.71699999999999997</v>
      </c>
      <c r="AU86" s="229"/>
      <c r="AV86" s="318">
        <f t="shared" si="15"/>
        <v>247400.41429724809</v>
      </c>
      <c r="AW86" s="229"/>
      <c r="AX86" s="312"/>
      <c r="AY86" s="14"/>
      <c r="AZ86" s="14">
        <f t="shared" si="17"/>
        <v>223.4585417266353</v>
      </c>
      <c r="BA86" s="14">
        <f t="shared" si="16"/>
        <v>-0.10557742331690756</v>
      </c>
      <c r="BB86" s="14">
        <f t="shared" si="2"/>
        <v>-2116.5371791267216</v>
      </c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35"/>
      <c r="CM86" s="135"/>
      <c r="CN86" s="135"/>
      <c r="CO86" s="135"/>
      <c r="CP86" s="14"/>
      <c r="CQ86" s="14"/>
      <c r="CR86" s="14"/>
      <c r="CS86" s="3"/>
      <c r="CT86" s="3"/>
      <c r="CU86" s="3"/>
      <c r="CV86" s="3"/>
      <c r="CW86" s="3"/>
    </row>
    <row r="87" spans="1:101" ht="14.25" customHeight="1" x14ac:dyDescent="0.2">
      <c r="A87" s="286"/>
      <c r="B87" s="52">
        <v>0.15934632103269231</v>
      </c>
      <c r="C87" s="288">
        <v>0.56263786314685715</v>
      </c>
      <c r="D87" s="288">
        <v>7.9007249150080672E-3</v>
      </c>
      <c r="E87" s="288">
        <v>1.1948794741479004E-2</v>
      </c>
      <c r="F87" s="289">
        <v>0.77354287926227039</v>
      </c>
      <c r="G87" s="92">
        <v>0.35953577433942019</v>
      </c>
      <c r="H87" s="288">
        <v>0.61603041335076658</v>
      </c>
      <c r="I87" s="288">
        <v>2.0834907219774323E-2</v>
      </c>
      <c r="J87" s="288">
        <v>0.99999999877907575</v>
      </c>
      <c r="K87" s="288">
        <v>0.75195288443147856</v>
      </c>
      <c r="L87" s="290">
        <v>12896.689530407259</v>
      </c>
      <c r="M87" s="288">
        <v>0</v>
      </c>
      <c r="N87" s="288">
        <v>21754.490186367606</v>
      </c>
      <c r="O87" s="288">
        <v>1147.9696961863674</v>
      </c>
      <c r="P87" s="288">
        <v>43924.290511144805</v>
      </c>
      <c r="Q87" s="291">
        <v>109299.77708885817</v>
      </c>
      <c r="R87" s="288">
        <v>21291.491798087398</v>
      </c>
      <c r="S87" s="288">
        <v>7074.7198330773408</v>
      </c>
      <c r="T87" s="290">
        <v>0.751</v>
      </c>
      <c r="U87" s="288">
        <v>0.75800000000000001</v>
      </c>
      <c r="V87" s="288">
        <v>0.723923076923077</v>
      </c>
      <c r="W87" s="288">
        <v>0.72750000000000004</v>
      </c>
      <c r="X87" s="288">
        <v>0.76</v>
      </c>
      <c r="Y87" s="288">
        <v>0</v>
      </c>
      <c r="Z87" s="289">
        <v>0</v>
      </c>
      <c r="AA87" s="229"/>
      <c r="AB87" s="52">
        <v>69318.318797344211</v>
      </c>
      <c r="AC87" s="288">
        <v>3.1124222250958313</v>
      </c>
      <c r="AD87" s="288">
        <v>59477.893790982613</v>
      </c>
      <c r="AE87" s="288">
        <v>3.0172408670963318</v>
      </c>
      <c r="AF87" s="288">
        <v>9840.4250063615982</v>
      </c>
      <c r="AG87" s="289">
        <v>9.5181357999499561E-2</v>
      </c>
      <c r="AH87" s="229"/>
      <c r="AI87" s="205">
        <f t="shared" si="12"/>
        <v>241923.90371223888</v>
      </c>
      <c r="AJ87" s="205">
        <f t="shared" si="13"/>
        <v>242246.19291865057</v>
      </c>
      <c r="AK87" s="205">
        <f t="shared" si="14"/>
        <v>-322.28920641164223</v>
      </c>
      <c r="AL87" s="229"/>
      <c r="AM87" s="52">
        <f t="shared" si="4"/>
        <v>0</v>
      </c>
      <c r="AN87" s="52">
        <f t="shared" si="5"/>
        <v>1</v>
      </c>
      <c r="AO87" s="52">
        <f t="shared" si="6"/>
        <v>0</v>
      </c>
      <c r="AP87" s="229"/>
      <c r="AQ87" s="52">
        <v>500000</v>
      </c>
      <c r="AR87" s="52">
        <v>0.72</v>
      </c>
      <c r="AS87" s="52">
        <v>0.28000000000000003</v>
      </c>
      <c r="AT87" s="52">
        <v>0.72</v>
      </c>
      <c r="AU87" s="229"/>
      <c r="AV87" s="318">
        <f t="shared" si="15"/>
        <v>242246.19291865057</v>
      </c>
      <c r="AW87" s="229"/>
      <c r="AX87" s="312"/>
      <c r="AY87" s="14"/>
      <c r="AZ87" s="14">
        <f t="shared" si="17"/>
        <v>9840.4250063615982</v>
      </c>
      <c r="BA87" s="14">
        <f t="shared" si="16"/>
        <v>9.5181357999499561E-2</v>
      </c>
      <c r="BB87" s="14">
        <f t="shared" si="2"/>
        <v>103386.05387846364</v>
      </c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35"/>
      <c r="CM87" s="135"/>
      <c r="CN87" s="135"/>
      <c r="CO87" s="135"/>
      <c r="CP87" s="14"/>
      <c r="CQ87" s="14"/>
      <c r="CR87" s="14"/>
      <c r="CS87" s="3"/>
      <c r="CT87" s="3"/>
      <c r="CU87" s="3"/>
      <c r="CV87" s="3"/>
      <c r="CW87" s="3"/>
    </row>
    <row r="88" spans="1:101" ht="14.25" customHeight="1" x14ac:dyDescent="0.2">
      <c r="A88" s="286"/>
      <c r="B88" s="52">
        <v>0.15763006996030668</v>
      </c>
      <c r="C88" s="288">
        <v>0.36252515983276912</v>
      </c>
      <c r="D88" s="288">
        <v>1.1817095205571124E-2</v>
      </c>
      <c r="E88" s="288">
        <v>2.3628955756368919E-2</v>
      </c>
      <c r="F88" s="289">
        <v>0.78734344944574053</v>
      </c>
      <c r="G88" s="92">
        <v>0.32346836623788605</v>
      </c>
      <c r="H88" s="288">
        <v>0.48003560633691567</v>
      </c>
      <c r="I88" s="288">
        <v>1.1756528803478021E-2</v>
      </c>
      <c r="J88" s="288">
        <v>0.99960726188735438</v>
      </c>
      <c r="K88" s="288">
        <v>0.72153729793050336</v>
      </c>
      <c r="L88" s="290">
        <v>11702.881252342089</v>
      </c>
      <c r="M88" s="288">
        <v>0</v>
      </c>
      <c r="N88" s="288">
        <v>18744.951300239762</v>
      </c>
      <c r="O88" s="288">
        <v>1029.5939968803459</v>
      </c>
      <c r="P88" s="288">
        <v>35920.651736175379</v>
      </c>
      <c r="Q88" s="291">
        <v>123143.38908331796</v>
      </c>
      <c r="R88" s="288">
        <v>22061.263719951236</v>
      </c>
      <c r="S88" s="288">
        <v>8894.1448097949615</v>
      </c>
      <c r="T88" s="290">
        <v>0.751</v>
      </c>
      <c r="U88" s="288">
        <v>0.75800000000000001</v>
      </c>
      <c r="V88" s="288">
        <v>0.723923076923077</v>
      </c>
      <c r="W88" s="288">
        <v>0.72750000000000004</v>
      </c>
      <c r="X88" s="288">
        <v>0.76</v>
      </c>
      <c r="Y88" s="288">
        <v>0</v>
      </c>
      <c r="Z88" s="289">
        <v>0</v>
      </c>
      <c r="AA88" s="229"/>
      <c r="AB88" s="52">
        <v>82700.850985036552</v>
      </c>
      <c r="AC88" s="288">
        <v>3.1764716064534833</v>
      </c>
      <c r="AD88" s="288">
        <v>68416.83824385803</v>
      </c>
      <c r="AE88" s="288">
        <v>2.8779009405360045</v>
      </c>
      <c r="AF88" s="288">
        <v>14284.012741178522</v>
      </c>
      <c r="AG88" s="289">
        <v>0.29857066591747872</v>
      </c>
      <c r="AH88" s="229"/>
      <c r="AI88" s="205">
        <f t="shared" si="12"/>
        <v>234946.30966031176</v>
      </c>
      <c r="AJ88" s="205">
        <f t="shared" si="13"/>
        <v>219373.25580974243</v>
      </c>
      <c r="AK88" s="205">
        <f t="shared" si="14"/>
        <v>15573.053850569351</v>
      </c>
      <c r="AL88" s="229"/>
      <c r="AM88" s="52">
        <f t="shared" si="4"/>
        <v>1</v>
      </c>
      <c r="AN88" s="52">
        <f t="shared" si="5"/>
        <v>0</v>
      </c>
      <c r="AO88" s="52">
        <f t="shared" si="6"/>
        <v>1</v>
      </c>
      <c r="AP88" s="229"/>
      <c r="AQ88" s="52">
        <v>550000</v>
      </c>
      <c r="AR88" s="52">
        <v>0.72</v>
      </c>
      <c r="AS88" s="52">
        <v>0.28000000000000003</v>
      </c>
      <c r="AT88" s="52">
        <v>0.72</v>
      </c>
      <c r="AU88" s="229"/>
      <c r="AV88" s="318">
        <f t="shared" si="15"/>
        <v>234946.30966031176</v>
      </c>
      <c r="AW88" s="229"/>
      <c r="AX88" s="312"/>
      <c r="AY88" s="14"/>
      <c r="AZ88" s="14">
        <f t="shared" si="17"/>
        <v>14284.012741178522</v>
      </c>
      <c r="BA88" s="14">
        <f t="shared" si="16"/>
        <v>0.29857066591747872</v>
      </c>
      <c r="BB88" s="14">
        <f t="shared" si="2"/>
        <v>47841.313202303834</v>
      </c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35"/>
      <c r="CM88" s="135"/>
      <c r="CN88" s="135"/>
      <c r="CO88" s="135"/>
      <c r="CP88" s="14"/>
      <c r="CQ88" s="14"/>
      <c r="CR88" s="14"/>
      <c r="CS88" s="3"/>
      <c r="CT88" s="3"/>
      <c r="CU88" s="3"/>
      <c r="CV88" s="3"/>
      <c r="CW88" s="3"/>
    </row>
    <row r="89" spans="1:101" ht="14.25" customHeight="1" x14ac:dyDescent="0.2">
      <c r="A89" s="286"/>
      <c r="B89" s="52">
        <v>0.15017545412477651</v>
      </c>
      <c r="C89" s="288">
        <v>0.77373960680777643</v>
      </c>
      <c r="D89" s="288">
        <v>8.5519678626066759E-3</v>
      </c>
      <c r="E89" s="288">
        <v>1.3750760227829258E-2</v>
      </c>
      <c r="F89" s="289">
        <v>0.77429043213187687</v>
      </c>
      <c r="G89" s="92">
        <v>0.33614104336248585</v>
      </c>
      <c r="H89" s="288">
        <v>0.38676863633821085</v>
      </c>
      <c r="I89" s="288">
        <v>9.1166445694651817E-3</v>
      </c>
      <c r="J89" s="288">
        <v>0.96884473571121299</v>
      </c>
      <c r="K89" s="288">
        <v>0.72907154810097108</v>
      </c>
      <c r="L89" s="290">
        <v>11642.634097058455</v>
      </c>
      <c r="M89" s="288">
        <v>0</v>
      </c>
      <c r="N89" s="288">
        <v>16431.73085997974</v>
      </c>
      <c r="O89" s="288">
        <v>991.06869923643103</v>
      </c>
      <c r="P89" s="288">
        <v>56811.917678376572</v>
      </c>
      <c r="Q89" s="291">
        <v>70341.988514520344</v>
      </c>
      <c r="R89" s="288">
        <v>22031.226905712861</v>
      </c>
      <c r="S89" s="288">
        <v>7310.3376186161049</v>
      </c>
      <c r="T89" s="290">
        <v>0.751</v>
      </c>
      <c r="U89" s="288">
        <v>0.75800000000000001</v>
      </c>
      <c r="V89" s="288">
        <v>0.723923076923077</v>
      </c>
      <c r="W89" s="288">
        <v>0.72750000000000004</v>
      </c>
      <c r="X89" s="288">
        <v>0.76</v>
      </c>
      <c r="Y89" s="288">
        <v>0</v>
      </c>
      <c r="Z89" s="289">
        <v>0</v>
      </c>
      <c r="AA89" s="229"/>
      <c r="AB89" s="52">
        <v>70493.20744012644</v>
      </c>
      <c r="AC89" s="288">
        <v>3.1158840160476076</v>
      </c>
      <c r="AD89" s="288">
        <v>56802.472687835761</v>
      </c>
      <c r="AE89" s="288">
        <v>2.9122809899476363</v>
      </c>
      <c r="AF89" s="288">
        <v>13690.734752290678</v>
      </c>
      <c r="AG89" s="289">
        <v>0.20360302609997127</v>
      </c>
      <c r="AH89" s="229"/>
      <c r="AI89" s="205">
        <f t="shared" si="12"/>
        <v>241095.19416463427</v>
      </c>
      <c r="AJ89" s="205">
        <f t="shared" si="13"/>
        <v>234425.62630692788</v>
      </c>
      <c r="AK89" s="205">
        <f t="shared" si="14"/>
        <v>6669.56785770645</v>
      </c>
      <c r="AL89" s="229"/>
      <c r="AM89" s="52">
        <f t="shared" si="4"/>
        <v>1</v>
      </c>
      <c r="AN89" s="52">
        <f t="shared" si="5"/>
        <v>0</v>
      </c>
      <c r="AO89" s="52">
        <f t="shared" si="6"/>
        <v>1</v>
      </c>
      <c r="AP89" s="229"/>
      <c r="AQ89" s="52">
        <v>600000</v>
      </c>
      <c r="AR89" s="52">
        <v>0.72499999999999998</v>
      </c>
      <c r="AS89" s="52">
        <v>0.27500000000000002</v>
      </c>
      <c r="AT89" s="52">
        <v>0.72499999999999998</v>
      </c>
      <c r="AU89" s="229"/>
      <c r="AV89" s="318">
        <f t="shared" si="15"/>
        <v>241095.19416463427</v>
      </c>
      <c r="AW89" s="229"/>
      <c r="AX89" s="312"/>
      <c r="AY89" s="14"/>
      <c r="AZ89" s="14">
        <f t="shared" si="17"/>
        <v>13690.734752290678</v>
      </c>
      <c r="BA89" s="14">
        <f t="shared" si="16"/>
        <v>0.20360302609997127</v>
      </c>
      <c r="BB89" s="14">
        <f t="shared" si="2"/>
        <v>67242.295041176752</v>
      </c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35"/>
      <c r="CM89" s="135"/>
      <c r="CN89" s="135"/>
      <c r="CO89" s="135"/>
      <c r="CP89" s="14"/>
      <c r="CQ89" s="14"/>
      <c r="CR89" s="14"/>
      <c r="CS89" s="3"/>
      <c r="CT89" s="3"/>
      <c r="CU89" s="3"/>
      <c r="CV89" s="3"/>
      <c r="CW89" s="3"/>
    </row>
    <row r="90" spans="1:101" ht="14.25" customHeight="1" x14ac:dyDescent="0.2">
      <c r="A90" s="286"/>
      <c r="B90" s="52">
        <v>0.16561872809280542</v>
      </c>
      <c r="C90" s="288">
        <v>5.4050985723091464E-2</v>
      </c>
      <c r="D90" s="288">
        <v>1.8262257544949589E-2</v>
      </c>
      <c r="E90" s="288">
        <v>8.754028396105765E-3</v>
      </c>
      <c r="F90" s="289">
        <v>0.76196505490941002</v>
      </c>
      <c r="G90" s="92">
        <v>0.41253886218705782</v>
      </c>
      <c r="H90" s="288">
        <v>0.55206004922918084</v>
      </c>
      <c r="I90" s="288">
        <v>3.5238601231386557E-2</v>
      </c>
      <c r="J90" s="288">
        <v>1</v>
      </c>
      <c r="K90" s="288">
        <v>0.72312448474046653</v>
      </c>
      <c r="L90" s="290">
        <v>15726.037667918405</v>
      </c>
      <c r="M90" s="288">
        <v>0</v>
      </c>
      <c r="N90" s="288">
        <v>21637.994152640713</v>
      </c>
      <c r="O90" s="288">
        <v>680.21911764919105</v>
      </c>
      <c r="P90" s="288">
        <v>32795.381202564669</v>
      </c>
      <c r="Q90" s="291">
        <v>103050.63819883147</v>
      </c>
      <c r="R90" s="288">
        <v>19056.173310008548</v>
      </c>
      <c r="S90" s="288">
        <v>9322.7651527311082</v>
      </c>
      <c r="T90" s="290">
        <v>0.751</v>
      </c>
      <c r="U90" s="288">
        <v>0.75800000000000001</v>
      </c>
      <c r="V90" s="288">
        <v>0.723923076923077</v>
      </c>
      <c r="W90" s="288">
        <v>0.72750000000000004</v>
      </c>
      <c r="X90" s="288">
        <v>0.76</v>
      </c>
      <c r="Y90" s="288">
        <v>0</v>
      </c>
      <c r="Z90" s="289">
        <v>0</v>
      </c>
      <c r="AA90" s="229"/>
      <c r="AB90" s="52">
        <v>86664.495176731434</v>
      </c>
      <c r="AC90" s="288">
        <v>3.0589191912594114</v>
      </c>
      <c r="AD90" s="288">
        <v>73995.384218645282</v>
      </c>
      <c r="AE90" s="288">
        <v>2.8851361014334858</v>
      </c>
      <c r="AF90" s="288">
        <v>12669.110958086152</v>
      </c>
      <c r="AG90" s="289">
        <v>0.17378308982592561</v>
      </c>
      <c r="AH90" s="229"/>
      <c r="AI90" s="205">
        <f t="shared" si="12"/>
        <v>219227.42394920968</v>
      </c>
      <c r="AJ90" s="205">
        <f t="shared" si="13"/>
        <v>214518.22592470329</v>
      </c>
      <c r="AK90" s="205">
        <f t="shared" si="14"/>
        <v>4709.1980245064078</v>
      </c>
      <c r="AL90" s="229"/>
      <c r="AM90" s="52">
        <f t="shared" si="4"/>
        <v>1</v>
      </c>
      <c r="AN90" s="52">
        <f t="shared" si="5"/>
        <v>0</v>
      </c>
      <c r="AO90" s="52">
        <f t="shared" si="6"/>
        <v>1</v>
      </c>
      <c r="AP90" s="229"/>
      <c r="AQ90" s="52">
        <v>650000</v>
      </c>
      <c r="AR90" s="52">
        <v>0.72499999999999998</v>
      </c>
      <c r="AS90" s="52">
        <v>0.27500000000000002</v>
      </c>
      <c r="AT90" s="52">
        <v>0.72499999999999998</v>
      </c>
      <c r="AU90" s="229"/>
      <c r="AV90" s="318">
        <f t="shared" si="15"/>
        <v>219227.42394920968</v>
      </c>
      <c r="AW90" s="229"/>
      <c r="AX90" s="312"/>
      <c r="AY90" s="14"/>
      <c r="AZ90" s="14">
        <f t="shared" si="17"/>
        <v>12669.110958086152</v>
      </c>
      <c r="BA90" s="14">
        <f t="shared" si="16"/>
        <v>0.17378308982592561</v>
      </c>
      <c r="BB90" s="14">
        <f t="shared" si="2"/>
        <v>72901.862723102109</v>
      </c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35"/>
      <c r="CM90" s="135"/>
      <c r="CN90" s="135"/>
      <c r="CO90" s="135"/>
      <c r="CP90" s="14"/>
      <c r="CQ90" s="14"/>
      <c r="CR90" s="14"/>
      <c r="CS90" s="3"/>
      <c r="CT90" s="3"/>
      <c r="CU90" s="3"/>
      <c r="CV90" s="3"/>
      <c r="CW90" s="3"/>
    </row>
    <row r="91" spans="1:101" ht="14.25" customHeight="1" x14ac:dyDescent="0.2">
      <c r="A91" s="286"/>
      <c r="B91" s="52">
        <v>0.15825198757144079</v>
      </c>
      <c r="C91" s="288">
        <v>0.88353116782274377</v>
      </c>
      <c r="D91" s="288">
        <v>6.0906991502992607E-3</v>
      </c>
      <c r="E91" s="288">
        <v>5.7394488419141819E-3</v>
      </c>
      <c r="F91" s="289">
        <v>0.78086946962041648</v>
      </c>
      <c r="G91" s="92">
        <v>0.42924400134696894</v>
      </c>
      <c r="H91" s="288">
        <v>8.5567342938260516E-2</v>
      </c>
      <c r="I91" s="288">
        <v>8.2792138862759473E-3</v>
      </c>
      <c r="J91" s="288">
        <v>0.9999999999997784</v>
      </c>
      <c r="K91" s="288">
        <v>0.7247171574734016</v>
      </c>
      <c r="L91" s="290">
        <v>14076.889243206428</v>
      </c>
      <c r="M91" s="288">
        <v>0</v>
      </c>
      <c r="N91" s="288">
        <v>13658.631214388666</v>
      </c>
      <c r="O91" s="288">
        <v>1143.9458677541679</v>
      </c>
      <c r="P91" s="288">
        <v>35457.459514133618</v>
      </c>
      <c r="Q91" s="291">
        <v>73524.877181726653</v>
      </c>
      <c r="R91" s="288">
        <v>21604.831010074158</v>
      </c>
      <c r="S91" s="288">
        <v>7659.371867913228</v>
      </c>
      <c r="T91" s="290">
        <v>0.751</v>
      </c>
      <c r="U91" s="288">
        <v>0.75800000000000001</v>
      </c>
      <c r="V91" s="288">
        <v>0.723923076923077</v>
      </c>
      <c r="W91" s="288">
        <v>0.72750000000000004</v>
      </c>
      <c r="X91" s="288">
        <v>0.76</v>
      </c>
      <c r="Y91" s="288">
        <v>0</v>
      </c>
      <c r="Z91" s="289">
        <v>0</v>
      </c>
      <c r="AA91" s="229"/>
      <c r="AB91" s="52">
        <v>76575.130459813707</v>
      </c>
      <c r="AC91" s="288">
        <v>3.146388228701396</v>
      </c>
      <c r="AD91" s="288">
        <v>57132.500862294655</v>
      </c>
      <c r="AE91" s="288">
        <v>2.8924002612463604</v>
      </c>
      <c r="AF91" s="288">
        <v>19442.629597519051</v>
      </c>
      <c r="AG91" s="289">
        <v>0.2539879674550356</v>
      </c>
      <c r="AH91" s="229"/>
      <c r="AI91" s="205">
        <f t="shared" si="12"/>
        <v>238063.69241032592</v>
      </c>
      <c r="AJ91" s="205">
        <f t="shared" si="13"/>
        <v>232107.5252623414</v>
      </c>
      <c r="AK91" s="205">
        <f t="shared" si="14"/>
        <v>5956.1671479845099</v>
      </c>
      <c r="AL91" s="229"/>
      <c r="AM91" s="52">
        <f t="shared" si="4"/>
        <v>1</v>
      </c>
      <c r="AN91" s="52">
        <f t="shared" si="5"/>
        <v>0</v>
      </c>
      <c r="AO91" s="52">
        <f t="shared" si="6"/>
        <v>1</v>
      </c>
      <c r="AP91" s="229"/>
      <c r="AQ91" s="52">
        <v>700000</v>
      </c>
      <c r="AR91" s="52">
        <v>0.72499999999999998</v>
      </c>
      <c r="AS91" s="52">
        <v>0.27500000000000002</v>
      </c>
      <c r="AT91" s="52">
        <v>0.72499999999999998</v>
      </c>
      <c r="AU91" s="229"/>
      <c r="AV91" s="318">
        <f t="shared" si="15"/>
        <v>238063.69241032592</v>
      </c>
      <c r="AW91" s="229"/>
      <c r="AX91" s="312"/>
      <c r="AY91" s="14"/>
      <c r="AZ91" s="14">
        <f t="shared" si="17"/>
        <v>19442.629597519051</v>
      </c>
      <c r="BA91" s="14">
        <f t="shared" si="16"/>
        <v>0.2539879674550356</v>
      </c>
      <c r="BB91" s="14">
        <f t="shared" si="2"/>
        <v>76549.412132923389</v>
      </c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>
        <v>1</v>
      </c>
      <c r="BY91" s="14">
        <v>100000</v>
      </c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35"/>
      <c r="CM91" s="135"/>
      <c r="CN91" s="135"/>
      <c r="CO91" s="135"/>
      <c r="CP91" s="14"/>
      <c r="CQ91" s="14"/>
      <c r="CR91" s="14"/>
      <c r="CS91" s="3"/>
      <c r="CT91" s="3"/>
      <c r="CU91" s="3"/>
      <c r="CV91" s="3"/>
      <c r="CW91" s="3"/>
    </row>
    <row r="92" spans="1:101" ht="14.25" customHeight="1" x14ac:dyDescent="0.2">
      <c r="A92" s="286"/>
      <c r="B92" s="52">
        <v>0.16564631331305402</v>
      </c>
      <c r="C92" s="288">
        <v>0.60107586660182144</v>
      </c>
      <c r="D92" s="288">
        <v>1.0635545281546881E-2</v>
      </c>
      <c r="E92" s="288">
        <v>1.0568646390128292E-2</v>
      </c>
      <c r="F92" s="289">
        <v>0.77846402551468152</v>
      </c>
      <c r="G92" s="92">
        <v>0.44604625666812958</v>
      </c>
      <c r="H92" s="288">
        <v>0.87171037302779308</v>
      </c>
      <c r="I92" s="288">
        <v>2.2298336580779621E-2</v>
      </c>
      <c r="J92" s="288">
        <v>0.78262942622987597</v>
      </c>
      <c r="K92" s="288">
        <v>0.80522591008515843</v>
      </c>
      <c r="L92" s="290">
        <v>11739.413028784002</v>
      </c>
      <c r="M92" s="288">
        <v>0</v>
      </c>
      <c r="N92" s="288">
        <v>16210.746335628728</v>
      </c>
      <c r="O92" s="288">
        <v>1469.1769723782877</v>
      </c>
      <c r="P92" s="288">
        <v>35571.089566768307</v>
      </c>
      <c r="Q92" s="291">
        <v>110697.93893945974</v>
      </c>
      <c r="R92" s="288">
        <v>16696.149905130678</v>
      </c>
      <c r="S92" s="288">
        <v>8012.2097268227026</v>
      </c>
      <c r="T92" s="290">
        <v>0.751</v>
      </c>
      <c r="U92" s="288">
        <v>0.75800000000000001</v>
      </c>
      <c r="V92" s="288">
        <v>0.723923076923077</v>
      </c>
      <c r="W92" s="288">
        <v>0.72750000000000004</v>
      </c>
      <c r="X92" s="288">
        <v>0.76</v>
      </c>
      <c r="Y92" s="288">
        <v>0</v>
      </c>
      <c r="Z92" s="289">
        <v>0</v>
      </c>
      <c r="AA92" s="229"/>
      <c r="AB92" s="52">
        <v>75603.835588392962</v>
      </c>
      <c r="AC92" s="288">
        <v>3.1352273289853625</v>
      </c>
      <c r="AD92" s="288">
        <v>72939.120853894521</v>
      </c>
      <c r="AE92" s="288">
        <v>3.2648090588392633</v>
      </c>
      <c r="AF92" s="288">
        <v>2664.7147344984405</v>
      </c>
      <c r="AG92" s="289">
        <v>-0.12958172985390082</v>
      </c>
      <c r="AH92" s="229"/>
      <c r="AI92" s="205">
        <f t="shared" si="12"/>
        <v>237918.89731014328</v>
      </c>
      <c r="AJ92" s="205">
        <f t="shared" si="13"/>
        <v>253541.78503003181</v>
      </c>
      <c r="AK92" s="205">
        <f t="shared" si="14"/>
        <v>-15622.887719888522</v>
      </c>
      <c r="AL92" s="229"/>
      <c r="AM92" s="52">
        <f t="shared" si="4"/>
        <v>0</v>
      </c>
      <c r="AN92" s="52">
        <f t="shared" si="5"/>
        <v>1</v>
      </c>
      <c r="AO92" s="52">
        <f t="shared" si="6"/>
        <v>0</v>
      </c>
      <c r="AP92" s="229"/>
      <c r="AQ92" s="52">
        <v>750000</v>
      </c>
      <c r="AR92" s="52">
        <v>0.72599999999999998</v>
      </c>
      <c r="AS92" s="52">
        <v>0.27400000000000002</v>
      </c>
      <c r="AT92" s="52">
        <v>0.72599999999999998</v>
      </c>
      <c r="AU92" s="229"/>
      <c r="AV92" s="318">
        <f t="shared" si="15"/>
        <v>253541.78503003181</v>
      </c>
      <c r="AW92" s="229"/>
      <c r="AX92" s="312"/>
      <c r="AY92" s="14"/>
      <c r="AZ92" s="14">
        <f t="shared" si="17"/>
        <v>2664.7147344984405</v>
      </c>
      <c r="BA92" s="14">
        <f t="shared" si="16"/>
        <v>-0.12958172985390082</v>
      </c>
      <c r="BB92" s="14">
        <f t="shared" si="2"/>
        <v>-20563.969453894617</v>
      </c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>
        <v>-1</v>
      </c>
      <c r="BY92" s="14">
        <v>-100000</v>
      </c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35"/>
      <c r="CM92" s="135"/>
      <c r="CN92" s="135"/>
      <c r="CO92" s="135"/>
      <c r="CP92" s="14"/>
      <c r="CQ92" s="14"/>
      <c r="CR92" s="14"/>
      <c r="CS92" s="3"/>
      <c r="CT92" s="3"/>
      <c r="CU92" s="3"/>
      <c r="CV92" s="3"/>
      <c r="CW92" s="3"/>
    </row>
    <row r="93" spans="1:101" ht="14.25" customHeight="1" x14ac:dyDescent="0.2">
      <c r="A93" s="286"/>
      <c r="B93" s="52">
        <v>0.15782724305335583</v>
      </c>
      <c r="C93" s="288">
        <v>2.9852753219418045E-2</v>
      </c>
      <c r="D93" s="288">
        <v>9.0719612958597116E-3</v>
      </c>
      <c r="E93" s="288">
        <v>2.2582707787134115E-2</v>
      </c>
      <c r="F93" s="289">
        <v>0.74465003548518682</v>
      </c>
      <c r="G93" s="92">
        <v>0.37996795821282991</v>
      </c>
      <c r="H93" s="288">
        <v>0.97028787201822264</v>
      </c>
      <c r="I93" s="288">
        <v>7.1445480032986753E-3</v>
      </c>
      <c r="J93" s="288">
        <v>0.99976114774179803</v>
      </c>
      <c r="K93" s="288">
        <v>0.74798162026377235</v>
      </c>
      <c r="L93" s="290">
        <v>11250.234467601613</v>
      </c>
      <c r="M93" s="288">
        <v>0</v>
      </c>
      <c r="N93" s="288">
        <v>17182.567234518268</v>
      </c>
      <c r="O93" s="288">
        <v>1391.4695627492138</v>
      </c>
      <c r="P93" s="288">
        <v>55995.610091934548</v>
      </c>
      <c r="Q93" s="291">
        <v>114279.59258337342</v>
      </c>
      <c r="R93" s="288">
        <v>23642.365561955929</v>
      </c>
      <c r="S93" s="288">
        <v>6324.1510472740929</v>
      </c>
      <c r="T93" s="290">
        <v>0.751</v>
      </c>
      <c r="U93" s="288">
        <v>0.75800000000000001</v>
      </c>
      <c r="V93" s="288">
        <v>0.723923076923077</v>
      </c>
      <c r="W93" s="288">
        <v>0.72750000000000004</v>
      </c>
      <c r="X93" s="288">
        <v>0.76</v>
      </c>
      <c r="Y93" s="288">
        <v>0</v>
      </c>
      <c r="Z93" s="289">
        <v>0</v>
      </c>
      <c r="AA93" s="229"/>
      <c r="AB93" s="52">
        <v>58379.860056936617</v>
      </c>
      <c r="AC93" s="288">
        <v>2.9792959784765323</v>
      </c>
      <c r="AD93" s="288">
        <v>56862.510285229684</v>
      </c>
      <c r="AE93" s="288">
        <v>2.998964939418669</v>
      </c>
      <c r="AF93" s="288">
        <v>1517.3497717069331</v>
      </c>
      <c r="AG93" s="289">
        <v>-1.9668960942136771E-2</v>
      </c>
      <c r="AH93" s="229"/>
      <c r="AI93" s="205">
        <f t="shared" si="12"/>
        <v>239549.73779071658</v>
      </c>
      <c r="AJ93" s="205">
        <f t="shared" si="13"/>
        <v>243033.98365663723</v>
      </c>
      <c r="AK93" s="205">
        <f t="shared" si="14"/>
        <v>-3484.2458659206104</v>
      </c>
      <c r="AL93" s="229"/>
      <c r="AM93" s="52">
        <f t="shared" si="4"/>
        <v>0</v>
      </c>
      <c r="AN93" s="52">
        <f t="shared" si="5"/>
        <v>1</v>
      </c>
      <c r="AO93" s="52">
        <f t="shared" si="6"/>
        <v>0</v>
      </c>
      <c r="AP93" s="229"/>
      <c r="AQ93" s="52">
        <v>800000</v>
      </c>
      <c r="AR93" s="52">
        <v>0.72899999999999998</v>
      </c>
      <c r="AS93" s="52">
        <v>0.27100000000000002</v>
      </c>
      <c r="AT93" s="52">
        <v>0.72899999999999998</v>
      </c>
      <c r="AU93" s="229"/>
      <c r="AV93" s="318">
        <f t="shared" si="15"/>
        <v>243033.98365663723</v>
      </c>
      <c r="AW93" s="229"/>
      <c r="AX93" s="312"/>
      <c r="AY93" s="14"/>
      <c r="AZ93" s="14">
        <f t="shared" si="17"/>
        <v>1517.3497717069331</v>
      </c>
      <c r="BA93" s="14">
        <f t="shared" si="16"/>
        <v>-1.9668960942136771E-2</v>
      </c>
      <c r="BB93" s="14">
        <f t="shared" si="2"/>
        <v>-77144.37870768852</v>
      </c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35"/>
      <c r="CM93" s="135"/>
      <c r="CN93" s="135"/>
      <c r="CO93" s="135"/>
      <c r="CP93" s="14"/>
      <c r="CQ93" s="14"/>
      <c r="CR93" s="14"/>
      <c r="CS93" s="3"/>
      <c r="CT93" s="3"/>
      <c r="CU93" s="3"/>
      <c r="CV93" s="3"/>
      <c r="CW93" s="3"/>
    </row>
    <row r="94" spans="1:101" ht="14.25" customHeight="1" x14ac:dyDescent="0.2">
      <c r="A94" s="286"/>
      <c r="B94" s="52">
        <v>0.13779057864406011</v>
      </c>
      <c r="C94" s="288">
        <v>0.42513202380186688</v>
      </c>
      <c r="D94" s="288">
        <v>1.0879673727784553E-2</v>
      </c>
      <c r="E94" s="288">
        <v>1.4702497338485943E-2</v>
      </c>
      <c r="F94" s="289">
        <v>0.78664383285747852</v>
      </c>
      <c r="G94" s="92">
        <v>0.36973126913419702</v>
      </c>
      <c r="H94" s="288">
        <v>0.84626174433401502</v>
      </c>
      <c r="I94" s="288">
        <v>1.749457475906524E-2</v>
      </c>
      <c r="J94" s="288">
        <v>0.99975791402568337</v>
      </c>
      <c r="K94" s="288">
        <v>0.75359329033728062</v>
      </c>
      <c r="L94" s="290">
        <v>11056.907315080152</v>
      </c>
      <c r="M94" s="288">
        <v>0</v>
      </c>
      <c r="N94" s="288">
        <v>14317.785262442623</v>
      </c>
      <c r="O94" s="288">
        <v>1729.1882158027165</v>
      </c>
      <c r="P94" s="288">
        <v>55464.310229095325</v>
      </c>
      <c r="Q94" s="291">
        <v>80902.463767031164</v>
      </c>
      <c r="R94" s="288">
        <v>21527.750891611497</v>
      </c>
      <c r="S94" s="288">
        <v>9973.1205051102424</v>
      </c>
      <c r="T94" s="290">
        <v>0.751</v>
      </c>
      <c r="U94" s="288">
        <v>0.75800000000000001</v>
      </c>
      <c r="V94" s="288">
        <v>0.723923076923077</v>
      </c>
      <c r="W94" s="288">
        <v>0.72750000000000004</v>
      </c>
      <c r="X94" s="288">
        <v>0.76</v>
      </c>
      <c r="Y94" s="288">
        <v>0</v>
      </c>
      <c r="Z94" s="289">
        <v>0</v>
      </c>
      <c r="AA94" s="229"/>
      <c r="AB94" s="52">
        <v>90365.411416070929</v>
      </c>
      <c r="AC94" s="288">
        <v>3.1732174503041901</v>
      </c>
      <c r="AD94" s="288">
        <v>83233.968019266264</v>
      </c>
      <c r="AE94" s="288">
        <v>3.0247973403064758</v>
      </c>
      <c r="AF94" s="288">
        <v>7131.4433968046651</v>
      </c>
      <c r="AG94" s="289">
        <v>0.14842010999771427</v>
      </c>
      <c r="AH94" s="229"/>
      <c r="AI94" s="205">
        <f t="shared" si="12"/>
        <v>226956.33361434808</v>
      </c>
      <c r="AJ94" s="205">
        <f t="shared" si="13"/>
        <v>219245.76601138135</v>
      </c>
      <c r="AK94" s="205">
        <f t="shared" si="14"/>
        <v>7710.5676029667611</v>
      </c>
      <c r="AL94" s="229"/>
      <c r="AM94" s="52">
        <f t="shared" si="4"/>
        <v>1</v>
      </c>
      <c r="AN94" s="52">
        <f t="shared" si="5"/>
        <v>0</v>
      </c>
      <c r="AO94" s="52">
        <f t="shared" si="6"/>
        <v>1</v>
      </c>
      <c r="AP94" s="229"/>
      <c r="AQ94" s="52">
        <v>850000</v>
      </c>
      <c r="AR94" s="52">
        <v>0.72899999999999998</v>
      </c>
      <c r="AS94" s="52">
        <v>0.27100000000000002</v>
      </c>
      <c r="AT94" s="52">
        <v>0.72899999999999998</v>
      </c>
      <c r="AU94" s="229"/>
      <c r="AV94" s="318">
        <f t="shared" si="15"/>
        <v>226956.33361434808</v>
      </c>
      <c r="AW94" s="229"/>
      <c r="AX94" s="312"/>
      <c r="AY94" s="14"/>
      <c r="AZ94" s="14">
        <f t="shared" si="17"/>
        <v>7131.4433968046651</v>
      </c>
      <c r="BA94" s="14">
        <f t="shared" si="16"/>
        <v>0.14842010999771427</v>
      </c>
      <c r="BB94" s="14">
        <f t="shared" si="2"/>
        <v>48049.037269373352</v>
      </c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35"/>
      <c r="CM94" s="135"/>
      <c r="CN94" s="135"/>
      <c r="CO94" s="135"/>
      <c r="CP94" s="14"/>
      <c r="CQ94" s="14"/>
      <c r="CR94" s="14"/>
      <c r="CS94" s="3"/>
      <c r="CT94" s="3"/>
      <c r="CU94" s="3"/>
      <c r="CV94" s="3"/>
      <c r="CW94" s="3"/>
    </row>
    <row r="95" spans="1:101" ht="14.25" customHeight="1" x14ac:dyDescent="0.2">
      <c r="A95" s="286"/>
      <c r="B95" s="52">
        <v>0.17113764211102112</v>
      </c>
      <c r="C95" s="288">
        <v>0.46568620873661093</v>
      </c>
      <c r="D95" s="288">
        <v>1.919090022489256E-2</v>
      </c>
      <c r="E95" s="288">
        <v>1.5477060280199351E-2</v>
      </c>
      <c r="F95" s="289">
        <v>0.76109700835656569</v>
      </c>
      <c r="G95" s="92">
        <v>0.39592681768802773</v>
      </c>
      <c r="H95" s="288">
        <v>0.97222903477393141</v>
      </c>
      <c r="I95" s="288">
        <v>8.0565859370867569E-3</v>
      </c>
      <c r="J95" s="288">
        <v>0.99999994528947722</v>
      </c>
      <c r="K95" s="288">
        <v>0.75302473016520399</v>
      </c>
      <c r="L95" s="290">
        <v>10237.716811242719</v>
      </c>
      <c r="M95" s="288">
        <v>0</v>
      </c>
      <c r="N95" s="288">
        <v>16792.869237700103</v>
      </c>
      <c r="O95" s="288">
        <v>1029.7004082844794</v>
      </c>
      <c r="P95" s="288">
        <v>49952.793260124105</v>
      </c>
      <c r="Q95" s="291">
        <v>76213.974205253966</v>
      </c>
      <c r="R95" s="288">
        <v>22567.183754486105</v>
      </c>
      <c r="S95" s="288">
        <v>8936.0285510819667</v>
      </c>
      <c r="T95" s="290">
        <v>0.751</v>
      </c>
      <c r="U95" s="288">
        <v>0.75800000000000001</v>
      </c>
      <c r="V95" s="288">
        <v>0.723923076923077</v>
      </c>
      <c r="W95" s="288">
        <v>0.72750000000000004</v>
      </c>
      <c r="X95" s="288">
        <v>0.76</v>
      </c>
      <c r="Y95" s="288">
        <v>0</v>
      </c>
      <c r="Z95" s="289">
        <v>0</v>
      </c>
      <c r="AA95" s="229"/>
      <c r="AB95" s="52">
        <v>79813.435526304573</v>
      </c>
      <c r="AC95" s="288">
        <v>3.0549162778435459</v>
      </c>
      <c r="AD95" s="288">
        <v>76613.086632552731</v>
      </c>
      <c r="AE95" s="288">
        <v>3.0221778071991463</v>
      </c>
      <c r="AF95" s="288">
        <v>3200.3488937518414</v>
      </c>
      <c r="AG95" s="289">
        <v>3.2738470644399609E-2</v>
      </c>
      <c r="AH95" s="229"/>
      <c r="AI95" s="205">
        <f t="shared" si="12"/>
        <v>225678.19225805002</v>
      </c>
      <c r="AJ95" s="205">
        <f t="shared" si="13"/>
        <v>225604.69408736192</v>
      </c>
      <c r="AK95" s="205">
        <f t="shared" si="14"/>
        <v>73.498170688119444</v>
      </c>
      <c r="AL95" s="229"/>
      <c r="AM95" s="52">
        <f t="shared" si="4"/>
        <v>1</v>
      </c>
      <c r="AN95" s="52">
        <f t="shared" si="5"/>
        <v>0</v>
      </c>
      <c r="AO95" s="52">
        <f t="shared" si="6"/>
        <v>1</v>
      </c>
      <c r="AP95" s="229"/>
      <c r="AQ95" s="52">
        <v>900000</v>
      </c>
      <c r="AR95" s="52">
        <v>0.72899999999999998</v>
      </c>
      <c r="AS95" s="52">
        <v>0.27100000000000002</v>
      </c>
      <c r="AT95" s="52">
        <v>0.72899999999999998</v>
      </c>
      <c r="AU95" s="229"/>
      <c r="AV95" s="318">
        <f t="shared" si="15"/>
        <v>225678.19225805002</v>
      </c>
      <c r="AW95" s="229"/>
      <c r="AX95" s="312"/>
      <c r="AY95" s="14"/>
      <c r="AZ95" s="14">
        <f t="shared" si="17"/>
        <v>3200.3488937518414</v>
      </c>
      <c r="BA95" s="14">
        <f t="shared" si="16"/>
        <v>3.2738470644399609E-2</v>
      </c>
      <c r="BB95" s="14">
        <f t="shared" si="2"/>
        <v>97754.990711495178</v>
      </c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35"/>
      <c r="CM95" s="135"/>
      <c r="CN95" s="135"/>
      <c r="CO95" s="135"/>
      <c r="CP95" s="14"/>
      <c r="CQ95" s="14"/>
      <c r="CR95" s="14"/>
      <c r="CS95" s="3"/>
      <c r="CT95" s="3"/>
      <c r="CU95" s="3"/>
      <c r="CV95" s="3"/>
      <c r="CW95" s="3"/>
    </row>
    <row r="96" spans="1:101" ht="14.25" customHeight="1" x14ac:dyDescent="0.2">
      <c r="A96" s="286"/>
      <c r="B96" s="52">
        <v>0.14625782210290247</v>
      </c>
      <c r="C96" s="288">
        <v>0.49687014372868166</v>
      </c>
      <c r="D96" s="288">
        <v>1.6349186071909383E-2</v>
      </c>
      <c r="E96" s="288">
        <v>1.6422000416527416E-2</v>
      </c>
      <c r="F96" s="289">
        <v>0.79982472760177503</v>
      </c>
      <c r="G96" s="92">
        <v>0.3880059876479558</v>
      </c>
      <c r="H96" s="288">
        <v>0.75890411900951738</v>
      </c>
      <c r="I96" s="288">
        <v>1.1665383168957745E-2</v>
      </c>
      <c r="J96" s="288">
        <v>0.99999683678560691</v>
      </c>
      <c r="K96" s="288">
        <v>0.7600624655914292</v>
      </c>
      <c r="L96" s="290">
        <v>8467.3523977188306</v>
      </c>
      <c r="M96" s="288">
        <v>0</v>
      </c>
      <c r="N96" s="288">
        <v>14822.286310377667</v>
      </c>
      <c r="O96" s="288">
        <v>1634.1758802872519</v>
      </c>
      <c r="P96" s="288">
        <v>28918.981291883312</v>
      </c>
      <c r="Q96" s="291">
        <v>127661.4797265988</v>
      </c>
      <c r="R96" s="288">
        <v>34332.783982782159</v>
      </c>
      <c r="S96" s="288">
        <v>8044.5381706575008</v>
      </c>
      <c r="T96" s="290">
        <v>0.751</v>
      </c>
      <c r="U96" s="288">
        <v>0.75800000000000001</v>
      </c>
      <c r="V96" s="288">
        <v>0.723923076923077</v>
      </c>
      <c r="W96" s="288">
        <v>0.72750000000000004</v>
      </c>
      <c r="X96" s="288">
        <v>0.76</v>
      </c>
      <c r="Y96" s="288">
        <v>0</v>
      </c>
      <c r="Z96" s="289">
        <v>0</v>
      </c>
      <c r="AA96" s="229"/>
      <c r="AB96" s="52">
        <v>75221.837437772585</v>
      </c>
      <c r="AC96" s="288">
        <v>3.2346553224741448</v>
      </c>
      <c r="AD96" s="288">
        <v>72448.298133713892</v>
      </c>
      <c r="AE96" s="288">
        <v>3.054638719776074</v>
      </c>
      <c r="AF96" s="288">
        <v>2773.5393040586932</v>
      </c>
      <c r="AG96" s="289">
        <v>0.18001660269807074</v>
      </c>
      <c r="AH96" s="229"/>
      <c r="AI96" s="205">
        <f t="shared" si="12"/>
        <v>248243.69480964186</v>
      </c>
      <c r="AJ96" s="205">
        <f t="shared" si="13"/>
        <v>233015.57384389354</v>
      </c>
      <c r="AK96" s="205">
        <f t="shared" si="14"/>
        <v>15228.120965748381</v>
      </c>
      <c r="AL96" s="229"/>
      <c r="AM96" s="52">
        <f t="shared" si="4"/>
        <v>1</v>
      </c>
      <c r="AN96" s="52">
        <f t="shared" si="5"/>
        <v>0</v>
      </c>
      <c r="AO96" s="52">
        <f t="shared" si="6"/>
        <v>1</v>
      </c>
      <c r="AP96" s="229"/>
      <c r="AQ96" s="52">
        <v>950000</v>
      </c>
      <c r="AR96" s="52">
        <v>0.73099999999999998</v>
      </c>
      <c r="AS96" s="52">
        <v>0.26900000000000002</v>
      </c>
      <c r="AT96" s="52">
        <v>0.73099999999999998</v>
      </c>
      <c r="AU96" s="229"/>
      <c r="AV96" s="318">
        <f t="shared" si="15"/>
        <v>248243.69480964186</v>
      </c>
      <c r="AW96" s="229"/>
      <c r="AX96" s="312"/>
      <c r="AY96" s="14"/>
      <c r="AZ96" s="14">
        <f t="shared" si="17"/>
        <v>2773.5393040586932</v>
      </c>
      <c r="BA96" s="14">
        <f t="shared" si="16"/>
        <v>0.18001660269807074</v>
      </c>
      <c r="BB96" s="14">
        <f t="shared" si="2"/>
        <v>15407.130578453127</v>
      </c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35"/>
      <c r="CM96" s="135"/>
      <c r="CN96" s="135"/>
      <c r="CO96" s="135"/>
      <c r="CP96" s="14"/>
      <c r="CQ96" s="14"/>
      <c r="CR96" s="14"/>
      <c r="CS96" s="3"/>
      <c r="CT96" s="3"/>
      <c r="CU96" s="3"/>
      <c r="CV96" s="3"/>
      <c r="CW96" s="3"/>
    </row>
    <row r="97" spans="1:101" ht="14.25" customHeight="1" x14ac:dyDescent="0.2">
      <c r="A97" s="286"/>
      <c r="B97" s="52">
        <v>0.15858239305641511</v>
      </c>
      <c r="C97" s="288">
        <v>0.56648789860631821</v>
      </c>
      <c r="D97" s="288">
        <v>1.4435206050938842E-2</v>
      </c>
      <c r="E97" s="288">
        <v>1.7196891186071261E-2</v>
      </c>
      <c r="F97" s="289">
        <v>0.76822207657801878</v>
      </c>
      <c r="G97" s="92">
        <v>0.38245098108289571</v>
      </c>
      <c r="H97" s="288">
        <v>0.14321364161250907</v>
      </c>
      <c r="I97" s="288">
        <v>3.6946905299154675E-2</v>
      </c>
      <c r="J97" s="288">
        <v>0.99919296579108352</v>
      </c>
      <c r="K97" s="288">
        <v>0.78197960877751349</v>
      </c>
      <c r="L97" s="290">
        <v>14122.071341451325</v>
      </c>
      <c r="M97" s="288">
        <v>0</v>
      </c>
      <c r="N97" s="288">
        <v>21618.600504382535</v>
      </c>
      <c r="O97" s="288">
        <v>1056.0297494739266</v>
      </c>
      <c r="P97" s="288">
        <v>46845.60435661627</v>
      </c>
      <c r="Q97" s="291">
        <v>143458.79278601974</v>
      </c>
      <c r="R97" s="288">
        <v>20162.457931611574</v>
      </c>
      <c r="S97" s="288">
        <v>9554.2469076913894</v>
      </c>
      <c r="T97" s="290">
        <v>0.751</v>
      </c>
      <c r="U97" s="288">
        <v>0.75800000000000001</v>
      </c>
      <c r="V97" s="288">
        <v>0.723923076923077</v>
      </c>
      <c r="W97" s="288">
        <v>0.72750000000000004</v>
      </c>
      <c r="X97" s="288">
        <v>0.76</v>
      </c>
      <c r="Y97" s="288">
        <v>0</v>
      </c>
      <c r="Z97" s="289">
        <v>0</v>
      </c>
      <c r="AA97" s="229"/>
      <c r="AB97" s="52">
        <v>89112.562333206966</v>
      </c>
      <c r="AC97" s="288">
        <v>3.0878078097170469</v>
      </c>
      <c r="AD97" s="288">
        <v>79122.252592439414</v>
      </c>
      <c r="AE97" s="288">
        <v>3.1562296937501513</v>
      </c>
      <c r="AF97" s="288">
        <v>9990.3097407675523</v>
      </c>
      <c r="AG97" s="289">
        <v>-6.8421884033104341E-2</v>
      </c>
      <c r="AH97" s="229"/>
      <c r="AI97" s="205">
        <f t="shared" si="12"/>
        <v>219668.21863849772</v>
      </c>
      <c r="AJ97" s="205">
        <f t="shared" si="13"/>
        <v>236500.71678257571</v>
      </c>
      <c r="AK97" s="205">
        <f t="shared" si="14"/>
        <v>-16832.498144077988</v>
      </c>
      <c r="AL97" s="229"/>
      <c r="AM97" s="52">
        <f t="shared" si="4"/>
        <v>0</v>
      </c>
      <c r="AN97" s="52">
        <f t="shared" si="5"/>
        <v>1</v>
      </c>
      <c r="AO97" s="52">
        <f t="shared" si="6"/>
        <v>0</v>
      </c>
      <c r="AP97" s="229"/>
      <c r="AQ97" s="3"/>
      <c r="AR97" s="52"/>
      <c r="AS97" s="52"/>
      <c r="AT97" s="52"/>
      <c r="AU97" s="229"/>
      <c r="AV97" s="318">
        <f t="shared" si="15"/>
        <v>236500.71678257571</v>
      </c>
      <c r="AW97" s="229"/>
      <c r="AX97" s="312"/>
      <c r="AY97" s="14"/>
      <c r="AZ97" s="14">
        <f t="shared" si="17"/>
        <v>9990.3097407675523</v>
      </c>
      <c r="BA97" s="14">
        <f t="shared" si="16"/>
        <v>-6.8421884033104341E-2</v>
      </c>
      <c r="BB97" s="14">
        <f t="shared" si="2"/>
        <v>-146010.4450782731</v>
      </c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35"/>
      <c r="CM97" s="135"/>
      <c r="CN97" s="135"/>
      <c r="CO97" s="135"/>
      <c r="CP97" s="14"/>
      <c r="CQ97" s="14"/>
      <c r="CR97" s="14"/>
      <c r="CS97" s="3"/>
      <c r="CT97" s="3"/>
      <c r="CU97" s="3"/>
      <c r="CV97" s="3"/>
      <c r="CW97" s="3"/>
    </row>
    <row r="98" spans="1:101" ht="14.25" customHeight="1" x14ac:dyDescent="0.2">
      <c r="A98" s="286"/>
      <c r="B98" s="52">
        <v>0.13856387312194729</v>
      </c>
      <c r="C98" s="288">
        <v>0.64801105972272088</v>
      </c>
      <c r="D98" s="288">
        <v>1.298782831758144E-2</v>
      </c>
      <c r="E98" s="288">
        <v>8.6470911067262849E-3</v>
      </c>
      <c r="F98" s="289">
        <v>0.82315883180556382</v>
      </c>
      <c r="G98" s="92">
        <v>0.41133453286279709</v>
      </c>
      <c r="H98" s="288">
        <v>0.24379030604825178</v>
      </c>
      <c r="I98" s="288">
        <v>1.0736567798330656E-2</v>
      </c>
      <c r="J98" s="288">
        <v>0.83682410707773569</v>
      </c>
      <c r="K98" s="288">
        <v>0.76448274934251714</v>
      </c>
      <c r="L98" s="290">
        <v>10418.707693437787</v>
      </c>
      <c r="M98" s="288">
        <v>0</v>
      </c>
      <c r="N98" s="288">
        <v>20929.24419922517</v>
      </c>
      <c r="O98" s="288">
        <v>1376.0685690768885</v>
      </c>
      <c r="P98" s="288">
        <v>49561.582238904317</v>
      </c>
      <c r="Q98" s="291">
        <v>91621.401345948878</v>
      </c>
      <c r="R98" s="288">
        <v>23848.240387374757</v>
      </c>
      <c r="S98" s="288">
        <v>9407.6937320910511</v>
      </c>
      <c r="T98" s="290">
        <v>0.751</v>
      </c>
      <c r="U98" s="288">
        <v>0.75800000000000001</v>
      </c>
      <c r="V98" s="288">
        <v>0.723923076923077</v>
      </c>
      <c r="W98" s="288">
        <v>0.72750000000000004</v>
      </c>
      <c r="X98" s="288">
        <v>0.76</v>
      </c>
      <c r="Y98" s="288">
        <v>0</v>
      </c>
      <c r="Z98" s="289">
        <v>0</v>
      </c>
      <c r="AA98" s="229"/>
      <c r="AB98" s="52">
        <v>89600.278971285268</v>
      </c>
      <c r="AC98" s="288">
        <v>3.3440868463342523</v>
      </c>
      <c r="AD98" s="288">
        <v>75380.770438224194</v>
      </c>
      <c r="AE98" s="288">
        <v>3.0750667920158494</v>
      </c>
      <c r="AF98" s="288">
        <v>14219.508533061075</v>
      </c>
      <c r="AG98" s="289">
        <v>0.26902005431840292</v>
      </c>
      <c r="AH98" s="229"/>
      <c r="AI98" s="205">
        <f t="shared" si="12"/>
        <v>244808.40566213999</v>
      </c>
      <c r="AJ98" s="205">
        <f t="shared" si="13"/>
        <v>232125.90876336076</v>
      </c>
      <c r="AK98" s="205">
        <f t="shared" si="14"/>
        <v>12682.496898779216</v>
      </c>
      <c r="AL98" s="229"/>
      <c r="AM98" s="52">
        <f t="shared" si="4"/>
        <v>1</v>
      </c>
      <c r="AN98" s="52">
        <f t="shared" si="5"/>
        <v>0</v>
      </c>
      <c r="AO98" s="52">
        <f t="shared" si="6"/>
        <v>1</v>
      </c>
      <c r="AP98" s="229"/>
      <c r="AQ98" s="3"/>
      <c r="AR98" s="52"/>
      <c r="AS98" s="52"/>
      <c r="AT98" s="52"/>
      <c r="AU98" s="229"/>
      <c r="AV98" s="318">
        <f t="shared" si="15"/>
        <v>244808.40566213999</v>
      </c>
      <c r="AW98" s="229"/>
      <c r="AX98" s="312"/>
      <c r="AY98" s="14"/>
      <c r="AZ98" s="14">
        <f t="shared" si="17"/>
        <v>14219.508533061075</v>
      </c>
      <c r="BA98" s="14">
        <f t="shared" si="16"/>
        <v>0.26902005431840292</v>
      </c>
      <c r="BB98" s="14">
        <f t="shared" si="2"/>
        <v>52856.685978627269</v>
      </c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35"/>
      <c r="CM98" s="135"/>
      <c r="CN98" s="135"/>
      <c r="CO98" s="135"/>
      <c r="CP98" s="14"/>
      <c r="CQ98" s="14"/>
      <c r="CR98" s="14"/>
      <c r="CS98" s="3"/>
      <c r="CT98" s="3"/>
      <c r="CU98" s="3"/>
      <c r="CV98" s="3"/>
      <c r="CW98" s="3"/>
    </row>
    <row r="99" spans="1:101" ht="14.25" customHeight="1" x14ac:dyDescent="0.2">
      <c r="A99" s="286"/>
      <c r="B99" s="52">
        <v>0.13979934818989523</v>
      </c>
      <c r="C99" s="288">
        <v>7.9236423154024405E-2</v>
      </c>
      <c r="D99" s="288">
        <v>2.2858102545898595E-2</v>
      </c>
      <c r="E99" s="288">
        <v>1.5071682051349566E-2</v>
      </c>
      <c r="F99" s="289">
        <v>0.77895601304415329</v>
      </c>
      <c r="G99" s="92">
        <v>0.40191656923441788</v>
      </c>
      <c r="H99" s="288">
        <v>0.81328865219515145</v>
      </c>
      <c r="I99" s="288">
        <v>1.3808825710881888E-2</v>
      </c>
      <c r="J99" s="288">
        <v>0.99996887548674518</v>
      </c>
      <c r="K99" s="288">
        <v>0.68229277793580712</v>
      </c>
      <c r="L99" s="290">
        <v>10947.874142204941</v>
      </c>
      <c r="M99" s="288">
        <v>0</v>
      </c>
      <c r="N99" s="288">
        <v>20964.977676900147</v>
      </c>
      <c r="O99" s="288">
        <v>1281.9158458657207</v>
      </c>
      <c r="P99" s="288">
        <v>61818.590546039413</v>
      </c>
      <c r="Q99" s="291">
        <v>78282.828565159565</v>
      </c>
      <c r="R99" s="288">
        <v>19899.045483032027</v>
      </c>
      <c r="S99" s="288">
        <v>6956.2455125904198</v>
      </c>
      <c r="T99" s="290">
        <v>0.751</v>
      </c>
      <c r="U99" s="288">
        <v>0.75800000000000001</v>
      </c>
      <c r="V99" s="288">
        <v>0.723923076923077</v>
      </c>
      <c r="W99" s="288">
        <v>0.72750000000000004</v>
      </c>
      <c r="X99" s="288">
        <v>0.76</v>
      </c>
      <c r="Y99" s="288">
        <v>0</v>
      </c>
      <c r="Z99" s="289">
        <v>0</v>
      </c>
      <c r="AA99" s="229"/>
      <c r="AB99" s="52">
        <v>65258.271387492656</v>
      </c>
      <c r="AC99" s="288">
        <v>3.1375093390094371</v>
      </c>
      <c r="AD99" s="288">
        <v>55159.449063395041</v>
      </c>
      <c r="AE99" s="288">
        <v>2.7002684501015555</v>
      </c>
      <c r="AF99" s="288">
        <v>10098.822324097615</v>
      </c>
      <c r="AG99" s="289">
        <v>0.4372408889078816</v>
      </c>
      <c r="AH99" s="229"/>
      <c r="AI99" s="205">
        <f t="shared" si="12"/>
        <v>248492.66251345107</v>
      </c>
      <c r="AJ99" s="205">
        <f t="shared" si="13"/>
        <v>214867.39594676049</v>
      </c>
      <c r="AK99" s="205">
        <f t="shared" si="14"/>
        <v>33625.266566690545</v>
      </c>
      <c r="AL99" s="229"/>
      <c r="AM99" s="52">
        <f t="shared" si="4"/>
        <v>1</v>
      </c>
      <c r="AN99" s="52">
        <f t="shared" si="5"/>
        <v>0</v>
      </c>
      <c r="AO99" s="52">
        <f t="shared" si="6"/>
        <v>1</v>
      </c>
      <c r="AP99" s="229"/>
      <c r="AQ99" s="3"/>
      <c r="AR99" s="3"/>
      <c r="AS99" s="3"/>
      <c r="AT99" s="3"/>
      <c r="AU99" s="229"/>
      <c r="AV99" s="318">
        <f t="shared" si="15"/>
        <v>248492.66251345107</v>
      </c>
      <c r="AW99" s="229"/>
      <c r="AX99" s="312"/>
      <c r="AY99" s="14"/>
      <c r="AZ99" s="14">
        <f t="shared" si="17"/>
        <v>10098.822324097615</v>
      </c>
      <c r="BA99" s="14">
        <f t="shared" si="16"/>
        <v>0.4372408889078816</v>
      </c>
      <c r="BB99" s="14">
        <f t="shared" si="2"/>
        <v>23096.701567234362</v>
      </c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35"/>
      <c r="CM99" s="135"/>
      <c r="CN99" s="135"/>
      <c r="CO99" s="135"/>
      <c r="CP99" s="14"/>
      <c r="CQ99" s="14"/>
      <c r="CR99" s="14"/>
      <c r="CS99" s="3"/>
      <c r="CT99" s="3"/>
      <c r="CU99" s="3"/>
      <c r="CV99" s="3"/>
      <c r="CW99" s="3"/>
    </row>
    <row r="100" spans="1:101" ht="14.25" customHeight="1" x14ac:dyDescent="0.2">
      <c r="A100" s="286"/>
      <c r="B100" s="52">
        <v>0.17125256040581283</v>
      </c>
      <c r="C100" s="288">
        <v>0.44002891242115494</v>
      </c>
      <c r="D100" s="288">
        <v>2.4123994047046571E-2</v>
      </c>
      <c r="E100" s="288">
        <v>1.2219795965160747E-2</v>
      </c>
      <c r="F100" s="289">
        <v>0.80809626225412456</v>
      </c>
      <c r="G100" s="92">
        <v>0.3760596878586786</v>
      </c>
      <c r="H100" s="288">
        <v>0.64403611750567735</v>
      </c>
      <c r="I100" s="288">
        <v>2.7007685524673253E-2</v>
      </c>
      <c r="J100" s="288">
        <v>0.99999999999993439</v>
      </c>
      <c r="K100" s="288">
        <v>0.69286151984096411</v>
      </c>
      <c r="L100" s="290">
        <v>11083.430070537695</v>
      </c>
      <c r="M100" s="288">
        <v>0</v>
      </c>
      <c r="N100" s="288">
        <v>13331.117979158156</v>
      </c>
      <c r="O100" s="288">
        <v>1339.336993190911</v>
      </c>
      <c r="P100" s="288">
        <v>38354.245441204039</v>
      </c>
      <c r="Q100" s="291">
        <v>108365.2780661197</v>
      </c>
      <c r="R100" s="288">
        <v>21112.561758555432</v>
      </c>
      <c r="S100" s="288">
        <v>8557.5579446264292</v>
      </c>
      <c r="T100" s="290">
        <v>0.751</v>
      </c>
      <c r="U100" s="288">
        <v>0.75800000000000001</v>
      </c>
      <c r="V100" s="288">
        <v>0.723923076923077</v>
      </c>
      <c r="W100" s="288">
        <v>0.72750000000000004</v>
      </c>
      <c r="X100" s="288">
        <v>0.76</v>
      </c>
      <c r="Y100" s="288">
        <v>0</v>
      </c>
      <c r="Z100" s="289">
        <v>0</v>
      </c>
      <c r="AA100" s="229"/>
      <c r="AB100" s="52">
        <v>81831.632124949218</v>
      </c>
      <c r="AC100" s="288">
        <v>3.273349186825171</v>
      </c>
      <c r="AD100" s="288">
        <v>66322.167530344072</v>
      </c>
      <c r="AE100" s="288">
        <v>2.7478668972618805</v>
      </c>
      <c r="AF100" s="288">
        <v>15509.464594605146</v>
      </c>
      <c r="AG100" s="289">
        <v>0.52548228956329046</v>
      </c>
      <c r="AH100" s="229"/>
      <c r="AI100" s="205">
        <f t="shared" si="12"/>
        <v>245503.28655756786</v>
      </c>
      <c r="AJ100" s="205">
        <f t="shared" si="13"/>
        <v>208464.52219584395</v>
      </c>
      <c r="AK100" s="205">
        <f t="shared" si="14"/>
        <v>37038.764361723901</v>
      </c>
      <c r="AL100" s="229"/>
      <c r="AM100" s="52">
        <f t="shared" si="4"/>
        <v>1</v>
      </c>
      <c r="AN100" s="52">
        <f t="shared" si="5"/>
        <v>0</v>
      </c>
      <c r="AO100" s="52">
        <f t="shared" si="6"/>
        <v>1</v>
      </c>
      <c r="AP100" s="229"/>
      <c r="AQ100" s="3"/>
      <c r="AR100" s="3"/>
      <c r="AS100" s="3"/>
      <c r="AT100" s="3"/>
      <c r="AU100" s="229"/>
      <c r="AV100" s="318">
        <f t="shared" si="15"/>
        <v>245503.28655756786</v>
      </c>
      <c r="AW100" s="229"/>
      <c r="AX100" s="312"/>
      <c r="AY100" s="14"/>
      <c r="AZ100" s="14">
        <f t="shared" si="17"/>
        <v>15509.464594605146</v>
      </c>
      <c r="BA100" s="14">
        <f t="shared" si="16"/>
        <v>0.52548228956329046</v>
      </c>
      <c r="BB100" s="14">
        <f t="shared" si="2"/>
        <v>29514.72371693917</v>
      </c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35"/>
      <c r="BW100" s="135"/>
      <c r="BX100" s="135"/>
      <c r="BY100" s="135"/>
      <c r="BZ100" s="135"/>
      <c r="CA100" s="135"/>
      <c r="CB100" s="135"/>
      <c r="CC100" s="135"/>
      <c r="CD100" s="135"/>
      <c r="CE100" s="135"/>
      <c r="CF100" s="135"/>
      <c r="CG100" s="135"/>
      <c r="CH100" s="135"/>
      <c r="CI100" s="135"/>
      <c r="CJ100" s="135"/>
      <c r="CK100" s="135"/>
      <c r="CL100" s="135"/>
      <c r="CM100" s="135"/>
      <c r="CN100" s="135"/>
      <c r="CO100" s="135"/>
      <c r="CP100" s="14"/>
      <c r="CQ100" s="14"/>
      <c r="CR100" s="14"/>
      <c r="CS100" s="3"/>
      <c r="CT100" s="3"/>
      <c r="CU100" s="3"/>
      <c r="CV100" s="3"/>
      <c r="CW100" s="3"/>
    </row>
    <row r="101" spans="1:101" ht="14.25" customHeight="1" x14ac:dyDescent="0.2">
      <c r="A101" s="286"/>
      <c r="B101" s="52">
        <v>0.18750861636428362</v>
      </c>
      <c r="C101" s="288">
        <v>1.0730729465677888E-2</v>
      </c>
      <c r="D101" s="288">
        <v>2.2201360423140137E-2</v>
      </c>
      <c r="E101" s="288">
        <v>3.8587625323481922E-2</v>
      </c>
      <c r="F101" s="289">
        <v>0.80076340802311485</v>
      </c>
      <c r="G101" s="92">
        <v>0.40425719093149126</v>
      </c>
      <c r="H101" s="288">
        <v>0.57282648844522277</v>
      </c>
      <c r="I101" s="288">
        <v>1.4073208452457584E-2</v>
      </c>
      <c r="J101" s="288">
        <v>0.99999999955702989</v>
      </c>
      <c r="K101" s="288">
        <v>0.72066917140729292</v>
      </c>
      <c r="L101" s="290">
        <v>14258.428826863168</v>
      </c>
      <c r="M101" s="288">
        <v>0</v>
      </c>
      <c r="N101" s="288">
        <v>22136.022467572169</v>
      </c>
      <c r="O101" s="288">
        <v>1161.8564730249484</v>
      </c>
      <c r="P101" s="288">
        <v>44421.442425169567</v>
      </c>
      <c r="Q101" s="291">
        <v>51847.891798015771</v>
      </c>
      <c r="R101" s="288">
        <v>27817.20254269991</v>
      </c>
      <c r="S101" s="288">
        <v>8288.375024509267</v>
      </c>
      <c r="T101" s="290">
        <v>0.751</v>
      </c>
      <c r="U101" s="288">
        <v>0.75800000000000001</v>
      </c>
      <c r="V101" s="288">
        <v>0.723923076923077</v>
      </c>
      <c r="W101" s="288">
        <v>0.72750000000000004</v>
      </c>
      <c r="X101" s="288">
        <v>0.76</v>
      </c>
      <c r="Y101" s="288">
        <v>0</v>
      </c>
      <c r="Z101" s="289">
        <v>0</v>
      </c>
      <c r="AA101" s="229"/>
      <c r="AB101" s="52">
        <v>80480.531374269369</v>
      </c>
      <c r="AC101" s="288">
        <v>3.2390410288021765</v>
      </c>
      <c r="AD101" s="288">
        <v>67057.767604016582</v>
      </c>
      <c r="AE101" s="288">
        <v>2.8739452821911193</v>
      </c>
      <c r="AF101" s="288">
        <v>13422.763770252786</v>
      </c>
      <c r="AG101" s="289">
        <v>0.36509574661105715</v>
      </c>
      <c r="AH101" s="229"/>
      <c r="AI101" s="205">
        <f t="shared" si="12"/>
        <v>243423.57150594829</v>
      </c>
      <c r="AJ101" s="205">
        <f t="shared" si="13"/>
        <v>220336.76061509538</v>
      </c>
      <c r="AK101" s="205">
        <f t="shared" si="14"/>
        <v>23086.810890852932</v>
      </c>
      <c r="AL101" s="229"/>
      <c r="AM101" s="52">
        <f t="shared" si="4"/>
        <v>1</v>
      </c>
      <c r="AN101" s="52">
        <f t="shared" si="5"/>
        <v>0</v>
      </c>
      <c r="AO101" s="52">
        <f t="shared" si="6"/>
        <v>1</v>
      </c>
      <c r="AP101" s="229"/>
      <c r="AQ101" s="3"/>
      <c r="AR101" s="3"/>
      <c r="AS101" s="3"/>
      <c r="AT101" s="3"/>
      <c r="AU101" s="229"/>
      <c r="AV101" s="318">
        <f t="shared" si="15"/>
        <v>243423.57150594829</v>
      </c>
      <c r="AW101" s="229"/>
      <c r="AX101" s="312"/>
      <c r="AY101" s="14"/>
      <c r="AZ101" s="14">
        <f t="shared" si="17"/>
        <v>13422.763770252786</v>
      </c>
      <c r="BA101" s="14">
        <f t="shared" si="16"/>
        <v>0.36509574661105715</v>
      </c>
      <c r="BB101" s="14">
        <f t="shared" si="2"/>
        <v>36765.051071800874</v>
      </c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35"/>
      <c r="BW101" s="135"/>
      <c r="BX101" s="135"/>
      <c r="BY101" s="135"/>
      <c r="BZ101" s="135"/>
      <c r="CA101" s="135"/>
      <c r="CB101" s="135"/>
      <c r="CC101" s="135"/>
      <c r="CD101" s="135"/>
      <c r="CE101" s="135"/>
      <c r="CF101" s="135"/>
      <c r="CG101" s="135"/>
      <c r="CH101" s="135"/>
      <c r="CI101" s="135"/>
      <c r="CJ101" s="135"/>
      <c r="CK101" s="135"/>
      <c r="CL101" s="135"/>
      <c r="CM101" s="135"/>
      <c r="CN101" s="135"/>
      <c r="CO101" s="135"/>
      <c r="CP101" s="14"/>
      <c r="CQ101" s="14"/>
      <c r="CR101" s="14"/>
      <c r="CS101" s="3"/>
      <c r="CT101" s="3"/>
      <c r="CU101" s="3"/>
      <c r="CV101" s="3"/>
      <c r="CW101" s="3"/>
    </row>
    <row r="102" spans="1:101" ht="14.25" customHeight="1" x14ac:dyDescent="0.2">
      <c r="A102" s="286"/>
      <c r="B102" s="52">
        <v>0.16023409289791168</v>
      </c>
      <c r="C102" s="288">
        <v>2.6856839686519595E-2</v>
      </c>
      <c r="D102" s="288">
        <v>1.1255011110272713E-2</v>
      </c>
      <c r="E102" s="288">
        <v>1.8175649357444978E-2</v>
      </c>
      <c r="F102" s="289">
        <v>0.81081873862937437</v>
      </c>
      <c r="G102" s="92">
        <v>0.38764840082633739</v>
      </c>
      <c r="H102" s="288">
        <v>0.52497001122208875</v>
      </c>
      <c r="I102" s="288">
        <v>2.5094804043778443E-3</v>
      </c>
      <c r="J102" s="288">
        <v>0.99999996223490006</v>
      </c>
      <c r="K102" s="288">
        <v>0.74747710978992588</v>
      </c>
      <c r="L102" s="290">
        <v>13995.590400362025</v>
      </c>
      <c r="M102" s="288">
        <v>0</v>
      </c>
      <c r="N102" s="288">
        <v>25549.094019906293</v>
      </c>
      <c r="O102" s="288">
        <v>1071.488362807627</v>
      </c>
      <c r="P102" s="288">
        <v>78171.744360042008</v>
      </c>
      <c r="Q102" s="291">
        <v>104703.17085831946</v>
      </c>
      <c r="R102" s="288">
        <v>22426.258937972132</v>
      </c>
      <c r="S102" s="288">
        <v>8536.5027150553615</v>
      </c>
      <c r="T102" s="290">
        <v>0.751</v>
      </c>
      <c r="U102" s="288">
        <v>0.75800000000000001</v>
      </c>
      <c r="V102" s="288">
        <v>0.723923076923077</v>
      </c>
      <c r="W102" s="288">
        <v>0.72750000000000004</v>
      </c>
      <c r="X102" s="288">
        <v>0.76</v>
      </c>
      <c r="Y102" s="288">
        <v>0</v>
      </c>
      <c r="Z102" s="289">
        <v>0</v>
      </c>
      <c r="AA102" s="229"/>
      <c r="AB102" s="52">
        <v>82995.241897420216</v>
      </c>
      <c r="AC102" s="288">
        <v>3.2861082812992475</v>
      </c>
      <c r="AD102" s="288">
        <v>68797.911738699826</v>
      </c>
      <c r="AE102" s="288">
        <v>2.9966449402694977</v>
      </c>
      <c r="AF102" s="288">
        <v>14197.33015872039</v>
      </c>
      <c r="AG102" s="289">
        <v>0.2894633410297498</v>
      </c>
      <c r="AH102" s="229"/>
      <c r="AI102" s="205">
        <f t="shared" si="12"/>
        <v>245615.58623250457</v>
      </c>
      <c r="AJ102" s="205">
        <f t="shared" si="13"/>
        <v>230866.58228824992</v>
      </c>
      <c r="AK102" s="205">
        <f t="shared" si="14"/>
        <v>14749.003944254589</v>
      </c>
      <c r="AL102" s="229"/>
      <c r="AM102" s="52">
        <f t="shared" si="4"/>
        <v>1</v>
      </c>
      <c r="AN102" s="52">
        <f t="shared" si="5"/>
        <v>0</v>
      </c>
      <c r="AO102" s="52">
        <f t="shared" si="6"/>
        <v>1</v>
      </c>
      <c r="AP102" s="229"/>
      <c r="AQ102" s="3"/>
      <c r="AR102" s="3"/>
      <c r="AS102" s="3"/>
      <c r="AT102" s="3"/>
      <c r="AU102" s="229"/>
      <c r="AV102" s="318">
        <f t="shared" si="15"/>
        <v>245615.58623250457</v>
      </c>
      <c r="AW102" s="229"/>
      <c r="AX102" s="312"/>
      <c r="AY102" s="14"/>
      <c r="AZ102" s="14">
        <f t="shared" si="17"/>
        <v>14197.33015872039</v>
      </c>
      <c r="BA102" s="14">
        <f t="shared" si="16"/>
        <v>0.2894633410297498</v>
      </c>
      <c r="BB102" s="14">
        <f t="shared" si="2"/>
        <v>49047.074866938849</v>
      </c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35"/>
      <c r="BW102" s="135"/>
      <c r="BX102" s="135"/>
      <c r="BY102" s="135"/>
      <c r="BZ102" s="135"/>
      <c r="CA102" s="135"/>
      <c r="CB102" s="135"/>
      <c r="CC102" s="135"/>
      <c r="CD102" s="135"/>
      <c r="CE102" s="135"/>
      <c r="CF102" s="135"/>
      <c r="CG102" s="135"/>
      <c r="CH102" s="135"/>
      <c r="CI102" s="135"/>
      <c r="CJ102" s="135"/>
      <c r="CK102" s="135"/>
      <c r="CL102" s="135"/>
      <c r="CM102" s="135"/>
      <c r="CN102" s="135"/>
      <c r="CO102" s="135"/>
      <c r="CP102" s="14"/>
      <c r="CQ102" s="14"/>
      <c r="CR102" s="14"/>
      <c r="CS102" s="3"/>
      <c r="CT102" s="3"/>
      <c r="CU102" s="3"/>
      <c r="CV102" s="3"/>
      <c r="CW102" s="3"/>
    </row>
    <row r="103" spans="1:101" ht="14.25" customHeight="1" x14ac:dyDescent="0.2">
      <c r="A103" s="286"/>
      <c r="B103" s="52">
        <v>0.19642787735038336</v>
      </c>
      <c r="C103" s="288">
        <v>0.19049248867743757</v>
      </c>
      <c r="D103" s="288">
        <v>1.4822402924460576E-2</v>
      </c>
      <c r="E103" s="288">
        <v>2.0528085946257213E-2</v>
      </c>
      <c r="F103" s="289">
        <v>0.79761637486952652</v>
      </c>
      <c r="G103" s="92">
        <v>0.33766530080312174</v>
      </c>
      <c r="H103" s="288">
        <v>0.24810968982782428</v>
      </c>
      <c r="I103" s="288">
        <v>2.7709906691038857E-3</v>
      </c>
      <c r="J103" s="288">
        <v>0.99999999993309685</v>
      </c>
      <c r="K103" s="288">
        <v>0.77529338915389445</v>
      </c>
      <c r="L103" s="290">
        <v>14362.450409912688</v>
      </c>
      <c r="M103" s="288">
        <v>0</v>
      </c>
      <c r="N103" s="288">
        <v>21906.200277995529</v>
      </c>
      <c r="O103" s="288">
        <v>1379.5281994074253</v>
      </c>
      <c r="P103" s="288">
        <v>35099.411990365079</v>
      </c>
      <c r="Q103" s="291">
        <v>97090.189033324437</v>
      </c>
      <c r="R103" s="288">
        <v>23855.373371617676</v>
      </c>
      <c r="S103" s="288">
        <v>12243.164689607513</v>
      </c>
      <c r="T103" s="290">
        <v>0.751</v>
      </c>
      <c r="U103" s="288">
        <v>0.75800000000000001</v>
      </c>
      <c r="V103" s="288">
        <v>0.723923076923077</v>
      </c>
      <c r="W103" s="288">
        <v>0.72750000000000004</v>
      </c>
      <c r="X103" s="288">
        <v>0.76</v>
      </c>
      <c r="Y103" s="288">
        <v>0</v>
      </c>
      <c r="Z103" s="289">
        <v>0</v>
      </c>
      <c r="AA103" s="229"/>
      <c r="AB103" s="52">
        <v>112511.40976454575</v>
      </c>
      <c r="AC103" s="288">
        <v>3.2243428985685481</v>
      </c>
      <c r="AD103" s="288">
        <v>97257.619252911405</v>
      </c>
      <c r="AE103" s="288">
        <v>3.1251572752629242</v>
      </c>
      <c r="AF103" s="288">
        <v>15253.790511634346</v>
      </c>
      <c r="AG103" s="289">
        <v>9.918562330562386E-2</v>
      </c>
      <c r="AH103" s="229"/>
      <c r="AI103" s="205">
        <f t="shared" si="12"/>
        <v>209922.88009230909</v>
      </c>
      <c r="AJ103" s="205">
        <f t="shared" si="13"/>
        <v>215258.10827338102</v>
      </c>
      <c r="AK103" s="205">
        <f t="shared" si="14"/>
        <v>-5335.2281810719596</v>
      </c>
      <c r="AL103" s="229"/>
      <c r="AM103" s="52">
        <f t="shared" si="4"/>
        <v>0</v>
      </c>
      <c r="AN103" s="52">
        <f t="shared" si="5"/>
        <v>1</v>
      </c>
      <c r="AO103" s="52">
        <f t="shared" si="6"/>
        <v>0</v>
      </c>
      <c r="AP103" s="229"/>
      <c r="AQ103" s="3"/>
      <c r="AR103" s="3"/>
      <c r="AS103" s="3"/>
      <c r="AT103" s="3"/>
      <c r="AU103" s="229"/>
      <c r="AV103" s="318">
        <f t="shared" si="15"/>
        <v>215258.10827338102</v>
      </c>
      <c r="AW103" s="229"/>
      <c r="AX103" s="312"/>
      <c r="AY103" s="14"/>
      <c r="AZ103" s="14">
        <f t="shared" si="17"/>
        <v>15253.790511634346</v>
      </c>
      <c r="BA103" s="14">
        <f t="shared" si="16"/>
        <v>9.918562330562386E-2</v>
      </c>
      <c r="BB103" s="14">
        <f t="shared" si="2"/>
        <v>153790.33778547068</v>
      </c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35"/>
      <c r="BW103" s="135"/>
      <c r="BX103" s="135"/>
      <c r="BY103" s="135"/>
      <c r="BZ103" s="135"/>
      <c r="CA103" s="135"/>
      <c r="CB103" s="135"/>
      <c r="CC103" s="135"/>
      <c r="CD103" s="135"/>
      <c r="CE103" s="135"/>
      <c r="CF103" s="135"/>
      <c r="CG103" s="135"/>
      <c r="CH103" s="135"/>
      <c r="CI103" s="135"/>
      <c r="CJ103" s="135"/>
      <c r="CK103" s="135"/>
      <c r="CL103" s="135"/>
      <c r="CM103" s="135"/>
      <c r="CN103" s="135"/>
      <c r="CO103" s="135"/>
      <c r="CP103" s="14"/>
      <c r="CQ103" s="14"/>
      <c r="CR103" s="14"/>
      <c r="CS103" s="3"/>
      <c r="CT103" s="3"/>
      <c r="CU103" s="3"/>
      <c r="CV103" s="3"/>
      <c r="CW103" s="3"/>
    </row>
    <row r="104" spans="1:101" ht="14.25" customHeight="1" x14ac:dyDescent="0.2">
      <c r="A104" s="286"/>
      <c r="B104" s="52">
        <v>0.18885167300772543</v>
      </c>
      <c r="C104" s="288">
        <v>0.55625662518549002</v>
      </c>
      <c r="D104" s="288">
        <v>1.4008750613055013E-2</v>
      </c>
      <c r="E104" s="288">
        <v>2.1997231586211252E-2</v>
      </c>
      <c r="F104" s="289">
        <v>0.79105392347981973</v>
      </c>
      <c r="G104" s="92">
        <v>0.42624017764716604</v>
      </c>
      <c r="H104" s="288">
        <v>0.86997897315120731</v>
      </c>
      <c r="I104" s="288">
        <v>1.4799018418851178E-2</v>
      </c>
      <c r="J104" s="288">
        <v>0.9999965932460515</v>
      </c>
      <c r="K104" s="288">
        <v>0.78982931382309407</v>
      </c>
      <c r="L104" s="290">
        <v>11891.676846886081</v>
      </c>
      <c r="M104" s="288">
        <v>0</v>
      </c>
      <c r="N104" s="288">
        <v>24234.77762558062</v>
      </c>
      <c r="O104" s="288">
        <v>1412.8893385554181</v>
      </c>
      <c r="P104" s="288">
        <v>39674.135716694131</v>
      </c>
      <c r="Q104" s="291">
        <v>107849.66964975024</v>
      </c>
      <c r="R104" s="288">
        <v>32307.786599754927</v>
      </c>
      <c r="S104" s="288">
        <v>9340.5499016188696</v>
      </c>
      <c r="T104" s="290">
        <v>0.751</v>
      </c>
      <c r="U104" s="288">
        <v>0.75800000000000001</v>
      </c>
      <c r="V104" s="288">
        <v>0.723923076923077</v>
      </c>
      <c r="W104" s="288">
        <v>0.72750000000000004</v>
      </c>
      <c r="X104" s="288">
        <v>0.76</v>
      </c>
      <c r="Y104" s="288">
        <v>0</v>
      </c>
      <c r="Z104" s="289">
        <v>0</v>
      </c>
      <c r="AA104" s="229"/>
      <c r="AB104" s="52">
        <v>89008.267051702423</v>
      </c>
      <c r="AC104" s="288">
        <v>3.1937431239450014</v>
      </c>
      <c r="AD104" s="288">
        <v>87166.583191733633</v>
      </c>
      <c r="AE104" s="288">
        <v>3.1927990269457012</v>
      </c>
      <c r="AF104" s="288">
        <v>1841.6838599687908</v>
      </c>
      <c r="AG104" s="289">
        <v>9.4409699930020352E-4</v>
      </c>
      <c r="AH104" s="229"/>
      <c r="AI104" s="205">
        <f t="shared" si="12"/>
        <v>230366.0453427977</v>
      </c>
      <c r="AJ104" s="205">
        <f t="shared" si="13"/>
        <v>232113.3195028365</v>
      </c>
      <c r="AK104" s="205">
        <f t="shared" si="14"/>
        <v>-1747.2741600387703</v>
      </c>
      <c r="AL104" s="229"/>
      <c r="AM104" s="52">
        <f t="shared" si="4"/>
        <v>0</v>
      </c>
      <c r="AN104" s="52">
        <f t="shared" si="5"/>
        <v>1</v>
      </c>
      <c r="AO104" s="52">
        <f t="shared" si="6"/>
        <v>0</v>
      </c>
      <c r="AP104" s="229"/>
      <c r="AQ104" s="3"/>
      <c r="AR104" s="3"/>
      <c r="AS104" s="3"/>
      <c r="AT104" s="3"/>
      <c r="AU104" s="229"/>
      <c r="AV104" s="318">
        <f t="shared" si="15"/>
        <v>232113.3195028365</v>
      </c>
      <c r="AW104" s="229"/>
      <c r="AX104" s="312"/>
      <c r="AY104" s="14"/>
      <c r="AZ104" s="14">
        <f t="shared" si="17"/>
        <v>1841.6838599687908</v>
      </c>
      <c r="BA104" s="14">
        <f t="shared" si="16"/>
        <v>9.4409699930020352E-4</v>
      </c>
      <c r="BB104" s="14">
        <f t="shared" si="2"/>
        <v>1950735.847411769</v>
      </c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35"/>
      <c r="BW104" s="135"/>
      <c r="BX104" s="135"/>
      <c r="BY104" s="135"/>
      <c r="BZ104" s="135"/>
      <c r="CA104" s="135"/>
      <c r="CB104" s="135"/>
      <c r="CC104" s="135"/>
      <c r="CD104" s="135"/>
      <c r="CE104" s="135"/>
      <c r="CF104" s="135"/>
      <c r="CG104" s="135"/>
      <c r="CH104" s="135"/>
      <c r="CI104" s="135"/>
      <c r="CJ104" s="135"/>
      <c r="CK104" s="135"/>
      <c r="CL104" s="135"/>
      <c r="CM104" s="135"/>
      <c r="CN104" s="135"/>
      <c r="CO104" s="135"/>
      <c r="CP104" s="14"/>
      <c r="CQ104" s="14"/>
      <c r="CR104" s="14"/>
      <c r="CS104" s="3"/>
      <c r="CT104" s="3"/>
      <c r="CU104" s="3"/>
      <c r="CV104" s="3"/>
      <c r="CW104" s="3"/>
    </row>
    <row r="105" spans="1:101" ht="14.25" customHeight="1" x14ac:dyDescent="0.2">
      <c r="A105" s="286"/>
      <c r="B105" s="52">
        <v>0.16409330517467402</v>
      </c>
      <c r="C105" s="288">
        <v>0.44449377409086477</v>
      </c>
      <c r="D105" s="288">
        <v>1.4050612839619918E-2</v>
      </c>
      <c r="E105" s="288">
        <v>2.7707136686998757E-2</v>
      </c>
      <c r="F105" s="289">
        <v>0.74417986962733151</v>
      </c>
      <c r="G105" s="92">
        <v>0.41498482634655076</v>
      </c>
      <c r="H105" s="288">
        <v>0.90184608735066241</v>
      </c>
      <c r="I105" s="288">
        <v>1.6627995678746177E-2</v>
      </c>
      <c r="J105" s="288">
        <v>0.99887283677350736</v>
      </c>
      <c r="K105" s="288">
        <v>0.76997385061503731</v>
      </c>
      <c r="L105" s="290">
        <v>13758.395212200645</v>
      </c>
      <c r="M105" s="288">
        <v>0</v>
      </c>
      <c r="N105" s="288">
        <v>16927.749557459851</v>
      </c>
      <c r="O105" s="288">
        <v>1504.8995261582609</v>
      </c>
      <c r="P105" s="288">
        <v>56056.38059435699</v>
      </c>
      <c r="Q105" s="291">
        <v>63590.697788927631</v>
      </c>
      <c r="R105" s="288">
        <v>22211.200615584428</v>
      </c>
      <c r="S105" s="288">
        <v>13532.33672902024</v>
      </c>
      <c r="T105" s="290">
        <v>0.751</v>
      </c>
      <c r="U105" s="288">
        <v>0.75800000000000001</v>
      </c>
      <c r="V105" s="288">
        <v>0.723923076923077</v>
      </c>
      <c r="W105" s="288">
        <v>0.72750000000000004</v>
      </c>
      <c r="X105" s="288">
        <v>0.76</v>
      </c>
      <c r="Y105" s="288">
        <v>0</v>
      </c>
      <c r="Z105" s="289">
        <v>0</v>
      </c>
      <c r="AA105" s="229"/>
      <c r="AB105" s="52">
        <v>115497.56201805275</v>
      </c>
      <c r="AC105" s="288">
        <v>2.9771404760617299</v>
      </c>
      <c r="AD105" s="288">
        <v>113707.82215196209</v>
      </c>
      <c r="AE105" s="288">
        <v>3.1004864754825325</v>
      </c>
      <c r="AF105" s="288">
        <v>1789.739866090662</v>
      </c>
      <c r="AG105" s="289">
        <v>-0.1233459994208026</v>
      </c>
      <c r="AH105" s="229"/>
      <c r="AI105" s="205">
        <f t="shared" si="12"/>
        <v>182216.48558812024</v>
      </c>
      <c r="AJ105" s="205">
        <f t="shared" si="13"/>
        <v>196340.82539629115</v>
      </c>
      <c r="AK105" s="205">
        <f t="shared" si="14"/>
        <v>-14124.339808170922</v>
      </c>
      <c r="AL105" s="229"/>
      <c r="AM105" s="52">
        <f t="shared" si="4"/>
        <v>0</v>
      </c>
      <c r="AN105" s="52">
        <f t="shared" si="5"/>
        <v>1</v>
      </c>
      <c r="AO105" s="52">
        <f t="shared" si="6"/>
        <v>0</v>
      </c>
      <c r="AP105" s="229"/>
      <c r="AQ105" s="3"/>
      <c r="AR105" s="3"/>
      <c r="AS105" s="3"/>
      <c r="AT105" s="3"/>
      <c r="AU105" s="229"/>
      <c r="AV105" s="318">
        <f t="shared" si="15"/>
        <v>196340.82539629115</v>
      </c>
      <c r="AW105" s="229"/>
      <c r="AX105" s="312"/>
      <c r="AY105" s="14"/>
      <c r="AZ105" s="14">
        <f t="shared" si="17"/>
        <v>1789.739866090662</v>
      </c>
      <c r="BA105" s="14">
        <f t="shared" si="16"/>
        <v>-0.1233459994208026</v>
      </c>
      <c r="BB105" s="14">
        <f t="shared" si="2"/>
        <v>-14509.914180393094</v>
      </c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35"/>
      <c r="BW105" s="135"/>
      <c r="BX105" s="135"/>
      <c r="BY105" s="135"/>
      <c r="BZ105" s="135"/>
      <c r="CA105" s="135"/>
      <c r="CB105" s="135"/>
      <c r="CC105" s="135"/>
      <c r="CD105" s="135"/>
      <c r="CE105" s="135"/>
      <c r="CF105" s="135"/>
      <c r="CG105" s="135"/>
      <c r="CH105" s="135"/>
      <c r="CI105" s="135"/>
      <c r="CJ105" s="135"/>
      <c r="CK105" s="135"/>
      <c r="CL105" s="135"/>
      <c r="CM105" s="135"/>
      <c r="CN105" s="135"/>
      <c r="CO105" s="135"/>
      <c r="CP105" s="14"/>
      <c r="CQ105" s="14"/>
      <c r="CR105" s="14"/>
      <c r="CS105" s="3"/>
      <c r="CT105" s="3"/>
      <c r="CU105" s="3"/>
      <c r="CV105" s="3"/>
      <c r="CW105" s="3"/>
    </row>
    <row r="106" spans="1:101" ht="14.25" customHeight="1" x14ac:dyDescent="0.2">
      <c r="A106" s="286"/>
      <c r="B106" s="52">
        <v>0.19007640786368463</v>
      </c>
      <c r="C106" s="288">
        <v>0.30498713335869509</v>
      </c>
      <c r="D106" s="288">
        <v>1.8067441702178444E-2</v>
      </c>
      <c r="E106" s="288">
        <v>1.1187051225916985E-2</v>
      </c>
      <c r="F106" s="289">
        <v>0.78032703221983335</v>
      </c>
      <c r="G106" s="92">
        <v>0.31790777986387297</v>
      </c>
      <c r="H106" s="288">
        <v>0.86361265865329684</v>
      </c>
      <c r="I106" s="288">
        <v>3.6139431969424041E-2</v>
      </c>
      <c r="J106" s="288">
        <v>0.99941631092513028</v>
      </c>
      <c r="K106" s="288">
        <v>0.71895120711551175</v>
      </c>
      <c r="L106" s="290">
        <v>13532.997585243083</v>
      </c>
      <c r="M106" s="288">
        <v>0</v>
      </c>
      <c r="N106" s="288">
        <v>29532.450461977311</v>
      </c>
      <c r="O106" s="288">
        <v>1156.0071122614893</v>
      </c>
      <c r="P106" s="288">
        <v>45280.866859623253</v>
      </c>
      <c r="Q106" s="291">
        <v>90785.145352730455</v>
      </c>
      <c r="R106" s="288">
        <v>19193.27479618066</v>
      </c>
      <c r="S106" s="288">
        <v>9237.6080409319748</v>
      </c>
      <c r="T106" s="290">
        <v>0.751</v>
      </c>
      <c r="U106" s="288">
        <v>0.75800000000000001</v>
      </c>
      <c r="V106" s="288">
        <v>0.723923076923077</v>
      </c>
      <c r="W106" s="288">
        <v>0.72750000000000004</v>
      </c>
      <c r="X106" s="288">
        <v>0.76</v>
      </c>
      <c r="Y106" s="288">
        <v>0</v>
      </c>
      <c r="Z106" s="289">
        <v>0</v>
      </c>
      <c r="AA106" s="229"/>
      <c r="AB106" s="52">
        <v>86559.219058509581</v>
      </c>
      <c r="AC106" s="288">
        <v>3.143870608019681</v>
      </c>
      <c r="AD106" s="288">
        <v>73640.790286154021</v>
      </c>
      <c r="AE106" s="288">
        <v>2.8661208005421619</v>
      </c>
      <c r="AF106" s="288">
        <v>12918.428772355561</v>
      </c>
      <c r="AG106" s="289">
        <v>0.2777498074775191</v>
      </c>
      <c r="AH106" s="229"/>
      <c r="AI106" s="205">
        <f t="shared" si="12"/>
        <v>227827.84174345853</v>
      </c>
      <c r="AJ106" s="205">
        <f t="shared" si="13"/>
        <v>212971.28976806218</v>
      </c>
      <c r="AK106" s="205">
        <f t="shared" si="14"/>
        <v>14856.551975396349</v>
      </c>
      <c r="AL106" s="229"/>
      <c r="AM106" s="52">
        <f t="shared" si="4"/>
        <v>1</v>
      </c>
      <c r="AN106" s="52">
        <f t="shared" si="5"/>
        <v>0</v>
      </c>
      <c r="AO106" s="52">
        <f t="shared" si="6"/>
        <v>1</v>
      </c>
      <c r="AP106" s="229"/>
      <c r="AQ106" s="3"/>
      <c r="AR106" s="3"/>
      <c r="AS106" s="3"/>
      <c r="AT106" s="3"/>
      <c r="AU106" s="229"/>
      <c r="AV106" s="318">
        <f t="shared" si="15"/>
        <v>227827.84174345853</v>
      </c>
      <c r="AW106" s="229"/>
      <c r="AX106" s="312"/>
      <c r="AY106" s="14"/>
      <c r="AZ106" s="14">
        <f t="shared" si="17"/>
        <v>12918.428772355561</v>
      </c>
      <c r="BA106" s="14">
        <f t="shared" si="16"/>
        <v>0.2777498074775191</v>
      </c>
      <c r="BB106" s="14">
        <f t="shared" si="2"/>
        <v>46511.026919077776</v>
      </c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35"/>
      <c r="BW106" s="135"/>
      <c r="BX106" s="135"/>
      <c r="BY106" s="135"/>
      <c r="BZ106" s="135"/>
      <c r="CA106" s="135"/>
      <c r="CB106" s="135"/>
      <c r="CC106" s="135"/>
      <c r="CD106" s="135"/>
      <c r="CE106" s="135"/>
      <c r="CF106" s="135"/>
      <c r="CG106" s="135"/>
      <c r="CH106" s="135"/>
      <c r="CI106" s="135"/>
      <c r="CJ106" s="135"/>
      <c r="CK106" s="135"/>
      <c r="CL106" s="135"/>
      <c r="CM106" s="135"/>
      <c r="CN106" s="135"/>
      <c r="CO106" s="135"/>
      <c r="CP106" s="14"/>
      <c r="CQ106" s="14"/>
      <c r="CR106" s="14"/>
      <c r="CS106" s="3"/>
      <c r="CT106" s="3"/>
      <c r="CU106" s="3"/>
      <c r="CV106" s="3"/>
      <c r="CW106" s="3"/>
    </row>
    <row r="107" spans="1:101" ht="14.25" customHeight="1" x14ac:dyDescent="0.2">
      <c r="A107" s="286"/>
      <c r="B107" s="52">
        <v>0.12518195011481556</v>
      </c>
      <c r="C107" s="288">
        <v>0.62324424881991902</v>
      </c>
      <c r="D107" s="288">
        <v>1.3632071022057201E-2</v>
      </c>
      <c r="E107" s="288">
        <v>1.6537694698926853E-2</v>
      </c>
      <c r="F107" s="289">
        <v>0.77468038659038529</v>
      </c>
      <c r="G107" s="92">
        <v>0.39755154683604949</v>
      </c>
      <c r="H107" s="288">
        <v>0.14939029267584131</v>
      </c>
      <c r="I107" s="288">
        <v>4.6324689877119352E-2</v>
      </c>
      <c r="J107" s="288">
        <v>0.99873589298140208</v>
      </c>
      <c r="K107" s="288">
        <v>0.77499613724861416</v>
      </c>
      <c r="L107" s="290">
        <v>8898.9256308893837</v>
      </c>
      <c r="M107" s="288">
        <v>0</v>
      </c>
      <c r="N107" s="288">
        <v>17114.038043444274</v>
      </c>
      <c r="O107" s="288">
        <v>1404.344132759147</v>
      </c>
      <c r="P107" s="288">
        <v>39109.771632557502</v>
      </c>
      <c r="Q107" s="291">
        <v>92347.34530219897</v>
      </c>
      <c r="R107" s="288">
        <v>23230.925512733822</v>
      </c>
      <c r="S107" s="288">
        <v>10829.080975247211</v>
      </c>
      <c r="T107" s="290">
        <v>0.751</v>
      </c>
      <c r="U107" s="288">
        <v>0.75800000000000001</v>
      </c>
      <c r="V107" s="288">
        <v>0.723923076923077</v>
      </c>
      <c r="W107" s="288">
        <v>0.72750000000000004</v>
      </c>
      <c r="X107" s="288">
        <v>0.76</v>
      </c>
      <c r="Y107" s="288">
        <v>0</v>
      </c>
      <c r="Z107" s="289">
        <v>0</v>
      </c>
      <c r="AA107" s="229"/>
      <c r="AB107" s="52">
        <v>94117.386011208102</v>
      </c>
      <c r="AC107" s="288">
        <v>3.1176901770906058</v>
      </c>
      <c r="AD107" s="288">
        <v>88561.714535460982</v>
      </c>
      <c r="AE107" s="288">
        <v>3.1237775125174436</v>
      </c>
      <c r="AF107" s="288">
        <v>5555.67147574712</v>
      </c>
      <c r="AG107" s="289">
        <v>-6.0873354268378144E-3</v>
      </c>
      <c r="AH107" s="229"/>
      <c r="AI107" s="205">
        <f t="shared" si="12"/>
        <v>217651.63169785246</v>
      </c>
      <c r="AJ107" s="205">
        <f t="shared" si="13"/>
        <v>223816.03671628336</v>
      </c>
      <c r="AK107" s="205">
        <f t="shared" si="14"/>
        <v>-6164.4050184309017</v>
      </c>
      <c r="AL107" s="229"/>
      <c r="AM107" s="52">
        <f t="shared" si="4"/>
        <v>0</v>
      </c>
      <c r="AN107" s="52">
        <f t="shared" si="5"/>
        <v>1</v>
      </c>
      <c r="AO107" s="52">
        <f t="shared" si="6"/>
        <v>0</v>
      </c>
      <c r="AP107" s="229"/>
      <c r="AQ107" s="3"/>
      <c r="AR107" s="3"/>
      <c r="AS107" s="3"/>
      <c r="AT107" s="3"/>
      <c r="AU107" s="229"/>
      <c r="AV107" s="318">
        <f t="shared" si="15"/>
        <v>223816.03671628336</v>
      </c>
      <c r="AW107" s="229"/>
      <c r="AX107" s="312"/>
      <c r="AY107" s="14"/>
      <c r="AZ107" s="14">
        <f t="shared" si="17"/>
        <v>5555.67147574712</v>
      </c>
      <c r="BA107" s="14">
        <f t="shared" si="16"/>
        <v>-6.0873354268378144E-3</v>
      </c>
      <c r="BB107" s="14">
        <f t="shared" si="2"/>
        <v>-912660.64479596494</v>
      </c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35"/>
      <c r="BW107" s="135"/>
      <c r="BX107" s="135"/>
      <c r="BY107" s="135"/>
      <c r="BZ107" s="135"/>
      <c r="CA107" s="135"/>
      <c r="CB107" s="135"/>
      <c r="CC107" s="135"/>
      <c r="CD107" s="135"/>
      <c r="CE107" s="135"/>
      <c r="CF107" s="135"/>
      <c r="CG107" s="135"/>
      <c r="CH107" s="135"/>
      <c r="CI107" s="135"/>
      <c r="CJ107" s="135"/>
      <c r="CK107" s="135"/>
      <c r="CL107" s="135"/>
      <c r="CM107" s="135"/>
      <c r="CN107" s="135"/>
      <c r="CO107" s="135"/>
      <c r="CP107" s="14"/>
      <c r="CQ107" s="14"/>
      <c r="CR107" s="14"/>
      <c r="CS107" s="3"/>
      <c r="CT107" s="3"/>
      <c r="CU107" s="3"/>
      <c r="CV107" s="3"/>
      <c r="CW107" s="3"/>
    </row>
    <row r="108" spans="1:101" ht="14.25" customHeight="1" x14ac:dyDescent="0.2">
      <c r="A108" s="286"/>
      <c r="B108" s="52">
        <v>0.15265623333066997</v>
      </c>
      <c r="C108" s="288">
        <v>0.22424526827749039</v>
      </c>
      <c r="D108" s="288">
        <v>1.034790039986541E-2</v>
      </c>
      <c r="E108" s="288">
        <v>2.0125789791613835E-2</v>
      </c>
      <c r="F108" s="289">
        <v>0.77648585609120602</v>
      </c>
      <c r="G108" s="92">
        <v>0.35001786326330742</v>
      </c>
      <c r="H108" s="288">
        <v>0.36366646071100817</v>
      </c>
      <c r="I108" s="288">
        <v>1.8094731696642774E-2</v>
      </c>
      <c r="J108" s="288">
        <v>0.97776933595166571</v>
      </c>
      <c r="K108" s="288">
        <v>0.69800344411779613</v>
      </c>
      <c r="L108" s="290">
        <v>11685.72175070075</v>
      </c>
      <c r="M108" s="288">
        <v>0</v>
      </c>
      <c r="N108" s="288">
        <v>17850.608113845981</v>
      </c>
      <c r="O108" s="288">
        <v>1014.2622781707086</v>
      </c>
      <c r="P108" s="288">
        <v>57497.950550991096</v>
      </c>
      <c r="Q108" s="291">
        <v>101412.41414535727</v>
      </c>
      <c r="R108" s="288">
        <v>21467.502136002553</v>
      </c>
      <c r="S108" s="288">
        <v>12112.247187173254</v>
      </c>
      <c r="T108" s="290">
        <v>0.751</v>
      </c>
      <c r="U108" s="288">
        <v>0.75800000000000001</v>
      </c>
      <c r="V108" s="288">
        <v>0.723923076923077</v>
      </c>
      <c r="W108" s="288">
        <v>0.72750000000000004</v>
      </c>
      <c r="X108" s="288">
        <v>0.76</v>
      </c>
      <c r="Y108" s="288">
        <v>0</v>
      </c>
      <c r="Z108" s="289">
        <v>0</v>
      </c>
      <c r="AA108" s="229"/>
      <c r="AB108" s="52">
        <v>105868.91810040965</v>
      </c>
      <c r="AC108" s="288">
        <v>3.126055720330454</v>
      </c>
      <c r="AD108" s="288">
        <v>88480.880500713043</v>
      </c>
      <c r="AE108" s="288">
        <v>2.7710882508371988</v>
      </c>
      <c r="AF108" s="288">
        <v>17388.037599696603</v>
      </c>
      <c r="AG108" s="289">
        <v>0.35496746949325519</v>
      </c>
      <c r="AH108" s="229"/>
      <c r="AI108" s="205">
        <f t="shared" si="12"/>
        <v>206736.65393263576</v>
      </c>
      <c r="AJ108" s="205">
        <f t="shared" si="13"/>
        <v>188627.94458300681</v>
      </c>
      <c r="AK108" s="205">
        <f t="shared" si="14"/>
        <v>18108.709349628916</v>
      </c>
      <c r="AL108" s="229"/>
      <c r="AM108" s="52">
        <f t="shared" si="4"/>
        <v>1</v>
      </c>
      <c r="AN108" s="52">
        <f t="shared" si="5"/>
        <v>0</v>
      </c>
      <c r="AO108" s="52">
        <f t="shared" si="6"/>
        <v>1</v>
      </c>
      <c r="AP108" s="229"/>
      <c r="AQ108" s="3"/>
      <c r="AR108" s="3"/>
      <c r="AS108" s="3"/>
      <c r="AT108" s="3"/>
      <c r="AU108" s="229"/>
      <c r="AV108" s="318">
        <f t="shared" si="15"/>
        <v>206736.65393263576</v>
      </c>
      <c r="AW108" s="229"/>
      <c r="AX108" s="312"/>
      <c r="AY108" s="14"/>
      <c r="AZ108" s="14">
        <f t="shared" si="17"/>
        <v>17388.037599696603</v>
      </c>
      <c r="BA108" s="14">
        <f t="shared" si="16"/>
        <v>0.35496746949325519</v>
      </c>
      <c r="BB108" s="14">
        <f t="shared" si="2"/>
        <v>48984.876345202661</v>
      </c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35"/>
      <c r="BW108" s="135"/>
      <c r="BX108" s="135"/>
      <c r="BY108" s="135"/>
      <c r="BZ108" s="135"/>
      <c r="CA108" s="135"/>
      <c r="CB108" s="135"/>
      <c r="CC108" s="135"/>
      <c r="CD108" s="135"/>
      <c r="CE108" s="135"/>
      <c r="CF108" s="135"/>
      <c r="CG108" s="135"/>
      <c r="CH108" s="135"/>
      <c r="CI108" s="135"/>
      <c r="CJ108" s="135"/>
      <c r="CK108" s="135"/>
      <c r="CL108" s="135"/>
      <c r="CM108" s="135"/>
      <c r="CN108" s="135"/>
      <c r="CO108" s="135"/>
      <c r="CP108" s="14"/>
      <c r="CQ108" s="14"/>
      <c r="CR108" s="14"/>
      <c r="CS108" s="3"/>
      <c r="CT108" s="3"/>
      <c r="CU108" s="3"/>
      <c r="CV108" s="3"/>
      <c r="CW108" s="3"/>
    </row>
    <row r="109" spans="1:101" ht="14.25" customHeight="1" x14ac:dyDescent="0.2">
      <c r="A109" s="286"/>
      <c r="B109" s="52">
        <v>0.12708551711808075</v>
      </c>
      <c r="C109" s="288">
        <v>0.44312491757783701</v>
      </c>
      <c r="D109" s="288">
        <v>3.2569531465757362E-2</v>
      </c>
      <c r="E109" s="288">
        <v>9.5134587583506399E-3</v>
      </c>
      <c r="F109" s="289">
        <v>0.79997793644363113</v>
      </c>
      <c r="G109" s="92">
        <v>0.48111072028366442</v>
      </c>
      <c r="H109" s="288">
        <v>0.21220352306193729</v>
      </c>
      <c r="I109" s="288">
        <v>2.7191082051263527E-2</v>
      </c>
      <c r="J109" s="288">
        <v>0.99999999935337613</v>
      </c>
      <c r="K109" s="288">
        <v>0.76564827938173163</v>
      </c>
      <c r="L109" s="290">
        <v>12707.392432697663</v>
      </c>
      <c r="M109" s="288">
        <v>0</v>
      </c>
      <c r="N109" s="288">
        <v>18252.63952698146</v>
      </c>
      <c r="O109" s="288">
        <v>1213.7683022377562</v>
      </c>
      <c r="P109" s="288">
        <v>36785.781396123093</v>
      </c>
      <c r="Q109" s="291">
        <v>87591.49177473913</v>
      </c>
      <c r="R109" s="288">
        <v>19906.733043050921</v>
      </c>
      <c r="S109" s="288">
        <v>9645.0706527141319</v>
      </c>
      <c r="T109" s="290">
        <v>0.751</v>
      </c>
      <c r="U109" s="288">
        <v>0.75800000000000001</v>
      </c>
      <c r="V109" s="288">
        <v>0.723923076923077</v>
      </c>
      <c r="W109" s="288">
        <v>0.72750000000000004</v>
      </c>
      <c r="X109" s="288">
        <v>0.76</v>
      </c>
      <c r="Y109" s="288">
        <v>0</v>
      </c>
      <c r="Z109" s="289">
        <v>0</v>
      </c>
      <c r="AA109" s="229"/>
      <c r="AB109" s="52">
        <v>90751.895000464399</v>
      </c>
      <c r="AC109" s="288">
        <v>3.2353710510454232</v>
      </c>
      <c r="AD109" s="288">
        <v>78179.495226528903</v>
      </c>
      <c r="AE109" s="288">
        <v>3.0804583491678486</v>
      </c>
      <c r="AF109" s="288">
        <v>12572.399773935496</v>
      </c>
      <c r="AG109" s="289">
        <v>0.15491270187757467</v>
      </c>
      <c r="AH109" s="229"/>
      <c r="AI109" s="205">
        <f t="shared" si="12"/>
        <v>232785.21010407794</v>
      </c>
      <c r="AJ109" s="205">
        <f t="shared" si="13"/>
        <v>229866.33969025593</v>
      </c>
      <c r="AK109" s="205">
        <f t="shared" si="14"/>
        <v>2918.8704138219709</v>
      </c>
      <c r="AL109" s="229"/>
      <c r="AM109" s="52">
        <f t="shared" si="4"/>
        <v>1</v>
      </c>
      <c r="AN109" s="52">
        <f t="shared" si="5"/>
        <v>0</v>
      </c>
      <c r="AO109" s="52">
        <f t="shared" si="6"/>
        <v>1</v>
      </c>
      <c r="AP109" s="229"/>
      <c r="AQ109" s="3"/>
      <c r="AR109" s="3"/>
      <c r="AS109" s="3"/>
      <c r="AT109" s="3"/>
      <c r="AU109" s="229"/>
      <c r="AV109" s="318">
        <f t="shared" si="15"/>
        <v>232785.21010407794</v>
      </c>
      <c r="AW109" s="229"/>
      <c r="AX109" s="312"/>
      <c r="AY109" s="14"/>
      <c r="AZ109" s="14">
        <f t="shared" si="17"/>
        <v>12572.399773935496</v>
      </c>
      <c r="BA109" s="14">
        <f t="shared" si="16"/>
        <v>0.15491270187757467</v>
      </c>
      <c r="BB109" s="14">
        <f t="shared" si="2"/>
        <v>81157.965883722616</v>
      </c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297"/>
      <c r="BW109" s="297"/>
      <c r="BX109" s="297"/>
      <c r="BY109" s="297"/>
      <c r="BZ109" s="297"/>
      <c r="CA109" s="297"/>
      <c r="CB109" s="297"/>
      <c r="CC109" s="297"/>
      <c r="CD109" s="297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3"/>
      <c r="CT109" s="3"/>
      <c r="CU109" s="3"/>
      <c r="CV109" s="3"/>
      <c r="CW109" s="3"/>
    </row>
    <row r="110" spans="1:101" ht="14.25" customHeight="1" x14ac:dyDescent="0.2">
      <c r="A110" s="286"/>
      <c r="B110" s="52">
        <v>0.17378101187814388</v>
      </c>
      <c r="C110" s="288">
        <v>0.49675348809171305</v>
      </c>
      <c r="D110" s="288">
        <v>1.7046596108121426E-2</v>
      </c>
      <c r="E110" s="288">
        <v>1.4193985127850903E-2</v>
      </c>
      <c r="F110" s="289">
        <v>0.78817740794468905</v>
      </c>
      <c r="G110" s="92">
        <v>0.40676418321396735</v>
      </c>
      <c r="H110" s="288">
        <v>0.31294910342147769</v>
      </c>
      <c r="I110" s="288">
        <v>1.6879315434068731E-2</v>
      </c>
      <c r="J110" s="288">
        <v>0.99787897698863059</v>
      </c>
      <c r="K110" s="288">
        <v>0.76060939303222819</v>
      </c>
      <c r="L110" s="290">
        <v>10741.281574156284</v>
      </c>
      <c r="M110" s="288">
        <v>0</v>
      </c>
      <c r="N110" s="288">
        <v>17055.856100323443</v>
      </c>
      <c r="O110" s="288">
        <v>1665.0467346931573</v>
      </c>
      <c r="P110" s="288">
        <v>45310.927885178062</v>
      </c>
      <c r="Q110" s="291">
        <v>134939.85186543642</v>
      </c>
      <c r="R110" s="288">
        <v>26558.130872690985</v>
      </c>
      <c r="S110" s="288">
        <v>7910.4100884818845</v>
      </c>
      <c r="T110" s="290">
        <v>0.751</v>
      </c>
      <c r="U110" s="288">
        <v>0.75800000000000001</v>
      </c>
      <c r="V110" s="288">
        <v>0.723923076923077</v>
      </c>
      <c r="W110" s="288">
        <v>0.72750000000000004</v>
      </c>
      <c r="X110" s="288">
        <v>0.76</v>
      </c>
      <c r="Y110" s="288">
        <v>0</v>
      </c>
      <c r="Z110" s="289">
        <v>0</v>
      </c>
      <c r="AA110" s="229"/>
      <c r="AB110" s="52">
        <v>75464.500977281423</v>
      </c>
      <c r="AC110" s="288">
        <v>3.1803516358060793</v>
      </c>
      <c r="AD110" s="288">
        <v>65441.448070665952</v>
      </c>
      <c r="AE110" s="288">
        <v>3.0571646420463212</v>
      </c>
      <c r="AF110" s="288">
        <v>10023.05290661547</v>
      </c>
      <c r="AG110" s="289">
        <v>0.12318699375975806</v>
      </c>
      <c r="AH110" s="229"/>
      <c r="AI110" s="205">
        <f t="shared" si="12"/>
        <v>242570.66260332649</v>
      </c>
      <c r="AJ110" s="205">
        <f t="shared" si="13"/>
        <v>240275.01613396616</v>
      </c>
      <c r="AK110" s="205">
        <f t="shared" si="14"/>
        <v>2295.6464693603357</v>
      </c>
      <c r="AL110" s="229"/>
      <c r="AM110" s="52">
        <f t="shared" si="4"/>
        <v>1</v>
      </c>
      <c r="AN110" s="52">
        <f t="shared" si="5"/>
        <v>0</v>
      </c>
      <c r="AO110" s="52">
        <f t="shared" si="6"/>
        <v>1</v>
      </c>
      <c r="AP110" s="229"/>
      <c r="AQ110" s="3"/>
      <c r="AR110" s="3"/>
      <c r="AS110" s="3"/>
      <c r="AT110" s="3"/>
      <c r="AU110" s="229"/>
      <c r="AV110" s="318">
        <f t="shared" si="15"/>
        <v>242570.66260332649</v>
      </c>
      <c r="AW110" s="229"/>
      <c r="AX110" s="312"/>
      <c r="AY110" s="14"/>
      <c r="AZ110" s="14">
        <f t="shared" si="17"/>
        <v>10023.05290661547</v>
      </c>
      <c r="BA110" s="14">
        <f t="shared" si="16"/>
        <v>0.12318699375975806</v>
      </c>
      <c r="BB110" s="14">
        <f t="shared" si="2"/>
        <v>81364.53858239812</v>
      </c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297"/>
      <c r="BW110" s="297"/>
      <c r="BX110" s="297"/>
      <c r="BY110" s="297"/>
      <c r="BZ110" s="297"/>
      <c r="CA110" s="297"/>
      <c r="CB110" s="297"/>
      <c r="CC110" s="297"/>
      <c r="CD110" s="297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3"/>
      <c r="CT110" s="3"/>
      <c r="CU110" s="3"/>
      <c r="CV110" s="3"/>
      <c r="CW110" s="3"/>
    </row>
    <row r="111" spans="1:101" ht="14.25" customHeight="1" x14ac:dyDescent="0.2">
      <c r="A111" s="286"/>
      <c r="B111" s="52">
        <v>0.13484474818346381</v>
      </c>
      <c r="C111" s="288">
        <v>0.11503141742421734</v>
      </c>
      <c r="D111" s="288">
        <v>1.7342893388886171E-2</v>
      </c>
      <c r="E111" s="288">
        <v>5.1807689069051088E-3</v>
      </c>
      <c r="F111" s="289">
        <v>0.80681453071002363</v>
      </c>
      <c r="G111" s="92">
        <v>0.37638380849495257</v>
      </c>
      <c r="H111" s="288">
        <v>0.74116745388130445</v>
      </c>
      <c r="I111" s="288">
        <v>1.1865733612827932E-2</v>
      </c>
      <c r="J111" s="288">
        <v>1</v>
      </c>
      <c r="K111" s="288">
        <v>0.78347393538920795</v>
      </c>
      <c r="L111" s="290">
        <v>13515.813967791895</v>
      </c>
      <c r="M111" s="288">
        <v>0</v>
      </c>
      <c r="N111" s="288">
        <v>17988.628250080044</v>
      </c>
      <c r="O111" s="288">
        <v>1487.0675930230541</v>
      </c>
      <c r="P111" s="288">
        <v>42909.949894433739</v>
      </c>
      <c r="Q111" s="291">
        <v>89828.418459899927</v>
      </c>
      <c r="R111" s="288">
        <v>23628.1325504696</v>
      </c>
      <c r="S111" s="288">
        <v>7919.3629475613543</v>
      </c>
      <c r="T111" s="290">
        <v>0.751</v>
      </c>
      <c r="U111" s="288">
        <v>0.75800000000000001</v>
      </c>
      <c r="V111" s="288">
        <v>0.723923076923077</v>
      </c>
      <c r="W111" s="288">
        <v>0.72750000000000004</v>
      </c>
      <c r="X111" s="288">
        <v>0.76</v>
      </c>
      <c r="Y111" s="288">
        <v>0</v>
      </c>
      <c r="Z111" s="289">
        <v>0</v>
      </c>
      <c r="AA111" s="229"/>
      <c r="AB111" s="52">
        <v>77563.882147345605</v>
      </c>
      <c r="AC111" s="288">
        <v>3.2673462785965333</v>
      </c>
      <c r="AD111" s="288">
        <v>69627.768024422592</v>
      </c>
      <c r="AE111" s="288">
        <v>3.1631838116088984</v>
      </c>
      <c r="AF111" s="288">
        <v>7936.1141229230125</v>
      </c>
      <c r="AG111" s="289">
        <v>0.10416246698763487</v>
      </c>
      <c r="AH111" s="229"/>
      <c r="AI111" s="205">
        <f t="shared" si="12"/>
        <v>249170.74571230772</v>
      </c>
      <c r="AJ111" s="205">
        <f t="shared" si="13"/>
        <v>246690.61313646723</v>
      </c>
      <c r="AK111" s="205">
        <f t="shared" si="14"/>
        <v>2480.1325758404746</v>
      </c>
      <c r="AL111" s="229"/>
      <c r="AM111" s="52">
        <f t="shared" si="4"/>
        <v>1</v>
      </c>
      <c r="AN111" s="52">
        <f t="shared" si="5"/>
        <v>0</v>
      </c>
      <c r="AO111" s="52">
        <f t="shared" si="6"/>
        <v>1</v>
      </c>
      <c r="AP111" s="229"/>
      <c r="AQ111" s="3"/>
      <c r="AR111" s="3"/>
      <c r="AS111" s="3"/>
      <c r="AT111" s="3"/>
      <c r="AU111" s="229"/>
      <c r="AV111" s="318">
        <f t="shared" si="15"/>
        <v>249170.74571230772</v>
      </c>
      <c r="AW111" s="229"/>
      <c r="AX111" s="312"/>
      <c r="AY111" s="14"/>
      <c r="AZ111" s="14">
        <f t="shared" si="17"/>
        <v>7936.1141229230125</v>
      </c>
      <c r="BA111" s="14">
        <f t="shared" si="16"/>
        <v>0.10416246698763487</v>
      </c>
      <c r="BB111" s="14">
        <f t="shared" si="2"/>
        <v>76189.767316715996</v>
      </c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297"/>
      <c r="BW111" s="297"/>
      <c r="BX111" s="297"/>
      <c r="BY111" s="297"/>
      <c r="BZ111" s="297"/>
      <c r="CA111" s="297"/>
      <c r="CB111" s="297"/>
      <c r="CC111" s="297"/>
      <c r="CD111" s="297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3"/>
      <c r="CT111" s="3"/>
      <c r="CU111" s="3"/>
      <c r="CV111" s="3"/>
      <c r="CW111" s="3"/>
    </row>
    <row r="112" spans="1:101" ht="14.25" customHeight="1" x14ac:dyDescent="0.2">
      <c r="A112" s="286"/>
      <c r="B112" s="52">
        <v>0.17590504232251436</v>
      </c>
      <c r="C112" s="288">
        <v>0.87333777432033233</v>
      </c>
      <c r="D112" s="288">
        <v>1.3503150844520641E-2</v>
      </c>
      <c r="E112" s="288">
        <v>2.0020626009847109E-2</v>
      </c>
      <c r="F112" s="289">
        <v>0.79011465864300845</v>
      </c>
      <c r="G112" s="92">
        <v>0.4070302368456441</v>
      </c>
      <c r="H112" s="288">
        <v>0.33223158288371485</v>
      </c>
      <c r="I112" s="288">
        <v>1.4857350622541008E-2</v>
      </c>
      <c r="J112" s="288">
        <v>1</v>
      </c>
      <c r="K112" s="288">
        <v>0.77328906610485237</v>
      </c>
      <c r="L112" s="290">
        <v>9271.5298160644361</v>
      </c>
      <c r="M112" s="288">
        <v>0</v>
      </c>
      <c r="N112" s="288">
        <v>22563.727461237791</v>
      </c>
      <c r="O112" s="288">
        <v>1342.1986075206755</v>
      </c>
      <c r="P112" s="288">
        <v>43075.577897751376</v>
      </c>
      <c r="Q112" s="291">
        <v>102963.92034782398</v>
      </c>
      <c r="R112" s="288">
        <v>20401.131814405668</v>
      </c>
      <c r="S112" s="288">
        <v>10091.394754076999</v>
      </c>
      <c r="T112" s="290">
        <v>0.751</v>
      </c>
      <c r="U112" s="288">
        <v>0.75800000000000001</v>
      </c>
      <c r="V112" s="288">
        <v>0.723923076923077</v>
      </c>
      <c r="W112" s="288">
        <v>0.72750000000000004</v>
      </c>
      <c r="X112" s="288">
        <v>0.76</v>
      </c>
      <c r="Y112" s="288">
        <v>0</v>
      </c>
      <c r="Z112" s="289">
        <v>0</v>
      </c>
      <c r="AA112" s="229"/>
      <c r="AB112" s="52">
        <v>91843.909995394817</v>
      </c>
      <c r="AC112" s="288">
        <v>3.1893689919100874</v>
      </c>
      <c r="AD112" s="288">
        <v>82205.09338188378</v>
      </c>
      <c r="AE112" s="288">
        <v>3.11585644772163</v>
      </c>
      <c r="AF112" s="288">
        <v>9638.8166135110368</v>
      </c>
      <c r="AG112" s="289">
        <v>7.3512544188457429E-2</v>
      </c>
      <c r="AH112" s="229"/>
      <c r="AI112" s="205">
        <f t="shared" si="12"/>
        <v>227092.98919561395</v>
      </c>
      <c r="AJ112" s="205">
        <f t="shared" si="13"/>
        <v>229380.55139027923</v>
      </c>
      <c r="AK112" s="205">
        <f t="shared" si="14"/>
        <v>-2287.5621946652936</v>
      </c>
      <c r="AL112" s="229"/>
      <c r="AM112" s="52">
        <f t="shared" si="4"/>
        <v>0</v>
      </c>
      <c r="AN112" s="52">
        <f t="shared" si="5"/>
        <v>1</v>
      </c>
      <c r="AO112" s="52">
        <f t="shared" si="6"/>
        <v>0</v>
      </c>
      <c r="AP112" s="229"/>
      <c r="AQ112" s="3"/>
      <c r="AR112" s="3"/>
      <c r="AS112" s="3"/>
      <c r="AT112" s="3"/>
      <c r="AU112" s="229"/>
      <c r="AV112" s="318">
        <f t="shared" si="15"/>
        <v>229380.55139027923</v>
      </c>
      <c r="AW112" s="229"/>
      <c r="AX112" s="312"/>
      <c r="AY112" s="14"/>
      <c r="AZ112" s="14">
        <f t="shared" si="17"/>
        <v>9638.8166135110368</v>
      </c>
      <c r="BA112" s="14">
        <f t="shared" si="16"/>
        <v>7.3512544188457429E-2</v>
      </c>
      <c r="BB112" s="14">
        <f t="shared" si="2"/>
        <v>131117.98428307526</v>
      </c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297"/>
      <c r="BW112" s="297"/>
      <c r="BX112" s="297"/>
      <c r="BY112" s="297"/>
      <c r="BZ112" s="297"/>
      <c r="CA112" s="297"/>
      <c r="CB112" s="297"/>
      <c r="CC112" s="297"/>
      <c r="CD112" s="297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3"/>
      <c r="CT112" s="3"/>
      <c r="CU112" s="3"/>
      <c r="CV112" s="3"/>
      <c r="CW112" s="3"/>
    </row>
    <row r="113" spans="1:101" ht="14.25" customHeight="1" x14ac:dyDescent="0.2">
      <c r="A113" s="286"/>
      <c r="B113" s="52">
        <v>0.16376162626529078</v>
      </c>
      <c r="C113" s="288">
        <v>6.4349387227207816E-2</v>
      </c>
      <c r="D113" s="288">
        <v>1.0086746533794457E-2</v>
      </c>
      <c r="E113" s="288">
        <v>1.4899307038474974E-2</v>
      </c>
      <c r="F113" s="289">
        <v>0.79452906365288301</v>
      </c>
      <c r="G113" s="92">
        <v>0.36818403906462938</v>
      </c>
      <c r="H113" s="288">
        <v>0.10449105594199293</v>
      </c>
      <c r="I113" s="288">
        <v>1.2836412101576267E-2</v>
      </c>
      <c r="J113" s="288">
        <v>0.999995117982728</v>
      </c>
      <c r="K113" s="288">
        <v>0.80080402484300195</v>
      </c>
      <c r="L113" s="290">
        <v>10024.72423572759</v>
      </c>
      <c r="M113" s="288">
        <v>0</v>
      </c>
      <c r="N113" s="288">
        <v>21391.531514997641</v>
      </c>
      <c r="O113" s="288">
        <v>1536.653674032613</v>
      </c>
      <c r="P113" s="288">
        <v>44160.825650263294</v>
      </c>
      <c r="Q113" s="291">
        <v>117558.71319336332</v>
      </c>
      <c r="R113" s="288">
        <v>23027.20693136915</v>
      </c>
      <c r="S113" s="288">
        <v>7751.8874244199387</v>
      </c>
      <c r="T113" s="290">
        <v>0.751</v>
      </c>
      <c r="U113" s="288">
        <v>0.75800000000000001</v>
      </c>
      <c r="V113" s="288">
        <v>0.723923076923077</v>
      </c>
      <c r="W113" s="288">
        <v>0.72750000000000004</v>
      </c>
      <c r="X113" s="288">
        <v>0.76</v>
      </c>
      <c r="Y113" s="288">
        <v>0</v>
      </c>
      <c r="Z113" s="289">
        <v>0</v>
      </c>
      <c r="AA113" s="229"/>
      <c r="AB113" s="52">
        <v>71703.994606253982</v>
      </c>
      <c r="AC113" s="288">
        <v>3.2099387927124421</v>
      </c>
      <c r="AD113" s="288">
        <v>64213.498649000794</v>
      </c>
      <c r="AE113" s="288">
        <v>3.2440896112948345</v>
      </c>
      <c r="AF113" s="288">
        <v>7490.495957253188</v>
      </c>
      <c r="AG113" s="289">
        <v>-3.4150818582392439E-2</v>
      </c>
      <c r="AH113" s="229"/>
      <c r="AI113" s="205">
        <f t="shared" si="12"/>
        <v>249289.88466499024</v>
      </c>
      <c r="AJ113" s="205">
        <f t="shared" si="13"/>
        <v>260195.46248048267</v>
      </c>
      <c r="AK113" s="205">
        <f t="shared" si="14"/>
        <v>-10905.577815492432</v>
      </c>
      <c r="AL113" s="229"/>
      <c r="AM113" s="52">
        <f t="shared" si="4"/>
        <v>0</v>
      </c>
      <c r="AN113" s="52">
        <f t="shared" si="5"/>
        <v>1</v>
      </c>
      <c r="AO113" s="52">
        <f t="shared" si="6"/>
        <v>0</v>
      </c>
      <c r="AP113" s="229"/>
      <c r="AQ113" s="3"/>
      <c r="AR113" s="3"/>
      <c r="AS113" s="3"/>
      <c r="AT113" s="3"/>
      <c r="AU113" s="229"/>
      <c r="AV113" s="318">
        <f t="shared" si="15"/>
        <v>260195.46248048267</v>
      </c>
      <c r="AW113" s="229"/>
      <c r="AX113" s="312"/>
      <c r="AY113" s="14"/>
      <c r="AZ113" s="14">
        <f t="shared" si="17"/>
        <v>7490.495957253188</v>
      </c>
      <c r="BA113" s="14">
        <f t="shared" si="16"/>
        <v>-3.4150818582392439E-2</v>
      </c>
      <c r="BB113" s="14">
        <f t="shared" si="2"/>
        <v>-219335.76611587155</v>
      </c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297"/>
      <c r="BW113" s="297"/>
      <c r="BX113" s="297"/>
      <c r="BY113" s="297"/>
      <c r="BZ113" s="297"/>
      <c r="CA113" s="297"/>
      <c r="CB113" s="297"/>
      <c r="CC113" s="297"/>
      <c r="CD113" s="297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3"/>
      <c r="CT113" s="3"/>
      <c r="CU113" s="3"/>
      <c r="CV113" s="3"/>
      <c r="CW113" s="3"/>
    </row>
    <row r="114" spans="1:101" ht="14.25" customHeight="1" x14ac:dyDescent="0.2">
      <c r="A114" s="286"/>
      <c r="B114" s="52">
        <v>0.17064943480446082</v>
      </c>
      <c r="C114" s="288">
        <v>1.2207001757136916E-2</v>
      </c>
      <c r="D114" s="288">
        <v>2.126900644690366E-2</v>
      </c>
      <c r="E114" s="288">
        <v>1.2962645633285877E-2</v>
      </c>
      <c r="F114" s="289">
        <v>0.76633548092735726</v>
      </c>
      <c r="G114" s="92">
        <v>0.37265220857272952</v>
      </c>
      <c r="H114" s="288">
        <v>0.84516649996865334</v>
      </c>
      <c r="I114" s="288">
        <v>4.8295556161040039E-3</v>
      </c>
      <c r="J114" s="288">
        <v>0.99999964008441422</v>
      </c>
      <c r="K114" s="288">
        <v>0.79053979585061129</v>
      </c>
      <c r="L114" s="290">
        <v>9539.5672133187509</v>
      </c>
      <c r="M114" s="288">
        <v>0</v>
      </c>
      <c r="N114" s="288">
        <v>18175.805682380716</v>
      </c>
      <c r="O114" s="288">
        <v>1086.8013483922325</v>
      </c>
      <c r="P114" s="288">
        <v>51659.520465896137</v>
      </c>
      <c r="Q114" s="291">
        <v>68957.768447255046</v>
      </c>
      <c r="R114" s="288">
        <v>21948.039134394276</v>
      </c>
      <c r="S114" s="288">
        <v>8093.2638172599172</v>
      </c>
      <c r="T114" s="290">
        <v>0.751</v>
      </c>
      <c r="U114" s="288">
        <v>0.75800000000000001</v>
      </c>
      <c r="V114" s="288">
        <v>0.723923076923077</v>
      </c>
      <c r="W114" s="288">
        <v>0.72750000000000004</v>
      </c>
      <c r="X114" s="288">
        <v>0.76</v>
      </c>
      <c r="Y114" s="288">
        <v>0</v>
      </c>
      <c r="Z114" s="289">
        <v>0</v>
      </c>
      <c r="AA114" s="229"/>
      <c r="AB114" s="52">
        <v>71439.833295904959</v>
      </c>
      <c r="AC114" s="288">
        <v>3.0790909465315068</v>
      </c>
      <c r="AD114" s="288">
        <v>71332.90585913464</v>
      </c>
      <c r="AE114" s="288">
        <v>3.1961137348946624</v>
      </c>
      <c r="AF114" s="288">
        <v>106.92743677031831</v>
      </c>
      <c r="AG114" s="289">
        <v>-0.11702278836315561</v>
      </c>
      <c r="AH114" s="229"/>
      <c r="AI114" s="205">
        <f t="shared" si="12"/>
        <v>236469.26135724573</v>
      </c>
      <c r="AJ114" s="205">
        <f t="shared" si="13"/>
        <v>248278.46763033164</v>
      </c>
      <c r="AK114" s="205">
        <f t="shared" si="14"/>
        <v>-11809.20627308588</v>
      </c>
      <c r="AL114" s="229"/>
      <c r="AM114" s="52">
        <f t="shared" si="4"/>
        <v>0</v>
      </c>
      <c r="AN114" s="52">
        <f t="shared" si="5"/>
        <v>1</v>
      </c>
      <c r="AO114" s="52">
        <f t="shared" si="6"/>
        <v>0</v>
      </c>
      <c r="AP114" s="229"/>
      <c r="AQ114" s="3"/>
      <c r="AR114" s="3"/>
      <c r="AS114" s="3"/>
      <c r="AT114" s="3"/>
      <c r="AU114" s="229"/>
      <c r="AV114" s="318">
        <f t="shared" si="15"/>
        <v>248278.46763033164</v>
      </c>
      <c r="AW114" s="229"/>
      <c r="AX114" s="312"/>
      <c r="AY114" s="14"/>
      <c r="AZ114" s="14">
        <f t="shared" si="17"/>
        <v>106.92743677031831</v>
      </c>
      <c r="BA114" s="14">
        <f t="shared" si="16"/>
        <v>-0.11702278836315561</v>
      </c>
      <c r="BB114" s="14">
        <f t="shared" si="2"/>
        <v>-913.73174632013979</v>
      </c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297"/>
      <c r="BW114" s="297"/>
      <c r="BX114" s="297"/>
      <c r="BY114" s="297"/>
      <c r="BZ114" s="297"/>
      <c r="CA114" s="297"/>
      <c r="CB114" s="297"/>
      <c r="CC114" s="297"/>
      <c r="CD114" s="297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3"/>
      <c r="CT114" s="3"/>
      <c r="CU114" s="3"/>
      <c r="CV114" s="3"/>
      <c r="CW114" s="3"/>
    </row>
    <row r="115" spans="1:101" ht="14.25" customHeight="1" x14ac:dyDescent="0.2">
      <c r="A115" s="286"/>
      <c r="B115" s="52">
        <v>0.16465248650914088</v>
      </c>
      <c r="C115" s="288">
        <v>9.6294492811775892E-2</v>
      </c>
      <c r="D115" s="288">
        <v>1.0950338847802709E-2</v>
      </c>
      <c r="E115" s="288">
        <v>1.4361537892271636E-2</v>
      </c>
      <c r="F115" s="289">
        <v>0.79202634449602261</v>
      </c>
      <c r="G115" s="92">
        <v>0.3362177803966821</v>
      </c>
      <c r="H115" s="288">
        <v>0.84999280867655058</v>
      </c>
      <c r="I115" s="288">
        <v>1.2889236916786078E-2</v>
      </c>
      <c r="J115" s="288">
        <v>1</v>
      </c>
      <c r="K115" s="288">
        <v>0.70647640938943623</v>
      </c>
      <c r="L115" s="290">
        <v>12872.795313568242</v>
      </c>
      <c r="M115" s="288">
        <v>0</v>
      </c>
      <c r="N115" s="288">
        <v>19105.872578568164</v>
      </c>
      <c r="O115" s="288">
        <v>1581.8352304456573</v>
      </c>
      <c r="P115" s="288">
        <v>47795.314646496496</v>
      </c>
      <c r="Q115" s="291">
        <v>94289.166269603695</v>
      </c>
      <c r="R115" s="288">
        <v>21053.187013737766</v>
      </c>
      <c r="S115" s="288">
        <v>9324.4510236837941</v>
      </c>
      <c r="T115" s="290">
        <v>0.751</v>
      </c>
      <c r="U115" s="288">
        <v>0.75800000000000001</v>
      </c>
      <c r="V115" s="288">
        <v>0.723923076923077</v>
      </c>
      <c r="W115" s="288">
        <v>0.72750000000000004</v>
      </c>
      <c r="X115" s="288">
        <v>0.76</v>
      </c>
      <c r="Y115" s="288">
        <v>0</v>
      </c>
      <c r="Z115" s="289">
        <v>0</v>
      </c>
      <c r="AA115" s="229"/>
      <c r="AB115" s="52">
        <v>86769.252836431304</v>
      </c>
      <c r="AC115" s="288">
        <v>3.1982731213413147</v>
      </c>
      <c r="AD115" s="288">
        <v>72865.84393369146</v>
      </c>
      <c r="AE115" s="288">
        <v>2.8094437768304923</v>
      </c>
      <c r="AF115" s="288">
        <v>13903.408902739844</v>
      </c>
      <c r="AG115" s="289">
        <v>0.38882934451082241</v>
      </c>
      <c r="AH115" s="229"/>
      <c r="AI115" s="205">
        <f t="shared" si="12"/>
        <v>233058.05929770018</v>
      </c>
      <c r="AJ115" s="205">
        <f t="shared" si="13"/>
        <v>208078.5337493578</v>
      </c>
      <c r="AK115" s="205">
        <f t="shared" si="14"/>
        <v>24979.525548342397</v>
      </c>
      <c r="AL115" s="229"/>
      <c r="AM115" s="52">
        <f t="shared" si="4"/>
        <v>1</v>
      </c>
      <c r="AN115" s="52">
        <f t="shared" si="5"/>
        <v>0</v>
      </c>
      <c r="AO115" s="52">
        <f t="shared" si="6"/>
        <v>1</v>
      </c>
      <c r="AP115" s="229"/>
      <c r="AQ115" s="3"/>
      <c r="AR115" s="3"/>
      <c r="AS115" s="3"/>
      <c r="AT115" s="3"/>
      <c r="AU115" s="229"/>
      <c r="AV115" s="318">
        <f t="shared" si="15"/>
        <v>233058.05929770018</v>
      </c>
      <c r="AW115" s="229"/>
      <c r="AX115" s="312"/>
      <c r="AY115" s="14"/>
      <c r="AZ115" s="14">
        <f t="shared" si="17"/>
        <v>13903.408902739844</v>
      </c>
      <c r="BA115" s="14">
        <f t="shared" si="16"/>
        <v>0.38882934451082241</v>
      </c>
      <c r="BB115" s="14">
        <f t="shared" si="2"/>
        <v>35757.097809146617</v>
      </c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3"/>
      <c r="CT115" s="3"/>
      <c r="CU115" s="3"/>
      <c r="CV115" s="3"/>
      <c r="CW115" s="3"/>
    </row>
    <row r="116" spans="1:101" ht="14.25" customHeight="1" x14ac:dyDescent="0.2">
      <c r="A116" s="286"/>
      <c r="B116" s="52">
        <v>0.17668893511977857</v>
      </c>
      <c r="C116" s="288">
        <v>0.14239268666213009</v>
      </c>
      <c r="D116" s="288">
        <v>1.3233670119165306E-2</v>
      </c>
      <c r="E116" s="288">
        <v>1.0005112683655734E-2</v>
      </c>
      <c r="F116" s="289">
        <v>0.8148704609944446</v>
      </c>
      <c r="G116" s="92">
        <v>0.38084581989499455</v>
      </c>
      <c r="H116" s="288">
        <v>0.16169026232358849</v>
      </c>
      <c r="I116" s="288">
        <v>2.0526040302466297E-2</v>
      </c>
      <c r="J116" s="288">
        <v>0.99502709164640923</v>
      </c>
      <c r="K116" s="288">
        <v>0.75655584533832787</v>
      </c>
      <c r="L116" s="290">
        <v>15381.480240651585</v>
      </c>
      <c r="M116" s="288">
        <v>0</v>
      </c>
      <c r="N116" s="288">
        <v>15971.023322457982</v>
      </c>
      <c r="O116" s="288">
        <v>1158.6772748270848</v>
      </c>
      <c r="P116" s="288">
        <v>52725.485236017135</v>
      </c>
      <c r="Q116" s="291">
        <v>121681.75468687578</v>
      </c>
      <c r="R116" s="288">
        <v>20877.06358140838</v>
      </c>
      <c r="S116" s="288">
        <v>8342.0245374019141</v>
      </c>
      <c r="T116" s="290">
        <v>0.751</v>
      </c>
      <c r="U116" s="288">
        <v>0.75800000000000001</v>
      </c>
      <c r="V116" s="288">
        <v>0.723923076923077</v>
      </c>
      <c r="W116" s="288">
        <v>0.72750000000000004</v>
      </c>
      <c r="X116" s="288">
        <v>0.76</v>
      </c>
      <c r="Y116" s="288">
        <v>0</v>
      </c>
      <c r="Z116" s="289">
        <v>0</v>
      </c>
      <c r="AA116" s="229"/>
      <c r="AB116" s="52">
        <v>83710.048940357214</v>
      </c>
      <c r="AC116" s="288">
        <v>3.3051185145651201</v>
      </c>
      <c r="AD116" s="288">
        <v>66141.770355187109</v>
      </c>
      <c r="AE116" s="288">
        <v>3.0384549949951229</v>
      </c>
      <c r="AF116" s="288">
        <v>17568.278585170105</v>
      </c>
      <c r="AG116" s="289">
        <v>0.26666351956999712</v>
      </c>
      <c r="AH116" s="229"/>
      <c r="AI116" s="205">
        <f t="shared" si="12"/>
        <v>246801.80251615477</v>
      </c>
      <c r="AJ116" s="205">
        <f t="shared" si="13"/>
        <v>237703.72914432519</v>
      </c>
      <c r="AK116" s="205">
        <f t="shared" si="14"/>
        <v>9098.0733718296069</v>
      </c>
      <c r="AL116" s="229"/>
      <c r="AM116" s="52">
        <f t="shared" si="4"/>
        <v>1</v>
      </c>
      <c r="AN116" s="52">
        <f t="shared" si="5"/>
        <v>0</v>
      </c>
      <c r="AO116" s="52">
        <f t="shared" si="6"/>
        <v>1</v>
      </c>
      <c r="AP116" s="229"/>
      <c r="AQ116" s="3"/>
      <c r="AR116" s="3"/>
      <c r="AS116" s="3"/>
      <c r="AT116" s="3"/>
      <c r="AU116" s="229"/>
      <c r="AV116" s="318">
        <f t="shared" si="15"/>
        <v>246801.80251615477</v>
      </c>
      <c r="AW116" s="229"/>
      <c r="AX116" s="312"/>
      <c r="AY116" s="14"/>
      <c r="AZ116" s="14">
        <f t="shared" si="17"/>
        <v>17568.278585170105</v>
      </c>
      <c r="BA116" s="14">
        <f t="shared" si="16"/>
        <v>0.26666351956999712</v>
      </c>
      <c r="BB116" s="14">
        <f t="shared" si="2"/>
        <v>65881.822206125071</v>
      </c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3"/>
      <c r="CT116" s="3"/>
      <c r="CU116" s="3"/>
      <c r="CV116" s="3"/>
      <c r="CW116" s="3"/>
    </row>
    <row r="117" spans="1:101" ht="14.25" customHeight="1" x14ac:dyDescent="0.2">
      <c r="A117" s="286"/>
      <c r="B117" s="52">
        <v>0.15621613660799233</v>
      </c>
      <c r="C117" s="288">
        <v>0.74023544982058775</v>
      </c>
      <c r="D117" s="288">
        <v>9.9076429775947668E-3</v>
      </c>
      <c r="E117" s="288">
        <v>1.8477000712403768E-2</v>
      </c>
      <c r="F117" s="289">
        <v>0.79383430888568873</v>
      </c>
      <c r="G117" s="92">
        <v>0.45555226254310088</v>
      </c>
      <c r="H117" s="288">
        <v>3.0823909907804162E-2</v>
      </c>
      <c r="I117" s="288">
        <v>3.9022111699836535E-3</v>
      </c>
      <c r="J117" s="288">
        <v>1</v>
      </c>
      <c r="K117" s="288">
        <v>0.78815140626612723</v>
      </c>
      <c r="L117" s="290">
        <v>18602.213699952361</v>
      </c>
      <c r="M117" s="288">
        <v>0</v>
      </c>
      <c r="N117" s="288">
        <v>23573.157418090665</v>
      </c>
      <c r="O117" s="288">
        <v>1116.8350519735998</v>
      </c>
      <c r="P117" s="288">
        <v>27066.086286686877</v>
      </c>
      <c r="Q117" s="291">
        <v>77237.977802477617</v>
      </c>
      <c r="R117" s="288">
        <v>20366.572993589685</v>
      </c>
      <c r="S117" s="288">
        <v>10211.887200771878</v>
      </c>
      <c r="T117" s="290">
        <v>0.751</v>
      </c>
      <c r="U117" s="288">
        <v>0.75800000000000001</v>
      </c>
      <c r="V117" s="288">
        <v>0.723923076923077</v>
      </c>
      <c r="W117" s="288">
        <v>0.72750000000000004</v>
      </c>
      <c r="X117" s="288">
        <v>0.76</v>
      </c>
      <c r="Y117" s="288">
        <v>0</v>
      </c>
      <c r="Z117" s="289">
        <v>0</v>
      </c>
      <c r="AA117" s="229"/>
      <c r="AB117" s="52">
        <v>101526.13556197623</v>
      </c>
      <c r="AC117" s="288">
        <v>3.206699417579542</v>
      </c>
      <c r="AD117" s="288">
        <v>81303.878681778398</v>
      </c>
      <c r="AE117" s="288">
        <v>3.1849740161658548</v>
      </c>
      <c r="AF117" s="288">
        <v>20222.256880197834</v>
      </c>
      <c r="AG117" s="289">
        <v>2.1725401413687173E-2</v>
      </c>
      <c r="AH117" s="229"/>
      <c r="AI117" s="205">
        <f t="shared" si="12"/>
        <v>219143.80619597796</v>
      </c>
      <c r="AJ117" s="205">
        <f t="shared" si="13"/>
        <v>237193.52293480712</v>
      </c>
      <c r="AK117" s="205">
        <f t="shared" si="14"/>
        <v>-18049.716738829116</v>
      </c>
      <c r="AL117" s="229"/>
      <c r="AM117" s="52">
        <f t="shared" si="4"/>
        <v>0</v>
      </c>
      <c r="AN117" s="52">
        <f t="shared" si="5"/>
        <v>1</v>
      </c>
      <c r="AO117" s="52">
        <f t="shared" si="6"/>
        <v>0</v>
      </c>
      <c r="AP117" s="229"/>
      <c r="AQ117" s="3"/>
      <c r="AR117" s="3"/>
      <c r="AS117" s="3"/>
      <c r="AT117" s="3"/>
      <c r="AU117" s="229"/>
      <c r="AV117" s="318">
        <f t="shared" si="15"/>
        <v>237193.52293480712</v>
      </c>
      <c r="AW117" s="229"/>
      <c r="AX117" s="312"/>
      <c r="AY117" s="14"/>
      <c r="AZ117" s="14">
        <f t="shared" si="17"/>
        <v>20222.256880197834</v>
      </c>
      <c r="BA117" s="14">
        <f t="shared" si="16"/>
        <v>2.1725401413687173E-2</v>
      </c>
      <c r="BB117" s="14">
        <f t="shared" si="2"/>
        <v>930811.65660109068</v>
      </c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3"/>
      <c r="CT117" s="3"/>
      <c r="CU117" s="3"/>
      <c r="CV117" s="3"/>
      <c r="CW117" s="3"/>
    </row>
    <row r="118" spans="1:101" ht="14.25" customHeight="1" x14ac:dyDescent="0.2">
      <c r="A118" s="286"/>
      <c r="B118" s="52">
        <v>0.18202243103669324</v>
      </c>
      <c r="C118" s="288">
        <v>0.62423288769518237</v>
      </c>
      <c r="D118" s="288">
        <v>9.4018122296871138E-3</v>
      </c>
      <c r="E118" s="288">
        <v>2.2249071207096849E-2</v>
      </c>
      <c r="F118" s="289">
        <v>0.79164208745463938</v>
      </c>
      <c r="G118" s="92">
        <v>0.35968835828949064</v>
      </c>
      <c r="H118" s="288">
        <v>0.34123155947461875</v>
      </c>
      <c r="I118" s="288">
        <v>4.8012175546336862E-3</v>
      </c>
      <c r="J118" s="288">
        <v>0.99999178656761734</v>
      </c>
      <c r="K118" s="288">
        <v>0.77580079934816948</v>
      </c>
      <c r="L118" s="290">
        <v>9122.8296002570023</v>
      </c>
      <c r="M118" s="288">
        <v>0</v>
      </c>
      <c r="N118" s="288">
        <v>17489.743268132668</v>
      </c>
      <c r="O118" s="288">
        <v>1291.6409460811099</v>
      </c>
      <c r="P118" s="288">
        <v>47553.37453164404</v>
      </c>
      <c r="Q118" s="291">
        <v>87790.466982282509</v>
      </c>
      <c r="R118" s="288">
        <v>26927.473801377193</v>
      </c>
      <c r="S118" s="288">
        <v>8419.3825369368005</v>
      </c>
      <c r="T118" s="290">
        <v>0.751</v>
      </c>
      <c r="U118" s="288">
        <v>0.75800000000000001</v>
      </c>
      <c r="V118" s="288">
        <v>0.723923076923077</v>
      </c>
      <c r="W118" s="288">
        <v>0.72750000000000004</v>
      </c>
      <c r="X118" s="288">
        <v>0.76</v>
      </c>
      <c r="Y118" s="288">
        <v>0</v>
      </c>
      <c r="Z118" s="289">
        <v>0</v>
      </c>
      <c r="AA118" s="229"/>
      <c r="AB118" s="52">
        <v>78570.367173966501</v>
      </c>
      <c r="AC118" s="288">
        <v>3.1964828929062548</v>
      </c>
      <c r="AD118" s="288">
        <v>69178.454053479203</v>
      </c>
      <c r="AE118" s="288">
        <v>3.1275128575887345</v>
      </c>
      <c r="AF118" s="288">
        <v>9391.9131204872974</v>
      </c>
      <c r="AG118" s="289">
        <v>6.8970035317520217E-2</v>
      </c>
      <c r="AH118" s="229"/>
      <c r="AI118" s="205">
        <f t="shared" si="12"/>
        <v>241077.922116659</v>
      </c>
      <c r="AJ118" s="205">
        <f t="shared" si="13"/>
        <v>243572.83170539426</v>
      </c>
      <c r="AK118" s="205">
        <f t="shared" si="14"/>
        <v>-2494.909588735276</v>
      </c>
      <c r="AL118" s="229"/>
      <c r="AM118" s="52">
        <f t="shared" si="4"/>
        <v>0</v>
      </c>
      <c r="AN118" s="52">
        <f t="shared" si="5"/>
        <v>1</v>
      </c>
      <c r="AO118" s="52">
        <f t="shared" si="6"/>
        <v>0</v>
      </c>
      <c r="AP118" s="229"/>
      <c r="AQ118" s="3"/>
      <c r="AR118" s="3"/>
      <c r="AS118" s="3"/>
      <c r="AT118" s="3"/>
      <c r="AU118" s="229"/>
      <c r="AV118" s="318">
        <f t="shared" si="15"/>
        <v>243572.83170539426</v>
      </c>
      <c r="AW118" s="229"/>
      <c r="AX118" s="312"/>
      <c r="AY118" s="14"/>
      <c r="AZ118" s="14">
        <f t="shared" si="17"/>
        <v>9391.9131204872974</v>
      </c>
      <c r="BA118" s="14">
        <f t="shared" si="16"/>
        <v>6.8970035317520217E-2</v>
      </c>
      <c r="BB118" s="14">
        <f t="shared" si="2"/>
        <v>136173.81921365354</v>
      </c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3"/>
      <c r="CT118" s="3"/>
      <c r="CU118" s="3"/>
      <c r="CV118" s="3"/>
      <c r="CW118" s="3"/>
    </row>
    <row r="119" spans="1:101" ht="14.25" customHeight="1" x14ac:dyDescent="0.2">
      <c r="A119" s="286"/>
      <c r="B119" s="52">
        <v>0.11956366707948783</v>
      </c>
      <c r="C119" s="288">
        <v>0.1352376314966123</v>
      </c>
      <c r="D119" s="288">
        <v>1.3892608957280584E-2</v>
      </c>
      <c r="E119" s="288">
        <v>1.5620708918813175E-2</v>
      </c>
      <c r="F119" s="289">
        <v>0.74651754576638918</v>
      </c>
      <c r="G119" s="92">
        <v>0.33919369351043294</v>
      </c>
      <c r="H119" s="288">
        <v>0.37682202649052826</v>
      </c>
      <c r="I119" s="288">
        <v>1.0542170651990944E-2</v>
      </c>
      <c r="J119" s="288">
        <v>0.99999999502965109</v>
      </c>
      <c r="K119" s="288">
        <v>0.74056312425146509</v>
      </c>
      <c r="L119" s="290">
        <v>20514.604014947196</v>
      </c>
      <c r="M119" s="288">
        <v>0</v>
      </c>
      <c r="N119" s="288">
        <v>24124.785125270562</v>
      </c>
      <c r="O119" s="288">
        <v>935.4395079752594</v>
      </c>
      <c r="P119" s="288">
        <v>38202.871404604608</v>
      </c>
      <c r="Q119" s="291">
        <v>76248.694354335545</v>
      </c>
      <c r="R119" s="288">
        <v>23659.362070134503</v>
      </c>
      <c r="S119" s="288">
        <v>9941.7392068705158</v>
      </c>
      <c r="T119" s="290">
        <v>0.751</v>
      </c>
      <c r="U119" s="288">
        <v>0.75800000000000001</v>
      </c>
      <c r="V119" s="288">
        <v>0.723923076923077</v>
      </c>
      <c r="W119" s="288">
        <v>0.72750000000000004</v>
      </c>
      <c r="X119" s="288">
        <v>0.76</v>
      </c>
      <c r="Y119" s="288">
        <v>0</v>
      </c>
      <c r="Z119" s="289">
        <v>0</v>
      </c>
      <c r="AA119" s="229"/>
      <c r="AB119" s="52">
        <v>94628.90183582349</v>
      </c>
      <c r="AC119" s="288">
        <v>2.9878611105107669</v>
      </c>
      <c r="AD119" s="288">
        <v>77231.773070990035</v>
      </c>
      <c r="AE119" s="288">
        <v>2.964891295779446</v>
      </c>
      <c r="AF119" s="288">
        <v>17397.128764833455</v>
      </c>
      <c r="AG119" s="289">
        <v>2.296981473132087E-2</v>
      </c>
      <c r="AH119" s="229"/>
      <c r="AI119" s="205">
        <f t="shared" si="12"/>
        <v>204157.20921525318</v>
      </c>
      <c r="AJ119" s="205">
        <f t="shared" si="13"/>
        <v>219257.35650695453</v>
      </c>
      <c r="AK119" s="205">
        <f t="shared" si="14"/>
        <v>-15100.147291701367</v>
      </c>
      <c r="AL119" s="229"/>
      <c r="AM119" s="52">
        <f t="shared" si="4"/>
        <v>0</v>
      </c>
      <c r="AN119" s="52">
        <f t="shared" si="5"/>
        <v>1</v>
      </c>
      <c r="AO119" s="52">
        <f t="shared" si="6"/>
        <v>0</v>
      </c>
      <c r="AP119" s="229"/>
      <c r="AQ119" s="3"/>
      <c r="AR119" s="3"/>
      <c r="AS119" s="3"/>
      <c r="AT119" s="3"/>
      <c r="AU119" s="229"/>
      <c r="AV119" s="318">
        <f t="shared" si="15"/>
        <v>219257.35650695453</v>
      </c>
      <c r="AW119" s="229"/>
      <c r="AX119" s="312"/>
      <c r="AY119" s="14"/>
      <c r="AZ119" s="14">
        <f t="shared" si="17"/>
        <v>17397.128764833455</v>
      </c>
      <c r="BA119" s="14">
        <f t="shared" si="16"/>
        <v>2.296981473132087E-2</v>
      </c>
      <c r="BB119" s="14">
        <f t="shared" si="2"/>
        <v>757390.90490404842</v>
      </c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3"/>
      <c r="CT119" s="3"/>
      <c r="CU119" s="3"/>
      <c r="CV119" s="3"/>
      <c r="CW119" s="3"/>
    </row>
    <row r="120" spans="1:101" ht="14.25" customHeight="1" x14ac:dyDescent="0.2">
      <c r="A120" s="286"/>
      <c r="B120" s="52">
        <v>0.1716705143626831</v>
      </c>
      <c r="C120" s="288">
        <v>0.174286873646363</v>
      </c>
      <c r="D120" s="288">
        <v>2.0094079755278216E-2</v>
      </c>
      <c r="E120" s="288">
        <v>2.3693072751968525E-2</v>
      </c>
      <c r="F120" s="289">
        <v>0.79036363057141035</v>
      </c>
      <c r="G120" s="92">
        <v>0.3572751048618712</v>
      </c>
      <c r="H120" s="288">
        <v>0.93884246410121008</v>
      </c>
      <c r="I120" s="288">
        <v>2.5089888295018459E-2</v>
      </c>
      <c r="J120" s="288">
        <v>1</v>
      </c>
      <c r="K120" s="288">
        <v>0.75052995488887331</v>
      </c>
      <c r="L120" s="290">
        <v>10746.409359059</v>
      </c>
      <c r="M120" s="288">
        <v>0</v>
      </c>
      <c r="N120" s="288">
        <v>23531.462346618537</v>
      </c>
      <c r="O120" s="288">
        <v>1466.7702290673528</v>
      </c>
      <c r="P120" s="288">
        <v>44199.338649026242</v>
      </c>
      <c r="Q120" s="291">
        <v>120739.1895530378</v>
      </c>
      <c r="R120" s="288">
        <v>35597.738009422574</v>
      </c>
      <c r="S120" s="288">
        <v>8085.5679727807856</v>
      </c>
      <c r="T120" s="290">
        <v>0.751</v>
      </c>
      <c r="U120" s="288">
        <v>0.75800000000000001</v>
      </c>
      <c r="V120" s="288">
        <v>0.723923076923077</v>
      </c>
      <c r="W120" s="288">
        <v>0.72750000000000004</v>
      </c>
      <c r="X120" s="288">
        <v>0.76</v>
      </c>
      <c r="Y120" s="288">
        <v>0</v>
      </c>
      <c r="Z120" s="289">
        <v>0</v>
      </c>
      <c r="AA120" s="229"/>
      <c r="AB120" s="52">
        <v>75766.266221542159</v>
      </c>
      <c r="AC120" s="288">
        <v>3.1905283129527535</v>
      </c>
      <c r="AD120" s="288">
        <v>74421.818705058497</v>
      </c>
      <c r="AE120" s="288">
        <v>3.0106896266165402</v>
      </c>
      <c r="AF120" s="288">
        <v>1344.4475164836622</v>
      </c>
      <c r="AG120" s="289">
        <v>0.17983868633621336</v>
      </c>
      <c r="AH120" s="229"/>
      <c r="AI120" s="205">
        <f t="shared" si="12"/>
        <v>243286.56507373322</v>
      </c>
      <c r="AJ120" s="205">
        <f t="shared" si="13"/>
        <v>226647.14395659551</v>
      </c>
      <c r="AK120" s="205">
        <f t="shared" si="14"/>
        <v>16639.421117137674</v>
      </c>
      <c r="AL120" s="229"/>
      <c r="AM120" s="52">
        <f t="shared" si="4"/>
        <v>1</v>
      </c>
      <c r="AN120" s="52">
        <f t="shared" si="5"/>
        <v>0</v>
      </c>
      <c r="AO120" s="52">
        <f t="shared" si="6"/>
        <v>1</v>
      </c>
      <c r="AP120" s="229"/>
      <c r="AQ120" s="3"/>
      <c r="AR120" s="3"/>
      <c r="AS120" s="3"/>
      <c r="AT120" s="3"/>
      <c r="AU120" s="229"/>
      <c r="AV120" s="318">
        <f t="shared" si="15"/>
        <v>243286.56507373322</v>
      </c>
      <c r="AW120" s="229"/>
      <c r="AX120" s="312"/>
      <c r="AY120" s="14"/>
      <c r="AZ120" s="14">
        <f t="shared" si="17"/>
        <v>1344.4475164836622</v>
      </c>
      <c r="BA120" s="14">
        <f t="shared" si="16"/>
        <v>0.17983868633621336</v>
      </c>
      <c r="BB120" s="14">
        <f t="shared" si="2"/>
        <v>7475.8526314531719</v>
      </c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3"/>
      <c r="CT120" s="3"/>
      <c r="CU120" s="3"/>
      <c r="CV120" s="3"/>
      <c r="CW120" s="3"/>
    </row>
    <row r="121" spans="1:101" ht="14.25" customHeight="1" x14ac:dyDescent="0.2">
      <c r="A121" s="286"/>
      <c r="B121" s="52">
        <v>0.17587913430551672</v>
      </c>
      <c r="C121" s="288">
        <v>0.28238600574343897</v>
      </c>
      <c r="D121" s="288">
        <v>9.9558464673524978E-3</v>
      </c>
      <c r="E121" s="288">
        <v>1.2234565292211251E-2</v>
      </c>
      <c r="F121" s="289">
        <v>0.78401421520377479</v>
      </c>
      <c r="G121" s="92">
        <v>0.36309929913635158</v>
      </c>
      <c r="H121" s="288">
        <v>0.53251805318470313</v>
      </c>
      <c r="I121" s="288">
        <v>4.296485430957786E-2</v>
      </c>
      <c r="J121" s="288">
        <v>0.99999869932976937</v>
      </c>
      <c r="K121" s="288">
        <v>0.73616516709264346</v>
      </c>
      <c r="L121" s="290">
        <v>8393.0205138561014</v>
      </c>
      <c r="M121" s="288">
        <v>0</v>
      </c>
      <c r="N121" s="288">
        <v>22327.211995806399</v>
      </c>
      <c r="O121" s="288">
        <v>1367.1850157154352</v>
      </c>
      <c r="P121" s="288">
        <v>45805.860225696808</v>
      </c>
      <c r="Q121" s="291">
        <v>102293.71185129861</v>
      </c>
      <c r="R121" s="288">
        <v>27765.408899080918</v>
      </c>
      <c r="S121" s="288">
        <v>7708.2145382399767</v>
      </c>
      <c r="T121" s="290">
        <v>0.751</v>
      </c>
      <c r="U121" s="288">
        <v>0.75800000000000001</v>
      </c>
      <c r="V121" s="288">
        <v>0.723923076923077</v>
      </c>
      <c r="W121" s="288">
        <v>0.72750000000000004</v>
      </c>
      <c r="X121" s="288">
        <v>0.76</v>
      </c>
      <c r="Y121" s="288">
        <v>0</v>
      </c>
      <c r="Z121" s="289">
        <v>0</v>
      </c>
      <c r="AA121" s="229"/>
      <c r="AB121" s="52">
        <v>70036.025664835586</v>
      </c>
      <c r="AC121" s="288">
        <v>3.1609930645902673</v>
      </c>
      <c r="AD121" s="288">
        <v>64999.175985599228</v>
      </c>
      <c r="AE121" s="288">
        <v>2.944732144677392</v>
      </c>
      <c r="AF121" s="288">
        <v>5036.8496792363585</v>
      </c>
      <c r="AG121" s="289">
        <v>0.21626091991287533</v>
      </c>
      <c r="AH121" s="229"/>
      <c r="AI121" s="205">
        <f t="shared" si="12"/>
        <v>246063.28079419112</v>
      </c>
      <c r="AJ121" s="205">
        <f t="shared" si="13"/>
        <v>229474.03848213999</v>
      </c>
      <c r="AK121" s="205">
        <f t="shared" si="14"/>
        <v>16589.242312051174</v>
      </c>
      <c r="AL121" s="229"/>
      <c r="AM121" s="52">
        <f t="shared" si="4"/>
        <v>1</v>
      </c>
      <c r="AN121" s="52">
        <f t="shared" si="5"/>
        <v>0</v>
      </c>
      <c r="AO121" s="52">
        <f t="shared" si="6"/>
        <v>1</v>
      </c>
      <c r="AP121" s="229"/>
      <c r="AQ121" s="3"/>
      <c r="AR121" s="3"/>
      <c r="AS121" s="3"/>
      <c r="AT121" s="3"/>
      <c r="AU121" s="229"/>
      <c r="AV121" s="318">
        <f t="shared" si="15"/>
        <v>246063.28079419112</v>
      </c>
      <c r="AW121" s="229"/>
      <c r="AX121" s="312"/>
      <c r="AY121" s="14"/>
      <c r="AZ121" s="14">
        <f t="shared" si="17"/>
        <v>5036.8496792363585</v>
      </c>
      <c r="BA121" s="14">
        <f t="shared" si="16"/>
        <v>0.21626091991287533</v>
      </c>
      <c r="BB121" s="14">
        <f t="shared" si="2"/>
        <v>23290.614324888407</v>
      </c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3"/>
      <c r="CT121" s="3"/>
      <c r="CU121" s="3"/>
      <c r="CV121" s="3"/>
      <c r="CW121" s="3"/>
    </row>
    <row r="122" spans="1:101" ht="14.25" customHeight="1" x14ac:dyDescent="0.2">
      <c r="A122" s="286"/>
      <c r="B122" s="52">
        <v>0.14514076132988815</v>
      </c>
      <c r="C122" s="288">
        <v>0.48234528468129489</v>
      </c>
      <c r="D122" s="288">
        <v>1.9437605730702856E-2</v>
      </c>
      <c r="E122" s="288">
        <v>1.0245212054434821E-2</v>
      </c>
      <c r="F122" s="289">
        <v>0.82608260349181373</v>
      </c>
      <c r="G122" s="92">
        <v>0.35025998372242034</v>
      </c>
      <c r="H122" s="288">
        <v>6.4060516662773096E-3</v>
      </c>
      <c r="I122" s="288">
        <v>2.0618288638836524E-2</v>
      </c>
      <c r="J122" s="288">
        <v>0.99999999998217715</v>
      </c>
      <c r="K122" s="288">
        <v>0.71608782519280845</v>
      </c>
      <c r="L122" s="290">
        <v>13571.050734812014</v>
      </c>
      <c r="M122" s="288">
        <v>0</v>
      </c>
      <c r="N122" s="288">
        <v>16317.339679465345</v>
      </c>
      <c r="O122" s="288">
        <v>955.03903627608906</v>
      </c>
      <c r="P122" s="288">
        <v>42165.345234884247</v>
      </c>
      <c r="Q122" s="291">
        <v>73568.616142078507</v>
      </c>
      <c r="R122" s="288">
        <v>21468.817196478289</v>
      </c>
      <c r="S122" s="288">
        <v>8571.1604244921109</v>
      </c>
      <c r="T122" s="290">
        <v>0.751</v>
      </c>
      <c r="U122" s="288">
        <v>0.75800000000000001</v>
      </c>
      <c r="V122" s="288">
        <v>0.723923076923077</v>
      </c>
      <c r="W122" s="288">
        <v>0.72750000000000004</v>
      </c>
      <c r="X122" s="288">
        <v>0.76</v>
      </c>
      <c r="Y122" s="288">
        <v>0</v>
      </c>
      <c r="Z122" s="289">
        <v>0</v>
      </c>
      <c r="AA122" s="229"/>
      <c r="AB122" s="52">
        <v>85534.895524933032</v>
      </c>
      <c r="AC122" s="288">
        <v>3.3578588642741036</v>
      </c>
      <c r="AD122" s="288">
        <v>62612.503525437423</v>
      </c>
      <c r="AE122" s="288">
        <v>2.8530898441748267</v>
      </c>
      <c r="AF122" s="288">
        <v>22922.391999495609</v>
      </c>
      <c r="AG122" s="289">
        <v>0.50476902009927693</v>
      </c>
      <c r="AH122" s="229"/>
      <c r="AI122" s="205">
        <f t="shared" si="12"/>
        <v>250250.99090247732</v>
      </c>
      <c r="AJ122" s="205">
        <f t="shared" si="13"/>
        <v>222696.48089204525</v>
      </c>
      <c r="AK122" s="205">
        <f t="shared" si="14"/>
        <v>27554.510010432088</v>
      </c>
      <c r="AL122" s="229"/>
      <c r="AM122" s="52">
        <f t="shared" si="4"/>
        <v>1</v>
      </c>
      <c r="AN122" s="52">
        <f t="shared" si="5"/>
        <v>0</v>
      </c>
      <c r="AO122" s="52">
        <f t="shared" si="6"/>
        <v>1</v>
      </c>
      <c r="AP122" s="229"/>
      <c r="AQ122" s="3"/>
      <c r="AR122" s="3"/>
      <c r="AS122" s="3"/>
      <c r="AT122" s="3"/>
      <c r="AU122" s="229"/>
      <c r="AV122" s="318">
        <f t="shared" si="15"/>
        <v>250250.99090247732</v>
      </c>
      <c r="AW122" s="229"/>
      <c r="AX122" s="312"/>
      <c r="AY122" s="14"/>
      <c r="AZ122" s="14">
        <f t="shared" si="17"/>
        <v>22922.391999495609</v>
      </c>
      <c r="BA122" s="14">
        <f t="shared" si="16"/>
        <v>0.50476902009927693</v>
      </c>
      <c r="BB122" s="14">
        <f t="shared" si="2"/>
        <v>45411.645894962574</v>
      </c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3"/>
      <c r="CT122" s="3"/>
      <c r="CU122" s="3"/>
      <c r="CV122" s="3"/>
      <c r="CW122" s="3"/>
    </row>
    <row r="123" spans="1:101" ht="14.25" customHeight="1" x14ac:dyDescent="0.2">
      <c r="A123" s="286"/>
      <c r="B123" s="52">
        <v>0.15358858264034475</v>
      </c>
      <c r="C123" s="288">
        <v>0.10954812794767543</v>
      </c>
      <c r="D123" s="288">
        <v>8.0258564527034525E-3</v>
      </c>
      <c r="E123" s="288">
        <v>3.75129084068897E-2</v>
      </c>
      <c r="F123" s="289">
        <v>0.77062743890554519</v>
      </c>
      <c r="G123" s="92">
        <v>0.41515895573138195</v>
      </c>
      <c r="H123" s="288">
        <v>0.37206100193711111</v>
      </c>
      <c r="I123" s="288">
        <v>2.7379443477059229E-2</v>
      </c>
      <c r="J123" s="288">
        <v>0.99999999999364797</v>
      </c>
      <c r="K123" s="288">
        <v>0.80279463622988556</v>
      </c>
      <c r="L123" s="290">
        <v>11755.468175708647</v>
      </c>
      <c r="M123" s="288">
        <v>0</v>
      </c>
      <c r="N123" s="288">
        <v>21766.371409845913</v>
      </c>
      <c r="O123" s="288">
        <v>1155.8643434328114</v>
      </c>
      <c r="P123" s="288">
        <v>39354.543907329644</v>
      </c>
      <c r="Q123" s="291">
        <v>80772.911164972844</v>
      </c>
      <c r="R123" s="288">
        <v>27704.91088977459</v>
      </c>
      <c r="S123" s="288">
        <v>11229.117553989827</v>
      </c>
      <c r="T123" s="290">
        <v>0.751</v>
      </c>
      <c r="U123" s="288">
        <v>0.75800000000000001</v>
      </c>
      <c r="V123" s="288">
        <v>0.723923076923077</v>
      </c>
      <c r="W123" s="288">
        <v>0.72750000000000004</v>
      </c>
      <c r="X123" s="288">
        <v>0.76</v>
      </c>
      <c r="Y123" s="288">
        <v>0</v>
      </c>
      <c r="Z123" s="289">
        <v>0</v>
      </c>
      <c r="AA123" s="229"/>
      <c r="AB123" s="52">
        <v>98190.627230019934</v>
      </c>
      <c r="AC123" s="288">
        <v>3.0989296889045277</v>
      </c>
      <c r="AD123" s="288">
        <v>96179.741950927113</v>
      </c>
      <c r="AE123" s="288">
        <v>3.2534131236731936</v>
      </c>
      <c r="AF123" s="288">
        <v>2010.8852790928213</v>
      </c>
      <c r="AG123" s="289">
        <v>-0.15448343476866588</v>
      </c>
      <c r="AH123" s="229"/>
      <c r="AI123" s="205">
        <f t="shared" si="12"/>
        <v>211702.34166043281</v>
      </c>
      <c r="AJ123" s="205">
        <f t="shared" si="13"/>
        <v>229161.57041639223</v>
      </c>
      <c r="AK123" s="205">
        <f t="shared" si="14"/>
        <v>-17459.228755959412</v>
      </c>
      <c r="AL123" s="229"/>
      <c r="AM123" s="52">
        <f t="shared" si="4"/>
        <v>0</v>
      </c>
      <c r="AN123" s="52">
        <f t="shared" si="5"/>
        <v>1</v>
      </c>
      <c r="AO123" s="52">
        <f t="shared" si="6"/>
        <v>0</v>
      </c>
      <c r="AP123" s="229"/>
      <c r="AQ123" s="3"/>
      <c r="AR123" s="3"/>
      <c r="AS123" s="3"/>
      <c r="AT123" s="3"/>
      <c r="AU123" s="229"/>
      <c r="AV123" s="318">
        <f t="shared" si="15"/>
        <v>229161.57041639223</v>
      </c>
      <c r="AW123" s="229"/>
      <c r="AX123" s="312"/>
      <c r="AY123" s="14"/>
      <c r="AZ123" s="14">
        <f t="shared" si="17"/>
        <v>2010.8852790928213</v>
      </c>
      <c r="BA123" s="14">
        <f t="shared" si="16"/>
        <v>-0.15448343476866588</v>
      </c>
      <c r="BB123" s="14">
        <f t="shared" si="2"/>
        <v>-13016.834342815197</v>
      </c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3"/>
      <c r="CT123" s="3"/>
      <c r="CU123" s="3"/>
      <c r="CV123" s="3"/>
      <c r="CW123" s="3"/>
    </row>
    <row r="124" spans="1:101" ht="14.25" customHeight="1" x14ac:dyDescent="0.2">
      <c r="A124" s="286"/>
      <c r="B124" s="52">
        <v>0.18480527850442829</v>
      </c>
      <c r="C124" s="288">
        <v>0.16606874807365057</v>
      </c>
      <c r="D124" s="288">
        <v>1.3803885036745674E-2</v>
      </c>
      <c r="E124" s="288">
        <v>1.867701862676141E-2</v>
      </c>
      <c r="F124" s="289">
        <v>0.7774703374439067</v>
      </c>
      <c r="G124" s="92">
        <v>0.41998907508890615</v>
      </c>
      <c r="H124" s="288">
        <v>0.6028782621443467</v>
      </c>
      <c r="I124" s="288">
        <v>1.4773672643695503E-2</v>
      </c>
      <c r="J124" s="288">
        <v>0.99999964287962551</v>
      </c>
      <c r="K124" s="288">
        <v>0.73718821421011904</v>
      </c>
      <c r="L124" s="290">
        <v>14249.09503884912</v>
      </c>
      <c r="M124" s="288">
        <v>0</v>
      </c>
      <c r="N124" s="288">
        <v>12707.485644066182</v>
      </c>
      <c r="O124" s="288">
        <v>1183.9244463926927</v>
      </c>
      <c r="P124" s="288">
        <v>39293.139077389875</v>
      </c>
      <c r="Q124" s="291">
        <v>77279.430540913527</v>
      </c>
      <c r="R124" s="288">
        <v>18770.181981298283</v>
      </c>
      <c r="S124" s="288">
        <v>9854.8366628951462</v>
      </c>
      <c r="T124" s="290">
        <v>0.751</v>
      </c>
      <c r="U124" s="288">
        <v>0.75800000000000001</v>
      </c>
      <c r="V124" s="288">
        <v>0.723923076923077</v>
      </c>
      <c r="W124" s="288">
        <v>0.72750000000000004</v>
      </c>
      <c r="X124" s="288">
        <v>0.76</v>
      </c>
      <c r="Y124" s="288">
        <v>0</v>
      </c>
      <c r="Z124" s="289">
        <v>0</v>
      </c>
      <c r="AA124" s="229"/>
      <c r="AB124" s="52">
        <v>91113.334414059165</v>
      </c>
      <c r="AC124" s="288">
        <v>3.1306194143821693</v>
      </c>
      <c r="AD124" s="288">
        <v>78443.140275359474</v>
      </c>
      <c r="AE124" s="288">
        <v>2.9494188192327813</v>
      </c>
      <c r="AF124" s="288">
        <v>12670.194138699691</v>
      </c>
      <c r="AG124" s="289">
        <v>0.18120059514938802</v>
      </c>
      <c r="AH124" s="229"/>
      <c r="AI124" s="205">
        <f t="shared" si="12"/>
        <v>221948.60702415777</v>
      </c>
      <c r="AJ124" s="205">
        <f t="shared" si="13"/>
        <v>216498.74164791868</v>
      </c>
      <c r="AK124" s="205">
        <f t="shared" si="14"/>
        <v>5449.8653762391114</v>
      </c>
      <c r="AL124" s="229"/>
      <c r="AM124" s="52">
        <f t="shared" si="4"/>
        <v>1</v>
      </c>
      <c r="AN124" s="52">
        <f t="shared" si="5"/>
        <v>0</v>
      </c>
      <c r="AO124" s="52">
        <f t="shared" si="6"/>
        <v>1</v>
      </c>
      <c r="AP124" s="229"/>
      <c r="AQ124" s="3"/>
      <c r="AR124" s="3"/>
      <c r="AS124" s="3"/>
      <c r="AT124" s="3"/>
      <c r="AU124" s="229"/>
      <c r="AV124" s="318">
        <f t="shared" si="15"/>
        <v>221948.60702415777</v>
      </c>
      <c r="AW124" s="229"/>
      <c r="AX124" s="312"/>
      <c r="AY124" s="14"/>
      <c r="AZ124" s="14">
        <f t="shared" si="17"/>
        <v>12670.194138699691</v>
      </c>
      <c r="BA124" s="14">
        <f t="shared" si="16"/>
        <v>0.18120059514938802</v>
      </c>
      <c r="BB124" s="14">
        <f t="shared" si="2"/>
        <v>69923.579049251726</v>
      </c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3"/>
      <c r="CT124" s="3"/>
      <c r="CU124" s="3"/>
      <c r="CV124" s="3"/>
      <c r="CW124" s="3"/>
    </row>
    <row r="125" spans="1:101" ht="14.25" customHeight="1" x14ac:dyDescent="0.2">
      <c r="A125" s="286"/>
      <c r="B125" s="52">
        <v>0.1538265386074669</v>
      </c>
      <c r="C125" s="288">
        <v>0.42790091827457455</v>
      </c>
      <c r="D125" s="288">
        <v>6.0248223401767114E-3</v>
      </c>
      <c r="E125" s="288">
        <v>2.9885708150110601E-2</v>
      </c>
      <c r="F125" s="289">
        <v>0.78386411462694372</v>
      </c>
      <c r="G125" s="92">
        <v>0.36826670855831739</v>
      </c>
      <c r="H125" s="288">
        <v>0.42683578717482806</v>
      </c>
      <c r="I125" s="288">
        <v>9.0013170721874765E-3</v>
      </c>
      <c r="J125" s="288">
        <v>0.99999997970204813</v>
      </c>
      <c r="K125" s="288">
        <v>0.79373324360162378</v>
      </c>
      <c r="L125" s="290">
        <v>14881.731789148937</v>
      </c>
      <c r="M125" s="288">
        <v>0</v>
      </c>
      <c r="N125" s="288">
        <v>14567.65715632217</v>
      </c>
      <c r="O125" s="288">
        <v>1402.8949762756949</v>
      </c>
      <c r="P125" s="288">
        <v>41026.225435254084</v>
      </c>
      <c r="Q125" s="291">
        <v>101130.10168758503</v>
      </c>
      <c r="R125" s="288">
        <v>24929.939035352942</v>
      </c>
      <c r="S125" s="288">
        <v>10520.491414761045</v>
      </c>
      <c r="T125" s="290">
        <v>0.751</v>
      </c>
      <c r="U125" s="288">
        <v>0.75800000000000001</v>
      </c>
      <c r="V125" s="288">
        <v>0.723923076923077</v>
      </c>
      <c r="W125" s="288">
        <v>0.72750000000000004</v>
      </c>
      <c r="X125" s="288">
        <v>0.76</v>
      </c>
      <c r="Y125" s="288">
        <v>0</v>
      </c>
      <c r="Z125" s="289">
        <v>0</v>
      </c>
      <c r="AA125" s="229"/>
      <c r="AB125" s="52">
        <v>98494.292978370635</v>
      </c>
      <c r="AC125" s="288">
        <v>3.1602956145692325</v>
      </c>
      <c r="AD125" s="288">
        <v>88221.995102722882</v>
      </c>
      <c r="AE125" s="288">
        <v>3.2110223843918386</v>
      </c>
      <c r="AF125" s="288">
        <v>10272.297875647753</v>
      </c>
      <c r="AG125" s="289">
        <v>-5.0726769822606155E-2</v>
      </c>
      <c r="AH125" s="229"/>
      <c r="AI125" s="205">
        <f t="shared" si="12"/>
        <v>217535.26847855264</v>
      </c>
      <c r="AJ125" s="205">
        <f t="shared" si="13"/>
        <v>232880.24333646096</v>
      </c>
      <c r="AK125" s="205">
        <f t="shared" si="14"/>
        <v>-15344.974857908368</v>
      </c>
      <c r="AL125" s="229"/>
      <c r="AM125" s="52">
        <f t="shared" si="4"/>
        <v>0</v>
      </c>
      <c r="AN125" s="52">
        <f t="shared" si="5"/>
        <v>1</v>
      </c>
      <c r="AO125" s="52">
        <f t="shared" si="6"/>
        <v>0</v>
      </c>
      <c r="AP125" s="229"/>
      <c r="AQ125" s="3"/>
      <c r="AR125" s="3"/>
      <c r="AS125" s="3"/>
      <c r="AT125" s="3"/>
      <c r="AU125" s="229"/>
      <c r="AV125" s="318">
        <f t="shared" si="15"/>
        <v>232880.24333646096</v>
      </c>
      <c r="AW125" s="229"/>
      <c r="AX125" s="312"/>
      <c r="AY125" s="14"/>
      <c r="AZ125" s="14">
        <f t="shared" si="17"/>
        <v>10272.297875647753</v>
      </c>
      <c r="BA125" s="14">
        <f t="shared" si="16"/>
        <v>-5.0726769822606155E-2</v>
      </c>
      <c r="BB125" s="14">
        <f t="shared" si="2"/>
        <v>-202502.50334429831</v>
      </c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3"/>
      <c r="CT125" s="3"/>
      <c r="CU125" s="3"/>
      <c r="CV125" s="3"/>
      <c r="CW125" s="3"/>
    </row>
    <row r="126" spans="1:101" ht="14.25" customHeight="1" x14ac:dyDescent="0.2">
      <c r="A126" s="286"/>
      <c r="B126" s="52">
        <v>0.16603045552865581</v>
      </c>
      <c r="C126" s="288">
        <v>9.6256495956466112E-2</v>
      </c>
      <c r="D126" s="288">
        <v>1.1039219215164356E-2</v>
      </c>
      <c r="E126" s="288">
        <v>1.1075844285534639E-2</v>
      </c>
      <c r="F126" s="289">
        <v>0.7974622307134992</v>
      </c>
      <c r="G126" s="92">
        <v>0.49465875674815951</v>
      </c>
      <c r="H126" s="288">
        <v>9.3205613917214061E-2</v>
      </c>
      <c r="I126" s="288">
        <v>5.1633568932220762E-3</v>
      </c>
      <c r="J126" s="288">
        <v>0.99999999999999911</v>
      </c>
      <c r="K126" s="288">
        <v>0.82843889910962143</v>
      </c>
      <c r="L126" s="290">
        <v>14946.260376951657</v>
      </c>
      <c r="M126" s="288">
        <v>0</v>
      </c>
      <c r="N126" s="288">
        <v>18319.929857586176</v>
      </c>
      <c r="O126" s="288">
        <v>1653.306894967252</v>
      </c>
      <c r="P126" s="288">
        <v>42075.961421294523</v>
      </c>
      <c r="Q126" s="291">
        <v>90310.235564594012</v>
      </c>
      <c r="R126" s="288">
        <v>26389.168704691485</v>
      </c>
      <c r="S126" s="288">
        <v>10599.508360225223</v>
      </c>
      <c r="T126" s="290">
        <v>0.751</v>
      </c>
      <c r="U126" s="288">
        <v>0.75800000000000001</v>
      </c>
      <c r="V126" s="288">
        <v>0.723923076923077</v>
      </c>
      <c r="W126" s="288">
        <v>0.72750000000000004</v>
      </c>
      <c r="X126" s="288">
        <v>0.76</v>
      </c>
      <c r="Y126" s="288">
        <v>0</v>
      </c>
      <c r="Z126" s="289">
        <v>0</v>
      </c>
      <c r="AA126" s="229"/>
      <c r="AB126" s="52">
        <v>99510.374509829286</v>
      </c>
      <c r="AC126" s="288">
        <v>3.2236233716747842</v>
      </c>
      <c r="AD126" s="288">
        <v>89980.202169724347</v>
      </c>
      <c r="AE126" s="288">
        <v>3.374082788637585</v>
      </c>
      <c r="AF126" s="288">
        <v>9530.1723401049385</v>
      </c>
      <c r="AG126" s="289">
        <v>-0.15045941696280085</v>
      </c>
      <c r="AH126" s="229"/>
      <c r="AI126" s="205">
        <f t="shared" si="12"/>
        <v>222851.96265764913</v>
      </c>
      <c r="AJ126" s="205">
        <f t="shared" si="13"/>
        <v>247428.07669403416</v>
      </c>
      <c r="AK126" s="205">
        <f t="shared" si="14"/>
        <v>-24576.114036385025</v>
      </c>
      <c r="AL126" s="229"/>
      <c r="AM126" s="52">
        <f t="shared" si="4"/>
        <v>0</v>
      </c>
      <c r="AN126" s="52">
        <f t="shared" si="5"/>
        <v>1</v>
      </c>
      <c r="AO126" s="52">
        <f t="shared" si="6"/>
        <v>0</v>
      </c>
      <c r="AP126" s="229"/>
      <c r="AQ126" s="3"/>
      <c r="AR126" s="3"/>
      <c r="AS126" s="3"/>
      <c r="AT126" s="3"/>
      <c r="AU126" s="229"/>
      <c r="AV126" s="318">
        <f t="shared" si="15"/>
        <v>247428.07669403416</v>
      </c>
      <c r="AW126" s="229"/>
      <c r="AX126" s="312"/>
      <c r="AY126" s="14"/>
      <c r="AZ126" s="14">
        <f t="shared" si="17"/>
        <v>9530.1723401049385</v>
      </c>
      <c r="BA126" s="14">
        <f t="shared" si="16"/>
        <v>-0.15045941696280085</v>
      </c>
      <c r="BB126" s="14">
        <f t="shared" si="2"/>
        <v>-63340.484314525493</v>
      </c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3"/>
      <c r="CT126" s="3"/>
      <c r="CU126" s="3"/>
      <c r="CV126" s="3"/>
      <c r="CW126" s="3"/>
    </row>
    <row r="127" spans="1:101" ht="14.25" customHeight="1" x14ac:dyDescent="0.2">
      <c r="A127" s="286"/>
      <c r="B127" s="52">
        <v>0.16864214970658531</v>
      </c>
      <c r="C127" s="288">
        <v>0.10795706159697094</v>
      </c>
      <c r="D127" s="288">
        <v>1.2055076474272362E-2</v>
      </c>
      <c r="E127" s="288">
        <v>2.0285195753643293E-2</v>
      </c>
      <c r="F127" s="289">
        <v>0.80163609483575016</v>
      </c>
      <c r="G127" s="92">
        <v>0.38746068999983174</v>
      </c>
      <c r="H127" s="288">
        <v>0.22121431833365654</v>
      </c>
      <c r="I127" s="288">
        <v>6.0631375418924932E-3</v>
      </c>
      <c r="J127" s="288">
        <v>0.99203928811007969</v>
      </c>
      <c r="K127" s="288">
        <v>0.80192556441010354</v>
      </c>
      <c r="L127" s="290">
        <v>9937.3121977130195</v>
      </c>
      <c r="M127" s="288">
        <v>0</v>
      </c>
      <c r="N127" s="288">
        <v>17693.049076985433</v>
      </c>
      <c r="O127" s="288">
        <v>955.92586797598597</v>
      </c>
      <c r="P127" s="288">
        <v>56893.609773389129</v>
      </c>
      <c r="Q127" s="291">
        <v>115236.41570241861</v>
      </c>
      <c r="R127" s="288">
        <v>21525.015840187723</v>
      </c>
      <c r="S127" s="288">
        <v>5927.6340787024128</v>
      </c>
      <c r="T127" s="290">
        <v>0.751</v>
      </c>
      <c r="U127" s="288">
        <v>0.75800000000000001</v>
      </c>
      <c r="V127" s="288">
        <v>0.723923076923077</v>
      </c>
      <c r="W127" s="288">
        <v>0.72750000000000004</v>
      </c>
      <c r="X127" s="288">
        <v>0.76</v>
      </c>
      <c r="Y127" s="288">
        <v>0</v>
      </c>
      <c r="Z127" s="289">
        <v>0</v>
      </c>
      <c r="AA127" s="229"/>
      <c r="AB127" s="52">
        <v>57781.494182320079</v>
      </c>
      <c r="AC127" s="288">
        <v>3.2431196392421895</v>
      </c>
      <c r="AD127" s="288">
        <v>50054.098613741902</v>
      </c>
      <c r="AE127" s="288">
        <v>3.2493418463364718</v>
      </c>
      <c r="AF127" s="288">
        <v>7727.3955685781766</v>
      </c>
      <c r="AG127" s="289">
        <v>-6.2222070942823393E-3</v>
      </c>
      <c r="AH127" s="229"/>
      <c r="AI127" s="205">
        <f t="shared" si="12"/>
        <v>266530.46974189888</v>
      </c>
      <c r="AJ127" s="205">
        <f t="shared" si="13"/>
        <v>274880.08601990528</v>
      </c>
      <c r="AK127" s="205">
        <f t="shared" si="14"/>
        <v>-8349.6162780064114</v>
      </c>
      <c r="AL127" s="229"/>
      <c r="AM127" s="52">
        <f t="shared" si="4"/>
        <v>0</v>
      </c>
      <c r="AN127" s="52">
        <f t="shared" si="5"/>
        <v>1</v>
      </c>
      <c r="AO127" s="52">
        <f t="shared" si="6"/>
        <v>0</v>
      </c>
      <c r="AP127" s="229"/>
      <c r="AQ127" s="3"/>
      <c r="AR127" s="3"/>
      <c r="AS127" s="3"/>
      <c r="AT127" s="3"/>
      <c r="AU127" s="229"/>
      <c r="AV127" s="318">
        <f t="shared" si="15"/>
        <v>274880.08601990528</v>
      </c>
      <c r="AW127" s="229"/>
      <c r="AX127" s="312"/>
      <c r="AY127" s="14"/>
      <c r="AZ127" s="14">
        <f t="shared" si="17"/>
        <v>7727.3955685781766</v>
      </c>
      <c r="BA127" s="14">
        <f t="shared" si="16"/>
        <v>-6.2222070942823393E-3</v>
      </c>
      <c r="BB127" s="14">
        <f t="shared" si="2"/>
        <v>-1241905.8786518008</v>
      </c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3"/>
      <c r="CT127" s="3"/>
      <c r="CU127" s="3"/>
      <c r="CV127" s="3"/>
      <c r="CW127" s="3"/>
    </row>
    <row r="128" spans="1:101" ht="14.25" customHeight="1" x14ac:dyDescent="0.2">
      <c r="A128" s="286"/>
      <c r="B128" s="52">
        <v>0.14854858982665928</v>
      </c>
      <c r="C128" s="288">
        <v>0.3669037375996681</v>
      </c>
      <c r="D128" s="288">
        <v>3.7390726145957953E-2</v>
      </c>
      <c r="E128" s="288">
        <v>1.3821936806831277E-2</v>
      </c>
      <c r="F128" s="289">
        <v>0.78067465351298337</v>
      </c>
      <c r="G128" s="92">
        <v>0.42940314259007351</v>
      </c>
      <c r="H128" s="288">
        <v>0.17653967242891463</v>
      </c>
      <c r="I128" s="288">
        <v>1.8354096710717416E-2</v>
      </c>
      <c r="J128" s="288">
        <v>1</v>
      </c>
      <c r="K128" s="288">
        <v>0.7440206319315652</v>
      </c>
      <c r="L128" s="290">
        <v>14531.568149323744</v>
      </c>
      <c r="M128" s="288">
        <v>0</v>
      </c>
      <c r="N128" s="288">
        <v>19762.646686351061</v>
      </c>
      <c r="O128" s="288">
        <v>1401.578806300158</v>
      </c>
      <c r="P128" s="288">
        <v>46064.239352628698</v>
      </c>
      <c r="Q128" s="291">
        <v>113313.20287934679</v>
      </c>
      <c r="R128" s="288">
        <v>34205.944281252559</v>
      </c>
      <c r="S128" s="288">
        <v>8347.2176937491076</v>
      </c>
      <c r="T128" s="290">
        <v>0.751</v>
      </c>
      <c r="U128" s="288">
        <v>0.75800000000000001</v>
      </c>
      <c r="V128" s="288">
        <v>0.723923076923077</v>
      </c>
      <c r="W128" s="288">
        <v>0.72750000000000004</v>
      </c>
      <c r="X128" s="288">
        <v>0.76</v>
      </c>
      <c r="Y128" s="288">
        <v>0</v>
      </c>
      <c r="Z128" s="289">
        <v>0</v>
      </c>
      <c r="AA128" s="229"/>
      <c r="AB128" s="52">
        <v>81766.393270776927</v>
      </c>
      <c r="AC128" s="288">
        <v>3.1454839734451103</v>
      </c>
      <c r="AD128" s="288">
        <v>66586.359901801974</v>
      </c>
      <c r="AE128" s="288">
        <v>2.9807610641162121</v>
      </c>
      <c r="AF128" s="288">
        <v>15180.033368974953</v>
      </c>
      <c r="AG128" s="289">
        <v>0.16472290932889821</v>
      </c>
      <c r="AH128" s="229"/>
      <c r="AI128" s="205">
        <f t="shared" si="12"/>
        <v>232782.00407373413</v>
      </c>
      <c r="AJ128" s="205">
        <f t="shared" si="13"/>
        <v>231489.74650981923</v>
      </c>
      <c r="AK128" s="205">
        <f t="shared" si="14"/>
        <v>1292.2575639148672</v>
      </c>
      <c r="AL128" s="229"/>
      <c r="AM128" s="52">
        <f t="shared" si="4"/>
        <v>1</v>
      </c>
      <c r="AN128" s="52">
        <f t="shared" si="5"/>
        <v>0</v>
      </c>
      <c r="AO128" s="52">
        <f t="shared" si="6"/>
        <v>1</v>
      </c>
      <c r="AP128" s="229"/>
      <c r="AQ128" s="3"/>
      <c r="AR128" s="3"/>
      <c r="AS128" s="3"/>
      <c r="AT128" s="3"/>
      <c r="AU128" s="229"/>
      <c r="AV128" s="318">
        <f t="shared" si="15"/>
        <v>232782.00407373413</v>
      </c>
      <c r="AW128" s="229"/>
      <c r="AX128" s="312"/>
      <c r="AY128" s="14"/>
      <c r="AZ128" s="14">
        <f t="shared" si="17"/>
        <v>15180.033368974953</v>
      </c>
      <c r="BA128" s="14">
        <f t="shared" si="16"/>
        <v>0.16472290932889821</v>
      </c>
      <c r="BB128" s="14">
        <f t="shared" si="2"/>
        <v>92154.961509727538</v>
      </c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3"/>
      <c r="CT128" s="3"/>
      <c r="CU128" s="3"/>
      <c r="CV128" s="3"/>
      <c r="CW128" s="3"/>
    </row>
    <row r="129" spans="1:101" ht="14.25" customHeight="1" x14ac:dyDescent="0.2">
      <c r="A129" s="286"/>
      <c r="B129" s="52">
        <v>0.14894318810350499</v>
      </c>
      <c r="C129" s="288">
        <v>0.64311051924197171</v>
      </c>
      <c r="D129" s="288">
        <v>2.3974425502985568E-3</v>
      </c>
      <c r="E129" s="288">
        <v>5.8365486396832521E-3</v>
      </c>
      <c r="F129" s="289">
        <v>0.79496304788957128</v>
      </c>
      <c r="G129" s="92">
        <v>0.43553137548769338</v>
      </c>
      <c r="H129" s="288">
        <v>0.10024622969383616</v>
      </c>
      <c r="I129" s="288">
        <v>1.6507373687701388E-2</v>
      </c>
      <c r="J129" s="288">
        <v>0.99999996714421047</v>
      </c>
      <c r="K129" s="288">
        <v>0.76816980928041456</v>
      </c>
      <c r="L129" s="290">
        <v>10107.285510146088</v>
      </c>
      <c r="M129" s="288">
        <v>0</v>
      </c>
      <c r="N129" s="288">
        <v>13979.859444064672</v>
      </c>
      <c r="O129" s="288">
        <v>1200.8798515600572</v>
      </c>
      <c r="P129" s="288">
        <v>38892.632108549064</v>
      </c>
      <c r="Q129" s="291">
        <v>53457.564735935361</v>
      </c>
      <c r="R129" s="288">
        <v>21594.753216797937</v>
      </c>
      <c r="S129" s="288">
        <v>11209.167878856912</v>
      </c>
      <c r="T129" s="290">
        <v>0.751</v>
      </c>
      <c r="U129" s="288">
        <v>0.75800000000000001</v>
      </c>
      <c r="V129" s="288">
        <v>0.723923076923077</v>
      </c>
      <c r="W129" s="288">
        <v>0.72750000000000004</v>
      </c>
      <c r="X129" s="288">
        <v>0.76</v>
      </c>
      <c r="Y129" s="288">
        <v>0</v>
      </c>
      <c r="Z129" s="289">
        <v>0</v>
      </c>
      <c r="AA129" s="229"/>
      <c r="AB129" s="52">
        <v>100611.86505117755</v>
      </c>
      <c r="AC129" s="288">
        <v>3.2119626790013189</v>
      </c>
      <c r="AD129" s="288">
        <v>88175.02427809166</v>
      </c>
      <c r="AE129" s="288">
        <v>3.0921298738822074</v>
      </c>
      <c r="AF129" s="288">
        <v>12436.840773085889</v>
      </c>
      <c r="AG129" s="289">
        <v>0.11983280511911154</v>
      </c>
      <c r="AH129" s="229"/>
      <c r="AI129" s="205">
        <f t="shared" si="12"/>
        <v>220584.40284895431</v>
      </c>
      <c r="AJ129" s="205">
        <f t="shared" si="13"/>
        <v>221037.96311012906</v>
      </c>
      <c r="AK129" s="205">
        <f t="shared" si="14"/>
        <v>-453.56026117473448</v>
      </c>
      <c r="AL129" s="229"/>
      <c r="AM129" s="52">
        <f t="shared" si="4"/>
        <v>0</v>
      </c>
      <c r="AN129" s="52">
        <f t="shared" si="5"/>
        <v>1</v>
      </c>
      <c r="AO129" s="52">
        <f t="shared" si="6"/>
        <v>0</v>
      </c>
      <c r="AP129" s="229"/>
      <c r="AQ129" s="3"/>
      <c r="AR129" s="3"/>
      <c r="AS129" s="3"/>
      <c r="AT129" s="3"/>
      <c r="AU129" s="229"/>
      <c r="AV129" s="318">
        <f t="shared" si="15"/>
        <v>221037.96311012906</v>
      </c>
      <c r="AW129" s="229"/>
      <c r="AX129" s="312"/>
      <c r="AY129" s="14"/>
      <c r="AZ129" s="14">
        <f t="shared" si="17"/>
        <v>12436.840773085889</v>
      </c>
      <c r="BA129" s="14">
        <f t="shared" si="16"/>
        <v>0.11983280511911154</v>
      </c>
      <c r="BB129" s="14">
        <f t="shared" si="2"/>
        <v>103784.94236802605</v>
      </c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3"/>
      <c r="CT129" s="3"/>
      <c r="CU129" s="3"/>
      <c r="CV129" s="3"/>
      <c r="CW129" s="3"/>
    </row>
    <row r="130" spans="1:101" ht="14.25" customHeight="1" x14ac:dyDescent="0.2">
      <c r="A130" s="286"/>
      <c r="B130" s="52">
        <v>0.15819318298341756</v>
      </c>
      <c r="C130" s="288">
        <v>0.32774104297213447</v>
      </c>
      <c r="D130" s="288">
        <v>1.4802885020479661E-2</v>
      </c>
      <c r="E130" s="288">
        <v>1.4503992789303921E-2</v>
      </c>
      <c r="F130" s="289">
        <v>0.77832265599266715</v>
      </c>
      <c r="G130" s="92">
        <v>0.34818763537837583</v>
      </c>
      <c r="H130" s="288">
        <v>0.86220391505633065</v>
      </c>
      <c r="I130" s="288">
        <v>1.5134393189322127E-2</v>
      </c>
      <c r="J130" s="288">
        <v>0.43517212218173784</v>
      </c>
      <c r="K130" s="288">
        <v>0.76017864242735267</v>
      </c>
      <c r="L130" s="290">
        <v>9752.6545975525987</v>
      </c>
      <c r="M130" s="288">
        <v>0</v>
      </c>
      <c r="N130" s="288">
        <v>23320.179049254562</v>
      </c>
      <c r="O130" s="288">
        <v>1288.5050143435706</v>
      </c>
      <c r="P130" s="288">
        <v>57164.700702657137</v>
      </c>
      <c r="Q130" s="291">
        <v>107663.65989944284</v>
      </c>
      <c r="R130" s="288">
        <v>17331.259101432966</v>
      </c>
      <c r="S130" s="288">
        <v>8268.9967790384944</v>
      </c>
      <c r="T130" s="290">
        <v>0.751</v>
      </c>
      <c r="U130" s="288">
        <v>0.75800000000000001</v>
      </c>
      <c r="V130" s="288">
        <v>0.723923076923077</v>
      </c>
      <c r="W130" s="288">
        <v>0.72750000000000004</v>
      </c>
      <c r="X130" s="288">
        <v>0.76</v>
      </c>
      <c r="Y130" s="288">
        <v>0</v>
      </c>
      <c r="Z130" s="289">
        <v>0</v>
      </c>
      <c r="AA130" s="229"/>
      <c r="AB130" s="52">
        <v>74840.493041143782</v>
      </c>
      <c r="AC130" s="288">
        <v>3.1345716779783794</v>
      </c>
      <c r="AD130" s="288">
        <v>69035.017380282152</v>
      </c>
      <c r="AE130" s="288">
        <v>3.0551752298581398</v>
      </c>
      <c r="AF130" s="288">
        <v>5805.4756608616299</v>
      </c>
      <c r="AG130" s="289">
        <v>7.9396448120239604E-2</v>
      </c>
      <c r="AH130" s="229"/>
      <c r="AI130" s="205">
        <f t="shared" si="12"/>
        <v>238616.67475669415</v>
      </c>
      <c r="AJ130" s="205">
        <f t="shared" si="13"/>
        <v>236482.5056055318</v>
      </c>
      <c r="AK130" s="205">
        <f t="shared" si="14"/>
        <v>2134.1691511623303</v>
      </c>
      <c r="AL130" s="229"/>
      <c r="AM130" s="52">
        <f t="shared" si="4"/>
        <v>1</v>
      </c>
      <c r="AN130" s="52">
        <f t="shared" si="5"/>
        <v>0</v>
      </c>
      <c r="AO130" s="52">
        <f t="shared" si="6"/>
        <v>1</v>
      </c>
      <c r="AP130" s="229"/>
      <c r="AQ130" s="3"/>
      <c r="AR130" s="3"/>
      <c r="AS130" s="3"/>
      <c r="AT130" s="3"/>
      <c r="AU130" s="229"/>
      <c r="AV130" s="318">
        <f t="shared" si="15"/>
        <v>238616.67475669415</v>
      </c>
      <c r="AW130" s="229"/>
      <c r="AX130" s="312"/>
      <c r="AY130" s="14"/>
      <c r="AZ130" s="14">
        <f t="shared" si="17"/>
        <v>5805.4756608616299</v>
      </c>
      <c r="BA130" s="14">
        <f t="shared" si="16"/>
        <v>7.9396448120239604E-2</v>
      </c>
      <c r="BB130" s="14">
        <f t="shared" si="2"/>
        <v>73120.092879592034</v>
      </c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3"/>
      <c r="CT130" s="3"/>
      <c r="CU130" s="3"/>
      <c r="CV130" s="3"/>
      <c r="CW130" s="3"/>
    </row>
    <row r="131" spans="1:101" ht="14.25" customHeight="1" x14ac:dyDescent="0.2">
      <c r="A131" s="286"/>
      <c r="B131" s="52">
        <v>0.16010554982953329</v>
      </c>
      <c r="C131" s="288">
        <v>0.4396970471341356</v>
      </c>
      <c r="D131" s="288">
        <v>1.573037538791866E-2</v>
      </c>
      <c r="E131" s="288">
        <v>1.2966907930369998E-2</v>
      </c>
      <c r="F131" s="289">
        <v>0.79644565414353874</v>
      </c>
      <c r="G131" s="92">
        <v>0.41714864779754102</v>
      </c>
      <c r="H131" s="288">
        <v>0.97186874167684878</v>
      </c>
      <c r="I131" s="288">
        <v>5.7730299173154075E-3</v>
      </c>
      <c r="J131" s="288">
        <v>0.99999999999999667</v>
      </c>
      <c r="K131" s="288">
        <v>0.71962149897275907</v>
      </c>
      <c r="L131" s="290">
        <v>10831.738089226423</v>
      </c>
      <c r="M131" s="288">
        <v>0</v>
      </c>
      <c r="N131" s="288">
        <v>17150.289201916479</v>
      </c>
      <c r="O131" s="288">
        <v>1232.4056878320064</v>
      </c>
      <c r="P131" s="288">
        <v>46210.149231054427</v>
      </c>
      <c r="Q131" s="291">
        <v>125567.07873857504</v>
      </c>
      <c r="R131" s="288">
        <v>20515.113352387376</v>
      </c>
      <c r="S131" s="288">
        <v>10818.055523566883</v>
      </c>
      <c r="T131" s="290">
        <v>0.751</v>
      </c>
      <c r="U131" s="288">
        <v>0.75800000000000001</v>
      </c>
      <c r="V131" s="288">
        <v>0.723923076923077</v>
      </c>
      <c r="W131" s="288">
        <v>0.72750000000000004</v>
      </c>
      <c r="X131" s="288">
        <v>0.76</v>
      </c>
      <c r="Y131" s="288">
        <v>0</v>
      </c>
      <c r="Z131" s="289">
        <v>0</v>
      </c>
      <c r="AA131" s="229"/>
      <c r="AB131" s="52">
        <v>98109.61430871395</v>
      </c>
      <c r="AC131" s="288">
        <v>3.2188790444882494</v>
      </c>
      <c r="AD131" s="288">
        <v>86887.422447065124</v>
      </c>
      <c r="AE131" s="288">
        <v>2.8691730965303344</v>
      </c>
      <c r="AF131" s="288">
        <v>11222.191861648826</v>
      </c>
      <c r="AG131" s="289">
        <v>0.34970594795791499</v>
      </c>
      <c r="AH131" s="229"/>
      <c r="AI131" s="205">
        <f t="shared" si="12"/>
        <v>223778.290140111</v>
      </c>
      <c r="AJ131" s="205">
        <f t="shared" si="13"/>
        <v>200029.88720596832</v>
      </c>
      <c r="AK131" s="205">
        <f t="shared" si="14"/>
        <v>23748.402934142672</v>
      </c>
      <c r="AL131" s="229"/>
      <c r="AM131" s="52">
        <f t="shared" si="4"/>
        <v>1</v>
      </c>
      <c r="AN131" s="52">
        <f t="shared" si="5"/>
        <v>0</v>
      </c>
      <c r="AO131" s="52">
        <f t="shared" si="6"/>
        <v>1</v>
      </c>
      <c r="AP131" s="229"/>
      <c r="AQ131" s="3"/>
      <c r="AR131" s="3"/>
      <c r="AS131" s="3"/>
      <c r="AT131" s="3"/>
      <c r="AU131" s="229"/>
      <c r="AV131" s="318">
        <f t="shared" si="15"/>
        <v>223778.290140111</v>
      </c>
      <c r="AW131" s="229"/>
      <c r="AX131" s="312"/>
      <c r="AY131" s="14"/>
      <c r="AZ131" s="14">
        <f t="shared" si="17"/>
        <v>11222.191861648826</v>
      </c>
      <c r="BA131" s="14">
        <f t="shared" si="16"/>
        <v>0.34970594795791499</v>
      </c>
      <c r="BB131" s="14">
        <f t="shared" si="2"/>
        <v>32090.365998005127</v>
      </c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3"/>
      <c r="CT131" s="3"/>
      <c r="CU131" s="3"/>
      <c r="CV131" s="3"/>
      <c r="CW131" s="3"/>
    </row>
    <row r="132" spans="1:101" ht="14.25" customHeight="1" x14ac:dyDescent="0.2">
      <c r="A132" s="286"/>
      <c r="B132" s="52">
        <v>0.12152139520449357</v>
      </c>
      <c r="C132" s="288">
        <v>0.17341895803261576</v>
      </c>
      <c r="D132" s="288">
        <v>1.8450642272120676E-2</v>
      </c>
      <c r="E132" s="288">
        <v>1.4738689284969242E-2</v>
      </c>
      <c r="F132" s="289">
        <v>0.80077245723429336</v>
      </c>
      <c r="G132" s="92">
        <v>0.37903734568015907</v>
      </c>
      <c r="H132" s="288">
        <v>0.55605759229419072</v>
      </c>
      <c r="I132" s="288">
        <v>3.3347083207776684E-2</v>
      </c>
      <c r="J132" s="288">
        <v>1</v>
      </c>
      <c r="K132" s="288">
        <v>0.73633451404887718</v>
      </c>
      <c r="L132" s="290">
        <v>11055.83346109283</v>
      </c>
      <c r="M132" s="288">
        <v>0</v>
      </c>
      <c r="N132" s="288">
        <v>16251.214769881506</v>
      </c>
      <c r="O132" s="288">
        <v>1131.8640269306402</v>
      </c>
      <c r="P132" s="288">
        <v>42156.198270332687</v>
      </c>
      <c r="Q132" s="291">
        <v>71110.684202904988</v>
      </c>
      <c r="R132" s="288">
        <v>22803.860787675792</v>
      </c>
      <c r="S132" s="288">
        <v>6127.2651952376164</v>
      </c>
      <c r="T132" s="290">
        <v>0.751</v>
      </c>
      <c r="U132" s="288">
        <v>0.75800000000000001</v>
      </c>
      <c r="V132" s="288">
        <v>0.723923076923077</v>
      </c>
      <c r="W132" s="288">
        <v>0.72750000000000004</v>
      </c>
      <c r="X132" s="288">
        <v>0.76</v>
      </c>
      <c r="Y132" s="288">
        <v>0</v>
      </c>
      <c r="Z132" s="289">
        <v>0</v>
      </c>
      <c r="AA132" s="229"/>
      <c r="AB132" s="52">
        <v>60421.33344634033</v>
      </c>
      <c r="AC132" s="288">
        <v>3.23908331528785</v>
      </c>
      <c r="AD132" s="288">
        <v>51750.888413352215</v>
      </c>
      <c r="AE132" s="288">
        <v>2.9455078249865667</v>
      </c>
      <c r="AF132" s="288">
        <v>8670.4450329881147</v>
      </c>
      <c r="AG132" s="289">
        <v>0.29357549030128327</v>
      </c>
      <c r="AH132" s="229"/>
      <c r="AI132" s="205">
        <f t="shared" si="12"/>
        <v>263486.99808244465</v>
      </c>
      <c r="AJ132" s="205">
        <f t="shared" si="13"/>
        <v>242799.89408530443</v>
      </c>
      <c r="AK132" s="205">
        <f t="shared" si="14"/>
        <v>20687.103997140213</v>
      </c>
      <c r="AL132" s="229"/>
      <c r="AM132" s="52">
        <f t="shared" si="4"/>
        <v>1</v>
      </c>
      <c r="AN132" s="52">
        <f t="shared" si="5"/>
        <v>0</v>
      </c>
      <c r="AO132" s="52">
        <f t="shared" si="6"/>
        <v>1</v>
      </c>
      <c r="AP132" s="229"/>
      <c r="AQ132" s="3"/>
      <c r="AR132" s="3"/>
      <c r="AS132" s="3"/>
      <c r="AT132" s="3"/>
      <c r="AU132" s="229"/>
      <c r="AV132" s="318">
        <f t="shared" si="15"/>
        <v>263486.99808244465</v>
      </c>
      <c r="AW132" s="229"/>
      <c r="AX132" s="312"/>
      <c r="AY132" s="14"/>
      <c r="AZ132" s="14">
        <f t="shared" si="17"/>
        <v>8670.4450329881147</v>
      </c>
      <c r="BA132" s="14">
        <f t="shared" si="16"/>
        <v>0.29357549030128327</v>
      </c>
      <c r="BB132" s="14">
        <f t="shared" si="2"/>
        <v>29533.954023512073</v>
      </c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3"/>
      <c r="CT132" s="3"/>
      <c r="CU132" s="3"/>
      <c r="CV132" s="3"/>
      <c r="CW132" s="3"/>
    </row>
    <row r="133" spans="1:101" ht="14.25" customHeight="1" x14ac:dyDescent="0.2">
      <c r="A133" s="286"/>
      <c r="B133" s="52">
        <v>0.20032741404613585</v>
      </c>
      <c r="C133" s="288">
        <v>0.92685444477507173</v>
      </c>
      <c r="D133" s="288">
        <v>2.341601656293768E-2</v>
      </c>
      <c r="E133" s="288">
        <v>6.5096000828451673E-3</v>
      </c>
      <c r="F133" s="289">
        <v>0.78082977258952513</v>
      </c>
      <c r="G133" s="92">
        <v>0.38008894518897801</v>
      </c>
      <c r="H133" s="288">
        <v>0.47119665035497255</v>
      </c>
      <c r="I133" s="288">
        <v>1.8880698229463366E-2</v>
      </c>
      <c r="J133" s="288">
        <v>0.69893163671734937</v>
      </c>
      <c r="K133" s="288">
        <v>0.76677106480132196</v>
      </c>
      <c r="L133" s="290">
        <v>13149.951546897408</v>
      </c>
      <c r="M133" s="288">
        <v>0</v>
      </c>
      <c r="N133" s="288">
        <v>24057.298715647452</v>
      </c>
      <c r="O133" s="288">
        <v>1330.4601559236544</v>
      </c>
      <c r="P133" s="288">
        <v>34819.652437107783</v>
      </c>
      <c r="Q133" s="291">
        <v>72673.815543543824</v>
      </c>
      <c r="R133" s="288">
        <v>21646.640499667512</v>
      </c>
      <c r="S133" s="288">
        <v>10125.609416854746</v>
      </c>
      <c r="T133" s="290">
        <v>0.751</v>
      </c>
      <c r="U133" s="288">
        <v>0.75800000000000001</v>
      </c>
      <c r="V133" s="288">
        <v>0.723923076923077</v>
      </c>
      <c r="W133" s="288">
        <v>0.72750000000000004</v>
      </c>
      <c r="X133" s="288">
        <v>0.76</v>
      </c>
      <c r="Y133" s="288">
        <v>0</v>
      </c>
      <c r="Z133" s="289">
        <v>0</v>
      </c>
      <c r="AA133" s="229"/>
      <c r="AB133" s="52">
        <v>96069.613130403377</v>
      </c>
      <c r="AC133" s="288">
        <v>3.1462039667831876</v>
      </c>
      <c r="AD133" s="288">
        <v>82689.478956015446</v>
      </c>
      <c r="AE133" s="288">
        <v>3.0856542014066637</v>
      </c>
      <c r="AF133" s="288">
        <v>13380.134174387931</v>
      </c>
      <c r="AG133" s="289">
        <v>6.0549765376523901E-2</v>
      </c>
      <c r="AH133" s="229"/>
      <c r="AI133" s="205">
        <f t="shared" si="12"/>
        <v>218550.78354791534</v>
      </c>
      <c r="AJ133" s="205">
        <f t="shared" si="13"/>
        <v>225875.94118465093</v>
      </c>
      <c r="AK133" s="205">
        <f t="shared" si="14"/>
        <v>-7325.157636735541</v>
      </c>
      <c r="AL133" s="229"/>
      <c r="AM133" s="52">
        <f t="shared" si="4"/>
        <v>0</v>
      </c>
      <c r="AN133" s="52">
        <f t="shared" si="5"/>
        <v>1</v>
      </c>
      <c r="AO133" s="52">
        <f t="shared" si="6"/>
        <v>0</v>
      </c>
      <c r="AP133" s="229"/>
      <c r="AQ133" s="3"/>
      <c r="AR133" s="3"/>
      <c r="AS133" s="3"/>
      <c r="AT133" s="3"/>
      <c r="AU133" s="229"/>
      <c r="AV133" s="318">
        <f t="shared" si="15"/>
        <v>225875.94118465093</v>
      </c>
      <c r="AW133" s="229"/>
      <c r="AX133" s="312"/>
      <c r="AY133" s="14"/>
      <c r="AZ133" s="14">
        <f t="shared" si="17"/>
        <v>13380.134174387931</v>
      </c>
      <c r="BA133" s="14">
        <f t="shared" si="16"/>
        <v>6.0549765376523901E-2</v>
      </c>
      <c r="BB133" s="14">
        <f t="shared" si="2"/>
        <v>220977.47350769455</v>
      </c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3"/>
      <c r="CT133" s="3"/>
      <c r="CU133" s="3"/>
      <c r="CV133" s="3"/>
      <c r="CW133" s="3"/>
    </row>
    <row r="134" spans="1:101" ht="14.25" customHeight="1" x14ac:dyDescent="0.2">
      <c r="A134" s="286"/>
      <c r="B134" s="52">
        <v>0.14933691512200634</v>
      </c>
      <c r="C134" s="288">
        <v>0.39934127918157625</v>
      </c>
      <c r="D134" s="288">
        <v>1.2226354614117377E-2</v>
      </c>
      <c r="E134" s="288">
        <v>1.9689133392434277E-2</v>
      </c>
      <c r="F134" s="289">
        <v>0.7807881141516213</v>
      </c>
      <c r="G134" s="92">
        <v>0.38754187647291738</v>
      </c>
      <c r="H134" s="288">
        <v>0.8725988559488127</v>
      </c>
      <c r="I134" s="288">
        <v>3.1959854657137243E-2</v>
      </c>
      <c r="J134" s="288">
        <v>0.99999996573967875</v>
      </c>
      <c r="K134" s="288">
        <v>0.71977674444124673</v>
      </c>
      <c r="L134" s="290">
        <v>13343.451084921109</v>
      </c>
      <c r="M134" s="288">
        <v>0</v>
      </c>
      <c r="N134" s="288">
        <v>17637.857467919745</v>
      </c>
      <c r="O134" s="288">
        <v>1017.6072972107805</v>
      </c>
      <c r="P134" s="288">
        <v>47621.338086053445</v>
      </c>
      <c r="Q134" s="291">
        <v>91805.098894231254</v>
      </c>
      <c r="R134" s="288">
        <v>19192.268558807216</v>
      </c>
      <c r="S134" s="288">
        <v>6742.9477510146726</v>
      </c>
      <c r="T134" s="290">
        <v>0.751</v>
      </c>
      <c r="U134" s="288">
        <v>0.75800000000000001</v>
      </c>
      <c r="V134" s="288">
        <v>0.723923076923077</v>
      </c>
      <c r="W134" s="288">
        <v>0.72750000000000004</v>
      </c>
      <c r="X134" s="288">
        <v>0.76</v>
      </c>
      <c r="Y134" s="288">
        <v>0</v>
      </c>
      <c r="Z134" s="289">
        <v>0</v>
      </c>
      <c r="AA134" s="229"/>
      <c r="AB134" s="52">
        <v>66943.630025440216</v>
      </c>
      <c r="AC134" s="288">
        <v>3.1460106032496085</v>
      </c>
      <c r="AD134" s="288">
        <v>57113.517972734182</v>
      </c>
      <c r="AE134" s="288">
        <v>2.8698801360379451</v>
      </c>
      <c r="AF134" s="288">
        <v>9830.1120527060339</v>
      </c>
      <c r="AG134" s="289">
        <v>0.27613046721166334</v>
      </c>
      <c r="AH134" s="229"/>
      <c r="AI134" s="205">
        <f t="shared" si="12"/>
        <v>247657.43029952064</v>
      </c>
      <c r="AJ134" s="205">
        <f t="shared" si="13"/>
        <v>229874.49563106033</v>
      </c>
      <c r="AK134" s="205">
        <f t="shared" si="14"/>
        <v>17782.934668460301</v>
      </c>
      <c r="AL134" s="229"/>
      <c r="AM134" s="52">
        <f t="shared" si="4"/>
        <v>1</v>
      </c>
      <c r="AN134" s="52">
        <f t="shared" si="5"/>
        <v>0</v>
      </c>
      <c r="AO134" s="52">
        <f t="shared" si="6"/>
        <v>1</v>
      </c>
      <c r="AP134" s="229"/>
      <c r="AQ134" s="3"/>
      <c r="AR134" s="3"/>
      <c r="AS134" s="3"/>
      <c r="AT134" s="3"/>
      <c r="AU134" s="229"/>
      <c r="AV134" s="318">
        <f t="shared" si="15"/>
        <v>247657.43029952064</v>
      </c>
      <c r="AW134" s="229"/>
      <c r="AX134" s="312"/>
      <c r="AY134" s="14"/>
      <c r="AZ134" s="14">
        <f t="shared" si="17"/>
        <v>9830.1120527060339</v>
      </c>
      <c r="BA134" s="14">
        <f t="shared" si="16"/>
        <v>0.27613046721166334</v>
      </c>
      <c r="BB134" s="14">
        <f t="shared" si="2"/>
        <v>35599.519864538961</v>
      </c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3"/>
      <c r="CT134" s="3"/>
      <c r="CU134" s="3"/>
      <c r="CV134" s="3"/>
      <c r="CW134" s="3"/>
    </row>
    <row r="135" spans="1:101" ht="14.25" customHeight="1" x14ac:dyDescent="0.2">
      <c r="A135" s="286"/>
      <c r="B135" s="52">
        <v>0.19708527328791958</v>
      </c>
      <c r="C135" s="288">
        <v>0.8036139285199656</v>
      </c>
      <c r="D135" s="288">
        <v>1.6532149472856861E-2</v>
      </c>
      <c r="E135" s="288">
        <v>1.8697756629666662E-2</v>
      </c>
      <c r="F135" s="289">
        <v>0.80387284087934563</v>
      </c>
      <c r="G135" s="92">
        <v>0.47935924559049625</v>
      </c>
      <c r="H135" s="288">
        <v>0.73396506830599151</v>
      </c>
      <c r="I135" s="288">
        <v>1.8287335621863132E-2</v>
      </c>
      <c r="J135" s="288">
        <v>0.99971937582902026</v>
      </c>
      <c r="K135" s="288">
        <v>0.73652021681322255</v>
      </c>
      <c r="L135" s="290">
        <v>11052.780415501604</v>
      </c>
      <c r="M135" s="288">
        <v>0</v>
      </c>
      <c r="N135" s="288">
        <v>17063.331043624235</v>
      </c>
      <c r="O135" s="288">
        <v>1587.2621179129112</v>
      </c>
      <c r="P135" s="288">
        <v>41135.410114084727</v>
      </c>
      <c r="Q135" s="291">
        <v>104346.75921341522</v>
      </c>
      <c r="R135" s="288">
        <v>25580.373253505782</v>
      </c>
      <c r="S135" s="288">
        <v>8054.7221028114409</v>
      </c>
      <c r="T135" s="290">
        <v>0.751</v>
      </c>
      <c r="U135" s="288">
        <v>0.75800000000000001</v>
      </c>
      <c r="V135" s="288">
        <v>0.723923076923077</v>
      </c>
      <c r="W135" s="288">
        <v>0.72750000000000004</v>
      </c>
      <c r="X135" s="288">
        <v>0.76</v>
      </c>
      <c r="Y135" s="288">
        <v>0</v>
      </c>
      <c r="Z135" s="289">
        <v>0</v>
      </c>
      <c r="AA135" s="229"/>
      <c r="AB135" s="52">
        <v>79877.59650518866</v>
      </c>
      <c r="AC135" s="288">
        <v>3.2535788047470402</v>
      </c>
      <c r="AD135" s="288">
        <v>70357.115558630801</v>
      </c>
      <c r="AE135" s="288">
        <v>2.9463584737423045</v>
      </c>
      <c r="AF135" s="288">
        <v>9520.4809465578583</v>
      </c>
      <c r="AG135" s="289">
        <v>0.30722033100473567</v>
      </c>
      <c r="AH135" s="229"/>
      <c r="AI135" s="205">
        <f t="shared" si="12"/>
        <v>245480.28396951535</v>
      </c>
      <c r="AJ135" s="205">
        <f t="shared" si="13"/>
        <v>224278.73181559966</v>
      </c>
      <c r="AK135" s="205">
        <f t="shared" si="14"/>
        <v>21201.552153915709</v>
      </c>
      <c r="AL135" s="229"/>
      <c r="AM135" s="52">
        <f t="shared" si="4"/>
        <v>1</v>
      </c>
      <c r="AN135" s="52">
        <f t="shared" si="5"/>
        <v>0</v>
      </c>
      <c r="AO135" s="52">
        <f t="shared" si="6"/>
        <v>1</v>
      </c>
      <c r="AP135" s="229"/>
      <c r="AQ135" s="3"/>
      <c r="AR135" s="3"/>
      <c r="AS135" s="3"/>
      <c r="AT135" s="3"/>
      <c r="AU135" s="229"/>
      <c r="AV135" s="318">
        <f t="shared" si="15"/>
        <v>245480.28396951535</v>
      </c>
      <c r="AW135" s="229"/>
      <c r="AX135" s="312"/>
      <c r="AY135" s="14"/>
      <c r="AZ135" s="14">
        <f t="shared" si="17"/>
        <v>9520.4809465578583</v>
      </c>
      <c r="BA135" s="14">
        <f t="shared" si="16"/>
        <v>0.30722033100473567</v>
      </c>
      <c r="BB135" s="14">
        <f t="shared" si="2"/>
        <v>30989.098004751202</v>
      </c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3"/>
      <c r="CT135" s="3"/>
      <c r="CU135" s="3"/>
      <c r="CV135" s="3"/>
      <c r="CW135" s="3"/>
    </row>
    <row r="136" spans="1:101" ht="14.25" customHeight="1" x14ac:dyDescent="0.2">
      <c r="A136" s="286"/>
      <c r="B136" s="52">
        <v>0.16306755819227303</v>
      </c>
      <c r="C136" s="288">
        <v>0.22547389851537591</v>
      </c>
      <c r="D136" s="288">
        <v>1.3237254463457165E-2</v>
      </c>
      <c r="E136" s="288">
        <v>3.5337881906670865E-2</v>
      </c>
      <c r="F136" s="289">
        <v>0.79517265393288827</v>
      </c>
      <c r="G136" s="92">
        <v>0.36545675933844951</v>
      </c>
      <c r="H136" s="288">
        <v>4.0767350292794095E-2</v>
      </c>
      <c r="I136" s="288">
        <v>2.3152462280074504E-2</v>
      </c>
      <c r="J136" s="288">
        <v>0.99999886349499556</v>
      </c>
      <c r="K136" s="288">
        <v>0.81673984540706734</v>
      </c>
      <c r="L136" s="290">
        <v>13032.54484428425</v>
      </c>
      <c r="M136" s="288">
        <v>0</v>
      </c>
      <c r="N136" s="288">
        <v>16996.865460592977</v>
      </c>
      <c r="O136" s="288">
        <v>1114.2721216356192</v>
      </c>
      <c r="P136" s="288">
        <v>38433.577891841087</v>
      </c>
      <c r="Q136" s="291">
        <v>112825.89030771592</v>
      </c>
      <c r="R136" s="288">
        <v>19394.864081557018</v>
      </c>
      <c r="S136" s="288">
        <v>6283.5320839463484</v>
      </c>
      <c r="T136" s="290">
        <v>0.751</v>
      </c>
      <c r="U136" s="288">
        <v>0.75800000000000001</v>
      </c>
      <c r="V136" s="288">
        <v>0.723923076923077</v>
      </c>
      <c r="W136" s="288">
        <v>0.72750000000000004</v>
      </c>
      <c r="X136" s="288">
        <v>0.76</v>
      </c>
      <c r="Y136" s="288">
        <v>0</v>
      </c>
      <c r="Z136" s="289">
        <v>0</v>
      </c>
      <c r="AA136" s="229"/>
      <c r="AB136" s="52">
        <v>63651.817034652457</v>
      </c>
      <c r="AC136" s="288">
        <v>3.2129402829668834</v>
      </c>
      <c r="AD136" s="288">
        <v>53324.219218011094</v>
      </c>
      <c r="AE136" s="288">
        <v>3.318904044866136</v>
      </c>
      <c r="AF136" s="288">
        <v>10327.597816641362</v>
      </c>
      <c r="AG136" s="289">
        <v>-0.10596376189925261</v>
      </c>
      <c r="AH136" s="229"/>
      <c r="AI136" s="205">
        <f t="shared" si="12"/>
        <v>257642.21126203588</v>
      </c>
      <c r="AJ136" s="205">
        <f t="shared" si="13"/>
        <v>278566.18526860251</v>
      </c>
      <c r="AK136" s="205">
        <f t="shared" si="14"/>
        <v>-20923.974006566623</v>
      </c>
      <c r="AL136" s="229"/>
      <c r="AM136" s="52">
        <f t="shared" si="4"/>
        <v>0</v>
      </c>
      <c r="AN136" s="52">
        <f t="shared" si="5"/>
        <v>1</v>
      </c>
      <c r="AO136" s="52">
        <f t="shared" si="6"/>
        <v>0</v>
      </c>
      <c r="AP136" s="229"/>
      <c r="AQ136" s="3"/>
      <c r="AR136" s="3"/>
      <c r="AS136" s="3"/>
      <c r="AT136" s="3"/>
      <c r="AU136" s="229"/>
      <c r="AV136" s="318">
        <f t="shared" si="15"/>
        <v>278566.18526860251</v>
      </c>
      <c r="AW136" s="229"/>
      <c r="AX136" s="312"/>
      <c r="AY136" s="14"/>
      <c r="AZ136" s="14">
        <f t="shared" si="17"/>
        <v>10327.597816641362</v>
      </c>
      <c r="BA136" s="14">
        <f t="shared" si="16"/>
        <v>-0.10596376189925261</v>
      </c>
      <c r="BB136" s="14">
        <f t="shared" si="2"/>
        <v>-97463.487814452601</v>
      </c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3"/>
      <c r="CT136" s="3"/>
      <c r="CU136" s="3"/>
      <c r="CV136" s="3"/>
      <c r="CW136" s="3"/>
    </row>
    <row r="137" spans="1:101" ht="14.25" customHeight="1" x14ac:dyDescent="0.2">
      <c r="A137" s="286"/>
      <c r="B137" s="52">
        <v>0.15209714830156978</v>
      </c>
      <c r="C137" s="288">
        <v>0.24357141037687779</v>
      </c>
      <c r="D137" s="288">
        <v>8.1522994843153413E-3</v>
      </c>
      <c r="E137" s="288">
        <v>2.0283132600586118E-2</v>
      </c>
      <c r="F137" s="289">
        <v>0.78472944286696167</v>
      </c>
      <c r="G137" s="92">
        <v>0.44732497516654346</v>
      </c>
      <c r="H137" s="288">
        <v>0.1395946442687763</v>
      </c>
      <c r="I137" s="288">
        <v>1.445958494019565E-2</v>
      </c>
      <c r="J137" s="288">
        <v>1</v>
      </c>
      <c r="K137" s="288">
        <v>0.68864434301164745</v>
      </c>
      <c r="L137" s="290">
        <v>11636.429917092251</v>
      </c>
      <c r="M137" s="288">
        <v>0</v>
      </c>
      <c r="N137" s="288">
        <v>26427.095292121354</v>
      </c>
      <c r="O137" s="288">
        <v>1449.0674419509023</v>
      </c>
      <c r="P137" s="288">
        <v>57631.246848415722</v>
      </c>
      <c r="Q137" s="291">
        <v>115010.55451937857</v>
      </c>
      <c r="R137" s="288">
        <v>21400.050792277409</v>
      </c>
      <c r="S137" s="288">
        <v>11170.462634231828</v>
      </c>
      <c r="T137" s="290">
        <v>0.751</v>
      </c>
      <c r="U137" s="288">
        <v>0.75800000000000001</v>
      </c>
      <c r="V137" s="288">
        <v>0.723923076923077</v>
      </c>
      <c r="W137" s="288">
        <v>0.72750000000000004</v>
      </c>
      <c r="X137" s="288">
        <v>0.76</v>
      </c>
      <c r="Y137" s="288">
        <v>0</v>
      </c>
      <c r="Z137" s="289">
        <v>0</v>
      </c>
      <c r="AA137" s="229"/>
      <c r="AB137" s="52">
        <v>99595.712571796379</v>
      </c>
      <c r="AC137" s="288">
        <v>3.1643168919513678</v>
      </c>
      <c r="AD137" s="288">
        <v>79992.376562715464</v>
      </c>
      <c r="AE137" s="288">
        <v>2.7288528858244145</v>
      </c>
      <c r="AF137" s="288">
        <v>19603.336009080915</v>
      </c>
      <c r="AG137" s="289">
        <v>0.43546400612695324</v>
      </c>
      <c r="AH137" s="229"/>
      <c r="AI137" s="205">
        <f t="shared" si="12"/>
        <v>216835.97662334039</v>
      </c>
      <c r="AJ137" s="205">
        <f t="shared" si="13"/>
        <v>192892.91201972601</v>
      </c>
      <c r="AK137" s="205">
        <f t="shared" si="14"/>
        <v>23943.06460361441</v>
      </c>
      <c r="AL137" s="229"/>
      <c r="AM137" s="52">
        <f t="shared" si="4"/>
        <v>1</v>
      </c>
      <c r="AN137" s="52">
        <f t="shared" si="5"/>
        <v>0</v>
      </c>
      <c r="AO137" s="52">
        <f t="shared" si="6"/>
        <v>1</v>
      </c>
      <c r="AP137" s="229"/>
      <c r="AQ137" s="3"/>
      <c r="AR137" s="3"/>
      <c r="AS137" s="3"/>
      <c r="AT137" s="3"/>
      <c r="AU137" s="229"/>
      <c r="AV137" s="318">
        <f t="shared" si="15"/>
        <v>216835.97662334039</v>
      </c>
      <c r="AW137" s="229"/>
      <c r="AX137" s="312"/>
      <c r="AY137" s="14"/>
      <c r="AZ137" s="14">
        <f t="shared" si="17"/>
        <v>19603.336009080915</v>
      </c>
      <c r="BA137" s="14">
        <f t="shared" si="16"/>
        <v>0.43546400612695324</v>
      </c>
      <c r="BB137" s="14">
        <f t="shared" si="2"/>
        <v>45017.121353919305</v>
      </c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3"/>
      <c r="CT137" s="3"/>
      <c r="CU137" s="3"/>
      <c r="CV137" s="3"/>
      <c r="CW137" s="3"/>
    </row>
    <row r="138" spans="1:101" ht="14.25" customHeight="1" x14ac:dyDescent="0.2">
      <c r="A138" s="286"/>
      <c r="B138" s="52">
        <v>0.21039569447020856</v>
      </c>
      <c r="C138" s="288">
        <v>4.9989140399214128E-2</v>
      </c>
      <c r="D138" s="288">
        <v>9.3616238183366618E-3</v>
      </c>
      <c r="E138" s="288">
        <v>1.4644051962910187E-2</v>
      </c>
      <c r="F138" s="289">
        <v>0.81566574279290704</v>
      </c>
      <c r="G138" s="92">
        <v>0.41720956099441997</v>
      </c>
      <c r="H138" s="288">
        <v>5.0267088246603621E-2</v>
      </c>
      <c r="I138" s="288">
        <v>1.4937629780271957E-2</v>
      </c>
      <c r="J138" s="288">
        <v>0.98087158891747928</v>
      </c>
      <c r="K138" s="288">
        <v>0.83696815821447523</v>
      </c>
      <c r="L138" s="290">
        <v>10997.153195819505</v>
      </c>
      <c r="M138" s="288">
        <v>0</v>
      </c>
      <c r="N138" s="288">
        <v>17904.261004124586</v>
      </c>
      <c r="O138" s="288">
        <v>1063.9287556447021</v>
      </c>
      <c r="P138" s="288">
        <v>48939.601277557558</v>
      </c>
      <c r="Q138" s="291">
        <v>112398.30313764929</v>
      </c>
      <c r="R138" s="288">
        <v>22655.279077582094</v>
      </c>
      <c r="S138" s="288">
        <v>8406.6188579886457</v>
      </c>
      <c r="T138" s="290">
        <v>0.751</v>
      </c>
      <c r="U138" s="288">
        <v>0.75800000000000001</v>
      </c>
      <c r="V138" s="288">
        <v>0.723923076923077</v>
      </c>
      <c r="W138" s="288">
        <v>0.72750000000000004</v>
      </c>
      <c r="X138" s="288">
        <v>0.76</v>
      </c>
      <c r="Y138" s="288">
        <v>0</v>
      </c>
      <c r="Z138" s="289">
        <v>0</v>
      </c>
      <c r="AA138" s="229"/>
      <c r="AB138" s="52">
        <v>79582.472846507473</v>
      </c>
      <c r="AC138" s="288">
        <v>3.3088529118903338</v>
      </c>
      <c r="AD138" s="288">
        <v>72188.566745815871</v>
      </c>
      <c r="AE138" s="288">
        <v>3.4144471308484641</v>
      </c>
      <c r="AF138" s="288">
        <v>7393.9061006916018</v>
      </c>
      <c r="AG138" s="289">
        <v>-0.10559421895813026</v>
      </c>
      <c r="AH138" s="229"/>
      <c r="AI138" s="205">
        <f t="shared" si="12"/>
        <v>251302.81834252589</v>
      </c>
      <c r="AJ138" s="205">
        <f t="shared" si="13"/>
        <v>269256.14633903053</v>
      </c>
      <c r="AK138" s="205">
        <f t="shared" si="14"/>
        <v>-17953.327996504628</v>
      </c>
      <c r="AL138" s="229"/>
      <c r="AM138" s="52">
        <f t="shared" si="4"/>
        <v>0</v>
      </c>
      <c r="AN138" s="52">
        <f t="shared" si="5"/>
        <v>1</v>
      </c>
      <c r="AO138" s="52">
        <f t="shared" si="6"/>
        <v>0</v>
      </c>
      <c r="AP138" s="229"/>
      <c r="AQ138" s="3"/>
      <c r="AR138" s="3"/>
      <c r="AS138" s="3"/>
      <c r="AT138" s="3"/>
      <c r="AU138" s="229"/>
      <c r="AV138" s="318">
        <f t="shared" si="15"/>
        <v>269256.14633903053</v>
      </c>
      <c r="AW138" s="229"/>
      <c r="AX138" s="312"/>
      <c r="AY138" s="14"/>
      <c r="AZ138" s="14">
        <f t="shared" si="17"/>
        <v>7393.9061006916018</v>
      </c>
      <c r="BA138" s="14">
        <f t="shared" si="16"/>
        <v>-0.10559421895813026</v>
      </c>
      <c r="BB138" s="14">
        <f t="shared" si="2"/>
        <v>-70021.883523977769</v>
      </c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3"/>
      <c r="CT138" s="3"/>
      <c r="CU138" s="3"/>
      <c r="CV138" s="3"/>
      <c r="CW138" s="3"/>
    </row>
    <row r="139" spans="1:101" ht="14.25" customHeight="1" x14ac:dyDescent="0.2">
      <c r="A139" s="286"/>
      <c r="B139" s="52">
        <v>0.18053155917245711</v>
      </c>
      <c r="C139" s="288">
        <v>0.14584013038852753</v>
      </c>
      <c r="D139" s="288">
        <v>6.0970776202686726E-3</v>
      </c>
      <c r="E139" s="288">
        <v>2.9456299441319223E-2</v>
      </c>
      <c r="F139" s="289">
        <v>0.77857025373270938</v>
      </c>
      <c r="G139" s="92">
        <v>0.32695291814507288</v>
      </c>
      <c r="H139" s="288">
        <v>0.68784417769858841</v>
      </c>
      <c r="I139" s="288">
        <v>2.7279992402453823E-2</v>
      </c>
      <c r="J139" s="288">
        <v>0.9999999999747744</v>
      </c>
      <c r="K139" s="288">
        <v>0.80441505791181833</v>
      </c>
      <c r="L139" s="290">
        <v>12974.339738691902</v>
      </c>
      <c r="M139" s="288">
        <v>0</v>
      </c>
      <c r="N139" s="288">
        <v>15121.572719137186</v>
      </c>
      <c r="O139" s="288">
        <v>1602.3089227550704</v>
      </c>
      <c r="P139" s="288">
        <v>32833.600292810537</v>
      </c>
      <c r="Q139" s="291">
        <v>103206.62052654008</v>
      </c>
      <c r="R139" s="288">
        <v>29143.907848238789</v>
      </c>
      <c r="S139" s="288">
        <v>7536.2364956825741</v>
      </c>
      <c r="T139" s="290">
        <v>0.751</v>
      </c>
      <c r="U139" s="288">
        <v>0.75800000000000001</v>
      </c>
      <c r="V139" s="288">
        <v>0.723923076923077</v>
      </c>
      <c r="W139" s="288">
        <v>0.72750000000000004</v>
      </c>
      <c r="X139" s="288">
        <v>0.76</v>
      </c>
      <c r="Y139" s="288">
        <v>0</v>
      </c>
      <c r="Z139" s="289">
        <v>0</v>
      </c>
      <c r="AA139" s="229"/>
      <c r="AB139" s="52">
        <v>72247.643369660494</v>
      </c>
      <c r="AC139" s="288">
        <v>3.1357200204310929</v>
      </c>
      <c r="AD139" s="288">
        <v>68735.611923071396</v>
      </c>
      <c r="AE139" s="288">
        <v>3.2610073742013612</v>
      </c>
      <c r="AF139" s="288">
        <v>3512.0314465890988</v>
      </c>
      <c r="AG139" s="289">
        <v>-0.12528735377026834</v>
      </c>
      <c r="AH139" s="229"/>
      <c r="AI139" s="205">
        <f t="shared" si="12"/>
        <v>241324.35867344879</v>
      </c>
      <c r="AJ139" s="205">
        <f t="shared" si="13"/>
        <v>257365.12549706473</v>
      </c>
      <c r="AK139" s="205">
        <f t="shared" si="14"/>
        <v>-16040.766823615933</v>
      </c>
      <c r="AL139" s="229"/>
      <c r="AM139" s="52">
        <f t="shared" si="4"/>
        <v>0</v>
      </c>
      <c r="AN139" s="52">
        <f t="shared" si="5"/>
        <v>1</v>
      </c>
      <c r="AO139" s="52">
        <f t="shared" si="6"/>
        <v>0</v>
      </c>
      <c r="AP139" s="229"/>
      <c r="AQ139" s="3"/>
      <c r="AR139" s="3"/>
      <c r="AS139" s="3"/>
      <c r="AT139" s="3"/>
      <c r="AU139" s="229"/>
      <c r="AV139" s="318">
        <f t="shared" si="15"/>
        <v>257365.12549706473</v>
      </c>
      <c r="AW139" s="229"/>
      <c r="AX139" s="312"/>
      <c r="AY139" s="14"/>
      <c r="AZ139" s="14">
        <f t="shared" si="17"/>
        <v>3512.0314465890988</v>
      </c>
      <c r="BA139" s="14">
        <f t="shared" si="16"/>
        <v>-0.12528735377026834</v>
      </c>
      <c r="BB139" s="14">
        <f t="shared" si="2"/>
        <v>-28031.811199627486</v>
      </c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3"/>
      <c r="CT139" s="3"/>
      <c r="CU139" s="3"/>
      <c r="CV139" s="3"/>
      <c r="CW139" s="3"/>
    </row>
    <row r="140" spans="1:101" ht="14.25" customHeight="1" x14ac:dyDescent="0.2">
      <c r="A140" s="286"/>
      <c r="B140" s="52">
        <v>0.14502584203848717</v>
      </c>
      <c r="C140" s="288">
        <v>0.66833936634576918</v>
      </c>
      <c r="D140" s="288">
        <v>1.4853403595742942E-2</v>
      </c>
      <c r="E140" s="288">
        <v>1.2455097298329663E-2</v>
      </c>
      <c r="F140" s="289">
        <v>0.79012357711765446</v>
      </c>
      <c r="G140" s="92">
        <v>0.42809873844898638</v>
      </c>
      <c r="H140" s="288">
        <v>2.2716740954707198E-2</v>
      </c>
      <c r="I140" s="288">
        <v>2.9909427399403388E-2</v>
      </c>
      <c r="J140" s="288">
        <v>0.99999999999961309</v>
      </c>
      <c r="K140" s="288">
        <v>0.69687613558422679</v>
      </c>
      <c r="L140" s="290">
        <v>15321.963085982014</v>
      </c>
      <c r="M140" s="288">
        <v>0</v>
      </c>
      <c r="N140" s="288">
        <v>15437.820365798409</v>
      </c>
      <c r="O140" s="288">
        <v>1059.8190525585089</v>
      </c>
      <c r="P140" s="288">
        <v>59573.820426798942</v>
      </c>
      <c r="Q140" s="291">
        <v>83458.653007885499</v>
      </c>
      <c r="R140" s="288">
        <v>15527.894426481796</v>
      </c>
      <c r="S140" s="288">
        <v>6928.0515132263481</v>
      </c>
      <c r="T140" s="290">
        <v>0.751</v>
      </c>
      <c r="U140" s="288">
        <v>0.75800000000000001</v>
      </c>
      <c r="V140" s="288">
        <v>0.723923076923077</v>
      </c>
      <c r="W140" s="288">
        <v>0.72750000000000004</v>
      </c>
      <c r="X140" s="288">
        <v>0.76</v>
      </c>
      <c r="Y140" s="288">
        <v>0</v>
      </c>
      <c r="Z140" s="289">
        <v>0</v>
      </c>
      <c r="AA140" s="229"/>
      <c r="AB140" s="52">
        <v>71367.800084433577</v>
      </c>
      <c r="AC140" s="288">
        <v>3.1894105185085517</v>
      </c>
      <c r="AD140" s="288">
        <v>50904.719410425983</v>
      </c>
      <c r="AE140" s="288">
        <v>2.7659936658173541</v>
      </c>
      <c r="AF140" s="288">
        <v>20463.080674007593</v>
      </c>
      <c r="AG140" s="289">
        <v>0.42341685269119766</v>
      </c>
      <c r="AH140" s="229"/>
      <c r="AI140" s="205">
        <f t="shared" si="12"/>
        <v>247573.2517664216</v>
      </c>
      <c r="AJ140" s="205">
        <f t="shared" si="13"/>
        <v>225694.64717130945</v>
      </c>
      <c r="AK140" s="205">
        <f t="shared" si="14"/>
        <v>21878.604595112171</v>
      </c>
      <c r="AL140" s="229"/>
      <c r="AM140" s="52">
        <f t="shared" si="4"/>
        <v>1</v>
      </c>
      <c r="AN140" s="52">
        <f t="shared" si="5"/>
        <v>0</v>
      </c>
      <c r="AO140" s="52">
        <f t="shared" si="6"/>
        <v>1</v>
      </c>
      <c r="AP140" s="229"/>
      <c r="AQ140" s="3"/>
      <c r="AR140" s="3"/>
      <c r="AS140" s="3"/>
      <c r="AT140" s="3"/>
      <c r="AU140" s="229"/>
      <c r="AV140" s="318">
        <f t="shared" si="15"/>
        <v>247573.2517664216</v>
      </c>
      <c r="AW140" s="229"/>
      <c r="AX140" s="312"/>
      <c r="AY140" s="14"/>
      <c r="AZ140" s="14">
        <f t="shared" si="17"/>
        <v>20463.080674007593</v>
      </c>
      <c r="BA140" s="14">
        <f t="shared" si="16"/>
        <v>0.42341685269119766</v>
      </c>
      <c r="BB140" s="14">
        <f t="shared" si="2"/>
        <v>48328.451132604139</v>
      </c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3"/>
      <c r="CT140" s="3"/>
      <c r="CU140" s="3"/>
      <c r="CV140" s="3"/>
      <c r="CW140" s="3"/>
    </row>
    <row r="141" spans="1:101" ht="14.25" customHeight="1" x14ac:dyDescent="0.2">
      <c r="A141" s="286"/>
      <c r="B141" s="52">
        <v>0.1789229095466176</v>
      </c>
      <c r="C141" s="288">
        <v>2.469745059626827E-2</v>
      </c>
      <c r="D141" s="288">
        <v>6.899283264476315E-3</v>
      </c>
      <c r="E141" s="288">
        <v>3.6102379063243206E-2</v>
      </c>
      <c r="F141" s="289">
        <v>0.79238162382750332</v>
      </c>
      <c r="G141" s="92">
        <v>0.4334612257116941</v>
      </c>
      <c r="H141" s="288">
        <v>9.2767332276530751E-2</v>
      </c>
      <c r="I141" s="288">
        <v>7.9514836083465924E-3</v>
      </c>
      <c r="J141" s="288">
        <v>1</v>
      </c>
      <c r="K141" s="288">
        <v>0.73311950395078118</v>
      </c>
      <c r="L141" s="290">
        <v>11709.28976225479</v>
      </c>
      <c r="M141" s="288">
        <v>0</v>
      </c>
      <c r="N141" s="288">
        <v>17828.648401659986</v>
      </c>
      <c r="O141" s="288">
        <v>1320.6759109214631</v>
      </c>
      <c r="P141" s="288">
        <v>48196.579500563457</v>
      </c>
      <c r="Q141" s="291">
        <v>80145.242780255823</v>
      </c>
      <c r="R141" s="288">
        <v>28268.807117797249</v>
      </c>
      <c r="S141" s="288">
        <v>11875.892865447015</v>
      </c>
      <c r="T141" s="290">
        <v>0.751</v>
      </c>
      <c r="U141" s="288">
        <v>0.75800000000000001</v>
      </c>
      <c r="V141" s="288">
        <v>0.723923076923077</v>
      </c>
      <c r="W141" s="288">
        <v>0.72750000000000004</v>
      </c>
      <c r="X141" s="288">
        <v>0.76</v>
      </c>
      <c r="Y141" s="288">
        <v>0</v>
      </c>
      <c r="Z141" s="289">
        <v>0</v>
      </c>
      <c r="AA141" s="229"/>
      <c r="AB141" s="52">
        <v>105355.26163589073</v>
      </c>
      <c r="AC141" s="288">
        <v>3.1999285505757569</v>
      </c>
      <c r="AD141" s="288">
        <v>89023.090188121831</v>
      </c>
      <c r="AE141" s="288">
        <v>2.9307894432729347</v>
      </c>
      <c r="AF141" s="288">
        <v>16332.171447768895</v>
      </c>
      <c r="AG141" s="289">
        <v>0.2691391073028222</v>
      </c>
      <c r="AH141" s="229"/>
      <c r="AI141" s="205">
        <f t="shared" si="12"/>
        <v>214637.59342168496</v>
      </c>
      <c r="AJ141" s="205">
        <f t="shared" si="13"/>
        <v>204055.85413917166</v>
      </c>
      <c r="AK141" s="205">
        <f t="shared" si="14"/>
        <v>10581.739282513325</v>
      </c>
      <c r="AL141" s="229"/>
      <c r="AM141" s="52">
        <f t="shared" si="4"/>
        <v>1</v>
      </c>
      <c r="AN141" s="52">
        <f t="shared" si="5"/>
        <v>0</v>
      </c>
      <c r="AO141" s="52">
        <f t="shared" si="6"/>
        <v>1</v>
      </c>
      <c r="AP141" s="229"/>
      <c r="AQ141" s="3"/>
      <c r="AR141" s="3"/>
      <c r="AS141" s="3"/>
      <c r="AT141" s="3"/>
      <c r="AU141" s="229"/>
      <c r="AV141" s="318">
        <f t="shared" si="15"/>
        <v>214637.59342168496</v>
      </c>
      <c r="AW141" s="229"/>
      <c r="AX141" s="312"/>
      <c r="AY141" s="14"/>
      <c r="AZ141" s="14">
        <f t="shared" si="17"/>
        <v>16332.171447768895</v>
      </c>
      <c r="BA141" s="14">
        <f t="shared" si="16"/>
        <v>0.2691391073028222</v>
      </c>
      <c r="BB141" s="14">
        <f t="shared" si="2"/>
        <v>60683.011144094831</v>
      </c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3"/>
      <c r="CT141" s="3"/>
      <c r="CU141" s="3"/>
      <c r="CV141" s="3"/>
      <c r="CW141" s="3"/>
    </row>
    <row r="142" spans="1:101" ht="14.25" customHeight="1" x14ac:dyDescent="0.2">
      <c r="A142" s="286"/>
      <c r="B142" s="52">
        <v>0.17296698927829857</v>
      </c>
      <c r="C142" s="288">
        <v>1.825409912817273E-4</v>
      </c>
      <c r="D142" s="288">
        <v>5.222262152714801E-3</v>
      </c>
      <c r="E142" s="288">
        <v>1.954821908945148E-2</v>
      </c>
      <c r="F142" s="289">
        <v>0.79876462885632638</v>
      </c>
      <c r="G142" s="92">
        <v>0.39239917989229622</v>
      </c>
      <c r="H142" s="288">
        <v>7.7866380530097035E-2</v>
      </c>
      <c r="I142" s="288">
        <v>1.0176569173724382E-2</v>
      </c>
      <c r="J142" s="288">
        <v>0.99999999998205291</v>
      </c>
      <c r="K142" s="288">
        <v>0.80864322866264093</v>
      </c>
      <c r="L142" s="290">
        <v>13005.268100272493</v>
      </c>
      <c r="M142" s="288">
        <v>0</v>
      </c>
      <c r="N142" s="288">
        <v>16259.907781571104</v>
      </c>
      <c r="O142" s="288">
        <v>1215.0400780656908</v>
      </c>
      <c r="P142" s="288">
        <v>42170.188614200219</v>
      </c>
      <c r="Q142" s="291">
        <v>95084.925201837177</v>
      </c>
      <c r="R142" s="288">
        <v>28065.158356572585</v>
      </c>
      <c r="S142" s="288">
        <v>6881.2441708423339</v>
      </c>
      <c r="T142" s="290">
        <v>0.751</v>
      </c>
      <c r="U142" s="288">
        <v>0.75800000000000001</v>
      </c>
      <c r="V142" s="288">
        <v>0.723923076923077</v>
      </c>
      <c r="W142" s="288">
        <v>0.72750000000000004</v>
      </c>
      <c r="X142" s="288">
        <v>0.76</v>
      </c>
      <c r="Y142" s="288">
        <v>0</v>
      </c>
      <c r="Z142" s="289">
        <v>0</v>
      </c>
      <c r="AA142" s="229"/>
      <c r="AB142" s="52">
        <v>67731.094209282659</v>
      </c>
      <c r="AC142" s="288">
        <v>3.2297039867282438</v>
      </c>
      <c r="AD142" s="288">
        <v>57425.00174951207</v>
      </c>
      <c r="AE142" s="288">
        <v>3.2808425624115856</v>
      </c>
      <c r="AF142" s="288">
        <v>10306.092459770589</v>
      </c>
      <c r="AG142" s="289">
        <v>-5.1138575683341791E-2</v>
      </c>
      <c r="AH142" s="229"/>
      <c r="AI142" s="205">
        <f t="shared" ref="AI142:AI205" si="18">AC142*cRatio-AB142</f>
        <v>255239.30446354172</v>
      </c>
      <c r="AJ142" s="205">
        <f t="shared" ref="AJ142:AJ205" si="19">AE142*cRatio-AD142</f>
        <v>270659.25449164654</v>
      </c>
      <c r="AK142" s="205">
        <f t="shared" ref="AK142:AK205" si="20">AG142*cRatio-AF142</f>
        <v>-15419.950028104768</v>
      </c>
      <c r="AL142" s="229"/>
      <c r="AM142" s="52">
        <f t="shared" si="4"/>
        <v>0</v>
      </c>
      <c r="AN142" s="52">
        <f t="shared" si="5"/>
        <v>1</v>
      </c>
      <c r="AO142" s="52">
        <f t="shared" si="6"/>
        <v>0</v>
      </c>
      <c r="AP142" s="229"/>
      <c r="AQ142" s="3"/>
      <c r="AR142" s="3"/>
      <c r="AS142" s="3"/>
      <c r="AT142" s="3"/>
      <c r="AU142" s="229"/>
      <c r="AV142" s="318">
        <f t="shared" si="15"/>
        <v>270659.25449164654</v>
      </c>
      <c r="AW142" s="229"/>
      <c r="AX142" s="312"/>
      <c r="AY142" s="14"/>
      <c r="AZ142" s="14">
        <f t="shared" si="17"/>
        <v>10306.092459770589</v>
      </c>
      <c r="BA142" s="14">
        <f t="shared" si="16"/>
        <v>-5.1138575683341791E-2</v>
      </c>
      <c r="BB142" s="14">
        <f t="shared" si="2"/>
        <v>-201532.64579732443</v>
      </c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3"/>
      <c r="CT142" s="3"/>
      <c r="CU142" s="3"/>
      <c r="CV142" s="3"/>
      <c r="CW142" s="3"/>
    </row>
    <row r="143" spans="1:101" ht="14.25" customHeight="1" x14ac:dyDescent="0.2">
      <c r="A143" s="286"/>
      <c r="B143" s="52">
        <v>0.14330108204901268</v>
      </c>
      <c r="C143" s="288">
        <v>3.4793067860255096E-3</v>
      </c>
      <c r="D143" s="288">
        <v>3.9453899623874356E-2</v>
      </c>
      <c r="E143" s="288">
        <v>3.5188345702965029E-2</v>
      </c>
      <c r="F143" s="289">
        <v>0.80788978412913792</v>
      </c>
      <c r="G143" s="92">
        <v>0.37617454837916919</v>
      </c>
      <c r="H143" s="288">
        <v>0.51282089244792473</v>
      </c>
      <c r="I143" s="288">
        <v>2.030410497920565E-2</v>
      </c>
      <c r="J143" s="288">
        <v>0.99999999997985323</v>
      </c>
      <c r="K143" s="288">
        <v>0.72993086047426747</v>
      </c>
      <c r="L143" s="290">
        <v>12907.543465824418</v>
      </c>
      <c r="M143" s="288">
        <v>0</v>
      </c>
      <c r="N143" s="288">
        <v>18334.318622174997</v>
      </c>
      <c r="O143" s="288">
        <v>935.05480347046205</v>
      </c>
      <c r="P143" s="288">
        <v>37611.350803627705</v>
      </c>
      <c r="Q143" s="291">
        <v>91770.218304280832</v>
      </c>
      <c r="R143" s="288">
        <v>33512.702496199527</v>
      </c>
      <c r="S143" s="288">
        <v>6296.4323865045435</v>
      </c>
      <c r="T143" s="290">
        <v>0.751</v>
      </c>
      <c r="U143" s="288">
        <v>0.75800000000000001</v>
      </c>
      <c r="V143" s="288">
        <v>0.723923076923077</v>
      </c>
      <c r="W143" s="288">
        <v>0.72750000000000004</v>
      </c>
      <c r="X143" s="288">
        <v>0.76</v>
      </c>
      <c r="Y143" s="288">
        <v>0</v>
      </c>
      <c r="Z143" s="289">
        <v>0</v>
      </c>
      <c r="AA143" s="229"/>
      <c r="AB143" s="52">
        <v>63959.40485198579</v>
      </c>
      <c r="AC143" s="288">
        <v>3.2723819855328524</v>
      </c>
      <c r="AD143" s="288">
        <v>53643.371788414697</v>
      </c>
      <c r="AE143" s="288">
        <v>2.9162078611892652</v>
      </c>
      <c r="AF143" s="288">
        <v>10316.033063571092</v>
      </c>
      <c r="AG143" s="289">
        <v>0.3561741243435872</v>
      </c>
      <c r="AH143" s="229"/>
      <c r="AI143" s="205">
        <f t="shared" si="18"/>
        <v>263278.79370129947</v>
      </c>
      <c r="AJ143" s="205">
        <f t="shared" si="19"/>
        <v>237977.41433051185</v>
      </c>
      <c r="AK143" s="205">
        <f t="shared" si="20"/>
        <v>25301.379370787625</v>
      </c>
      <c r="AL143" s="229"/>
      <c r="AM143" s="52">
        <f t="shared" si="4"/>
        <v>1</v>
      </c>
      <c r="AN143" s="52">
        <f t="shared" si="5"/>
        <v>0</v>
      </c>
      <c r="AO143" s="52">
        <f t="shared" si="6"/>
        <v>1</v>
      </c>
      <c r="AP143" s="229"/>
      <c r="AQ143" s="3"/>
      <c r="AR143" s="3"/>
      <c r="AS143" s="3"/>
      <c r="AT143" s="3"/>
      <c r="AU143" s="229"/>
      <c r="AV143" s="318">
        <f t="shared" ref="AV143:AV206" si="21">MAX(AI143:AJ143)</f>
        <v>263278.79370129947</v>
      </c>
      <c r="AW143" s="229"/>
      <c r="AX143" s="312"/>
      <c r="AY143" s="14"/>
      <c r="AZ143" s="14">
        <f t="shared" si="17"/>
        <v>10316.033063571092</v>
      </c>
      <c r="BA143" s="14">
        <f t="shared" ref="BA143:BA206" si="22">AG143</f>
        <v>0.3561741243435872</v>
      </c>
      <c r="BB143" s="14">
        <f t="shared" si="2"/>
        <v>28963.45455353635</v>
      </c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3"/>
      <c r="CT143" s="3"/>
      <c r="CU143" s="3"/>
      <c r="CV143" s="3"/>
      <c r="CW143" s="3"/>
    </row>
    <row r="144" spans="1:101" ht="14.25" customHeight="1" x14ac:dyDescent="0.2">
      <c r="A144" s="286"/>
      <c r="B144" s="52">
        <v>0.15614579694143854</v>
      </c>
      <c r="C144" s="288">
        <v>0.61070835199708329</v>
      </c>
      <c r="D144" s="288">
        <v>1.657668324241468E-2</v>
      </c>
      <c r="E144" s="288">
        <v>2.0403452855724313E-2</v>
      </c>
      <c r="F144" s="289">
        <v>0.77002419583959247</v>
      </c>
      <c r="G144" s="92">
        <v>0.3851749307008715</v>
      </c>
      <c r="H144" s="288">
        <v>0.92473238335297825</v>
      </c>
      <c r="I144" s="288">
        <v>2.4778077928015785E-2</v>
      </c>
      <c r="J144" s="288">
        <v>0.99999822092821777</v>
      </c>
      <c r="K144" s="288">
        <v>0.71726365761130406</v>
      </c>
      <c r="L144" s="290">
        <v>11301.792164431085</v>
      </c>
      <c r="M144" s="288">
        <v>0</v>
      </c>
      <c r="N144" s="288">
        <v>15558.056196204201</v>
      </c>
      <c r="O144" s="288">
        <v>1631.4742452206401</v>
      </c>
      <c r="P144" s="288">
        <v>45202.427384638046</v>
      </c>
      <c r="Q144" s="291">
        <v>73726.05335963484</v>
      </c>
      <c r="R144" s="288">
        <v>27231.473546259665</v>
      </c>
      <c r="S144" s="288">
        <v>8464.9926010627496</v>
      </c>
      <c r="T144" s="290">
        <v>0.751</v>
      </c>
      <c r="U144" s="288">
        <v>0.75800000000000001</v>
      </c>
      <c r="V144" s="288">
        <v>0.723923076923077</v>
      </c>
      <c r="W144" s="288">
        <v>0.72750000000000004</v>
      </c>
      <c r="X144" s="288">
        <v>0.76</v>
      </c>
      <c r="Y144" s="288">
        <v>0</v>
      </c>
      <c r="Z144" s="289">
        <v>0</v>
      </c>
      <c r="AA144" s="229"/>
      <c r="AB144" s="52">
        <v>78892.925640562244</v>
      </c>
      <c r="AC144" s="288">
        <v>3.0961395698589236</v>
      </c>
      <c r="AD144" s="288">
        <v>72073.267739004776</v>
      </c>
      <c r="AE144" s="288">
        <v>2.85843937261154</v>
      </c>
      <c r="AF144" s="288">
        <v>6819.657901557468</v>
      </c>
      <c r="AG144" s="289">
        <v>0.23770019724738356</v>
      </c>
      <c r="AH144" s="229"/>
      <c r="AI144" s="205">
        <f t="shared" si="18"/>
        <v>230721.03134533012</v>
      </c>
      <c r="AJ144" s="205">
        <f t="shared" si="19"/>
        <v>213770.66952214923</v>
      </c>
      <c r="AK144" s="205">
        <f t="shared" si="20"/>
        <v>16950.361823180887</v>
      </c>
      <c r="AL144" s="229"/>
      <c r="AM144" s="52">
        <f t="shared" si="4"/>
        <v>1</v>
      </c>
      <c r="AN144" s="52">
        <f t="shared" si="5"/>
        <v>0</v>
      </c>
      <c r="AO144" s="52">
        <f t="shared" si="6"/>
        <v>1</v>
      </c>
      <c r="AP144" s="229"/>
      <c r="AQ144" s="3"/>
      <c r="AR144" s="3"/>
      <c r="AS144" s="3"/>
      <c r="AT144" s="3"/>
      <c r="AU144" s="229"/>
      <c r="AV144" s="318">
        <f t="shared" si="21"/>
        <v>230721.03134533012</v>
      </c>
      <c r="AW144" s="229"/>
      <c r="AX144" s="312"/>
      <c r="AY144" s="14"/>
      <c r="AZ144" s="14">
        <f t="shared" ref="AZ144:AZ207" si="23">AF144</f>
        <v>6819.657901557468</v>
      </c>
      <c r="BA144" s="14">
        <f t="shared" si="22"/>
        <v>0.23770019724738356</v>
      </c>
      <c r="BB144" s="14">
        <f t="shared" si="2"/>
        <v>28690.165092542993</v>
      </c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3"/>
      <c r="CT144" s="3"/>
      <c r="CU144" s="3"/>
      <c r="CV144" s="3"/>
      <c r="CW144" s="3"/>
    </row>
    <row r="145" spans="1:101" ht="14.25" customHeight="1" x14ac:dyDescent="0.2">
      <c r="A145" s="286"/>
      <c r="B145" s="52">
        <v>0.20185594228036352</v>
      </c>
      <c r="C145" s="288">
        <v>7.296831845856111E-2</v>
      </c>
      <c r="D145" s="288">
        <v>2.1952261158886488E-2</v>
      </c>
      <c r="E145" s="288">
        <v>1.3409525786785656E-2</v>
      </c>
      <c r="F145" s="289">
        <v>0.80699198970718955</v>
      </c>
      <c r="G145" s="92">
        <v>0.38252272060776177</v>
      </c>
      <c r="H145" s="288">
        <v>0.4096701741918613</v>
      </c>
      <c r="I145" s="288">
        <v>8.2331230861777214E-3</v>
      </c>
      <c r="J145" s="288">
        <v>5.5616090041497028E-2</v>
      </c>
      <c r="K145" s="288">
        <v>0.70000154817516214</v>
      </c>
      <c r="L145" s="290">
        <v>15427.527668675411</v>
      </c>
      <c r="M145" s="288">
        <v>0</v>
      </c>
      <c r="N145" s="288">
        <v>15266.401748837072</v>
      </c>
      <c r="O145" s="288">
        <v>1095.0002548084988</v>
      </c>
      <c r="P145" s="288">
        <v>39136.557937621372</v>
      </c>
      <c r="Q145" s="291">
        <v>90553.857747816073</v>
      </c>
      <c r="R145" s="288">
        <v>22201.441848704169</v>
      </c>
      <c r="S145" s="288">
        <v>7886.5250672519041</v>
      </c>
      <c r="T145" s="290">
        <v>0.751</v>
      </c>
      <c r="U145" s="288">
        <v>0.75800000000000001</v>
      </c>
      <c r="V145" s="288">
        <v>0.723923076923077</v>
      </c>
      <c r="W145" s="288">
        <v>0.72750000000000004</v>
      </c>
      <c r="X145" s="288">
        <v>0.76</v>
      </c>
      <c r="Y145" s="288">
        <v>0</v>
      </c>
      <c r="Z145" s="289">
        <v>0</v>
      </c>
      <c r="AA145" s="229"/>
      <c r="AB145" s="52">
        <v>79401.7975401109</v>
      </c>
      <c r="AC145" s="288">
        <v>3.2681772428476101</v>
      </c>
      <c r="AD145" s="288">
        <v>59217.890419730247</v>
      </c>
      <c r="AE145" s="288">
        <v>2.7801230971451703</v>
      </c>
      <c r="AF145" s="288">
        <v>20183.907120380652</v>
      </c>
      <c r="AG145" s="289">
        <v>0.48805414570243988</v>
      </c>
      <c r="AH145" s="229"/>
      <c r="AI145" s="205">
        <f t="shared" si="18"/>
        <v>247415.92674465012</v>
      </c>
      <c r="AJ145" s="205">
        <f t="shared" si="19"/>
        <v>218794.41929478679</v>
      </c>
      <c r="AK145" s="205">
        <f t="shared" si="20"/>
        <v>28621.507449863333</v>
      </c>
      <c r="AL145" s="229"/>
      <c r="AM145" s="52">
        <f t="shared" si="4"/>
        <v>1</v>
      </c>
      <c r="AN145" s="52">
        <f t="shared" si="5"/>
        <v>0</v>
      </c>
      <c r="AO145" s="52">
        <f t="shared" si="6"/>
        <v>1</v>
      </c>
      <c r="AP145" s="229"/>
      <c r="AQ145" s="3"/>
      <c r="AR145" s="3"/>
      <c r="AS145" s="3"/>
      <c r="AT145" s="3"/>
      <c r="AU145" s="229"/>
      <c r="AV145" s="318">
        <f t="shared" si="21"/>
        <v>247415.92674465012</v>
      </c>
      <c r="AW145" s="229"/>
      <c r="AX145" s="312"/>
      <c r="AY145" s="14"/>
      <c r="AZ145" s="14">
        <f t="shared" si="23"/>
        <v>20183.907120380652</v>
      </c>
      <c r="BA145" s="14">
        <f t="shared" si="22"/>
        <v>0.48805414570243988</v>
      </c>
      <c r="BB145" s="14">
        <f t="shared" si="2"/>
        <v>41355.87679791273</v>
      </c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3"/>
      <c r="CT145" s="3"/>
      <c r="CU145" s="3"/>
      <c r="CV145" s="3"/>
      <c r="CW145" s="3"/>
    </row>
    <row r="146" spans="1:101" ht="14.25" customHeight="1" x14ac:dyDescent="0.2">
      <c r="A146" s="286"/>
      <c r="B146" s="52">
        <v>0.13701470696941701</v>
      </c>
      <c r="C146" s="288">
        <v>0.55338140022259841</v>
      </c>
      <c r="D146" s="288">
        <v>1.3401368312363011E-2</v>
      </c>
      <c r="E146" s="288">
        <v>1.0691205527430919E-2</v>
      </c>
      <c r="F146" s="289">
        <v>0.79818344436357358</v>
      </c>
      <c r="G146" s="92">
        <v>0.41093713502519047</v>
      </c>
      <c r="H146" s="288">
        <v>0.33983342565308394</v>
      </c>
      <c r="I146" s="288">
        <v>4.2774131191403338E-3</v>
      </c>
      <c r="J146" s="288">
        <v>0.9999999996412845</v>
      </c>
      <c r="K146" s="288">
        <v>0.75082187380559173</v>
      </c>
      <c r="L146" s="290">
        <v>10397.493180760119</v>
      </c>
      <c r="M146" s="288">
        <v>0</v>
      </c>
      <c r="N146" s="288">
        <v>14630.203487929299</v>
      </c>
      <c r="O146" s="288">
        <v>1529.9333825406511</v>
      </c>
      <c r="P146" s="288">
        <v>40699.726216206021</v>
      </c>
      <c r="Q146" s="291">
        <v>86100.349851453386</v>
      </c>
      <c r="R146" s="288">
        <v>17723.831862274299</v>
      </c>
      <c r="S146" s="288">
        <v>9095.4690267018232</v>
      </c>
      <c r="T146" s="290">
        <v>0.751</v>
      </c>
      <c r="U146" s="288">
        <v>0.75800000000000001</v>
      </c>
      <c r="V146" s="288">
        <v>0.723923076923077</v>
      </c>
      <c r="W146" s="288">
        <v>0.72750000000000004</v>
      </c>
      <c r="X146" s="288">
        <v>0.76</v>
      </c>
      <c r="Y146" s="288">
        <v>0</v>
      </c>
      <c r="Z146" s="289">
        <v>0</v>
      </c>
      <c r="AA146" s="229"/>
      <c r="AB146" s="52">
        <v>83999.280799881657</v>
      </c>
      <c r="AC146" s="288">
        <v>3.2269902333913563</v>
      </c>
      <c r="AD146" s="288">
        <v>71455.542093737546</v>
      </c>
      <c r="AE146" s="288">
        <v>3.0120333760477225</v>
      </c>
      <c r="AF146" s="288">
        <v>12543.738706144111</v>
      </c>
      <c r="AG146" s="289">
        <v>0.21495685734363379</v>
      </c>
      <c r="AH146" s="229"/>
      <c r="AI146" s="205">
        <f t="shared" si="18"/>
        <v>238699.74253925396</v>
      </c>
      <c r="AJ146" s="205">
        <f t="shared" si="19"/>
        <v>229747.7955110347</v>
      </c>
      <c r="AK146" s="205">
        <f t="shared" si="20"/>
        <v>8951.9470282192669</v>
      </c>
      <c r="AL146" s="229"/>
      <c r="AM146" s="52">
        <f t="shared" si="4"/>
        <v>1</v>
      </c>
      <c r="AN146" s="52">
        <f t="shared" si="5"/>
        <v>0</v>
      </c>
      <c r="AO146" s="52">
        <f t="shared" si="6"/>
        <v>1</v>
      </c>
      <c r="AP146" s="229"/>
      <c r="AQ146" s="3"/>
      <c r="AR146" s="3"/>
      <c r="AS146" s="3"/>
      <c r="AT146" s="3"/>
      <c r="AU146" s="229"/>
      <c r="AV146" s="318">
        <f t="shared" si="21"/>
        <v>238699.74253925396</v>
      </c>
      <c r="AW146" s="229"/>
      <c r="AX146" s="312"/>
      <c r="AY146" s="14"/>
      <c r="AZ146" s="14">
        <f t="shared" si="23"/>
        <v>12543.738706144111</v>
      </c>
      <c r="BA146" s="14">
        <f t="shared" si="22"/>
        <v>0.21495685734363379</v>
      </c>
      <c r="BB146" s="14">
        <f t="shared" si="2"/>
        <v>58354.680381707811</v>
      </c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3"/>
      <c r="CT146" s="3"/>
      <c r="CU146" s="3"/>
      <c r="CV146" s="3"/>
      <c r="CW146" s="3"/>
    </row>
    <row r="147" spans="1:101" ht="14.25" customHeight="1" x14ac:dyDescent="0.2">
      <c r="A147" s="286"/>
      <c r="B147" s="52">
        <v>0.1773156127039619</v>
      </c>
      <c r="C147" s="288">
        <v>0.25685504424941596</v>
      </c>
      <c r="D147" s="288">
        <v>1.9087319307076855E-2</v>
      </c>
      <c r="E147" s="288">
        <v>1.4086998674289367E-2</v>
      </c>
      <c r="F147" s="289">
        <v>0.7737212109408117</v>
      </c>
      <c r="G147" s="92">
        <v>0.45744208429608801</v>
      </c>
      <c r="H147" s="288">
        <v>4.0944104454124032E-2</v>
      </c>
      <c r="I147" s="288">
        <v>8.2020220078562085E-3</v>
      </c>
      <c r="J147" s="288">
        <v>0.99633110165290628</v>
      </c>
      <c r="K147" s="288">
        <v>0.74535365407619159</v>
      </c>
      <c r="L147" s="290">
        <v>10949.472514474857</v>
      </c>
      <c r="M147" s="288">
        <v>0</v>
      </c>
      <c r="N147" s="288">
        <v>16187.360355892835</v>
      </c>
      <c r="O147" s="288">
        <v>1488.8121755192933</v>
      </c>
      <c r="P147" s="288">
        <v>59560.127358447186</v>
      </c>
      <c r="Q147" s="291">
        <v>89177.356768350102</v>
      </c>
      <c r="R147" s="288">
        <v>17674.883372751345</v>
      </c>
      <c r="S147" s="288">
        <v>7988.2193869927696</v>
      </c>
      <c r="T147" s="290">
        <v>0.751</v>
      </c>
      <c r="U147" s="288">
        <v>0.75800000000000001</v>
      </c>
      <c r="V147" s="288">
        <v>0.723923076923077</v>
      </c>
      <c r="W147" s="288">
        <v>0.72750000000000004</v>
      </c>
      <c r="X147" s="288">
        <v>0.76</v>
      </c>
      <c r="Y147" s="288">
        <v>0</v>
      </c>
      <c r="Z147" s="289">
        <v>0</v>
      </c>
      <c r="AA147" s="229"/>
      <c r="AB147" s="52">
        <v>73526.493939014603</v>
      </c>
      <c r="AC147" s="288">
        <v>3.1132479693395991</v>
      </c>
      <c r="AD147" s="288">
        <v>61015.214415112794</v>
      </c>
      <c r="AE147" s="288">
        <v>2.9868845946418885</v>
      </c>
      <c r="AF147" s="288">
        <v>12511.279523901809</v>
      </c>
      <c r="AG147" s="289">
        <v>0.12636337469771064</v>
      </c>
      <c r="AH147" s="229"/>
      <c r="AI147" s="205">
        <f t="shared" si="18"/>
        <v>237798.30299494532</v>
      </c>
      <c r="AJ147" s="205">
        <f t="shared" si="19"/>
        <v>237673.24504907604</v>
      </c>
      <c r="AK147" s="205">
        <f t="shared" si="20"/>
        <v>125.05794586925549</v>
      </c>
      <c r="AL147" s="229"/>
      <c r="AM147" s="52">
        <f t="shared" si="4"/>
        <v>1</v>
      </c>
      <c r="AN147" s="52">
        <f t="shared" si="5"/>
        <v>0</v>
      </c>
      <c r="AO147" s="52">
        <f t="shared" si="6"/>
        <v>1</v>
      </c>
      <c r="AP147" s="229"/>
      <c r="AQ147" s="3"/>
      <c r="AR147" s="3"/>
      <c r="AS147" s="3"/>
      <c r="AT147" s="3"/>
      <c r="AU147" s="229"/>
      <c r="AV147" s="318">
        <f t="shared" si="21"/>
        <v>237798.30299494532</v>
      </c>
      <c r="AW147" s="229"/>
      <c r="AX147" s="312"/>
      <c r="AY147" s="14"/>
      <c r="AZ147" s="14">
        <f t="shared" si="23"/>
        <v>12511.279523901809</v>
      </c>
      <c r="BA147" s="14">
        <f t="shared" si="22"/>
        <v>0.12636337469771064</v>
      </c>
      <c r="BB147" s="14">
        <f t="shared" si="2"/>
        <v>99010.330753128263</v>
      </c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3"/>
      <c r="CT147" s="3"/>
      <c r="CU147" s="3"/>
      <c r="CV147" s="3"/>
      <c r="CW147" s="3"/>
    </row>
    <row r="148" spans="1:101" ht="14.25" customHeight="1" x14ac:dyDescent="0.2">
      <c r="A148" s="286"/>
      <c r="B148" s="52">
        <v>0.12845321679596169</v>
      </c>
      <c r="C148" s="288">
        <v>0.49230230448861922</v>
      </c>
      <c r="D148" s="288">
        <v>9.2575393544436727E-3</v>
      </c>
      <c r="E148" s="288">
        <v>1.1958910934672105E-2</v>
      </c>
      <c r="F148" s="289">
        <v>0.73774217195606662</v>
      </c>
      <c r="G148" s="92">
        <v>0.48941437011926014</v>
      </c>
      <c r="H148" s="288">
        <v>0.565261812347714</v>
      </c>
      <c r="I148" s="288">
        <v>1.0928482351323559E-2</v>
      </c>
      <c r="J148" s="288">
        <v>1.8642265440819573E-2</v>
      </c>
      <c r="K148" s="288">
        <v>0.77419599585286392</v>
      </c>
      <c r="L148" s="290">
        <v>13806.264098009487</v>
      </c>
      <c r="M148" s="288">
        <v>0</v>
      </c>
      <c r="N148" s="288">
        <v>13968.933926915757</v>
      </c>
      <c r="O148" s="288">
        <v>1307.453422997361</v>
      </c>
      <c r="P148" s="288">
        <v>56559.32402772265</v>
      </c>
      <c r="Q148" s="291">
        <v>78672.845654165649</v>
      </c>
      <c r="R148" s="288">
        <v>32603.716649178725</v>
      </c>
      <c r="S148" s="288">
        <v>6773.513886725149</v>
      </c>
      <c r="T148" s="290">
        <v>0.751</v>
      </c>
      <c r="U148" s="288">
        <v>0.75800000000000001</v>
      </c>
      <c r="V148" s="288">
        <v>0.723923076923077</v>
      </c>
      <c r="W148" s="288">
        <v>0.72750000000000004</v>
      </c>
      <c r="X148" s="288">
        <v>0.76</v>
      </c>
      <c r="Y148" s="288">
        <v>0</v>
      </c>
      <c r="Z148" s="289">
        <v>0</v>
      </c>
      <c r="AA148" s="229"/>
      <c r="AB148" s="52">
        <v>65613.335681577024</v>
      </c>
      <c r="AC148" s="288">
        <v>2.9476613570281489</v>
      </c>
      <c r="AD148" s="288">
        <v>62365.763855721882</v>
      </c>
      <c r="AE148" s="288">
        <v>3.1200641651427281</v>
      </c>
      <c r="AF148" s="288">
        <v>3247.5718258551424</v>
      </c>
      <c r="AG148" s="289">
        <v>-0.1724028081145792</v>
      </c>
      <c r="AH148" s="229"/>
      <c r="AI148" s="205">
        <f t="shared" si="18"/>
        <v>229152.80002123787</v>
      </c>
      <c r="AJ148" s="205">
        <f t="shared" si="19"/>
        <v>249640.65265855091</v>
      </c>
      <c r="AK148" s="205">
        <f t="shared" si="20"/>
        <v>-20487.852637313063</v>
      </c>
      <c r="AL148" s="229"/>
      <c r="AM148" s="52">
        <f t="shared" si="4"/>
        <v>0</v>
      </c>
      <c r="AN148" s="52">
        <f t="shared" si="5"/>
        <v>1</v>
      </c>
      <c r="AO148" s="52">
        <f t="shared" si="6"/>
        <v>0</v>
      </c>
      <c r="AP148" s="229"/>
      <c r="AQ148" s="3"/>
      <c r="AR148" s="3"/>
      <c r="AS148" s="3"/>
      <c r="AT148" s="3"/>
      <c r="AU148" s="229"/>
      <c r="AV148" s="318">
        <f t="shared" si="21"/>
        <v>249640.65265855091</v>
      </c>
      <c r="AW148" s="229"/>
      <c r="AX148" s="312"/>
      <c r="AY148" s="14"/>
      <c r="AZ148" s="14">
        <f t="shared" si="23"/>
        <v>3247.5718258551424</v>
      </c>
      <c r="BA148" s="14">
        <f t="shared" si="22"/>
        <v>-0.1724028081145792</v>
      </c>
      <c r="BB148" s="14">
        <f t="shared" si="2"/>
        <v>-18837.116757963715</v>
      </c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3"/>
      <c r="CT148" s="3"/>
      <c r="CU148" s="3"/>
      <c r="CV148" s="3"/>
      <c r="CW148" s="3"/>
    </row>
    <row r="149" spans="1:101" ht="14.25" customHeight="1" x14ac:dyDescent="0.2">
      <c r="A149" s="286"/>
      <c r="B149" s="52">
        <v>0.17005721868994927</v>
      </c>
      <c r="C149" s="288">
        <v>2.723028071944681E-2</v>
      </c>
      <c r="D149" s="288">
        <v>9.6252160181889927E-3</v>
      </c>
      <c r="E149" s="288">
        <v>2.9857873660912748E-2</v>
      </c>
      <c r="F149" s="289">
        <v>0.79097094229024967</v>
      </c>
      <c r="G149" s="92">
        <v>0.47096164584743905</v>
      </c>
      <c r="H149" s="288">
        <v>0.51456849826189444</v>
      </c>
      <c r="I149" s="288">
        <v>4.6928431764003631E-2</v>
      </c>
      <c r="J149" s="288">
        <v>0.99829227404924248</v>
      </c>
      <c r="K149" s="288">
        <v>0.72868326397068572</v>
      </c>
      <c r="L149" s="290">
        <v>11387.23865453699</v>
      </c>
      <c r="M149" s="288">
        <v>0</v>
      </c>
      <c r="N149" s="288">
        <v>19179.955189950564</v>
      </c>
      <c r="O149" s="288">
        <v>1222.3417709479711</v>
      </c>
      <c r="P149" s="288">
        <v>34257.111794119803</v>
      </c>
      <c r="Q149" s="291">
        <v>122175.14366487566</v>
      </c>
      <c r="R149" s="288">
        <v>16358.133389543735</v>
      </c>
      <c r="S149" s="288">
        <v>10010.974037690943</v>
      </c>
      <c r="T149" s="290">
        <v>0.751</v>
      </c>
      <c r="U149" s="288">
        <v>0.75800000000000001</v>
      </c>
      <c r="V149" s="288">
        <v>0.723923076923077</v>
      </c>
      <c r="W149" s="288">
        <v>0.72750000000000004</v>
      </c>
      <c r="X149" s="288">
        <v>0.76</v>
      </c>
      <c r="Y149" s="288">
        <v>0</v>
      </c>
      <c r="Z149" s="289">
        <v>0</v>
      </c>
      <c r="AA149" s="229"/>
      <c r="AB149" s="52">
        <v>90283.604453783977</v>
      </c>
      <c r="AC149" s="288">
        <v>3.1933566269676725</v>
      </c>
      <c r="AD149" s="288">
        <v>80983.738417375833</v>
      </c>
      <c r="AE149" s="288">
        <v>2.9105069974397026</v>
      </c>
      <c r="AF149" s="288">
        <v>9299.8660364081443</v>
      </c>
      <c r="AG149" s="289">
        <v>0.28284962952796988</v>
      </c>
      <c r="AH149" s="229"/>
      <c r="AI149" s="205">
        <f t="shared" si="18"/>
        <v>229052.05824298327</v>
      </c>
      <c r="AJ149" s="205">
        <f t="shared" si="19"/>
        <v>210066.96132659441</v>
      </c>
      <c r="AK149" s="205">
        <f t="shared" si="20"/>
        <v>18985.096916388844</v>
      </c>
      <c r="AL149" s="229"/>
      <c r="AM149" s="52">
        <f t="shared" si="4"/>
        <v>1</v>
      </c>
      <c r="AN149" s="52">
        <f t="shared" si="5"/>
        <v>0</v>
      </c>
      <c r="AO149" s="52">
        <f t="shared" si="6"/>
        <v>1</v>
      </c>
      <c r="AP149" s="229"/>
      <c r="AQ149" s="3"/>
      <c r="AR149" s="3"/>
      <c r="AS149" s="3"/>
      <c r="AT149" s="3"/>
      <c r="AU149" s="229"/>
      <c r="AV149" s="318">
        <f t="shared" si="21"/>
        <v>229052.05824298327</v>
      </c>
      <c r="AW149" s="229"/>
      <c r="AX149" s="312"/>
      <c r="AY149" s="14"/>
      <c r="AZ149" s="14">
        <f t="shared" si="23"/>
        <v>9299.8660364081443</v>
      </c>
      <c r="BA149" s="14">
        <f t="shared" si="22"/>
        <v>0.28284962952796988</v>
      </c>
      <c r="BB149" s="14">
        <f t="shared" si="2"/>
        <v>32879.187616148236</v>
      </c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3"/>
      <c r="CT149" s="3"/>
      <c r="CU149" s="3"/>
      <c r="CV149" s="3"/>
      <c r="CW149" s="3"/>
    </row>
    <row r="150" spans="1:101" ht="14.25" customHeight="1" x14ac:dyDescent="0.2">
      <c r="A150" s="286"/>
      <c r="B150" s="52">
        <v>0.15420219371775634</v>
      </c>
      <c r="C150" s="288">
        <v>0.58925799155596681</v>
      </c>
      <c r="D150" s="288">
        <v>1.3186614352412918E-2</v>
      </c>
      <c r="E150" s="288">
        <v>6.9456573329595914E-3</v>
      </c>
      <c r="F150" s="289">
        <v>0.80976409686198436</v>
      </c>
      <c r="G150" s="92">
        <v>0.40516324306404516</v>
      </c>
      <c r="H150" s="288">
        <v>0.3012336578360072</v>
      </c>
      <c r="I150" s="288">
        <v>2.1275140745335208E-2</v>
      </c>
      <c r="J150" s="288">
        <v>0.99999992653350023</v>
      </c>
      <c r="K150" s="288">
        <v>0.75852571224680887</v>
      </c>
      <c r="L150" s="290">
        <v>12581.353100325701</v>
      </c>
      <c r="M150" s="288">
        <v>0</v>
      </c>
      <c r="N150" s="288">
        <v>17552.022345553232</v>
      </c>
      <c r="O150" s="288">
        <v>1433.6607581019437</v>
      </c>
      <c r="P150" s="288">
        <v>37230.88279829824</v>
      </c>
      <c r="Q150" s="291">
        <v>108236.50438990207</v>
      </c>
      <c r="R150" s="288">
        <v>28240.515967191823</v>
      </c>
      <c r="S150" s="288">
        <v>10434.294813532379</v>
      </c>
      <c r="T150" s="290">
        <v>0.751</v>
      </c>
      <c r="U150" s="288">
        <v>0.75800000000000001</v>
      </c>
      <c r="V150" s="288">
        <v>0.723923076923077</v>
      </c>
      <c r="W150" s="288">
        <v>0.72750000000000004</v>
      </c>
      <c r="X150" s="288">
        <v>0.76</v>
      </c>
      <c r="Y150" s="288">
        <v>0</v>
      </c>
      <c r="Z150" s="289">
        <v>0</v>
      </c>
      <c r="AA150" s="229"/>
      <c r="AB150" s="52">
        <v>99256.913873959769</v>
      </c>
      <c r="AC150" s="288">
        <v>3.2811642422452616</v>
      </c>
      <c r="AD150" s="288">
        <v>84424.508327720338</v>
      </c>
      <c r="AE150" s="288">
        <v>3.0475439226422796</v>
      </c>
      <c r="AF150" s="288">
        <v>14832.405546239432</v>
      </c>
      <c r="AG150" s="289">
        <v>0.23362031960298202</v>
      </c>
      <c r="AH150" s="229"/>
      <c r="AI150" s="205">
        <f t="shared" si="18"/>
        <v>228859.51035056639</v>
      </c>
      <c r="AJ150" s="205">
        <f t="shared" si="19"/>
        <v>220329.88393650763</v>
      </c>
      <c r="AK150" s="205">
        <f t="shared" si="20"/>
        <v>8529.62641405877</v>
      </c>
      <c r="AL150" s="229"/>
      <c r="AM150" s="52">
        <f t="shared" si="4"/>
        <v>1</v>
      </c>
      <c r="AN150" s="52">
        <f t="shared" si="5"/>
        <v>0</v>
      </c>
      <c r="AO150" s="52">
        <f t="shared" si="6"/>
        <v>1</v>
      </c>
      <c r="AP150" s="229"/>
      <c r="AQ150" s="3"/>
      <c r="AR150" s="3"/>
      <c r="AS150" s="3"/>
      <c r="AT150" s="3"/>
      <c r="AU150" s="229"/>
      <c r="AV150" s="318">
        <f t="shared" si="21"/>
        <v>228859.51035056639</v>
      </c>
      <c r="AW150" s="229"/>
      <c r="AX150" s="312"/>
      <c r="AY150" s="14"/>
      <c r="AZ150" s="14">
        <f t="shared" si="23"/>
        <v>14832.405546239432</v>
      </c>
      <c r="BA150" s="14">
        <f t="shared" si="22"/>
        <v>0.23362031960298202</v>
      </c>
      <c r="BB150" s="14">
        <f t="shared" si="2"/>
        <v>63489.36415910162</v>
      </c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3"/>
      <c r="CT150" s="3"/>
      <c r="CU150" s="3"/>
      <c r="CV150" s="3"/>
      <c r="CW150" s="3"/>
    </row>
    <row r="151" spans="1:101" ht="14.25" customHeight="1" x14ac:dyDescent="0.2">
      <c r="A151" s="286"/>
      <c r="B151" s="52">
        <v>0.19463453156310007</v>
      </c>
      <c r="C151" s="288">
        <v>0.50127227008037534</v>
      </c>
      <c r="D151" s="288">
        <v>9.6532258029598372E-3</v>
      </c>
      <c r="E151" s="288">
        <v>7.3736799227094932E-3</v>
      </c>
      <c r="F151" s="289">
        <v>0.77885590503822455</v>
      </c>
      <c r="G151" s="92">
        <v>0.3586801105729126</v>
      </c>
      <c r="H151" s="288">
        <v>0.12864660159472255</v>
      </c>
      <c r="I151" s="288">
        <v>1.228600861228772E-2</v>
      </c>
      <c r="J151" s="288">
        <v>0.99999911436942734</v>
      </c>
      <c r="K151" s="288">
        <v>0.77686307926384912</v>
      </c>
      <c r="L151" s="290">
        <v>9003.9716450343985</v>
      </c>
      <c r="M151" s="288">
        <v>0</v>
      </c>
      <c r="N151" s="288">
        <v>24058.228130792573</v>
      </c>
      <c r="O151" s="288">
        <v>1199.3359635769593</v>
      </c>
      <c r="P151" s="288">
        <v>60544.290736941999</v>
      </c>
      <c r="Q151" s="291">
        <v>125289.34235833313</v>
      </c>
      <c r="R151" s="288">
        <v>21452.116488007359</v>
      </c>
      <c r="S151" s="288">
        <v>11498.359828304223</v>
      </c>
      <c r="T151" s="290">
        <v>0.751</v>
      </c>
      <c r="U151" s="288">
        <v>0.75800000000000001</v>
      </c>
      <c r="V151" s="288">
        <v>0.723923076923077</v>
      </c>
      <c r="W151" s="288">
        <v>0.72750000000000004</v>
      </c>
      <c r="X151" s="288">
        <v>0.76</v>
      </c>
      <c r="Y151" s="288">
        <v>0</v>
      </c>
      <c r="Z151" s="289">
        <v>0</v>
      </c>
      <c r="AA151" s="229"/>
      <c r="AB151" s="52">
        <v>100247.51688880449</v>
      </c>
      <c r="AC151" s="288">
        <v>3.1370449723416023</v>
      </c>
      <c r="AD151" s="288">
        <v>91452.539558216449</v>
      </c>
      <c r="AE151" s="288">
        <v>3.1324456607536662</v>
      </c>
      <c r="AF151" s="288">
        <v>8794.9773305880371</v>
      </c>
      <c r="AG151" s="289">
        <v>4.599311587936139E-3</v>
      </c>
      <c r="AH151" s="229"/>
      <c r="AI151" s="205">
        <f t="shared" si="18"/>
        <v>213456.98034535575</v>
      </c>
      <c r="AJ151" s="205">
        <f t="shared" si="19"/>
        <v>221792.02651715017</v>
      </c>
      <c r="AK151" s="205">
        <f t="shared" si="20"/>
        <v>-8335.0461717944236</v>
      </c>
      <c r="AL151" s="229"/>
      <c r="AM151" s="52">
        <f t="shared" si="4"/>
        <v>0</v>
      </c>
      <c r="AN151" s="52">
        <f t="shared" si="5"/>
        <v>1</v>
      </c>
      <c r="AO151" s="52">
        <f t="shared" si="6"/>
        <v>0</v>
      </c>
      <c r="AP151" s="229"/>
      <c r="AQ151" s="3"/>
      <c r="AR151" s="3"/>
      <c r="AS151" s="3"/>
      <c r="AT151" s="3"/>
      <c r="AU151" s="229"/>
      <c r="AV151" s="318">
        <f t="shared" si="21"/>
        <v>221792.02651715017</v>
      </c>
      <c r="AW151" s="229"/>
      <c r="AX151" s="312"/>
      <c r="AY151" s="14"/>
      <c r="AZ151" s="14">
        <f t="shared" si="23"/>
        <v>8794.9773305880371</v>
      </c>
      <c r="BA151" s="14">
        <f t="shared" si="22"/>
        <v>4.599311587936139E-3</v>
      </c>
      <c r="BB151" s="14">
        <f t="shared" si="2"/>
        <v>1912237.7691602821</v>
      </c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3"/>
      <c r="CT151" s="3"/>
      <c r="CU151" s="3"/>
      <c r="CV151" s="3"/>
      <c r="CW151" s="3"/>
    </row>
    <row r="152" spans="1:101" ht="14.25" customHeight="1" x14ac:dyDescent="0.2">
      <c r="A152" s="286"/>
      <c r="B152" s="52">
        <v>0.15204262004312324</v>
      </c>
      <c r="C152" s="288">
        <v>9.8007716599012015E-2</v>
      </c>
      <c r="D152" s="288">
        <v>1.1721203782356715E-2</v>
      </c>
      <c r="E152" s="288">
        <v>2.991963244956819E-2</v>
      </c>
      <c r="F152" s="289">
        <v>0.79282029223066852</v>
      </c>
      <c r="G152" s="92">
        <v>0.39465847138003723</v>
      </c>
      <c r="H152" s="288">
        <v>0.1752263719558578</v>
      </c>
      <c r="I152" s="288">
        <v>2.9425584102127145E-2</v>
      </c>
      <c r="J152" s="288">
        <v>0.99999999860296462</v>
      </c>
      <c r="K152" s="288">
        <v>0.72883204962264747</v>
      </c>
      <c r="L152" s="290">
        <v>13449.508207041039</v>
      </c>
      <c r="M152" s="288">
        <v>0</v>
      </c>
      <c r="N152" s="288">
        <v>18073.196988114203</v>
      </c>
      <c r="O152" s="288">
        <v>1379.6105369269769</v>
      </c>
      <c r="P152" s="288">
        <v>54286.050359714915</v>
      </c>
      <c r="Q152" s="291">
        <v>91459.590512204886</v>
      </c>
      <c r="R152" s="288">
        <v>30099.131678845759</v>
      </c>
      <c r="S152" s="288">
        <v>6531.3669315642701</v>
      </c>
      <c r="T152" s="290">
        <v>0.751</v>
      </c>
      <c r="U152" s="288">
        <v>0.75800000000000001</v>
      </c>
      <c r="V152" s="288">
        <v>0.723923076923077</v>
      </c>
      <c r="W152" s="288">
        <v>0.72750000000000004</v>
      </c>
      <c r="X152" s="288">
        <v>0.76</v>
      </c>
      <c r="Y152" s="288">
        <v>0</v>
      </c>
      <c r="Z152" s="289">
        <v>0</v>
      </c>
      <c r="AA152" s="229"/>
      <c r="AB152" s="52">
        <v>65550.653989581071</v>
      </c>
      <c r="AC152" s="288">
        <v>3.2019728055461636</v>
      </c>
      <c r="AD152" s="288">
        <v>51968.654418497936</v>
      </c>
      <c r="AE152" s="288">
        <v>2.9111867412322319</v>
      </c>
      <c r="AF152" s="288">
        <v>13581.999571083135</v>
      </c>
      <c r="AG152" s="289">
        <v>0.29078606431393172</v>
      </c>
      <c r="AH152" s="229"/>
      <c r="AI152" s="205">
        <f t="shared" si="18"/>
        <v>254646.62656503529</v>
      </c>
      <c r="AJ152" s="205">
        <f t="shared" si="19"/>
        <v>239150.01970472524</v>
      </c>
      <c r="AK152" s="205">
        <f t="shared" si="20"/>
        <v>15496.606860310036</v>
      </c>
      <c r="AL152" s="229"/>
      <c r="AM152" s="52">
        <f t="shared" si="4"/>
        <v>1</v>
      </c>
      <c r="AN152" s="52">
        <f t="shared" si="5"/>
        <v>0</v>
      </c>
      <c r="AO152" s="52">
        <f t="shared" si="6"/>
        <v>1</v>
      </c>
      <c r="AP152" s="229"/>
      <c r="AQ152" s="3"/>
      <c r="AR152" s="3"/>
      <c r="AS152" s="3"/>
      <c r="AT152" s="3"/>
      <c r="AU152" s="229"/>
      <c r="AV152" s="318">
        <f t="shared" si="21"/>
        <v>254646.62656503529</v>
      </c>
      <c r="AW152" s="229"/>
      <c r="AX152" s="312"/>
      <c r="AY152" s="14"/>
      <c r="AZ152" s="14">
        <f t="shared" si="23"/>
        <v>13581.999571083135</v>
      </c>
      <c r="BA152" s="14">
        <f t="shared" si="22"/>
        <v>0.29078606431393172</v>
      </c>
      <c r="BB152" s="14">
        <f t="shared" si="2"/>
        <v>46707.876469692339</v>
      </c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3"/>
      <c r="CT152" s="3"/>
      <c r="CU152" s="3"/>
      <c r="CV152" s="3"/>
      <c r="CW152" s="3"/>
    </row>
    <row r="153" spans="1:101" ht="14.25" customHeight="1" x14ac:dyDescent="0.2">
      <c r="A153" s="286"/>
      <c r="B153" s="52">
        <v>0.16414597157468169</v>
      </c>
      <c r="C153" s="288">
        <v>0.56273190053995104</v>
      </c>
      <c r="D153" s="288">
        <v>2.2549975852741544E-2</v>
      </c>
      <c r="E153" s="288">
        <v>4.0634141601485374E-2</v>
      </c>
      <c r="F153" s="289">
        <v>0.76394328257887423</v>
      </c>
      <c r="G153" s="92">
        <v>0.42434924062586077</v>
      </c>
      <c r="H153" s="288">
        <v>0.79386867881405054</v>
      </c>
      <c r="I153" s="288">
        <v>7.6076283900648424E-3</v>
      </c>
      <c r="J153" s="288">
        <v>0.57631311659023099</v>
      </c>
      <c r="K153" s="288">
        <v>0.77041929468002124</v>
      </c>
      <c r="L153" s="290">
        <v>12268.333988333467</v>
      </c>
      <c r="M153" s="288">
        <v>0</v>
      </c>
      <c r="N153" s="288">
        <v>17693.308722392092</v>
      </c>
      <c r="O153" s="288">
        <v>1584.5409011715203</v>
      </c>
      <c r="P153" s="288">
        <v>56676.638676039038</v>
      </c>
      <c r="Q153" s="291">
        <v>101124.44728670799</v>
      </c>
      <c r="R153" s="288">
        <v>32753.416550145626</v>
      </c>
      <c r="S153" s="288">
        <v>9844.762214131777</v>
      </c>
      <c r="T153" s="290">
        <v>0.751</v>
      </c>
      <c r="U153" s="288">
        <v>0.75800000000000001</v>
      </c>
      <c r="V153" s="288">
        <v>0.723923076923077</v>
      </c>
      <c r="W153" s="288">
        <v>0.72750000000000004</v>
      </c>
      <c r="X153" s="288">
        <v>0.76</v>
      </c>
      <c r="Y153" s="288">
        <v>0</v>
      </c>
      <c r="Z153" s="289">
        <v>0</v>
      </c>
      <c r="AA153" s="229"/>
      <c r="AB153" s="52">
        <v>90412.871271670505</v>
      </c>
      <c r="AC153" s="288">
        <v>3.0680460141876971</v>
      </c>
      <c r="AD153" s="288">
        <v>87776.801222809765</v>
      </c>
      <c r="AE153" s="288">
        <v>3.1025506317725533</v>
      </c>
      <c r="AF153" s="288">
        <v>2636.0700488607399</v>
      </c>
      <c r="AG153" s="289">
        <v>-3.4504617584856234E-2</v>
      </c>
      <c r="AH153" s="229"/>
      <c r="AI153" s="205">
        <f t="shared" si="18"/>
        <v>216391.73014709918</v>
      </c>
      <c r="AJ153" s="205">
        <f t="shared" si="19"/>
        <v>222478.26195444557</v>
      </c>
      <c r="AK153" s="205">
        <f t="shared" si="20"/>
        <v>-6086.5318073463632</v>
      </c>
      <c r="AL153" s="229"/>
      <c r="AM153" s="52">
        <f t="shared" si="4"/>
        <v>0</v>
      </c>
      <c r="AN153" s="52">
        <f t="shared" si="5"/>
        <v>1</v>
      </c>
      <c r="AO153" s="52">
        <f t="shared" si="6"/>
        <v>0</v>
      </c>
      <c r="AP153" s="229"/>
      <c r="AQ153" s="3"/>
      <c r="AR153" s="3"/>
      <c r="AS153" s="3"/>
      <c r="AT153" s="3"/>
      <c r="AU153" s="229"/>
      <c r="AV153" s="318">
        <f t="shared" si="21"/>
        <v>222478.26195444557</v>
      </c>
      <c r="AW153" s="229"/>
      <c r="AX153" s="312"/>
      <c r="AY153" s="14"/>
      <c r="AZ153" s="14">
        <f t="shared" si="23"/>
        <v>2636.0700488607399</v>
      </c>
      <c r="BA153" s="14">
        <f t="shared" si="22"/>
        <v>-3.4504617584856234E-2</v>
      </c>
      <c r="BB153" s="14">
        <f t="shared" si="2"/>
        <v>-76397.602215933191</v>
      </c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3"/>
      <c r="CT153" s="3"/>
      <c r="CU153" s="3"/>
      <c r="CV153" s="3"/>
      <c r="CW153" s="3"/>
    </row>
    <row r="154" spans="1:101" ht="14.25" customHeight="1" x14ac:dyDescent="0.2">
      <c r="A154" s="286"/>
      <c r="B154" s="52">
        <v>0.16893987147386136</v>
      </c>
      <c r="C154" s="288">
        <v>1.9150084006057153E-2</v>
      </c>
      <c r="D154" s="288">
        <v>9.1172137871841571E-3</v>
      </c>
      <c r="E154" s="288">
        <v>1.2846886968245094E-2</v>
      </c>
      <c r="F154" s="289">
        <v>0.81307499926432092</v>
      </c>
      <c r="G154" s="92">
        <v>0.39462931096475007</v>
      </c>
      <c r="H154" s="288">
        <v>0.4961725782969566</v>
      </c>
      <c r="I154" s="288">
        <v>2.1691353219262188E-2</v>
      </c>
      <c r="J154" s="288">
        <v>1</v>
      </c>
      <c r="K154" s="288">
        <v>0.75550742748054323</v>
      </c>
      <c r="L154" s="290">
        <v>10960.611651336809</v>
      </c>
      <c r="M154" s="288">
        <v>0</v>
      </c>
      <c r="N154" s="288">
        <v>12501.887737581927</v>
      </c>
      <c r="O154" s="288">
        <v>1602.3723340782435</v>
      </c>
      <c r="P154" s="288">
        <v>43449.397688776226</v>
      </c>
      <c r="Q154" s="291">
        <v>84474.258514334928</v>
      </c>
      <c r="R154" s="288">
        <v>27642.310939786705</v>
      </c>
      <c r="S154" s="288">
        <v>10336.352892209936</v>
      </c>
      <c r="T154" s="290">
        <v>0.751</v>
      </c>
      <c r="U154" s="288">
        <v>0.75800000000000001</v>
      </c>
      <c r="V154" s="288">
        <v>0.723923076923077</v>
      </c>
      <c r="W154" s="288">
        <v>0.72750000000000004</v>
      </c>
      <c r="X154" s="288">
        <v>0.76</v>
      </c>
      <c r="Y154" s="288">
        <v>0</v>
      </c>
      <c r="Z154" s="289">
        <v>0</v>
      </c>
      <c r="AA154" s="229"/>
      <c r="AB154" s="52">
        <v>94673.052065116441</v>
      </c>
      <c r="AC154" s="288">
        <v>3.2966912296635487</v>
      </c>
      <c r="AD154" s="288">
        <v>85003.702111984006</v>
      </c>
      <c r="AE154" s="288">
        <v>3.0336201093282917</v>
      </c>
      <c r="AF154" s="288">
        <v>9669.3499531324342</v>
      </c>
      <c r="AG154" s="289">
        <v>0.26307112033525692</v>
      </c>
      <c r="AH154" s="229"/>
      <c r="AI154" s="205">
        <f t="shared" si="18"/>
        <v>234996.07090123845</v>
      </c>
      <c r="AJ154" s="205">
        <f t="shared" si="19"/>
        <v>218358.30882084515</v>
      </c>
      <c r="AK154" s="205">
        <f t="shared" si="20"/>
        <v>16637.762080393259</v>
      </c>
      <c r="AL154" s="229"/>
      <c r="AM154" s="52">
        <f t="shared" si="4"/>
        <v>1</v>
      </c>
      <c r="AN154" s="52">
        <f t="shared" si="5"/>
        <v>0</v>
      </c>
      <c r="AO154" s="52">
        <f t="shared" si="6"/>
        <v>1</v>
      </c>
      <c r="AP154" s="229"/>
      <c r="AQ154" s="3"/>
      <c r="AR154" s="3"/>
      <c r="AS154" s="3"/>
      <c r="AT154" s="3"/>
      <c r="AU154" s="229"/>
      <c r="AV154" s="318">
        <f t="shared" si="21"/>
        <v>234996.07090123845</v>
      </c>
      <c r="AW154" s="229"/>
      <c r="AX154" s="312"/>
      <c r="AY154" s="14"/>
      <c r="AZ154" s="14">
        <f t="shared" si="23"/>
        <v>9669.3499531324342</v>
      </c>
      <c r="BA154" s="14">
        <f t="shared" si="22"/>
        <v>0.26307112033525692</v>
      </c>
      <c r="BB154" s="14">
        <f t="shared" si="2"/>
        <v>36755.649730042009</v>
      </c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3"/>
      <c r="CT154" s="3"/>
      <c r="CU154" s="3"/>
      <c r="CV154" s="3"/>
      <c r="CW154" s="3"/>
    </row>
    <row r="155" spans="1:101" ht="14.25" customHeight="1" x14ac:dyDescent="0.2">
      <c r="A155" s="286"/>
      <c r="B155" s="52">
        <v>0.15218718521593036</v>
      </c>
      <c r="C155" s="288">
        <v>0.32825696963124562</v>
      </c>
      <c r="D155" s="288">
        <v>1.115836668353614E-2</v>
      </c>
      <c r="E155" s="288">
        <v>2.0603274673863359E-2</v>
      </c>
      <c r="F155" s="289">
        <v>0.77274122943658619</v>
      </c>
      <c r="G155" s="92">
        <v>0.37337689055772399</v>
      </c>
      <c r="H155" s="288">
        <v>0.92841907019611147</v>
      </c>
      <c r="I155" s="288">
        <v>9.3717952288968325E-3</v>
      </c>
      <c r="J155" s="288">
        <v>1</v>
      </c>
      <c r="K155" s="288">
        <v>0.77707321910331428</v>
      </c>
      <c r="L155" s="290">
        <v>10155.236359760916</v>
      </c>
      <c r="M155" s="288">
        <v>0</v>
      </c>
      <c r="N155" s="288">
        <v>19350.133770804303</v>
      </c>
      <c r="O155" s="288">
        <v>1000.3572946449042</v>
      </c>
      <c r="P155" s="288">
        <v>40704.925695136451</v>
      </c>
      <c r="Q155" s="291">
        <v>97177.028895958822</v>
      </c>
      <c r="R155" s="288">
        <v>15157.319670047338</v>
      </c>
      <c r="S155" s="288">
        <v>6890.9680849426913</v>
      </c>
      <c r="T155" s="290">
        <v>0.751</v>
      </c>
      <c r="U155" s="288">
        <v>0.75800000000000001</v>
      </c>
      <c r="V155" s="288">
        <v>0.723923076923077</v>
      </c>
      <c r="W155" s="288">
        <v>0.72750000000000004</v>
      </c>
      <c r="X155" s="288">
        <v>0.76</v>
      </c>
      <c r="Y155" s="288">
        <v>0</v>
      </c>
      <c r="Z155" s="289">
        <v>0</v>
      </c>
      <c r="AA155" s="229"/>
      <c r="AB155" s="52">
        <v>63960.837059579047</v>
      </c>
      <c r="AC155" s="288">
        <v>3.1087108942607768</v>
      </c>
      <c r="AD155" s="288">
        <v>59541.650807206694</v>
      </c>
      <c r="AE155" s="288">
        <v>3.1334216768752339</v>
      </c>
      <c r="AF155" s="288">
        <v>4419.1862523723539</v>
      </c>
      <c r="AG155" s="289">
        <v>-2.4710782614457028E-2</v>
      </c>
      <c r="AH155" s="229"/>
      <c r="AI155" s="205">
        <f t="shared" si="18"/>
        <v>246910.25236649864</v>
      </c>
      <c r="AJ155" s="205">
        <f t="shared" si="19"/>
        <v>253800.51688031672</v>
      </c>
      <c r="AK155" s="205">
        <f t="shared" si="20"/>
        <v>-6890.264513818056</v>
      </c>
      <c r="AL155" s="229"/>
      <c r="AM155" s="52">
        <f t="shared" si="4"/>
        <v>0</v>
      </c>
      <c r="AN155" s="52">
        <f t="shared" si="5"/>
        <v>1</v>
      </c>
      <c r="AO155" s="52">
        <f t="shared" si="6"/>
        <v>0</v>
      </c>
      <c r="AP155" s="229"/>
      <c r="AQ155" s="3"/>
      <c r="AR155" s="3"/>
      <c r="AS155" s="3"/>
      <c r="AT155" s="3"/>
      <c r="AU155" s="229"/>
      <c r="AV155" s="318">
        <f t="shared" si="21"/>
        <v>253800.51688031672</v>
      </c>
      <c r="AW155" s="229"/>
      <c r="AX155" s="312"/>
      <c r="AY155" s="14"/>
      <c r="AZ155" s="14">
        <f t="shared" si="23"/>
        <v>4419.1862523723539</v>
      </c>
      <c r="BA155" s="14">
        <f t="shared" si="22"/>
        <v>-2.4710782614457028E-2</v>
      </c>
      <c r="BB155" s="14">
        <f t="shared" si="2"/>
        <v>-178836.35339768283</v>
      </c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3"/>
      <c r="CT155" s="3"/>
      <c r="CU155" s="3"/>
      <c r="CV155" s="3"/>
      <c r="CW155" s="3"/>
    </row>
    <row r="156" spans="1:101" ht="14.25" customHeight="1" x14ac:dyDescent="0.2">
      <c r="A156" s="286"/>
      <c r="B156" s="52">
        <v>0.13885470725520366</v>
      </c>
      <c r="C156" s="288">
        <v>0.27352952197786629</v>
      </c>
      <c r="D156" s="288">
        <v>8.9411704035160001E-3</v>
      </c>
      <c r="E156" s="288">
        <v>1.2862421383871394E-2</v>
      </c>
      <c r="F156" s="289">
        <v>0.77929198908717778</v>
      </c>
      <c r="G156" s="92">
        <v>0.52661725520890024</v>
      </c>
      <c r="H156" s="288">
        <v>0.80930131594828958</v>
      </c>
      <c r="I156" s="288">
        <v>2.4127206737960871E-2</v>
      </c>
      <c r="J156" s="288">
        <v>0.99999845066136839</v>
      </c>
      <c r="K156" s="288">
        <v>0.71016918268266904</v>
      </c>
      <c r="L156" s="290">
        <v>10408.954339335296</v>
      </c>
      <c r="M156" s="288">
        <v>0</v>
      </c>
      <c r="N156" s="288">
        <v>22967.780532365719</v>
      </c>
      <c r="O156" s="288">
        <v>1386.0213521900259</v>
      </c>
      <c r="P156" s="288">
        <v>36082.214874755198</v>
      </c>
      <c r="Q156" s="291">
        <v>119465.41187033238</v>
      </c>
      <c r="R156" s="288">
        <v>21596.303469813418</v>
      </c>
      <c r="S156" s="288">
        <v>7826.3796127383939</v>
      </c>
      <c r="T156" s="290">
        <v>0.751</v>
      </c>
      <c r="U156" s="288">
        <v>0.75800000000000001</v>
      </c>
      <c r="V156" s="288">
        <v>0.723923076923077</v>
      </c>
      <c r="W156" s="288">
        <v>0.72750000000000004</v>
      </c>
      <c r="X156" s="288">
        <v>0.76</v>
      </c>
      <c r="Y156" s="288">
        <v>0</v>
      </c>
      <c r="Z156" s="289">
        <v>0</v>
      </c>
      <c r="AA156" s="229"/>
      <c r="AB156" s="52">
        <v>71965.304526726264</v>
      </c>
      <c r="AC156" s="288">
        <v>3.1390679314204899</v>
      </c>
      <c r="AD156" s="288">
        <v>67477.621178507878</v>
      </c>
      <c r="AE156" s="288">
        <v>2.8261956762851295</v>
      </c>
      <c r="AF156" s="288">
        <v>4487.6833482183865</v>
      </c>
      <c r="AG156" s="289">
        <v>0.31287225513536043</v>
      </c>
      <c r="AH156" s="229"/>
      <c r="AI156" s="205">
        <f t="shared" si="18"/>
        <v>241941.48861532274</v>
      </c>
      <c r="AJ156" s="205">
        <f t="shared" si="19"/>
        <v>215141.94645000511</v>
      </c>
      <c r="AK156" s="205">
        <f t="shared" si="20"/>
        <v>26799.542165317656</v>
      </c>
      <c r="AL156" s="229"/>
      <c r="AM156" s="52">
        <f t="shared" si="4"/>
        <v>1</v>
      </c>
      <c r="AN156" s="52">
        <f t="shared" si="5"/>
        <v>0</v>
      </c>
      <c r="AO156" s="52">
        <f t="shared" si="6"/>
        <v>1</v>
      </c>
      <c r="AP156" s="229"/>
      <c r="AQ156" s="3"/>
      <c r="AR156" s="3"/>
      <c r="AS156" s="3"/>
      <c r="AT156" s="3"/>
      <c r="AU156" s="229"/>
      <c r="AV156" s="318">
        <f t="shared" si="21"/>
        <v>241941.48861532274</v>
      </c>
      <c r="AW156" s="229"/>
      <c r="AX156" s="312"/>
      <c r="AY156" s="14"/>
      <c r="AZ156" s="14">
        <f t="shared" si="23"/>
        <v>4487.6833482183865</v>
      </c>
      <c r="BA156" s="14">
        <f t="shared" si="22"/>
        <v>0.31287225513536043</v>
      </c>
      <c r="BB156" s="14">
        <f t="shared" si="2"/>
        <v>14343.500500793349</v>
      </c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3"/>
      <c r="CT156" s="3"/>
      <c r="CU156" s="3"/>
      <c r="CV156" s="3"/>
      <c r="CW156" s="3"/>
    </row>
    <row r="157" spans="1:101" ht="14.25" customHeight="1" x14ac:dyDescent="0.2">
      <c r="A157" s="286"/>
      <c r="B157" s="52">
        <v>0.18271866180833729</v>
      </c>
      <c r="C157" s="288">
        <v>0.11796113188937288</v>
      </c>
      <c r="D157" s="288">
        <v>1.1731752868515306E-2</v>
      </c>
      <c r="E157" s="288">
        <v>2.6143342971186906E-3</v>
      </c>
      <c r="F157" s="289">
        <v>0.78203170653002718</v>
      </c>
      <c r="G157" s="92">
        <v>0.37438584945690057</v>
      </c>
      <c r="H157" s="288">
        <v>0.96813995901702277</v>
      </c>
      <c r="I157" s="288">
        <v>4.2360831451051406E-2</v>
      </c>
      <c r="J157" s="288">
        <v>0.99999671573966165</v>
      </c>
      <c r="K157" s="288">
        <v>0.74959851718396053</v>
      </c>
      <c r="L157" s="290">
        <v>15660.38418806287</v>
      </c>
      <c r="M157" s="288">
        <v>0</v>
      </c>
      <c r="N157" s="288">
        <v>19000.317818907501</v>
      </c>
      <c r="O157" s="288">
        <v>1056.1348326355733</v>
      </c>
      <c r="P157" s="288">
        <v>31397.718230677539</v>
      </c>
      <c r="Q157" s="291">
        <v>76175.173298999041</v>
      </c>
      <c r="R157" s="288">
        <v>22716.124164208217</v>
      </c>
      <c r="S157" s="288">
        <v>6953.5362408060655</v>
      </c>
      <c r="T157" s="290">
        <v>0.751</v>
      </c>
      <c r="U157" s="288">
        <v>0.75800000000000001</v>
      </c>
      <c r="V157" s="288">
        <v>0.723923076923077</v>
      </c>
      <c r="W157" s="288">
        <v>0.72750000000000004</v>
      </c>
      <c r="X157" s="288">
        <v>0.76</v>
      </c>
      <c r="Y157" s="288">
        <v>0</v>
      </c>
      <c r="Z157" s="289">
        <v>0</v>
      </c>
      <c r="AA157" s="229"/>
      <c r="AB157" s="52">
        <v>70354.047369401189</v>
      </c>
      <c r="AC157" s="288">
        <v>3.1517840854546799</v>
      </c>
      <c r="AD157" s="288">
        <v>62305.398532720581</v>
      </c>
      <c r="AE157" s="288">
        <v>3.0064029680417894</v>
      </c>
      <c r="AF157" s="288">
        <v>8048.6488366806079</v>
      </c>
      <c r="AG157" s="289">
        <v>0.1453811174128905</v>
      </c>
      <c r="AH157" s="229"/>
      <c r="AI157" s="205">
        <f t="shared" si="18"/>
        <v>244824.3611760668</v>
      </c>
      <c r="AJ157" s="205">
        <f t="shared" si="19"/>
        <v>238334.89827145834</v>
      </c>
      <c r="AK157" s="205">
        <f t="shared" si="20"/>
        <v>6489.4629046084428</v>
      </c>
      <c r="AL157" s="229"/>
      <c r="AM157" s="52">
        <f t="shared" si="4"/>
        <v>1</v>
      </c>
      <c r="AN157" s="52">
        <f t="shared" si="5"/>
        <v>0</v>
      </c>
      <c r="AO157" s="52">
        <f t="shared" si="6"/>
        <v>1</v>
      </c>
      <c r="AP157" s="229"/>
      <c r="AQ157" s="3"/>
      <c r="AR157" s="3"/>
      <c r="AS157" s="3"/>
      <c r="AT157" s="3"/>
      <c r="AU157" s="229"/>
      <c r="AV157" s="318">
        <f t="shared" si="21"/>
        <v>244824.3611760668</v>
      </c>
      <c r="AW157" s="229"/>
      <c r="AX157" s="312"/>
      <c r="AY157" s="14"/>
      <c r="AZ157" s="14">
        <f t="shared" si="23"/>
        <v>8048.6488366806079</v>
      </c>
      <c r="BA157" s="14">
        <f t="shared" si="22"/>
        <v>0.1453811174128905</v>
      </c>
      <c r="BB157" s="14">
        <f t="shared" si="2"/>
        <v>55362.408680777953</v>
      </c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3"/>
      <c r="CT157" s="3"/>
      <c r="CU157" s="3"/>
      <c r="CV157" s="3"/>
      <c r="CW157" s="3"/>
    </row>
    <row r="158" spans="1:101" ht="14.25" customHeight="1" x14ac:dyDescent="0.2">
      <c r="A158" s="286"/>
      <c r="B158" s="52">
        <v>0.15176539777398754</v>
      </c>
      <c r="C158" s="288">
        <v>5.3159617869914841E-2</v>
      </c>
      <c r="D158" s="288">
        <v>3.2734520861357086E-2</v>
      </c>
      <c r="E158" s="288">
        <v>1.1013974198096124E-2</v>
      </c>
      <c r="F158" s="289">
        <v>0.79692871209723704</v>
      </c>
      <c r="G158" s="92">
        <v>0.40687271760805943</v>
      </c>
      <c r="H158" s="288">
        <v>3.0344666510342872E-3</v>
      </c>
      <c r="I158" s="288">
        <v>3.1327871618241354E-2</v>
      </c>
      <c r="J158" s="288">
        <v>0.55245528587139636</v>
      </c>
      <c r="K158" s="288">
        <v>0.79372390411641269</v>
      </c>
      <c r="L158" s="290">
        <v>14712.941676993787</v>
      </c>
      <c r="M158" s="288">
        <v>0</v>
      </c>
      <c r="N158" s="288">
        <v>18565.779140725575</v>
      </c>
      <c r="O158" s="288">
        <v>1590.594679481866</v>
      </c>
      <c r="P158" s="288">
        <v>46834.173432233038</v>
      </c>
      <c r="Q158" s="291">
        <v>146704.9913925663</v>
      </c>
      <c r="R158" s="288">
        <v>21165.317337653465</v>
      </c>
      <c r="S158" s="288">
        <v>8424.8624447622424</v>
      </c>
      <c r="T158" s="290">
        <v>0.751</v>
      </c>
      <c r="U158" s="288">
        <v>0.75800000000000001</v>
      </c>
      <c r="V158" s="288">
        <v>0.723923076923077</v>
      </c>
      <c r="W158" s="288">
        <v>0.72750000000000004</v>
      </c>
      <c r="X158" s="288">
        <v>0.76</v>
      </c>
      <c r="Y158" s="288">
        <v>0</v>
      </c>
      <c r="Z158" s="289">
        <v>0</v>
      </c>
      <c r="AA158" s="229"/>
      <c r="AB158" s="52">
        <v>82341.592758762345</v>
      </c>
      <c r="AC158" s="288">
        <v>3.2211332568933688</v>
      </c>
      <c r="AD158" s="288">
        <v>69697.195637482844</v>
      </c>
      <c r="AE158" s="288">
        <v>3.210978759454822</v>
      </c>
      <c r="AF158" s="288">
        <v>12644.3971212795</v>
      </c>
      <c r="AG158" s="289">
        <v>1.0154497438546795E-2</v>
      </c>
      <c r="AH158" s="229"/>
      <c r="AI158" s="205">
        <f t="shared" si="18"/>
        <v>239771.73293057451</v>
      </c>
      <c r="AJ158" s="205">
        <f t="shared" si="19"/>
        <v>251400.68030799937</v>
      </c>
      <c r="AK158" s="205">
        <f t="shared" si="20"/>
        <v>-11628.947377424822</v>
      </c>
      <c r="AL158" s="229"/>
      <c r="AM158" s="52">
        <f t="shared" si="4"/>
        <v>0</v>
      </c>
      <c r="AN158" s="52">
        <f t="shared" si="5"/>
        <v>1</v>
      </c>
      <c r="AO158" s="52">
        <f t="shared" si="6"/>
        <v>0</v>
      </c>
      <c r="AP158" s="229"/>
      <c r="AQ158" s="3"/>
      <c r="AR158" s="3"/>
      <c r="AS158" s="3"/>
      <c r="AT158" s="3"/>
      <c r="AU158" s="229"/>
      <c r="AV158" s="318">
        <f t="shared" si="21"/>
        <v>251400.68030799937</v>
      </c>
      <c r="AW158" s="229"/>
      <c r="AX158" s="312"/>
      <c r="AY158" s="14"/>
      <c r="AZ158" s="14">
        <f t="shared" si="23"/>
        <v>12644.3971212795</v>
      </c>
      <c r="BA158" s="14">
        <f t="shared" si="22"/>
        <v>1.0154497438546795E-2</v>
      </c>
      <c r="BB158" s="14">
        <f t="shared" si="2"/>
        <v>1245201.6653508591</v>
      </c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3"/>
      <c r="CT158" s="3"/>
      <c r="CU158" s="3"/>
      <c r="CV158" s="3"/>
      <c r="CW158" s="3"/>
    </row>
    <row r="159" spans="1:101" ht="14.25" customHeight="1" x14ac:dyDescent="0.2">
      <c r="A159" s="286"/>
      <c r="B159" s="52">
        <v>0.13431239178167323</v>
      </c>
      <c r="C159" s="288">
        <v>0.13549741082288838</v>
      </c>
      <c r="D159" s="288">
        <v>9.3119364663592115E-3</v>
      </c>
      <c r="E159" s="288">
        <v>8.9556529091730126E-3</v>
      </c>
      <c r="F159" s="289">
        <v>0.8254975020734987</v>
      </c>
      <c r="G159" s="92">
        <v>0.41787220593000074</v>
      </c>
      <c r="H159" s="288">
        <v>0.78132251680580056</v>
      </c>
      <c r="I159" s="288">
        <v>3.079575968431536E-2</v>
      </c>
      <c r="J159" s="288">
        <v>0.99968741756820434</v>
      </c>
      <c r="K159" s="288">
        <v>0.76066833465997674</v>
      </c>
      <c r="L159" s="290">
        <v>13387.569035827772</v>
      </c>
      <c r="M159" s="288">
        <v>0</v>
      </c>
      <c r="N159" s="288">
        <v>11540.590745631018</v>
      </c>
      <c r="O159" s="288">
        <v>1074.6657088466391</v>
      </c>
      <c r="P159" s="288">
        <v>56185.894590770695</v>
      </c>
      <c r="Q159" s="291">
        <v>83527.392541590234</v>
      </c>
      <c r="R159" s="288">
        <v>15319.748282637236</v>
      </c>
      <c r="S159" s="288">
        <v>6639.8064588970037</v>
      </c>
      <c r="T159" s="290">
        <v>0.751</v>
      </c>
      <c r="U159" s="288">
        <v>0.75800000000000001</v>
      </c>
      <c r="V159" s="288">
        <v>0.723923076923077</v>
      </c>
      <c r="W159" s="288">
        <v>0.72750000000000004</v>
      </c>
      <c r="X159" s="288">
        <v>0.76</v>
      </c>
      <c r="Y159" s="288">
        <v>0</v>
      </c>
      <c r="Z159" s="289">
        <v>0</v>
      </c>
      <c r="AA159" s="229"/>
      <c r="AB159" s="52">
        <v>68191.791003129139</v>
      </c>
      <c r="AC159" s="288">
        <v>3.3551017526735065</v>
      </c>
      <c r="AD159" s="288">
        <v>57632.895306119513</v>
      </c>
      <c r="AE159" s="288">
        <v>3.0574368854046785</v>
      </c>
      <c r="AF159" s="288">
        <v>10558.895697009626</v>
      </c>
      <c r="AG159" s="289">
        <v>0.29766486726882802</v>
      </c>
      <c r="AH159" s="229"/>
      <c r="AI159" s="205">
        <f t="shared" si="18"/>
        <v>267318.38426422147</v>
      </c>
      <c r="AJ159" s="205">
        <f t="shared" si="19"/>
        <v>248110.79323434836</v>
      </c>
      <c r="AK159" s="205">
        <f t="shared" si="20"/>
        <v>19207.591029873176</v>
      </c>
      <c r="AL159" s="229"/>
      <c r="AM159" s="52">
        <f t="shared" si="4"/>
        <v>1</v>
      </c>
      <c r="AN159" s="52">
        <f t="shared" si="5"/>
        <v>0</v>
      </c>
      <c r="AO159" s="52">
        <f t="shared" si="6"/>
        <v>1</v>
      </c>
      <c r="AP159" s="229"/>
      <c r="AQ159" s="3"/>
      <c r="AR159" s="3"/>
      <c r="AS159" s="3"/>
      <c r="AT159" s="3"/>
      <c r="AU159" s="229"/>
      <c r="AV159" s="318">
        <f t="shared" si="21"/>
        <v>267318.38426422147</v>
      </c>
      <c r="AW159" s="229"/>
      <c r="AX159" s="312"/>
      <c r="AY159" s="14"/>
      <c r="AZ159" s="14">
        <f t="shared" si="23"/>
        <v>10558.895697009626</v>
      </c>
      <c r="BA159" s="14">
        <f t="shared" si="22"/>
        <v>0.29766486726882802</v>
      </c>
      <c r="BB159" s="14">
        <f t="shared" si="2"/>
        <v>35472.42841888238</v>
      </c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3"/>
      <c r="CT159" s="3"/>
      <c r="CU159" s="3"/>
      <c r="CV159" s="3"/>
      <c r="CW159" s="3"/>
    </row>
    <row r="160" spans="1:101" ht="14.25" customHeight="1" x14ac:dyDescent="0.2">
      <c r="A160" s="286"/>
      <c r="B160" s="52">
        <v>0.14132490028534561</v>
      </c>
      <c r="C160" s="288">
        <v>0.1444731723469185</v>
      </c>
      <c r="D160" s="288">
        <v>1.024770681035932E-2</v>
      </c>
      <c r="E160" s="288">
        <v>2.2407476896332268E-2</v>
      </c>
      <c r="F160" s="289">
        <v>0.8012258338346081</v>
      </c>
      <c r="G160" s="92">
        <v>0.40036912784953027</v>
      </c>
      <c r="H160" s="288">
        <v>0.76144531770166768</v>
      </c>
      <c r="I160" s="288">
        <v>2.3292964668905514E-2</v>
      </c>
      <c r="J160" s="288">
        <v>0.99998446341848046</v>
      </c>
      <c r="K160" s="288">
        <v>0.81167139938702515</v>
      </c>
      <c r="L160" s="290">
        <v>12853.707200086521</v>
      </c>
      <c r="M160" s="288">
        <v>0</v>
      </c>
      <c r="N160" s="288">
        <v>19564.978804334492</v>
      </c>
      <c r="O160" s="288">
        <v>1689.0242335922774</v>
      </c>
      <c r="P160" s="288">
        <v>56207.700179213054</v>
      </c>
      <c r="Q160" s="291">
        <v>75748.41030917583</v>
      </c>
      <c r="R160" s="288">
        <v>24407.276937436927</v>
      </c>
      <c r="S160" s="288">
        <v>8861.99922522626</v>
      </c>
      <c r="T160" s="290">
        <v>0.751</v>
      </c>
      <c r="U160" s="288">
        <v>0.75800000000000001</v>
      </c>
      <c r="V160" s="288">
        <v>0.723923076923077</v>
      </c>
      <c r="W160" s="288">
        <v>0.72750000000000004</v>
      </c>
      <c r="X160" s="288">
        <v>0.76</v>
      </c>
      <c r="Y160" s="288">
        <v>0</v>
      </c>
      <c r="Z160" s="289">
        <v>0</v>
      </c>
      <c r="AA160" s="229"/>
      <c r="AB160" s="52">
        <v>84013.720116592449</v>
      </c>
      <c r="AC160" s="288">
        <v>3.2412020846049763</v>
      </c>
      <c r="AD160" s="288">
        <v>81115.258168327302</v>
      </c>
      <c r="AE160" s="288">
        <v>3.2950656301367651</v>
      </c>
      <c r="AF160" s="288">
        <v>2898.4619482651469</v>
      </c>
      <c r="AG160" s="289">
        <v>-5.3863545531788848E-2</v>
      </c>
      <c r="AH160" s="229"/>
      <c r="AI160" s="205">
        <f t="shared" si="18"/>
        <v>240106.48834390516</v>
      </c>
      <c r="AJ160" s="205">
        <f t="shared" si="19"/>
        <v>248391.30484534919</v>
      </c>
      <c r="AK160" s="205">
        <f t="shared" si="20"/>
        <v>-8284.816501444031</v>
      </c>
      <c r="AL160" s="229"/>
      <c r="AM160" s="52">
        <f t="shared" si="4"/>
        <v>0</v>
      </c>
      <c r="AN160" s="52">
        <f t="shared" si="5"/>
        <v>1</v>
      </c>
      <c r="AO160" s="52">
        <f t="shared" si="6"/>
        <v>0</v>
      </c>
      <c r="AP160" s="229"/>
      <c r="AQ160" s="3"/>
      <c r="AR160" s="3"/>
      <c r="AS160" s="3"/>
      <c r="AT160" s="3"/>
      <c r="AU160" s="229"/>
      <c r="AV160" s="318">
        <f t="shared" si="21"/>
        <v>248391.30484534919</v>
      </c>
      <c r="AW160" s="229"/>
      <c r="AX160" s="312"/>
      <c r="AY160" s="14"/>
      <c r="AZ160" s="14">
        <f t="shared" si="23"/>
        <v>2898.4619482651469</v>
      </c>
      <c r="BA160" s="14">
        <f t="shared" si="22"/>
        <v>-5.3863545531788848E-2</v>
      </c>
      <c r="BB160" s="14">
        <f t="shared" si="2"/>
        <v>-53811.198643701442</v>
      </c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3"/>
      <c r="CT160" s="3"/>
      <c r="CU160" s="3"/>
      <c r="CV160" s="3"/>
      <c r="CW160" s="3"/>
    </row>
    <row r="161" spans="1:101" ht="14.25" customHeight="1" x14ac:dyDescent="0.2">
      <c r="A161" s="286"/>
      <c r="B161" s="52">
        <v>0.17929075542240802</v>
      </c>
      <c r="C161" s="288">
        <v>0.27382451350224191</v>
      </c>
      <c r="D161" s="288">
        <v>1.1109600464423219E-2</v>
      </c>
      <c r="E161" s="288">
        <v>3.0218270129184321E-2</v>
      </c>
      <c r="F161" s="289">
        <v>0.76739804602062955</v>
      </c>
      <c r="G161" s="92">
        <v>0.37053908679174719</v>
      </c>
      <c r="H161" s="288">
        <v>0.76195362736188244</v>
      </c>
      <c r="I161" s="288">
        <v>6.6950774922892578E-3</v>
      </c>
      <c r="J161" s="288">
        <v>0.99965507422930278</v>
      </c>
      <c r="K161" s="288">
        <v>0.81063408903048395</v>
      </c>
      <c r="L161" s="290">
        <v>9665.2452361810538</v>
      </c>
      <c r="M161" s="288">
        <v>0</v>
      </c>
      <c r="N161" s="288">
        <v>20492.542308445893</v>
      </c>
      <c r="O161" s="288">
        <v>1580.4323806012155</v>
      </c>
      <c r="P161" s="288">
        <v>50278.342991649086</v>
      </c>
      <c r="Q161" s="291">
        <v>99444.739070347001</v>
      </c>
      <c r="R161" s="288">
        <v>17825.848025882351</v>
      </c>
      <c r="S161" s="288">
        <v>10045.391322271082</v>
      </c>
      <c r="T161" s="290">
        <v>0.751</v>
      </c>
      <c r="U161" s="288">
        <v>0.75800000000000001</v>
      </c>
      <c r="V161" s="288">
        <v>0.723923076923077</v>
      </c>
      <c r="W161" s="288">
        <v>0.72750000000000004</v>
      </c>
      <c r="X161" s="288">
        <v>0.76</v>
      </c>
      <c r="Y161" s="288">
        <v>0</v>
      </c>
      <c r="Z161" s="289">
        <v>0</v>
      </c>
      <c r="AA161" s="229"/>
      <c r="AB161" s="52">
        <v>87360.961764425039</v>
      </c>
      <c r="AC161" s="288">
        <v>3.083999756247068</v>
      </c>
      <c r="AD161" s="288">
        <v>87218.721359669114</v>
      </c>
      <c r="AE161" s="288">
        <v>3.2901918414992259</v>
      </c>
      <c r="AF161" s="288">
        <v>142.24040475592483</v>
      </c>
      <c r="AG161" s="289">
        <v>-0.20619208525215793</v>
      </c>
      <c r="AH161" s="229"/>
      <c r="AI161" s="205">
        <f t="shared" si="18"/>
        <v>221039.01386028179</v>
      </c>
      <c r="AJ161" s="205">
        <f t="shared" si="19"/>
        <v>241800.46279025346</v>
      </c>
      <c r="AK161" s="205">
        <f t="shared" si="20"/>
        <v>-20761.448929971717</v>
      </c>
      <c r="AL161" s="229"/>
      <c r="AM161" s="52">
        <f t="shared" si="4"/>
        <v>0</v>
      </c>
      <c r="AN161" s="52">
        <f t="shared" si="5"/>
        <v>1</v>
      </c>
      <c r="AO161" s="52">
        <f t="shared" si="6"/>
        <v>0</v>
      </c>
      <c r="AP161" s="229"/>
      <c r="AQ161" s="3"/>
      <c r="AR161" s="3"/>
      <c r="AS161" s="3"/>
      <c r="AT161" s="3"/>
      <c r="AU161" s="229"/>
      <c r="AV161" s="318">
        <f t="shared" si="21"/>
        <v>241800.46279025346</v>
      </c>
      <c r="AW161" s="229"/>
      <c r="AX161" s="312"/>
      <c r="AY161" s="14"/>
      <c r="AZ161" s="14">
        <f t="shared" si="23"/>
        <v>142.24040475592483</v>
      </c>
      <c r="BA161" s="14">
        <f t="shared" si="22"/>
        <v>-0.20619208525215793</v>
      </c>
      <c r="BB161" s="14">
        <f t="shared" si="2"/>
        <v>-689.84415469670023</v>
      </c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3"/>
      <c r="CT161" s="3"/>
      <c r="CU161" s="3"/>
      <c r="CV161" s="3"/>
      <c r="CW161" s="3"/>
    </row>
    <row r="162" spans="1:101" ht="14.25" customHeight="1" x14ac:dyDescent="0.2">
      <c r="A162" s="286"/>
      <c r="B162" s="52">
        <v>0.15056622117203672</v>
      </c>
      <c r="C162" s="288">
        <v>0.54742804567671732</v>
      </c>
      <c r="D162" s="288">
        <v>2.5374553784557441E-2</v>
      </c>
      <c r="E162" s="288">
        <v>2.1107341318916562E-2</v>
      </c>
      <c r="F162" s="289">
        <v>0.7461320529837836</v>
      </c>
      <c r="G162" s="92">
        <v>0.40206775932430128</v>
      </c>
      <c r="H162" s="288">
        <v>0.83164677711077162</v>
      </c>
      <c r="I162" s="288">
        <v>1.2998856804573342E-2</v>
      </c>
      <c r="J162" s="288">
        <v>1</v>
      </c>
      <c r="K162" s="288">
        <v>0.77958487095216245</v>
      </c>
      <c r="L162" s="290">
        <v>10766.972243331844</v>
      </c>
      <c r="M162" s="288">
        <v>0</v>
      </c>
      <c r="N162" s="288">
        <v>21545.517349913986</v>
      </c>
      <c r="O162" s="288">
        <v>1344.5543976397173</v>
      </c>
      <c r="P162" s="288">
        <v>28222.582858128455</v>
      </c>
      <c r="Q162" s="291">
        <v>88552.808901882934</v>
      </c>
      <c r="R162" s="288">
        <v>15731.720401514809</v>
      </c>
      <c r="S162" s="288">
        <v>8110.1588777194011</v>
      </c>
      <c r="T162" s="290">
        <v>0.751</v>
      </c>
      <c r="U162" s="288">
        <v>0.75800000000000001</v>
      </c>
      <c r="V162" s="288">
        <v>0.723923076923077</v>
      </c>
      <c r="W162" s="288">
        <v>0.72750000000000004</v>
      </c>
      <c r="X162" s="288">
        <v>0.76</v>
      </c>
      <c r="Y162" s="288">
        <v>0</v>
      </c>
      <c r="Z162" s="289">
        <v>0</v>
      </c>
      <c r="AA162" s="229"/>
      <c r="AB162" s="52">
        <v>72529.625810770784</v>
      </c>
      <c r="AC162" s="288">
        <v>2.9860926418988862</v>
      </c>
      <c r="AD162" s="288">
        <v>69546.165073880664</v>
      </c>
      <c r="AE162" s="288">
        <v>3.1450926902756406</v>
      </c>
      <c r="AF162" s="288">
        <v>2983.4607368901197</v>
      </c>
      <c r="AG162" s="289">
        <v>-0.15900004837675441</v>
      </c>
      <c r="AH162" s="229"/>
      <c r="AI162" s="205">
        <f t="shared" si="18"/>
        <v>226079.63837911782</v>
      </c>
      <c r="AJ162" s="205">
        <f t="shared" si="19"/>
        <v>244963.10395368343</v>
      </c>
      <c r="AK162" s="205">
        <f t="shared" si="20"/>
        <v>-18883.465574565562</v>
      </c>
      <c r="AL162" s="229"/>
      <c r="AM162" s="52">
        <f t="shared" si="4"/>
        <v>0</v>
      </c>
      <c r="AN162" s="52">
        <f t="shared" si="5"/>
        <v>1</v>
      </c>
      <c r="AO162" s="52">
        <f t="shared" si="6"/>
        <v>0</v>
      </c>
      <c r="AP162" s="229"/>
      <c r="AQ162" s="3"/>
      <c r="AR162" s="3"/>
      <c r="AS162" s="3"/>
      <c r="AT162" s="3"/>
      <c r="AU162" s="229"/>
      <c r="AV162" s="318">
        <f t="shared" si="21"/>
        <v>244963.10395368343</v>
      </c>
      <c r="AW162" s="229"/>
      <c r="AX162" s="312"/>
      <c r="AY162" s="14"/>
      <c r="AZ162" s="14">
        <f t="shared" si="23"/>
        <v>2983.4607368901197</v>
      </c>
      <c r="BA162" s="14">
        <f t="shared" si="22"/>
        <v>-0.15900004837675441</v>
      </c>
      <c r="BB162" s="14">
        <f t="shared" si="2"/>
        <v>-18763.89829656365</v>
      </c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3"/>
      <c r="CT162" s="3"/>
      <c r="CU162" s="3"/>
      <c r="CV162" s="3"/>
      <c r="CW162" s="3"/>
    </row>
    <row r="163" spans="1:101" ht="14.25" customHeight="1" x14ac:dyDescent="0.2">
      <c r="A163" s="286"/>
      <c r="B163" s="52">
        <v>0.165313888619399</v>
      </c>
      <c r="C163" s="288">
        <v>1.2068504383101154E-2</v>
      </c>
      <c r="D163" s="288">
        <v>7.1270815803892379E-3</v>
      </c>
      <c r="E163" s="288">
        <v>1.2589424401203744E-2</v>
      </c>
      <c r="F163" s="289">
        <v>0.78181935734204333</v>
      </c>
      <c r="G163" s="92">
        <v>0.41274078794960989</v>
      </c>
      <c r="H163" s="288">
        <v>0.99989032305894299</v>
      </c>
      <c r="I163" s="288">
        <v>2.3685742805107268E-2</v>
      </c>
      <c r="J163" s="288">
        <v>0.99999985769834099</v>
      </c>
      <c r="K163" s="288">
        <v>0.73893233877466435</v>
      </c>
      <c r="L163" s="290">
        <v>11308.646690018195</v>
      </c>
      <c r="M163" s="288">
        <v>0</v>
      </c>
      <c r="N163" s="288">
        <v>18338.518437212413</v>
      </c>
      <c r="O163" s="288">
        <v>1024.1203140107045</v>
      </c>
      <c r="P163" s="288">
        <v>53294.975455653039</v>
      </c>
      <c r="Q163" s="291">
        <v>130207.07744639501</v>
      </c>
      <c r="R163" s="288">
        <v>20296.512310486189</v>
      </c>
      <c r="S163" s="288">
        <v>11048.031720816502</v>
      </c>
      <c r="T163" s="290">
        <v>0.751</v>
      </c>
      <c r="U163" s="288">
        <v>0.75800000000000001</v>
      </c>
      <c r="V163" s="288">
        <v>0.723923076923077</v>
      </c>
      <c r="W163" s="288">
        <v>0.72750000000000004</v>
      </c>
      <c r="X163" s="288">
        <v>0.76</v>
      </c>
      <c r="Y163" s="288">
        <v>0</v>
      </c>
      <c r="Z163" s="289">
        <v>0</v>
      </c>
      <c r="AA163" s="229"/>
      <c r="AB163" s="52">
        <v>97204.55141009744</v>
      </c>
      <c r="AC163" s="288">
        <v>3.1507980647525913</v>
      </c>
      <c r="AD163" s="288">
        <v>91981.357623321994</v>
      </c>
      <c r="AE163" s="288">
        <v>2.9574126207544049</v>
      </c>
      <c r="AF163" s="288">
        <v>5223.1937867754459</v>
      </c>
      <c r="AG163" s="289">
        <v>0.19338544399818636</v>
      </c>
      <c r="AH163" s="229"/>
      <c r="AI163" s="205">
        <f t="shared" si="18"/>
        <v>217875.25506516168</v>
      </c>
      <c r="AJ163" s="205">
        <f t="shared" si="19"/>
        <v>203759.9044521185</v>
      </c>
      <c r="AK163" s="205">
        <f t="shared" si="20"/>
        <v>14115.350613043189</v>
      </c>
      <c r="AL163" s="229"/>
      <c r="AM163" s="52">
        <f t="shared" si="4"/>
        <v>1</v>
      </c>
      <c r="AN163" s="52">
        <f t="shared" si="5"/>
        <v>0</v>
      </c>
      <c r="AO163" s="52">
        <f t="shared" si="6"/>
        <v>1</v>
      </c>
      <c r="AP163" s="229"/>
      <c r="AQ163" s="3"/>
      <c r="AR163" s="3"/>
      <c r="AS163" s="3"/>
      <c r="AT163" s="3"/>
      <c r="AU163" s="229"/>
      <c r="AV163" s="318">
        <f t="shared" si="21"/>
        <v>217875.25506516168</v>
      </c>
      <c r="AW163" s="229"/>
      <c r="AX163" s="312"/>
      <c r="AY163" s="14"/>
      <c r="AZ163" s="14">
        <f t="shared" si="23"/>
        <v>5223.1937867754459</v>
      </c>
      <c r="BA163" s="14">
        <f t="shared" si="22"/>
        <v>0.19338544399818636</v>
      </c>
      <c r="BB163" s="14">
        <f t="shared" si="2"/>
        <v>27009.239572469742</v>
      </c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3"/>
      <c r="CT163" s="3"/>
      <c r="CU163" s="3"/>
      <c r="CV163" s="3"/>
      <c r="CW163" s="3"/>
    </row>
    <row r="164" spans="1:101" ht="14.25" customHeight="1" x14ac:dyDescent="0.2">
      <c r="A164" s="286"/>
      <c r="B164" s="52">
        <v>0.1779482600063621</v>
      </c>
      <c r="C164" s="288">
        <v>1.6266943238047595E-2</v>
      </c>
      <c r="D164" s="288">
        <v>2.2873522228222698E-2</v>
      </c>
      <c r="E164" s="288">
        <v>6.6785381178708766E-3</v>
      </c>
      <c r="F164" s="289">
        <v>0.7490341798025586</v>
      </c>
      <c r="G164" s="92">
        <v>0.43789432725030786</v>
      </c>
      <c r="H164" s="288">
        <v>0.159445767636098</v>
      </c>
      <c r="I164" s="288">
        <v>2.3840073109212545E-2</v>
      </c>
      <c r="J164" s="288">
        <v>0.94226647149334297</v>
      </c>
      <c r="K164" s="288">
        <v>0.76311456668280597</v>
      </c>
      <c r="L164" s="290">
        <v>12254.604550468111</v>
      </c>
      <c r="M164" s="288">
        <v>0</v>
      </c>
      <c r="N164" s="288">
        <v>16192.392799030546</v>
      </c>
      <c r="O164" s="288">
        <v>902.11290287287773</v>
      </c>
      <c r="P164" s="288">
        <v>56062.490827011388</v>
      </c>
      <c r="Q164" s="291">
        <v>98807.577177396903</v>
      </c>
      <c r="R164" s="288">
        <v>27398.554756319627</v>
      </c>
      <c r="S164" s="288">
        <v>7808.8539405270467</v>
      </c>
      <c r="T164" s="290">
        <v>0.751</v>
      </c>
      <c r="U164" s="288">
        <v>0.75800000000000001</v>
      </c>
      <c r="V164" s="288">
        <v>0.723923076923077</v>
      </c>
      <c r="W164" s="288">
        <v>0.72750000000000004</v>
      </c>
      <c r="X164" s="288">
        <v>0.76</v>
      </c>
      <c r="Y164" s="288">
        <v>0</v>
      </c>
      <c r="Z164" s="289">
        <v>0</v>
      </c>
      <c r="AA164" s="229"/>
      <c r="AB164" s="52">
        <v>70818.02920376118</v>
      </c>
      <c r="AC164" s="288">
        <v>2.9994120306394452</v>
      </c>
      <c r="AD164" s="288">
        <v>63430.237546923687</v>
      </c>
      <c r="AE164" s="288">
        <v>3.0687405280743123</v>
      </c>
      <c r="AF164" s="288">
        <v>7387.7916568374931</v>
      </c>
      <c r="AG164" s="289">
        <v>-6.9328497434867131E-2</v>
      </c>
      <c r="AH164" s="229"/>
      <c r="AI164" s="205">
        <f t="shared" si="18"/>
        <v>229123.17386018333</v>
      </c>
      <c r="AJ164" s="205">
        <f t="shared" si="19"/>
        <v>243443.81526050752</v>
      </c>
      <c r="AK164" s="205">
        <f t="shared" si="20"/>
        <v>-14320.641400324206</v>
      </c>
      <c r="AL164" s="229"/>
      <c r="AM164" s="52">
        <f t="shared" si="4"/>
        <v>0</v>
      </c>
      <c r="AN164" s="52">
        <f t="shared" si="5"/>
        <v>1</v>
      </c>
      <c r="AO164" s="52">
        <f t="shared" si="6"/>
        <v>0</v>
      </c>
      <c r="AP164" s="229"/>
      <c r="AQ164" s="3"/>
      <c r="AR164" s="3"/>
      <c r="AS164" s="3"/>
      <c r="AT164" s="3"/>
      <c r="AU164" s="229"/>
      <c r="AV164" s="318">
        <f t="shared" si="21"/>
        <v>243443.81526050752</v>
      </c>
      <c r="AW164" s="229"/>
      <c r="AX164" s="312"/>
      <c r="AY164" s="14"/>
      <c r="AZ164" s="14">
        <f t="shared" si="23"/>
        <v>7387.7916568374931</v>
      </c>
      <c r="BA164" s="14">
        <f t="shared" si="22"/>
        <v>-6.9328497434867131E-2</v>
      </c>
      <c r="BB164" s="14">
        <f t="shared" si="2"/>
        <v>-106562.11991004406</v>
      </c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3"/>
      <c r="CT164" s="3"/>
      <c r="CU164" s="3"/>
      <c r="CV164" s="3"/>
      <c r="CW164" s="3"/>
    </row>
    <row r="165" spans="1:101" ht="14.25" customHeight="1" x14ac:dyDescent="0.2">
      <c r="A165" s="286"/>
      <c r="B165" s="52">
        <v>0.15471275918247035</v>
      </c>
      <c r="C165" s="288">
        <v>0.45342312664848372</v>
      </c>
      <c r="D165" s="288">
        <v>1.8558989977649154E-2</v>
      </c>
      <c r="E165" s="288">
        <v>1.3625168835708912E-2</v>
      </c>
      <c r="F165" s="289">
        <v>0.7956577542520844</v>
      </c>
      <c r="G165" s="92">
        <v>0.36203485695217391</v>
      </c>
      <c r="H165" s="288">
        <v>0.9783487689526561</v>
      </c>
      <c r="I165" s="288">
        <v>1.7610283855839515E-2</v>
      </c>
      <c r="J165" s="288">
        <v>1</v>
      </c>
      <c r="K165" s="288">
        <v>0.78618422671696941</v>
      </c>
      <c r="L165" s="290">
        <v>9689.8643686692194</v>
      </c>
      <c r="M165" s="288">
        <v>0</v>
      </c>
      <c r="N165" s="288">
        <v>17280.510101939173</v>
      </c>
      <c r="O165" s="288">
        <v>1196.2931162032844</v>
      </c>
      <c r="P165" s="288">
        <v>57401.11104190474</v>
      </c>
      <c r="Q165" s="291">
        <v>111430.17736515519</v>
      </c>
      <c r="R165" s="288">
        <v>18230.189334970975</v>
      </c>
      <c r="S165" s="288">
        <v>8837.5704929003732</v>
      </c>
      <c r="T165" s="290">
        <v>0.751</v>
      </c>
      <c r="U165" s="288">
        <v>0.75800000000000001</v>
      </c>
      <c r="V165" s="288">
        <v>0.723923076923077</v>
      </c>
      <c r="W165" s="288">
        <v>0.72750000000000004</v>
      </c>
      <c r="X165" s="288">
        <v>0.76</v>
      </c>
      <c r="Y165" s="288">
        <v>0</v>
      </c>
      <c r="Z165" s="289">
        <v>0</v>
      </c>
      <c r="AA165" s="229"/>
      <c r="AB165" s="52">
        <v>81106.39169689393</v>
      </c>
      <c r="AC165" s="288">
        <v>3.2152030583423654</v>
      </c>
      <c r="AD165" s="288">
        <v>77297.597622568152</v>
      </c>
      <c r="AE165" s="288">
        <v>3.1758056214085841</v>
      </c>
      <c r="AF165" s="288">
        <v>3808.7940743257786</v>
      </c>
      <c r="AG165" s="289">
        <v>3.9397436933781282E-2</v>
      </c>
      <c r="AH165" s="229"/>
      <c r="AI165" s="205">
        <f t="shared" si="18"/>
        <v>240413.91413734262</v>
      </c>
      <c r="AJ165" s="205">
        <f t="shared" si="19"/>
        <v>240282.9645182903</v>
      </c>
      <c r="AK165" s="205">
        <f t="shared" si="20"/>
        <v>130.94961905234959</v>
      </c>
      <c r="AL165" s="229"/>
      <c r="AM165" s="52">
        <f t="shared" si="4"/>
        <v>1</v>
      </c>
      <c r="AN165" s="52">
        <f t="shared" si="5"/>
        <v>0</v>
      </c>
      <c r="AO165" s="52">
        <f t="shared" si="6"/>
        <v>1</v>
      </c>
      <c r="AP165" s="229"/>
      <c r="AQ165" s="3"/>
      <c r="AR165" s="3"/>
      <c r="AS165" s="3"/>
      <c r="AT165" s="3"/>
      <c r="AU165" s="229"/>
      <c r="AV165" s="318">
        <f t="shared" si="21"/>
        <v>240413.91413734262</v>
      </c>
      <c r="AW165" s="229"/>
      <c r="AX165" s="312"/>
      <c r="AY165" s="14"/>
      <c r="AZ165" s="14">
        <f t="shared" si="23"/>
        <v>3808.7940743257786</v>
      </c>
      <c r="BA165" s="14">
        <f t="shared" si="22"/>
        <v>3.9397436933781282E-2</v>
      </c>
      <c r="BB165" s="14">
        <f t="shared" si="2"/>
        <v>96676.189385810852</v>
      </c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3"/>
      <c r="CT165" s="3"/>
      <c r="CU165" s="3"/>
      <c r="CV165" s="3"/>
      <c r="CW165" s="3"/>
    </row>
    <row r="166" spans="1:101" ht="14.25" customHeight="1" x14ac:dyDescent="0.2">
      <c r="A166" s="286"/>
      <c r="B166" s="52">
        <v>0.16025891668316117</v>
      </c>
      <c r="C166" s="288">
        <v>2.6582207106509423E-2</v>
      </c>
      <c r="D166" s="288">
        <v>1.6459507386891059E-2</v>
      </c>
      <c r="E166" s="288">
        <v>1.5660194267869354E-2</v>
      </c>
      <c r="F166" s="289">
        <v>0.79350658052886225</v>
      </c>
      <c r="G166" s="92">
        <v>0.34680403691182271</v>
      </c>
      <c r="H166" s="288">
        <v>0.46093617363581257</v>
      </c>
      <c r="I166" s="288">
        <v>2.2904299107771253E-2</v>
      </c>
      <c r="J166" s="288">
        <v>1</v>
      </c>
      <c r="K166" s="288">
        <v>0.75970928803948867</v>
      </c>
      <c r="L166" s="290">
        <v>15728.692068521948</v>
      </c>
      <c r="M166" s="288">
        <v>0</v>
      </c>
      <c r="N166" s="288">
        <v>17152.328304349863</v>
      </c>
      <c r="O166" s="288">
        <v>1336.8543103493107</v>
      </c>
      <c r="P166" s="288">
        <v>49924.036459643925</v>
      </c>
      <c r="Q166" s="291">
        <v>118012.91937455273</v>
      </c>
      <c r="R166" s="288">
        <v>28635.786642498333</v>
      </c>
      <c r="S166" s="288">
        <v>8261.0071219719994</v>
      </c>
      <c r="T166" s="290">
        <v>0.751</v>
      </c>
      <c r="U166" s="288">
        <v>0.75800000000000001</v>
      </c>
      <c r="V166" s="288">
        <v>0.723923076923077</v>
      </c>
      <c r="W166" s="288">
        <v>0.72750000000000004</v>
      </c>
      <c r="X166" s="288">
        <v>0.76</v>
      </c>
      <c r="Y166" s="288">
        <v>0</v>
      </c>
      <c r="Z166" s="289">
        <v>0</v>
      </c>
      <c r="AA166" s="229"/>
      <c r="AB166" s="52">
        <v>81290.089384176346</v>
      </c>
      <c r="AC166" s="288">
        <v>3.2051716086917201</v>
      </c>
      <c r="AD166" s="288">
        <v>68993.661745662452</v>
      </c>
      <c r="AE166" s="288">
        <v>3.0530078599056334</v>
      </c>
      <c r="AF166" s="288">
        <v>12296.427638513895</v>
      </c>
      <c r="AG166" s="289">
        <v>0.15216374878608674</v>
      </c>
      <c r="AH166" s="229"/>
      <c r="AI166" s="205">
        <f t="shared" si="18"/>
        <v>239227.07148499566</v>
      </c>
      <c r="AJ166" s="205">
        <f t="shared" si="19"/>
        <v>236307.12424490089</v>
      </c>
      <c r="AK166" s="205">
        <f t="shared" si="20"/>
        <v>2919.9472400947798</v>
      </c>
      <c r="AL166" s="229"/>
      <c r="AM166" s="52">
        <f t="shared" si="4"/>
        <v>1</v>
      </c>
      <c r="AN166" s="52">
        <f t="shared" si="5"/>
        <v>0</v>
      </c>
      <c r="AO166" s="52">
        <f t="shared" si="6"/>
        <v>1</v>
      </c>
      <c r="AP166" s="229"/>
      <c r="AQ166" s="3"/>
      <c r="AR166" s="3"/>
      <c r="AS166" s="3"/>
      <c r="AT166" s="3"/>
      <c r="AU166" s="229"/>
      <c r="AV166" s="318">
        <f t="shared" si="21"/>
        <v>239227.07148499566</v>
      </c>
      <c r="AW166" s="229"/>
      <c r="AX166" s="312"/>
      <c r="AY166" s="14"/>
      <c r="AZ166" s="14">
        <f t="shared" si="23"/>
        <v>12296.427638513895</v>
      </c>
      <c r="BA166" s="14">
        <f t="shared" si="22"/>
        <v>0.15216374878608674</v>
      </c>
      <c r="BB166" s="14">
        <f t="shared" si="2"/>
        <v>80810.493541404081</v>
      </c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3"/>
      <c r="CT166" s="3"/>
      <c r="CU166" s="3"/>
      <c r="CV166" s="3"/>
      <c r="CW166" s="3"/>
    </row>
    <row r="167" spans="1:101" ht="14.25" customHeight="1" x14ac:dyDescent="0.2">
      <c r="A167" s="286"/>
      <c r="B167" s="52">
        <v>0.13512830449779287</v>
      </c>
      <c r="C167" s="288">
        <v>0.68103380733095142</v>
      </c>
      <c r="D167" s="288">
        <v>2.524690749650671E-2</v>
      </c>
      <c r="E167" s="288">
        <v>2.0102511265639667E-2</v>
      </c>
      <c r="F167" s="289">
        <v>0.8155418768395617</v>
      </c>
      <c r="G167" s="92">
        <v>0.41513982325589993</v>
      </c>
      <c r="H167" s="288">
        <v>0.38446828310137754</v>
      </c>
      <c r="I167" s="288">
        <v>3.601449886488739E-2</v>
      </c>
      <c r="J167" s="288">
        <v>0.79125882943605919</v>
      </c>
      <c r="K167" s="288">
        <v>0.78381950453881621</v>
      </c>
      <c r="L167" s="290">
        <v>13928.458268365421</v>
      </c>
      <c r="M167" s="288">
        <v>0</v>
      </c>
      <c r="N167" s="288">
        <v>18735.651258109934</v>
      </c>
      <c r="O167" s="288">
        <v>1427.9775217986687</v>
      </c>
      <c r="P167" s="288">
        <v>43019.172027203873</v>
      </c>
      <c r="Q167" s="291">
        <v>102444.00538709121</v>
      </c>
      <c r="R167" s="288">
        <v>23074.067098969295</v>
      </c>
      <c r="S167" s="288">
        <v>8939.5831176385618</v>
      </c>
      <c r="T167" s="290">
        <v>0.751</v>
      </c>
      <c r="U167" s="288">
        <v>0.75800000000000001</v>
      </c>
      <c r="V167" s="288">
        <v>0.723923076923077</v>
      </c>
      <c r="W167" s="288">
        <v>0.72750000000000004</v>
      </c>
      <c r="X167" s="288">
        <v>0.76</v>
      </c>
      <c r="Y167" s="288">
        <v>0</v>
      </c>
      <c r="Z167" s="289">
        <v>0</v>
      </c>
      <c r="AA167" s="229"/>
      <c r="AB167" s="52">
        <v>88792.232084812538</v>
      </c>
      <c r="AC167" s="288">
        <v>3.3082712104656387</v>
      </c>
      <c r="AD167" s="288">
        <v>76510.952085397337</v>
      </c>
      <c r="AE167" s="288">
        <v>3.16479248094601</v>
      </c>
      <c r="AF167" s="288">
        <v>12281.279999415201</v>
      </c>
      <c r="AG167" s="289">
        <v>0.1434787295196287</v>
      </c>
      <c r="AH167" s="229"/>
      <c r="AI167" s="205">
        <f t="shared" si="18"/>
        <v>242034.88896175131</v>
      </c>
      <c r="AJ167" s="205">
        <f t="shared" si="19"/>
        <v>239968.29600920365</v>
      </c>
      <c r="AK167" s="205">
        <f t="shared" si="20"/>
        <v>2066.5929525476695</v>
      </c>
      <c r="AL167" s="229"/>
      <c r="AM167" s="52">
        <f t="shared" si="4"/>
        <v>1</v>
      </c>
      <c r="AN167" s="52">
        <f t="shared" si="5"/>
        <v>0</v>
      </c>
      <c r="AO167" s="52">
        <f t="shared" si="6"/>
        <v>1</v>
      </c>
      <c r="AP167" s="229"/>
      <c r="AQ167" s="3"/>
      <c r="AR167" s="3"/>
      <c r="AS167" s="3"/>
      <c r="AT167" s="3"/>
      <c r="AU167" s="229"/>
      <c r="AV167" s="318">
        <f t="shared" si="21"/>
        <v>242034.88896175131</v>
      </c>
      <c r="AW167" s="229"/>
      <c r="AX167" s="312"/>
      <c r="AY167" s="14"/>
      <c r="AZ167" s="14">
        <f t="shared" si="23"/>
        <v>12281.279999415201</v>
      </c>
      <c r="BA167" s="14">
        <f t="shared" si="22"/>
        <v>0.1434787295196287</v>
      </c>
      <c r="BB167" s="14">
        <f t="shared" si="2"/>
        <v>85596.520407821517</v>
      </c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3"/>
      <c r="CT167" s="3"/>
      <c r="CU167" s="3"/>
      <c r="CV167" s="3"/>
      <c r="CW167" s="3"/>
    </row>
    <row r="168" spans="1:101" ht="14.25" customHeight="1" x14ac:dyDescent="0.2">
      <c r="A168" s="286"/>
      <c r="B168" s="52">
        <v>0.1646350001540472</v>
      </c>
      <c r="C168" s="288">
        <v>0.21538112481158656</v>
      </c>
      <c r="D168" s="288">
        <v>6.7830031418996154E-3</v>
      </c>
      <c r="E168" s="288">
        <v>8.108128238689491E-3</v>
      </c>
      <c r="F168" s="289">
        <v>0.78796530513421881</v>
      </c>
      <c r="G168" s="92">
        <v>0.38852551602941632</v>
      </c>
      <c r="H168" s="288">
        <v>0.69672023819075202</v>
      </c>
      <c r="I168" s="288">
        <v>5.171183943841925E-3</v>
      </c>
      <c r="J168" s="288">
        <v>0.99999854389840448</v>
      </c>
      <c r="K168" s="288">
        <v>0.77331479300006833</v>
      </c>
      <c r="L168" s="290">
        <v>11502.208648691794</v>
      </c>
      <c r="M168" s="288">
        <v>0</v>
      </c>
      <c r="N168" s="288">
        <v>18255.848988305777</v>
      </c>
      <c r="O168" s="288">
        <v>920.71324162122312</v>
      </c>
      <c r="P168" s="288">
        <v>42437.173542995726</v>
      </c>
      <c r="Q168" s="291">
        <v>155739.49508704396</v>
      </c>
      <c r="R168" s="288">
        <v>17738.15739579052</v>
      </c>
      <c r="S168" s="288">
        <v>11732.783602322816</v>
      </c>
      <c r="T168" s="290">
        <v>0.751</v>
      </c>
      <c r="U168" s="288">
        <v>0.75800000000000001</v>
      </c>
      <c r="V168" s="288">
        <v>0.723923076923077</v>
      </c>
      <c r="W168" s="288">
        <v>0.72750000000000004</v>
      </c>
      <c r="X168" s="288">
        <v>0.76</v>
      </c>
      <c r="Y168" s="288">
        <v>0</v>
      </c>
      <c r="Z168" s="289">
        <v>0</v>
      </c>
      <c r="AA168" s="229"/>
      <c r="AB168" s="52">
        <v>104004.13193615683</v>
      </c>
      <c r="AC168" s="288">
        <v>3.1793647145186226</v>
      </c>
      <c r="AD168" s="288">
        <v>96050.187101736592</v>
      </c>
      <c r="AE168" s="288">
        <v>3.1159757902628376</v>
      </c>
      <c r="AF168" s="288">
        <v>7953.9448344202392</v>
      </c>
      <c r="AG168" s="289">
        <v>6.3388924255785017E-2</v>
      </c>
      <c r="AH168" s="229"/>
      <c r="AI168" s="205">
        <f t="shared" si="18"/>
        <v>213932.33951570542</v>
      </c>
      <c r="AJ168" s="205">
        <f t="shared" si="19"/>
        <v>215547.39192454715</v>
      </c>
      <c r="AK168" s="205">
        <f t="shared" si="20"/>
        <v>-1615.0524088417378</v>
      </c>
      <c r="AL168" s="229"/>
      <c r="AM168" s="52">
        <f t="shared" si="4"/>
        <v>0</v>
      </c>
      <c r="AN168" s="52">
        <f t="shared" si="5"/>
        <v>1</v>
      </c>
      <c r="AO168" s="52">
        <f t="shared" si="6"/>
        <v>0</v>
      </c>
      <c r="AP168" s="229"/>
      <c r="AQ168" s="3"/>
      <c r="AR168" s="3"/>
      <c r="AS168" s="3"/>
      <c r="AT168" s="3"/>
      <c r="AU168" s="229"/>
      <c r="AV168" s="318">
        <f t="shared" si="21"/>
        <v>215547.39192454715</v>
      </c>
      <c r="AW168" s="229"/>
      <c r="AX168" s="312"/>
      <c r="AY168" s="14"/>
      <c r="AZ168" s="14">
        <f t="shared" si="23"/>
        <v>7953.9448344202392</v>
      </c>
      <c r="BA168" s="14">
        <f t="shared" si="22"/>
        <v>6.3388924255785017E-2</v>
      </c>
      <c r="BB168" s="14">
        <f t="shared" si="2"/>
        <v>125478.46375061877</v>
      </c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3"/>
      <c r="CT168" s="3"/>
      <c r="CU168" s="3"/>
      <c r="CV168" s="3"/>
      <c r="CW168" s="3"/>
    </row>
    <row r="169" spans="1:101" ht="14.25" customHeight="1" x14ac:dyDescent="0.2">
      <c r="A169" s="286"/>
      <c r="B169" s="52">
        <v>0.13908027270221257</v>
      </c>
      <c r="C169" s="288">
        <v>0.10261767770417209</v>
      </c>
      <c r="D169" s="288">
        <v>2.2727580913453282E-2</v>
      </c>
      <c r="E169" s="288">
        <v>2.5148373302381732E-2</v>
      </c>
      <c r="F169" s="289">
        <v>0.78284465222420929</v>
      </c>
      <c r="G169" s="92">
        <v>0.42780744249092129</v>
      </c>
      <c r="H169" s="288">
        <v>0.85650923411544722</v>
      </c>
      <c r="I169" s="288">
        <v>6.5411311215041639E-3</v>
      </c>
      <c r="J169" s="288">
        <v>0.99999999999753675</v>
      </c>
      <c r="K169" s="288">
        <v>0.75577472478251295</v>
      </c>
      <c r="L169" s="290">
        <v>16955.711058891378</v>
      </c>
      <c r="M169" s="288">
        <v>0</v>
      </c>
      <c r="N169" s="288">
        <v>14921.981449617504</v>
      </c>
      <c r="O169" s="288">
        <v>1853.0922518528871</v>
      </c>
      <c r="P169" s="288">
        <v>39958.720370266557</v>
      </c>
      <c r="Q169" s="291">
        <v>86512.907070299931</v>
      </c>
      <c r="R169" s="288">
        <v>28263.952933729848</v>
      </c>
      <c r="S169" s="288">
        <v>9465.8659419834876</v>
      </c>
      <c r="T169" s="290">
        <v>0.751</v>
      </c>
      <c r="U169" s="288">
        <v>0.75800000000000001</v>
      </c>
      <c r="V169" s="288">
        <v>0.723923076923077</v>
      </c>
      <c r="W169" s="288">
        <v>0.72750000000000004</v>
      </c>
      <c r="X169" s="288">
        <v>0.76</v>
      </c>
      <c r="Y169" s="288">
        <v>0</v>
      </c>
      <c r="Z169" s="289">
        <v>0</v>
      </c>
      <c r="AA169" s="229"/>
      <c r="AB169" s="52">
        <v>91273.584368163734</v>
      </c>
      <c r="AC169" s="288">
        <v>3.1555595653614126</v>
      </c>
      <c r="AD169" s="288">
        <v>82822.365840224607</v>
      </c>
      <c r="AE169" s="288">
        <v>3.0348526134900689</v>
      </c>
      <c r="AF169" s="288">
        <v>8451.2185279391269</v>
      </c>
      <c r="AG169" s="289">
        <v>0.12070695187134373</v>
      </c>
      <c r="AH169" s="229"/>
      <c r="AI169" s="205">
        <f t="shared" si="18"/>
        <v>224282.37216797756</v>
      </c>
      <c r="AJ169" s="205">
        <f t="shared" si="19"/>
        <v>220662.8955087823</v>
      </c>
      <c r="AK169" s="205">
        <f t="shared" si="20"/>
        <v>3619.4766591952448</v>
      </c>
      <c r="AL169" s="229"/>
      <c r="AM169" s="52">
        <f t="shared" si="4"/>
        <v>1</v>
      </c>
      <c r="AN169" s="52">
        <f t="shared" si="5"/>
        <v>0</v>
      </c>
      <c r="AO169" s="52">
        <f t="shared" si="6"/>
        <v>1</v>
      </c>
      <c r="AP169" s="229"/>
      <c r="AQ169" s="3"/>
      <c r="AR169" s="3"/>
      <c r="AS169" s="3"/>
      <c r="AT169" s="3"/>
      <c r="AU169" s="229"/>
      <c r="AV169" s="318">
        <f t="shared" si="21"/>
        <v>224282.37216797756</v>
      </c>
      <c r="AW169" s="229"/>
      <c r="AX169" s="312"/>
      <c r="AY169" s="14"/>
      <c r="AZ169" s="14">
        <f t="shared" si="23"/>
        <v>8451.2185279391269</v>
      </c>
      <c r="BA169" s="14">
        <f t="shared" si="22"/>
        <v>0.12070695187134373</v>
      </c>
      <c r="BB169" s="14">
        <f t="shared" si="2"/>
        <v>70014.347946975846</v>
      </c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3"/>
      <c r="CT169" s="3"/>
      <c r="CU169" s="3"/>
      <c r="CV169" s="3"/>
      <c r="CW169" s="3"/>
    </row>
    <row r="170" spans="1:101" ht="14.25" customHeight="1" x14ac:dyDescent="0.2">
      <c r="A170" s="286"/>
      <c r="B170" s="52">
        <v>0.1654219385218989</v>
      </c>
      <c r="C170" s="288">
        <v>0.6405185463034897</v>
      </c>
      <c r="D170" s="288">
        <v>2.2136836050467346E-2</v>
      </c>
      <c r="E170" s="288">
        <v>2.3186222039515147E-2</v>
      </c>
      <c r="F170" s="289">
        <v>0.82556485927646173</v>
      </c>
      <c r="G170" s="92">
        <v>0.40643448582346631</v>
      </c>
      <c r="H170" s="288">
        <v>0.23431354125662024</v>
      </c>
      <c r="I170" s="288">
        <v>1.7271535289574591E-2</v>
      </c>
      <c r="J170" s="288">
        <v>0.99999997955188391</v>
      </c>
      <c r="K170" s="288">
        <v>0.69281024377325917</v>
      </c>
      <c r="L170" s="290">
        <v>12477.070408661251</v>
      </c>
      <c r="M170" s="288">
        <v>0</v>
      </c>
      <c r="N170" s="288">
        <v>16098.72211184194</v>
      </c>
      <c r="O170" s="288">
        <v>1056.4120806728454</v>
      </c>
      <c r="P170" s="288">
        <v>77135.647149618191</v>
      </c>
      <c r="Q170" s="291">
        <v>99719.677454195262</v>
      </c>
      <c r="R170" s="288">
        <v>15815.491692074871</v>
      </c>
      <c r="S170" s="288">
        <v>4589.2528486423398</v>
      </c>
      <c r="T170" s="290">
        <v>0.751</v>
      </c>
      <c r="U170" s="288">
        <v>0.75800000000000001</v>
      </c>
      <c r="V170" s="288">
        <v>0.723923076923077</v>
      </c>
      <c r="W170" s="288">
        <v>0.72750000000000004</v>
      </c>
      <c r="X170" s="288">
        <v>0.76</v>
      </c>
      <c r="Y170" s="288">
        <v>0</v>
      </c>
      <c r="Z170" s="289">
        <v>0</v>
      </c>
      <c r="AA170" s="229"/>
      <c r="AB170" s="52">
        <v>52217.695040104867</v>
      </c>
      <c r="AC170" s="288">
        <v>3.3554191255553105</v>
      </c>
      <c r="AD170" s="288">
        <v>35039.447401700687</v>
      </c>
      <c r="AE170" s="288">
        <v>2.7476355401838646</v>
      </c>
      <c r="AF170" s="288">
        <v>17178.24763840418</v>
      </c>
      <c r="AG170" s="289">
        <v>0.60778358537144594</v>
      </c>
      <c r="AH170" s="229"/>
      <c r="AI170" s="205">
        <f t="shared" si="18"/>
        <v>283324.21751542622</v>
      </c>
      <c r="AJ170" s="205">
        <f t="shared" si="19"/>
        <v>239724.10661668578</v>
      </c>
      <c r="AK170" s="205">
        <f t="shared" si="20"/>
        <v>43600.110898740415</v>
      </c>
      <c r="AL170" s="229"/>
      <c r="AM170" s="52">
        <f t="shared" si="4"/>
        <v>1</v>
      </c>
      <c r="AN170" s="52">
        <f t="shared" si="5"/>
        <v>0</v>
      </c>
      <c r="AO170" s="52">
        <f t="shared" si="6"/>
        <v>1</v>
      </c>
      <c r="AP170" s="229"/>
      <c r="AQ170" s="3"/>
      <c r="AR170" s="3"/>
      <c r="AS170" s="3"/>
      <c r="AT170" s="3"/>
      <c r="AU170" s="229"/>
      <c r="AV170" s="318">
        <f t="shared" si="21"/>
        <v>283324.21751542622</v>
      </c>
      <c r="AW170" s="229"/>
      <c r="AX170" s="312"/>
      <c r="AY170" s="14"/>
      <c r="AZ170" s="14">
        <f t="shared" si="23"/>
        <v>17178.24763840418</v>
      </c>
      <c r="BA170" s="14">
        <f t="shared" si="22"/>
        <v>0.60778358537144594</v>
      </c>
      <c r="BB170" s="14">
        <f t="shared" si="2"/>
        <v>28263.757119905964</v>
      </c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3"/>
      <c r="CT170" s="3"/>
      <c r="CU170" s="3"/>
      <c r="CV170" s="3"/>
      <c r="CW170" s="3"/>
    </row>
    <row r="171" spans="1:101" ht="14.25" customHeight="1" x14ac:dyDescent="0.2">
      <c r="A171" s="286"/>
      <c r="B171" s="52">
        <v>0.17724727272975938</v>
      </c>
      <c r="C171" s="288">
        <v>0.12908245141212293</v>
      </c>
      <c r="D171" s="288">
        <v>1.1446447149108693E-2</v>
      </c>
      <c r="E171" s="288">
        <v>1.9866584043202407E-2</v>
      </c>
      <c r="F171" s="289">
        <v>0.78854262366962002</v>
      </c>
      <c r="G171" s="92">
        <v>0.35484003785348417</v>
      </c>
      <c r="H171" s="288">
        <v>0.63533141535578963</v>
      </c>
      <c r="I171" s="288">
        <v>1.6126799085673715E-2</v>
      </c>
      <c r="J171" s="288">
        <v>1</v>
      </c>
      <c r="K171" s="288">
        <v>0.73616478025842735</v>
      </c>
      <c r="L171" s="290">
        <v>9884.0515956235322</v>
      </c>
      <c r="M171" s="288">
        <v>0</v>
      </c>
      <c r="N171" s="288">
        <v>21762.739161516147</v>
      </c>
      <c r="O171" s="288">
        <v>1548.0415355011478</v>
      </c>
      <c r="P171" s="288">
        <v>38411.48449142414</v>
      </c>
      <c r="Q171" s="291">
        <v>93989.493255646172</v>
      </c>
      <c r="R171" s="288">
        <v>22751.362100777773</v>
      </c>
      <c r="S171" s="288">
        <v>8448.5627578456642</v>
      </c>
      <c r="T171" s="290">
        <v>0.751</v>
      </c>
      <c r="U171" s="288">
        <v>0.75800000000000001</v>
      </c>
      <c r="V171" s="288">
        <v>0.723923076923077</v>
      </c>
      <c r="W171" s="288">
        <v>0.72750000000000004</v>
      </c>
      <c r="X171" s="288">
        <v>0.76</v>
      </c>
      <c r="Y171" s="288">
        <v>0</v>
      </c>
      <c r="Z171" s="289">
        <v>0</v>
      </c>
      <c r="AA171" s="229"/>
      <c r="AB171" s="52">
        <v>76841.634484964408</v>
      </c>
      <c r="AC171" s="288">
        <v>3.1820511618287823</v>
      </c>
      <c r="AD171" s="288">
        <v>68513.043984409524</v>
      </c>
      <c r="AE171" s="288">
        <v>2.9447303728656737</v>
      </c>
      <c r="AF171" s="288">
        <v>8328.5905005548848</v>
      </c>
      <c r="AG171" s="289">
        <v>0.2373207889631086</v>
      </c>
      <c r="AH171" s="229"/>
      <c r="AI171" s="205">
        <f t="shared" si="18"/>
        <v>241363.48169791378</v>
      </c>
      <c r="AJ171" s="205">
        <f t="shared" si="19"/>
        <v>225959.99330215785</v>
      </c>
      <c r="AK171" s="205">
        <f t="shared" si="20"/>
        <v>15403.488395755976</v>
      </c>
      <c r="AL171" s="229"/>
      <c r="AM171" s="52">
        <f t="shared" si="4"/>
        <v>1</v>
      </c>
      <c r="AN171" s="52">
        <f t="shared" si="5"/>
        <v>0</v>
      </c>
      <c r="AO171" s="52">
        <f t="shared" si="6"/>
        <v>1</v>
      </c>
      <c r="AP171" s="229"/>
      <c r="AQ171" s="3"/>
      <c r="AR171" s="3"/>
      <c r="AS171" s="3"/>
      <c r="AT171" s="3"/>
      <c r="AU171" s="229"/>
      <c r="AV171" s="318">
        <f t="shared" si="21"/>
        <v>241363.48169791378</v>
      </c>
      <c r="AW171" s="229"/>
      <c r="AX171" s="312"/>
      <c r="AY171" s="14"/>
      <c r="AZ171" s="14">
        <f t="shared" si="23"/>
        <v>8328.5905005548848</v>
      </c>
      <c r="BA171" s="14">
        <f t="shared" si="22"/>
        <v>0.2373207889631086</v>
      </c>
      <c r="BB171" s="14">
        <f t="shared" si="2"/>
        <v>35094.230627429613</v>
      </c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3"/>
      <c r="CT171" s="3"/>
      <c r="CU171" s="3"/>
      <c r="CV171" s="3"/>
      <c r="CW171" s="3"/>
    </row>
    <row r="172" spans="1:101" ht="14.25" customHeight="1" x14ac:dyDescent="0.2">
      <c r="A172" s="286"/>
      <c r="B172" s="52">
        <v>0.15310687410353283</v>
      </c>
      <c r="C172" s="288">
        <v>0.69425966821353879</v>
      </c>
      <c r="D172" s="288">
        <v>1.5700749178047091E-2</v>
      </c>
      <c r="E172" s="288">
        <v>2.0340072676094167E-2</v>
      </c>
      <c r="F172" s="289">
        <v>0.81517476769071162</v>
      </c>
      <c r="G172" s="92">
        <v>0.47029746808986406</v>
      </c>
      <c r="H172" s="288">
        <v>0.83287943211107962</v>
      </c>
      <c r="I172" s="288">
        <v>1.4129774064296509E-2</v>
      </c>
      <c r="J172" s="288">
        <v>0.99979923144922089</v>
      </c>
      <c r="K172" s="288">
        <v>0.7695191632290721</v>
      </c>
      <c r="L172" s="290">
        <v>21076.493174677969</v>
      </c>
      <c r="M172" s="288">
        <v>0</v>
      </c>
      <c r="N172" s="288">
        <v>21666.598381373056</v>
      </c>
      <c r="O172" s="288">
        <v>1219.8506237236666</v>
      </c>
      <c r="P172" s="288">
        <v>57392.20567558211</v>
      </c>
      <c r="Q172" s="291">
        <v>78540.440071747304</v>
      </c>
      <c r="R172" s="288">
        <v>22726.335072757858</v>
      </c>
      <c r="S172" s="288">
        <v>9841.9563591862643</v>
      </c>
      <c r="T172" s="290">
        <v>0.751</v>
      </c>
      <c r="U172" s="288">
        <v>0.75800000000000001</v>
      </c>
      <c r="V172" s="288">
        <v>0.723923076923077</v>
      </c>
      <c r="W172" s="288">
        <v>0.72750000000000004</v>
      </c>
      <c r="X172" s="288">
        <v>0.76</v>
      </c>
      <c r="Y172" s="288">
        <v>0</v>
      </c>
      <c r="Z172" s="289">
        <v>0</v>
      </c>
      <c r="AA172" s="229"/>
      <c r="AB172" s="52">
        <v>103316.83717755687</v>
      </c>
      <c r="AC172" s="288">
        <v>3.3065473275087407</v>
      </c>
      <c r="AD172" s="288">
        <v>86022.093063508088</v>
      </c>
      <c r="AE172" s="288">
        <v>3.0983798088594323</v>
      </c>
      <c r="AF172" s="288">
        <v>17294.744114048779</v>
      </c>
      <c r="AG172" s="289">
        <v>0.20816751864930838</v>
      </c>
      <c r="AH172" s="229"/>
      <c r="AI172" s="205">
        <f t="shared" si="18"/>
        <v>227337.89557331719</v>
      </c>
      <c r="AJ172" s="205">
        <f t="shared" si="19"/>
        <v>223815.88782243512</v>
      </c>
      <c r="AK172" s="205">
        <f t="shared" si="20"/>
        <v>3522.0077508820577</v>
      </c>
      <c r="AL172" s="229"/>
      <c r="AM172" s="52">
        <f t="shared" si="4"/>
        <v>1</v>
      </c>
      <c r="AN172" s="52">
        <f t="shared" si="5"/>
        <v>0</v>
      </c>
      <c r="AO172" s="52">
        <f t="shared" si="6"/>
        <v>1</v>
      </c>
      <c r="AP172" s="229"/>
      <c r="AQ172" s="3"/>
      <c r="AR172" s="3"/>
      <c r="AS172" s="3"/>
      <c r="AT172" s="3"/>
      <c r="AU172" s="229"/>
      <c r="AV172" s="318">
        <f t="shared" si="21"/>
        <v>227337.89557331719</v>
      </c>
      <c r="AW172" s="229"/>
      <c r="AX172" s="312"/>
      <c r="AY172" s="14"/>
      <c r="AZ172" s="14">
        <f t="shared" si="23"/>
        <v>17294.744114048779</v>
      </c>
      <c r="BA172" s="14">
        <f t="shared" si="22"/>
        <v>0.20816751864930838</v>
      </c>
      <c r="BB172" s="14">
        <f t="shared" si="2"/>
        <v>83080.896704084531</v>
      </c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3"/>
      <c r="CT172" s="3"/>
      <c r="CU172" s="3"/>
      <c r="CV172" s="3"/>
      <c r="CW172" s="3"/>
    </row>
    <row r="173" spans="1:101" ht="14.25" customHeight="1" x14ac:dyDescent="0.2">
      <c r="A173" s="286"/>
      <c r="B173" s="52">
        <v>0.15571559773855131</v>
      </c>
      <c r="C173" s="288">
        <v>0.55476351968431703</v>
      </c>
      <c r="D173" s="288">
        <v>2.1076378022495512E-2</v>
      </c>
      <c r="E173" s="288">
        <v>1.4269617777476092E-2</v>
      </c>
      <c r="F173" s="289">
        <v>0.79637624667509332</v>
      </c>
      <c r="G173" s="92">
        <v>0.38298370278011473</v>
      </c>
      <c r="H173" s="288">
        <v>9.4575433934093428E-2</v>
      </c>
      <c r="I173" s="288">
        <v>2.9692219607496351E-2</v>
      </c>
      <c r="J173" s="288">
        <v>1</v>
      </c>
      <c r="K173" s="288">
        <v>0.71801432037571078</v>
      </c>
      <c r="L173" s="290">
        <v>10598.617732316861</v>
      </c>
      <c r="M173" s="288">
        <v>0</v>
      </c>
      <c r="N173" s="288">
        <v>16059.774542388224</v>
      </c>
      <c r="O173" s="288">
        <v>910.10326050949652</v>
      </c>
      <c r="P173" s="288">
        <v>41174.516235696501</v>
      </c>
      <c r="Q173" s="291">
        <v>90457.860918697392</v>
      </c>
      <c r="R173" s="288">
        <v>25799.376394104296</v>
      </c>
      <c r="S173" s="288">
        <v>7630.1006920292511</v>
      </c>
      <c r="T173" s="290">
        <v>0.751</v>
      </c>
      <c r="U173" s="288">
        <v>0.75800000000000001</v>
      </c>
      <c r="V173" s="288">
        <v>0.723923076923077</v>
      </c>
      <c r="W173" s="288">
        <v>0.72750000000000004</v>
      </c>
      <c r="X173" s="288">
        <v>0.76</v>
      </c>
      <c r="Y173" s="288">
        <v>0</v>
      </c>
      <c r="Z173" s="289">
        <v>0</v>
      </c>
      <c r="AA173" s="229"/>
      <c r="AB173" s="52">
        <v>73439.133815819572</v>
      </c>
      <c r="AC173" s="288">
        <v>3.2185551813812596</v>
      </c>
      <c r="AD173" s="288">
        <v>57726.864825446239</v>
      </c>
      <c r="AE173" s="288">
        <v>2.8618557029415737</v>
      </c>
      <c r="AF173" s="288">
        <v>15712.268990373334</v>
      </c>
      <c r="AG173" s="289">
        <v>0.35669947843968597</v>
      </c>
      <c r="AH173" s="229"/>
      <c r="AI173" s="205">
        <f t="shared" si="18"/>
        <v>248416.38432230637</v>
      </c>
      <c r="AJ173" s="205">
        <f t="shared" si="19"/>
        <v>228458.70546871112</v>
      </c>
      <c r="AK173" s="205">
        <f t="shared" si="20"/>
        <v>19957.678853595266</v>
      </c>
      <c r="AL173" s="229"/>
      <c r="AM173" s="52">
        <f t="shared" si="4"/>
        <v>1</v>
      </c>
      <c r="AN173" s="52">
        <f t="shared" si="5"/>
        <v>0</v>
      </c>
      <c r="AO173" s="52">
        <f t="shared" si="6"/>
        <v>1</v>
      </c>
      <c r="AP173" s="229"/>
      <c r="AQ173" s="3"/>
      <c r="AR173" s="3"/>
      <c r="AS173" s="3"/>
      <c r="AT173" s="3"/>
      <c r="AU173" s="229"/>
      <c r="AV173" s="318">
        <f t="shared" si="21"/>
        <v>248416.38432230637</v>
      </c>
      <c r="AW173" s="229"/>
      <c r="AX173" s="312"/>
      <c r="AY173" s="14"/>
      <c r="AZ173" s="14">
        <f t="shared" si="23"/>
        <v>15712.268990373334</v>
      </c>
      <c r="BA173" s="14">
        <f t="shared" si="22"/>
        <v>0.35669947843968597</v>
      </c>
      <c r="BB173" s="14">
        <f t="shared" si="2"/>
        <v>44049.038308392446</v>
      </c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3"/>
      <c r="CT173" s="3"/>
      <c r="CU173" s="3"/>
      <c r="CV173" s="3"/>
      <c r="CW173" s="3"/>
    </row>
    <row r="174" spans="1:101" ht="14.25" customHeight="1" x14ac:dyDescent="0.2">
      <c r="A174" s="286"/>
      <c r="B174" s="52">
        <v>0.19717001255246391</v>
      </c>
      <c r="C174" s="288">
        <v>5.4336769085132762E-2</v>
      </c>
      <c r="D174" s="288">
        <v>1.1892985285936014E-2</v>
      </c>
      <c r="E174" s="288">
        <v>1.0900953880833224E-2</v>
      </c>
      <c r="F174" s="289">
        <v>0.75420102593853677</v>
      </c>
      <c r="G174" s="92">
        <v>0.40217965882354811</v>
      </c>
      <c r="H174" s="288">
        <v>2.6444946542931017E-3</v>
      </c>
      <c r="I174" s="288">
        <v>1.1682213686926315E-2</v>
      </c>
      <c r="J174" s="288">
        <v>0.93560666407284232</v>
      </c>
      <c r="K174" s="288">
        <v>0.75189140226841822</v>
      </c>
      <c r="L174" s="290">
        <v>11343.09428176903</v>
      </c>
      <c r="M174" s="288">
        <v>0</v>
      </c>
      <c r="N174" s="288">
        <v>21165.817940816134</v>
      </c>
      <c r="O174" s="288">
        <v>1183.3599813454887</v>
      </c>
      <c r="P174" s="288">
        <v>42574.887413206881</v>
      </c>
      <c r="Q174" s="291">
        <v>63600.443017534839</v>
      </c>
      <c r="R174" s="288">
        <v>24334.785696694111</v>
      </c>
      <c r="S174" s="288">
        <v>9005.070625034703</v>
      </c>
      <c r="T174" s="290">
        <v>0.751</v>
      </c>
      <c r="U174" s="288">
        <v>0.75800000000000001</v>
      </c>
      <c r="V174" s="288">
        <v>0.723923076923077</v>
      </c>
      <c r="W174" s="288">
        <v>0.72750000000000004</v>
      </c>
      <c r="X174" s="288">
        <v>0.76</v>
      </c>
      <c r="Y174" s="288">
        <v>0</v>
      </c>
      <c r="Z174" s="289">
        <v>0</v>
      </c>
      <c r="AA174" s="229"/>
      <c r="AB174" s="52">
        <v>79240.593832283092</v>
      </c>
      <c r="AC174" s="288">
        <v>3.0231581056031245</v>
      </c>
      <c r="AD174" s="288">
        <v>68602.409770251339</v>
      </c>
      <c r="AE174" s="288">
        <v>3.0169577340994214</v>
      </c>
      <c r="AF174" s="288">
        <v>10638.184062031753</v>
      </c>
      <c r="AG174" s="289">
        <v>6.2003715037031171E-3</v>
      </c>
      <c r="AH174" s="229"/>
      <c r="AI174" s="205">
        <f t="shared" si="18"/>
        <v>223075.21672802937</v>
      </c>
      <c r="AJ174" s="205">
        <f t="shared" si="19"/>
        <v>233093.36363969083</v>
      </c>
      <c r="AK174" s="205">
        <f t="shared" si="20"/>
        <v>-10018.146911661441</v>
      </c>
      <c r="AL174" s="229"/>
      <c r="AM174" s="52">
        <f t="shared" si="4"/>
        <v>0</v>
      </c>
      <c r="AN174" s="52">
        <f t="shared" si="5"/>
        <v>1</v>
      </c>
      <c r="AO174" s="52">
        <f t="shared" si="6"/>
        <v>0</v>
      </c>
      <c r="AP174" s="229"/>
      <c r="AQ174" s="3"/>
      <c r="AR174" s="3"/>
      <c r="AS174" s="3"/>
      <c r="AT174" s="3"/>
      <c r="AU174" s="229"/>
      <c r="AV174" s="318">
        <f t="shared" si="21"/>
        <v>233093.36363969083</v>
      </c>
      <c r="AW174" s="229"/>
      <c r="AX174" s="312"/>
      <c r="AY174" s="14"/>
      <c r="AZ174" s="14">
        <f t="shared" si="23"/>
        <v>10638.184062031753</v>
      </c>
      <c r="BA174" s="14">
        <f t="shared" si="22"/>
        <v>6.2003715037031171E-3</v>
      </c>
      <c r="BB174" s="14">
        <f t="shared" si="2"/>
        <v>1715733.3323782601</v>
      </c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3"/>
      <c r="CT174" s="3"/>
      <c r="CU174" s="3"/>
      <c r="CV174" s="3"/>
      <c r="CW174" s="3"/>
    </row>
    <row r="175" spans="1:101" ht="14.25" customHeight="1" x14ac:dyDescent="0.2">
      <c r="A175" s="286"/>
      <c r="B175" s="52">
        <v>0.17222576179554272</v>
      </c>
      <c r="C175" s="288">
        <v>0.11932339040788748</v>
      </c>
      <c r="D175" s="288">
        <v>1.6627935934455995E-2</v>
      </c>
      <c r="E175" s="288">
        <v>9.420330602570472E-3</v>
      </c>
      <c r="F175" s="289">
        <v>0.76666946370977496</v>
      </c>
      <c r="G175" s="92">
        <v>0.39541252609215705</v>
      </c>
      <c r="H175" s="288">
        <v>0.4877406239985026</v>
      </c>
      <c r="I175" s="288">
        <v>2.3424974119825803E-2</v>
      </c>
      <c r="J175" s="288">
        <v>0.99982446119867541</v>
      </c>
      <c r="K175" s="288">
        <v>0.72417003437361793</v>
      </c>
      <c r="L175" s="290">
        <v>12089.893817911805</v>
      </c>
      <c r="M175" s="288">
        <v>0</v>
      </c>
      <c r="N175" s="288">
        <v>22045.993069330696</v>
      </c>
      <c r="O175" s="288">
        <v>893.34252559349886</v>
      </c>
      <c r="P175" s="288">
        <v>56096.789947773883</v>
      </c>
      <c r="Q175" s="291">
        <v>65164.670193419544</v>
      </c>
      <c r="R175" s="288">
        <v>19118.117830858508</v>
      </c>
      <c r="S175" s="288">
        <v>6467.8545674009501</v>
      </c>
      <c r="T175" s="290">
        <v>0.751</v>
      </c>
      <c r="U175" s="288">
        <v>0.75800000000000001</v>
      </c>
      <c r="V175" s="288">
        <v>0.723923076923077</v>
      </c>
      <c r="W175" s="288">
        <v>0.72750000000000004</v>
      </c>
      <c r="X175" s="288">
        <v>0.76</v>
      </c>
      <c r="Y175" s="288">
        <v>0</v>
      </c>
      <c r="Z175" s="289">
        <v>0</v>
      </c>
      <c r="AA175" s="229"/>
      <c r="AB175" s="52">
        <v>61927.891750688104</v>
      </c>
      <c r="AC175" s="288">
        <v>3.0806336803962884</v>
      </c>
      <c r="AD175" s="288">
        <v>52007.342472021141</v>
      </c>
      <c r="AE175" s="288">
        <v>2.8899043889956264</v>
      </c>
      <c r="AF175" s="288">
        <v>9920.5492786669638</v>
      </c>
      <c r="AG175" s="289">
        <v>0.19072929140066197</v>
      </c>
      <c r="AH175" s="229"/>
      <c r="AI175" s="205">
        <f t="shared" si="18"/>
        <v>246135.47628894073</v>
      </c>
      <c r="AJ175" s="205">
        <f t="shared" si="19"/>
        <v>236983.09642754149</v>
      </c>
      <c r="AK175" s="205">
        <f t="shared" si="20"/>
        <v>9152.3798613992331</v>
      </c>
      <c r="AL175" s="229"/>
      <c r="AM175" s="52">
        <f t="shared" si="4"/>
        <v>1</v>
      </c>
      <c r="AN175" s="52">
        <f t="shared" si="5"/>
        <v>0</v>
      </c>
      <c r="AO175" s="52">
        <f t="shared" si="6"/>
        <v>1</v>
      </c>
      <c r="AP175" s="229"/>
      <c r="AQ175" s="3"/>
      <c r="AR175" s="3"/>
      <c r="AS175" s="3"/>
      <c r="AT175" s="3"/>
      <c r="AU175" s="229"/>
      <c r="AV175" s="318">
        <f t="shared" si="21"/>
        <v>246135.47628894073</v>
      </c>
      <c r="AW175" s="229"/>
      <c r="AX175" s="312"/>
      <c r="AY175" s="14"/>
      <c r="AZ175" s="14">
        <f t="shared" si="23"/>
        <v>9920.5492786669638</v>
      </c>
      <c r="BA175" s="14">
        <f t="shared" si="22"/>
        <v>0.19072929140066197</v>
      </c>
      <c r="BB175" s="14">
        <f t="shared" si="2"/>
        <v>52013.76886483065</v>
      </c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3"/>
      <c r="CT175" s="3"/>
      <c r="CU175" s="3"/>
      <c r="CV175" s="3"/>
      <c r="CW175" s="3"/>
    </row>
    <row r="176" spans="1:101" ht="14.25" customHeight="1" x14ac:dyDescent="0.2">
      <c r="A176" s="286"/>
      <c r="B176" s="52">
        <v>0.12333460348061312</v>
      </c>
      <c r="C176" s="288">
        <v>0.45756562592532868</v>
      </c>
      <c r="D176" s="288">
        <v>1.1881817749664588E-2</v>
      </c>
      <c r="E176" s="288">
        <v>1.5651792403766795E-2</v>
      </c>
      <c r="F176" s="289">
        <v>0.7828884376598555</v>
      </c>
      <c r="G176" s="92">
        <v>0.40082383392088861</v>
      </c>
      <c r="H176" s="288">
        <v>0.94121410764555224</v>
      </c>
      <c r="I176" s="288">
        <v>3.5883355568015413E-3</v>
      </c>
      <c r="J176" s="288">
        <v>0.99679819790126334</v>
      </c>
      <c r="K176" s="288">
        <v>0.79113926489736941</v>
      </c>
      <c r="L176" s="290">
        <v>16122.718427324708</v>
      </c>
      <c r="M176" s="288">
        <v>0</v>
      </c>
      <c r="N176" s="288">
        <v>24578.937751941525</v>
      </c>
      <c r="O176" s="288">
        <v>955.94201338250048</v>
      </c>
      <c r="P176" s="288">
        <v>45501.117780230772</v>
      </c>
      <c r="Q176" s="291">
        <v>136323.25981577032</v>
      </c>
      <c r="R176" s="288">
        <v>20533.551229286426</v>
      </c>
      <c r="S176" s="288">
        <v>7707.8041164353044</v>
      </c>
      <c r="T176" s="290">
        <v>0.751</v>
      </c>
      <c r="U176" s="288">
        <v>0.75800000000000001</v>
      </c>
      <c r="V176" s="288">
        <v>0.723923076923077</v>
      </c>
      <c r="W176" s="288">
        <v>0.72750000000000004</v>
      </c>
      <c r="X176" s="288">
        <v>0.76</v>
      </c>
      <c r="Y176" s="288">
        <v>0</v>
      </c>
      <c r="Z176" s="289">
        <v>0</v>
      </c>
      <c r="AA176" s="229"/>
      <c r="AB176" s="52">
        <v>77354.648509686784</v>
      </c>
      <c r="AC176" s="288">
        <v>3.1557629429667928</v>
      </c>
      <c r="AD176" s="288">
        <v>69217.881023825554</v>
      </c>
      <c r="AE176" s="288">
        <v>3.19891113785661</v>
      </c>
      <c r="AF176" s="288">
        <v>8136.7674858612299</v>
      </c>
      <c r="AG176" s="289">
        <v>-4.3148194889817137E-2</v>
      </c>
      <c r="AH176" s="229"/>
      <c r="AI176" s="205">
        <f t="shared" si="18"/>
        <v>238221.64578699248</v>
      </c>
      <c r="AJ176" s="205">
        <f t="shared" si="19"/>
        <v>250673.23276183545</v>
      </c>
      <c r="AK176" s="205">
        <f t="shared" si="20"/>
        <v>-12451.586974842943</v>
      </c>
      <c r="AL176" s="229"/>
      <c r="AM176" s="52">
        <f t="shared" si="4"/>
        <v>0</v>
      </c>
      <c r="AN176" s="52">
        <f t="shared" si="5"/>
        <v>1</v>
      </c>
      <c r="AO176" s="52">
        <f t="shared" si="6"/>
        <v>0</v>
      </c>
      <c r="AP176" s="229"/>
      <c r="AQ176" s="3"/>
      <c r="AR176" s="3"/>
      <c r="AS176" s="3"/>
      <c r="AT176" s="3"/>
      <c r="AU176" s="229"/>
      <c r="AV176" s="318">
        <f t="shared" si="21"/>
        <v>250673.23276183545</v>
      </c>
      <c r="AW176" s="229"/>
      <c r="AX176" s="312"/>
      <c r="AY176" s="14"/>
      <c r="AZ176" s="14">
        <f t="shared" si="23"/>
        <v>8136.7674858612299</v>
      </c>
      <c r="BA176" s="14">
        <f t="shared" si="22"/>
        <v>-4.3148194889817137E-2</v>
      </c>
      <c r="BB176" s="14">
        <f t="shared" si="2"/>
        <v>-188577.23959575157</v>
      </c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3"/>
      <c r="CT176" s="3"/>
      <c r="CU176" s="3"/>
      <c r="CV176" s="3"/>
      <c r="CW176" s="3"/>
    </row>
    <row r="177" spans="1:101" ht="14.25" customHeight="1" x14ac:dyDescent="0.2">
      <c r="A177" s="286"/>
      <c r="B177" s="52">
        <v>0.12609116577413504</v>
      </c>
      <c r="C177" s="288">
        <v>0.44062552425725032</v>
      </c>
      <c r="D177" s="288">
        <v>9.5407743710934842E-3</v>
      </c>
      <c r="E177" s="288">
        <v>1.6429395122315338E-2</v>
      </c>
      <c r="F177" s="289">
        <v>0.80139708207727578</v>
      </c>
      <c r="G177" s="92">
        <v>0.395584586070577</v>
      </c>
      <c r="H177" s="288">
        <v>0.74947172637450876</v>
      </c>
      <c r="I177" s="288">
        <v>5.9716293908715782E-3</v>
      </c>
      <c r="J177" s="288">
        <v>1</v>
      </c>
      <c r="K177" s="288">
        <v>0.71921347362873111</v>
      </c>
      <c r="L177" s="290">
        <v>11386.122116548124</v>
      </c>
      <c r="M177" s="288">
        <v>0</v>
      </c>
      <c r="N177" s="288">
        <v>19178.272429118613</v>
      </c>
      <c r="O177" s="288">
        <v>1423.8988730269759</v>
      </c>
      <c r="P177" s="288">
        <v>63660.520119665416</v>
      </c>
      <c r="Q177" s="291">
        <v>136174.74847518941</v>
      </c>
      <c r="R177" s="288">
        <v>29954.198344638557</v>
      </c>
      <c r="S177" s="288">
        <v>9825.9533474555556</v>
      </c>
      <c r="T177" s="290">
        <v>0.751</v>
      </c>
      <c r="U177" s="288">
        <v>0.75800000000000001</v>
      </c>
      <c r="V177" s="288">
        <v>0.723923076923077</v>
      </c>
      <c r="W177" s="288">
        <v>0.72750000000000004</v>
      </c>
      <c r="X177" s="288">
        <v>0.76</v>
      </c>
      <c r="Y177" s="288">
        <v>0</v>
      </c>
      <c r="Z177" s="289">
        <v>0</v>
      </c>
      <c r="AA177" s="229"/>
      <c r="AB177" s="52">
        <v>91370.797497128631</v>
      </c>
      <c r="AC177" s="288">
        <v>3.2420024645866228</v>
      </c>
      <c r="AD177" s="288">
        <v>80408.083548490133</v>
      </c>
      <c r="AE177" s="288">
        <v>2.8673149945132925</v>
      </c>
      <c r="AF177" s="288">
        <v>10962.713948638499</v>
      </c>
      <c r="AG177" s="289">
        <v>0.37468747007333025</v>
      </c>
      <c r="AH177" s="229"/>
      <c r="AI177" s="205">
        <f t="shared" si="18"/>
        <v>232829.44896153364</v>
      </c>
      <c r="AJ177" s="205">
        <f t="shared" si="19"/>
        <v>206323.4159028391</v>
      </c>
      <c r="AK177" s="205">
        <f t="shared" si="20"/>
        <v>26506.033058694527</v>
      </c>
      <c r="AL177" s="229"/>
      <c r="AM177" s="52">
        <f t="shared" si="4"/>
        <v>1</v>
      </c>
      <c r="AN177" s="52">
        <f t="shared" si="5"/>
        <v>0</v>
      </c>
      <c r="AO177" s="52">
        <f t="shared" si="6"/>
        <v>1</v>
      </c>
      <c r="AP177" s="229"/>
      <c r="AQ177" s="3"/>
      <c r="AR177" s="3"/>
      <c r="AS177" s="3"/>
      <c r="AT177" s="3"/>
      <c r="AU177" s="229"/>
      <c r="AV177" s="318">
        <f t="shared" si="21"/>
        <v>232829.44896153364</v>
      </c>
      <c r="AW177" s="229"/>
      <c r="AX177" s="312"/>
      <c r="AY177" s="14"/>
      <c r="AZ177" s="14">
        <f t="shared" si="23"/>
        <v>10962.713948638499</v>
      </c>
      <c r="BA177" s="14">
        <f t="shared" si="22"/>
        <v>0.37468747007333025</v>
      </c>
      <c r="BB177" s="14">
        <f t="shared" si="2"/>
        <v>29258.288104731608</v>
      </c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3"/>
      <c r="CT177" s="3"/>
      <c r="CU177" s="3"/>
      <c r="CV177" s="3"/>
      <c r="CW177" s="3"/>
    </row>
    <row r="178" spans="1:101" ht="14.25" customHeight="1" x14ac:dyDescent="0.2">
      <c r="A178" s="286"/>
      <c r="B178" s="52">
        <v>0.1453740066201597</v>
      </c>
      <c r="C178" s="288">
        <v>7.15190190186481E-2</v>
      </c>
      <c r="D178" s="288">
        <v>5.3400609416138752E-3</v>
      </c>
      <c r="E178" s="288">
        <v>1.4767035875195678E-2</v>
      </c>
      <c r="F178" s="289">
        <v>0.80156176029864834</v>
      </c>
      <c r="G178" s="92">
        <v>0.38988784250927527</v>
      </c>
      <c r="H178" s="288">
        <v>0.21647806978867387</v>
      </c>
      <c r="I178" s="288">
        <v>8.4426890733402728E-3</v>
      </c>
      <c r="J178" s="288">
        <v>1</v>
      </c>
      <c r="K178" s="288">
        <v>0.72375910612059557</v>
      </c>
      <c r="L178" s="290">
        <v>13183.592737089532</v>
      </c>
      <c r="M178" s="288">
        <v>0</v>
      </c>
      <c r="N178" s="288">
        <v>26039.879922870776</v>
      </c>
      <c r="O178" s="288">
        <v>1305.2813642446401</v>
      </c>
      <c r="P178" s="288">
        <v>53553.384674494977</v>
      </c>
      <c r="Q178" s="291">
        <v>113137.07303009331</v>
      </c>
      <c r="R178" s="288">
        <v>26034.208760100406</v>
      </c>
      <c r="S178" s="288">
        <v>7639.3525961316791</v>
      </c>
      <c r="T178" s="290">
        <v>0.751</v>
      </c>
      <c r="U178" s="288">
        <v>0.75800000000000001</v>
      </c>
      <c r="V178" s="288">
        <v>0.723923076923077</v>
      </c>
      <c r="W178" s="288">
        <v>0.72750000000000004</v>
      </c>
      <c r="X178" s="288">
        <v>0.76</v>
      </c>
      <c r="Y178" s="288">
        <v>0</v>
      </c>
      <c r="Z178" s="289">
        <v>0</v>
      </c>
      <c r="AA178" s="229"/>
      <c r="AB178" s="52">
        <v>74368.549978838812</v>
      </c>
      <c r="AC178" s="288">
        <v>3.2427721809893764</v>
      </c>
      <c r="AD178" s="288">
        <v>58461.424714613146</v>
      </c>
      <c r="AE178" s="288">
        <v>2.8880301221910769</v>
      </c>
      <c r="AF178" s="288">
        <v>15907.125264225666</v>
      </c>
      <c r="AG178" s="289">
        <v>0.35474205879829945</v>
      </c>
      <c r="AH178" s="229"/>
      <c r="AI178" s="205">
        <f t="shared" si="18"/>
        <v>249908.66812009882</v>
      </c>
      <c r="AJ178" s="205">
        <f t="shared" si="19"/>
        <v>230341.58750449456</v>
      </c>
      <c r="AK178" s="205">
        <f t="shared" si="20"/>
        <v>19567.080615604282</v>
      </c>
      <c r="AL178" s="229"/>
      <c r="AM178" s="52">
        <f t="shared" si="4"/>
        <v>1</v>
      </c>
      <c r="AN178" s="52">
        <f t="shared" si="5"/>
        <v>0</v>
      </c>
      <c r="AO178" s="52">
        <f t="shared" si="6"/>
        <v>1</v>
      </c>
      <c r="AP178" s="229"/>
      <c r="AQ178" s="3"/>
      <c r="AR178" s="3"/>
      <c r="AS178" s="3"/>
      <c r="AT178" s="3"/>
      <c r="AU178" s="229"/>
      <c r="AV178" s="318">
        <f t="shared" si="21"/>
        <v>249908.66812009882</v>
      </c>
      <c r="AW178" s="229"/>
      <c r="AX178" s="312"/>
      <c r="AY178" s="14"/>
      <c r="AZ178" s="14">
        <f t="shared" si="23"/>
        <v>15907.125264225666</v>
      </c>
      <c r="BA178" s="14">
        <f t="shared" si="22"/>
        <v>0.35474205879829945</v>
      </c>
      <c r="BB178" s="14">
        <f t="shared" si="2"/>
        <v>44841.385084451453</v>
      </c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3"/>
      <c r="CT178" s="3"/>
      <c r="CU178" s="3"/>
      <c r="CV178" s="3"/>
      <c r="CW178" s="3"/>
    </row>
    <row r="179" spans="1:101" ht="14.25" customHeight="1" x14ac:dyDescent="0.2">
      <c r="A179" s="286"/>
      <c r="B179" s="52">
        <v>0.16234294419136608</v>
      </c>
      <c r="C179" s="288">
        <v>0.88592408639461739</v>
      </c>
      <c r="D179" s="288">
        <v>1.9731882165634707E-2</v>
      </c>
      <c r="E179" s="288">
        <v>9.6203551886476172E-3</v>
      </c>
      <c r="F179" s="289">
        <v>0.78175442749821056</v>
      </c>
      <c r="G179" s="92">
        <v>0.39837882764722787</v>
      </c>
      <c r="H179" s="288">
        <v>0.99814701719102428</v>
      </c>
      <c r="I179" s="288">
        <v>2.3627047304460636E-2</v>
      </c>
      <c r="J179" s="288">
        <v>1</v>
      </c>
      <c r="K179" s="288">
        <v>0.76658493911945857</v>
      </c>
      <c r="L179" s="290">
        <v>15513.428437621771</v>
      </c>
      <c r="M179" s="288">
        <v>0</v>
      </c>
      <c r="N179" s="288">
        <v>21519.88205559798</v>
      </c>
      <c r="O179" s="288">
        <v>1210.7885720916574</v>
      </c>
      <c r="P179" s="288">
        <v>44517.307136240728</v>
      </c>
      <c r="Q179" s="291">
        <v>107323.33978650437</v>
      </c>
      <c r="R179" s="288">
        <v>16953.95586156808</v>
      </c>
      <c r="S179" s="288">
        <v>6874.078803020343</v>
      </c>
      <c r="T179" s="290">
        <v>0.751</v>
      </c>
      <c r="U179" s="288">
        <v>0.75800000000000001</v>
      </c>
      <c r="V179" s="288">
        <v>0.723923076923077</v>
      </c>
      <c r="W179" s="288">
        <v>0.72750000000000004</v>
      </c>
      <c r="X179" s="288">
        <v>0.76</v>
      </c>
      <c r="Y179" s="288">
        <v>0</v>
      </c>
      <c r="Z179" s="289">
        <v>0</v>
      </c>
      <c r="AA179" s="229"/>
      <c r="AB179" s="52">
        <v>71707.510560680748</v>
      </c>
      <c r="AC179" s="288">
        <v>3.1504965840990993</v>
      </c>
      <c r="AD179" s="288">
        <v>61383.490488907351</v>
      </c>
      <c r="AE179" s="288">
        <v>3.0847927404423365</v>
      </c>
      <c r="AF179" s="288">
        <v>10324.020071773397</v>
      </c>
      <c r="AG179" s="289">
        <v>6.5703843656762739E-2</v>
      </c>
      <c r="AH179" s="229"/>
      <c r="AI179" s="205">
        <f t="shared" si="18"/>
        <v>243342.14784922916</v>
      </c>
      <c r="AJ179" s="205">
        <f t="shared" si="19"/>
        <v>247095.78355532631</v>
      </c>
      <c r="AK179" s="205">
        <f t="shared" si="20"/>
        <v>-3753.6357060971231</v>
      </c>
      <c r="AL179" s="229"/>
      <c r="AM179" s="52">
        <f t="shared" si="4"/>
        <v>0</v>
      </c>
      <c r="AN179" s="52">
        <f t="shared" si="5"/>
        <v>1</v>
      </c>
      <c r="AO179" s="52">
        <f t="shared" si="6"/>
        <v>0</v>
      </c>
      <c r="AP179" s="229"/>
      <c r="AQ179" s="3"/>
      <c r="AR179" s="3"/>
      <c r="AS179" s="3"/>
      <c r="AT179" s="3"/>
      <c r="AU179" s="229"/>
      <c r="AV179" s="318">
        <f t="shared" si="21"/>
        <v>247095.78355532631</v>
      </c>
      <c r="AW179" s="229"/>
      <c r="AX179" s="312"/>
      <c r="AY179" s="14"/>
      <c r="AZ179" s="14">
        <f t="shared" si="23"/>
        <v>10324.020071773397</v>
      </c>
      <c r="BA179" s="14">
        <f t="shared" si="22"/>
        <v>6.5703843656762739E-2</v>
      </c>
      <c r="BB179" s="14">
        <f t="shared" si="2"/>
        <v>157129.6213004849</v>
      </c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3"/>
      <c r="CT179" s="3"/>
      <c r="CU179" s="3"/>
      <c r="CV179" s="3"/>
      <c r="CW179" s="3"/>
    </row>
    <row r="180" spans="1:101" ht="14.25" customHeight="1" x14ac:dyDescent="0.2">
      <c r="A180" s="286"/>
      <c r="B180" s="52">
        <v>0.1661156815423116</v>
      </c>
      <c r="C180" s="288">
        <v>0.38362589504845646</v>
      </c>
      <c r="D180" s="288">
        <v>1.0433681150891841E-2</v>
      </c>
      <c r="E180" s="288">
        <v>1.2751828052743051E-2</v>
      </c>
      <c r="F180" s="289">
        <v>0.76635793002860608</v>
      </c>
      <c r="G180" s="92">
        <v>0.36642613268759933</v>
      </c>
      <c r="H180" s="288">
        <v>0.62752508441026444</v>
      </c>
      <c r="I180" s="288">
        <v>1.5071121999980241E-2</v>
      </c>
      <c r="J180" s="288">
        <v>0.99999641250260352</v>
      </c>
      <c r="K180" s="288">
        <v>0.77406590089112104</v>
      </c>
      <c r="L180" s="290">
        <v>10681.542438219069</v>
      </c>
      <c r="M180" s="288">
        <v>0</v>
      </c>
      <c r="N180" s="288">
        <v>20293.869540415697</v>
      </c>
      <c r="O180" s="288">
        <v>1359.9763224621547</v>
      </c>
      <c r="P180" s="288">
        <v>66348.744163087176</v>
      </c>
      <c r="Q180" s="291">
        <v>107982.35035166903</v>
      </c>
      <c r="R180" s="288">
        <v>24172.712877680602</v>
      </c>
      <c r="S180" s="288">
        <v>7275.5436290823045</v>
      </c>
      <c r="T180" s="290">
        <v>0.751</v>
      </c>
      <c r="U180" s="288">
        <v>0.75800000000000001</v>
      </c>
      <c r="V180" s="288">
        <v>0.723923076923077</v>
      </c>
      <c r="W180" s="288">
        <v>0.72750000000000004</v>
      </c>
      <c r="X180" s="288">
        <v>0.76</v>
      </c>
      <c r="Y180" s="288">
        <v>0</v>
      </c>
      <c r="Z180" s="289">
        <v>0</v>
      </c>
      <c r="AA180" s="229"/>
      <c r="AB180" s="52">
        <v>67848.845233768909</v>
      </c>
      <c r="AC180" s="288">
        <v>3.0791946379753017</v>
      </c>
      <c r="AD180" s="288">
        <v>63256.139029981488</v>
      </c>
      <c r="AE180" s="288">
        <v>3.1194605075001989</v>
      </c>
      <c r="AF180" s="288">
        <v>4592.7062037874202</v>
      </c>
      <c r="AG180" s="289">
        <v>-4.0265869524897191E-2</v>
      </c>
      <c r="AH180" s="229"/>
      <c r="AI180" s="205">
        <f t="shared" si="18"/>
        <v>240070.61856376124</v>
      </c>
      <c r="AJ180" s="205">
        <f t="shared" si="19"/>
        <v>248689.91172003842</v>
      </c>
      <c r="AK180" s="205">
        <f t="shared" si="20"/>
        <v>-8619.2931562771391</v>
      </c>
      <c r="AL180" s="229"/>
      <c r="AM180" s="52">
        <f t="shared" si="4"/>
        <v>0</v>
      </c>
      <c r="AN180" s="52">
        <f t="shared" si="5"/>
        <v>1</v>
      </c>
      <c r="AO180" s="52">
        <f t="shared" si="6"/>
        <v>0</v>
      </c>
      <c r="AP180" s="229"/>
      <c r="AQ180" s="3"/>
      <c r="AR180" s="3"/>
      <c r="AS180" s="3"/>
      <c r="AT180" s="3"/>
      <c r="AU180" s="229"/>
      <c r="AV180" s="318">
        <f t="shared" si="21"/>
        <v>248689.91172003842</v>
      </c>
      <c r="AW180" s="229"/>
      <c r="AX180" s="312"/>
      <c r="AY180" s="14"/>
      <c r="AZ180" s="14">
        <f t="shared" si="23"/>
        <v>4592.7062037874202</v>
      </c>
      <c r="BA180" s="14">
        <f t="shared" si="22"/>
        <v>-4.0265869524897191E-2</v>
      </c>
      <c r="BB180" s="14">
        <f t="shared" si="2"/>
        <v>-114059.53126003298</v>
      </c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3"/>
      <c r="CT180" s="3"/>
      <c r="CU180" s="3"/>
      <c r="CV180" s="3"/>
      <c r="CW180" s="3"/>
    </row>
    <row r="181" spans="1:101" ht="14.25" customHeight="1" x14ac:dyDescent="0.2">
      <c r="A181" s="286"/>
      <c r="B181" s="52">
        <v>0.16064462413249248</v>
      </c>
      <c r="C181" s="288">
        <v>0.4253346564420375</v>
      </c>
      <c r="D181" s="288">
        <v>2.2874482393322682E-2</v>
      </c>
      <c r="E181" s="288">
        <v>2.5496092598162212E-2</v>
      </c>
      <c r="F181" s="289">
        <v>0.75020570867254677</v>
      </c>
      <c r="G181" s="92">
        <v>0.38078481010459875</v>
      </c>
      <c r="H181" s="288">
        <v>0.74873337636947301</v>
      </c>
      <c r="I181" s="288">
        <v>1.845257542787615E-2</v>
      </c>
      <c r="J181" s="288">
        <v>0.99999998879151475</v>
      </c>
      <c r="K181" s="288">
        <v>0.74993095717516145</v>
      </c>
      <c r="L181" s="290">
        <v>8059.0641701562699</v>
      </c>
      <c r="M181" s="288">
        <v>0</v>
      </c>
      <c r="N181" s="288">
        <v>15104.199143106431</v>
      </c>
      <c r="O181" s="288">
        <v>1010.4993292529322</v>
      </c>
      <c r="P181" s="288">
        <v>57282.297073164606</v>
      </c>
      <c r="Q181" s="291">
        <v>136743.63134059744</v>
      </c>
      <c r="R181" s="288">
        <v>29035.786909582388</v>
      </c>
      <c r="S181" s="288">
        <v>9862.7006921093125</v>
      </c>
      <c r="T181" s="290">
        <v>0.751</v>
      </c>
      <c r="U181" s="288">
        <v>0.75800000000000001</v>
      </c>
      <c r="V181" s="288">
        <v>0.723923076923077</v>
      </c>
      <c r="W181" s="288">
        <v>0.72750000000000004</v>
      </c>
      <c r="X181" s="288">
        <v>0.76</v>
      </c>
      <c r="Y181" s="288">
        <v>0</v>
      </c>
      <c r="Z181" s="289">
        <v>0</v>
      </c>
      <c r="AA181" s="229"/>
      <c r="AB181" s="52">
        <v>83982.163347310721</v>
      </c>
      <c r="AC181" s="288">
        <v>3.0047925365152999</v>
      </c>
      <c r="AD181" s="288">
        <v>83819.51437572905</v>
      </c>
      <c r="AE181" s="288">
        <v>3.0079327649907035</v>
      </c>
      <c r="AF181" s="288">
        <v>162.6489715816715</v>
      </c>
      <c r="AG181" s="289">
        <v>-3.140228475403628E-3</v>
      </c>
      <c r="AH181" s="229"/>
      <c r="AI181" s="205">
        <f t="shared" si="18"/>
        <v>216497.09030421928</v>
      </c>
      <c r="AJ181" s="205">
        <f t="shared" si="19"/>
        <v>216973.76212334129</v>
      </c>
      <c r="AK181" s="205">
        <f t="shared" si="20"/>
        <v>-476.67181912203432</v>
      </c>
      <c r="AL181" s="229"/>
      <c r="AM181" s="52">
        <f t="shared" si="4"/>
        <v>0</v>
      </c>
      <c r="AN181" s="52">
        <f t="shared" si="5"/>
        <v>1</v>
      </c>
      <c r="AO181" s="52">
        <f t="shared" si="6"/>
        <v>0</v>
      </c>
      <c r="AP181" s="229"/>
      <c r="AQ181" s="3"/>
      <c r="AR181" s="3"/>
      <c r="AS181" s="3"/>
      <c r="AT181" s="3"/>
      <c r="AU181" s="229"/>
      <c r="AV181" s="318">
        <f t="shared" si="21"/>
        <v>216973.76212334129</v>
      </c>
      <c r="AW181" s="229"/>
      <c r="AX181" s="312"/>
      <c r="AY181" s="14"/>
      <c r="AZ181" s="14">
        <f t="shared" si="23"/>
        <v>162.6489715816715</v>
      </c>
      <c r="BA181" s="14">
        <f t="shared" si="22"/>
        <v>-3.140228475403628E-3</v>
      </c>
      <c r="BB181" s="14">
        <f t="shared" si="2"/>
        <v>-51795.266763436848</v>
      </c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3"/>
      <c r="CT181" s="3"/>
      <c r="CU181" s="3"/>
      <c r="CV181" s="3"/>
      <c r="CW181" s="3"/>
    </row>
    <row r="182" spans="1:101" ht="14.25" customHeight="1" x14ac:dyDescent="0.2">
      <c r="A182" s="286"/>
      <c r="B182" s="52">
        <v>0.16663062804234574</v>
      </c>
      <c r="C182" s="288">
        <v>0.1511224442590986</v>
      </c>
      <c r="D182" s="288">
        <v>1.6905573161285048E-2</v>
      </c>
      <c r="E182" s="288">
        <v>2.4634490463003034E-2</v>
      </c>
      <c r="F182" s="289">
        <v>0.79059136408191555</v>
      </c>
      <c r="G182" s="92">
        <v>0.40019066308017726</v>
      </c>
      <c r="H182" s="288">
        <v>0.99663168848936734</v>
      </c>
      <c r="I182" s="288">
        <v>8.6330915116604404E-3</v>
      </c>
      <c r="J182" s="288">
        <v>0.9990626459381825</v>
      </c>
      <c r="K182" s="288">
        <v>0.80155842907279573</v>
      </c>
      <c r="L182" s="290">
        <v>12382.982315841356</v>
      </c>
      <c r="M182" s="288">
        <v>0</v>
      </c>
      <c r="N182" s="288">
        <v>25708.509609762936</v>
      </c>
      <c r="O182" s="288">
        <v>1537.4540036084052</v>
      </c>
      <c r="P182" s="288">
        <v>43685.348050733744</v>
      </c>
      <c r="Q182" s="291">
        <v>98523.945784277588</v>
      </c>
      <c r="R182" s="288">
        <v>16842.505330941927</v>
      </c>
      <c r="S182" s="288">
        <v>11041.420785079561</v>
      </c>
      <c r="T182" s="290">
        <v>0.751</v>
      </c>
      <c r="U182" s="288">
        <v>0.75800000000000001</v>
      </c>
      <c r="V182" s="288">
        <v>0.723923076923077</v>
      </c>
      <c r="W182" s="288">
        <v>0.72750000000000004</v>
      </c>
      <c r="X182" s="288">
        <v>0.76</v>
      </c>
      <c r="Y182" s="288">
        <v>0</v>
      </c>
      <c r="Z182" s="289">
        <v>0</v>
      </c>
      <c r="AA182" s="229"/>
      <c r="AB182" s="52">
        <v>99785.193387289182</v>
      </c>
      <c r="AC182" s="288">
        <v>3.1915888238702403</v>
      </c>
      <c r="AD182" s="288">
        <v>96115.097434652751</v>
      </c>
      <c r="AE182" s="288">
        <v>3.2476223119069081</v>
      </c>
      <c r="AF182" s="288">
        <v>3670.0959526364313</v>
      </c>
      <c r="AG182" s="289">
        <v>-5.6033488036667745E-2</v>
      </c>
      <c r="AH182" s="229"/>
      <c r="AI182" s="205">
        <f t="shared" si="18"/>
        <v>219373.68899973488</v>
      </c>
      <c r="AJ182" s="205">
        <f t="shared" si="19"/>
        <v>228647.13375603809</v>
      </c>
      <c r="AK182" s="205">
        <f t="shared" si="20"/>
        <v>-9273.4447563032045</v>
      </c>
      <c r="AL182" s="229"/>
      <c r="AM182" s="52">
        <f t="shared" si="4"/>
        <v>0</v>
      </c>
      <c r="AN182" s="52">
        <f t="shared" si="5"/>
        <v>1</v>
      </c>
      <c r="AO182" s="52">
        <f t="shared" si="6"/>
        <v>0</v>
      </c>
      <c r="AP182" s="229"/>
      <c r="AQ182" s="3"/>
      <c r="AR182" s="3"/>
      <c r="AS182" s="3"/>
      <c r="AT182" s="3"/>
      <c r="AU182" s="229"/>
      <c r="AV182" s="318">
        <f t="shared" si="21"/>
        <v>228647.13375603809</v>
      </c>
      <c r="AW182" s="229"/>
      <c r="AX182" s="312"/>
      <c r="AY182" s="14"/>
      <c r="AZ182" s="14">
        <f t="shared" si="23"/>
        <v>3670.0959526364313</v>
      </c>
      <c r="BA182" s="14">
        <f t="shared" si="22"/>
        <v>-5.6033488036667745E-2</v>
      </c>
      <c r="BB182" s="14">
        <f t="shared" si="2"/>
        <v>-65498.259723448908</v>
      </c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3"/>
      <c r="CT182" s="3"/>
      <c r="CU182" s="3"/>
      <c r="CV182" s="3"/>
      <c r="CW182" s="3"/>
    </row>
    <row r="183" spans="1:101" ht="14.25" customHeight="1" x14ac:dyDescent="0.2">
      <c r="A183" s="286"/>
      <c r="B183" s="52">
        <v>0.15815687299169021</v>
      </c>
      <c r="C183" s="288">
        <v>0.53287293062469998</v>
      </c>
      <c r="D183" s="288">
        <v>1.4266936511573037E-2</v>
      </c>
      <c r="E183" s="288">
        <v>2.5067149253970689E-2</v>
      </c>
      <c r="F183" s="289">
        <v>0.80904235604278718</v>
      </c>
      <c r="G183" s="92">
        <v>0.38484376675533732</v>
      </c>
      <c r="H183" s="288">
        <v>0.97508554705125583</v>
      </c>
      <c r="I183" s="288">
        <v>1.0503847264426854E-2</v>
      </c>
      <c r="J183" s="288">
        <v>0.63432341297845618</v>
      </c>
      <c r="K183" s="288">
        <v>0.7821203195109887</v>
      </c>
      <c r="L183" s="290">
        <v>11140.47226050708</v>
      </c>
      <c r="M183" s="288">
        <v>0</v>
      </c>
      <c r="N183" s="288">
        <v>18897.824923870023</v>
      </c>
      <c r="O183" s="288">
        <v>1315.2742462611009</v>
      </c>
      <c r="P183" s="288">
        <v>43920.414251823626</v>
      </c>
      <c r="Q183" s="291">
        <v>85543.977140886724</v>
      </c>
      <c r="R183" s="288">
        <v>18993.874812581955</v>
      </c>
      <c r="S183" s="288">
        <v>9590.7341072443651</v>
      </c>
      <c r="T183" s="290">
        <v>0.751</v>
      </c>
      <c r="U183" s="288">
        <v>0.75800000000000001</v>
      </c>
      <c r="V183" s="288">
        <v>0.723923076923077</v>
      </c>
      <c r="W183" s="288">
        <v>0.72750000000000004</v>
      </c>
      <c r="X183" s="288">
        <v>0.76</v>
      </c>
      <c r="Y183" s="288">
        <v>0</v>
      </c>
      <c r="Z183" s="289">
        <v>0</v>
      </c>
      <c r="AA183" s="229"/>
      <c r="AB183" s="52">
        <v>89980.72971368843</v>
      </c>
      <c r="AC183" s="288">
        <v>3.277781809945659</v>
      </c>
      <c r="AD183" s="288">
        <v>82904.287473068063</v>
      </c>
      <c r="AE183" s="288">
        <v>3.1568843663627812</v>
      </c>
      <c r="AF183" s="288">
        <v>7076.4422406203666</v>
      </c>
      <c r="AG183" s="289">
        <v>0.12089744358287779</v>
      </c>
      <c r="AH183" s="229"/>
      <c r="AI183" s="205">
        <f t="shared" si="18"/>
        <v>237797.45128087746</v>
      </c>
      <c r="AJ183" s="205">
        <f t="shared" si="19"/>
        <v>232784.14916321007</v>
      </c>
      <c r="AK183" s="205">
        <f t="shared" si="20"/>
        <v>5013.3021176674119</v>
      </c>
      <c r="AL183" s="229"/>
      <c r="AM183" s="52">
        <f t="shared" si="4"/>
        <v>1</v>
      </c>
      <c r="AN183" s="52">
        <f t="shared" si="5"/>
        <v>0</v>
      </c>
      <c r="AO183" s="52">
        <f t="shared" si="6"/>
        <v>1</v>
      </c>
      <c r="AP183" s="229"/>
      <c r="AQ183" s="3"/>
      <c r="AR183" s="3"/>
      <c r="AS183" s="3"/>
      <c r="AT183" s="3"/>
      <c r="AU183" s="229"/>
      <c r="AV183" s="318">
        <f t="shared" si="21"/>
        <v>237797.45128087746</v>
      </c>
      <c r="AW183" s="229"/>
      <c r="AX183" s="312"/>
      <c r="AY183" s="14"/>
      <c r="AZ183" s="14">
        <f t="shared" si="23"/>
        <v>7076.4422406203666</v>
      </c>
      <c r="BA183" s="14">
        <f t="shared" si="22"/>
        <v>0.12089744358287779</v>
      </c>
      <c r="BB183" s="14">
        <f t="shared" si="2"/>
        <v>58532.604419954616</v>
      </c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3"/>
      <c r="CT183" s="3"/>
      <c r="CU183" s="3"/>
      <c r="CV183" s="3"/>
      <c r="CW183" s="3"/>
    </row>
    <row r="184" spans="1:101" ht="14.25" customHeight="1" x14ac:dyDescent="0.2">
      <c r="A184" s="286"/>
      <c r="B184" s="52">
        <v>0.15095414774078772</v>
      </c>
      <c r="C184" s="288">
        <v>0.22448620058968402</v>
      </c>
      <c r="D184" s="288">
        <v>1.2239673232112672E-2</v>
      </c>
      <c r="E184" s="288">
        <v>1.3023896257465948E-2</v>
      </c>
      <c r="F184" s="289">
        <v>0.79496851343599229</v>
      </c>
      <c r="G184" s="92">
        <v>0.38583659689369021</v>
      </c>
      <c r="H184" s="288">
        <v>0.9458926267182195</v>
      </c>
      <c r="I184" s="288">
        <v>1.5209940887830514E-2</v>
      </c>
      <c r="J184" s="288">
        <v>0.99999999999825284</v>
      </c>
      <c r="K184" s="288">
        <v>0.74853243705093309</v>
      </c>
      <c r="L184" s="290">
        <v>9541.4747874430414</v>
      </c>
      <c r="M184" s="288">
        <v>0</v>
      </c>
      <c r="N184" s="288">
        <v>15841.343619422598</v>
      </c>
      <c r="O184" s="288">
        <v>1333.6034580567532</v>
      </c>
      <c r="P184" s="288">
        <v>53099.008156682954</v>
      </c>
      <c r="Q184" s="291">
        <v>118276.56168296457</v>
      </c>
      <c r="R184" s="288">
        <v>17648.585175677665</v>
      </c>
      <c r="S184" s="288">
        <v>8825.8185783241461</v>
      </c>
      <c r="T184" s="290">
        <v>0.751</v>
      </c>
      <c r="U184" s="288">
        <v>0.75800000000000001</v>
      </c>
      <c r="V184" s="288">
        <v>0.723923076923077</v>
      </c>
      <c r="W184" s="288">
        <v>0.72750000000000004</v>
      </c>
      <c r="X184" s="288">
        <v>0.76</v>
      </c>
      <c r="Y184" s="288">
        <v>0</v>
      </c>
      <c r="Z184" s="289">
        <v>0</v>
      </c>
      <c r="AA184" s="229"/>
      <c r="AB184" s="52">
        <v>80037.928568182833</v>
      </c>
      <c r="AC184" s="288">
        <v>3.211988169470779</v>
      </c>
      <c r="AD184" s="288">
        <v>73855.683155442021</v>
      </c>
      <c r="AE184" s="288">
        <v>3.0014983369903248</v>
      </c>
      <c r="AF184" s="288">
        <v>6182.2454127408128</v>
      </c>
      <c r="AG184" s="289">
        <v>0.21048983248045428</v>
      </c>
      <c r="AH184" s="229"/>
      <c r="AI184" s="205">
        <f t="shared" si="18"/>
        <v>241160.88837889509</v>
      </c>
      <c r="AJ184" s="205">
        <f t="shared" si="19"/>
        <v>226294.15054359048</v>
      </c>
      <c r="AK184" s="205">
        <f t="shared" si="20"/>
        <v>14866.737835304615</v>
      </c>
      <c r="AL184" s="229"/>
      <c r="AM184" s="52">
        <f t="shared" si="4"/>
        <v>1</v>
      </c>
      <c r="AN184" s="52">
        <f t="shared" si="5"/>
        <v>0</v>
      </c>
      <c r="AO184" s="52">
        <f t="shared" si="6"/>
        <v>1</v>
      </c>
      <c r="AP184" s="229"/>
      <c r="AQ184" s="3"/>
      <c r="AR184" s="3"/>
      <c r="AS184" s="3"/>
      <c r="AT184" s="3"/>
      <c r="AU184" s="229"/>
      <c r="AV184" s="318">
        <f t="shared" si="21"/>
        <v>241160.88837889509</v>
      </c>
      <c r="AW184" s="229"/>
      <c r="AX184" s="312"/>
      <c r="AY184" s="14"/>
      <c r="AZ184" s="14">
        <f t="shared" si="23"/>
        <v>6182.2454127408128</v>
      </c>
      <c r="BA184" s="14">
        <f t="shared" si="22"/>
        <v>0.21048983248045428</v>
      </c>
      <c r="BB184" s="14">
        <f t="shared" si="2"/>
        <v>29370.755536683158</v>
      </c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3"/>
      <c r="CT184" s="3"/>
      <c r="CU184" s="3"/>
      <c r="CV184" s="3"/>
      <c r="CW184" s="3"/>
    </row>
    <row r="185" spans="1:101" ht="14.25" customHeight="1" x14ac:dyDescent="0.2">
      <c r="A185" s="286"/>
      <c r="B185" s="52">
        <v>0.15332933518589464</v>
      </c>
      <c r="C185" s="288">
        <v>0.71786950109009939</v>
      </c>
      <c r="D185" s="288">
        <v>2.0718879582657834E-2</v>
      </c>
      <c r="E185" s="288">
        <v>2.7014317634493468E-2</v>
      </c>
      <c r="F185" s="289">
        <v>0.80191538391841299</v>
      </c>
      <c r="G185" s="92">
        <v>0.36716449428312353</v>
      </c>
      <c r="H185" s="288">
        <v>0.56295046241894631</v>
      </c>
      <c r="I185" s="288">
        <v>4.2117352892533794E-3</v>
      </c>
      <c r="J185" s="288">
        <v>0.99999999999996381</v>
      </c>
      <c r="K185" s="288">
        <v>0.75881295583546116</v>
      </c>
      <c r="L185" s="290">
        <v>11448.313698125932</v>
      </c>
      <c r="M185" s="288">
        <v>0</v>
      </c>
      <c r="N185" s="288">
        <v>16953.340354831722</v>
      </c>
      <c r="O185" s="288">
        <v>916.72666287824632</v>
      </c>
      <c r="P185" s="288">
        <v>57195.857365047894</v>
      </c>
      <c r="Q185" s="291">
        <v>110487.13494987397</v>
      </c>
      <c r="R185" s="288">
        <v>25807.024739288958</v>
      </c>
      <c r="S185" s="288">
        <v>8026.281583851568</v>
      </c>
      <c r="T185" s="290">
        <v>0.751</v>
      </c>
      <c r="U185" s="288">
        <v>0.75800000000000001</v>
      </c>
      <c r="V185" s="288">
        <v>0.723923076923077</v>
      </c>
      <c r="W185" s="288">
        <v>0.72750000000000004</v>
      </c>
      <c r="X185" s="288">
        <v>0.76</v>
      </c>
      <c r="Y185" s="288">
        <v>0</v>
      </c>
      <c r="Z185" s="289">
        <v>0</v>
      </c>
      <c r="AA185" s="229"/>
      <c r="AB185" s="52">
        <v>78521.884436310633</v>
      </c>
      <c r="AC185" s="288">
        <v>3.2444251838525497</v>
      </c>
      <c r="AD185" s="288">
        <v>66693.646683392944</v>
      </c>
      <c r="AE185" s="288">
        <v>3.0488697699534169</v>
      </c>
      <c r="AF185" s="288">
        <v>11828.237752917688</v>
      </c>
      <c r="AG185" s="289">
        <v>0.19555541389913289</v>
      </c>
      <c r="AH185" s="229"/>
      <c r="AI185" s="205">
        <f t="shared" si="18"/>
        <v>245920.63394894433</v>
      </c>
      <c r="AJ185" s="205">
        <f t="shared" si="19"/>
        <v>238193.33031194878</v>
      </c>
      <c r="AK185" s="205">
        <f t="shared" si="20"/>
        <v>7727.3036369955989</v>
      </c>
      <c r="AL185" s="229"/>
      <c r="AM185" s="52">
        <f t="shared" si="4"/>
        <v>1</v>
      </c>
      <c r="AN185" s="52">
        <f t="shared" si="5"/>
        <v>0</v>
      </c>
      <c r="AO185" s="52">
        <f t="shared" si="6"/>
        <v>1</v>
      </c>
      <c r="AP185" s="229"/>
      <c r="AQ185" s="3"/>
      <c r="AR185" s="3"/>
      <c r="AS185" s="3"/>
      <c r="AT185" s="3"/>
      <c r="AU185" s="229"/>
      <c r="AV185" s="318">
        <f t="shared" si="21"/>
        <v>245920.63394894433</v>
      </c>
      <c r="AW185" s="229"/>
      <c r="AX185" s="312"/>
      <c r="AY185" s="14"/>
      <c r="AZ185" s="14">
        <f t="shared" si="23"/>
        <v>11828.237752917688</v>
      </c>
      <c r="BA185" s="14">
        <f t="shared" si="22"/>
        <v>0.19555541389913289</v>
      </c>
      <c r="BB185" s="14">
        <f t="shared" si="2"/>
        <v>60485.350505400333</v>
      </c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3"/>
      <c r="CT185" s="3"/>
      <c r="CU185" s="3"/>
      <c r="CV185" s="3"/>
      <c r="CW185" s="3"/>
    </row>
    <row r="186" spans="1:101" ht="14.25" customHeight="1" x14ac:dyDescent="0.2">
      <c r="A186" s="286"/>
      <c r="B186" s="52">
        <v>0.15673765316330135</v>
      </c>
      <c r="C186" s="288">
        <v>0.50618139867185363</v>
      </c>
      <c r="D186" s="288">
        <v>2.3945319415103583E-2</v>
      </c>
      <c r="E186" s="288">
        <v>8.4890653890345742E-3</v>
      </c>
      <c r="F186" s="289">
        <v>0.77526555641641381</v>
      </c>
      <c r="G186" s="92">
        <v>0.4454621875514938</v>
      </c>
      <c r="H186" s="288">
        <v>0.83641721055465768</v>
      </c>
      <c r="I186" s="288">
        <v>2.5619621742928311E-2</v>
      </c>
      <c r="J186" s="288">
        <v>0.99999999997633737</v>
      </c>
      <c r="K186" s="288">
        <v>0.75568644649551719</v>
      </c>
      <c r="L186" s="290">
        <v>10008.9450302306</v>
      </c>
      <c r="M186" s="288">
        <v>0</v>
      </c>
      <c r="N186" s="288">
        <v>22404.250468897873</v>
      </c>
      <c r="O186" s="288">
        <v>1271.2897188943757</v>
      </c>
      <c r="P186" s="288">
        <v>32919.280875573502</v>
      </c>
      <c r="Q186" s="291">
        <v>139319.49259355877</v>
      </c>
      <c r="R186" s="288">
        <v>19726.708314091215</v>
      </c>
      <c r="S186" s="288">
        <v>7899.1546555170335</v>
      </c>
      <c r="T186" s="290">
        <v>0.751</v>
      </c>
      <c r="U186" s="288">
        <v>0.75800000000000001</v>
      </c>
      <c r="V186" s="288">
        <v>0.723923076923077</v>
      </c>
      <c r="W186" s="288">
        <v>0.72750000000000004</v>
      </c>
      <c r="X186" s="288">
        <v>0.76</v>
      </c>
      <c r="Y186" s="288">
        <v>0</v>
      </c>
      <c r="Z186" s="289">
        <v>0</v>
      </c>
      <c r="AA186" s="229"/>
      <c r="AB186" s="52">
        <v>72938.950998605345</v>
      </c>
      <c r="AC186" s="288">
        <v>3.1204009691490779</v>
      </c>
      <c r="AD186" s="288">
        <v>69586.344368386694</v>
      </c>
      <c r="AE186" s="288">
        <v>3.0344455510747839</v>
      </c>
      <c r="AF186" s="288">
        <v>3352.6066302186518</v>
      </c>
      <c r="AG186" s="289">
        <v>8.5955418074294077E-2</v>
      </c>
      <c r="AH186" s="229"/>
      <c r="AI186" s="205">
        <f t="shared" si="18"/>
        <v>239101.14591630246</v>
      </c>
      <c r="AJ186" s="205">
        <f t="shared" si="19"/>
        <v>233858.21073909171</v>
      </c>
      <c r="AK186" s="205">
        <f t="shared" si="20"/>
        <v>5242.9351772107566</v>
      </c>
      <c r="AL186" s="229"/>
      <c r="AM186" s="52">
        <f t="shared" si="4"/>
        <v>1</v>
      </c>
      <c r="AN186" s="52">
        <f t="shared" si="5"/>
        <v>0</v>
      </c>
      <c r="AO186" s="52">
        <f t="shared" si="6"/>
        <v>1</v>
      </c>
      <c r="AP186" s="229"/>
      <c r="AQ186" s="3"/>
      <c r="AR186" s="3"/>
      <c r="AS186" s="3"/>
      <c r="AT186" s="3"/>
      <c r="AU186" s="229"/>
      <c r="AV186" s="318">
        <f t="shared" si="21"/>
        <v>239101.14591630246</v>
      </c>
      <c r="AW186" s="229"/>
      <c r="AX186" s="312"/>
      <c r="AY186" s="14"/>
      <c r="AZ186" s="14">
        <f t="shared" si="23"/>
        <v>3352.6066302186518</v>
      </c>
      <c r="BA186" s="14">
        <f t="shared" si="22"/>
        <v>8.5955418074294077E-2</v>
      </c>
      <c r="BB186" s="14">
        <f t="shared" si="2"/>
        <v>39004.017493357831</v>
      </c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3"/>
      <c r="CT186" s="3"/>
      <c r="CU186" s="3"/>
      <c r="CV186" s="3"/>
      <c r="CW186" s="3"/>
    </row>
    <row r="187" spans="1:101" ht="14.25" customHeight="1" x14ac:dyDescent="0.2">
      <c r="A187" s="286"/>
      <c r="B187" s="52">
        <v>0.14436279040230868</v>
      </c>
      <c r="C187" s="288">
        <v>0.11733078971310008</v>
      </c>
      <c r="D187" s="288">
        <v>2.4969578407644244E-2</v>
      </c>
      <c r="E187" s="288">
        <v>1.2836233131374936E-2</v>
      </c>
      <c r="F187" s="289">
        <v>0.7769619989710087</v>
      </c>
      <c r="G187" s="92">
        <v>0.3913928921689438</v>
      </c>
      <c r="H187" s="288">
        <v>0.89973595940388806</v>
      </c>
      <c r="I187" s="288">
        <v>2.2269956145624215E-2</v>
      </c>
      <c r="J187" s="288">
        <v>0.97793827376494558</v>
      </c>
      <c r="K187" s="288">
        <v>0.79661874830296675</v>
      </c>
      <c r="L187" s="290">
        <v>12174.951924293719</v>
      </c>
      <c r="M187" s="288">
        <v>0</v>
      </c>
      <c r="N187" s="288">
        <v>17870.693747313966</v>
      </c>
      <c r="O187" s="288">
        <v>1769.1555659526236</v>
      </c>
      <c r="P187" s="288">
        <v>27072.527464114635</v>
      </c>
      <c r="Q187" s="291">
        <v>71982.722504611927</v>
      </c>
      <c r="R187" s="288">
        <v>35194.437991054714</v>
      </c>
      <c r="S187" s="288">
        <v>10887.451968762887</v>
      </c>
      <c r="T187" s="290">
        <v>0.751</v>
      </c>
      <c r="U187" s="288">
        <v>0.75800000000000001</v>
      </c>
      <c r="V187" s="288">
        <v>0.723923076923077</v>
      </c>
      <c r="W187" s="288">
        <v>0.72750000000000004</v>
      </c>
      <c r="X187" s="288">
        <v>0.76</v>
      </c>
      <c r="Y187" s="288">
        <v>0</v>
      </c>
      <c r="Z187" s="289">
        <v>0</v>
      </c>
      <c r="AA187" s="229"/>
      <c r="AB187" s="52">
        <v>97052.822336390149</v>
      </c>
      <c r="AC187" s="288">
        <v>3.1282627540613559</v>
      </c>
      <c r="AD187" s="288">
        <v>100341.35690909368</v>
      </c>
      <c r="AE187" s="288">
        <v>3.224507222411702</v>
      </c>
      <c r="AF187" s="288">
        <v>-3288.534572703531</v>
      </c>
      <c r="AG187" s="289">
        <v>-9.6244468350346057E-2</v>
      </c>
      <c r="AH187" s="229"/>
      <c r="AI187" s="205">
        <f t="shared" si="18"/>
        <v>215773.45306974545</v>
      </c>
      <c r="AJ187" s="205">
        <f t="shared" si="19"/>
        <v>222109.3653320765</v>
      </c>
      <c r="AK187" s="205">
        <f t="shared" si="20"/>
        <v>-6335.9122623310741</v>
      </c>
      <c r="AL187" s="229"/>
      <c r="AM187" s="52">
        <f t="shared" si="4"/>
        <v>0</v>
      </c>
      <c r="AN187" s="52">
        <f t="shared" si="5"/>
        <v>1</v>
      </c>
      <c r="AO187" s="52">
        <f t="shared" si="6"/>
        <v>0</v>
      </c>
      <c r="AP187" s="229"/>
      <c r="AQ187" s="3"/>
      <c r="AR187" s="3"/>
      <c r="AS187" s="3"/>
      <c r="AT187" s="3"/>
      <c r="AU187" s="229"/>
      <c r="AV187" s="318">
        <f t="shared" si="21"/>
        <v>222109.3653320765</v>
      </c>
      <c r="AW187" s="229"/>
      <c r="AX187" s="312"/>
      <c r="AY187" s="14"/>
      <c r="AZ187" s="14">
        <f t="shared" si="23"/>
        <v>-3288.534572703531</v>
      </c>
      <c r="BA187" s="14">
        <f t="shared" si="22"/>
        <v>-9.6244468350346057E-2</v>
      </c>
      <c r="BB187" s="14">
        <f t="shared" si="2"/>
        <v>34168.556687670731</v>
      </c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3"/>
      <c r="CT187" s="3"/>
      <c r="CU187" s="3"/>
      <c r="CV187" s="3"/>
      <c r="CW187" s="3"/>
    </row>
    <row r="188" spans="1:101" ht="14.25" customHeight="1" x14ac:dyDescent="0.2">
      <c r="A188" s="286"/>
      <c r="B188" s="52">
        <v>0.17411600191085641</v>
      </c>
      <c r="C188" s="288">
        <v>0.78272152089782154</v>
      </c>
      <c r="D188" s="288">
        <v>2.2817786179393451E-2</v>
      </c>
      <c r="E188" s="288">
        <v>8.1281514470575838E-3</v>
      </c>
      <c r="F188" s="289">
        <v>0.77876749821230828</v>
      </c>
      <c r="G188" s="92">
        <v>0.39354797186617291</v>
      </c>
      <c r="H188" s="288">
        <v>9.3123591696542482E-3</v>
      </c>
      <c r="I188" s="288">
        <v>1.3349988423647735E-2</v>
      </c>
      <c r="J188" s="288">
        <v>0.99281502068882799</v>
      </c>
      <c r="K188" s="288">
        <v>0.78328469569267622</v>
      </c>
      <c r="L188" s="290">
        <v>11430.324596743649</v>
      </c>
      <c r="M188" s="288">
        <v>0</v>
      </c>
      <c r="N188" s="288">
        <v>14292.671859732776</v>
      </c>
      <c r="O188" s="288">
        <v>1290.2596876074047</v>
      </c>
      <c r="P188" s="288">
        <v>47935.526939614829</v>
      </c>
      <c r="Q188" s="291">
        <v>93168.622430257266</v>
      </c>
      <c r="R188" s="288">
        <v>22497.622891683928</v>
      </c>
      <c r="S188" s="288">
        <v>10211.730048049305</v>
      </c>
      <c r="T188" s="290">
        <v>0.751</v>
      </c>
      <c r="U188" s="288">
        <v>0.75800000000000001</v>
      </c>
      <c r="V188" s="288">
        <v>0.723923076923077</v>
      </c>
      <c r="W188" s="288">
        <v>0.72750000000000004</v>
      </c>
      <c r="X188" s="288">
        <v>0.76</v>
      </c>
      <c r="Y188" s="288">
        <v>0</v>
      </c>
      <c r="Z188" s="289">
        <v>0</v>
      </c>
      <c r="AA188" s="229"/>
      <c r="AB188" s="52">
        <v>93841.771465106256</v>
      </c>
      <c r="AC188" s="288">
        <v>3.1366348965006012</v>
      </c>
      <c r="AD188" s="288">
        <v>81255.044185650244</v>
      </c>
      <c r="AE188" s="288">
        <v>3.1623029559723186</v>
      </c>
      <c r="AF188" s="288">
        <v>12586.727279456012</v>
      </c>
      <c r="AG188" s="289">
        <v>-2.5668059471717353E-2</v>
      </c>
      <c r="AH188" s="229"/>
      <c r="AI188" s="205">
        <f t="shared" si="18"/>
        <v>219821.71818495388</v>
      </c>
      <c r="AJ188" s="205">
        <f t="shared" si="19"/>
        <v>234975.25141158159</v>
      </c>
      <c r="AK188" s="205">
        <f t="shared" si="20"/>
        <v>-15153.533226627747</v>
      </c>
      <c r="AL188" s="229"/>
      <c r="AM188" s="52">
        <f t="shared" si="4"/>
        <v>0</v>
      </c>
      <c r="AN188" s="52">
        <f t="shared" si="5"/>
        <v>1</v>
      </c>
      <c r="AO188" s="52">
        <f t="shared" si="6"/>
        <v>0</v>
      </c>
      <c r="AP188" s="229"/>
      <c r="AQ188" s="3"/>
      <c r="AR188" s="3"/>
      <c r="AS188" s="3"/>
      <c r="AT188" s="3"/>
      <c r="AU188" s="229"/>
      <c r="AV188" s="318">
        <f t="shared" si="21"/>
        <v>234975.25141158159</v>
      </c>
      <c r="AW188" s="229"/>
      <c r="AX188" s="312"/>
      <c r="AY188" s="14"/>
      <c r="AZ188" s="14">
        <f t="shared" si="23"/>
        <v>12586.727279456012</v>
      </c>
      <c r="BA188" s="14">
        <f t="shared" si="22"/>
        <v>-2.5668059471717353E-2</v>
      </c>
      <c r="BB188" s="14">
        <f t="shared" si="2"/>
        <v>-490365.36218582641</v>
      </c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3"/>
      <c r="CT188" s="3"/>
      <c r="CU188" s="3"/>
      <c r="CV188" s="3"/>
      <c r="CW188" s="3"/>
    </row>
    <row r="189" spans="1:101" ht="14.25" customHeight="1" x14ac:dyDescent="0.2">
      <c r="A189" s="286"/>
      <c r="B189" s="52">
        <v>0.15356483093774692</v>
      </c>
      <c r="C189" s="288">
        <v>0.15448811380921651</v>
      </c>
      <c r="D189" s="288">
        <v>2.1050069926912385E-2</v>
      </c>
      <c r="E189" s="288">
        <v>1.2803454757594885E-2</v>
      </c>
      <c r="F189" s="289">
        <v>0.79125544476311804</v>
      </c>
      <c r="G189" s="92">
        <v>0.45258825200701613</v>
      </c>
      <c r="H189" s="288">
        <v>0.31248057397756052</v>
      </c>
      <c r="I189" s="288">
        <v>2.4619353349205952E-2</v>
      </c>
      <c r="J189" s="288">
        <v>0.4195680443427855</v>
      </c>
      <c r="K189" s="288">
        <v>0.75376951501395151</v>
      </c>
      <c r="L189" s="290">
        <v>10074.373138087425</v>
      </c>
      <c r="M189" s="288">
        <v>0</v>
      </c>
      <c r="N189" s="288">
        <v>15109.095053200648</v>
      </c>
      <c r="O189" s="288">
        <v>1080.9008806842414</v>
      </c>
      <c r="P189" s="288">
        <v>71469.143357645255</v>
      </c>
      <c r="Q189" s="291">
        <v>129483.22280884153</v>
      </c>
      <c r="R189" s="288">
        <v>26443.299733712152</v>
      </c>
      <c r="S189" s="288">
        <v>7435.2924896292989</v>
      </c>
      <c r="T189" s="290">
        <v>0.751</v>
      </c>
      <c r="U189" s="288">
        <v>0.75800000000000001</v>
      </c>
      <c r="V189" s="288">
        <v>0.723923076923077</v>
      </c>
      <c r="W189" s="288">
        <v>0.72750000000000004</v>
      </c>
      <c r="X189" s="288">
        <v>0.76</v>
      </c>
      <c r="Y189" s="288">
        <v>0</v>
      </c>
      <c r="Z189" s="289">
        <v>0</v>
      </c>
      <c r="AA189" s="229"/>
      <c r="AB189" s="52">
        <v>69547.12733546416</v>
      </c>
      <c r="AC189" s="288">
        <v>3.1946817836388708</v>
      </c>
      <c r="AD189" s="288">
        <v>61915.398751195935</v>
      </c>
      <c r="AE189" s="288">
        <v>3.0256093655062122</v>
      </c>
      <c r="AF189" s="288">
        <v>7631.7285842682249</v>
      </c>
      <c r="AG189" s="289">
        <v>0.16907241813265861</v>
      </c>
      <c r="AH189" s="229"/>
      <c r="AI189" s="205">
        <f t="shared" si="18"/>
        <v>249921.05102842289</v>
      </c>
      <c r="AJ189" s="205">
        <f t="shared" si="19"/>
        <v>240645.53779942531</v>
      </c>
      <c r="AK189" s="205">
        <f t="shared" si="20"/>
        <v>9275.5132289976355</v>
      </c>
      <c r="AL189" s="229"/>
      <c r="AM189" s="52">
        <f t="shared" si="4"/>
        <v>1</v>
      </c>
      <c r="AN189" s="52">
        <f t="shared" si="5"/>
        <v>0</v>
      </c>
      <c r="AO189" s="52">
        <f t="shared" si="6"/>
        <v>1</v>
      </c>
      <c r="AP189" s="229"/>
      <c r="AQ189" s="3"/>
      <c r="AR189" s="3"/>
      <c r="AS189" s="3"/>
      <c r="AT189" s="3"/>
      <c r="AU189" s="229"/>
      <c r="AV189" s="318">
        <f t="shared" si="21"/>
        <v>249921.05102842289</v>
      </c>
      <c r="AW189" s="229"/>
      <c r="AX189" s="312"/>
      <c r="AY189" s="14"/>
      <c r="AZ189" s="14">
        <f t="shared" si="23"/>
        <v>7631.7285842682249</v>
      </c>
      <c r="BA189" s="14">
        <f t="shared" si="22"/>
        <v>0.16907241813265861</v>
      </c>
      <c r="BB189" s="14">
        <f t="shared" si="2"/>
        <v>45138.814885111373</v>
      </c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3"/>
      <c r="CT189" s="3"/>
      <c r="CU189" s="3"/>
      <c r="CV189" s="3"/>
      <c r="CW189" s="3"/>
    </row>
    <row r="190" spans="1:101" ht="14.25" customHeight="1" x14ac:dyDescent="0.2">
      <c r="A190" s="286"/>
      <c r="B190" s="52">
        <v>0.15674944040736347</v>
      </c>
      <c r="C190" s="288">
        <v>0.67358388018139148</v>
      </c>
      <c r="D190" s="288">
        <v>2.6140116438792105E-2</v>
      </c>
      <c r="E190" s="288">
        <v>1.8580365635646356E-2</v>
      </c>
      <c r="F190" s="289">
        <v>0.79827846772692612</v>
      </c>
      <c r="G190" s="92">
        <v>0.4200234227260049</v>
      </c>
      <c r="H190" s="288">
        <v>0.90679595130819923</v>
      </c>
      <c r="I190" s="288">
        <v>3.8617399146176684E-3</v>
      </c>
      <c r="J190" s="288">
        <v>1.7373576781940785E-2</v>
      </c>
      <c r="K190" s="288">
        <v>0.70641829808507517</v>
      </c>
      <c r="L190" s="290">
        <v>14219.761768922073</v>
      </c>
      <c r="M190" s="288">
        <v>0</v>
      </c>
      <c r="N190" s="288">
        <v>14773.463913263728</v>
      </c>
      <c r="O190" s="288">
        <v>1110.0291912471303</v>
      </c>
      <c r="P190" s="288">
        <v>37355.291598206815</v>
      </c>
      <c r="Q190" s="291">
        <v>70260.453417055294</v>
      </c>
      <c r="R190" s="288">
        <v>38075.541503730899</v>
      </c>
      <c r="S190" s="288">
        <v>5648.8973237445616</v>
      </c>
      <c r="T190" s="290">
        <v>0.751</v>
      </c>
      <c r="U190" s="288">
        <v>0.75800000000000001</v>
      </c>
      <c r="V190" s="288">
        <v>0.723923076923077</v>
      </c>
      <c r="W190" s="288">
        <v>0.72750000000000004</v>
      </c>
      <c r="X190" s="288">
        <v>0.76</v>
      </c>
      <c r="Y190" s="288">
        <v>0</v>
      </c>
      <c r="Z190" s="289">
        <v>0</v>
      </c>
      <c r="AA190" s="229"/>
      <c r="AB190" s="52">
        <v>63359.078221888594</v>
      </c>
      <c r="AC190" s="288">
        <v>3.2274338944257361</v>
      </c>
      <c r="AD190" s="288">
        <v>54860.604636222022</v>
      </c>
      <c r="AE190" s="288">
        <v>2.8091803324537601</v>
      </c>
      <c r="AF190" s="288">
        <v>8498.473585666572</v>
      </c>
      <c r="AG190" s="289">
        <v>0.41825356197197605</v>
      </c>
      <c r="AH190" s="229"/>
      <c r="AI190" s="205">
        <f t="shared" si="18"/>
        <v>259384.31122068499</v>
      </c>
      <c r="AJ190" s="205">
        <f t="shared" si="19"/>
        <v>226057.42860915401</v>
      </c>
      <c r="AK190" s="205">
        <f t="shared" si="20"/>
        <v>33326.882611531037</v>
      </c>
      <c r="AL190" s="229"/>
      <c r="AM190" s="52">
        <f t="shared" si="4"/>
        <v>1</v>
      </c>
      <c r="AN190" s="52">
        <f t="shared" si="5"/>
        <v>0</v>
      </c>
      <c r="AO190" s="52">
        <f t="shared" si="6"/>
        <v>1</v>
      </c>
      <c r="AP190" s="229"/>
      <c r="AQ190" s="3"/>
      <c r="AR190" s="3"/>
      <c r="AS190" s="3"/>
      <c r="AT190" s="3"/>
      <c r="AU190" s="229"/>
      <c r="AV190" s="318">
        <f t="shared" si="21"/>
        <v>259384.31122068499</v>
      </c>
      <c r="AW190" s="229"/>
      <c r="AX190" s="312"/>
      <c r="AY190" s="14"/>
      <c r="AZ190" s="14">
        <f t="shared" si="23"/>
        <v>8498.473585666572</v>
      </c>
      <c r="BA190" s="14">
        <f t="shared" si="22"/>
        <v>0.41825356197197605</v>
      </c>
      <c r="BB190" s="14">
        <f t="shared" si="2"/>
        <v>20318.950890933451</v>
      </c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3"/>
      <c r="CT190" s="3"/>
      <c r="CU190" s="3"/>
      <c r="CV190" s="3"/>
      <c r="CW190" s="3"/>
    </row>
    <row r="191" spans="1:101" ht="14.25" customHeight="1" x14ac:dyDescent="0.2">
      <c r="A191" s="286"/>
      <c r="B191" s="52">
        <v>0.11917025949857757</v>
      </c>
      <c r="C191" s="288">
        <v>0.1722839842278982</v>
      </c>
      <c r="D191" s="288">
        <v>2.3106519960414795E-2</v>
      </c>
      <c r="E191" s="288">
        <v>1.5817752779271443E-2</v>
      </c>
      <c r="F191" s="289">
        <v>0.80703008183158953</v>
      </c>
      <c r="G191" s="92">
        <v>0.41236539631432911</v>
      </c>
      <c r="H191" s="288">
        <v>0.46029764984360971</v>
      </c>
      <c r="I191" s="288">
        <v>1.8253864871043857E-2</v>
      </c>
      <c r="J191" s="288">
        <v>7.1742865383800508E-2</v>
      </c>
      <c r="K191" s="288">
        <v>0.76444214939657273</v>
      </c>
      <c r="L191" s="290">
        <v>15340.173970783277</v>
      </c>
      <c r="M191" s="288">
        <v>0</v>
      </c>
      <c r="N191" s="288">
        <v>23898.322673934745</v>
      </c>
      <c r="O191" s="288">
        <v>1164.0858184773531</v>
      </c>
      <c r="P191" s="288">
        <v>45847.126902432559</v>
      </c>
      <c r="Q191" s="291">
        <v>83236.324060330007</v>
      </c>
      <c r="R191" s="288">
        <v>22717.957403227851</v>
      </c>
      <c r="S191" s="288">
        <v>6460.0099004785152</v>
      </c>
      <c r="T191" s="290">
        <v>0.751</v>
      </c>
      <c r="U191" s="288">
        <v>0.75800000000000001</v>
      </c>
      <c r="V191" s="288">
        <v>0.723923076923077</v>
      </c>
      <c r="W191" s="288">
        <v>0.72750000000000004</v>
      </c>
      <c r="X191" s="288">
        <v>0.76</v>
      </c>
      <c r="Y191" s="288">
        <v>0</v>
      </c>
      <c r="Z191" s="289">
        <v>0</v>
      </c>
      <c r="AA191" s="229"/>
      <c r="AB191" s="52">
        <v>67802.359002627578</v>
      </c>
      <c r="AC191" s="288">
        <v>3.2683556183419205</v>
      </c>
      <c r="AD191" s="288">
        <v>54649.615286283821</v>
      </c>
      <c r="AE191" s="288">
        <v>3.074879021697086</v>
      </c>
      <c r="AF191" s="288">
        <v>13152.743716343757</v>
      </c>
      <c r="AG191" s="289">
        <v>0.19347659664483441</v>
      </c>
      <c r="AH191" s="229"/>
      <c r="AI191" s="205">
        <f t="shared" si="18"/>
        <v>259033.20283156444</v>
      </c>
      <c r="AJ191" s="205">
        <f t="shared" si="19"/>
        <v>252838.28688342479</v>
      </c>
      <c r="AK191" s="205">
        <f t="shared" si="20"/>
        <v>6194.9159481396855</v>
      </c>
      <c r="AL191" s="229"/>
      <c r="AM191" s="52">
        <f t="shared" si="4"/>
        <v>1</v>
      </c>
      <c r="AN191" s="52">
        <f t="shared" si="5"/>
        <v>0</v>
      </c>
      <c r="AO191" s="52">
        <f t="shared" si="6"/>
        <v>1</v>
      </c>
      <c r="AP191" s="229"/>
      <c r="AQ191" s="3"/>
      <c r="AR191" s="3"/>
      <c r="AS191" s="3"/>
      <c r="AT191" s="3"/>
      <c r="AU191" s="229"/>
      <c r="AV191" s="318">
        <f t="shared" si="21"/>
        <v>259033.20283156444</v>
      </c>
      <c r="AW191" s="229"/>
      <c r="AX191" s="312"/>
      <c r="AY191" s="14"/>
      <c r="AZ191" s="14">
        <f t="shared" si="23"/>
        <v>13152.743716343757</v>
      </c>
      <c r="BA191" s="14">
        <f t="shared" si="22"/>
        <v>0.19347659664483441</v>
      </c>
      <c r="BB191" s="14">
        <f t="shared" si="2"/>
        <v>67981.057887266288</v>
      </c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3"/>
      <c r="CT191" s="3"/>
      <c r="CU191" s="3"/>
      <c r="CV191" s="3"/>
      <c r="CW191" s="3"/>
    </row>
    <row r="192" spans="1:101" ht="14.25" customHeight="1" x14ac:dyDescent="0.2">
      <c r="A192" s="286"/>
      <c r="B192" s="52">
        <v>0.16666631544797961</v>
      </c>
      <c r="C192" s="288">
        <v>0.44825004492438614</v>
      </c>
      <c r="D192" s="288">
        <v>1.0379892706206217E-2</v>
      </c>
      <c r="E192" s="288">
        <v>2.1332582549933754E-2</v>
      </c>
      <c r="F192" s="289">
        <v>0.74826380698235151</v>
      </c>
      <c r="G192" s="92">
        <v>0.33535696154857475</v>
      </c>
      <c r="H192" s="288">
        <v>0.71554419586629625</v>
      </c>
      <c r="I192" s="288">
        <v>2.0011110066380122E-2</v>
      </c>
      <c r="J192" s="288">
        <v>1</v>
      </c>
      <c r="K192" s="288">
        <v>0.75773935895221678</v>
      </c>
      <c r="L192" s="290">
        <v>11294.311099216327</v>
      </c>
      <c r="M192" s="288">
        <v>0</v>
      </c>
      <c r="N192" s="288">
        <v>16155.611050946416</v>
      </c>
      <c r="O192" s="288">
        <v>1298.8626923652766</v>
      </c>
      <c r="P192" s="288">
        <v>58560.758012477891</v>
      </c>
      <c r="Q192" s="291">
        <v>120951.17936669625</v>
      </c>
      <c r="R192" s="288">
        <v>21866.399188821302</v>
      </c>
      <c r="S192" s="288">
        <v>10307.877877751178</v>
      </c>
      <c r="T192" s="290">
        <v>0.751</v>
      </c>
      <c r="U192" s="288">
        <v>0.75800000000000001</v>
      </c>
      <c r="V192" s="288">
        <v>0.723923076923077</v>
      </c>
      <c r="W192" s="288">
        <v>0.72750000000000004</v>
      </c>
      <c r="X192" s="288">
        <v>0.76</v>
      </c>
      <c r="Y192" s="288">
        <v>0</v>
      </c>
      <c r="Z192" s="289">
        <v>0</v>
      </c>
      <c r="AA192" s="229"/>
      <c r="AB192" s="52">
        <v>89732.834740125618</v>
      </c>
      <c r="AC192" s="288">
        <v>2.9958750960231098</v>
      </c>
      <c r="AD192" s="288">
        <v>84841.171206975836</v>
      </c>
      <c r="AE192" s="288">
        <v>3.0439149703412274</v>
      </c>
      <c r="AF192" s="288">
        <v>4891.6635331497819</v>
      </c>
      <c r="AG192" s="289">
        <v>-4.8039874318117626E-2</v>
      </c>
      <c r="AH192" s="229"/>
      <c r="AI192" s="205">
        <f t="shared" si="18"/>
        <v>209854.67486218532</v>
      </c>
      <c r="AJ192" s="205">
        <f t="shared" si="19"/>
        <v>219550.32582714694</v>
      </c>
      <c r="AK192" s="205">
        <f t="shared" si="20"/>
        <v>-9695.6509649615437</v>
      </c>
      <c r="AL192" s="229"/>
      <c r="AM192" s="52">
        <f t="shared" si="4"/>
        <v>0</v>
      </c>
      <c r="AN192" s="52">
        <f t="shared" si="5"/>
        <v>1</v>
      </c>
      <c r="AO192" s="52">
        <f t="shared" si="6"/>
        <v>0</v>
      </c>
      <c r="AP192" s="229"/>
      <c r="AQ192" s="3"/>
      <c r="AR192" s="3"/>
      <c r="AS192" s="3"/>
      <c r="AT192" s="3"/>
      <c r="AU192" s="229"/>
      <c r="AV192" s="318">
        <f t="shared" si="21"/>
        <v>219550.32582714694</v>
      </c>
      <c r="AW192" s="229"/>
      <c r="AX192" s="312"/>
      <c r="AY192" s="14"/>
      <c r="AZ192" s="14">
        <f t="shared" si="23"/>
        <v>4891.6635331497819</v>
      </c>
      <c r="BA192" s="14">
        <f t="shared" si="22"/>
        <v>-4.8039874318117626E-2</v>
      </c>
      <c r="BB192" s="14">
        <f t="shared" si="2"/>
        <v>-101825.06933214339</v>
      </c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3"/>
      <c r="CT192" s="3"/>
      <c r="CU192" s="3"/>
      <c r="CV192" s="3"/>
      <c r="CW192" s="3"/>
    </row>
    <row r="193" spans="1:101" ht="14.25" customHeight="1" x14ac:dyDescent="0.2">
      <c r="A193" s="286"/>
      <c r="B193" s="52">
        <v>0.14681101217622153</v>
      </c>
      <c r="C193" s="288">
        <v>0.81365419139142781</v>
      </c>
      <c r="D193" s="288">
        <v>2.3901866449919651E-2</v>
      </c>
      <c r="E193" s="288">
        <v>1.3636203300891971E-2</v>
      </c>
      <c r="F193" s="289">
        <v>0.7659293040968379</v>
      </c>
      <c r="G193" s="92">
        <v>0.37596120658060805</v>
      </c>
      <c r="H193" s="288">
        <v>0.96221447623673129</v>
      </c>
      <c r="I193" s="288">
        <v>1.7998337543212783E-2</v>
      </c>
      <c r="J193" s="288">
        <v>0.79014772425937718</v>
      </c>
      <c r="K193" s="288">
        <v>0.74079840678866615</v>
      </c>
      <c r="L193" s="290">
        <v>14410.883278003907</v>
      </c>
      <c r="M193" s="288">
        <v>0</v>
      </c>
      <c r="N193" s="288">
        <v>15342.893668079549</v>
      </c>
      <c r="O193" s="288">
        <v>949.39632253944671</v>
      </c>
      <c r="P193" s="288">
        <v>24263.91474521601</v>
      </c>
      <c r="Q193" s="291">
        <v>74471.382601977035</v>
      </c>
      <c r="R193" s="288">
        <v>18517.916153706312</v>
      </c>
      <c r="S193" s="288">
        <v>8982.557234431808</v>
      </c>
      <c r="T193" s="290">
        <v>0.751</v>
      </c>
      <c r="U193" s="288">
        <v>0.75800000000000001</v>
      </c>
      <c r="V193" s="288">
        <v>0.723923076923077</v>
      </c>
      <c r="W193" s="288">
        <v>0.72750000000000004</v>
      </c>
      <c r="X193" s="288">
        <v>0.76</v>
      </c>
      <c r="Y193" s="288">
        <v>0</v>
      </c>
      <c r="Z193" s="289">
        <v>0</v>
      </c>
      <c r="AA193" s="229"/>
      <c r="AB193" s="52">
        <v>85153.275807933504</v>
      </c>
      <c r="AC193" s="288">
        <v>3.0772149695643893</v>
      </c>
      <c r="AD193" s="288">
        <v>74106.255989589496</v>
      </c>
      <c r="AE193" s="288">
        <v>2.9659706320616235</v>
      </c>
      <c r="AF193" s="288">
        <v>11047.019818344008</v>
      </c>
      <c r="AG193" s="289">
        <v>0.11124433750276586</v>
      </c>
      <c r="AH193" s="229"/>
      <c r="AI193" s="205">
        <f t="shared" si="18"/>
        <v>222568.22114850543</v>
      </c>
      <c r="AJ193" s="205">
        <f t="shared" si="19"/>
        <v>222490.80721657287</v>
      </c>
      <c r="AK193" s="205">
        <f t="shared" si="20"/>
        <v>77.413931932576816</v>
      </c>
      <c r="AL193" s="229"/>
      <c r="AM193" s="52">
        <f t="shared" si="4"/>
        <v>1</v>
      </c>
      <c r="AN193" s="52">
        <f t="shared" si="5"/>
        <v>0</v>
      </c>
      <c r="AO193" s="52">
        <f t="shared" si="6"/>
        <v>1</v>
      </c>
      <c r="AP193" s="229"/>
      <c r="AQ193" s="3"/>
      <c r="AR193" s="3"/>
      <c r="AS193" s="3"/>
      <c r="AT193" s="3"/>
      <c r="AU193" s="229"/>
      <c r="AV193" s="318">
        <f t="shared" si="21"/>
        <v>222568.22114850543</v>
      </c>
      <c r="AW193" s="229"/>
      <c r="AX193" s="312"/>
      <c r="AY193" s="14"/>
      <c r="AZ193" s="14">
        <f t="shared" si="23"/>
        <v>11047.019818344008</v>
      </c>
      <c r="BA193" s="14">
        <f t="shared" si="22"/>
        <v>0.11124433750276586</v>
      </c>
      <c r="BB193" s="14">
        <f t="shared" si="2"/>
        <v>99304.109012014625</v>
      </c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3"/>
      <c r="CT193" s="3"/>
      <c r="CU193" s="3"/>
      <c r="CV193" s="3"/>
      <c r="CW193" s="3"/>
    </row>
    <row r="194" spans="1:101" ht="14.25" customHeight="1" x14ac:dyDescent="0.2">
      <c r="A194" s="286"/>
      <c r="B194" s="52">
        <v>0.20163448961237684</v>
      </c>
      <c r="C194" s="288">
        <v>3.8045193053540788E-2</v>
      </c>
      <c r="D194" s="288">
        <v>1.5677705719094326E-2</v>
      </c>
      <c r="E194" s="288">
        <v>7.1380017864600877E-3</v>
      </c>
      <c r="F194" s="289">
        <v>0.80594576836901644</v>
      </c>
      <c r="G194" s="92">
        <v>0.47981389135758623</v>
      </c>
      <c r="H194" s="288">
        <v>0.32944825614316336</v>
      </c>
      <c r="I194" s="288">
        <v>1.6285195172689892E-2</v>
      </c>
      <c r="J194" s="288">
        <v>0.99995139263776345</v>
      </c>
      <c r="K194" s="288">
        <v>0.78248783725359505</v>
      </c>
      <c r="L194" s="290">
        <v>10586.846490084157</v>
      </c>
      <c r="M194" s="288">
        <v>0</v>
      </c>
      <c r="N194" s="288">
        <v>18840.97816434436</v>
      </c>
      <c r="O194" s="288">
        <v>1549.5037849477844</v>
      </c>
      <c r="P194" s="288">
        <v>36156.651878551769</v>
      </c>
      <c r="Q194" s="291">
        <v>93276.218827388366</v>
      </c>
      <c r="R194" s="288">
        <v>18957.834835696194</v>
      </c>
      <c r="S194" s="288">
        <v>9196.0995800660567</v>
      </c>
      <c r="T194" s="290">
        <v>0.751</v>
      </c>
      <c r="U194" s="288">
        <v>0.75800000000000001</v>
      </c>
      <c r="V194" s="288">
        <v>0.723923076923077</v>
      </c>
      <c r="W194" s="288">
        <v>0.72750000000000004</v>
      </c>
      <c r="X194" s="288">
        <v>0.76</v>
      </c>
      <c r="Y194" s="288">
        <v>0</v>
      </c>
      <c r="Z194" s="289">
        <v>0</v>
      </c>
      <c r="AA194" s="229"/>
      <c r="AB194" s="52">
        <v>84732.172383595171</v>
      </c>
      <c r="AC194" s="288">
        <v>3.2632789505743247</v>
      </c>
      <c r="AD194" s="288">
        <v>76609.216634203724</v>
      </c>
      <c r="AE194" s="288">
        <v>3.1585944314629382</v>
      </c>
      <c r="AF194" s="288">
        <v>8122.9557493914472</v>
      </c>
      <c r="AG194" s="289">
        <v>0.10468451911138654</v>
      </c>
      <c r="AH194" s="229"/>
      <c r="AI194" s="205">
        <f t="shared" si="18"/>
        <v>241595.7226738373</v>
      </c>
      <c r="AJ194" s="205">
        <f t="shared" si="19"/>
        <v>239250.22651209007</v>
      </c>
      <c r="AK194" s="205">
        <f t="shared" si="20"/>
        <v>2345.4961617472072</v>
      </c>
      <c r="AL194" s="229"/>
      <c r="AM194" s="52">
        <f t="shared" si="4"/>
        <v>1</v>
      </c>
      <c r="AN194" s="52">
        <f t="shared" si="5"/>
        <v>0</v>
      </c>
      <c r="AO194" s="52">
        <f t="shared" si="6"/>
        <v>1</v>
      </c>
      <c r="AP194" s="229"/>
      <c r="AQ194" s="3"/>
      <c r="AR194" s="3"/>
      <c r="AS194" s="3"/>
      <c r="AT194" s="3"/>
      <c r="AU194" s="229"/>
      <c r="AV194" s="318">
        <f t="shared" si="21"/>
        <v>241595.7226738373</v>
      </c>
      <c r="AW194" s="229"/>
      <c r="AX194" s="312"/>
      <c r="AY194" s="14"/>
      <c r="AZ194" s="14">
        <f t="shared" si="23"/>
        <v>8122.9557493914472</v>
      </c>
      <c r="BA194" s="14">
        <f t="shared" si="22"/>
        <v>0.10468451911138654</v>
      </c>
      <c r="BB194" s="14">
        <f t="shared" si="2"/>
        <v>77594.622570204971</v>
      </c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3"/>
      <c r="CT194" s="3"/>
      <c r="CU194" s="3"/>
      <c r="CV194" s="3"/>
      <c r="CW194" s="3"/>
    </row>
    <row r="195" spans="1:101" ht="14.25" customHeight="1" x14ac:dyDescent="0.2">
      <c r="A195" s="286"/>
      <c r="B195" s="52">
        <v>0.14094410667597029</v>
      </c>
      <c r="C195" s="288">
        <v>0.71670218239540651</v>
      </c>
      <c r="D195" s="288">
        <v>5.7057574886637203E-3</v>
      </c>
      <c r="E195" s="288">
        <v>1.3634181593000016E-2</v>
      </c>
      <c r="F195" s="289">
        <v>0.80480566102532392</v>
      </c>
      <c r="G195" s="92">
        <v>0.38353363082338143</v>
      </c>
      <c r="H195" s="288">
        <v>0.48185409272180402</v>
      </c>
      <c r="I195" s="288">
        <v>1.4465435871941889E-2</v>
      </c>
      <c r="J195" s="288">
        <v>0.99999999998648303</v>
      </c>
      <c r="K195" s="288">
        <v>0.76205295687089458</v>
      </c>
      <c r="L195" s="290">
        <v>13404.48685579948</v>
      </c>
      <c r="M195" s="288">
        <v>0</v>
      </c>
      <c r="N195" s="288">
        <v>16403.002053515032</v>
      </c>
      <c r="O195" s="288">
        <v>974.91888709019406</v>
      </c>
      <c r="P195" s="288">
        <v>41879.885930525219</v>
      </c>
      <c r="Q195" s="291">
        <v>91787.823091521728</v>
      </c>
      <c r="R195" s="288">
        <v>25677.72281662923</v>
      </c>
      <c r="S195" s="288">
        <v>12578.057825825455</v>
      </c>
      <c r="T195" s="290">
        <v>0.751</v>
      </c>
      <c r="U195" s="288">
        <v>0.75800000000000001</v>
      </c>
      <c r="V195" s="288">
        <v>0.723923076923077</v>
      </c>
      <c r="W195" s="288">
        <v>0.72750000000000004</v>
      </c>
      <c r="X195" s="288">
        <v>0.76</v>
      </c>
      <c r="Y195" s="288">
        <v>0</v>
      </c>
      <c r="Z195" s="289">
        <v>0</v>
      </c>
      <c r="AA195" s="229"/>
      <c r="AB195" s="52">
        <v>116449.95381542449</v>
      </c>
      <c r="AC195" s="288">
        <v>3.2579430492959864</v>
      </c>
      <c r="AD195" s="288">
        <v>101564.10305173235</v>
      </c>
      <c r="AE195" s="288">
        <v>3.0638338422875884</v>
      </c>
      <c r="AF195" s="288">
        <v>14885.850763692142</v>
      </c>
      <c r="AG195" s="289">
        <v>0.19410920700839807</v>
      </c>
      <c r="AH195" s="229"/>
      <c r="AI195" s="205">
        <f t="shared" si="18"/>
        <v>209344.35111417415</v>
      </c>
      <c r="AJ195" s="205">
        <f t="shared" si="19"/>
        <v>204819.28117702651</v>
      </c>
      <c r="AK195" s="205">
        <f t="shared" si="20"/>
        <v>4525.0699371476658</v>
      </c>
      <c r="AL195" s="229"/>
      <c r="AM195" s="52">
        <f t="shared" si="4"/>
        <v>1</v>
      </c>
      <c r="AN195" s="52">
        <f t="shared" si="5"/>
        <v>0</v>
      </c>
      <c r="AO195" s="52">
        <f t="shared" si="6"/>
        <v>1</v>
      </c>
      <c r="AP195" s="229"/>
      <c r="AQ195" s="3"/>
      <c r="AR195" s="3"/>
      <c r="AS195" s="3"/>
      <c r="AT195" s="3"/>
      <c r="AU195" s="229"/>
      <c r="AV195" s="318">
        <f t="shared" si="21"/>
        <v>209344.35111417415</v>
      </c>
      <c r="AW195" s="229"/>
      <c r="AX195" s="312"/>
      <c r="AY195" s="14"/>
      <c r="AZ195" s="14">
        <f t="shared" si="23"/>
        <v>14885.850763692142</v>
      </c>
      <c r="BA195" s="14">
        <f t="shared" si="22"/>
        <v>0.19410920700839807</v>
      </c>
      <c r="BB195" s="14">
        <f t="shared" si="2"/>
        <v>76688.020074432177</v>
      </c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3"/>
      <c r="CT195" s="3"/>
      <c r="CU195" s="3"/>
      <c r="CV195" s="3"/>
      <c r="CW195" s="3"/>
    </row>
    <row r="196" spans="1:101" ht="14.25" customHeight="1" x14ac:dyDescent="0.2">
      <c r="A196" s="286"/>
      <c r="B196" s="52">
        <v>0.12653110408552751</v>
      </c>
      <c r="C196" s="288">
        <v>0.1134739875334978</v>
      </c>
      <c r="D196" s="288">
        <v>2.0080934481864765E-2</v>
      </c>
      <c r="E196" s="288">
        <v>1.79610734946688E-2</v>
      </c>
      <c r="F196" s="289">
        <v>0.78637880168193919</v>
      </c>
      <c r="G196" s="92">
        <v>0.43337270578532372</v>
      </c>
      <c r="H196" s="288">
        <v>0.14489095229142934</v>
      </c>
      <c r="I196" s="288">
        <v>2.2521291528678211E-2</v>
      </c>
      <c r="J196" s="288">
        <v>0.99968615605776123</v>
      </c>
      <c r="K196" s="288">
        <v>0.78270959612011692</v>
      </c>
      <c r="L196" s="290">
        <v>12941.275179371822</v>
      </c>
      <c r="M196" s="288">
        <v>0</v>
      </c>
      <c r="N196" s="288">
        <v>26147.672228018197</v>
      </c>
      <c r="O196" s="288">
        <v>951.88045142419537</v>
      </c>
      <c r="P196" s="288">
        <v>41826.116274811706</v>
      </c>
      <c r="Q196" s="291">
        <v>133535.3672653214</v>
      </c>
      <c r="R196" s="288">
        <v>21804.942319791116</v>
      </c>
      <c r="S196" s="288">
        <v>7626.9269055242512</v>
      </c>
      <c r="T196" s="290">
        <v>0.751</v>
      </c>
      <c r="U196" s="288">
        <v>0.75800000000000001</v>
      </c>
      <c r="V196" s="288">
        <v>0.723923076923077</v>
      </c>
      <c r="W196" s="288">
        <v>0.72750000000000004</v>
      </c>
      <c r="X196" s="288">
        <v>0.76</v>
      </c>
      <c r="Y196" s="288">
        <v>0</v>
      </c>
      <c r="Z196" s="289">
        <v>0</v>
      </c>
      <c r="AA196" s="229"/>
      <c r="AB196" s="52">
        <v>73107.669664484361</v>
      </c>
      <c r="AC196" s="288">
        <v>3.1719849001201603</v>
      </c>
      <c r="AD196" s="288">
        <v>63268.368321143826</v>
      </c>
      <c r="AE196" s="288">
        <v>3.1596263815023398</v>
      </c>
      <c r="AF196" s="288">
        <v>9839.3013433405358</v>
      </c>
      <c r="AG196" s="289">
        <v>1.2358518617820557E-2</v>
      </c>
      <c r="AH196" s="229"/>
      <c r="AI196" s="205">
        <f t="shared" si="18"/>
        <v>244090.82034753167</v>
      </c>
      <c r="AJ196" s="205">
        <f t="shared" si="19"/>
        <v>252694.26982909013</v>
      </c>
      <c r="AK196" s="205">
        <f t="shared" si="20"/>
        <v>-8603.4494815584803</v>
      </c>
      <c r="AL196" s="229"/>
      <c r="AM196" s="52">
        <f t="shared" si="4"/>
        <v>0</v>
      </c>
      <c r="AN196" s="52">
        <f t="shared" si="5"/>
        <v>1</v>
      </c>
      <c r="AO196" s="52">
        <f t="shared" si="6"/>
        <v>0</v>
      </c>
      <c r="AP196" s="229"/>
      <c r="AQ196" s="3"/>
      <c r="AR196" s="3"/>
      <c r="AS196" s="3"/>
      <c r="AT196" s="3"/>
      <c r="AU196" s="229"/>
      <c r="AV196" s="318">
        <f t="shared" si="21"/>
        <v>252694.26982909013</v>
      </c>
      <c r="AW196" s="229"/>
      <c r="AX196" s="312"/>
      <c r="AY196" s="14"/>
      <c r="AZ196" s="14">
        <f t="shared" si="23"/>
        <v>9839.3013433405358</v>
      </c>
      <c r="BA196" s="14">
        <f t="shared" si="22"/>
        <v>1.2358518617820557E-2</v>
      </c>
      <c r="BB196" s="14">
        <f t="shared" si="2"/>
        <v>796155.40078991372</v>
      </c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3"/>
      <c r="CT196" s="3"/>
      <c r="CU196" s="3"/>
      <c r="CV196" s="3"/>
      <c r="CW196" s="3"/>
    </row>
    <row r="197" spans="1:101" ht="14.25" customHeight="1" x14ac:dyDescent="0.2">
      <c r="A197" s="286"/>
      <c r="B197" s="52">
        <v>0.15998373212669903</v>
      </c>
      <c r="C197" s="288">
        <v>0.64937618089704841</v>
      </c>
      <c r="D197" s="288">
        <v>1.3683481519480163E-2</v>
      </c>
      <c r="E197" s="288">
        <v>4.3828511447797595E-3</v>
      </c>
      <c r="F197" s="289">
        <v>0.77402307675675264</v>
      </c>
      <c r="G197" s="92">
        <v>0.37196678713641179</v>
      </c>
      <c r="H197" s="288">
        <v>0.49375366153361533</v>
      </c>
      <c r="I197" s="288">
        <v>2.0499926554775061E-2</v>
      </c>
      <c r="J197" s="288">
        <v>0.99679225521554671</v>
      </c>
      <c r="K197" s="288">
        <v>0.74304900090196269</v>
      </c>
      <c r="L197" s="290">
        <v>14180.969797595681</v>
      </c>
      <c r="M197" s="288">
        <v>0</v>
      </c>
      <c r="N197" s="288">
        <v>19801.843654035449</v>
      </c>
      <c r="O197" s="288">
        <v>1376.2425063394662</v>
      </c>
      <c r="P197" s="288">
        <v>37807.390872723445</v>
      </c>
      <c r="Q197" s="291">
        <v>97983.456139966162</v>
      </c>
      <c r="R197" s="288">
        <v>15799.700668097568</v>
      </c>
      <c r="S197" s="288">
        <v>8555.3153462735336</v>
      </c>
      <c r="T197" s="290">
        <v>0.751</v>
      </c>
      <c r="U197" s="288">
        <v>0.75800000000000001</v>
      </c>
      <c r="V197" s="288">
        <v>0.723923076923077</v>
      </c>
      <c r="W197" s="288">
        <v>0.72750000000000004</v>
      </c>
      <c r="X197" s="288">
        <v>0.76</v>
      </c>
      <c r="Y197" s="288">
        <v>0</v>
      </c>
      <c r="Z197" s="289">
        <v>0</v>
      </c>
      <c r="AA197" s="229"/>
      <c r="AB197" s="52">
        <v>81830.672581789695</v>
      </c>
      <c r="AC197" s="288">
        <v>3.114645837822017</v>
      </c>
      <c r="AD197" s="288">
        <v>68006.763046557244</v>
      </c>
      <c r="AE197" s="288">
        <v>2.9762994280208113</v>
      </c>
      <c r="AF197" s="288">
        <v>13823.909535232451</v>
      </c>
      <c r="AG197" s="289">
        <v>0.13834640980120572</v>
      </c>
      <c r="AH197" s="229"/>
      <c r="AI197" s="205">
        <f t="shared" si="18"/>
        <v>229633.911200412</v>
      </c>
      <c r="AJ197" s="205">
        <f t="shared" si="19"/>
        <v>229623.17975552386</v>
      </c>
      <c r="AK197" s="205">
        <f t="shared" si="20"/>
        <v>10.731444888120677</v>
      </c>
      <c r="AL197" s="229"/>
      <c r="AM197" s="52">
        <f t="shared" si="4"/>
        <v>1</v>
      </c>
      <c r="AN197" s="52">
        <f t="shared" si="5"/>
        <v>0</v>
      </c>
      <c r="AO197" s="52">
        <f t="shared" si="6"/>
        <v>1</v>
      </c>
      <c r="AP197" s="229"/>
      <c r="AQ197" s="3"/>
      <c r="AR197" s="3"/>
      <c r="AS197" s="3"/>
      <c r="AT197" s="3"/>
      <c r="AU197" s="229"/>
      <c r="AV197" s="318">
        <f t="shared" si="21"/>
        <v>229633.911200412</v>
      </c>
      <c r="AW197" s="229"/>
      <c r="AX197" s="312"/>
      <c r="AY197" s="14"/>
      <c r="AZ197" s="14">
        <f t="shared" si="23"/>
        <v>13823.909535232451</v>
      </c>
      <c r="BA197" s="14">
        <f t="shared" si="22"/>
        <v>0.13834640980120572</v>
      </c>
      <c r="BB197" s="14">
        <f t="shared" si="2"/>
        <v>99922.430622496526</v>
      </c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3"/>
      <c r="CT197" s="3"/>
      <c r="CU197" s="3"/>
      <c r="CV197" s="3"/>
      <c r="CW197" s="3"/>
    </row>
    <row r="198" spans="1:101" ht="14.25" customHeight="1" x14ac:dyDescent="0.2">
      <c r="A198" s="286"/>
      <c r="B198" s="52">
        <v>0.15331205119444016</v>
      </c>
      <c r="C198" s="288">
        <v>9.6347509738261214E-2</v>
      </c>
      <c r="D198" s="288">
        <v>1.3074884717460265E-2</v>
      </c>
      <c r="E198" s="288">
        <v>5.0912450527869323E-3</v>
      </c>
      <c r="F198" s="289">
        <v>0.78802031759255509</v>
      </c>
      <c r="G198" s="92">
        <v>0.36675613427942633</v>
      </c>
      <c r="H198" s="288">
        <v>0.5139833415435151</v>
      </c>
      <c r="I198" s="288">
        <v>2.3963915013055948E-2</v>
      </c>
      <c r="J198" s="288">
        <v>0.99991528738616176</v>
      </c>
      <c r="K198" s="288">
        <v>0.72461702478056833</v>
      </c>
      <c r="L198" s="290">
        <v>11968.291049944764</v>
      </c>
      <c r="M198" s="288">
        <v>0</v>
      </c>
      <c r="N198" s="288">
        <v>20443.487469763528</v>
      </c>
      <c r="O198" s="288">
        <v>1420.4754305785957</v>
      </c>
      <c r="P198" s="288">
        <v>36168.871053966264</v>
      </c>
      <c r="Q198" s="291">
        <v>118161.21437318179</v>
      </c>
      <c r="R198" s="288">
        <v>15525.569287434195</v>
      </c>
      <c r="S198" s="288">
        <v>7429.1049642624666</v>
      </c>
      <c r="T198" s="290">
        <v>0.751</v>
      </c>
      <c r="U198" s="288">
        <v>0.75800000000000001</v>
      </c>
      <c r="V198" s="288">
        <v>0.723923076923077</v>
      </c>
      <c r="W198" s="288">
        <v>0.72750000000000004</v>
      </c>
      <c r="X198" s="288">
        <v>0.76</v>
      </c>
      <c r="Y198" s="288">
        <v>0</v>
      </c>
      <c r="Z198" s="289">
        <v>0</v>
      </c>
      <c r="AA198" s="229"/>
      <c r="AB198" s="52">
        <v>70623.644181713724</v>
      </c>
      <c r="AC198" s="288">
        <v>3.1796206825021436</v>
      </c>
      <c r="AD198" s="288">
        <v>58606.05680945819</v>
      </c>
      <c r="AE198" s="288">
        <v>2.8919434395376844</v>
      </c>
      <c r="AF198" s="288">
        <v>12017.587372255533</v>
      </c>
      <c r="AG198" s="289">
        <v>0.28767724296445918</v>
      </c>
      <c r="AH198" s="229"/>
      <c r="AI198" s="205">
        <f t="shared" si="18"/>
        <v>247338.42406850061</v>
      </c>
      <c r="AJ198" s="205">
        <f t="shared" si="19"/>
        <v>230588.28714431025</v>
      </c>
      <c r="AK198" s="205">
        <f t="shared" si="20"/>
        <v>16750.136924190385</v>
      </c>
      <c r="AL198" s="229"/>
      <c r="AM198" s="52">
        <f t="shared" si="4"/>
        <v>1</v>
      </c>
      <c r="AN198" s="52">
        <f t="shared" si="5"/>
        <v>0</v>
      </c>
      <c r="AO198" s="52">
        <f t="shared" si="6"/>
        <v>1</v>
      </c>
      <c r="AP198" s="229"/>
      <c r="AQ198" s="3"/>
      <c r="AR198" s="3"/>
      <c r="AS198" s="3"/>
      <c r="AT198" s="3"/>
      <c r="AU198" s="229"/>
      <c r="AV198" s="318">
        <f t="shared" si="21"/>
        <v>247338.42406850061</v>
      </c>
      <c r="AW198" s="229"/>
      <c r="AX198" s="312"/>
      <c r="AY198" s="14"/>
      <c r="AZ198" s="14">
        <f t="shared" si="23"/>
        <v>12017.587372255533</v>
      </c>
      <c r="BA198" s="14">
        <f t="shared" si="22"/>
        <v>0.28767724296445918</v>
      </c>
      <c r="BB198" s="14">
        <f t="shared" si="2"/>
        <v>41774.550007559112</v>
      </c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3"/>
      <c r="CT198" s="3"/>
      <c r="CU198" s="3"/>
      <c r="CV198" s="3"/>
      <c r="CW198" s="3"/>
    </row>
    <row r="199" spans="1:101" ht="14.25" customHeight="1" x14ac:dyDescent="0.2">
      <c r="A199" s="286"/>
      <c r="B199" s="52">
        <v>0.17840383773367585</v>
      </c>
      <c r="C199" s="288">
        <v>0.17682466636790595</v>
      </c>
      <c r="D199" s="288">
        <v>2.9621165131718197E-2</v>
      </c>
      <c r="E199" s="288">
        <v>3.2899513098706423E-2</v>
      </c>
      <c r="F199" s="289">
        <v>0.82515043683717715</v>
      </c>
      <c r="G199" s="92">
        <v>0.49232982092945332</v>
      </c>
      <c r="H199" s="288">
        <v>0.40036875394462823</v>
      </c>
      <c r="I199" s="288">
        <v>1.4444751685943532E-2</v>
      </c>
      <c r="J199" s="288">
        <v>1</v>
      </c>
      <c r="K199" s="288">
        <v>0.76718321675587919</v>
      </c>
      <c r="L199" s="290">
        <v>15190.283010637208</v>
      </c>
      <c r="M199" s="288">
        <v>0</v>
      </c>
      <c r="N199" s="288">
        <v>19744.089506441913</v>
      </c>
      <c r="O199" s="288">
        <v>1337.3174071467579</v>
      </c>
      <c r="P199" s="288">
        <v>35667.266752532611</v>
      </c>
      <c r="Q199" s="291">
        <v>102216.93463238145</v>
      </c>
      <c r="R199" s="288">
        <v>20610.734768564256</v>
      </c>
      <c r="S199" s="288">
        <v>10508.631157471216</v>
      </c>
      <c r="T199" s="290">
        <v>0.751</v>
      </c>
      <c r="U199" s="288">
        <v>0.75800000000000001</v>
      </c>
      <c r="V199" s="288">
        <v>0.723923076923077</v>
      </c>
      <c r="W199" s="288">
        <v>0.72750000000000004</v>
      </c>
      <c r="X199" s="288">
        <v>0.76</v>
      </c>
      <c r="Y199" s="288">
        <v>0</v>
      </c>
      <c r="Z199" s="289">
        <v>0</v>
      </c>
      <c r="AA199" s="229"/>
      <c r="AB199" s="52">
        <v>102493.57335850212</v>
      </c>
      <c r="AC199" s="288">
        <v>3.353466567548657</v>
      </c>
      <c r="AD199" s="288">
        <v>86200.322312370539</v>
      </c>
      <c r="AE199" s="288">
        <v>3.0875619928933213</v>
      </c>
      <c r="AF199" s="288">
        <v>16293.251046131583</v>
      </c>
      <c r="AG199" s="289">
        <v>0.26590457465533568</v>
      </c>
      <c r="AH199" s="229"/>
      <c r="AI199" s="205">
        <f t="shared" si="18"/>
        <v>232853.0833963636</v>
      </c>
      <c r="AJ199" s="205">
        <f t="shared" si="19"/>
        <v>222555.87697696162</v>
      </c>
      <c r="AK199" s="205">
        <f t="shared" si="20"/>
        <v>10297.206419401984</v>
      </c>
      <c r="AL199" s="229"/>
      <c r="AM199" s="52">
        <f t="shared" si="4"/>
        <v>1</v>
      </c>
      <c r="AN199" s="52">
        <f t="shared" si="5"/>
        <v>0</v>
      </c>
      <c r="AO199" s="52">
        <f t="shared" si="6"/>
        <v>1</v>
      </c>
      <c r="AP199" s="229"/>
      <c r="AQ199" s="3"/>
      <c r="AR199" s="3"/>
      <c r="AS199" s="3"/>
      <c r="AT199" s="3"/>
      <c r="AU199" s="229"/>
      <c r="AV199" s="318">
        <f t="shared" si="21"/>
        <v>232853.0833963636</v>
      </c>
      <c r="AW199" s="229"/>
      <c r="AX199" s="312"/>
      <c r="AY199" s="14"/>
      <c r="AZ199" s="14">
        <f t="shared" si="23"/>
        <v>16293.251046131583</v>
      </c>
      <c r="BA199" s="14">
        <f t="shared" si="22"/>
        <v>0.26590457465533568</v>
      </c>
      <c r="BB199" s="14">
        <f t="shared" si="2"/>
        <v>61274.80532161142</v>
      </c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3"/>
      <c r="CT199" s="3"/>
      <c r="CU199" s="3"/>
      <c r="CV199" s="3"/>
      <c r="CW199" s="3"/>
    </row>
    <row r="200" spans="1:101" ht="14.25" customHeight="1" x14ac:dyDescent="0.2">
      <c r="A200" s="286"/>
      <c r="B200" s="52">
        <v>0.18700787648533146</v>
      </c>
      <c r="C200" s="288">
        <v>2.7598662891321339E-2</v>
      </c>
      <c r="D200" s="288">
        <v>1.2786081785355181E-2</v>
      </c>
      <c r="E200" s="288">
        <v>1.3377456931243726E-2</v>
      </c>
      <c r="F200" s="289">
        <v>0.78318269002363994</v>
      </c>
      <c r="G200" s="92">
        <v>0.4429201526266926</v>
      </c>
      <c r="H200" s="288">
        <v>0.18177415357719306</v>
      </c>
      <c r="I200" s="288">
        <v>2.0463135619278483E-2</v>
      </c>
      <c r="J200" s="288">
        <v>0.96694796989188891</v>
      </c>
      <c r="K200" s="288">
        <v>0.80307748041380722</v>
      </c>
      <c r="L200" s="290">
        <v>12282.358234348876</v>
      </c>
      <c r="M200" s="288">
        <v>0</v>
      </c>
      <c r="N200" s="288">
        <v>16303.920684963561</v>
      </c>
      <c r="O200" s="288">
        <v>1072.9795504735373</v>
      </c>
      <c r="P200" s="288">
        <v>42598.407967054503</v>
      </c>
      <c r="Q200" s="291">
        <v>116989.14110743307</v>
      </c>
      <c r="R200" s="288">
        <v>30078.250895821711</v>
      </c>
      <c r="S200" s="288">
        <v>7210.2596709616</v>
      </c>
      <c r="T200" s="290">
        <v>0.751</v>
      </c>
      <c r="U200" s="288">
        <v>0.75800000000000001</v>
      </c>
      <c r="V200" s="288">
        <v>0.723923076923077</v>
      </c>
      <c r="W200" s="288">
        <v>0.72750000000000004</v>
      </c>
      <c r="X200" s="288">
        <v>0.76</v>
      </c>
      <c r="Y200" s="288">
        <v>0</v>
      </c>
      <c r="Z200" s="289">
        <v>0</v>
      </c>
      <c r="AA200" s="229"/>
      <c r="AB200" s="52">
        <v>68837.587042171304</v>
      </c>
      <c r="AC200" s="288">
        <v>3.157129784608522</v>
      </c>
      <c r="AD200" s="288">
        <v>62170.614509216481</v>
      </c>
      <c r="AE200" s="288">
        <v>3.2547383999632338</v>
      </c>
      <c r="AF200" s="288">
        <v>6666.9725329548237</v>
      </c>
      <c r="AG200" s="289">
        <v>-9.760861535471177E-2</v>
      </c>
      <c r="AH200" s="229"/>
      <c r="AI200" s="205">
        <f t="shared" si="18"/>
        <v>246875.39141868087</v>
      </c>
      <c r="AJ200" s="205">
        <f t="shared" si="19"/>
        <v>263303.22548710695</v>
      </c>
      <c r="AK200" s="205">
        <f t="shared" si="20"/>
        <v>-16427.834068426</v>
      </c>
      <c r="AL200" s="229"/>
      <c r="AM200" s="52">
        <f t="shared" si="4"/>
        <v>0</v>
      </c>
      <c r="AN200" s="52">
        <f t="shared" si="5"/>
        <v>1</v>
      </c>
      <c r="AO200" s="52">
        <f t="shared" si="6"/>
        <v>0</v>
      </c>
      <c r="AP200" s="229"/>
      <c r="AQ200" s="3"/>
      <c r="AR200" s="3"/>
      <c r="AS200" s="3"/>
      <c r="AT200" s="3"/>
      <c r="AU200" s="229"/>
      <c r="AV200" s="318">
        <f t="shared" si="21"/>
        <v>263303.22548710695</v>
      </c>
      <c r="AW200" s="229"/>
      <c r="AX200" s="312"/>
      <c r="AY200" s="14"/>
      <c r="AZ200" s="14">
        <f t="shared" si="23"/>
        <v>6666.9725329548237</v>
      </c>
      <c r="BA200" s="14">
        <f t="shared" si="22"/>
        <v>-9.760861535471177E-2</v>
      </c>
      <c r="BB200" s="14">
        <f t="shared" si="2"/>
        <v>-68303.1155469925</v>
      </c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3"/>
      <c r="CT200" s="3"/>
      <c r="CU200" s="3"/>
      <c r="CV200" s="3"/>
      <c r="CW200" s="3"/>
    </row>
    <row r="201" spans="1:101" ht="14.25" customHeight="1" x14ac:dyDescent="0.2">
      <c r="A201" s="286"/>
      <c r="B201" s="52">
        <v>0.14748249357888596</v>
      </c>
      <c r="C201" s="288">
        <v>0.11731356994589417</v>
      </c>
      <c r="D201" s="288">
        <v>8.1188363498270293E-3</v>
      </c>
      <c r="E201" s="288">
        <v>1.2548945039209671E-2</v>
      </c>
      <c r="F201" s="289">
        <v>0.73092797797249964</v>
      </c>
      <c r="G201" s="92">
        <v>0.39109435470406778</v>
      </c>
      <c r="H201" s="288">
        <v>0.11838932567652492</v>
      </c>
      <c r="I201" s="288">
        <v>7.0058622525536896E-3</v>
      </c>
      <c r="J201" s="288">
        <v>0.9999062755340955</v>
      </c>
      <c r="K201" s="288">
        <v>0.80897876700024629</v>
      </c>
      <c r="L201" s="290">
        <v>8799.5121615841254</v>
      </c>
      <c r="M201" s="288">
        <v>0</v>
      </c>
      <c r="N201" s="288">
        <v>25616.71816951274</v>
      </c>
      <c r="O201" s="288">
        <v>1498.3223010370423</v>
      </c>
      <c r="P201" s="288">
        <v>32660.84999813524</v>
      </c>
      <c r="Q201" s="291">
        <v>108556.84193291712</v>
      </c>
      <c r="R201" s="288">
        <v>36094.499722378394</v>
      </c>
      <c r="S201" s="288">
        <v>9233.1148221677759</v>
      </c>
      <c r="T201" s="290">
        <v>0.751</v>
      </c>
      <c r="U201" s="288">
        <v>0.75800000000000001</v>
      </c>
      <c r="V201" s="288">
        <v>0.723923076923077</v>
      </c>
      <c r="W201" s="288">
        <v>0.72750000000000004</v>
      </c>
      <c r="X201" s="288">
        <v>0.76</v>
      </c>
      <c r="Y201" s="288">
        <v>0</v>
      </c>
      <c r="Z201" s="289">
        <v>0</v>
      </c>
      <c r="AA201" s="229"/>
      <c r="AB201" s="52">
        <v>76603.815461095015</v>
      </c>
      <c r="AC201" s="288">
        <v>2.9165290271922681</v>
      </c>
      <c r="AD201" s="288">
        <v>77195.603141664338</v>
      </c>
      <c r="AE201" s="288">
        <v>3.2824178462071036</v>
      </c>
      <c r="AF201" s="288">
        <v>-591.78768056932313</v>
      </c>
      <c r="AG201" s="289">
        <v>-0.3658888190148355</v>
      </c>
      <c r="AH201" s="229"/>
      <c r="AI201" s="205">
        <f t="shared" si="18"/>
        <v>215049.08725813183</v>
      </c>
      <c r="AJ201" s="205">
        <f t="shared" si="19"/>
        <v>251046.181479046</v>
      </c>
      <c r="AK201" s="205">
        <f t="shared" si="20"/>
        <v>-35997.094220914223</v>
      </c>
      <c r="AL201" s="229"/>
      <c r="AM201" s="52">
        <f t="shared" si="4"/>
        <v>0</v>
      </c>
      <c r="AN201" s="52">
        <f t="shared" si="5"/>
        <v>1</v>
      </c>
      <c r="AO201" s="52">
        <f t="shared" si="6"/>
        <v>0</v>
      </c>
      <c r="AP201" s="229"/>
      <c r="AQ201" s="3"/>
      <c r="AR201" s="3"/>
      <c r="AS201" s="3"/>
      <c r="AT201" s="3"/>
      <c r="AU201" s="229"/>
      <c r="AV201" s="318">
        <f t="shared" si="21"/>
        <v>251046.181479046</v>
      </c>
      <c r="AW201" s="229"/>
      <c r="AX201" s="312"/>
      <c r="AY201" s="14"/>
      <c r="AZ201" s="14">
        <f t="shared" si="23"/>
        <v>-591.78768056932313</v>
      </c>
      <c r="BA201" s="14">
        <f t="shared" si="22"/>
        <v>-0.3658888190148355</v>
      </c>
      <c r="BB201" s="14">
        <f t="shared" si="2"/>
        <v>1617.3975530674202</v>
      </c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3"/>
      <c r="CT201" s="3"/>
      <c r="CU201" s="3"/>
      <c r="CV201" s="3"/>
      <c r="CW201" s="3"/>
    </row>
    <row r="202" spans="1:101" ht="14.25" customHeight="1" x14ac:dyDescent="0.2">
      <c r="A202" s="286"/>
      <c r="B202" s="52">
        <v>0.16474560078872824</v>
      </c>
      <c r="C202" s="288">
        <v>0.90525525226447878</v>
      </c>
      <c r="D202" s="288">
        <v>1.0875511847686857E-2</v>
      </c>
      <c r="E202" s="288">
        <v>1.205361331921794E-2</v>
      </c>
      <c r="F202" s="289">
        <v>0.81945924915572976</v>
      </c>
      <c r="G202" s="92">
        <v>0.44344250273871866</v>
      </c>
      <c r="H202" s="288">
        <v>0.34131502220992038</v>
      </c>
      <c r="I202" s="288">
        <v>2.0135742859154537E-2</v>
      </c>
      <c r="J202" s="288">
        <v>0.99999929336706328</v>
      </c>
      <c r="K202" s="288">
        <v>0.80095551434820345</v>
      </c>
      <c r="L202" s="290">
        <v>9566.3252141477733</v>
      </c>
      <c r="M202" s="288">
        <v>0</v>
      </c>
      <c r="N202" s="288">
        <v>22513.850455692205</v>
      </c>
      <c r="O202" s="288">
        <v>1201.1297138095244</v>
      </c>
      <c r="P202" s="288">
        <v>45805.416478493105</v>
      </c>
      <c r="Q202" s="291">
        <v>83302.431583452271</v>
      </c>
      <c r="R202" s="288">
        <v>22724.804601400239</v>
      </c>
      <c r="S202" s="288">
        <v>6826.5391977557947</v>
      </c>
      <c r="T202" s="290">
        <v>0.751</v>
      </c>
      <c r="U202" s="288">
        <v>0.75800000000000001</v>
      </c>
      <c r="V202" s="288">
        <v>0.723923076923077</v>
      </c>
      <c r="W202" s="288">
        <v>0.72750000000000004</v>
      </c>
      <c r="X202" s="288">
        <v>0.76</v>
      </c>
      <c r="Y202" s="288">
        <v>0</v>
      </c>
      <c r="Z202" s="289">
        <v>0</v>
      </c>
      <c r="AA202" s="229"/>
      <c r="AB202" s="52">
        <v>68698.124983780726</v>
      </c>
      <c r="AC202" s="288">
        <v>3.3266796962526497</v>
      </c>
      <c r="AD202" s="288">
        <v>59962.334400148815</v>
      </c>
      <c r="AE202" s="288">
        <v>3.2447989296441819</v>
      </c>
      <c r="AF202" s="288">
        <v>8735.7905836319114</v>
      </c>
      <c r="AG202" s="289">
        <v>8.188076660846777E-2</v>
      </c>
      <c r="AH202" s="229"/>
      <c r="AI202" s="205">
        <f t="shared" si="18"/>
        <v>263969.84464148426</v>
      </c>
      <c r="AJ202" s="205">
        <f t="shared" si="19"/>
        <v>264517.55856426939</v>
      </c>
      <c r="AK202" s="205">
        <f t="shared" si="20"/>
        <v>-547.71392278513486</v>
      </c>
      <c r="AL202" s="229"/>
      <c r="AM202" s="52">
        <f t="shared" si="4"/>
        <v>0</v>
      </c>
      <c r="AN202" s="52">
        <f t="shared" si="5"/>
        <v>1</v>
      </c>
      <c r="AO202" s="52">
        <f t="shared" si="6"/>
        <v>0</v>
      </c>
      <c r="AP202" s="229"/>
      <c r="AQ202" s="3"/>
      <c r="AR202" s="3"/>
      <c r="AS202" s="3"/>
      <c r="AT202" s="3"/>
      <c r="AU202" s="229"/>
      <c r="AV202" s="318">
        <f t="shared" si="21"/>
        <v>264517.55856426939</v>
      </c>
      <c r="AW202" s="229"/>
      <c r="AX202" s="312"/>
      <c r="AY202" s="14"/>
      <c r="AZ202" s="14">
        <f t="shared" si="23"/>
        <v>8735.7905836319114</v>
      </c>
      <c r="BA202" s="14">
        <f t="shared" si="22"/>
        <v>8.188076660846777E-2</v>
      </c>
      <c r="BB202" s="14">
        <f t="shared" si="2"/>
        <v>106689.16456784238</v>
      </c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3"/>
      <c r="CT202" s="3"/>
      <c r="CU202" s="3"/>
      <c r="CV202" s="3"/>
      <c r="CW202" s="3"/>
    </row>
    <row r="203" spans="1:101" ht="14.25" customHeight="1" x14ac:dyDescent="0.2">
      <c r="A203" s="286"/>
      <c r="B203" s="52">
        <v>0.14426606694174171</v>
      </c>
      <c r="C203" s="288">
        <v>5.3403446425549048E-2</v>
      </c>
      <c r="D203" s="288">
        <v>1.5372844645327399E-2</v>
      </c>
      <c r="E203" s="288">
        <v>2.18750368568007E-2</v>
      </c>
      <c r="F203" s="289">
        <v>0.82509869648627487</v>
      </c>
      <c r="G203" s="92">
        <v>0.39223225723901411</v>
      </c>
      <c r="H203" s="288">
        <v>0.16356914971172687</v>
      </c>
      <c r="I203" s="288">
        <v>2.8298494990933287E-2</v>
      </c>
      <c r="J203" s="288">
        <v>0.75568506851078376</v>
      </c>
      <c r="K203" s="288">
        <v>0.75171704646209092</v>
      </c>
      <c r="L203" s="290">
        <v>11935.337393343594</v>
      </c>
      <c r="M203" s="288">
        <v>0</v>
      </c>
      <c r="N203" s="288">
        <v>22060.978250827553</v>
      </c>
      <c r="O203" s="288">
        <v>1338.3582831696649</v>
      </c>
      <c r="P203" s="288">
        <v>50491.625714520203</v>
      </c>
      <c r="Q203" s="291">
        <v>75148.479693962116</v>
      </c>
      <c r="R203" s="288">
        <v>19790.95960717112</v>
      </c>
      <c r="S203" s="288">
        <v>7273.0571587064624</v>
      </c>
      <c r="T203" s="290">
        <v>0.751</v>
      </c>
      <c r="U203" s="288">
        <v>0.75800000000000001</v>
      </c>
      <c r="V203" s="288">
        <v>0.723923076923077</v>
      </c>
      <c r="W203" s="288">
        <v>0.72750000000000004</v>
      </c>
      <c r="X203" s="288">
        <v>0.76</v>
      </c>
      <c r="Y203" s="288">
        <v>0</v>
      </c>
      <c r="Z203" s="289">
        <v>0</v>
      </c>
      <c r="AA203" s="229"/>
      <c r="AB203" s="52">
        <v>71874.592408100085</v>
      </c>
      <c r="AC203" s="288">
        <v>3.3532228109665576</v>
      </c>
      <c r="AD203" s="288">
        <v>57730.387760669073</v>
      </c>
      <c r="AE203" s="288">
        <v>3.0161548363639628</v>
      </c>
      <c r="AF203" s="288">
        <v>14144.204647431012</v>
      </c>
      <c r="AG203" s="289">
        <v>0.33706797460259486</v>
      </c>
      <c r="AH203" s="229"/>
      <c r="AI203" s="205">
        <f t="shared" si="18"/>
        <v>263447.68868855567</v>
      </c>
      <c r="AJ203" s="205">
        <f t="shared" si="19"/>
        <v>243885.09587572722</v>
      </c>
      <c r="AK203" s="205">
        <f t="shared" si="20"/>
        <v>19562.592812828472</v>
      </c>
      <c r="AL203" s="229"/>
      <c r="AM203" s="52">
        <f t="shared" si="4"/>
        <v>1</v>
      </c>
      <c r="AN203" s="52">
        <f t="shared" si="5"/>
        <v>0</v>
      </c>
      <c r="AO203" s="52">
        <f t="shared" si="6"/>
        <v>1</v>
      </c>
      <c r="AP203" s="229"/>
      <c r="AQ203" s="3"/>
      <c r="AR203" s="3"/>
      <c r="AS203" s="3"/>
      <c r="AT203" s="3"/>
      <c r="AU203" s="229"/>
      <c r="AV203" s="318">
        <f t="shared" si="21"/>
        <v>263447.68868855567</v>
      </c>
      <c r="AW203" s="229"/>
      <c r="AX203" s="312"/>
      <c r="AY203" s="14"/>
      <c r="AZ203" s="14">
        <f t="shared" si="23"/>
        <v>14144.204647431012</v>
      </c>
      <c r="BA203" s="14">
        <f t="shared" si="22"/>
        <v>0.33706797460259486</v>
      </c>
      <c r="BB203" s="14">
        <f t="shared" si="2"/>
        <v>41962.469629774569</v>
      </c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3"/>
      <c r="CT203" s="3"/>
      <c r="CU203" s="3"/>
      <c r="CV203" s="3"/>
      <c r="CW203" s="3"/>
    </row>
    <row r="204" spans="1:101" ht="14.25" customHeight="1" x14ac:dyDescent="0.2">
      <c r="A204" s="286"/>
      <c r="B204" s="52">
        <v>0.16685892858969109</v>
      </c>
      <c r="C204" s="288">
        <v>0.79939923448660533</v>
      </c>
      <c r="D204" s="288">
        <v>1.5564705581871063E-2</v>
      </c>
      <c r="E204" s="288">
        <v>2.283657774807768E-2</v>
      </c>
      <c r="F204" s="289">
        <v>0.76176781098072255</v>
      </c>
      <c r="G204" s="92">
        <v>0.4118138799410942</v>
      </c>
      <c r="H204" s="288">
        <v>4.510234072558207E-3</v>
      </c>
      <c r="I204" s="288">
        <v>1.5707296695278674E-2</v>
      </c>
      <c r="J204" s="288">
        <v>0.99999982702138546</v>
      </c>
      <c r="K204" s="288">
        <v>0.80663047408945987</v>
      </c>
      <c r="L204" s="290">
        <v>15694.803508325829</v>
      </c>
      <c r="M204" s="288">
        <v>0</v>
      </c>
      <c r="N204" s="288">
        <v>23262.20842820824</v>
      </c>
      <c r="O204" s="288">
        <v>1120.1071894382301</v>
      </c>
      <c r="P204" s="288">
        <v>36560.256539973947</v>
      </c>
      <c r="Q204" s="291">
        <v>88097.200859075703</v>
      </c>
      <c r="R204" s="288">
        <v>19668.326526996461</v>
      </c>
      <c r="S204" s="288">
        <v>9807.972932567116</v>
      </c>
      <c r="T204" s="290">
        <v>0.751</v>
      </c>
      <c r="U204" s="288">
        <v>0.75800000000000001</v>
      </c>
      <c r="V204" s="288">
        <v>0.723923076923077</v>
      </c>
      <c r="W204" s="288">
        <v>0.72750000000000004</v>
      </c>
      <c r="X204" s="288">
        <v>0.76</v>
      </c>
      <c r="Y204" s="288">
        <v>0</v>
      </c>
      <c r="Z204" s="289">
        <v>0</v>
      </c>
      <c r="AA204" s="229"/>
      <c r="AB204" s="52">
        <v>92721.464742721742</v>
      </c>
      <c r="AC204" s="288">
        <v>3.0580095160363188</v>
      </c>
      <c r="AD204" s="288">
        <v>80444.729384686681</v>
      </c>
      <c r="AE204" s="288">
        <v>3.2713968168925782</v>
      </c>
      <c r="AF204" s="288">
        <v>12276.735358035061</v>
      </c>
      <c r="AG204" s="289">
        <v>-0.21338730085625945</v>
      </c>
      <c r="AH204" s="229"/>
      <c r="AI204" s="205">
        <f t="shared" si="18"/>
        <v>213079.48686091014</v>
      </c>
      <c r="AJ204" s="205">
        <f t="shared" si="19"/>
        <v>246694.95230457117</v>
      </c>
      <c r="AK204" s="205">
        <f t="shared" si="20"/>
        <v>-33615.465443661007</v>
      </c>
      <c r="AL204" s="229"/>
      <c r="AM204" s="52">
        <f t="shared" si="4"/>
        <v>0</v>
      </c>
      <c r="AN204" s="52">
        <f t="shared" si="5"/>
        <v>1</v>
      </c>
      <c r="AO204" s="52">
        <f t="shared" si="6"/>
        <v>0</v>
      </c>
      <c r="AP204" s="229"/>
      <c r="AQ204" s="3"/>
      <c r="AR204" s="3"/>
      <c r="AS204" s="3"/>
      <c r="AT204" s="3"/>
      <c r="AU204" s="229"/>
      <c r="AV204" s="318">
        <f t="shared" si="21"/>
        <v>246694.95230457117</v>
      </c>
      <c r="AW204" s="229"/>
      <c r="AX204" s="312"/>
      <c r="AY204" s="14"/>
      <c r="AZ204" s="14">
        <f t="shared" si="23"/>
        <v>12276.735358035061</v>
      </c>
      <c r="BA204" s="14">
        <f t="shared" si="22"/>
        <v>-0.21338730085625945</v>
      </c>
      <c r="BB204" s="14">
        <f t="shared" si="2"/>
        <v>-57532.642799136556</v>
      </c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3"/>
      <c r="CT204" s="3"/>
      <c r="CU204" s="3"/>
      <c r="CV204" s="3"/>
      <c r="CW204" s="3"/>
    </row>
    <row r="205" spans="1:101" ht="14.25" customHeight="1" x14ac:dyDescent="0.2">
      <c r="A205" s="286"/>
      <c r="B205" s="52">
        <v>0.20623659932003757</v>
      </c>
      <c r="C205" s="288">
        <v>0.76507852395175857</v>
      </c>
      <c r="D205" s="288">
        <v>7.6018304769539064E-3</v>
      </c>
      <c r="E205" s="288">
        <v>2.2282169201466417E-2</v>
      </c>
      <c r="F205" s="289">
        <v>0.76427941248813891</v>
      </c>
      <c r="G205" s="92">
        <v>0.40317917676094517</v>
      </c>
      <c r="H205" s="288">
        <v>6.3091386965723778E-2</v>
      </c>
      <c r="I205" s="288">
        <v>1.2165130728534915E-3</v>
      </c>
      <c r="J205" s="288">
        <v>0.99952867572868409</v>
      </c>
      <c r="K205" s="288">
        <v>0.7677444546048805</v>
      </c>
      <c r="L205" s="290">
        <v>12277.532448771452</v>
      </c>
      <c r="M205" s="288">
        <v>0</v>
      </c>
      <c r="N205" s="288">
        <v>24987.359299473508</v>
      </c>
      <c r="O205" s="288">
        <v>1097.6023552990014</v>
      </c>
      <c r="P205" s="288">
        <v>51312.444775977478</v>
      </c>
      <c r="Q205" s="291">
        <v>83580.787018756018</v>
      </c>
      <c r="R205" s="288">
        <v>29192.653835381188</v>
      </c>
      <c r="S205" s="288">
        <v>9032.2337360984075</v>
      </c>
      <c r="T205" s="290">
        <v>0.751</v>
      </c>
      <c r="U205" s="288">
        <v>0.75800000000000001</v>
      </c>
      <c r="V205" s="288">
        <v>0.723923076923077</v>
      </c>
      <c r="W205" s="288">
        <v>0.72750000000000004</v>
      </c>
      <c r="X205" s="288">
        <v>0.76</v>
      </c>
      <c r="Y205" s="288">
        <v>0</v>
      </c>
      <c r="Z205" s="289">
        <v>0</v>
      </c>
      <c r="AA205" s="229"/>
      <c r="AB205" s="52">
        <v>85600.792742117672</v>
      </c>
      <c r="AC205" s="288">
        <v>3.0695974054164012</v>
      </c>
      <c r="AD205" s="288">
        <v>70420.710579124076</v>
      </c>
      <c r="AE205" s="288">
        <v>3.0901603118692345</v>
      </c>
      <c r="AF205" s="288">
        <v>15180.082162993596</v>
      </c>
      <c r="AG205" s="289">
        <v>-2.0562906452833207E-2</v>
      </c>
      <c r="AH205" s="229"/>
      <c r="AI205" s="205">
        <f t="shared" si="18"/>
        <v>221358.94779952249</v>
      </c>
      <c r="AJ205" s="205">
        <f t="shared" si="19"/>
        <v>238595.32060779937</v>
      </c>
      <c r="AK205" s="205">
        <f t="shared" si="20"/>
        <v>-17236.372808276916</v>
      </c>
      <c r="AL205" s="229"/>
      <c r="AM205" s="52">
        <f t="shared" si="4"/>
        <v>0</v>
      </c>
      <c r="AN205" s="52">
        <f t="shared" si="5"/>
        <v>1</v>
      </c>
      <c r="AO205" s="52">
        <f t="shared" si="6"/>
        <v>0</v>
      </c>
      <c r="AP205" s="229"/>
      <c r="AQ205" s="3"/>
      <c r="AR205" s="3"/>
      <c r="AS205" s="3"/>
      <c r="AT205" s="3"/>
      <c r="AU205" s="229"/>
      <c r="AV205" s="318">
        <f t="shared" si="21"/>
        <v>238595.32060779937</v>
      </c>
      <c r="AW205" s="229"/>
      <c r="AX205" s="312"/>
      <c r="AY205" s="14"/>
      <c r="AZ205" s="14">
        <f t="shared" si="23"/>
        <v>15180.082162993596</v>
      </c>
      <c r="BA205" s="14">
        <f t="shared" si="22"/>
        <v>-2.0562906452833207E-2</v>
      </c>
      <c r="BB205" s="14">
        <f t="shared" si="2"/>
        <v>-738226.48553176911</v>
      </c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3"/>
      <c r="CT205" s="3"/>
      <c r="CU205" s="3"/>
      <c r="CV205" s="3"/>
      <c r="CW205" s="3"/>
    </row>
    <row r="206" spans="1:101" ht="14.25" customHeight="1" x14ac:dyDescent="0.2">
      <c r="A206" s="286"/>
      <c r="B206" s="52">
        <v>0.17076313546584831</v>
      </c>
      <c r="C206" s="288">
        <v>0.46513726957348833</v>
      </c>
      <c r="D206" s="288">
        <v>1.575941714512652E-2</v>
      </c>
      <c r="E206" s="288">
        <v>1.6949264701213385E-2</v>
      </c>
      <c r="F206" s="289">
        <v>0.81745973073999556</v>
      </c>
      <c r="G206" s="92">
        <v>0.36605551262984826</v>
      </c>
      <c r="H206" s="288">
        <v>0.44029345265082748</v>
      </c>
      <c r="I206" s="288">
        <v>1.9727812769274933E-2</v>
      </c>
      <c r="J206" s="288">
        <v>1</v>
      </c>
      <c r="K206" s="288">
        <v>0.73114342861935933</v>
      </c>
      <c r="L206" s="290">
        <v>12751.610054923402</v>
      </c>
      <c r="M206" s="288">
        <v>0</v>
      </c>
      <c r="N206" s="288">
        <v>14300.981209539896</v>
      </c>
      <c r="O206" s="288">
        <v>1235.8161144779547</v>
      </c>
      <c r="P206" s="288">
        <v>42137.588730498384</v>
      </c>
      <c r="Q206" s="291">
        <v>132141.99578982667</v>
      </c>
      <c r="R206" s="288">
        <v>21293.751172701552</v>
      </c>
      <c r="S206" s="288">
        <v>11057.815027780343</v>
      </c>
      <c r="T206" s="290">
        <v>0.751</v>
      </c>
      <c r="U206" s="288">
        <v>0.75800000000000001</v>
      </c>
      <c r="V206" s="288">
        <v>0.723923076923077</v>
      </c>
      <c r="W206" s="288">
        <v>0.72750000000000004</v>
      </c>
      <c r="X206" s="288">
        <v>0.76</v>
      </c>
      <c r="Y206" s="288">
        <v>0</v>
      </c>
      <c r="Z206" s="289">
        <v>0</v>
      </c>
      <c r="AA206" s="229"/>
      <c r="AB206" s="52">
        <v>104522.06764502273</v>
      </c>
      <c r="AC206" s="288">
        <v>3.3172805672992918</v>
      </c>
      <c r="AD206" s="288">
        <v>85868.411955007396</v>
      </c>
      <c r="AE206" s="288">
        <v>2.9217510147234589</v>
      </c>
      <c r="AF206" s="288">
        <v>18653.655690015337</v>
      </c>
      <c r="AG206" s="289">
        <v>0.39552955257583289</v>
      </c>
      <c r="AH206" s="229"/>
      <c r="AI206" s="205">
        <f t="shared" ref="AI206:AI269" si="24">AC206*cRatio-AB206</f>
        <v>227205.98908490644</v>
      </c>
      <c r="AJ206" s="205">
        <f t="shared" ref="AJ206:AJ269" si="25">AE206*cRatio-AD206</f>
        <v>206306.68951733847</v>
      </c>
      <c r="AK206" s="205">
        <f t="shared" ref="AK206:AK269" si="26">AG206*cRatio-AF206</f>
        <v>20899.299567567949</v>
      </c>
      <c r="AL206" s="229"/>
      <c r="AM206" s="52">
        <f t="shared" si="4"/>
        <v>1</v>
      </c>
      <c r="AN206" s="52">
        <f t="shared" si="5"/>
        <v>0</v>
      </c>
      <c r="AO206" s="52">
        <f t="shared" si="6"/>
        <v>1</v>
      </c>
      <c r="AP206" s="229"/>
      <c r="AQ206" s="3"/>
      <c r="AR206" s="3"/>
      <c r="AS206" s="3"/>
      <c r="AT206" s="3"/>
      <c r="AU206" s="229"/>
      <c r="AV206" s="318">
        <f t="shared" si="21"/>
        <v>227205.98908490644</v>
      </c>
      <c r="AW206" s="229"/>
      <c r="AX206" s="312"/>
      <c r="AY206" s="14"/>
      <c r="AZ206" s="14">
        <f t="shared" si="23"/>
        <v>18653.655690015337</v>
      </c>
      <c r="BA206" s="14">
        <f t="shared" si="22"/>
        <v>0.39552955257583289</v>
      </c>
      <c r="BB206" s="14">
        <f t="shared" si="2"/>
        <v>47161.218595515602</v>
      </c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3"/>
      <c r="CT206" s="3"/>
      <c r="CU206" s="3"/>
      <c r="CV206" s="3"/>
      <c r="CW206" s="3"/>
    </row>
    <row r="207" spans="1:101" ht="14.25" customHeight="1" x14ac:dyDescent="0.2">
      <c r="A207" s="286"/>
      <c r="B207" s="52">
        <v>0.14373919532298376</v>
      </c>
      <c r="C207" s="288">
        <v>0.23166658793483474</v>
      </c>
      <c r="D207" s="288">
        <v>2.2844376767034436E-2</v>
      </c>
      <c r="E207" s="288">
        <v>1.1489347045315481E-2</v>
      </c>
      <c r="F207" s="289">
        <v>0.80874324703522227</v>
      </c>
      <c r="G207" s="92">
        <v>0.36154459017988111</v>
      </c>
      <c r="H207" s="288">
        <v>6.6375079707889528E-2</v>
      </c>
      <c r="I207" s="288">
        <v>2.5006450688320858E-2</v>
      </c>
      <c r="J207" s="288">
        <v>0.9999999996306268</v>
      </c>
      <c r="K207" s="288">
        <v>0.74841115559328064</v>
      </c>
      <c r="L207" s="290">
        <v>8559.7634394016477</v>
      </c>
      <c r="M207" s="288">
        <v>0</v>
      </c>
      <c r="N207" s="288">
        <v>18673.420966101745</v>
      </c>
      <c r="O207" s="288">
        <v>1513.3551044891615</v>
      </c>
      <c r="P207" s="288">
        <v>42904.836581054653</v>
      </c>
      <c r="Q207" s="291">
        <v>93962.083351583395</v>
      </c>
      <c r="R207" s="288">
        <v>20314.236569140739</v>
      </c>
      <c r="S207" s="288">
        <v>7854.1465016729699</v>
      </c>
      <c r="T207" s="290">
        <v>0.751</v>
      </c>
      <c r="U207" s="288">
        <v>0.75800000000000001</v>
      </c>
      <c r="V207" s="288">
        <v>0.723923076923077</v>
      </c>
      <c r="W207" s="288">
        <v>0.72750000000000004</v>
      </c>
      <c r="X207" s="288">
        <v>0.76</v>
      </c>
      <c r="Y207" s="288">
        <v>0</v>
      </c>
      <c r="Z207" s="289">
        <v>0</v>
      </c>
      <c r="AA207" s="229"/>
      <c r="AB207" s="52">
        <v>72663.806530807793</v>
      </c>
      <c r="AC207" s="288">
        <v>3.2763802775559236</v>
      </c>
      <c r="AD207" s="288">
        <v>61085.271511159772</v>
      </c>
      <c r="AE207" s="288">
        <v>3.0009404804172992</v>
      </c>
      <c r="AF207" s="288">
        <v>11578.535019648021</v>
      </c>
      <c r="AG207" s="289">
        <v>0.27543979713862443</v>
      </c>
      <c r="AH207" s="229"/>
      <c r="AI207" s="205">
        <f t="shared" si="24"/>
        <v>254974.22122478456</v>
      </c>
      <c r="AJ207" s="205">
        <f t="shared" si="25"/>
        <v>239008.77653057012</v>
      </c>
      <c r="AK207" s="205">
        <f t="shared" si="26"/>
        <v>15965.44469421442</v>
      </c>
      <c r="AL207" s="229"/>
      <c r="AM207" s="52">
        <f t="shared" si="4"/>
        <v>1</v>
      </c>
      <c r="AN207" s="52">
        <f t="shared" si="5"/>
        <v>0</v>
      </c>
      <c r="AO207" s="52">
        <f t="shared" si="6"/>
        <v>1</v>
      </c>
      <c r="AP207" s="229"/>
      <c r="AQ207" s="3"/>
      <c r="AR207" s="3"/>
      <c r="AS207" s="3"/>
      <c r="AT207" s="3"/>
      <c r="AU207" s="229"/>
      <c r="AV207" s="318">
        <f t="shared" ref="AV207:AV270" si="27">MAX(AI207:AJ207)</f>
        <v>254974.22122478456</v>
      </c>
      <c r="AW207" s="229"/>
      <c r="AX207" s="312"/>
      <c r="AY207" s="14"/>
      <c r="AZ207" s="14">
        <f t="shared" si="23"/>
        <v>11578.535019648021</v>
      </c>
      <c r="BA207" s="14">
        <f t="shared" ref="BA207:BA270" si="28">AG207</f>
        <v>0.27543979713862443</v>
      </c>
      <c r="BB207" s="14">
        <f t="shared" si="2"/>
        <v>42036.536259212866</v>
      </c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3"/>
      <c r="CT207" s="3"/>
      <c r="CU207" s="3"/>
      <c r="CV207" s="3"/>
      <c r="CW207" s="3"/>
    </row>
    <row r="208" spans="1:101" ht="14.25" customHeight="1" x14ac:dyDescent="0.2">
      <c r="A208" s="286"/>
      <c r="B208" s="52">
        <v>0.15464348005837991</v>
      </c>
      <c r="C208" s="288">
        <v>0.69245969496641302</v>
      </c>
      <c r="D208" s="288">
        <v>1.9052511155998486E-2</v>
      </c>
      <c r="E208" s="288">
        <v>7.0660732623395997E-3</v>
      </c>
      <c r="F208" s="289">
        <v>0.79194102331867855</v>
      </c>
      <c r="G208" s="92">
        <v>0.33920022888106771</v>
      </c>
      <c r="H208" s="288">
        <v>3.7637623405708809E-3</v>
      </c>
      <c r="I208" s="288">
        <v>3.264893705490457E-2</v>
      </c>
      <c r="J208" s="288">
        <v>0.99999985163082239</v>
      </c>
      <c r="K208" s="288">
        <v>0.74210083111873981</v>
      </c>
      <c r="L208" s="290">
        <v>10378.476638166538</v>
      </c>
      <c r="M208" s="288">
        <v>0</v>
      </c>
      <c r="N208" s="288">
        <v>16578.456804135192</v>
      </c>
      <c r="O208" s="288">
        <v>1108.869947726758</v>
      </c>
      <c r="P208" s="288">
        <v>47081.091317804348</v>
      </c>
      <c r="Q208" s="291">
        <v>85622.680659452017</v>
      </c>
      <c r="R208" s="288">
        <v>25936.094212169042</v>
      </c>
      <c r="S208" s="288">
        <v>8773.6188132749394</v>
      </c>
      <c r="T208" s="290">
        <v>0.751</v>
      </c>
      <c r="U208" s="288">
        <v>0.75800000000000001</v>
      </c>
      <c r="V208" s="288">
        <v>0.723923076923077</v>
      </c>
      <c r="W208" s="288">
        <v>0.72750000000000004</v>
      </c>
      <c r="X208" s="288">
        <v>0.76</v>
      </c>
      <c r="Y208" s="288">
        <v>0</v>
      </c>
      <c r="Z208" s="289">
        <v>0</v>
      </c>
      <c r="AA208" s="229"/>
      <c r="AB208" s="52">
        <v>82383.855126299022</v>
      </c>
      <c r="AC208" s="288">
        <v>3.1978755955511926</v>
      </c>
      <c r="AD208" s="288">
        <v>67184.113297170654</v>
      </c>
      <c r="AE208" s="288">
        <v>2.9719469583305447</v>
      </c>
      <c r="AF208" s="288">
        <v>15199.741829128368</v>
      </c>
      <c r="AG208" s="289">
        <v>0.22592863722064793</v>
      </c>
      <c r="AH208" s="229"/>
      <c r="AI208" s="205">
        <f t="shared" si="24"/>
        <v>237403.70442882023</v>
      </c>
      <c r="AJ208" s="205">
        <f t="shared" si="25"/>
        <v>230010.58253588382</v>
      </c>
      <c r="AK208" s="205">
        <f t="shared" si="26"/>
        <v>7393.1218929364259</v>
      </c>
      <c r="AL208" s="229"/>
      <c r="AM208" s="52">
        <f t="shared" si="4"/>
        <v>1</v>
      </c>
      <c r="AN208" s="52">
        <f t="shared" si="5"/>
        <v>0</v>
      </c>
      <c r="AO208" s="52">
        <f t="shared" si="6"/>
        <v>1</v>
      </c>
      <c r="AP208" s="229"/>
      <c r="AQ208" s="3"/>
      <c r="AR208" s="3"/>
      <c r="AS208" s="3"/>
      <c r="AT208" s="3"/>
      <c r="AU208" s="229"/>
      <c r="AV208" s="318">
        <f t="shared" si="27"/>
        <v>237403.70442882023</v>
      </c>
      <c r="AW208" s="229"/>
      <c r="AX208" s="312"/>
      <c r="AY208" s="14"/>
      <c r="AZ208" s="14">
        <f t="shared" ref="AZ208:AZ271" si="29">AF208</f>
        <v>15199.741829128368</v>
      </c>
      <c r="BA208" s="14">
        <f t="shared" si="28"/>
        <v>0.22592863722064793</v>
      </c>
      <c r="BB208" s="14">
        <f t="shared" si="2"/>
        <v>67276.73842552281</v>
      </c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3"/>
      <c r="CT208" s="3"/>
      <c r="CU208" s="3"/>
      <c r="CV208" s="3"/>
      <c r="CW208" s="3"/>
    </row>
    <row r="209" spans="1:101" ht="14.25" customHeight="1" x14ac:dyDescent="0.2">
      <c r="A209" s="286"/>
      <c r="B209" s="52">
        <v>0.16562672655089761</v>
      </c>
      <c r="C209" s="288">
        <v>3.1437609000430674E-4</v>
      </c>
      <c r="D209" s="288">
        <v>3.0299600518059022E-2</v>
      </c>
      <c r="E209" s="288">
        <v>1.8421540216449817E-2</v>
      </c>
      <c r="F209" s="289">
        <v>0.81224567595120378</v>
      </c>
      <c r="G209" s="92">
        <v>0.37077987606906082</v>
      </c>
      <c r="H209" s="288">
        <v>0.77846832221991491</v>
      </c>
      <c r="I209" s="288">
        <v>7.6521254941042992E-3</v>
      </c>
      <c r="J209" s="288">
        <v>1</v>
      </c>
      <c r="K209" s="288">
        <v>0.73511709171800443</v>
      </c>
      <c r="L209" s="290">
        <v>13793.226170333668</v>
      </c>
      <c r="M209" s="288">
        <v>0</v>
      </c>
      <c r="N209" s="288">
        <v>19427.061404389577</v>
      </c>
      <c r="O209" s="288">
        <v>1202.0660569819984</v>
      </c>
      <c r="P209" s="288">
        <v>41727.935613865768</v>
      </c>
      <c r="Q209" s="291">
        <v>76125.062917150834</v>
      </c>
      <c r="R209" s="288">
        <v>24339.679730614349</v>
      </c>
      <c r="S209" s="288">
        <v>9156.3057372121402</v>
      </c>
      <c r="T209" s="290">
        <v>0.751</v>
      </c>
      <c r="U209" s="288">
        <v>0.75800000000000001</v>
      </c>
      <c r="V209" s="288">
        <v>0.723923076923077</v>
      </c>
      <c r="W209" s="288">
        <v>0.72750000000000004</v>
      </c>
      <c r="X209" s="288">
        <v>0.76</v>
      </c>
      <c r="Y209" s="288">
        <v>0</v>
      </c>
      <c r="Z209" s="289">
        <v>0</v>
      </c>
      <c r="AA209" s="229"/>
      <c r="AB209" s="52">
        <v>88026.248617021192</v>
      </c>
      <c r="AC209" s="288">
        <v>3.29280037607854</v>
      </c>
      <c r="AD209" s="288">
        <v>74924.914572724228</v>
      </c>
      <c r="AE209" s="288">
        <v>2.9399325241114496</v>
      </c>
      <c r="AF209" s="288">
        <v>13101.334044296964</v>
      </c>
      <c r="AG209" s="289">
        <v>0.35286785196709047</v>
      </c>
      <c r="AH209" s="229"/>
      <c r="AI209" s="205">
        <f t="shared" si="24"/>
        <v>241253.78899083281</v>
      </c>
      <c r="AJ209" s="205">
        <f t="shared" si="25"/>
        <v>219068.33783842073</v>
      </c>
      <c r="AK209" s="205">
        <f t="shared" si="26"/>
        <v>22185.451152412083</v>
      </c>
      <c r="AL209" s="229"/>
      <c r="AM209" s="52">
        <f t="shared" si="4"/>
        <v>1</v>
      </c>
      <c r="AN209" s="52">
        <f t="shared" si="5"/>
        <v>0</v>
      </c>
      <c r="AO209" s="52">
        <f t="shared" si="6"/>
        <v>1</v>
      </c>
      <c r="AP209" s="229"/>
      <c r="AQ209" s="3"/>
      <c r="AR209" s="3"/>
      <c r="AS209" s="3"/>
      <c r="AT209" s="3"/>
      <c r="AU209" s="229"/>
      <c r="AV209" s="318">
        <f t="shared" si="27"/>
        <v>241253.78899083281</v>
      </c>
      <c r="AW209" s="229"/>
      <c r="AX209" s="312"/>
      <c r="AY209" s="14"/>
      <c r="AZ209" s="14">
        <f t="shared" si="29"/>
        <v>13101.334044296964</v>
      </c>
      <c r="BA209" s="14">
        <f t="shared" si="28"/>
        <v>0.35286785196709047</v>
      </c>
      <c r="BB209" s="14">
        <f t="shared" si="2"/>
        <v>37128.159936538606</v>
      </c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3"/>
      <c r="CT209" s="3"/>
      <c r="CU209" s="3"/>
      <c r="CV209" s="3"/>
      <c r="CW209" s="3"/>
    </row>
    <row r="210" spans="1:101" ht="14.25" customHeight="1" x14ac:dyDescent="0.2">
      <c r="A210" s="286"/>
      <c r="B210" s="52">
        <v>0.16471837386803279</v>
      </c>
      <c r="C210" s="288">
        <v>0.47992006565746015</v>
      </c>
      <c r="D210" s="288">
        <v>1.7191196867402891E-2</v>
      </c>
      <c r="E210" s="288">
        <v>8.1751234441768458E-3</v>
      </c>
      <c r="F210" s="289">
        <v>0.7834269044678337</v>
      </c>
      <c r="G210" s="92">
        <v>0.42709369782933659</v>
      </c>
      <c r="H210" s="288">
        <v>0.99362209672727453</v>
      </c>
      <c r="I210" s="288">
        <v>4.4072831656324252E-2</v>
      </c>
      <c r="J210" s="288">
        <v>1</v>
      </c>
      <c r="K210" s="288">
        <v>0.80939072940221157</v>
      </c>
      <c r="L210" s="290">
        <v>10616.976265181796</v>
      </c>
      <c r="M210" s="288">
        <v>0</v>
      </c>
      <c r="N210" s="288">
        <v>21331.339624510987</v>
      </c>
      <c r="O210" s="288">
        <v>1400.9883095564401</v>
      </c>
      <c r="P210" s="288">
        <v>34716.502432798712</v>
      </c>
      <c r="Q210" s="291">
        <v>84096.417280594396</v>
      </c>
      <c r="R210" s="288">
        <v>16365.337521857131</v>
      </c>
      <c r="S210" s="288">
        <v>11248.328512722335</v>
      </c>
      <c r="T210" s="290">
        <v>0.751</v>
      </c>
      <c r="U210" s="288">
        <v>0.75800000000000001</v>
      </c>
      <c r="V210" s="288">
        <v>0.723923076923077</v>
      </c>
      <c r="W210" s="288">
        <v>0.72750000000000004</v>
      </c>
      <c r="X210" s="288">
        <v>0.76</v>
      </c>
      <c r="Y210" s="288">
        <v>0</v>
      </c>
      <c r="Z210" s="289">
        <v>0</v>
      </c>
      <c r="AA210" s="229"/>
      <c r="AB210" s="52">
        <v>99642.235062971304</v>
      </c>
      <c r="AC210" s="288">
        <v>3.1582642965416623</v>
      </c>
      <c r="AD210" s="288">
        <v>100806.89267755025</v>
      </c>
      <c r="AE210" s="288">
        <v>3.2843521680343537</v>
      </c>
      <c r="AF210" s="288">
        <v>-1164.657614578944</v>
      </c>
      <c r="AG210" s="289">
        <v>-0.12608787149269141</v>
      </c>
      <c r="AH210" s="229"/>
      <c r="AI210" s="205">
        <f t="shared" si="24"/>
        <v>216184.19459119492</v>
      </c>
      <c r="AJ210" s="205">
        <f t="shared" si="25"/>
        <v>227628.32412588509</v>
      </c>
      <c r="AK210" s="205">
        <f t="shared" si="26"/>
        <v>-11444.129534690197</v>
      </c>
      <c r="AL210" s="229"/>
      <c r="AM210" s="52">
        <f t="shared" si="4"/>
        <v>0</v>
      </c>
      <c r="AN210" s="52">
        <f t="shared" si="5"/>
        <v>1</v>
      </c>
      <c r="AO210" s="52">
        <f t="shared" si="6"/>
        <v>0</v>
      </c>
      <c r="AP210" s="229"/>
      <c r="AQ210" s="3"/>
      <c r="AR210" s="3"/>
      <c r="AS210" s="3"/>
      <c r="AT210" s="3"/>
      <c r="AU210" s="229"/>
      <c r="AV210" s="318">
        <f t="shared" si="27"/>
        <v>227628.32412588509</v>
      </c>
      <c r="AW210" s="229"/>
      <c r="AX210" s="312"/>
      <c r="AY210" s="14"/>
      <c r="AZ210" s="14">
        <f t="shared" si="29"/>
        <v>-1164.657614578944</v>
      </c>
      <c r="BA210" s="14">
        <f t="shared" si="28"/>
        <v>-0.12608787149269141</v>
      </c>
      <c r="BB210" s="14">
        <f t="shared" si="2"/>
        <v>9236.8726729315331</v>
      </c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3"/>
      <c r="CT210" s="3"/>
      <c r="CU210" s="3"/>
      <c r="CV210" s="3"/>
      <c r="CW210" s="3"/>
    </row>
    <row r="211" spans="1:101" ht="14.25" customHeight="1" x14ac:dyDescent="0.2">
      <c r="A211" s="286"/>
      <c r="B211" s="52">
        <v>0.18599823229948809</v>
      </c>
      <c r="C211" s="288">
        <v>3.1667546536523455E-2</v>
      </c>
      <c r="D211" s="288">
        <v>1.3593496470373766E-2</v>
      </c>
      <c r="E211" s="288">
        <v>1.7641410279383041E-2</v>
      </c>
      <c r="F211" s="289">
        <v>0.80210641734391763</v>
      </c>
      <c r="G211" s="92">
        <v>0.44234281148777765</v>
      </c>
      <c r="H211" s="288">
        <v>0.47631853702710214</v>
      </c>
      <c r="I211" s="288">
        <v>1.541604915454445E-2</v>
      </c>
      <c r="J211" s="288">
        <v>0.99999757768753805</v>
      </c>
      <c r="K211" s="288">
        <v>0.77200469592823906</v>
      </c>
      <c r="L211" s="290">
        <v>10661.030777261642</v>
      </c>
      <c r="M211" s="288">
        <v>0</v>
      </c>
      <c r="N211" s="288">
        <v>20157.22639302602</v>
      </c>
      <c r="O211" s="288">
        <v>1436.5733581725376</v>
      </c>
      <c r="P211" s="288">
        <v>38188.965134130427</v>
      </c>
      <c r="Q211" s="291">
        <v>80471.314430316153</v>
      </c>
      <c r="R211" s="288">
        <v>21240.331463855538</v>
      </c>
      <c r="S211" s="288">
        <v>8751.8224088842962</v>
      </c>
      <c r="T211" s="290">
        <v>0.751</v>
      </c>
      <c r="U211" s="288">
        <v>0.75800000000000001</v>
      </c>
      <c r="V211" s="288">
        <v>0.723923076923077</v>
      </c>
      <c r="W211" s="288">
        <v>0.72750000000000004</v>
      </c>
      <c r="X211" s="288">
        <v>0.76</v>
      </c>
      <c r="Y211" s="288">
        <v>0</v>
      </c>
      <c r="Z211" s="289">
        <v>0</v>
      </c>
      <c r="AA211" s="229"/>
      <c r="AB211" s="52">
        <v>80772.387242463883</v>
      </c>
      <c r="AC211" s="288">
        <v>3.2453182453935456</v>
      </c>
      <c r="AD211" s="288">
        <v>73365.152385098991</v>
      </c>
      <c r="AE211" s="288">
        <v>3.1098998065480825</v>
      </c>
      <c r="AF211" s="288">
        <v>7407.2348573648924</v>
      </c>
      <c r="AG211" s="289">
        <v>0.13541843884546312</v>
      </c>
      <c r="AH211" s="229"/>
      <c r="AI211" s="205">
        <f t="shared" si="24"/>
        <v>243759.43729689065</v>
      </c>
      <c r="AJ211" s="205">
        <f t="shared" si="25"/>
        <v>237624.82826970925</v>
      </c>
      <c r="AK211" s="205">
        <f t="shared" si="26"/>
        <v>6134.6090271814192</v>
      </c>
      <c r="AL211" s="229"/>
      <c r="AM211" s="52">
        <f t="shared" si="4"/>
        <v>1</v>
      </c>
      <c r="AN211" s="52">
        <f t="shared" si="5"/>
        <v>0</v>
      </c>
      <c r="AO211" s="52">
        <f t="shared" si="6"/>
        <v>1</v>
      </c>
      <c r="AP211" s="229"/>
      <c r="AQ211" s="3"/>
      <c r="AR211" s="3"/>
      <c r="AS211" s="3"/>
      <c r="AT211" s="3"/>
      <c r="AU211" s="229"/>
      <c r="AV211" s="318">
        <f t="shared" si="27"/>
        <v>243759.43729689065</v>
      </c>
      <c r="AW211" s="229"/>
      <c r="AX211" s="312"/>
      <c r="AY211" s="14"/>
      <c r="AZ211" s="14">
        <f t="shared" si="29"/>
        <v>7407.2348573648924</v>
      </c>
      <c r="BA211" s="14">
        <f t="shared" si="28"/>
        <v>0.13541843884546312</v>
      </c>
      <c r="BB211" s="14">
        <f t="shared" si="2"/>
        <v>54698.864648837698</v>
      </c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3"/>
      <c r="CT211" s="3"/>
      <c r="CU211" s="3"/>
      <c r="CV211" s="3"/>
      <c r="CW211" s="3"/>
    </row>
    <row r="212" spans="1:101" ht="14.25" customHeight="1" x14ac:dyDescent="0.2">
      <c r="A212" s="286"/>
      <c r="B212" s="52">
        <v>0.18763781083953734</v>
      </c>
      <c r="C212" s="288">
        <v>0.78214610111714311</v>
      </c>
      <c r="D212" s="288">
        <v>1.6990201163405438E-2</v>
      </c>
      <c r="E212" s="288">
        <v>9.5611710276062942E-3</v>
      </c>
      <c r="F212" s="289">
        <v>0.78630289701517408</v>
      </c>
      <c r="G212" s="92">
        <v>0.35119699405020793</v>
      </c>
      <c r="H212" s="288">
        <v>8.6283228245420729E-2</v>
      </c>
      <c r="I212" s="288">
        <v>6.1750028743416631E-3</v>
      </c>
      <c r="J212" s="288">
        <v>1</v>
      </c>
      <c r="K212" s="288">
        <v>0.75683349547379597</v>
      </c>
      <c r="L212" s="290">
        <v>19288.856253104193</v>
      </c>
      <c r="M212" s="288">
        <v>0</v>
      </c>
      <c r="N212" s="288">
        <v>15825.610003622052</v>
      </c>
      <c r="O212" s="288">
        <v>1142.8081423534047</v>
      </c>
      <c r="P212" s="288">
        <v>36104.143051416635</v>
      </c>
      <c r="Q212" s="291">
        <v>84206.695692657202</v>
      </c>
      <c r="R212" s="288">
        <v>31730.203582060112</v>
      </c>
      <c r="S212" s="288">
        <v>8182.6602502669302</v>
      </c>
      <c r="T212" s="290">
        <v>0.751</v>
      </c>
      <c r="U212" s="288">
        <v>0.75800000000000001</v>
      </c>
      <c r="V212" s="288">
        <v>0.723923076923077</v>
      </c>
      <c r="W212" s="288">
        <v>0.72750000000000004</v>
      </c>
      <c r="X212" s="288">
        <v>0.76</v>
      </c>
      <c r="Y212" s="288">
        <v>0</v>
      </c>
      <c r="Z212" s="289">
        <v>0</v>
      </c>
      <c r="AA212" s="229"/>
      <c r="AB212" s="52">
        <v>88141.850709282138</v>
      </c>
      <c r="AC212" s="288">
        <v>3.1716319192607942</v>
      </c>
      <c r="AD212" s="288">
        <v>63458.859730473785</v>
      </c>
      <c r="AE212" s="288">
        <v>3.0397356970302947</v>
      </c>
      <c r="AF212" s="288">
        <v>24682.990978808353</v>
      </c>
      <c r="AG212" s="289">
        <v>0.13189622223049957</v>
      </c>
      <c r="AH212" s="229"/>
      <c r="AI212" s="205">
        <f t="shared" si="24"/>
        <v>229021.3412167973</v>
      </c>
      <c r="AJ212" s="205">
        <f t="shared" si="25"/>
        <v>240514.70997255569</v>
      </c>
      <c r="AK212" s="205">
        <f t="shared" si="26"/>
        <v>-11493.368755758396</v>
      </c>
      <c r="AL212" s="229"/>
      <c r="AM212" s="52">
        <f t="shared" si="4"/>
        <v>0</v>
      </c>
      <c r="AN212" s="52">
        <f t="shared" si="5"/>
        <v>1</v>
      </c>
      <c r="AO212" s="52">
        <f t="shared" si="6"/>
        <v>0</v>
      </c>
      <c r="AP212" s="229"/>
      <c r="AQ212" s="3"/>
      <c r="AR212" s="3"/>
      <c r="AS212" s="3"/>
      <c r="AT212" s="3"/>
      <c r="AU212" s="229"/>
      <c r="AV212" s="318">
        <f t="shared" si="27"/>
        <v>240514.70997255569</v>
      </c>
      <c r="AW212" s="229"/>
      <c r="AX212" s="312"/>
      <c r="AY212" s="14"/>
      <c r="AZ212" s="14">
        <f t="shared" si="29"/>
        <v>24682.990978808353</v>
      </c>
      <c r="BA212" s="14">
        <f t="shared" si="28"/>
        <v>0.13189622223049957</v>
      </c>
      <c r="BB212" s="14">
        <f t="shared" si="2"/>
        <v>187139.48406856402</v>
      </c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3"/>
      <c r="CT212" s="3"/>
      <c r="CU212" s="3"/>
      <c r="CV212" s="3"/>
      <c r="CW212" s="3"/>
    </row>
    <row r="213" spans="1:101" ht="14.25" customHeight="1" x14ac:dyDescent="0.2">
      <c r="A213" s="286"/>
      <c r="B213" s="52">
        <v>0.14081414429657177</v>
      </c>
      <c r="C213" s="288">
        <v>0.72268591915187552</v>
      </c>
      <c r="D213" s="288">
        <v>7.6504604490412508E-3</v>
      </c>
      <c r="E213" s="288">
        <v>2.1267826017964175E-2</v>
      </c>
      <c r="F213" s="289">
        <v>0.79395103433185321</v>
      </c>
      <c r="G213" s="92">
        <v>0.36455387595117661</v>
      </c>
      <c r="H213" s="288">
        <v>0.26455853199468066</v>
      </c>
      <c r="I213" s="288">
        <v>2.1400779520210245E-2</v>
      </c>
      <c r="J213" s="288">
        <v>0.99907350619397972</v>
      </c>
      <c r="K213" s="288">
        <v>0.77682683637966599</v>
      </c>
      <c r="L213" s="290">
        <v>13950.519442231342</v>
      </c>
      <c r="M213" s="288">
        <v>0</v>
      </c>
      <c r="N213" s="288">
        <v>20138.822337246729</v>
      </c>
      <c r="O213" s="288">
        <v>832.46187087670478</v>
      </c>
      <c r="P213" s="288">
        <v>42222.078118454148</v>
      </c>
      <c r="Q213" s="291">
        <v>85312.255448039868</v>
      </c>
      <c r="R213" s="288">
        <v>29007.75524946786</v>
      </c>
      <c r="S213" s="288">
        <v>8450.3707523606263</v>
      </c>
      <c r="T213" s="290">
        <v>0.751</v>
      </c>
      <c r="U213" s="288">
        <v>0.75800000000000001</v>
      </c>
      <c r="V213" s="288">
        <v>0.723923076923077</v>
      </c>
      <c r="W213" s="288">
        <v>0.72750000000000004</v>
      </c>
      <c r="X213" s="288">
        <v>0.76</v>
      </c>
      <c r="Y213" s="288">
        <v>0</v>
      </c>
      <c r="Z213" s="289">
        <v>0</v>
      </c>
      <c r="AA213" s="229"/>
      <c r="AB213" s="52">
        <v>83549.256678927195</v>
      </c>
      <c r="AC213" s="288">
        <v>3.2072436106723234</v>
      </c>
      <c r="AD213" s="288">
        <v>69814.443983757883</v>
      </c>
      <c r="AE213" s="288">
        <v>3.1322773339839642</v>
      </c>
      <c r="AF213" s="288">
        <v>13734.812695169312</v>
      </c>
      <c r="AG213" s="289">
        <v>7.4966276688359201E-2</v>
      </c>
      <c r="AH213" s="229"/>
      <c r="AI213" s="205">
        <f t="shared" si="24"/>
        <v>237175.10438830513</v>
      </c>
      <c r="AJ213" s="205">
        <f t="shared" si="25"/>
        <v>243413.28941463854</v>
      </c>
      <c r="AK213" s="205">
        <f t="shared" si="26"/>
        <v>-6238.1850263333918</v>
      </c>
      <c r="AL213" s="229"/>
      <c r="AM213" s="52">
        <f t="shared" si="4"/>
        <v>0</v>
      </c>
      <c r="AN213" s="52">
        <f t="shared" si="5"/>
        <v>1</v>
      </c>
      <c r="AO213" s="52">
        <f t="shared" si="6"/>
        <v>0</v>
      </c>
      <c r="AP213" s="229"/>
      <c r="AQ213" s="3"/>
      <c r="AR213" s="3"/>
      <c r="AS213" s="3"/>
      <c r="AT213" s="3"/>
      <c r="AU213" s="229"/>
      <c r="AV213" s="318">
        <f t="shared" si="27"/>
        <v>243413.28941463854</v>
      </c>
      <c r="AW213" s="229"/>
      <c r="AX213" s="312"/>
      <c r="AY213" s="14"/>
      <c r="AZ213" s="14">
        <f t="shared" si="29"/>
        <v>13734.812695169312</v>
      </c>
      <c r="BA213" s="14">
        <f t="shared" si="28"/>
        <v>7.4966276688359201E-2</v>
      </c>
      <c r="BB213" s="14">
        <f t="shared" si="2"/>
        <v>183213.21668763176</v>
      </c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BZ213" s="14"/>
      <c r="CA213" s="14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</row>
    <row r="214" spans="1:101" ht="14.25" customHeight="1" x14ac:dyDescent="0.2">
      <c r="A214" s="286"/>
      <c r="B214" s="52">
        <v>0.14072882116172891</v>
      </c>
      <c r="C214" s="288">
        <v>0.25046982881590873</v>
      </c>
      <c r="D214" s="288">
        <v>5.9983270079431413E-3</v>
      </c>
      <c r="E214" s="288">
        <v>1.6117368937754062E-2</v>
      </c>
      <c r="F214" s="289">
        <v>0.79355322994761979</v>
      </c>
      <c r="G214" s="92">
        <v>0.3480601283908572</v>
      </c>
      <c r="H214" s="288">
        <v>0.84118382564320726</v>
      </c>
      <c r="I214" s="288">
        <v>9.3163016979830784E-3</v>
      </c>
      <c r="J214" s="288">
        <v>0.9999958843534229</v>
      </c>
      <c r="K214" s="288">
        <v>0.75558037618987894</v>
      </c>
      <c r="L214" s="290">
        <v>11208.37194128547</v>
      </c>
      <c r="M214" s="288">
        <v>0</v>
      </c>
      <c r="N214" s="288">
        <v>29142.439584362804</v>
      </c>
      <c r="O214" s="288">
        <v>985.04756458346355</v>
      </c>
      <c r="P214" s="288">
        <v>38619.824244411204</v>
      </c>
      <c r="Q214" s="291">
        <v>87976.831973643246</v>
      </c>
      <c r="R214" s="288">
        <v>31588.148615520662</v>
      </c>
      <c r="S214" s="288">
        <v>11782.616414178859</v>
      </c>
      <c r="T214" s="290">
        <v>0.751</v>
      </c>
      <c r="U214" s="288">
        <v>0.75800000000000001</v>
      </c>
      <c r="V214" s="288">
        <v>0.723923076923077</v>
      </c>
      <c r="W214" s="288">
        <v>0.72750000000000004</v>
      </c>
      <c r="X214" s="288">
        <v>0.76</v>
      </c>
      <c r="Y214" s="288">
        <v>0</v>
      </c>
      <c r="Z214" s="289">
        <v>0</v>
      </c>
      <c r="AA214" s="229"/>
      <c r="AB214" s="52">
        <v>105123.30345580143</v>
      </c>
      <c r="AC214" s="288">
        <v>3.2053890693569409</v>
      </c>
      <c r="AD214" s="288">
        <v>98809.620594335793</v>
      </c>
      <c r="AE214" s="288">
        <v>3.0339564636442922</v>
      </c>
      <c r="AF214" s="288">
        <v>6313.6828614656406</v>
      </c>
      <c r="AG214" s="289">
        <v>0.17143260571264873</v>
      </c>
      <c r="AH214" s="229"/>
      <c r="AI214" s="205">
        <f t="shared" si="24"/>
        <v>215415.60347989266</v>
      </c>
      <c r="AJ214" s="205">
        <f t="shared" si="25"/>
        <v>204586.02577009343</v>
      </c>
      <c r="AK214" s="205">
        <f t="shared" si="26"/>
        <v>10829.577709799232</v>
      </c>
      <c r="AL214" s="229"/>
      <c r="AM214" s="52">
        <f t="shared" si="4"/>
        <v>1</v>
      </c>
      <c r="AN214" s="52">
        <f t="shared" si="5"/>
        <v>0</v>
      </c>
      <c r="AO214" s="52">
        <f t="shared" si="6"/>
        <v>1</v>
      </c>
      <c r="AP214" s="229"/>
      <c r="AQ214" s="3"/>
      <c r="AR214" s="3"/>
      <c r="AS214" s="3"/>
      <c r="AT214" s="3"/>
      <c r="AU214" s="229"/>
      <c r="AV214" s="318">
        <f t="shared" si="27"/>
        <v>215415.60347989266</v>
      </c>
      <c r="AW214" s="229"/>
      <c r="AX214" s="312"/>
      <c r="AY214" s="14"/>
      <c r="AZ214" s="14">
        <f t="shared" si="29"/>
        <v>6313.6828614656406</v>
      </c>
      <c r="BA214" s="14">
        <f t="shared" si="28"/>
        <v>0.17143260571264873</v>
      </c>
      <c r="BB214" s="14">
        <f t="shared" si="2"/>
        <v>36828.94998427829</v>
      </c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BZ214" s="14"/>
      <c r="CA214" s="14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</row>
    <row r="215" spans="1:101" ht="14.25" customHeight="1" x14ac:dyDescent="0.2">
      <c r="A215" s="286"/>
      <c r="B215" s="52">
        <v>0.14660661738639641</v>
      </c>
      <c r="C215" s="288">
        <v>0.4620406043423495</v>
      </c>
      <c r="D215" s="288">
        <v>1.4420829513952182E-2</v>
      </c>
      <c r="E215" s="288">
        <v>8.9188181930643599E-3</v>
      </c>
      <c r="F215" s="289">
        <v>0.76964647716085344</v>
      </c>
      <c r="G215" s="92">
        <v>0.50349735834550224</v>
      </c>
      <c r="H215" s="288">
        <v>0.75268843146067077</v>
      </c>
      <c r="I215" s="288">
        <v>1.0465026795101362E-2</v>
      </c>
      <c r="J215" s="288">
        <v>1</v>
      </c>
      <c r="K215" s="288">
        <v>0.76850510309252917</v>
      </c>
      <c r="L215" s="290">
        <v>12075.063593299466</v>
      </c>
      <c r="M215" s="288">
        <v>0</v>
      </c>
      <c r="N215" s="288">
        <v>19018.72014805971</v>
      </c>
      <c r="O215" s="288">
        <v>903.33247690612257</v>
      </c>
      <c r="P215" s="288">
        <v>46895.105703383662</v>
      </c>
      <c r="Q215" s="291">
        <v>77675.715806675304</v>
      </c>
      <c r="R215" s="288">
        <v>24001.613044831025</v>
      </c>
      <c r="S215" s="288">
        <v>6980.4761236193399</v>
      </c>
      <c r="T215" s="290">
        <v>0.751</v>
      </c>
      <c r="U215" s="288">
        <v>0.75800000000000001</v>
      </c>
      <c r="V215" s="288">
        <v>0.723923076923077</v>
      </c>
      <c r="W215" s="288">
        <v>0.72750000000000004</v>
      </c>
      <c r="X215" s="288">
        <v>0.76</v>
      </c>
      <c r="Y215" s="288">
        <v>0</v>
      </c>
      <c r="Z215" s="289">
        <v>0</v>
      </c>
      <c r="AA215" s="229"/>
      <c r="AB215" s="52">
        <v>67198.80692513047</v>
      </c>
      <c r="AC215" s="288">
        <v>3.0943928365025664</v>
      </c>
      <c r="AD215" s="288">
        <v>63763.37432653526</v>
      </c>
      <c r="AE215" s="288">
        <v>3.0936826191357456</v>
      </c>
      <c r="AF215" s="288">
        <v>3435.4325985952091</v>
      </c>
      <c r="AG215" s="289">
        <v>7.1021736682075343E-4</v>
      </c>
      <c r="AH215" s="229"/>
      <c r="AI215" s="205">
        <f t="shared" si="24"/>
        <v>242240.47672512615</v>
      </c>
      <c r="AJ215" s="205">
        <f t="shared" si="25"/>
        <v>245604.88758703927</v>
      </c>
      <c r="AK215" s="205">
        <f t="shared" si="26"/>
        <v>-3364.4108619131339</v>
      </c>
      <c r="AL215" s="229"/>
      <c r="AM215" s="52">
        <f t="shared" si="4"/>
        <v>0</v>
      </c>
      <c r="AN215" s="52">
        <f t="shared" si="5"/>
        <v>1</v>
      </c>
      <c r="AO215" s="52">
        <f t="shared" si="6"/>
        <v>0</v>
      </c>
      <c r="AP215" s="229"/>
      <c r="AQ215" s="3"/>
      <c r="AR215" s="3"/>
      <c r="AS215" s="3"/>
      <c r="AT215" s="3"/>
      <c r="AU215" s="229"/>
      <c r="AV215" s="318">
        <f t="shared" si="27"/>
        <v>245604.88758703927</v>
      </c>
      <c r="AW215" s="229"/>
      <c r="AX215" s="312"/>
      <c r="AY215" s="14"/>
      <c r="AZ215" s="14">
        <f t="shared" si="29"/>
        <v>3435.4325985952091</v>
      </c>
      <c r="BA215" s="14">
        <f t="shared" si="28"/>
        <v>7.1021736682075343E-4</v>
      </c>
      <c r="BB215" s="14">
        <f t="shared" si="2"/>
        <v>4837156.5651424751</v>
      </c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BZ215" s="14"/>
      <c r="CA215" s="14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</row>
    <row r="216" spans="1:101" ht="14.25" customHeight="1" x14ac:dyDescent="0.2">
      <c r="A216" s="286"/>
      <c r="B216" s="52">
        <v>0.1313977606263691</v>
      </c>
      <c r="C216" s="288">
        <v>0.4257904490058485</v>
      </c>
      <c r="D216" s="288">
        <v>1.9823176724676594E-2</v>
      </c>
      <c r="E216" s="288">
        <v>1.9956266552875745E-2</v>
      </c>
      <c r="F216" s="289">
        <v>0.76461859425254231</v>
      </c>
      <c r="G216" s="92">
        <v>0.39097262339884237</v>
      </c>
      <c r="H216" s="288">
        <v>8.1255125156969907E-2</v>
      </c>
      <c r="I216" s="288">
        <v>1.1645916185929828E-2</v>
      </c>
      <c r="J216" s="288">
        <v>4.91721644069762E-2</v>
      </c>
      <c r="K216" s="288">
        <v>0.75867744345626986</v>
      </c>
      <c r="L216" s="290">
        <v>13142.545252595119</v>
      </c>
      <c r="M216" s="288">
        <v>0</v>
      </c>
      <c r="N216" s="288">
        <v>14003.769935435801</v>
      </c>
      <c r="O216" s="288">
        <v>1113.1243470106699</v>
      </c>
      <c r="P216" s="288">
        <v>64329.443114100039</v>
      </c>
      <c r="Q216" s="291">
        <v>57626.627941580176</v>
      </c>
      <c r="R216" s="288">
        <v>23089.745855650053</v>
      </c>
      <c r="S216" s="288">
        <v>9346.3520044577472</v>
      </c>
      <c r="T216" s="290">
        <v>0.751</v>
      </c>
      <c r="U216" s="288">
        <v>0.75800000000000001</v>
      </c>
      <c r="V216" s="288">
        <v>0.723923076923077</v>
      </c>
      <c r="W216" s="288">
        <v>0.72750000000000004</v>
      </c>
      <c r="X216" s="288">
        <v>0.76</v>
      </c>
      <c r="Y216" s="288">
        <v>0</v>
      </c>
      <c r="Z216" s="289">
        <v>0</v>
      </c>
      <c r="AA216" s="229"/>
      <c r="AB216" s="52">
        <v>85500.443650587389</v>
      </c>
      <c r="AC216" s="288">
        <v>3.0711630619690249</v>
      </c>
      <c r="AD216" s="288">
        <v>72191.768182720218</v>
      </c>
      <c r="AE216" s="288">
        <v>3.0482442612024592</v>
      </c>
      <c r="AF216" s="288">
        <v>13308.675467867171</v>
      </c>
      <c r="AG216" s="289">
        <v>2.2918800766565717E-2</v>
      </c>
      <c r="AH216" s="229"/>
      <c r="AI216" s="205">
        <f t="shared" si="24"/>
        <v>221615.86254631507</v>
      </c>
      <c r="AJ216" s="205">
        <f t="shared" si="25"/>
        <v>232632.65793752571</v>
      </c>
      <c r="AK216" s="205">
        <f t="shared" si="26"/>
        <v>-11016.795391210599</v>
      </c>
      <c r="AL216" s="229"/>
      <c r="AM216" s="52">
        <f t="shared" si="4"/>
        <v>0</v>
      </c>
      <c r="AN216" s="52">
        <f t="shared" si="5"/>
        <v>1</v>
      </c>
      <c r="AO216" s="52">
        <f t="shared" si="6"/>
        <v>0</v>
      </c>
      <c r="AP216" s="229"/>
      <c r="AQ216" s="3"/>
      <c r="AR216" s="3"/>
      <c r="AS216" s="3"/>
      <c r="AT216" s="3"/>
      <c r="AU216" s="229"/>
      <c r="AV216" s="318">
        <f t="shared" si="27"/>
        <v>232632.65793752571</v>
      </c>
      <c r="AW216" s="229"/>
      <c r="AX216" s="312"/>
      <c r="AY216" s="14"/>
      <c r="AZ216" s="14">
        <f t="shared" si="29"/>
        <v>13308.675467867171</v>
      </c>
      <c r="BA216" s="14">
        <f t="shared" si="28"/>
        <v>2.2918800766565717E-2</v>
      </c>
      <c r="BB216" s="14">
        <f t="shared" si="2"/>
        <v>580688.1260245546</v>
      </c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</row>
    <row r="217" spans="1:101" ht="14.25" customHeight="1" x14ac:dyDescent="0.2">
      <c r="A217" s="286"/>
      <c r="B217" s="52">
        <v>0.1764171367387658</v>
      </c>
      <c r="C217" s="288">
        <v>0.13667329172762577</v>
      </c>
      <c r="D217" s="288">
        <v>1.6500685176310204E-2</v>
      </c>
      <c r="E217" s="288">
        <v>1.8345165576083122E-2</v>
      </c>
      <c r="F217" s="289">
        <v>0.77324276751263488</v>
      </c>
      <c r="G217" s="92">
        <v>0.40395326403295861</v>
      </c>
      <c r="H217" s="288">
        <v>0.138270138780892</v>
      </c>
      <c r="I217" s="288">
        <v>1.5683140858292966E-2</v>
      </c>
      <c r="J217" s="288">
        <v>0.99999999999936129</v>
      </c>
      <c r="K217" s="288">
        <v>0.75055327731261856</v>
      </c>
      <c r="L217" s="290">
        <v>8681.0353427064856</v>
      </c>
      <c r="M217" s="288">
        <v>0</v>
      </c>
      <c r="N217" s="288">
        <v>18741.167771479893</v>
      </c>
      <c r="O217" s="288">
        <v>1013.092980149228</v>
      </c>
      <c r="P217" s="288">
        <v>34894.390224234747</v>
      </c>
      <c r="Q217" s="291">
        <v>113345.97044210683</v>
      </c>
      <c r="R217" s="288">
        <v>18390.199581793968</v>
      </c>
      <c r="S217" s="288">
        <v>5738.6826536888093</v>
      </c>
      <c r="T217" s="290">
        <v>0.751</v>
      </c>
      <c r="U217" s="288">
        <v>0.75800000000000001</v>
      </c>
      <c r="V217" s="288">
        <v>0.723923076923077</v>
      </c>
      <c r="W217" s="288">
        <v>0.72750000000000004</v>
      </c>
      <c r="X217" s="288">
        <v>0.76</v>
      </c>
      <c r="Y217" s="288">
        <v>0</v>
      </c>
      <c r="Z217" s="289">
        <v>0</v>
      </c>
      <c r="AA217" s="229"/>
      <c r="AB217" s="52">
        <v>53576.344158388536</v>
      </c>
      <c r="AC217" s="288">
        <v>3.1110327049037148</v>
      </c>
      <c r="AD217" s="288">
        <v>45443.414080850023</v>
      </c>
      <c r="AE217" s="288">
        <v>3.0107969785236044</v>
      </c>
      <c r="AF217" s="288">
        <v>8132.9300775385127</v>
      </c>
      <c r="AG217" s="289">
        <v>0.10023572638011036</v>
      </c>
      <c r="AH217" s="229"/>
      <c r="AI217" s="205">
        <f t="shared" si="24"/>
        <v>257526.92633198292</v>
      </c>
      <c r="AJ217" s="205">
        <f t="shared" si="25"/>
        <v>255636.28377151041</v>
      </c>
      <c r="AK217" s="205">
        <f t="shared" si="26"/>
        <v>1890.6425604725227</v>
      </c>
      <c r="AL217" s="229"/>
      <c r="AM217" s="52">
        <f t="shared" si="4"/>
        <v>1</v>
      </c>
      <c r="AN217" s="52">
        <f t="shared" si="5"/>
        <v>0</v>
      </c>
      <c r="AO217" s="52">
        <f t="shared" si="6"/>
        <v>1</v>
      </c>
      <c r="AP217" s="229"/>
      <c r="AQ217" s="3"/>
      <c r="AR217" s="3"/>
      <c r="AS217" s="3"/>
      <c r="AT217" s="3"/>
      <c r="AU217" s="229"/>
      <c r="AV217" s="318">
        <f t="shared" si="27"/>
        <v>257526.92633198292</v>
      </c>
      <c r="AW217" s="229"/>
      <c r="AX217" s="312"/>
      <c r="AY217" s="14"/>
      <c r="AZ217" s="14">
        <f t="shared" si="29"/>
        <v>8132.9300775385127</v>
      </c>
      <c r="BA217" s="14">
        <f t="shared" si="28"/>
        <v>0.10023572638011036</v>
      </c>
      <c r="BB217" s="14">
        <f t="shared" si="2"/>
        <v>81138.0370178304</v>
      </c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</row>
    <row r="218" spans="1:101" ht="14.25" customHeight="1" x14ac:dyDescent="0.2">
      <c r="A218" s="286"/>
      <c r="B218" s="52">
        <v>0.17932373905373589</v>
      </c>
      <c r="C218" s="288">
        <v>0.59845732442512301</v>
      </c>
      <c r="D218" s="288">
        <v>2.1486998658898915E-2</v>
      </c>
      <c r="E218" s="288">
        <v>1.3447651188812901E-2</v>
      </c>
      <c r="F218" s="289">
        <v>0.78307997528771245</v>
      </c>
      <c r="G218" s="92">
        <v>0.38515098075673015</v>
      </c>
      <c r="H218" s="288">
        <v>0.86550517386354642</v>
      </c>
      <c r="I218" s="288">
        <v>1.3803867362650491E-3</v>
      </c>
      <c r="J218" s="288">
        <v>0.99999611184308912</v>
      </c>
      <c r="K218" s="288">
        <v>0.79046111915998218</v>
      </c>
      <c r="L218" s="290">
        <v>15606.950454721375</v>
      </c>
      <c r="M218" s="288">
        <v>0</v>
      </c>
      <c r="N218" s="288">
        <v>15653.577448857011</v>
      </c>
      <c r="O218" s="288">
        <v>1067.5982370270435</v>
      </c>
      <c r="P218" s="288">
        <v>35419.065871451196</v>
      </c>
      <c r="Q218" s="291">
        <v>130878.6351149423</v>
      </c>
      <c r="R218" s="288">
        <v>34809.816035319433</v>
      </c>
      <c r="S218" s="288">
        <v>7877.8352628421408</v>
      </c>
      <c r="T218" s="290">
        <v>0.751</v>
      </c>
      <c r="U218" s="288">
        <v>0.75800000000000001</v>
      </c>
      <c r="V218" s="288">
        <v>0.723923076923077</v>
      </c>
      <c r="W218" s="288">
        <v>0.72750000000000004</v>
      </c>
      <c r="X218" s="288">
        <v>0.76</v>
      </c>
      <c r="Y218" s="288">
        <v>0</v>
      </c>
      <c r="Z218" s="289">
        <v>0</v>
      </c>
      <c r="AA218" s="229"/>
      <c r="AB218" s="52">
        <v>81127.994072642352</v>
      </c>
      <c r="AC218" s="288">
        <v>3.1566526454734722</v>
      </c>
      <c r="AD218" s="288">
        <v>74200.868248377898</v>
      </c>
      <c r="AE218" s="288">
        <v>3.195746634706552</v>
      </c>
      <c r="AF218" s="288">
        <v>6927.1258242644544</v>
      </c>
      <c r="AG218" s="289">
        <v>-3.9093989233079718E-2</v>
      </c>
      <c r="AH218" s="229"/>
      <c r="AI218" s="205">
        <f t="shared" si="24"/>
        <v>234537.27047470486</v>
      </c>
      <c r="AJ218" s="205">
        <f t="shared" si="25"/>
        <v>245373.79522227732</v>
      </c>
      <c r="AK218" s="205">
        <f t="shared" si="26"/>
        <v>-10836.524747572426</v>
      </c>
      <c r="AL218" s="229"/>
      <c r="AM218" s="52">
        <f t="shared" si="4"/>
        <v>0</v>
      </c>
      <c r="AN218" s="52">
        <f t="shared" si="5"/>
        <v>1</v>
      </c>
      <c r="AO218" s="52">
        <f t="shared" si="6"/>
        <v>0</v>
      </c>
      <c r="AP218" s="229"/>
      <c r="AQ218" s="3"/>
      <c r="AR218" s="3"/>
      <c r="AS218" s="3"/>
      <c r="AT218" s="3"/>
      <c r="AU218" s="229"/>
      <c r="AV218" s="318">
        <f t="shared" si="27"/>
        <v>245373.79522227732</v>
      </c>
      <c r="AW218" s="229"/>
      <c r="AX218" s="312"/>
      <c r="AY218" s="14"/>
      <c r="AZ218" s="14">
        <f t="shared" si="29"/>
        <v>6927.1258242644544</v>
      </c>
      <c r="BA218" s="14">
        <f t="shared" si="28"/>
        <v>-3.9093989233079718E-2</v>
      </c>
      <c r="BB218" s="14">
        <f t="shared" si="2"/>
        <v>-177191.58264879775</v>
      </c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BZ218" s="14"/>
      <c r="CA218" s="14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</row>
    <row r="219" spans="1:101" ht="14.25" customHeight="1" x14ac:dyDescent="0.2">
      <c r="A219" s="286"/>
      <c r="B219" s="52">
        <v>0.1495680158222325</v>
      </c>
      <c r="C219" s="288">
        <v>6.5590902093822748E-2</v>
      </c>
      <c r="D219" s="288">
        <v>1.586245367408945E-2</v>
      </c>
      <c r="E219" s="288">
        <v>1.1144824343520409E-2</v>
      </c>
      <c r="F219" s="289">
        <v>0.8036766898061265</v>
      </c>
      <c r="G219" s="92">
        <v>0.34110194687172546</v>
      </c>
      <c r="H219" s="288">
        <v>0.83356976722519804</v>
      </c>
      <c r="I219" s="288">
        <v>2.6954807330007879E-2</v>
      </c>
      <c r="J219" s="288">
        <v>0.99999999999985745</v>
      </c>
      <c r="K219" s="288">
        <v>0.71192910953330568</v>
      </c>
      <c r="L219" s="290">
        <v>15038.655067590042</v>
      </c>
      <c r="M219" s="288">
        <v>0</v>
      </c>
      <c r="N219" s="288">
        <v>16259.685266419492</v>
      </c>
      <c r="O219" s="288">
        <v>1103.5218309040292</v>
      </c>
      <c r="P219" s="288">
        <v>40157.266788939618</v>
      </c>
      <c r="Q219" s="291">
        <v>105132.81033962584</v>
      </c>
      <c r="R219" s="288">
        <v>29860.662635573688</v>
      </c>
      <c r="S219" s="288">
        <v>10559.081814876778</v>
      </c>
      <c r="T219" s="290">
        <v>0.751</v>
      </c>
      <c r="U219" s="288">
        <v>0.75800000000000001</v>
      </c>
      <c r="V219" s="288">
        <v>0.723923076923077</v>
      </c>
      <c r="W219" s="288">
        <v>0.72750000000000004</v>
      </c>
      <c r="X219" s="288">
        <v>0.76</v>
      </c>
      <c r="Y219" s="288">
        <v>0</v>
      </c>
      <c r="Z219" s="289">
        <v>0</v>
      </c>
      <c r="AA219" s="229"/>
      <c r="AB219" s="52">
        <v>99779.236574903334</v>
      </c>
      <c r="AC219" s="288">
        <v>3.2526612760555151</v>
      </c>
      <c r="AD219" s="288">
        <v>85100.528498725238</v>
      </c>
      <c r="AE219" s="288">
        <v>2.8341869728570632</v>
      </c>
      <c r="AF219" s="288">
        <v>14678.708076178096</v>
      </c>
      <c r="AG219" s="289">
        <v>0.41847430319845191</v>
      </c>
      <c r="AH219" s="229"/>
      <c r="AI219" s="205">
        <f t="shared" si="24"/>
        <v>225486.89103064817</v>
      </c>
      <c r="AJ219" s="205">
        <f t="shared" si="25"/>
        <v>198318.16878698106</v>
      </c>
      <c r="AK219" s="205">
        <f t="shared" si="26"/>
        <v>27168.722243667093</v>
      </c>
      <c r="AL219" s="229"/>
      <c r="AM219" s="52">
        <f t="shared" si="4"/>
        <v>1</v>
      </c>
      <c r="AN219" s="52">
        <f t="shared" si="5"/>
        <v>0</v>
      </c>
      <c r="AO219" s="52">
        <f t="shared" si="6"/>
        <v>1</v>
      </c>
      <c r="AP219" s="229"/>
      <c r="AQ219" s="3"/>
      <c r="AR219" s="3"/>
      <c r="AS219" s="3"/>
      <c r="AT219" s="3"/>
      <c r="AU219" s="229"/>
      <c r="AV219" s="318">
        <f t="shared" si="27"/>
        <v>225486.89103064817</v>
      </c>
      <c r="AW219" s="229"/>
      <c r="AX219" s="312"/>
      <c r="AY219" s="14"/>
      <c r="AZ219" s="14">
        <f t="shared" si="29"/>
        <v>14678.708076178096</v>
      </c>
      <c r="BA219" s="14">
        <f t="shared" si="28"/>
        <v>0.41847430319845191</v>
      </c>
      <c r="BB219" s="14">
        <f t="shared" si="2"/>
        <v>35076.725055724753</v>
      </c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BZ219" s="14"/>
      <c r="CA219" s="14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</row>
    <row r="220" spans="1:101" ht="14.25" customHeight="1" x14ac:dyDescent="0.2">
      <c r="A220" s="286"/>
      <c r="B220" s="52">
        <v>0.14489663005934045</v>
      </c>
      <c r="C220" s="288">
        <v>0.26189987572381324</v>
      </c>
      <c r="D220" s="288">
        <v>9.603111107866838E-3</v>
      </c>
      <c r="E220" s="288">
        <v>2.5060140688602073E-2</v>
      </c>
      <c r="F220" s="289">
        <v>0.80310272553589723</v>
      </c>
      <c r="G220" s="92">
        <v>0.38502296427297567</v>
      </c>
      <c r="H220" s="288">
        <v>0.98566303904768304</v>
      </c>
      <c r="I220" s="288">
        <v>4.5566192525373639E-2</v>
      </c>
      <c r="J220" s="288">
        <v>1</v>
      </c>
      <c r="K220" s="288">
        <v>0.73238874809456089</v>
      </c>
      <c r="L220" s="290">
        <v>14358.799325235366</v>
      </c>
      <c r="M220" s="288">
        <v>0</v>
      </c>
      <c r="N220" s="288">
        <v>20978.36584351995</v>
      </c>
      <c r="O220" s="288">
        <v>1459.5202862836916</v>
      </c>
      <c r="P220" s="288">
        <v>61507.931712425838</v>
      </c>
      <c r="Q220" s="291">
        <v>92759.0229961039</v>
      </c>
      <c r="R220" s="288">
        <v>15410.067891004355</v>
      </c>
      <c r="S220" s="288">
        <v>6290.0854742908559</v>
      </c>
      <c r="T220" s="290">
        <v>0.751</v>
      </c>
      <c r="U220" s="288">
        <v>0.75800000000000001</v>
      </c>
      <c r="V220" s="288">
        <v>0.723923076923077</v>
      </c>
      <c r="W220" s="288">
        <v>0.72750000000000004</v>
      </c>
      <c r="X220" s="288">
        <v>0.76</v>
      </c>
      <c r="Y220" s="288">
        <v>0</v>
      </c>
      <c r="Z220" s="289">
        <v>0</v>
      </c>
      <c r="AA220" s="229"/>
      <c r="AB220" s="52">
        <v>65309.248788734032</v>
      </c>
      <c r="AC220" s="288">
        <v>3.2499768110622069</v>
      </c>
      <c r="AD220" s="288">
        <v>55225.741733672432</v>
      </c>
      <c r="AE220" s="288">
        <v>2.9274463005518347</v>
      </c>
      <c r="AF220" s="288">
        <v>10083.5070550616</v>
      </c>
      <c r="AG220" s="289">
        <v>0.32253051051037218</v>
      </c>
      <c r="AH220" s="229"/>
      <c r="AI220" s="205">
        <f t="shared" si="24"/>
        <v>259688.43231748667</v>
      </c>
      <c r="AJ220" s="205">
        <f t="shared" si="25"/>
        <v>237518.88832151104</v>
      </c>
      <c r="AK220" s="205">
        <f t="shared" si="26"/>
        <v>22169.543995975619</v>
      </c>
      <c r="AL220" s="229"/>
      <c r="AM220" s="52">
        <f t="shared" si="4"/>
        <v>1</v>
      </c>
      <c r="AN220" s="52">
        <f t="shared" si="5"/>
        <v>0</v>
      </c>
      <c r="AO220" s="52">
        <f t="shared" si="6"/>
        <v>1</v>
      </c>
      <c r="AP220" s="229"/>
      <c r="AQ220" s="3"/>
      <c r="AR220" s="3"/>
      <c r="AS220" s="3"/>
      <c r="AT220" s="3"/>
      <c r="AU220" s="229"/>
      <c r="AV220" s="318">
        <f t="shared" si="27"/>
        <v>259688.43231748667</v>
      </c>
      <c r="AW220" s="229"/>
      <c r="AX220" s="312"/>
      <c r="AY220" s="14"/>
      <c r="AZ220" s="14">
        <f t="shared" si="29"/>
        <v>10083.5070550616</v>
      </c>
      <c r="BA220" s="14">
        <f t="shared" si="28"/>
        <v>0.32253051051037218</v>
      </c>
      <c r="BB220" s="14">
        <f t="shared" si="2"/>
        <v>31263.730799003981</v>
      </c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</row>
    <row r="221" spans="1:101" ht="14.25" customHeight="1" x14ac:dyDescent="0.2">
      <c r="A221" s="286"/>
      <c r="B221" s="52">
        <v>0.15441016455261622</v>
      </c>
      <c r="C221" s="288">
        <v>2.1503350169617533E-2</v>
      </c>
      <c r="D221" s="288">
        <v>5.953945091377361E-3</v>
      </c>
      <c r="E221" s="288">
        <v>1.1540060642593027E-2</v>
      </c>
      <c r="F221" s="289">
        <v>0.78592607080141785</v>
      </c>
      <c r="G221" s="92">
        <v>0.50821959066404221</v>
      </c>
      <c r="H221" s="288">
        <v>0.26567131902282087</v>
      </c>
      <c r="I221" s="288">
        <v>1.2044821288109049E-2</v>
      </c>
      <c r="J221" s="288">
        <v>1</v>
      </c>
      <c r="K221" s="288">
        <v>0.7716855898687085</v>
      </c>
      <c r="L221" s="290">
        <v>13680.77877026338</v>
      </c>
      <c r="M221" s="288">
        <v>0</v>
      </c>
      <c r="N221" s="288">
        <v>18975.552421100841</v>
      </c>
      <c r="O221" s="288">
        <v>1507.9684675028761</v>
      </c>
      <c r="P221" s="288">
        <v>58166.316902573242</v>
      </c>
      <c r="Q221" s="291">
        <v>83268.203045354981</v>
      </c>
      <c r="R221" s="288">
        <v>20543.032271129981</v>
      </c>
      <c r="S221" s="288">
        <v>10162.554230944728</v>
      </c>
      <c r="T221" s="290">
        <v>0.751</v>
      </c>
      <c r="U221" s="288">
        <v>0.75800000000000001</v>
      </c>
      <c r="V221" s="288">
        <v>0.723923076923077</v>
      </c>
      <c r="W221" s="288">
        <v>0.72750000000000004</v>
      </c>
      <c r="X221" s="288">
        <v>0.76</v>
      </c>
      <c r="Y221" s="288">
        <v>0</v>
      </c>
      <c r="Z221" s="289">
        <v>0</v>
      </c>
      <c r="AA221" s="229"/>
      <c r="AB221" s="52">
        <v>93148.922478555556</v>
      </c>
      <c r="AC221" s="288">
        <v>3.1698796912244585</v>
      </c>
      <c r="AD221" s="288">
        <v>82691.130091297629</v>
      </c>
      <c r="AE221" s="288">
        <v>3.1084202624233224</v>
      </c>
      <c r="AF221" s="288">
        <v>10457.792387257927</v>
      </c>
      <c r="AG221" s="289">
        <v>6.1459428801136085E-2</v>
      </c>
      <c r="AH221" s="229"/>
      <c r="AI221" s="205">
        <f t="shared" si="24"/>
        <v>223839.04664389029</v>
      </c>
      <c r="AJ221" s="205">
        <f t="shared" si="25"/>
        <v>228150.89615103463</v>
      </c>
      <c r="AK221" s="205">
        <f t="shared" si="26"/>
        <v>-4311.8495071443185</v>
      </c>
      <c r="AL221" s="229"/>
      <c r="AM221" s="52">
        <f t="shared" si="4"/>
        <v>0</v>
      </c>
      <c r="AN221" s="52">
        <f t="shared" si="5"/>
        <v>1</v>
      </c>
      <c r="AO221" s="52">
        <f t="shared" si="6"/>
        <v>0</v>
      </c>
      <c r="AP221" s="229"/>
      <c r="AQ221" s="3"/>
      <c r="AR221" s="3"/>
      <c r="AS221" s="3"/>
      <c r="AT221" s="3"/>
      <c r="AU221" s="229"/>
      <c r="AV221" s="318">
        <f t="shared" si="27"/>
        <v>228150.89615103463</v>
      </c>
      <c r="AW221" s="229"/>
      <c r="AX221" s="312"/>
      <c r="AY221" s="14"/>
      <c r="AZ221" s="14">
        <f t="shared" si="29"/>
        <v>10457.792387257927</v>
      </c>
      <c r="BA221" s="14">
        <f t="shared" si="28"/>
        <v>6.1459428801136085E-2</v>
      </c>
      <c r="BB221" s="14">
        <f t="shared" si="2"/>
        <v>170157.65670546898</v>
      </c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BZ221" s="14"/>
      <c r="CA221" s="14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</row>
    <row r="222" spans="1:101" ht="14.25" customHeight="1" x14ac:dyDescent="0.2">
      <c r="A222" s="286"/>
      <c r="B222" s="52">
        <v>0.19459536478165607</v>
      </c>
      <c r="C222" s="288">
        <v>8.036549450592366E-2</v>
      </c>
      <c r="D222" s="288">
        <v>2.7106021535990621E-2</v>
      </c>
      <c r="E222" s="288">
        <v>1.9638959582721216E-2</v>
      </c>
      <c r="F222" s="289">
        <v>0.78454294114952838</v>
      </c>
      <c r="G222" s="92">
        <v>0.33099523987132384</v>
      </c>
      <c r="H222" s="288">
        <v>3.4063152622325157E-3</v>
      </c>
      <c r="I222" s="288">
        <v>2.0124982315504747E-2</v>
      </c>
      <c r="J222" s="288">
        <v>0.99999999999993106</v>
      </c>
      <c r="K222" s="288">
        <v>0.7703313492112176</v>
      </c>
      <c r="L222" s="290">
        <v>15124.427817328342</v>
      </c>
      <c r="M222" s="288">
        <v>0</v>
      </c>
      <c r="N222" s="288">
        <v>14371.295727901916</v>
      </c>
      <c r="O222" s="288">
        <v>1389.6598256861935</v>
      </c>
      <c r="P222" s="288">
        <v>52700.288167440718</v>
      </c>
      <c r="Q222" s="291">
        <v>80049.54108494379</v>
      </c>
      <c r="R222" s="288">
        <v>25598.39102227363</v>
      </c>
      <c r="S222" s="288">
        <v>11735.193357318694</v>
      </c>
      <c r="T222" s="290">
        <v>0.751</v>
      </c>
      <c r="U222" s="288">
        <v>0.75800000000000001</v>
      </c>
      <c r="V222" s="288">
        <v>0.723923076923077</v>
      </c>
      <c r="W222" s="288">
        <v>0.72750000000000004</v>
      </c>
      <c r="X222" s="288">
        <v>0.76</v>
      </c>
      <c r="Y222" s="288">
        <v>0</v>
      </c>
      <c r="Z222" s="289">
        <v>0</v>
      </c>
      <c r="AA222" s="229"/>
      <c r="AB222" s="52">
        <v>107392.36030678928</v>
      </c>
      <c r="AC222" s="288">
        <v>3.1634500982655176</v>
      </c>
      <c r="AD222" s="288">
        <v>91624.607354818349</v>
      </c>
      <c r="AE222" s="288">
        <v>3.102143073911718</v>
      </c>
      <c r="AF222" s="288">
        <v>15767.752951970935</v>
      </c>
      <c r="AG222" s="289">
        <v>6.1307024353799644E-2</v>
      </c>
      <c r="AH222" s="229"/>
      <c r="AI222" s="205">
        <f t="shared" si="24"/>
        <v>208952.64951976249</v>
      </c>
      <c r="AJ222" s="205">
        <f t="shared" si="25"/>
        <v>218589.70003635346</v>
      </c>
      <c r="AK222" s="205">
        <f t="shared" si="26"/>
        <v>-9637.0505165909708</v>
      </c>
      <c r="AL222" s="229"/>
      <c r="AM222" s="52">
        <f t="shared" si="4"/>
        <v>0</v>
      </c>
      <c r="AN222" s="52">
        <f t="shared" si="5"/>
        <v>1</v>
      </c>
      <c r="AO222" s="52">
        <f t="shared" si="6"/>
        <v>0</v>
      </c>
      <c r="AP222" s="229"/>
      <c r="AQ222" s="3"/>
      <c r="AR222" s="3"/>
      <c r="AS222" s="3"/>
      <c r="AT222" s="3"/>
      <c r="AU222" s="229"/>
      <c r="AV222" s="318">
        <f t="shared" si="27"/>
        <v>218589.70003635346</v>
      </c>
      <c r="AW222" s="229"/>
      <c r="AX222" s="312"/>
      <c r="AY222" s="14"/>
      <c r="AZ222" s="14">
        <f t="shared" si="29"/>
        <v>15767.752951970935</v>
      </c>
      <c r="BA222" s="14">
        <f t="shared" si="28"/>
        <v>6.1307024353799644E-2</v>
      </c>
      <c r="BB222" s="14">
        <f t="shared" si="2"/>
        <v>257193.25180383987</v>
      </c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BZ222" s="14"/>
      <c r="CA222" s="14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</row>
    <row r="223" spans="1:101" ht="14.25" customHeight="1" x14ac:dyDescent="0.2">
      <c r="A223" s="286"/>
      <c r="B223" s="52">
        <v>0.14990719023511342</v>
      </c>
      <c r="C223" s="288">
        <v>0.93871101652252875</v>
      </c>
      <c r="D223" s="288">
        <v>1.2725612629372654E-2</v>
      </c>
      <c r="E223" s="288">
        <v>3.7265625830227218E-3</v>
      </c>
      <c r="F223" s="289">
        <v>0.77692464676812945</v>
      </c>
      <c r="G223" s="92">
        <v>0.45212810437804418</v>
      </c>
      <c r="H223" s="288">
        <v>2.1692096300403464E-2</v>
      </c>
      <c r="I223" s="288">
        <v>4.2783194634418376E-2</v>
      </c>
      <c r="J223" s="288">
        <v>2.8895699246601295E-2</v>
      </c>
      <c r="K223" s="288">
        <v>0.73867567556941527</v>
      </c>
      <c r="L223" s="290">
        <v>17095.049473311588</v>
      </c>
      <c r="M223" s="288">
        <v>0</v>
      </c>
      <c r="N223" s="288">
        <v>22064.480150934211</v>
      </c>
      <c r="O223" s="288">
        <v>1381.2260558563403</v>
      </c>
      <c r="P223" s="288">
        <v>44123.896975330928</v>
      </c>
      <c r="Q223" s="291">
        <v>97611.933343136639</v>
      </c>
      <c r="R223" s="288">
        <v>28013.31902851574</v>
      </c>
      <c r="S223" s="288">
        <v>8969.3299032334853</v>
      </c>
      <c r="T223" s="290">
        <v>0.751</v>
      </c>
      <c r="U223" s="288">
        <v>0.75800000000000001</v>
      </c>
      <c r="V223" s="288">
        <v>0.723923076923077</v>
      </c>
      <c r="W223" s="288">
        <v>0.72750000000000004</v>
      </c>
      <c r="X223" s="288">
        <v>0.76</v>
      </c>
      <c r="Y223" s="288">
        <v>0</v>
      </c>
      <c r="Z223" s="289">
        <v>0</v>
      </c>
      <c r="AA223" s="229"/>
      <c r="AB223" s="52">
        <v>90434.820344311753</v>
      </c>
      <c r="AC223" s="288">
        <v>3.1280896050017493</v>
      </c>
      <c r="AD223" s="288">
        <v>69387.025062828776</v>
      </c>
      <c r="AE223" s="288">
        <v>2.9562359619606573</v>
      </c>
      <c r="AF223" s="288">
        <v>21047.795281482977</v>
      </c>
      <c r="AG223" s="289">
        <v>0.17185364304109196</v>
      </c>
      <c r="AH223" s="229"/>
      <c r="AI223" s="205">
        <f t="shared" si="24"/>
        <v>222374.14015586313</v>
      </c>
      <c r="AJ223" s="205">
        <f t="shared" si="25"/>
        <v>226236.57113323692</v>
      </c>
      <c r="AK223" s="205">
        <f t="shared" si="26"/>
        <v>-3862.4309773737805</v>
      </c>
      <c r="AL223" s="229"/>
      <c r="AM223" s="52">
        <f t="shared" si="4"/>
        <v>0</v>
      </c>
      <c r="AN223" s="52">
        <f t="shared" si="5"/>
        <v>1</v>
      </c>
      <c r="AO223" s="52">
        <f t="shared" si="6"/>
        <v>0</v>
      </c>
      <c r="AP223" s="229"/>
      <c r="AQ223" s="3"/>
      <c r="AR223" s="3"/>
      <c r="AS223" s="3"/>
      <c r="AT223" s="3"/>
      <c r="AU223" s="229"/>
      <c r="AV223" s="318">
        <f t="shared" si="27"/>
        <v>226236.57113323692</v>
      </c>
      <c r="AW223" s="229"/>
      <c r="AX223" s="312"/>
      <c r="AY223" s="14"/>
      <c r="AZ223" s="14">
        <f t="shared" si="29"/>
        <v>21047.795281482977</v>
      </c>
      <c r="BA223" s="14">
        <f t="shared" si="28"/>
        <v>0.17185364304109196</v>
      </c>
      <c r="BB223" s="14">
        <f t="shared" si="2"/>
        <v>122475.11841486092</v>
      </c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BZ223" s="14"/>
      <c r="CA223" s="14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</row>
    <row r="224" spans="1:101" ht="14.25" customHeight="1" x14ac:dyDescent="0.2">
      <c r="A224" s="286"/>
      <c r="B224" s="52">
        <v>0.15774556699226905</v>
      </c>
      <c r="C224" s="288">
        <v>1.9948825628833385E-2</v>
      </c>
      <c r="D224" s="288">
        <v>1.7617662538536027E-2</v>
      </c>
      <c r="E224" s="288">
        <v>6.9314188963854311E-3</v>
      </c>
      <c r="F224" s="289">
        <v>0.80548768223527489</v>
      </c>
      <c r="G224" s="92">
        <v>0.4203175887087971</v>
      </c>
      <c r="H224" s="288">
        <v>0.70599770964956932</v>
      </c>
      <c r="I224" s="288">
        <v>5.8681453647611237E-2</v>
      </c>
      <c r="J224" s="288">
        <v>1</v>
      </c>
      <c r="K224" s="288">
        <v>0.7037726492236388</v>
      </c>
      <c r="L224" s="290">
        <v>16907.595624127771</v>
      </c>
      <c r="M224" s="288">
        <v>0</v>
      </c>
      <c r="N224" s="288">
        <v>17273.511003408741</v>
      </c>
      <c r="O224" s="288">
        <v>1308.6761239491032</v>
      </c>
      <c r="P224" s="288">
        <v>40006.749190902861</v>
      </c>
      <c r="Q224" s="291">
        <v>97091.995728194219</v>
      </c>
      <c r="R224" s="288">
        <v>26377.463834664759</v>
      </c>
      <c r="S224" s="288">
        <v>8573.2638560625128</v>
      </c>
      <c r="T224" s="290">
        <v>0.751</v>
      </c>
      <c r="U224" s="288">
        <v>0.75800000000000001</v>
      </c>
      <c r="V224" s="288">
        <v>0.723923076923077</v>
      </c>
      <c r="W224" s="288">
        <v>0.72750000000000004</v>
      </c>
      <c r="X224" s="288">
        <v>0.76</v>
      </c>
      <c r="Y224" s="288">
        <v>0</v>
      </c>
      <c r="Z224" s="289">
        <v>0</v>
      </c>
      <c r="AA224" s="229"/>
      <c r="AB224" s="52">
        <v>85849.774250169867</v>
      </c>
      <c r="AC224" s="288">
        <v>3.261134782529123</v>
      </c>
      <c r="AD224" s="288">
        <v>71903.219091832696</v>
      </c>
      <c r="AE224" s="288">
        <v>2.7971920676262769</v>
      </c>
      <c r="AF224" s="288">
        <v>13946.555158337171</v>
      </c>
      <c r="AG224" s="289">
        <v>0.46394271490284611</v>
      </c>
      <c r="AH224" s="229"/>
      <c r="AI224" s="205">
        <f t="shared" si="24"/>
        <v>240263.70400274242</v>
      </c>
      <c r="AJ224" s="205">
        <f t="shared" si="25"/>
        <v>207815.987670795</v>
      </c>
      <c r="AK224" s="205">
        <f t="shared" si="26"/>
        <v>32447.716331947442</v>
      </c>
      <c r="AL224" s="229"/>
      <c r="AM224" s="52">
        <f t="shared" si="4"/>
        <v>1</v>
      </c>
      <c r="AN224" s="52">
        <f t="shared" si="5"/>
        <v>0</v>
      </c>
      <c r="AO224" s="52">
        <f t="shared" si="6"/>
        <v>1</v>
      </c>
      <c r="AP224" s="229"/>
      <c r="AQ224" s="3"/>
      <c r="AR224" s="3"/>
      <c r="AS224" s="3"/>
      <c r="AT224" s="3"/>
      <c r="AU224" s="229"/>
      <c r="AV224" s="318">
        <f t="shared" si="27"/>
        <v>240263.70400274242</v>
      </c>
      <c r="AW224" s="229"/>
      <c r="AX224" s="312"/>
      <c r="AY224" s="14"/>
      <c r="AZ224" s="14">
        <f t="shared" si="29"/>
        <v>13946.555158337171</v>
      </c>
      <c r="BA224" s="14">
        <f t="shared" si="28"/>
        <v>0.46394271490284611</v>
      </c>
      <c r="BB224" s="14">
        <f t="shared" si="2"/>
        <v>30060.942246410115</v>
      </c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</row>
    <row r="225" spans="1:101" ht="14.25" customHeight="1" x14ac:dyDescent="0.2">
      <c r="A225" s="286"/>
      <c r="B225" s="52">
        <v>0.12649675948756925</v>
      </c>
      <c r="C225" s="288">
        <v>0.88774429762198315</v>
      </c>
      <c r="D225" s="288">
        <v>1.8199266730367203E-2</v>
      </c>
      <c r="E225" s="288">
        <v>1.1412630054366579E-2</v>
      </c>
      <c r="F225" s="289">
        <v>0.7899966162191876</v>
      </c>
      <c r="G225" s="92">
        <v>0.41520392404117268</v>
      </c>
      <c r="H225" s="288">
        <v>0.99273368617104096</v>
      </c>
      <c r="I225" s="288">
        <v>9.4905251440363225E-3</v>
      </c>
      <c r="J225" s="288">
        <v>1.1466174843365939E-2</v>
      </c>
      <c r="K225" s="288">
        <v>0.76283433716165594</v>
      </c>
      <c r="L225" s="290">
        <v>17807.380136218166</v>
      </c>
      <c r="M225" s="288">
        <v>0</v>
      </c>
      <c r="N225" s="288">
        <v>19643.374637395802</v>
      </c>
      <c r="O225" s="288">
        <v>958.79066324202688</v>
      </c>
      <c r="P225" s="288">
        <v>41062.510923565605</v>
      </c>
      <c r="Q225" s="291">
        <v>84745.263154060056</v>
      </c>
      <c r="R225" s="288">
        <v>37802.087000006279</v>
      </c>
      <c r="S225" s="288">
        <v>11598.585143052816</v>
      </c>
      <c r="T225" s="290">
        <v>0.751</v>
      </c>
      <c r="U225" s="288">
        <v>0.75800000000000001</v>
      </c>
      <c r="V225" s="288">
        <v>0.723923076923077</v>
      </c>
      <c r="W225" s="288">
        <v>0.72750000000000004</v>
      </c>
      <c r="X225" s="288">
        <v>0.76</v>
      </c>
      <c r="Y225" s="288">
        <v>0</v>
      </c>
      <c r="Z225" s="289">
        <v>0</v>
      </c>
      <c r="AA225" s="229"/>
      <c r="AB225" s="52">
        <v>113103.49685297671</v>
      </c>
      <c r="AC225" s="288">
        <v>3.1888193692775135</v>
      </c>
      <c r="AD225" s="288">
        <v>104526.88586543471</v>
      </c>
      <c r="AE225" s="288">
        <v>3.0674451543902954</v>
      </c>
      <c r="AF225" s="288">
        <v>8576.6109875419934</v>
      </c>
      <c r="AG225" s="289">
        <v>0.12137421488721811</v>
      </c>
      <c r="AH225" s="229"/>
      <c r="AI225" s="205">
        <f t="shared" si="24"/>
        <v>205778.44007477464</v>
      </c>
      <c r="AJ225" s="205">
        <f t="shared" si="25"/>
        <v>202217.62957359484</v>
      </c>
      <c r="AK225" s="205">
        <f t="shared" si="26"/>
        <v>3560.8105011798179</v>
      </c>
      <c r="AL225" s="229"/>
      <c r="AM225" s="52">
        <f t="shared" si="4"/>
        <v>1</v>
      </c>
      <c r="AN225" s="52">
        <f t="shared" si="5"/>
        <v>0</v>
      </c>
      <c r="AO225" s="52">
        <f t="shared" si="6"/>
        <v>1</v>
      </c>
      <c r="AP225" s="229"/>
      <c r="AQ225" s="3"/>
      <c r="AR225" s="3"/>
      <c r="AS225" s="3"/>
      <c r="AT225" s="3"/>
      <c r="AU225" s="229"/>
      <c r="AV225" s="318">
        <f t="shared" si="27"/>
        <v>205778.44007477464</v>
      </c>
      <c r="AW225" s="229"/>
      <c r="AX225" s="312"/>
      <c r="AY225" s="14"/>
      <c r="AZ225" s="14">
        <f t="shared" si="29"/>
        <v>8576.6109875419934</v>
      </c>
      <c r="BA225" s="14">
        <f t="shared" si="28"/>
        <v>0.12137421488721811</v>
      </c>
      <c r="BB225" s="14">
        <f t="shared" si="2"/>
        <v>70662.545545703004</v>
      </c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BZ225" s="14"/>
      <c r="CA225" s="14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</row>
    <row r="226" spans="1:101" ht="14.25" customHeight="1" x14ac:dyDescent="0.2">
      <c r="A226" s="286"/>
      <c r="B226" s="52">
        <v>0.14988611566165247</v>
      </c>
      <c r="C226" s="288">
        <v>5.9365697888664963E-2</v>
      </c>
      <c r="D226" s="288">
        <v>1.8526872982685294E-2</v>
      </c>
      <c r="E226" s="288">
        <v>6.9507756633612038E-3</v>
      </c>
      <c r="F226" s="289">
        <v>0.7495696925308627</v>
      </c>
      <c r="G226" s="92">
        <v>0.41482309964810238</v>
      </c>
      <c r="H226" s="288">
        <v>0.19384298915928552</v>
      </c>
      <c r="I226" s="288">
        <v>1.8790580717639616E-2</v>
      </c>
      <c r="J226" s="288">
        <v>0.38037725248439819</v>
      </c>
      <c r="K226" s="288">
        <v>0.7212167600634638</v>
      </c>
      <c r="L226" s="290">
        <v>12072.466219009459</v>
      </c>
      <c r="M226" s="288">
        <v>0</v>
      </c>
      <c r="N226" s="288">
        <v>19835.744355048821</v>
      </c>
      <c r="O226" s="288">
        <v>1226.9569756930657</v>
      </c>
      <c r="P226" s="288">
        <v>27229.8294071376</v>
      </c>
      <c r="Q226" s="291">
        <v>96105.361649304337</v>
      </c>
      <c r="R226" s="288">
        <v>25886.746805541079</v>
      </c>
      <c r="S226" s="288">
        <v>9639.7050406287763</v>
      </c>
      <c r="T226" s="290">
        <v>0.751</v>
      </c>
      <c r="U226" s="288">
        <v>0.75800000000000001</v>
      </c>
      <c r="V226" s="288">
        <v>0.723923076923077</v>
      </c>
      <c r="W226" s="288">
        <v>0.72750000000000004</v>
      </c>
      <c r="X226" s="288">
        <v>0.76</v>
      </c>
      <c r="Y226" s="288">
        <v>0</v>
      </c>
      <c r="Z226" s="289">
        <v>0</v>
      </c>
      <c r="AA226" s="229"/>
      <c r="AB226" s="52">
        <v>84304.757999451307</v>
      </c>
      <c r="AC226" s="288">
        <v>3.0018712243702139</v>
      </c>
      <c r="AD226" s="288">
        <v>72777.407079269396</v>
      </c>
      <c r="AE226" s="288">
        <v>2.8764402567000604</v>
      </c>
      <c r="AF226" s="288">
        <v>11527.350920181911</v>
      </c>
      <c r="AG226" s="289">
        <v>0.12543096767015349</v>
      </c>
      <c r="AH226" s="229"/>
      <c r="AI226" s="205">
        <f t="shared" si="24"/>
        <v>215882.3644375701</v>
      </c>
      <c r="AJ226" s="205">
        <f t="shared" si="25"/>
        <v>214866.61859073665</v>
      </c>
      <c r="AK226" s="205">
        <f t="shared" si="26"/>
        <v>1015.7458468334389</v>
      </c>
      <c r="AL226" s="229"/>
      <c r="AM226" s="52">
        <f t="shared" si="4"/>
        <v>1</v>
      </c>
      <c r="AN226" s="52">
        <f t="shared" si="5"/>
        <v>0</v>
      </c>
      <c r="AO226" s="52">
        <f t="shared" si="6"/>
        <v>1</v>
      </c>
      <c r="AP226" s="229"/>
      <c r="AQ226" s="3"/>
      <c r="AR226" s="3"/>
      <c r="AS226" s="3"/>
      <c r="AT226" s="3"/>
      <c r="AU226" s="229"/>
      <c r="AV226" s="318">
        <f t="shared" si="27"/>
        <v>215882.3644375701</v>
      </c>
      <c r="AW226" s="229"/>
      <c r="AX226" s="312"/>
      <c r="AY226" s="14"/>
      <c r="AZ226" s="14">
        <f t="shared" si="29"/>
        <v>11527.350920181911</v>
      </c>
      <c r="BA226" s="14">
        <f t="shared" si="28"/>
        <v>0.12543096767015349</v>
      </c>
      <c r="BB226" s="14">
        <f t="shared" si="2"/>
        <v>91901.953196242961</v>
      </c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BZ226" s="14"/>
      <c r="CA226" s="14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</row>
    <row r="227" spans="1:101" ht="14.25" customHeight="1" x14ac:dyDescent="0.2">
      <c r="A227" s="286"/>
      <c r="B227" s="52">
        <v>0.17608252001498437</v>
      </c>
      <c r="C227" s="288">
        <v>0.12518931126375182</v>
      </c>
      <c r="D227" s="288">
        <v>1.2651136714238382E-2</v>
      </c>
      <c r="E227" s="288">
        <v>9.7936960550638417E-3</v>
      </c>
      <c r="F227" s="289">
        <v>0.80327153630763171</v>
      </c>
      <c r="G227" s="92">
        <v>0.3874817233844271</v>
      </c>
      <c r="H227" s="288">
        <v>0.43757320011350431</v>
      </c>
      <c r="I227" s="288">
        <v>1.3492405676568552E-2</v>
      </c>
      <c r="J227" s="288">
        <v>0.96792453012492263</v>
      </c>
      <c r="K227" s="288">
        <v>0.76760063678926727</v>
      </c>
      <c r="L227" s="290">
        <v>10049.220108955429</v>
      </c>
      <c r="M227" s="288">
        <v>0</v>
      </c>
      <c r="N227" s="288">
        <v>18738.647305586612</v>
      </c>
      <c r="O227" s="288">
        <v>1183.0650527443579</v>
      </c>
      <c r="P227" s="288">
        <v>50591.069272793349</v>
      </c>
      <c r="Q227" s="291">
        <v>93663.041446713629</v>
      </c>
      <c r="R227" s="288">
        <v>31290.704317436983</v>
      </c>
      <c r="S227" s="288">
        <v>7906.4020232189459</v>
      </c>
      <c r="T227" s="290">
        <v>0.751</v>
      </c>
      <c r="U227" s="288">
        <v>0.75800000000000001</v>
      </c>
      <c r="V227" s="288">
        <v>0.723923076923077</v>
      </c>
      <c r="W227" s="288">
        <v>0.72750000000000004</v>
      </c>
      <c r="X227" s="288">
        <v>0.76</v>
      </c>
      <c r="Y227" s="288">
        <v>0</v>
      </c>
      <c r="Z227" s="289">
        <v>0</v>
      </c>
      <c r="AA227" s="229"/>
      <c r="AB227" s="52">
        <v>74046.753505800545</v>
      </c>
      <c r="AC227" s="288">
        <v>3.2507662954331007</v>
      </c>
      <c r="AD227" s="288">
        <v>67070.111220547682</v>
      </c>
      <c r="AE227" s="288">
        <v>3.08949444246301</v>
      </c>
      <c r="AF227" s="288">
        <v>6976.6422852528631</v>
      </c>
      <c r="AG227" s="289">
        <v>0.16127185297009072</v>
      </c>
      <c r="AH227" s="229"/>
      <c r="AI227" s="205">
        <f t="shared" si="24"/>
        <v>251029.87603750953</v>
      </c>
      <c r="AJ227" s="205">
        <f t="shared" si="25"/>
        <v>241879.33302575332</v>
      </c>
      <c r="AK227" s="205">
        <f t="shared" si="26"/>
        <v>9150.54301175621</v>
      </c>
      <c r="AL227" s="229"/>
      <c r="AM227" s="52">
        <f t="shared" si="4"/>
        <v>1</v>
      </c>
      <c r="AN227" s="52">
        <f t="shared" si="5"/>
        <v>0</v>
      </c>
      <c r="AO227" s="52">
        <f t="shared" si="6"/>
        <v>1</v>
      </c>
      <c r="AP227" s="229"/>
      <c r="AQ227" s="3"/>
      <c r="AR227" s="3"/>
      <c r="AS227" s="3"/>
      <c r="AT227" s="3"/>
      <c r="AU227" s="229"/>
      <c r="AV227" s="318">
        <f t="shared" si="27"/>
        <v>251029.87603750953</v>
      </c>
      <c r="AW227" s="229"/>
      <c r="AX227" s="312"/>
      <c r="AY227" s="14"/>
      <c r="AZ227" s="14">
        <f t="shared" si="29"/>
        <v>6976.6422852528631</v>
      </c>
      <c r="BA227" s="14">
        <f t="shared" si="28"/>
        <v>0.16127185297009072</v>
      </c>
      <c r="BB227" s="14">
        <f t="shared" si="2"/>
        <v>43260.135955322236</v>
      </c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BZ227" s="14"/>
      <c r="CA227" s="14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</row>
    <row r="228" spans="1:101" ht="14.25" customHeight="1" x14ac:dyDescent="0.2">
      <c r="A228" s="286"/>
      <c r="B228" s="52">
        <v>0.16026090009215077</v>
      </c>
      <c r="C228" s="288">
        <v>0.17817666062100082</v>
      </c>
      <c r="D228" s="288">
        <v>1.9627744305242611E-2</v>
      </c>
      <c r="E228" s="288">
        <v>1.1803330827992979E-2</v>
      </c>
      <c r="F228" s="289">
        <v>0.80331033686344833</v>
      </c>
      <c r="G228" s="92">
        <v>0.43949086659529779</v>
      </c>
      <c r="H228" s="288">
        <v>0.58732643059983958</v>
      </c>
      <c r="I228" s="288">
        <v>3.7280758883721066E-2</v>
      </c>
      <c r="J228" s="288">
        <v>0.99999999999980083</v>
      </c>
      <c r="K228" s="288">
        <v>0.77317580898674254</v>
      </c>
      <c r="L228" s="290">
        <v>10974.638458058596</v>
      </c>
      <c r="M228" s="288">
        <v>0</v>
      </c>
      <c r="N228" s="288">
        <v>18671.441872453808</v>
      </c>
      <c r="O228" s="288">
        <v>1037.1406883403379</v>
      </c>
      <c r="P228" s="288">
        <v>48745.762610195605</v>
      </c>
      <c r="Q228" s="291">
        <v>111275.91397133649</v>
      </c>
      <c r="R228" s="288">
        <v>20728.290429859011</v>
      </c>
      <c r="S228" s="288">
        <v>7993.6489436211295</v>
      </c>
      <c r="T228" s="290">
        <v>0.751</v>
      </c>
      <c r="U228" s="288">
        <v>0.75800000000000001</v>
      </c>
      <c r="V228" s="288">
        <v>0.723923076923077</v>
      </c>
      <c r="W228" s="288">
        <v>0.72750000000000004</v>
      </c>
      <c r="X228" s="288">
        <v>0.76</v>
      </c>
      <c r="Y228" s="288">
        <v>0</v>
      </c>
      <c r="Z228" s="289">
        <v>0</v>
      </c>
      <c r="AA228" s="229"/>
      <c r="AB228" s="52">
        <v>75671.618257302034</v>
      </c>
      <c r="AC228" s="288">
        <v>3.250947761926871</v>
      </c>
      <c r="AD228" s="288">
        <v>70224.237707024469</v>
      </c>
      <c r="AE228" s="288">
        <v>3.1153310802799483</v>
      </c>
      <c r="AF228" s="288">
        <v>5447.3805502775649</v>
      </c>
      <c r="AG228" s="289">
        <v>0.13561668164692264</v>
      </c>
      <c r="AH228" s="229"/>
      <c r="AI228" s="205">
        <f t="shared" si="24"/>
        <v>249423.15793538507</v>
      </c>
      <c r="AJ228" s="205">
        <f t="shared" si="25"/>
        <v>241308.87032097034</v>
      </c>
      <c r="AK228" s="205">
        <f t="shared" si="26"/>
        <v>8114.2876144146994</v>
      </c>
      <c r="AL228" s="229"/>
      <c r="AM228" s="52">
        <f t="shared" si="4"/>
        <v>1</v>
      </c>
      <c r="AN228" s="52">
        <f t="shared" si="5"/>
        <v>0</v>
      </c>
      <c r="AO228" s="52">
        <f t="shared" si="6"/>
        <v>1</v>
      </c>
      <c r="AP228" s="229"/>
      <c r="AQ228" s="3"/>
      <c r="AR228" s="3"/>
      <c r="AS228" s="3"/>
      <c r="AT228" s="3"/>
      <c r="AU228" s="229"/>
      <c r="AV228" s="318">
        <f t="shared" si="27"/>
        <v>249423.15793538507</v>
      </c>
      <c r="AW228" s="229"/>
      <c r="AX228" s="312"/>
      <c r="AY228" s="14"/>
      <c r="AZ228" s="14">
        <f t="shared" si="29"/>
        <v>5447.3805502775649</v>
      </c>
      <c r="BA228" s="14">
        <f t="shared" si="28"/>
        <v>0.13561668164692264</v>
      </c>
      <c r="BB228" s="14">
        <f t="shared" si="2"/>
        <v>40167.481493610008</v>
      </c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BZ228" s="14"/>
      <c r="CA228" s="14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</row>
    <row r="229" spans="1:101" ht="14.25" customHeight="1" x14ac:dyDescent="0.2">
      <c r="A229" s="286"/>
      <c r="B229" s="52">
        <v>0.1384786416232138</v>
      </c>
      <c r="C229" s="288">
        <v>0.16066200427205943</v>
      </c>
      <c r="D229" s="288">
        <v>6.5618218666641985E-3</v>
      </c>
      <c r="E229" s="288">
        <v>7.7717606330369943E-3</v>
      </c>
      <c r="F229" s="289">
        <v>0.77306474820785809</v>
      </c>
      <c r="G229" s="92">
        <v>0.3667351049037792</v>
      </c>
      <c r="H229" s="288">
        <v>0.85317506731978998</v>
      </c>
      <c r="I229" s="288">
        <v>3.1083658772967815E-2</v>
      </c>
      <c r="J229" s="288">
        <v>0.99999999635034653</v>
      </c>
      <c r="K229" s="288">
        <v>0.78900262073929972</v>
      </c>
      <c r="L229" s="290">
        <v>12459.146080537714</v>
      </c>
      <c r="M229" s="288">
        <v>0</v>
      </c>
      <c r="N229" s="288">
        <v>18422.203846123637</v>
      </c>
      <c r="O229" s="288">
        <v>971.22260511625825</v>
      </c>
      <c r="P229" s="288">
        <v>32780.314128529091</v>
      </c>
      <c r="Q229" s="291">
        <v>77458.000828484466</v>
      </c>
      <c r="R229" s="288">
        <v>25385.362682404284</v>
      </c>
      <c r="S229" s="288">
        <v>7094.2700882552945</v>
      </c>
      <c r="T229" s="290">
        <v>0.751</v>
      </c>
      <c r="U229" s="288">
        <v>0.75800000000000001</v>
      </c>
      <c r="V229" s="288">
        <v>0.723923076923077</v>
      </c>
      <c r="W229" s="288">
        <v>0.72750000000000004</v>
      </c>
      <c r="X229" s="288">
        <v>0.76</v>
      </c>
      <c r="Y229" s="288">
        <v>0</v>
      </c>
      <c r="Z229" s="289">
        <v>0</v>
      </c>
      <c r="AA229" s="229"/>
      <c r="AB229" s="52">
        <v>67536.568827788185</v>
      </c>
      <c r="AC229" s="288">
        <v>3.1102085406195212</v>
      </c>
      <c r="AD229" s="288">
        <v>65379.952337324539</v>
      </c>
      <c r="AE229" s="288">
        <v>3.18894314535684</v>
      </c>
      <c r="AF229" s="288">
        <v>2156.6164904636462</v>
      </c>
      <c r="AG229" s="289">
        <v>-7.8734604737318747E-2</v>
      </c>
      <c r="AH229" s="229"/>
      <c r="AI229" s="205">
        <f t="shared" si="24"/>
        <v>243484.28523416398</v>
      </c>
      <c r="AJ229" s="205">
        <f t="shared" si="25"/>
        <v>253514.36219835948</v>
      </c>
      <c r="AK229" s="205">
        <f t="shared" si="26"/>
        <v>-10030.076964195521</v>
      </c>
      <c r="AL229" s="229"/>
      <c r="AM229" s="52">
        <f t="shared" si="4"/>
        <v>0</v>
      </c>
      <c r="AN229" s="52">
        <f t="shared" si="5"/>
        <v>1</v>
      </c>
      <c r="AO229" s="52">
        <f t="shared" si="6"/>
        <v>0</v>
      </c>
      <c r="AP229" s="229"/>
      <c r="AQ229" s="3"/>
      <c r="AR229" s="3"/>
      <c r="AS229" s="3"/>
      <c r="AT229" s="3"/>
      <c r="AU229" s="229"/>
      <c r="AV229" s="318">
        <f t="shared" si="27"/>
        <v>253514.36219835948</v>
      </c>
      <c r="AW229" s="229"/>
      <c r="AX229" s="312"/>
      <c r="AY229" s="14"/>
      <c r="AZ229" s="14">
        <f t="shared" si="29"/>
        <v>2156.6164904636462</v>
      </c>
      <c r="BA229" s="14">
        <f t="shared" si="28"/>
        <v>-7.8734604737318747E-2</v>
      </c>
      <c r="BB229" s="14">
        <f t="shared" si="2"/>
        <v>-27390.961034969798</v>
      </c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BZ229" s="14"/>
      <c r="CA229" s="14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</row>
    <row r="230" spans="1:101" ht="14.25" customHeight="1" x14ac:dyDescent="0.2">
      <c r="A230" s="286"/>
      <c r="B230" s="52">
        <v>0.15896516413078357</v>
      </c>
      <c r="C230" s="288">
        <v>0.31526270089702357</v>
      </c>
      <c r="D230" s="288">
        <v>1.021633785795196E-2</v>
      </c>
      <c r="E230" s="288">
        <v>1.8233758911678E-2</v>
      </c>
      <c r="F230" s="289">
        <v>0.80030776688230998</v>
      </c>
      <c r="G230" s="92">
        <v>0.41392668943323063</v>
      </c>
      <c r="H230" s="288">
        <v>0.39770300123668956</v>
      </c>
      <c r="I230" s="288">
        <v>2.2340897313412045E-2</v>
      </c>
      <c r="J230" s="288">
        <v>0.10592015878578498</v>
      </c>
      <c r="K230" s="288">
        <v>0.78494581176401679</v>
      </c>
      <c r="L230" s="290">
        <v>9620.0012169382153</v>
      </c>
      <c r="M230" s="288">
        <v>0</v>
      </c>
      <c r="N230" s="288">
        <v>21637.874407360247</v>
      </c>
      <c r="O230" s="288">
        <v>1140.4980964726205</v>
      </c>
      <c r="P230" s="288">
        <v>28641.48069347128</v>
      </c>
      <c r="Q230" s="291">
        <v>112588.85430838757</v>
      </c>
      <c r="R230" s="288">
        <v>21500.519564626473</v>
      </c>
      <c r="S230" s="288">
        <v>7422.4301496449489</v>
      </c>
      <c r="T230" s="290">
        <v>0.751</v>
      </c>
      <c r="U230" s="288">
        <v>0.75800000000000001</v>
      </c>
      <c r="V230" s="288">
        <v>0.723923076923077</v>
      </c>
      <c r="W230" s="288">
        <v>0.72750000000000004</v>
      </c>
      <c r="X230" s="288">
        <v>0.76</v>
      </c>
      <c r="Y230" s="288">
        <v>0</v>
      </c>
      <c r="Z230" s="289">
        <v>0</v>
      </c>
      <c r="AA230" s="229"/>
      <c r="AB230" s="52">
        <v>69884.99361339258</v>
      </c>
      <c r="AC230" s="288">
        <v>3.2369120078782494</v>
      </c>
      <c r="AD230" s="288">
        <v>63181.785949218553</v>
      </c>
      <c r="AE230" s="288">
        <v>3.1700368941117776</v>
      </c>
      <c r="AF230" s="288">
        <v>6703.2076641740277</v>
      </c>
      <c r="AG230" s="289">
        <v>6.6875113766471816E-2</v>
      </c>
      <c r="AH230" s="229"/>
      <c r="AI230" s="205">
        <f t="shared" si="24"/>
        <v>253806.20717443235</v>
      </c>
      <c r="AJ230" s="205">
        <f t="shared" si="25"/>
        <v>253821.90346195921</v>
      </c>
      <c r="AK230" s="205">
        <f t="shared" si="26"/>
        <v>-15.69628752684639</v>
      </c>
      <c r="AL230" s="229"/>
      <c r="AM230" s="52">
        <f t="shared" si="4"/>
        <v>0</v>
      </c>
      <c r="AN230" s="52">
        <f t="shared" si="5"/>
        <v>1</v>
      </c>
      <c r="AO230" s="52">
        <f t="shared" si="6"/>
        <v>0</v>
      </c>
      <c r="AP230" s="229"/>
      <c r="AQ230" s="3"/>
      <c r="AR230" s="3"/>
      <c r="AS230" s="3"/>
      <c r="AT230" s="3"/>
      <c r="AU230" s="229"/>
      <c r="AV230" s="318">
        <f t="shared" si="27"/>
        <v>253821.90346195921</v>
      </c>
      <c r="AW230" s="229"/>
      <c r="AX230" s="312"/>
      <c r="AY230" s="14"/>
      <c r="AZ230" s="14">
        <f t="shared" si="29"/>
        <v>6703.2076641740277</v>
      </c>
      <c r="BA230" s="14">
        <f t="shared" si="28"/>
        <v>6.6875113766471816E-2</v>
      </c>
      <c r="BB230" s="14">
        <f t="shared" si="2"/>
        <v>100234.71044223801</v>
      </c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BZ230" s="14"/>
      <c r="CA230" s="14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</row>
    <row r="231" spans="1:101" ht="14.25" customHeight="1" x14ac:dyDescent="0.2">
      <c r="A231" s="286"/>
      <c r="B231" s="52">
        <v>0.16260784713652565</v>
      </c>
      <c r="C231" s="288">
        <v>0.41024549347146777</v>
      </c>
      <c r="D231" s="288">
        <v>1.999472189985152E-2</v>
      </c>
      <c r="E231" s="288">
        <v>1.1175376788572415E-2</v>
      </c>
      <c r="F231" s="289">
        <v>0.75359044887375015</v>
      </c>
      <c r="G231" s="92">
        <v>0.40807534472961526</v>
      </c>
      <c r="H231" s="288">
        <v>0.24730951456507969</v>
      </c>
      <c r="I231" s="288">
        <v>1.5811087443415493E-2</v>
      </c>
      <c r="J231" s="288">
        <v>0.99999999998801181</v>
      </c>
      <c r="K231" s="288">
        <v>0.79395739040469626</v>
      </c>
      <c r="L231" s="290">
        <v>10062.562830305122</v>
      </c>
      <c r="M231" s="288">
        <v>0</v>
      </c>
      <c r="N231" s="288">
        <v>16861.74046496343</v>
      </c>
      <c r="O231" s="288">
        <v>1198.1274156153374</v>
      </c>
      <c r="P231" s="288">
        <v>34337.070644806241</v>
      </c>
      <c r="Q231" s="291">
        <v>122411.02141550952</v>
      </c>
      <c r="R231" s="288">
        <v>24124.817420735471</v>
      </c>
      <c r="S231" s="288">
        <v>7924.9068712272592</v>
      </c>
      <c r="T231" s="290">
        <v>0.751</v>
      </c>
      <c r="U231" s="288">
        <v>0.75800000000000001</v>
      </c>
      <c r="V231" s="288">
        <v>0.723923076923077</v>
      </c>
      <c r="W231" s="288">
        <v>0.72750000000000004</v>
      </c>
      <c r="X231" s="288">
        <v>0.76</v>
      </c>
      <c r="Y231" s="288">
        <v>0</v>
      </c>
      <c r="Z231" s="289">
        <v>0</v>
      </c>
      <c r="AA231" s="229"/>
      <c r="AB231" s="52">
        <v>71404.366781621342</v>
      </c>
      <c r="AC231" s="288">
        <v>3.0203498002809881</v>
      </c>
      <c r="AD231" s="288">
        <v>66810.479667688691</v>
      </c>
      <c r="AE231" s="288">
        <v>3.2120694201938766</v>
      </c>
      <c r="AF231" s="288">
        <v>4593.8871139326511</v>
      </c>
      <c r="AG231" s="289">
        <v>-0.19171961991288855</v>
      </c>
      <c r="AH231" s="229"/>
      <c r="AI231" s="205">
        <f t="shared" si="24"/>
        <v>230630.61324647744</v>
      </c>
      <c r="AJ231" s="205">
        <f t="shared" si="25"/>
        <v>254396.46235169898</v>
      </c>
      <c r="AK231" s="205">
        <f t="shared" si="26"/>
        <v>-23765.849105221507</v>
      </c>
      <c r="AL231" s="229"/>
      <c r="AM231" s="52">
        <f t="shared" si="4"/>
        <v>0</v>
      </c>
      <c r="AN231" s="52">
        <f t="shared" si="5"/>
        <v>1</v>
      </c>
      <c r="AO231" s="52">
        <f t="shared" si="6"/>
        <v>0</v>
      </c>
      <c r="AP231" s="229"/>
      <c r="AQ231" s="3"/>
      <c r="AR231" s="3"/>
      <c r="AS231" s="3"/>
      <c r="AT231" s="3"/>
      <c r="AU231" s="229"/>
      <c r="AV231" s="318">
        <f t="shared" si="27"/>
        <v>254396.46235169898</v>
      </c>
      <c r="AW231" s="229"/>
      <c r="AX231" s="312"/>
      <c r="AY231" s="14"/>
      <c r="AZ231" s="14">
        <f t="shared" si="29"/>
        <v>4593.8871139326511</v>
      </c>
      <c r="BA231" s="14">
        <f t="shared" si="28"/>
        <v>-0.19171961991288855</v>
      </c>
      <c r="BB231" s="14">
        <f t="shared" si="2"/>
        <v>-23961.486654417378</v>
      </c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BZ231" s="14"/>
      <c r="CA231" s="14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</row>
    <row r="232" spans="1:101" ht="14.25" customHeight="1" x14ac:dyDescent="0.2">
      <c r="A232" s="286"/>
      <c r="B232" s="52">
        <v>0.15769158871901068</v>
      </c>
      <c r="C232" s="288">
        <v>0.40874897642180441</v>
      </c>
      <c r="D232" s="288">
        <v>1.9782845050501985E-2</v>
      </c>
      <c r="E232" s="288">
        <v>1.7716902041191362E-2</v>
      </c>
      <c r="F232" s="289">
        <v>0.77285225029494387</v>
      </c>
      <c r="G232" s="92">
        <v>0.35027962295548559</v>
      </c>
      <c r="H232" s="288">
        <v>0.1000802294073703</v>
      </c>
      <c r="I232" s="288">
        <v>1.5298466746996638E-2</v>
      </c>
      <c r="J232" s="288">
        <v>2.2074344674347896E-2</v>
      </c>
      <c r="K232" s="288">
        <v>0.75362916938400959</v>
      </c>
      <c r="L232" s="290">
        <v>11347.701830955464</v>
      </c>
      <c r="M232" s="288">
        <v>0</v>
      </c>
      <c r="N232" s="288">
        <v>15260.371563990691</v>
      </c>
      <c r="O232" s="288">
        <v>1550.1798775719194</v>
      </c>
      <c r="P232" s="288">
        <v>33405.394951038994</v>
      </c>
      <c r="Q232" s="291">
        <v>110830.95571013144</v>
      </c>
      <c r="R232" s="288">
        <v>21911.89040572954</v>
      </c>
      <c r="S232" s="288">
        <v>8596.5468859639659</v>
      </c>
      <c r="T232" s="290">
        <v>0.751</v>
      </c>
      <c r="U232" s="288">
        <v>0.75800000000000001</v>
      </c>
      <c r="V232" s="288">
        <v>0.723923076923077</v>
      </c>
      <c r="W232" s="288">
        <v>0.72750000000000004</v>
      </c>
      <c r="X232" s="288">
        <v>0.76</v>
      </c>
      <c r="Y232" s="288">
        <v>0</v>
      </c>
      <c r="Z232" s="289">
        <v>0</v>
      </c>
      <c r="AA232" s="229"/>
      <c r="AB232" s="52">
        <v>79142.353393472251</v>
      </c>
      <c r="AC232" s="288">
        <v>3.1092248180678355</v>
      </c>
      <c r="AD232" s="288">
        <v>66548.790499784576</v>
      </c>
      <c r="AE232" s="288">
        <v>3.0249626632979862</v>
      </c>
      <c r="AF232" s="288">
        <v>12593.562893687675</v>
      </c>
      <c r="AG232" s="289">
        <v>8.4262154769849218E-2</v>
      </c>
      <c r="AH232" s="229"/>
      <c r="AI232" s="205">
        <f t="shared" si="24"/>
        <v>231780.12841331126</v>
      </c>
      <c r="AJ232" s="205">
        <f t="shared" si="25"/>
        <v>235947.47583001404</v>
      </c>
      <c r="AK232" s="205">
        <f t="shared" si="26"/>
        <v>-4167.3474167027525</v>
      </c>
      <c r="AL232" s="229"/>
      <c r="AM232" s="52">
        <f t="shared" si="4"/>
        <v>0</v>
      </c>
      <c r="AN232" s="52">
        <f t="shared" si="5"/>
        <v>1</v>
      </c>
      <c r="AO232" s="52">
        <f t="shared" si="6"/>
        <v>0</v>
      </c>
      <c r="AP232" s="229"/>
      <c r="AQ232" s="3"/>
      <c r="AR232" s="3"/>
      <c r="AS232" s="3"/>
      <c r="AT232" s="3"/>
      <c r="AU232" s="229"/>
      <c r="AV232" s="318">
        <f t="shared" si="27"/>
        <v>235947.47583001404</v>
      </c>
      <c r="AW232" s="229"/>
      <c r="AX232" s="312"/>
      <c r="AY232" s="14"/>
      <c r="AZ232" s="14">
        <f t="shared" si="29"/>
        <v>12593.562893687675</v>
      </c>
      <c r="BA232" s="14">
        <f t="shared" si="28"/>
        <v>8.4262154769849218E-2</v>
      </c>
      <c r="BB232" s="14">
        <f t="shared" si="2"/>
        <v>149456.92912892275</v>
      </c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BZ232" s="14"/>
      <c r="CA232" s="14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</row>
    <row r="233" spans="1:101" ht="14.25" customHeight="1" x14ac:dyDescent="0.2">
      <c r="A233" s="286"/>
      <c r="B233" s="52">
        <v>0.15796926527691962</v>
      </c>
      <c r="C233" s="288">
        <v>0.38605364704168288</v>
      </c>
      <c r="D233" s="288">
        <v>2.5980867084443249E-2</v>
      </c>
      <c r="E233" s="288">
        <v>9.7255671417205113E-3</v>
      </c>
      <c r="F233" s="289">
        <v>0.79567153649014333</v>
      </c>
      <c r="G233" s="92">
        <v>0.35624014020456013</v>
      </c>
      <c r="H233" s="288">
        <v>0.97262843686775424</v>
      </c>
      <c r="I233" s="288">
        <v>5.5699109594344268E-3</v>
      </c>
      <c r="J233" s="288">
        <v>1</v>
      </c>
      <c r="K233" s="288">
        <v>0.74512499410001753</v>
      </c>
      <c r="L233" s="290">
        <v>14852.870429379718</v>
      </c>
      <c r="M233" s="288">
        <v>0</v>
      </c>
      <c r="N233" s="288">
        <v>14849.431902858292</v>
      </c>
      <c r="O233" s="288">
        <v>1145.4848634614948</v>
      </c>
      <c r="P233" s="288">
        <v>49931.059868498545</v>
      </c>
      <c r="Q233" s="291">
        <v>126553.06081765915</v>
      </c>
      <c r="R233" s="288">
        <v>29462.465114926912</v>
      </c>
      <c r="S233" s="288">
        <v>9683.0272171754768</v>
      </c>
      <c r="T233" s="290">
        <v>0.751</v>
      </c>
      <c r="U233" s="288">
        <v>0.75800000000000001</v>
      </c>
      <c r="V233" s="288">
        <v>0.723923076923077</v>
      </c>
      <c r="W233" s="288">
        <v>0.72750000000000004</v>
      </c>
      <c r="X233" s="288">
        <v>0.76</v>
      </c>
      <c r="Y233" s="288">
        <v>0</v>
      </c>
      <c r="Z233" s="289">
        <v>0</v>
      </c>
      <c r="AA233" s="229"/>
      <c r="AB233" s="52">
        <v>93644.811437522279</v>
      </c>
      <c r="AC233" s="288">
        <v>3.2152673516925514</v>
      </c>
      <c r="AD233" s="288">
        <v>82907.203427620247</v>
      </c>
      <c r="AE233" s="288">
        <v>2.9858339957093434</v>
      </c>
      <c r="AF233" s="288">
        <v>10737.608009902033</v>
      </c>
      <c r="AG233" s="289">
        <v>0.22943335598320802</v>
      </c>
      <c r="AH233" s="229"/>
      <c r="AI233" s="205">
        <f t="shared" si="24"/>
        <v>227881.92373173282</v>
      </c>
      <c r="AJ233" s="205">
        <f t="shared" si="25"/>
        <v>215676.19614331413</v>
      </c>
      <c r="AK233" s="205">
        <f t="shared" si="26"/>
        <v>12205.727588418769</v>
      </c>
      <c r="AL233" s="229"/>
      <c r="AM233" s="52">
        <f t="shared" si="4"/>
        <v>1</v>
      </c>
      <c r="AN233" s="52">
        <f t="shared" si="5"/>
        <v>0</v>
      </c>
      <c r="AO233" s="52">
        <f t="shared" si="6"/>
        <v>1</v>
      </c>
      <c r="AP233" s="229"/>
      <c r="AQ233" s="3"/>
      <c r="AR233" s="3"/>
      <c r="AS233" s="3"/>
      <c r="AT233" s="3"/>
      <c r="AU233" s="229"/>
      <c r="AV233" s="318">
        <f t="shared" si="27"/>
        <v>227881.92373173282</v>
      </c>
      <c r="AW233" s="229"/>
      <c r="AX233" s="312"/>
      <c r="AY233" s="14"/>
      <c r="AZ233" s="14">
        <f t="shared" si="29"/>
        <v>10737.608009902033</v>
      </c>
      <c r="BA233" s="14">
        <f t="shared" si="28"/>
        <v>0.22943335598320802</v>
      </c>
      <c r="BB233" s="14">
        <f t="shared" si="2"/>
        <v>46800.553319230123</v>
      </c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BZ233" s="14"/>
      <c r="CA233" s="14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</row>
    <row r="234" spans="1:101" ht="14.25" customHeight="1" x14ac:dyDescent="0.2">
      <c r="A234" s="286"/>
      <c r="B234" s="52">
        <v>0.15272993520914255</v>
      </c>
      <c r="C234" s="288">
        <v>6.7897630161603731E-2</v>
      </c>
      <c r="D234" s="288">
        <v>9.5697650023928282E-3</v>
      </c>
      <c r="E234" s="288">
        <v>5.48808332255654E-3</v>
      </c>
      <c r="F234" s="289">
        <v>0.80788422549018868</v>
      </c>
      <c r="G234" s="92">
        <v>0.4218002379166389</v>
      </c>
      <c r="H234" s="288">
        <v>0.1738296835228938</v>
      </c>
      <c r="I234" s="288">
        <v>1.583357436198294E-2</v>
      </c>
      <c r="J234" s="288">
        <v>1</v>
      </c>
      <c r="K234" s="288">
        <v>0.82461889925928733</v>
      </c>
      <c r="L234" s="290">
        <v>10226.884453611918</v>
      </c>
      <c r="M234" s="288">
        <v>0</v>
      </c>
      <c r="N234" s="288">
        <v>17279.088000601532</v>
      </c>
      <c r="O234" s="288">
        <v>905.87189540712336</v>
      </c>
      <c r="P234" s="288">
        <v>42438.498505540163</v>
      </c>
      <c r="Q234" s="291">
        <v>97561.150611699937</v>
      </c>
      <c r="R234" s="288">
        <v>23718.150002635004</v>
      </c>
      <c r="S234" s="288">
        <v>11736.005289481076</v>
      </c>
      <c r="T234" s="290">
        <v>0.751</v>
      </c>
      <c r="U234" s="288">
        <v>0.75800000000000001</v>
      </c>
      <c r="V234" s="288">
        <v>0.723923076923077</v>
      </c>
      <c r="W234" s="288">
        <v>0.72750000000000004</v>
      </c>
      <c r="X234" s="288">
        <v>0.76</v>
      </c>
      <c r="Y234" s="288">
        <v>0</v>
      </c>
      <c r="Z234" s="289">
        <v>0</v>
      </c>
      <c r="AA234" s="229"/>
      <c r="AB234" s="52">
        <v>104641.14216110315</v>
      </c>
      <c r="AC234" s="288">
        <v>3.2723559482375277</v>
      </c>
      <c r="AD234" s="288">
        <v>99656.702764437083</v>
      </c>
      <c r="AE234" s="288">
        <v>3.3560419871108844</v>
      </c>
      <c r="AF234" s="288">
        <v>4984.4393966660718</v>
      </c>
      <c r="AG234" s="289">
        <v>-8.3686038873356683E-2</v>
      </c>
      <c r="AH234" s="229"/>
      <c r="AI234" s="205">
        <f t="shared" si="24"/>
        <v>222594.45266264962</v>
      </c>
      <c r="AJ234" s="205">
        <f t="shared" si="25"/>
        <v>235947.49594665138</v>
      </c>
      <c r="AK234" s="205">
        <f t="shared" si="26"/>
        <v>-13353.04328400174</v>
      </c>
      <c r="AL234" s="229"/>
      <c r="AM234" s="52">
        <f t="shared" si="4"/>
        <v>0</v>
      </c>
      <c r="AN234" s="52">
        <f t="shared" si="5"/>
        <v>1</v>
      </c>
      <c r="AO234" s="52">
        <f t="shared" si="6"/>
        <v>0</v>
      </c>
      <c r="AP234" s="229"/>
      <c r="AQ234" s="3"/>
      <c r="AR234" s="3"/>
      <c r="AS234" s="3"/>
      <c r="AT234" s="3"/>
      <c r="AU234" s="229"/>
      <c r="AV234" s="318">
        <f t="shared" si="27"/>
        <v>235947.49594665138</v>
      </c>
      <c r="AW234" s="229"/>
      <c r="AX234" s="312"/>
      <c r="AY234" s="14"/>
      <c r="AZ234" s="14">
        <f t="shared" si="29"/>
        <v>4984.4393966660718</v>
      </c>
      <c r="BA234" s="14">
        <f t="shared" si="28"/>
        <v>-8.3686038873356683E-2</v>
      </c>
      <c r="BB234" s="14">
        <f t="shared" si="2"/>
        <v>-59561.182053425873</v>
      </c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BZ234" s="14"/>
      <c r="CA234" s="14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</row>
    <row r="235" spans="1:101" ht="14.25" customHeight="1" x14ac:dyDescent="0.2">
      <c r="A235" s="286"/>
      <c r="B235" s="52">
        <v>0.17666797117645061</v>
      </c>
      <c r="C235" s="288">
        <v>0.51885781404583686</v>
      </c>
      <c r="D235" s="288">
        <v>1.979525278034E-2</v>
      </c>
      <c r="E235" s="288">
        <v>2.3506210113822479E-2</v>
      </c>
      <c r="F235" s="289">
        <v>0.77509251969819659</v>
      </c>
      <c r="G235" s="92">
        <v>0.40990628621944913</v>
      </c>
      <c r="H235" s="288">
        <v>0.99963846074183893</v>
      </c>
      <c r="I235" s="288">
        <v>1.2764950839810182E-2</v>
      </c>
      <c r="J235" s="288">
        <v>0.99999999999995903</v>
      </c>
      <c r="K235" s="288">
        <v>0.73823961465144228</v>
      </c>
      <c r="L235" s="290">
        <v>11526.125927215082</v>
      </c>
      <c r="M235" s="288">
        <v>0</v>
      </c>
      <c r="N235" s="288">
        <v>15097.82131874914</v>
      </c>
      <c r="O235" s="288">
        <v>1426.882351278954</v>
      </c>
      <c r="P235" s="288">
        <v>45722.282696502865</v>
      </c>
      <c r="Q235" s="291">
        <v>113730.68942312904</v>
      </c>
      <c r="R235" s="288">
        <v>27933.937583734747</v>
      </c>
      <c r="S235" s="288">
        <v>11243.183877057405</v>
      </c>
      <c r="T235" s="290">
        <v>0.751</v>
      </c>
      <c r="U235" s="288">
        <v>0.75800000000000001</v>
      </c>
      <c r="V235" s="288">
        <v>0.723923076923077</v>
      </c>
      <c r="W235" s="288">
        <v>0.72750000000000004</v>
      </c>
      <c r="X235" s="288">
        <v>0.76</v>
      </c>
      <c r="Y235" s="288">
        <v>0</v>
      </c>
      <c r="Z235" s="289">
        <v>0</v>
      </c>
      <c r="AA235" s="229"/>
      <c r="AB235" s="52">
        <v>101035.07253533928</v>
      </c>
      <c r="AC235" s="288">
        <v>3.1195993227412218</v>
      </c>
      <c r="AD235" s="288">
        <v>95639.552255719536</v>
      </c>
      <c r="AE235" s="288">
        <v>2.9542371019770846</v>
      </c>
      <c r="AF235" s="288">
        <v>5395.5202796197409</v>
      </c>
      <c r="AG235" s="289">
        <v>0.1653622207641372</v>
      </c>
      <c r="AH235" s="229"/>
      <c r="AI235" s="205">
        <f t="shared" si="24"/>
        <v>210924.85973878292</v>
      </c>
      <c r="AJ235" s="205">
        <f t="shared" si="25"/>
        <v>199784.1579419889</v>
      </c>
      <c r="AK235" s="205">
        <f t="shared" si="26"/>
        <v>11140.701796793979</v>
      </c>
      <c r="AL235" s="229"/>
      <c r="AM235" s="52">
        <f t="shared" si="4"/>
        <v>1</v>
      </c>
      <c r="AN235" s="52">
        <f t="shared" si="5"/>
        <v>0</v>
      </c>
      <c r="AO235" s="52">
        <f t="shared" si="6"/>
        <v>1</v>
      </c>
      <c r="AP235" s="229"/>
      <c r="AQ235" s="3"/>
      <c r="AR235" s="3"/>
      <c r="AS235" s="3"/>
      <c r="AT235" s="3"/>
      <c r="AU235" s="229"/>
      <c r="AV235" s="318">
        <f t="shared" si="27"/>
        <v>210924.85973878292</v>
      </c>
      <c r="AW235" s="229"/>
      <c r="AX235" s="312"/>
      <c r="AY235" s="14"/>
      <c r="AZ235" s="14">
        <f t="shared" si="29"/>
        <v>5395.5202796197409</v>
      </c>
      <c r="BA235" s="14">
        <f t="shared" si="28"/>
        <v>0.1653622207641372</v>
      </c>
      <c r="BB235" s="14">
        <f t="shared" si="2"/>
        <v>32628.49431198429</v>
      </c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BZ235" s="14"/>
      <c r="CA235" s="14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</row>
    <row r="236" spans="1:101" ht="14.25" customHeight="1" x14ac:dyDescent="0.2">
      <c r="A236" s="286"/>
      <c r="B236" s="52">
        <v>0.12117064444382124</v>
      </c>
      <c r="C236" s="288">
        <v>5.1737319299395131E-2</v>
      </c>
      <c r="D236" s="288">
        <v>1.9511092495012372E-2</v>
      </c>
      <c r="E236" s="288">
        <v>2.5519642856700386E-2</v>
      </c>
      <c r="F236" s="289">
        <v>0.79850053175851032</v>
      </c>
      <c r="G236" s="92">
        <v>0.39035121432152892</v>
      </c>
      <c r="H236" s="288">
        <v>0.98790858438956519</v>
      </c>
      <c r="I236" s="288">
        <v>1.5144727584962301E-2</v>
      </c>
      <c r="J236" s="288">
        <v>1.5849774026026342E-3</v>
      </c>
      <c r="K236" s="288">
        <v>0.74460110900539789</v>
      </c>
      <c r="L236" s="290">
        <v>15594.63682718141</v>
      </c>
      <c r="M236" s="288">
        <v>0</v>
      </c>
      <c r="N236" s="288">
        <v>20499.60390773305</v>
      </c>
      <c r="O236" s="288">
        <v>1011.085716639034</v>
      </c>
      <c r="P236" s="288">
        <v>26918.913561427722</v>
      </c>
      <c r="Q236" s="291">
        <v>79317.601448795409</v>
      </c>
      <c r="R236" s="288">
        <v>35805.484409627454</v>
      </c>
      <c r="S236" s="288">
        <v>7290.5789078968428</v>
      </c>
      <c r="T236" s="290">
        <v>0.751</v>
      </c>
      <c r="U236" s="288">
        <v>0.75800000000000001</v>
      </c>
      <c r="V236" s="288">
        <v>0.723923076923077</v>
      </c>
      <c r="W236" s="288">
        <v>0.72750000000000004</v>
      </c>
      <c r="X236" s="288">
        <v>0.76</v>
      </c>
      <c r="Y236" s="288">
        <v>0</v>
      </c>
      <c r="Z236" s="289">
        <v>0</v>
      </c>
      <c r="AA236" s="229"/>
      <c r="AB236" s="52">
        <v>73778.462593146571</v>
      </c>
      <c r="AC236" s="288">
        <v>3.2284707594855524</v>
      </c>
      <c r="AD236" s="288">
        <v>68604.842995886473</v>
      </c>
      <c r="AE236" s="288">
        <v>2.983427268996294</v>
      </c>
      <c r="AF236" s="288">
        <v>5173.6195972600981</v>
      </c>
      <c r="AG236" s="289">
        <v>0.24504349048925844</v>
      </c>
      <c r="AH236" s="229"/>
      <c r="AI236" s="205">
        <f t="shared" si="24"/>
        <v>249068.61335540868</v>
      </c>
      <c r="AJ236" s="205">
        <f t="shared" si="25"/>
        <v>229737.88390374294</v>
      </c>
      <c r="AK236" s="205">
        <f t="shared" si="26"/>
        <v>19330.729451665746</v>
      </c>
      <c r="AL236" s="229"/>
      <c r="AM236" s="52">
        <f t="shared" si="4"/>
        <v>1</v>
      </c>
      <c r="AN236" s="52">
        <f t="shared" si="5"/>
        <v>0</v>
      </c>
      <c r="AO236" s="52">
        <f t="shared" si="6"/>
        <v>1</v>
      </c>
      <c r="AP236" s="229"/>
      <c r="AQ236" s="3"/>
      <c r="AR236" s="3"/>
      <c r="AS236" s="3"/>
      <c r="AT236" s="3"/>
      <c r="AU236" s="229"/>
      <c r="AV236" s="318">
        <f t="shared" si="27"/>
        <v>249068.61335540868</v>
      </c>
      <c r="AW236" s="229"/>
      <c r="AX236" s="312"/>
      <c r="AY236" s="14"/>
      <c r="AZ236" s="14">
        <f t="shared" si="29"/>
        <v>5173.6195972600981</v>
      </c>
      <c r="BA236" s="14">
        <f t="shared" si="28"/>
        <v>0.24504349048925844</v>
      </c>
      <c r="BB236" s="14">
        <f t="shared" si="2"/>
        <v>21113.066855725701</v>
      </c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BZ236" s="14"/>
      <c r="CA236" s="14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</row>
    <row r="237" spans="1:101" ht="14.25" customHeight="1" x14ac:dyDescent="0.2">
      <c r="A237" s="286"/>
      <c r="B237" s="52">
        <v>0.18338801459882803</v>
      </c>
      <c r="C237" s="288">
        <v>0.17050101811887139</v>
      </c>
      <c r="D237" s="288">
        <v>1.1846680667100356E-2</v>
      </c>
      <c r="E237" s="288">
        <v>1.9868712173532366E-2</v>
      </c>
      <c r="F237" s="289">
        <v>0.79174383934889414</v>
      </c>
      <c r="G237" s="92">
        <v>0.36103754948973699</v>
      </c>
      <c r="H237" s="288">
        <v>0.35458511996643433</v>
      </c>
      <c r="I237" s="288">
        <v>1.3937933213532731E-2</v>
      </c>
      <c r="J237" s="288">
        <v>1</v>
      </c>
      <c r="K237" s="288">
        <v>0.77215671841947064</v>
      </c>
      <c r="L237" s="290">
        <v>10453.208151621831</v>
      </c>
      <c r="M237" s="288">
        <v>0</v>
      </c>
      <c r="N237" s="288">
        <v>18249.996337265828</v>
      </c>
      <c r="O237" s="288">
        <v>1134.3157915685915</v>
      </c>
      <c r="P237" s="288">
        <v>24537.652677633701</v>
      </c>
      <c r="Q237" s="291">
        <v>69997.387765056163</v>
      </c>
      <c r="R237" s="288">
        <v>21340.087660055946</v>
      </c>
      <c r="S237" s="288">
        <v>10486.35973948836</v>
      </c>
      <c r="T237" s="290">
        <v>0.751</v>
      </c>
      <c r="U237" s="288">
        <v>0.75800000000000001</v>
      </c>
      <c r="V237" s="288">
        <v>0.723923076923077</v>
      </c>
      <c r="W237" s="288">
        <v>0.72750000000000004</v>
      </c>
      <c r="X237" s="288">
        <v>0.76</v>
      </c>
      <c r="Y237" s="288">
        <v>0</v>
      </c>
      <c r="Z237" s="289">
        <v>0</v>
      </c>
      <c r="AA237" s="229"/>
      <c r="AB237" s="52">
        <v>93696.238604006852</v>
      </c>
      <c r="AC237" s="288">
        <v>3.1969569257859662</v>
      </c>
      <c r="AD237" s="288">
        <v>84429.962782705974</v>
      </c>
      <c r="AE237" s="288">
        <v>3.1106047195061928</v>
      </c>
      <c r="AF237" s="288">
        <v>9266.2758213008783</v>
      </c>
      <c r="AG237" s="289">
        <v>8.6352206279773469E-2</v>
      </c>
      <c r="AH237" s="229"/>
      <c r="AI237" s="205">
        <f t="shared" si="24"/>
        <v>225999.45397458979</v>
      </c>
      <c r="AJ237" s="205">
        <f t="shared" si="25"/>
        <v>226630.50916791329</v>
      </c>
      <c r="AK237" s="205">
        <f t="shared" si="26"/>
        <v>-631.05519332353106</v>
      </c>
      <c r="AL237" s="229"/>
      <c r="AM237" s="52">
        <f t="shared" si="4"/>
        <v>0</v>
      </c>
      <c r="AN237" s="52">
        <f t="shared" si="5"/>
        <v>1</v>
      </c>
      <c r="AO237" s="52">
        <f t="shared" si="6"/>
        <v>0</v>
      </c>
      <c r="AP237" s="229"/>
      <c r="AQ237" s="3"/>
      <c r="AR237" s="3"/>
      <c r="AS237" s="3"/>
      <c r="AT237" s="3"/>
      <c r="AU237" s="229"/>
      <c r="AV237" s="318">
        <f t="shared" si="27"/>
        <v>226630.50916791329</v>
      </c>
      <c r="AW237" s="229"/>
      <c r="AX237" s="312"/>
      <c r="AY237" s="14"/>
      <c r="AZ237" s="14">
        <f t="shared" si="29"/>
        <v>9266.2758213008783</v>
      </c>
      <c r="BA237" s="14">
        <f t="shared" si="28"/>
        <v>8.6352206279773469E-2</v>
      </c>
      <c r="BB237" s="14">
        <f t="shared" si="2"/>
        <v>107307.92206141171</v>
      </c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BZ237" s="14"/>
      <c r="CA237" s="14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</row>
    <row r="238" spans="1:101" ht="14.25" customHeight="1" x14ac:dyDescent="0.2">
      <c r="A238" s="286"/>
      <c r="B238" s="52">
        <v>0.10815330423785059</v>
      </c>
      <c r="C238" s="288">
        <v>3.7399461869212342E-3</v>
      </c>
      <c r="D238" s="288">
        <v>3.8416985646555823E-2</v>
      </c>
      <c r="E238" s="288">
        <v>2.1948812845930088E-2</v>
      </c>
      <c r="F238" s="289">
        <v>0.82244934536288072</v>
      </c>
      <c r="G238" s="92">
        <v>0.3745117215122889</v>
      </c>
      <c r="H238" s="288">
        <v>2.7399562970112611E-2</v>
      </c>
      <c r="I238" s="288">
        <v>1.075104290608467E-2</v>
      </c>
      <c r="J238" s="288">
        <v>0.31519931812915886</v>
      </c>
      <c r="K238" s="288">
        <v>0.74601194130973703</v>
      </c>
      <c r="L238" s="290">
        <v>10661.524303151289</v>
      </c>
      <c r="M238" s="288">
        <v>0</v>
      </c>
      <c r="N238" s="288">
        <v>16202.842311847689</v>
      </c>
      <c r="O238" s="288">
        <v>1333.078954101039</v>
      </c>
      <c r="P238" s="288">
        <v>35446.159591303527</v>
      </c>
      <c r="Q238" s="291">
        <v>92097.479090181107</v>
      </c>
      <c r="R238" s="288">
        <v>15457.337342813684</v>
      </c>
      <c r="S238" s="288">
        <v>11323.985836881267</v>
      </c>
      <c r="T238" s="290">
        <v>0.751</v>
      </c>
      <c r="U238" s="288">
        <v>0.75800000000000001</v>
      </c>
      <c r="V238" s="288">
        <v>0.723923076923077</v>
      </c>
      <c r="W238" s="288">
        <v>0.72750000000000004</v>
      </c>
      <c r="X238" s="288">
        <v>0.76</v>
      </c>
      <c r="Y238" s="288">
        <v>0</v>
      </c>
      <c r="Z238" s="289">
        <v>0</v>
      </c>
      <c r="AA238" s="229"/>
      <c r="AB238" s="52">
        <v>103423.31602363332</v>
      </c>
      <c r="AC238" s="288">
        <v>3.3407469311929545</v>
      </c>
      <c r="AD238" s="288">
        <v>85330.666460557055</v>
      </c>
      <c r="AE238" s="288">
        <v>2.9899096150083047</v>
      </c>
      <c r="AF238" s="288">
        <v>18092.649563076266</v>
      </c>
      <c r="AG238" s="289">
        <v>0.35083731618464986</v>
      </c>
      <c r="AH238" s="229"/>
      <c r="AI238" s="205">
        <f t="shared" si="24"/>
        <v>230651.37709566214</v>
      </c>
      <c r="AJ238" s="205">
        <f t="shared" si="25"/>
        <v>213660.29504027343</v>
      </c>
      <c r="AK238" s="205">
        <f t="shared" si="26"/>
        <v>16991.082055388717</v>
      </c>
      <c r="AL238" s="229"/>
      <c r="AM238" s="52">
        <f t="shared" si="4"/>
        <v>1</v>
      </c>
      <c r="AN238" s="52">
        <f t="shared" si="5"/>
        <v>0</v>
      </c>
      <c r="AO238" s="52">
        <f t="shared" si="6"/>
        <v>1</v>
      </c>
      <c r="AP238" s="229"/>
      <c r="AQ238" s="3"/>
      <c r="AR238" s="3"/>
      <c r="AS238" s="3"/>
      <c r="AT238" s="3"/>
      <c r="AU238" s="229"/>
      <c r="AV238" s="318">
        <f t="shared" si="27"/>
        <v>230651.37709566214</v>
      </c>
      <c r="AW238" s="229"/>
      <c r="AX238" s="312"/>
      <c r="AY238" s="14"/>
      <c r="AZ238" s="14">
        <f t="shared" si="29"/>
        <v>18092.649563076266</v>
      </c>
      <c r="BA238" s="14">
        <f t="shared" si="28"/>
        <v>0.35083731618464986</v>
      </c>
      <c r="BB238" s="14">
        <f t="shared" si="2"/>
        <v>51569.912117198757</v>
      </c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BZ238" s="14"/>
      <c r="CA238" s="14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</row>
    <row r="239" spans="1:101" ht="14.25" customHeight="1" x14ac:dyDescent="0.2">
      <c r="A239" s="286"/>
      <c r="B239" s="52">
        <v>0.13589878343292197</v>
      </c>
      <c r="C239" s="288">
        <v>0.11012610004613556</v>
      </c>
      <c r="D239" s="288">
        <v>4.4726661840016916E-3</v>
      </c>
      <c r="E239" s="288">
        <v>6.0642397658293079E-3</v>
      </c>
      <c r="F239" s="289">
        <v>0.77934444772513944</v>
      </c>
      <c r="G239" s="92">
        <v>0.35362467151081223</v>
      </c>
      <c r="H239" s="288">
        <v>0.84355608170138285</v>
      </c>
      <c r="I239" s="288">
        <v>2.958095701118868E-2</v>
      </c>
      <c r="J239" s="288">
        <v>0.99861119642980678</v>
      </c>
      <c r="K239" s="288">
        <v>0.76556500987100273</v>
      </c>
      <c r="L239" s="290">
        <v>11226.28641898276</v>
      </c>
      <c r="M239" s="288">
        <v>0</v>
      </c>
      <c r="N239" s="288">
        <v>20132.453361681335</v>
      </c>
      <c r="O239" s="288">
        <v>954.89403454948945</v>
      </c>
      <c r="P239" s="288">
        <v>32611.139019585782</v>
      </c>
      <c r="Q239" s="291">
        <v>81445.404784812068</v>
      </c>
      <c r="R239" s="288">
        <v>17658.052657125103</v>
      </c>
      <c r="S239" s="288">
        <v>8550.9639082562244</v>
      </c>
      <c r="T239" s="290">
        <v>0.751</v>
      </c>
      <c r="U239" s="288">
        <v>0.75800000000000001</v>
      </c>
      <c r="V239" s="288">
        <v>0.723923076923077</v>
      </c>
      <c r="W239" s="288">
        <v>0.72750000000000004</v>
      </c>
      <c r="X239" s="288">
        <v>0.76</v>
      </c>
      <c r="Y239" s="288">
        <v>0</v>
      </c>
      <c r="Z239" s="289">
        <v>0</v>
      </c>
      <c r="AA239" s="229"/>
      <c r="AB239" s="52">
        <v>77660.30509662407</v>
      </c>
      <c r="AC239" s="288">
        <v>3.1393113029518078</v>
      </c>
      <c r="AD239" s="288">
        <v>72149.47246862363</v>
      </c>
      <c r="AE239" s="288">
        <v>3.0800730865893655</v>
      </c>
      <c r="AF239" s="288">
        <v>5510.8326280004403</v>
      </c>
      <c r="AG239" s="289">
        <v>5.9238216362442309E-2</v>
      </c>
      <c r="AH239" s="229"/>
      <c r="AI239" s="205">
        <f t="shared" si="24"/>
        <v>236270.8251985567</v>
      </c>
      <c r="AJ239" s="205">
        <f t="shared" si="25"/>
        <v>235857.8361903129</v>
      </c>
      <c r="AK239" s="205">
        <f t="shared" si="26"/>
        <v>412.98900824379052</v>
      </c>
      <c r="AL239" s="229"/>
      <c r="AM239" s="52">
        <f t="shared" si="4"/>
        <v>1</v>
      </c>
      <c r="AN239" s="52">
        <f t="shared" si="5"/>
        <v>0</v>
      </c>
      <c r="AO239" s="52">
        <f t="shared" si="6"/>
        <v>1</v>
      </c>
      <c r="AP239" s="229"/>
      <c r="AQ239" s="3"/>
      <c r="AR239" s="3"/>
      <c r="AS239" s="3"/>
      <c r="AT239" s="3"/>
      <c r="AU239" s="229"/>
      <c r="AV239" s="318">
        <f t="shared" si="27"/>
        <v>236270.8251985567</v>
      </c>
      <c r="AW239" s="229"/>
      <c r="AX239" s="312"/>
      <c r="AY239" s="14"/>
      <c r="AZ239" s="14">
        <f t="shared" si="29"/>
        <v>5510.8326280004403</v>
      </c>
      <c r="BA239" s="14">
        <f t="shared" si="28"/>
        <v>5.9238216362442309E-2</v>
      </c>
      <c r="BB239" s="14">
        <f t="shared" si="2"/>
        <v>93028.334855375055</v>
      </c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BZ239" s="14"/>
      <c r="CA239" s="14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</row>
    <row r="240" spans="1:101" ht="14.25" customHeight="1" x14ac:dyDescent="0.2">
      <c r="A240" s="286"/>
      <c r="B240" s="52">
        <v>0.13041762732633369</v>
      </c>
      <c r="C240" s="288">
        <v>0.41547517677253709</v>
      </c>
      <c r="D240" s="288">
        <v>8.0592176350472913E-3</v>
      </c>
      <c r="E240" s="288">
        <v>7.8986224388168328E-3</v>
      </c>
      <c r="F240" s="289">
        <v>0.77420541528107856</v>
      </c>
      <c r="G240" s="92">
        <v>0.33832948721117134</v>
      </c>
      <c r="H240" s="288">
        <v>0.47962734757253156</v>
      </c>
      <c r="I240" s="288">
        <v>1.132580887965995E-2</v>
      </c>
      <c r="J240" s="288">
        <v>0.99999960899030249</v>
      </c>
      <c r="K240" s="288">
        <v>0.74763370737671142</v>
      </c>
      <c r="L240" s="290">
        <v>13554.845052403316</v>
      </c>
      <c r="M240" s="288">
        <v>0</v>
      </c>
      <c r="N240" s="288">
        <v>26545.676357303226</v>
      </c>
      <c r="O240" s="288">
        <v>1466.7858000781923</v>
      </c>
      <c r="P240" s="288">
        <v>43263.119479291679</v>
      </c>
      <c r="Q240" s="291">
        <v>68484.159325487752</v>
      </c>
      <c r="R240" s="288">
        <v>26558.564941298268</v>
      </c>
      <c r="S240" s="288">
        <v>8718.5116944666588</v>
      </c>
      <c r="T240" s="290">
        <v>0.751</v>
      </c>
      <c r="U240" s="288">
        <v>0.75800000000000001</v>
      </c>
      <c r="V240" s="288">
        <v>0.723923076923077</v>
      </c>
      <c r="W240" s="288">
        <v>0.72750000000000004</v>
      </c>
      <c r="X240" s="288">
        <v>0.76</v>
      </c>
      <c r="Y240" s="288">
        <v>0</v>
      </c>
      <c r="Z240" s="289">
        <v>0</v>
      </c>
      <c r="AA240" s="229"/>
      <c r="AB240" s="52">
        <v>82097.409926386361</v>
      </c>
      <c r="AC240" s="288">
        <v>3.1154902732109653</v>
      </c>
      <c r="AD240" s="288">
        <v>70326.413700585064</v>
      </c>
      <c r="AE240" s="288">
        <v>2.9973650137344201</v>
      </c>
      <c r="AF240" s="288">
        <v>11770.996225801297</v>
      </c>
      <c r="AG240" s="289">
        <v>0.11812525947654517</v>
      </c>
      <c r="AH240" s="229"/>
      <c r="AI240" s="205">
        <f t="shared" si="24"/>
        <v>229451.61739471013</v>
      </c>
      <c r="AJ240" s="205">
        <f t="shared" si="25"/>
        <v>229410.08767285693</v>
      </c>
      <c r="AK240" s="205">
        <f t="shared" si="26"/>
        <v>41.529721853221417</v>
      </c>
      <c r="AL240" s="229"/>
      <c r="AM240" s="52">
        <f t="shared" si="4"/>
        <v>1</v>
      </c>
      <c r="AN240" s="52">
        <f t="shared" si="5"/>
        <v>0</v>
      </c>
      <c r="AO240" s="52">
        <f t="shared" si="6"/>
        <v>1</v>
      </c>
      <c r="AP240" s="229"/>
      <c r="AQ240" s="3"/>
      <c r="AR240" s="3"/>
      <c r="AS240" s="3"/>
      <c r="AT240" s="3"/>
      <c r="AU240" s="229"/>
      <c r="AV240" s="318">
        <f t="shared" si="27"/>
        <v>229451.61739471013</v>
      </c>
      <c r="AW240" s="229"/>
      <c r="AX240" s="312"/>
      <c r="AY240" s="14"/>
      <c r="AZ240" s="14">
        <f t="shared" si="29"/>
        <v>11770.996225801297</v>
      </c>
      <c r="BA240" s="14">
        <f t="shared" si="28"/>
        <v>0.11812525947654517</v>
      </c>
      <c r="BB240" s="14">
        <f t="shared" si="2"/>
        <v>99648.42640738099</v>
      </c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BZ240" s="14"/>
      <c r="CA240" s="14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</row>
    <row r="241" spans="1:101" ht="14.25" customHeight="1" x14ac:dyDescent="0.2">
      <c r="A241" s="286"/>
      <c r="B241" s="52">
        <v>0.14940914470728248</v>
      </c>
      <c r="C241" s="288">
        <v>0.48646821810299545</v>
      </c>
      <c r="D241" s="288">
        <v>1.3946662444351028E-2</v>
      </c>
      <c r="E241" s="288">
        <v>9.62639311637941E-3</v>
      </c>
      <c r="F241" s="289">
        <v>0.81529022879006041</v>
      </c>
      <c r="G241" s="92">
        <v>0.44090901207673927</v>
      </c>
      <c r="H241" s="288">
        <v>0.47228515547673777</v>
      </c>
      <c r="I241" s="288">
        <v>1.5350800146920146E-2</v>
      </c>
      <c r="J241" s="288">
        <v>0.99999996055230533</v>
      </c>
      <c r="K241" s="288">
        <v>0.79190096317818548</v>
      </c>
      <c r="L241" s="290">
        <v>12918.145078588184</v>
      </c>
      <c r="M241" s="288">
        <v>0</v>
      </c>
      <c r="N241" s="288">
        <v>17192.800577988466</v>
      </c>
      <c r="O241" s="288">
        <v>1466.1098790257574</v>
      </c>
      <c r="P241" s="288">
        <v>47613.165384882195</v>
      </c>
      <c r="Q241" s="291">
        <v>99061.693577051687</v>
      </c>
      <c r="R241" s="288">
        <v>30283.941453850144</v>
      </c>
      <c r="S241" s="288">
        <v>8097.3450851746329</v>
      </c>
      <c r="T241" s="290">
        <v>0.751</v>
      </c>
      <c r="U241" s="288">
        <v>0.75800000000000001</v>
      </c>
      <c r="V241" s="288">
        <v>0.723923076923077</v>
      </c>
      <c r="W241" s="288">
        <v>0.72750000000000004</v>
      </c>
      <c r="X241" s="288">
        <v>0.76</v>
      </c>
      <c r="Y241" s="288">
        <v>0</v>
      </c>
      <c r="Z241" s="289">
        <v>0</v>
      </c>
      <c r="AA241" s="229"/>
      <c r="AB241" s="52">
        <v>80917.821566205923</v>
      </c>
      <c r="AC241" s="288">
        <v>3.3070894906684556</v>
      </c>
      <c r="AD241" s="288">
        <v>72005.094733347491</v>
      </c>
      <c r="AE241" s="288">
        <v>3.2024663954312471</v>
      </c>
      <c r="AF241" s="288">
        <v>8912.7268328584323</v>
      </c>
      <c r="AG241" s="289">
        <v>0.10462309523720847</v>
      </c>
      <c r="AH241" s="229"/>
      <c r="AI241" s="205">
        <f t="shared" si="24"/>
        <v>249791.12750063965</v>
      </c>
      <c r="AJ241" s="205">
        <f t="shared" si="25"/>
        <v>248241.54480977723</v>
      </c>
      <c r="AK241" s="205">
        <f t="shared" si="26"/>
        <v>1549.5826908624149</v>
      </c>
      <c r="AL241" s="229"/>
      <c r="AM241" s="52">
        <f t="shared" si="4"/>
        <v>1</v>
      </c>
      <c r="AN241" s="52">
        <f t="shared" si="5"/>
        <v>0</v>
      </c>
      <c r="AO241" s="52">
        <f t="shared" si="6"/>
        <v>1</v>
      </c>
      <c r="AP241" s="229"/>
      <c r="AQ241" s="3"/>
      <c r="AR241" s="3"/>
      <c r="AS241" s="3"/>
      <c r="AT241" s="3"/>
      <c r="AU241" s="229"/>
      <c r="AV241" s="318">
        <f t="shared" si="27"/>
        <v>249791.12750063965</v>
      </c>
      <c r="AW241" s="229"/>
      <c r="AX241" s="312"/>
      <c r="AY241" s="14"/>
      <c r="AZ241" s="14">
        <f t="shared" si="29"/>
        <v>8912.7268328584323</v>
      </c>
      <c r="BA241" s="14">
        <f t="shared" si="28"/>
        <v>0.10462309523720847</v>
      </c>
      <c r="BB241" s="14">
        <f t="shared" si="2"/>
        <v>85188.904157833429</v>
      </c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BZ241" s="14"/>
      <c r="CA241" s="14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</row>
    <row r="242" spans="1:101" ht="14.25" customHeight="1" x14ac:dyDescent="0.2">
      <c r="A242" s="286"/>
      <c r="B242" s="52">
        <v>0.12411929213691919</v>
      </c>
      <c r="C242" s="288">
        <v>0.66695161092392674</v>
      </c>
      <c r="D242" s="288">
        <v>8.7569766038855818E-3</v>
      </c>
      <c r="E242" s="288">
        <v>2.1836551339778909E-2</v>
      </c>
      <c r="F242" s="289">
        <v>0.78902452510352383</v>
      </c>
      <c r="G242" s="92">
        <v>0.39351702746667838</v>
      </c>
      <c r="H242" s="288">
        <v>0.54973188375631077</v>
      </c>
      <c r="I242" s="288">
        <v>6.370934878326664E-3</v>
      </c>
      <c r="J242" s="288">
        <v>0.99995520992071096</v>
      </c>
      <c r="K242" s="288">
        <v>0.72333320947835467</v>
      </c>
      <c r="L242" s="290">
        <v>13669.233167816874</v>
      </c>
      <c r="M242" s="288">
        <v>0</v>
      </c>
      <c r="N242" s="288">
        <v>24272.486535828943</v>
      </c>
      <c r="O242" s="288">
        <v>1315.0505512651462</v>
      </c>
      <c r="P242" s="288">
        <v>37290.074837782318</v>
      </c>
      <c r="Q242" s="291">
        <v>92387.561745410261</v>
      </c>
      <c r="R242" s="288">
        <v>26855.581213778347</v>
      </c>
      <c r="S242" s="288">
        <v>12872.908502062721</v>
      </c>
      <c r="T242" s="290">
        <v>0.751</v>
      </c>
      <c r="U242" s="288">
        <v>0.75800000000000001</v>
      </c>
      <c r="V242" s="288">
        <v>0.723923076923077</v>
      </c>
      <c r="W242" s="288">
        <v>0.72750000000000004</v>
      </c>
      <c r="X242" s="288">
        <v>0.76</v>
      </c>
      <c r="Y242" s="288">
        <v>0</v>
      </c>
      <c r="Z242" s="289">
        <v>0</v>
      </c>
      <c r="AA242" s="229"/>
      <c r="AB242" s="52">
        <v>116735.39819033213</v>
      </c>
      <c r="AC242" s="288">
        <v>3.1842940032398408</v>
      </c>
      <c r="AD242" s="288">
        <v>99570.045083449353</v>
      </c>
      <c r="AE242" s="288">
        <v>2.8860878646124331</v>
      </c>
      <c r="AF242" s="288">
        <v>17165.353106882772</v>
      </c>
      <c r="AG242" s="289">
        <v>0.29820613862740775</v>
      </c>
      <c r="AH242" s="229"/>
      <c r="AI242" s="205">
        <f t="shared" si="24"/>
        <v>201694.00213365199</v>
      </c>
      <c r="AJ242" s="205">
        <f t="shared" si="25"/>
        <v>189038.74137779395</v>
      </c>
      <c r="AK242" s="205">
        <f t="shared" si="26"/>
        <v>12655.260755858002</v>
      </c>
      <c r="AL242" s="229"/>
      <c r="AM242" s="52">
        <f t="shared" si="4"/>
        <v>1</v>
      </c>
      <c r="AN242" s="52">
        <f t="shared" si="5"/>
        <v>0</v>
      </c>
      <c r="AO242" s="52">
        <f t="shared" si="6"/>
        <v>1</v>
      </c>
      <c r="AP242" s="229"/>
      <c r="AQ242" s="3"/>
      <c r="AR242" s="3"/>
      <c r="AS242" s="3"/>
      <c r="AT242" s="3"/>
      <c r="AU242" s="229"/>
      <c r="AV242" s="318">
        <f t="shared" si="27"/>
        <v>201694.00213365199</v>
      </c>
      <c r="AW242" s="229"/>
      <c r="AX242" s="312"/>
      <c r="AY242" s="14"/>
      <c r="AZ242" s="14">
        <f t="shared" si="29"/>
        <v>17165.353106882772</v>
      </c>
      <c r="BA242" s="14">
        <f t="shared" si="28"/>
        <v>0.29820613862740775</v>
      </c>
      <c r="BB242" s="14">
        <f t="shared" si="2"/>
        <v>57562.038078397651</v>
      </c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BZ242" s="14"/>
      <c r="CA242" s="14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</row>
    <row r="243" spans="1:101" ht="14.25" customHeight="1" x14ac:dyDescent="0.2">
      <c r="A243" s="286"/>
      <c r="B243" s="52">
        <v>0.12962442167173926</v>
      </c>
      <c r="C243" s="288">
        <v>4.3547685785438481E-2</v>
      </c>
      <c r="D243" s="288">
        <v>1.6878811215510714E-2</v>
      </c>
      <c r="E243" s="288">
        <v>2.8207052567639668E-2</v>
      </c>
      <c r="F243" s="289">
        <v>0.78732673679654253</v>
      </c>
      <c r="G243" s="92">
        <v>0.357853728331474</v>
      </c>
      <c r="H243" s="288">
        <v>0.87858767681483452</v>
      </c>
      <c r="I243" s="288">
        <v>1.8803065000041252E-2</v>
      </c>
      <c r="J243" s="288">
        <v>0.99994558901214248</v>
      </c>
      <c r="K243" s="288">
        <v>0.77235110004913543</v>
      </c>
      <c r="L243" s="290">
        <v>11173.181831300319</v>
      </c>
      <c r="M243" s="288">
        <v>0</v>
      </c>
      <c r="N243" s="288">
        <v>14114.233082435227</v>
      </c>
      <c r="O243" s="288">
        <v>1092.1949474542291</v>
      </c>
      <c r="P243" s="288">
        <v>44493.850910264598</v>
      </c>
      <c r="Q243" s="291">
        <v>127703.05922670668</v>
      </c>
      <c r="R243" s="288">
        <v>22536.367771450557</v>
      </c>
      <c r="S243" s="288">
        <v>8799.4315574529646</v>
      </c>
      <c r="T243" s="290">
        <v>0.751</v>
      </c>
      <c r="U243" s="288">
        <v>0.75800000000000001</v>
      </c>
      <c r="V243" s="288">
        <v>0.723923076923077</v>
      </c>
      <c r="W243" s="288">
        <v>0.72750000000000004</v>
      </c>
      <c r="X243" s="288">
        <v>0.76</v>
      </c>
      <c r="Y243" s="288">
        <v>0</v>
      </c>
      <c r="Z243" s="289">
        <v>0</v>
      </c>
      <c r="AA243" s="229"/>
      <c r="AB243" s="52">
        <v>80328.300305692333</v>
      </c>
      <c r="AC243" s="288">
        <v>3.1763938612525182</v>
      </c>
      <c r="AD243" s="288">
        <v>76372.522151922996</v>
      </c>
      <c r="AE243" s="288">
        <v>3.1115061005847489</v>
      </c>
      <c r="AF243" s="288">
        <v>3955.7781537693372</v>
      </c>
      <c r="AG243" s="289">
        <v>6.4887760667769356E-2</v>
      </c>
      <c r="AH243" s="229"/>
      <c r="AI243" s="205">
        <f t="shared" si="24"/>
        <v>237311.08581955949</v>
      </c>
      <c r="AJ243" s="205">
        <f t="shared" si="25"/>
        <v>234778.0879065519</v>
      </c>
      <c r="AK243" s="205">
        <f t="shared" si="26"/>
        <v>2532.9979130075981</v>
      </c>
      <c r="AL243" s="229"/>
      <c r="AM243" s="52">
        <f t="shared" si="4"/>
        <v>1</v>
      </c>
      <c r="AN243" s="52">
        <f t="shared" si="5"/>
        <v>0</v>
      </c>
      <c r="AO243" s="52">
        <f t="shared" si="6"/>
        <v>1</v>
      </c>
      <c r="AP243" s="229"/>
      <c r="AQ243" s="3"/>
      <c r="AR243" s="3"/>
      <c r="AS243" s="3"/>
      <c r="AT243" s="3"/>
      <c r="AU243" s="229"/>
      <c r="AV243" s="318">
        <f t="shared" si="27"/>
        <v>237311.08581955949</v>
      </c>
      <c r="AW243" s="229"/>
      <c r="AX243" s="312"/>
      <c r="AY243" s="14"/>
      <c r="AZ243" s="14">
        <f t="shared" si="29"/>
        <v>3955.7781537693372</v>
      </c>
      <c r="BA243" s="14">
        <f t="shared" si="28"/>
        <v>6.4887760667769356E-2</v>
      </c>
      <c r="BB243" s="14">
        <f t="shared" si="2"/>
        <v>60963.394530183359</v>
      </c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BZ243" s="14"/>
      <c r="CA243" s="14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</row>
    <row r="244" spans="1:101" ht="14.25" customHeight="1" x14ac:dyDescent="0.2">
      <c r="A244" s="286"/>
      <c r="B244" s="52">
        <v>0.15488478408075398</v>
      </c>
      <c r="C244" s="288">
        <v>0.45450288753249601</v>
      </c>
      <c r="D244" s="288">
        <v>1.2144950978713886E-2</v>
      </c>
      <c r="E244" s="288">
        <v>7.2971776354969183E-3</v>
      </c>
      <c r="F244" s="289">
        <v>0.78216659891118223</v>
      </c>
      <c r="G244" s="92">
        <v>0.40696315416232731</v>
      </c>
      <c r="H244" s="288">
        <v>0.18413954411572975</v>
      </c>
      <c r="I244" s="288">
        <v>3.5653698996261474E-2</v>
      </c>
      <c r="J244" s="288">
        <v>1</v>
      </c>
      <c r="K244" s="288">
        <v>0.74419031657059476</v>
      </c>
      <c r="L244" s="290">
        <v>10470.636034662877</v>
      </c>
      <c r="M244" s="288">
        <v>0</v>
      </c>
      <c r="N244" s="288">
        <v>18054.294503580171</v>
      </c>
      <c r="O244" s="288">
        <v>914.31951881748716</v>
      </c>
      <c r="P244" s="288">
        <v>53286.017268531381</v>
      </c>
      <c r="Q244" s="291">
        <v>123829.57184353789</v>
      </c>
      <c r="R244" s="288">
        <v>19165.413665620112</v>
      </c>
      <c r="S244" s="288">
        <v>8728.1450839696827</v>
      </c>
      <c r="T244" s="290">
        <v>0.751</v>
      </c>
      <c r="U244" s="288">
        <v>0.75800000000000001</v>
      </c>
      <c r="V244" s="288">
        <v>0.723923076923077</v>
      </c>
      <c r="W244" s="288">
        <v>0.72750000000000004</v>
      </c>
      <c r="X244" s="288">
        <v>0.76</v>
      </c>
      <c r="Y244" s="288">
        <v>0</v>
      </c>
      <c r="Z244" s="289">
        <v>0</v>
      </c>
      <c r="AA244" s="229"/>
      <c r="AB244" s="52">
        <v>79796.874966246149</v>
      </c>
      <c r="AC244" s="288">
        <v>3.1524104805078865</v>
      </c>
      <c r="AD244" s="288">
        <v>69484.543155515232</v>
      </c>
      <c r="AE244" s="288">
        <v>2.9815403922649661</v>
      </c>
      <c r="AF244" s="288">
        <v>10312.331810730917</v>
      </c>
      <c r="AG244" s="289">
        <v>0.17087008824292038</v>
      </c>
      <c r="AH244" s="229"/>
      <c r="AI244" s="205">
        <f t="shared" si="24"/>
        <v>235444.1730845425</v>
      </c>
      <c r="AJ244" s="205">
        <f t="shared" si="25"/>
        <v>228669.49607098137</v>
      </c>
      <c r="AK244" s="205">
        <f t="shared" si="26"/>
        <v>6774.6770135611223</v>
      </c>
      <c r="AL244" s="229"/>
      <c r="AM244" s="52">
        <f t="shared" si="4"/>
        <v>1</v>
      </c>
      <c r="AN244" s="52">
        <f t="shared" si="5"/>
        <v>0</v>
      </c>
      <c r="AO244" s="52">
        <f t="shared" si="6"/>
        <v>1</v>
      </c>
      <c r="AP244" s="229"/>
      <c r="AQ244" s="3"/>
      <c r="AR244" s="3"/>
      <c r="AS244" s="3"/>
      <c r="AT244" s="3"/>
      <c r="AU244" s="229"/>
      <c r="AV244" s="318">
        <f t="shared" si="27"/>
        <v>235444.1730845425</v>
      </c>
      <c r="AW244" s="229"/>
      <c r="AX244" s="312"/>
      <c r="AY244" s="14"/>
      <c r="AZ244" s="14">
        <f t="shared" si="29"/>
        <v>10312.331810730917</v>
      </c>
      <c r="BA244" s="14">
        <f t="shared" si="28"/>
        <v>0.17087008824292038</v>
      </c>
      <c r="BB244" s="14">
        <f t="shared" si="2"/>
        <v>60351.884386401289</v>
      </c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BZ244" s="14"/>
      <c r="CA244" s="14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</row>
    <row r="245" spans="1:101" ht="14.25" customHeight="1" x14ac:dyDescent="0.2">
      <c r="A245" s="286"/>
      <c r="B245" s="52">
        <v>0.19704761426876849</v>
      </c>
      <c r="C245" s="288">
        <v>0.21366199949479986</v>
      </c>
      <c r="D245" s="288">
        <v>2.6481057401495089E-2</v>
      </c>
      <c r="E245" s="288">
        <v>2.242403306759988E-2</v>
      </c>
      <c r="F245" s="289">
        <v>0.81195749093360303</v>
      </c>
      <c r="G245" s="92">
        <v>0.39103010181579362</v>
      </c>
      <c r="H245" s="288">
        <v>0.29856123650839128</v>
      </c>
      <c r="I245" s="288">
        <v>2.9468107414326927E-2</v>
      </c>
      <c r="J245" s="288">
        <v>8.22718046493848E-2</v>
      </c>
      <c r="K245" s="288">
        <v>0.67588664303851198</v>
      </c>
      <c r="L245" s="290">
        <v>12647.607765645251</v>
      </c>
      <c r="M245" s="288">
        <v>0</v>
      </c>
      <c r="N245" s="288">
        <v>19666.963294161993</v>
      </c>
      <c r="O245" s="288">
        <v>1082.6254797251961</v>
      </c>
      <c r="P245" s="288">
        <v>60333.494773003316</v>
      </c>
      <c r="Q245" s="291">
        <v>106808.42645759528</v>
      </c>
      <c r="R245" s="288">
        <v>22845.140787872337</v>
      </c>
      <c r="S245" s="288">
        <v>7299.2722500919754</v>
      </c>
      <c r="T245" s="290">
        <v>0.751</v>
      </c>
      <c r="U245" s="288">
        <v>0.75800000000000001</v>
      </c>
      <c r="V245" s="288">
        <v>0.723923076923077</v>
      </c>
      <c r="W245" s="288">
        <v>0.72750000000000004</v>
      </c>
      <c r="X245" s="288">
        <v>0.76</v>
      </c>
      <c r="Y245" s="288">
        <v>0</v>
      </c>
      <c r="Z245" s="289">
        <v>0</v>
      </c>
      <c r="AA245" s="229"/>
      <c r="AB245" s="52">
        <v>73077.307959461177</v>
      </c>
      <c r="AC245" s="288">
        <v>3.2914485797026227</v>
      </c>
      <c r="AD245" s="288">
        <v>53569.087348106033</v>
      </c>
      <c r="AE245" s="288">
        <v>2.6715028411465607</v>
      </c>
      <c r="AF245" s="288">
        <v>19508.220611355144</v>
      </c>
      <c r="AG245" s="289">
        <v>0.61994573855606205</v>
      </c>
      <c r="AH245" s="229"/>
      <c r="AI245" s="205">
        <f t="shared" si="24"/>
        <v>256067.55001080112</v>
      </c>
      <c r="AJ245" s="205">
        <f t="shared" si="25"/>
        <v>213581.19676655001</v>
      </c>
      <c r="AK245" s="205">
        <f t="shared" si="26"/>
        <v>42486.353244251062</v>
      </c>
      <c r="AL245" s="229"/>
      <c r="AM245" s="52">
        <f t="shared" si="4"/>
        <v>1</v>
      </c>
      <c r="AN245" s="52">
        <f t="shared" si="5"/>
        <v>0</v>
      </c>
      <c r="AO245" s="52">
        <f t="shared" si="6"/>
        <v>1</v>
      </c>
      <c r="AP245" s="229"/>
      <c r="AQ245" s="3"/>
      <c r="AR245" s="3"/>
      <c r="AS245" s="3"/>
      <c r="AT245" s="3"/>
      <c r="AU245" s="229"/>
      <c r="AV245" s="318">
        <f t="shared" si="27"/>
        <v>256067.55001080112</v>
      </c>
      <c r="AW245" s="229"/>
      <c r="AX245" s="312"/>
      <c r="AY245" s="14"/>
      <c r="AZ245" s="14">
        <f t="shared" si="29"/>
        <v>19508.220611355144</v>
      </c>
      <c r="BA245" s="14">
        <f t="shared" si="28"/>
        <v>0.61994573855606205</v>
      </c>
      <c r="BB245" s="14">
        <f t="shared" si="2"/>
        <v>31467.625951897731</v>
      </c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BZ245" s="14"/>
      <c r="CA245" s="14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</row>
    <row r="246" spans="1:101" ht="14.25" customHeight="1" x14ac:dyDescent="0.2">
      <c r="A246" s="286"/>
      <c r="B246" s="52">
        <v>0.15518376304377823</v>
      </c>
      <c r="C246" s="288">
        <v>0.38729008821393862</v>
      </c>
      <c r="D246" s="288">
        <v>2.0323385199673027E-2</v>
      </c>
      <c r="E246" s="288">
        <v>2.0232154301687566E-2</v>
      </c>
      <c r="F246" s="289">
        <v>0.74251977012490944</v>
      </c>
      <c r="G246" s="92">
        <v>0.38290458045267528</v>
      </c>
      <c r="H246" s="288">
        <v>0.49890052732743428</v>
      </c>
      <c r="I246" s="288">
        <v>8.8587178498722094E-3</v>
      </c>
      <c r="J246" s="288">
        <v>0.99997268915721826</v>
      </c>
      <c r="K246" s="288">
        <v>0.76916804167063191</v>
      </c>
      <c r="L246" s="290">
        <v>10009.690661142044</v>
      </c>
      <c r="M246" s="288">
        <v>0</v>
      </c>
      <c r="N246" s="288">
        <v>29091.621336651955</v>
      </c>
      <c r="O246" s="288">
        <v>988.68009009441585</v>
      </c>
      <c r="P246" s="288">
        <v>51130.598737009394</v>
      </c>
      <c r="Q246" s="291">
        <v>160088.20854655071</v>
      </c>
      <c r="R246" s="288">
        <v>21064.660240408582</v>
      </c>
      <c r="S246" s="288">
        <v>7551.6897149057695</v>
      </c>
      <c r="T246" s="290">
        <v>0.751</v>
      </c>
      <c r="U246" s="288">
        <v>0.75800000000000001</v>
      </c>
      <c r="V246" s="288">
        <v>0.723923076923077</v>
      </c>
      <c r="W246" s="288">
        <v>0.72750000000000004</v>
      </c>
      <c r="X246" s="288">
        <v>0.76</v>
      </c>
      <c r="Y246" s="288">
        <v>0</v>
      </c>
      <c r="Z246" s="289">
        <v>0</v>
      </c>
      <c r="AA246" s="229"/>
      <c r="AB246" s="52">
        <v>67464.019986885527</v>
      </c>
      <c r="AC246" s="288">
        <v>2.9695324278825908</v>
      </c>
      <c r="AD246" s="288">
        <v>63129.641687658412</v>
      </c>
      <c r="AE246" s="288">
        <v>3.0967532084740461</v>
      </c>
      <c r="AF246" s="288">
        <v>4334.3782992271153</v>
      </c>
      <c r="AG246" s="289">
        <v>-0.12722078059145536</v>
      </c>
      <c r="AH246" s="229"/>
      <c r="AI246" s="205">
        <f t="shared" si="24"/>
        <v>229489.22280137351</v>
      </c>
      <c r="AJ246" s="205">
        <f t="shared" si="25"/>
        <v>246545.67915974619</v>
      </c>
      <c r="AK246" s="205">
        <f t="shared" si="26"/>
        <v>-17056.456358372652</v>
      </c>
      <c r="AL246" s="229"/>
      <c r="AM246" s="52">
        <f t="shared" si="4"/>
        <v>0</v>
      </c>
      <c r="AN246" s="52">
        <f t="shared" si="5"/>
        <v>1</v>
      </c>
      <c r="AO246" s="52">
        <f t="shared" si="6"/>
        <v>0</v>
      </c>
      <c r="AP246" s="229"/>
      <c r="AQ246" s="3"/>
      <c r="AR246" s="3"/>
      <c r="AS246" s="3"/>
      <c r="AT246" s="3"/>
      <c r="AU246" s="229"/>
      <c r="AV246" s="318">
        <f t="shared" si="27"/>
        <v>246545.67915974619</v>
      </c>
      <c r="AW246" s="229"/>
      <c r="AX246" s="312"/>
      <c r="AY246" s="14"/>
      <c r="AZ246" s="14">
        <f t="shared" si="29"/>
        <v>4334.3782992271153</v>
      </c>
      <c r="BA246" s="14">
        <f t="shared" si="28"/>
        <v>-0.12722078059145536</v>
      </c>
      <c r="BB246" s="14">
        <f t="shared" si="2"/>
        <v>-34069.735141353383</v>
      </c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BZ246" s="14"/>
      <c r="CA246" s="14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</row>
    <row r="247" spans="1:101" ht="14.25" customHeight="1" x14ac:dyDescent="0.2">
      <c r="A247" s="286"/>
      <c r="B247" s="52">
        <v>0.14759049497250845</v>
      </c>
      <c r="C247" s="288">
        <v>0.79991468661366361</v>
      </c>
      <c r="D247" s="288">
        <v>6.1874481175094769E-3</v>
      </c>
      <c r="E247" s="288">
        <v>2.3326598721718939E-2</v>
      </c>
      <c r="F247" s="289">
        <v>0.76111768694850801</v>
      </c>
      <c r="G247" s="92">
        <v>0.4016024636313934</v>
      </c>
      <c r="H247" s="288">
        <v>0.55698267111646693</v>
      </c>
      <c r="I247" s="288">
        <v>3.2365316516555498E-2</v>
      </c>
      <c r="J247" s="288">
        <v>1</v>
      </c>
      <c r="K247" s="288">
        <v>0.77181025287730354</v>
      </c>
      <c r="L247" s="290">
        <v>21683.99339588072</v>
      </c>
      <c r="M247" s="288">
        <v>0</v>
      </c>
      <c r="N247" s="288">
        <v>12521.335503418299</v>
      </c>
      <c r="O247" s="288">
        <v>1074.3015515200432</v>
      </c>
      <c r="P247" s="288">
        <v>40614.49270477621</v>
      </c>
      <c r="Q247" s="291">
        <v>91361.523603933689</v>
      </c>
      <c r="R247" s="288">
        <v>14350.059678500924</v>
      </c>
      <c r="S247" s="288">
        <v>14687.70682841601</v>
      </c>
      <c r="T247" s="290">
        <v>0.751</v>
      </c>
      <c r="U247" s="288">
        <v>0.75800000000000001</v>
      </c>
      <c r="V247" s="288">
        <v>0.723923076923077</v>
      </c>
      <c r="W247" s="288">
        <v>0.72750000000000004</v>
      </c>
      <c r="X247" s="288">
        <v>0.76</v>
      </c>
      <c r="Y247" s="288">
        <v>0</v>
      </c>
      <c r="Z247" s="289">
        <v>0</v>
      </c>
      <c r="AA247" s="229"/>
      <c r="AB247" s="52">
        <v>134319.65823910417</v>
      </c>
      <c r="AC247" s="288">
        <v>3.0550116214448826</v>
      </c>
      <c r="AD247" s="288">
        <v>118603.4863058691</v>
      </c>
      <c r="AE247" s="288">
        <v>3.1089982468276283</v>
      </c>
      <c r="AF247" s="288">
        <v>15716.171933235077</v>
      </c>
      <c r="AG247" s="289">
        <v>-5.3986625382745679E-2</v>
      </c>
      <c r="AH247" s="229"/>
      <c r="AI247" s="205">
        <f t="shared" si="24"/>
        <v>171181.50390538407</v>
      </c>
      <c r="AJ247" s="205">
        <f t="shared" si="25"/>
        <v>192296.33837689375</v>
      </c>
      <c r="AK247" s="205">
        <f t="shared" si="26"/>
        <v>-21114.834471509646</v>
      </c>
      <c r="AL247" s="229"/>
      <c r="AM247" s="52">
        <f t="shared" si="4"/>
        <v>0</v>
      </c>
      <c r="AN247" s="52">
        <f t="shared" si="5"/>
        <v>1</v>
      </c>
      <c r="AO247" s="52">
        <f t="shared" si="6"/>
        <v>0</v>
      </c>
      <c r="AP247" s="229"/>
      <c r="AQ247" s="3"/>
      <c r="AR247" s="3"/>
      <c r="AS247" s="3"/>
      <c r="AT247" s="3"/>
      <c r="AU247" s="229"/>
      <c r="AV247" s="318">
        <f t="shared" si="27"/>
        <v>192296.33837689375</v>
      </c>
      <c r="AW247" s="229"/>
      <c r="AX247" s="312"/>
      <c r="AY247" s="14"/>
      <c r="AZ247" s="14">
        <f t="shared" si="29"/>
        <v>15716.171933235077</v>
      </c>
      <c r="BA247" s="14">
        <f t="shared" si="28"/>
        <v>-5.3986625382745679E-2</v>
      </c>
      <c r="BB247" s="14">
        <f t="shared" si="2"/>
        <v>-291112.32313212933</v>
      </c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BZ247" s="14"/>
      <c r="CA247" s="14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</row>
    <row r="248" spans="1:101" ht="14.25" customHeight="1" x14ac:dyDescent="0.2">
      <c r="A248" s="286"/>
      <c r="B248" s="52">
        <v>0.19149381867825976</v>
      </c>
      <c r="C248" s="288">
        <v>0.81988811498748648</v>
      </c>
      <c r="D248" s="288">
        <v>8.0815241489356308E-3</v>
      </c>
      <c r="E248" s="288">
        <v>1.4052458338652722E-2</v>
      </c>
      <c r="F248" s="289">
        <v>0.77255941143569662</v>
      </c>
      <c r="G248" s="92">
        <v>0.40079643436595302</v>
      </c>
      <c r="H248" s="288">
        <v>0.38907836674612933</v>
      </c>
      <c r="I248" s="288">
        <v>2.3122009027969792E-2</v>
      </c>
      <c r="J248" s="288">
        <v>0.99999995997996471</v>
      </c>
      <c r="K248" s="288">
        <v>0.78679649024696674</v>
      </c>
      <c r="L248" s="290">
        <v>14431.659584576802</v>
      </c>
      <c r="M248" s="288">
        <v>0</v>
      </c>
      <c r="N248" s="288">
        <v>31819.68119164087</v>
      </c>
      <c r="O248" s="288">
        <v>1428.6282673148403</v>
      </c>
      <c r="P248" s="288">
        <v>39005.942499858684</v>
      </c>
      <c r="Q248" s="291">
        <v>61690.494828663977</v>
      </c>
      <c r="R248" s="288">
        <v>21866.414713579823</v>
      </c>
      <c r="S248" s="288">
        <v>8286.8397617366609</v>
      </c>
      <c r="T248" s="290">
        <v>0.751</v>
      </c>
      <c r="U248" s="288">
        <v>0.75800000000000001</v>
      </c>
      <c r="V248" s="288">
        <v>0.723923076923077</v>
      </c>
      <c r="W248" s="288">
        <v>0.72750000000000004</v>
      </c>
      <c r="X248" s="288">
        <v>0.76</v>
      </c>
      <c r="Y248" s="288">
        <v>0</v>
      </c>
      <c r="Z248" s="289">
        <v>0</v>
      </c>
      <c r="AA248" s="229"/>
      <c r="AB248" s="52">
        <v>81630.532910660026</v>
      </c>
      <c r="AC248" s="288">
        <v>3.1078692869737212</v>
      </c>
      <c r="AD248" s="288">
        <v>70312.85450921653</v>
      </c>
      <c r="AE248" s="288">
        <v>3.1786585321131913</v>
      </c>
      <c r="AF248" s="288">
        <v>11317.678401443496</v>
      </c>
      <c r="AG248" s="289">
        <v>-7.0789245139470047E-2</v>
      </c>
      <c r="AH248" s="229"/>
      <c r="AI248" s="205">
        <f t="shared" si="24"/>
        <v>229156.39578671212</v>
      </c>
      <c r="AJ248" s="205">
        <f t="shared" si="25"/>
        <v>247552.9987021026</v>
      </c>
      <c r="AK248" s="205">
        <f t="shared" si="26"/>
        <v>-18396.6029153905</v>
      </c>
      <c r="AL248" s="229"/>
      <c r="AM248" s="52">
        <f t="shared" si="4"/>
        <v>0</v>
      </c>
      <c r="AN248" s="52">
        <f t="shared" si="5"/>
        <v>1</v>
      </c>
      <c r="AO248" s="52">
        <f t="shared" si="6"/>
        <v>0</v>
      </c>
      <c r="AP248" s="229"/>
      <c r="AQ248" s="3"/>
      <c r="AR248" s="3"/>
      <c r="AS248" s="3"/>
      <c r="AT248" s="3"/>
      <c r="AU248" s="229"/>
      <c r="AV248" s="318">
        <f t="shared" si="27"/>
        <v>247552.9987021026</v>
      </c>
      <c r="AW248" s="229"/>
      <c r="AX248" s="312"/>
      <c r="AY248" s="14"/>
      <c r="AZ248" s="14">
        <f t="shared" si="29"/>
        <v>11317.678401443496</v>
      </c>
      <c r="BA248" s="14">
        <f t="shared" si="28"/>
        <v>-7.0789245139470047E-2</v>
      </c>
      <c r="BB248" s="14">
        <f t="shared" si="2"/>
        <v>-159878.50102293413</v>
      </c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BZ248" s="14"/>
      <c r="CA248" s="14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</row>
    <row r="249" spans="1:101" ht="14.25" customHeight="1" x14ac:dyDescent="0.2">
      <c r="A249" s="286"/>
      <c r="B249" s="52">
        <v>0.18688589701013691</v>
      </c>
      <c r="C249" s="288">
        <v>0.50274290692406232</v>
      </c>
      <c r="D249" s="288">
        <v>2.1303244828013157E-2</v>
      </c>
      <c r="E249" s="288">
        <v>2.7600684060098746E-2</v>
      </c>
      <c r="F249" s="289">
        <v>0.770592334350376</v>
      </c>
      <c r="G249" s="92">
        <v>0.39599439013595772</v>
      </c>
      <c r="H249" s="288">
        <v>0.6897257657683552</v>
      </c>
      <c r="I249" s="288">
        <v>2.2502586688445958E-2</v>
      </c>
      <c r="J249" s="288">
        <v>0.9999999981510117</v>
      </c>
      <c r="K249" s="288">
        <v>0.77263187583860504</v>
      </c>
      <c r="L249" s="290">
        <v>12168.12356271444</v>
      </c>
      <c r="M249" s="288">
        <v>0</v>
      </c>
      <c r="N249" s="288">
        <v>15294.415274929544</v>
      </c>
      <c r="O249" s="288">
        <v>1229.3358241048554</v>
      </c>
      <c r="P249" s="288">
        <v>61241.177722901484</v>
      </c>
      <c r="Q249" s="291">
        <v>90779.763952897207</v>
      </c>
      <c r="R249" s="288">
        <v>27668.574313461369</v>
      </c>
      <c r="S249" s="288">
        <v>8360.1565388300314</v>
      </c>
      <c r="T249" s="290">
        <v>0.751</v>
      </c>
      <c r="U249" s="288">
        <v>0.75800000000000001</v>
      </c>
      <c r="V249" s="288">
        <v>0.723923076923077</v>
      </c>
      <c r="W249" s="288">
        <v>0.72750000000000004</v>
      </c>
      <c r="X249" s="288">
        <v>0.76</v>
      </c>
      <c r="Y249" s="288">
        <v>0</v>
      </c>
      <c r="Z249" s="289">
        <v>0</v>
      </c>
      <c r="AA249" s="229"/>
      <c r="AB249" s="52">
        <v>79160.538068975366</v>
      </c>
      <c r="AC249" s="288">
        <v>3.098767307720248</v>
      </c>
      <c r="AD249" s="288">
        <v>73898.121223133698</v>
      </c>
      <c r="AE249" s="288">
        <v>3.1128082114005191</v>
      </c>
      <c r="AF249" s="288">
        <v>5262.416845841668</v>
      </c>
      <c r="AG249" s="289">
        <v>-1.4040903680271111E-2</v>
      </c>
      <c r="AH249" s="229"/>
      <c r="AI249" s="205">
        <f t="shared" si="24"/>
        <v>230716.1927030494</v>
      </c>
      <c r="AJ249" s="205">
        <f t="shared" si="25"/>
        <v>237382.69991691824</v>
      </c>
      <c r="AK249" s="205">
        <f t="shared" si="26"/>
        <v>-6666.5072138687792</v>
      </c>
      <c r="AL249" s="229"/>
      <c r="AM249" s="52">
        <f t="shared" si="4"/>
        <v>0</v>
      </c>
      <c r="AN249" s="52">
        <f t="shared" si="5"/>
        <v>1</v>
      </c>
      <c r="AO249" s="52">
        <f t="shared" si="6"/>
        <v>0</v>
      </c>
      <c r="AP249" s="229"/>
      <c r="AQ249" s="3"/>
      <c r="AR249" s="3"/>
      <c r="AS249" s="3"/>
      <c r="AT249" s="3"/>
      <c r="AU249" s="229"/>
      <c r="AV249" s="318">
        <f t="shared" si="27"/>
        <v>237382.69991691824</v>
      </c>
      <c r="AW249" s="229"/>
      <c r="AX249" s="312"/>
      <c r="AY249" s="14"/>
      <c r="AZ249" s="14">
        <f t="shared" si="29"/>
        <v>5262.416845841668</v>
      </c>
      <c r="BA249" s="14">
        <f t="shared" si="28"/>
        <v>-1.4040903680271111E-2</v>
      </c>
      <c r="BB249" s="14">
        <f t="shared" si="2"/>
        <v>-374791.89129656204</v>
      </c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BZ249" s="14"/>
      <c r="CA249" s="14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</row>
    <row r="250" spans="1:101" ht="14.25" customHeight="1" x14ac:dyDescent="0.2">
      <c r="A250" s="286"/>
      <c r="B250" s="52">
        <v>0.18395623626645186</v>
      </c>
      <c r="C250" s="288">
        <v>0.31432726072384343</v>
      </c>
      <c r="D250" s="288">
        <v>1.3271550212046989E-2</v>
      </c>
      <c r="E250" s="288">
        <v>1.7038300294054509E-2</v>
      </c>
      <c r="F250" s="289">
        <v>0.8065804830568144</v>
      </c>
      <c r="G250" s="92">
        <v>0.36055800749702716</v>
      </c>
      <c r="H250" s="288">
        <v>0.33902483981185633</v>
      </c>
      <c r="I250" s="288">
        <v>1.1005944126794858E-2</v>
      </c>
      <c r="J250" s="288">
        <v>0.99999999999997491</v>
      </c>
      <c r="K250" s="288">
        <v>0.79485519675739613</v>
      </c>
      <c r="L250" s="290">
        <v>13367.499438230028</v>
      </c>
      <c r="M250" s="288">
        <v>0</v>
      </c>
      <c r="N250" s="288">
        <v>17107.280504532471</v>
      </c>
      <c r="O250" s="288">
        <v>1046.0958837096045</v>
      </c>
      <c r="P250" s="288">
        <v>38390.37808380161</v>
      </c>
      <c r="Q250" s="291">
        <v>127842.46002176125</v>
      </c>
      <c r="R250" s="288">
        <v>26059.169424444946</v>
      </c>
      <c r="S250" s="288">
        <v>12124.640082591921</v>
      </c>
      <c r="T250" s="290">
        <v>0.751</v>
      </c>
      <c r="U250" s="288">
        <v>0.75800000000000001</v>
      </c>
      <c r="V250" s="288">
        <v>0.723923076923077</v>
      </c>
      <c r="W250" s="288">
        <v>0.72750000000000004</v>
      </c>
      <c r="X250" s="288">
        <v>0.76</v>
      </c>
      <c r="Y250" s="288">
        <v>0</v>
      </c>
      <c r="Z250" s="289">
        <v>0</v>
      </c>
      <c r="AA250" s="229"/>
      <c r="AB250" s="52">
        <v>112220.54521808312</v>
      </c>
      <c r="AC250" s="288">
        <v>3.2662504095113198</v>
      </c>
      <c r="AD250" s="288">
        <v>100386.69225554468</v>
      </c>
      <c r="AE250" s="288">
        <v>3.2162640521332428</v>
      </c>
      <c r="AF250" s="288">
        <v>11833.85296253844</v>
      </c>
      <c r="AG250" s="289">
        <v>4.9986357378076995E-2</v>
      </c>
      <c r="AH250" s="229"/>
      <c r="AI250" s="205">
        <f t="shared" si="24"/>
        <v>214404.49573304883</v>
      </c>
      <c r="AJ250" s="205">
        <f t="shared" si="25"/>
        <v>221239.71295777961</v>
      </c>
      <c r="AK250" s="205">
        <f t="shared" si="26"/>
        <v>-6835.2172247307408</v>
      </c>
      <c r="AL250" s="229"/>
      <c r="AM250" s="52">
        <f t="shared" si="4"/>
        <v>0</v>
      </c>
      <c r="AN250" s="52">
        <f t="shared" si="5"/>
        <v>1</v>
      </c>
      <c r="AO250" s="52">
        <f t="shared" si="6"/>
        <v>0</v>
      </c>
      <c r="AP250" s="229"/>
      <c r="AQ250" s="3"/>
      <c r="AR250" s="3"/>
      <c r="AS250" s="3"/>
      <c r="AT250" s="3"/>
      <c r="AU250" s="229"/>
      <c r="AV250" s="318">
        <f t="shared" si="27"/>
        <v>221239.71295777961</v>
      </c>
      <c r="AW250" s="229"/>
      <c r="AX250" s="312"/>
      <c r="AY250" s="14"/>
      <c r="AZ250" s="14">
        <f t="shared" si="29"/>
        <v>11833.85296253844</v>
      </c>
      <c r="BA250" s="14">
        <f t="shared" si="28"/>
        <v>4.9986357378076995E-2</v>
      </c>
      <c r="BB250" s="14">
        <f t="shared" si="2"/>
        <v>236741.65478856294</v>
      </c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BZ250" s="14"/>
      <c r="CA250" s="14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</row>
    <row r="251" spans="1:101" ht="14.25" customHeight="1" x14ac:dyDescent="0.2">
      <c r="A251" s="286"/>
      <c r="B251" s="52">
        <v>0.1534721435231671</v>
      </c>
      <c r="C251" s="288">
        <v>0.18954015931167364</v>
      </c>
      <c r="D251" s="288">
        <v>3.073352713455324E-2</v>
      </c>
      <c r="E251" s="288">
        <v>5.7516757565494112E-3</v>
      </c>
      <c r="F251" s="289">
        <v>0.80400547061356764</v>
      </c>
      <c r="G251" s="92">
        <v>0.40352951985837915</v>
      </c>
      <c r="H251" s="288">
        <v>0.82941589790897263</v>
      </c>
      <c r="I251" s="288">
        <v>5.3920375667037531E-3</v>
      </c>
      <c r="J251" s="288">
        <v>6.9338973409337312E-2</v>
      </c>
      <c r="K251" s="288">
        <v>0.77521608220519411</v>
      </c>
      <c r="L251" s="290">
        <v>10406.958638344691</v>
      </c>
      <c r="M251" s="288">
        <v>0</v>
      </c>
      <c r="N251" s="288">
        <v>17651.902160961632</v>
      </c>
      <c r="O251" s="288">
        <v>1079.6997564849473</v>
      </c>
      <c r="P251" s="288">
        <v>37235.544031775091</v>
      </c>
      <c r="Q251" s="291">
        <v>97917.958601084014</v>
      </c>
      <c r="R251" s="288">
        <v>27156.350955041977</v>
      </c>
      <c r="S251" s="288">
        <v>11367.538922702601</v>
      </c>
      <c r="T251" s="290">
        <v>0.751</v>
      </c>
      <c r="U251" s="288">
        <v>0.75800000000000001</v>
      </c>
      <c r="V251" s="288">
        <v>0.723923076923077</v>
      </c>
      <c r="W251" s="288">
        <v>0.72750000000000004</v>
      </c>
      <c r="X251" s="288">
        <v>0.76</v>
      </c>
      <c r="Y251" s="288">
        <v>0</v>
      </c>
      <c r="Z251" s="289">
        <v>0</v>
      </c>
      <c r="AA251" s="229"/>
      <c r="AB251" s="52">
        <v>102328.52840221017</v>
      </c>
      <c r="AC251" s="288">
        <v>3.2541992361955847</v>
      </c>
      <c r="AD251" s="288">
        <v>97580.512926635667</v>
      </c>
      <c r="AE251" s="288">
        <v>3.1247984239678654</v>
      </c>
      <c r="AF251" s="288">
        <v>4748.0154755745025</v>
      </c>
      <c r="AG251" s="289">
        <v>0.12940081222771926</v>
      </c>
      <c r="AH251" s="229"/>
      <c r="AI251" s="205">
        <f t="shared" si="24"/>
        <v>223091.3952173483</v>
      </c>
      <c r="AJ251" s="205">
        <f t="shared" si="25"/>
        <v>214899.32947015087</v>
      </c>
      <c r="AK251" s="205">
        <f t="shared" si="26"/>
        <v>8192.0657471974246</v>
      </c>
      <c r="AL251" s="229"/>
      <c r="AM251" s="52">
        <f t="shared" si="4"/>
        <v>1</v>
      </c>
      <c r="AN251" s="52">
        <f t="shared" si="5"/>
        <v>0</v>
      </c>
      <c r="AO251" s="52">
        <f t="shared" si="6"/>
        <v>1</v>
      </c>
      <c r="AP251" s="229"/>
      <c r="AQ251" s="3"/>
      <c r="AR251" s="3"/>
      <c r="AS251" s="3"/>
      <c r="AT251" s="3"/>
      <c r="AU251" s="229"/>
      <c r="AV251" s="318">
        <f t="shared" si="27"/>
        <v>223091.3952173483</v>
      </c>
      <c r="AW251" s="229"/>
      <c r="AX251" s="312"/>
      <c r="AY251" s="14"/>
      <c r="AZ251" s="14">
        <f t="shared" si="29"/>
        <v>4748.0154755745025</v>
      </c>
      <c r="BA251" s="14">
        <f t="shared" si="28"/>
        <v>0.12940081222771926</v>
      </c>
      <c r="BB251" s="14">
        <f t="shared" si="2"/>
        <v>36692.315865985103</v>
      </c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BZ251" s="14"/>
      <c r="CA251" s="14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</row>
    <row r="252" spans="1:101" ht="14.25" customHeight="1" x14ac:dyDescent="0.2">
      <c r="A252" s="286"/>
      <c r="B252" s="52">
        <v>0.14492361615014321</v>
      </c>
      <c r="C252" s="288">
        <v>0.4112631118424801</v>
      </c>
      <c r="D252" s="288">
        <v>2.6348176487064556E-2</v>
      </c>
      <c r="E252" s="288">
        <v>2.1209060971554727E-2</v>
      </c>
      <c r="F252" s="289">
        <v>0.81442465401577979</v>
      </c>
      <c r="G252" s="92">
        <v>0.3952534533069022</v>
      </c>
      <c r="H252" s="288">
        <v>0.45346731925802786</v>
      </c>
      <c r="I252" s="288">
        <v>2.0802945002693862E-2</v>
      </c>
      <c r="J252" s="288">
        <v>0.99999999999840472</v>
      </c>
      <c r="K252" s="288">
        <v>0.70322598299365136</v>
      </c>
      <c r="L252" s="290">
        <v>15236.157542787765</v>
      </c>
      <c r="M252" s="288">
        <v>0</v>
      </c>
      <c r="N252" s="288">
        <v>14030.212058377932</v>
      </c>
      <c r="O252" s="288">
        <v>930.707892234013</v>
      </c>
      <c r="P252" s="288">
        <v>46808.509405294055</v>
      </c>
      <c r="Q252" s="291">
        <v>74495.635236905786</v>
      </c>
      <c r="R252" s="288">
        <v>20123.793738322725</v>
      </c>
      <c r="S252" s="288">
        <v>9339.9258300849724</v>
      </c>
      <c r="T252" s="290">
        <v>0.751</v>
      </c>
      <c r="U252" s="288">
        <v>0.75800000000000001</v>
      </c>
      <c r="V252" s="288">
        <v>0.723923076923077</v>
      </c>
      <c r="W252" s="288">
        <v>0.72750000000000004</v>
      </c>
      <c r="X252" s="288">
        <v>0.76</v>
      </c>
      <c r="Y252" s="288">
        <v>0</v>
      </c>
      <c r="Z252" s="289">
        <v>0</v>
      </c>
      <c r="AA252" s="229"/>
      <c r="AB252" s="52">
        <v>92183.217255508876</v>
      </c>
      <c r="AC252" s="288">
        <v>3.3030255768070305</v>
      </c>
      <c r="AD252" s="288">
        <v>70574.427600920768</v>
      </c>
      <c r="AE252" s="288">
        <v>2.794716326851697</v>
      </c>
      <c r="AF252" s="288">
        <v>21608.789654588109</v>
      </c>
      <c r="AG252" s="289">
        <v>0.50830924995533344</v>
      </c>
      <c r="AH252" s="229"/>
      <c r="AI252" s="205">
        <f t="shared" si="24"/>
        <v>238119.34042519418</v>
      </c>
      <c r="AJ252" s="205">
        <f t="shared" si="25"/>
        <v>208897.20508424891</v>
      </c>
      <c r="AK252" s="205">
        <f t="shared" si="26"/>
        <v>29222.135340945235</v>
      </c>
      <c r="AL252" s="229"/>
      <c r="AM252" s="52">
        <f t="shared" si="4"/>
        <v>1</v>
      </c>
      <c r="AN252" s="52">
        <f t="shared" si="5"/>
        <v>0</v>
      </c>
      <c r="AO252" s="52">
        <f t="shared" si="6"/>
        <v>1</v>
      </c>
      <c r="AP252" s="229"/>
      <c r="AQ252" s="3"/>
      <c r="AR252" s="3"/>
      <c r="AS252" s="3"/>
      <c r="AT252" s="3"/>
      <c r="AU252" s="229"/>
      <c r="AV252" s="318">
        <f t="shared" si="27"/>
        <v>238119.34042519418</v>
      </c>
      <c r="AW252" s="229"/>
      <c r="AX252" s="312"/>
      <c r="AY252" s="14"/>
      <c r="AZ252" s="14">
        <f t="shared" si="29"/>
        <v>21608.789654588109</v>
      </c>
      <c r="BA252" s="14">
        <f t="shared" si="28"/>
        <v>0.50830924995533344</v>
      </c>
      <c r="BB252" s="14">
        <f t="shared" si="2"/>
        <v>42511.108457079885</v>
      </c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BZ252" s="14"/>
      <c r="CA252" s="14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</row>
    <row r="253" spans="1:101" ht="14.25" customHeight="1" x14ac:dyDescent="0.2">
      <c r="A253" s="286"/>
      <c r="B253" s="52">
        <v>0.17977211257413728</v>
      </c>
      <c r="C253" s="288">
        <v>0.8311196142999524</v>
      </c>
      <c r="D253" s="288">
        <v>1.0997545750746482E-2</v>
      </c>
      <c r="E253" s="288">
        <v>3.0101401729662358E-2</v>
      </c>
      <c r="F253" s="289">
        <v>0.77827121718520098</v>
      </c>
      <c r="G253" s="92">
        <v>0.3509147886981912</v>
      </c>
      <c r="H253" s="288">
        <v>0.1568850895797578</v>
      </c>
      <c r="I253" s="288">
        <v>2.6717888282858482E-2</v>
      </c>
      <c r="J253" s="288">
        <v>0.99987007551160467</v>
      </c>
      <c r="K253" s="288">
        <v>0.71446271088914637</v>
      </c>
      <c r="L253" s="290">
        <v>15989.146049788527</v>
      </c>
      <c r="M253" s="288">
        <v>0</v>
      </c>
      <c r="N253" s="288">
        <v>13181.860124876015</v>
      </c>
      <c r="O253" s="288">
        <v>1009.9738440263217</v>
      </c>
      <c r="P253" s="288">
        <v>43093.236625738013</v>
      </c>
      <c r="Q253" s="291">
        <v>79475.265623799292</v>
      </c>
      <c r="R253" s="288">
        <v>29529.787494547731</v>
      </c>
      <c r="S253" s="288">
        <v>8333.8519945925418</v>
      </c>
      <c r="T253" s="290">
        <v>0.751</v>
      </c>
      <c r="U253" s="288">
        <v>0.75800000000000001</v>
      </c>
      <c r="V253" s="288">
        <v>0.723923076923077</v>
      </c>
      <c r="W253" s="288">
        <v>0.72750000000000004</v>
      </c>
      <c r="X253" s="288">
        <v>0.76</v>
      </c>
      <c r="Y253" s="288">
        <v>0</v>
      </c>
      <c r="Z253" s="289">
        <v>0</v>
      </c>
      <c r="AA253" s="229"/>
      <c r="AB253" s="52">
        <v>84969.491912054553</v>
      </c>
      <c r="AC253" s="288">
        <v>3.1343331201488511</v>
      </c>
      <c r="AD253" s="288">
        <v>62812.319408000731</v>
      </c>
      <c r="AE253" s="288">
        <v>2.8456998651072247</v>
      </c>
      <c r="AF253" s="288">
        <v>22157.172504053822</v>
      </c>
      <c r="AG253" s="289">
        <v>0.2886332550416264</v>
      </c>
      <c r="AH253" s="229"/>
      <c r="AI253" s="205">
        <f t="shared" si="24"/>
        <v>228463.82010283059</v>
      </c>
      <c r="AJ253" s="205">
        <f t="shared" si="25"/>
        <v>221757.66710272175</v>
      </c>
      <c r="AK253" s="205">
        <f t="shared" si="26"/>
        <v>6706.1530001088177</v>
      </c>
      <c r="AL253" s="229"/>
      <c r="AM253" s="52">
        <f t="shared" si="4"/>
        <v>1</v>
      </c>
      <c r="AN253" s="52">
        <f t="shared" si="5"/>
        <v>0</v>
      </c>
      <c r="AO253" s="52">
        <f t="shared" si="6"/>
        <v>1</v>
      </c>
      <c r="AP253" s="229"/>
      <c r="AQ253" s="3"/>
      <c r="AR253" s="3"/>
      <c r="AS253" s="3"/>
      <c r="AT253" s="3"/>
      <c r="AU253" s="229"/>
      <c r="AV253" s="318">
        <f t="shared" si="27"/>
        <v>228463.82010283059</v>
      </c>
      <c r="AW253" s="229"/>
      <c r="AX253" s="312"/>
      <c r="AY253" s="14"/>
      <c r="AZ253" s="14">
        <f t="shared" si="29"/>
        <v>22157.172504053822</v>
      </c>
      <c r="BA253" s="14">
        <f t="shared" si="28"/>
        <v>0.2886332550416264</v>
      </c>
      <c r="BB253" s="14">
        <f t="shared" si="2"/>
        <v>76765.833863663211</v>
      </c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BZ253" s="14"/>
      <c r="CA253" s="14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</row>
    <row r="254" spans="1:101" ht="14.25" customHeight="1" x14ac:dyDescent="0.2">
      <c r="A254" s="286"/>
      <c r="B254" s="52">
        <v>0.16425633860454014</v>
      </c>
      <c r="C254" s="288">
        <v>0.82393198431659698</v>
      </c>
      <c r="D254" s="288">
        <v>2.1529347740858018E-2</v>
      </c>
      <c r="E254" s="288">
        <v>2.7403310622587607E-2</v>
      </c>
      <c r="F254" s="289">
        <v>0.80369892987476943</v>
      </c>
      <c r="G254" s="92">
        <v>0.35390495726614513</v>
      </c>
      <c r="H254" s="288">
        <v>0.77873256370940092</v>
      </c>
      <c r="I254" s="288">
        <v>1.2346893659572467E-2</v>
      </c>
      <c r="J254" s="288">
        <v>0.99999634541037707</v>
      </c>
      <c r="K254" s="288">
        <v>0.78316454883007958</v>
      </c>
      <c r="L254" s="290">
        <v>13771.703057636581</v>
      </c>
      <c r="M254" s="288">
        <v>0</v>
      </c>
      <c r="N254" s="288">
        <v>21680.238690435235</v>
      </c>
      <c r="O254" s="288">
        <v>1279.9564654852368</v>
      </c>
      <c r="P254" s="288">
        <v>54048.640875334306</v>
      </c>
      <c r="Q254" s="291">
        <v>152301.84898387949</v>
      </c>
      <c r="R254" s="288">
        <v>24231.580514298112</v>
      </c>
      <c r="S254" s="288">
        <v>7511.0074376105931</v>
      </c>
      <c r="T254" s="290">
        <v>0.751</v>
      </c>
      <c r="U254" s="288">
        <v>0.75800000000000001</v>
      </c>
      <c r="V254" s="288">
        <v>0.723923076923077</v>
      </c>
      <c r="W254" s="288">
        <v>0.72750000000000004</v>
      </c>
      <c r="X254" s="288">
        <v>0.76</v>
      </c>
      <c r="Y254" s="288">
        <v>0</v>
      </c>
      <c r="Z254" s="289">
        <v>0</v>
      </c>
      <c r="AA254" s="229"/>
      <c r="AB254" s="52">
        <v>77583.304211291645</v>
      </c>
      <c r="AC254" s="288">
        <v>3.2527653045767884</v>
      </c>
      <c r="AD254" s="288">
        <v>66788.498852915363</v>
      </c>
      <c r="AE254" s="288">
        <v>3.161743736637785</v>
      </c>
      <c r="AF254" s="288">
        <v>10794.805358376281</v>
      </c>
      <c r="AG254" s="289">
        <v>9.10215679390034E-2</v>
      </c>
      <c r="AH254" s="229"/>
      <c r="AI254" s="205">
        <f t="shared" si="24"/>
        <v>247693.22624638717</v>
      </c>
      <c r="AJ254" s="205">
        <f t="shared" si="25"/>
        <v>249385.87481086311</v>
      </c>
      <c r="AK254" s="205">
        <f t="shared" si="26"/>
        <v>-1692.6485644759414</v>
      </c>
      <c r="AL254" s="229"/>
      <c r="AM254" s="52">
        <f t="shared" si="4"/>
        <v>0</v>
      </c>
      <c r="AN254" s="52">
        <f t="shared" si="5"/>
        <v>1</v>
      </c>
      <c r="AO254" s="52">
        <f t="shared" si="6"/>
        <v>0</v>
      </c>
      <c r="AP254" s="229"/>
      <c r="AQ254" s="3"/>
      <c r="AR254" s="3"/>
      <c r="AS254" s="3"/>
      <c r="AT254" s="3"/>
      <c r="AU254" s="229"/>
      <c r="AV254" s="318">
        <f t="shared" si="27"/>
        <v>249385.87481086311</v>
      </c>
      <c r="AW254" s="229"/>
      <c r="AX254" s="312"/>
      <c r="AY254" s="14"/>
      <c r="AZ254" s="14">
        <f t="shared" si="29"/>
        <v>10794.805358376281</v>
      </c>
      <c r="BA254" s="14">
        <f t="shared" si="28"/>
        <v>9.10215679390034E-2</v>
      </c>
      <c r="BB254" s="14">
        <f t="shared" si="2"/>
        <v>118596.12620176178</v>
      </c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BZ254" s="14"/>
      <c r="CA254" s="14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</row>
    <row r="255" spans="1:101" ht="14.25" customHeight="1" x14ac:dyDescent="0.2">
      <c r="A255" s="286"/>
      <c r="B255" s="52">
        <v>0.14442104699879968</v>
      </c>
      <c r="C255" s="288">
        <v>0.63509924328715195</v>
      </c>
      <c r="D255" s="288">
        <v>1.7006140421030103E-2</v>
      </c>
      <c r="E255" s="288">
        <v>2.3677331634881282E-2</v>
      </c>
      <c r="F255" s="289">
        <v>0.75147337160959271</v>
      </c>
      <c r="G255" s="92">
        <v>0.43940648185251263</v>
      </c>
      <c r="H255" s="288">
        <v>0.9433895130421317</v>
      </c>
      <c r="I255" s="288">
        <v>1.5180197486178996E-2</v>
      </c>
      <c r="J255" s="288">
        <v>1.0481964680293911E-2</v>
      </c>
      <c r="K255" s="288">
        <v>0.7387289335839714</v>
      </c>
      <c r="L255" s="290">
        <v>13498.805716684976</v>
      </c>
      <c r="M255" s="288">
        <v>0</v>
      </c>
      <c r="N255" s="288">
        <v>22454.609781939118</v>
      </c>
      <c r="O255" s="288">
        <v>1119.2616748877592</v>
      </c>
      <c r="P255" s="288">
        <v>46512.327839883466</v>
      </c>
      <c r="Q255" s="291">
        <v>84951.260483557417</v>
      </c>
      <c r="R255" s="288">
        <v>21496.894479029754</v>
      </c>
      <c r="S255" s="288">
        <v>7551.8374665397487</v>
      </c>
      <c r="T255" s="290">
        <v>0.751</v>
      </c>
      <c r="U255" s="288">
        <v>0.75800000000000001</v>
      </c>
      <c r="V255" s="288">
        <v>0.723923076923077</v>
      </c>
      <c r="W255" s="288">
        <v>0.72750000000000004</v>
      </c>
      <c r="X255" s="288">
        <v>0.76</v>
      </c>
      <c r="Y255" s="288">
        <v>0</v>
      </c>
      <c r="Z255" s="289">
        <v>0</v>
      </c>
      <c r="AA255" s="229"/>
      <c r="AB255" s="52">
        <v>72040.355383916409</v>
      </c>
      <c r="AC255" s="288">
        <v>3.0106169843499386</v>
      </c>
      <c r="AD255" s="288">
        <v>65559.077949509432</v>
      </c>
      <c r="AE255" s="288">
        <v>2.9564801119539701</v>
      </c>
      <c r="AF255" s="288">
        <v>6481.2774344069767</v>
      </c>
      <c r="AG255" s="289">
        <v>5.4136872395968538E-2</v>
      </c>
      <c r="AH255" s="229"/>
      <c r="AI255" s="205">
        <f t="shared" si="24"/>
        <v>229021.34305107745</v>
      </c>
      <c r="AJ255" s="205">
        <f t="shared" si="25"/>
        <v>230088.93324588757</v>
      </c>
      <c r="AK255" s="205">
        <f t="shared" si="26"/>
        <v>-1067.5901948101227</v>
      </c>
      <c r="AL255" s="229"/>
      <c r="AM255" s="52">
        <f t="shared" si="4"/>
        <v>0</v>
      </c>
      <c r="AN255" s="52">
        <f t="shared" si="5"/>
        <v>1</v>
      </c>
      <c r="AO255" s="52">
        <f t="shared" si="6"/>
        <v>0</v>
      </c>
      <c r="AP255" s="229"/>
      <c r="AQ255" s="3"/>
      <c r="AR255" s="3"/>
      <c r="AS255" s="3"/>
      <c r="AT255" s="3"/>
      <c r="AU255" s="229"/>
      <c r="AV255" s="318">
        <f t="shared" si="27"/>
        <v>230088.93324588757</v>
      </c>
      <c r="AW255" s="229"/>
      <c r="AX255" s="312"/>
      <c r="AY255" s="14"/>
      <c r="AZ255" s="14">
        <f t="shared" si="29"/>
        <v>6481.2774344069767</v>
      </c>
      <c r="BA255" s="14">
        <f t="shared" si="28"/>
        <v>5.4136872395968538E-2</v>
      </c>
      <c r="BB255" s="14">
        <f t="shared" si="2"/>
        <v>119720.20450316269</v>
      </c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BZ255" s="14"/>
      <c r="CA255" s="14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</row>
    <row r="256" spans="1:101" ht="14.25" customHeight="1" x14ac:dyDescent="0.2">
      <c r="A256" s="286"/>
      <c r="B256" s="52">
        <v>0.1524787968645164</v>
      </c>
      <c r="C256" s="288">
        <v>0.5558182793672215</v>
      </c>
      <c r="D256" s="288">
        <v>3.1626052236539248E-2</v>
      </c>
      <c r="E256" s="288">
        <v>2.6067608664453235E-2</v>
      </c>
      <c r="F256" s="289">
        <v>0.75844671278111508</v>
      </c>
      <c r="G256" s="92">
        <v>0.40319133885262715</v>
      </c>
      <c r="H256" s="288">
        <v>0.35091904734044216</v>
      </c>
      <c r="I256" s="288">
        <v>1.7297439206210519E-2</v>
      </c>
      <c r="J256" s="288">
        <v>0.99926658608835128</v>
      </c>
      <c r="K256" s="288">
        <v>0.79309614217639146</v>
      </c>
      <c r="L256" s="290">
        <v>11371.898441540094</v>
      </c>
      <c r="M256" s="288">
        <v>0</v>
      </c>
      <c r="N256" s="288">
        <v>20010.994626527678</v>
      </c>
      <c r="O256" s="288">
        <v>1749.2716997145612</v>
      </c>
      <c r="P256" s="288">
        <v>54093.765954546834</v>
      </c>
      <c r="Q256" s="291">
        <v>101595.19693160027</v>
      </c>
      <c r="R256" s="288">
        <v>18810.957848025879</v>
      </c>
      <c r="S256" s="288">
        <v>8576.8519860999295</v>
      </c>
      <c r="T256" s="290">
        <v>0.751</v>
      </c>
      <c r="U256" s="288">
        <v>0.75800000000000001</v>
      </c>
      <c r="V256" s="288">
        <v>0.723923076923077</v>
      </c>
      <c r="W256" s="288">
        <v>0.72750000000000004</v>
      </c>
      <c r="X256" s="288">
        <v>0.76</v>
      </c>
      <c r="Y256" s="288">
        <v>0</v>
      </c>
      <c r="Z256" s="289">
        <v>0</v>
      </c>
      <c r="AA256" s="229"/>
      <c r="AB256" s="52">
        <v>78147.313532768967</v>
      </c>
      <c r="AC256" s="288">
        <v>3.0427020068664108</v>
      </c>
      <c r="AD256" s="288">
        <v>72447.79347453572</v>
      </c>
      <c r="AE256" s="288">
        <v>3.2080467850917875</v>
      </c>
      <c r="AF256" s="288">
        <v>5699.5200582332473</v>
      </c>
      <c r="AG256" s="289">
        <v>-0.16534477822537674</v>
      </c>
      <c r="AH256" s="229"/>
      <c r="AI256" s="205">
        <f t="shared" si="24"/>
        <v>226122.88715387211</v>
      </c>
      <c r="AJ256" s="205">
        <f t="shared" si="25"/>
        <v>248356.88503464303</v>
      </c>
      <c r="AK256" s="205">
        <f t="shared" si="26"/>
        <v>-22233.997880770923</v>
      </c>
      <c r="AL256" s="229"/>
      <c r="AM256" s="52">
        <f t="shared" si="4"/>
        <v>0</v>
      </c>
      <c r="AN256" s="52">
        <f t="shared" si="5"/>
        <v>1</v>
      </c>
      <c r="AO256" s="52">
        <f t="shared" si="6"/>
        <v>0</v>
      </c>
      <c r="AP256" s="229"/>
      <c r="AQ256" s="3"/>
      <c r="AR256" s="3"/>
      <c r="AS256" s="3"/>
      <c r="AT256" s="3"/>
      <c r="AU256" s="229"/>
      <c r="AV256" s="318">
        <f t="shared" si="27"/>
        <v>248356.88503464303</v>
      </c>
      <c r="AW256" s="229"/>
      <c r="AX256" s="312"/>
      <c r="AY256" s="14"/>
      <c r="AZ256" s="14">
        <f t="shared" si="29"/>
        <v>5699.5200582332473</v>
      </c>
      <c r="BA256" s="14">
        <f t="shared" si="28"/>
        <v>-0.16534477822537674</v>
      </c>
      <c r="BB256" s="14">
        <f t="shared" si="2"/>
        <v>-34470.517420661417</v>
      </c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BZ256" s="14"/>
      <c r="CA256" s="14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</row>
    <row r="257" spans="1:101" ht="14.25" customHeight="1" x14ac:dyDescent="0.2">
      <c r="A257" s="286"/>
      <c r="B257" s="52">
        <v>0.17026524158757661</v>
      </c>
      <c r="C257" s="288">
        <v>0.48570999768742729</v>
      </c>
      <c r="D257" s="288">
        <v>1.326464597028868E-2</v>
      </c>
      <c r="E257" s="288">
        <v>9.1356537494789829E-3</v>
      </c>
      <c r="F257" s="289">
        <v>0.80793379072313898</v>
      </c>
      <c r="G257" s="92">
        <v>0.3957593637173889</v>
      </c>
      <c r="H257" s="288">
        <v>0.20211221086977374</v>
      </c>
      <c r="I257" s="288">
        <v>2.3268211414804396E-2</v>
      </c>
      <c r="J257" s="288">
        <v>0.9999999894983822</v>
      </c>
      <c r="K257" s="288">
        <v>0.74114894227863704</v>
      </c>
      <c r="L257" s="290">
        <v>8092.5625926523426</v>
      </c>
      <c r="M257" s="288">
        <v>0</v>
      </c>
      <c r="N257" s="288">
        <v>12149.405869107619</v>
      </c>
      <c r="O257" s="288">
        <v>955.21201392464513</v>
      </c>
      <c r="P257" s="288">
        <v>54438.261500111257</v>
      </c>
      <c r="Q257" s="291">
        <v>69141.625686722182</v>
      </c>
      <c r="R257" s="288">
        <v>24852.801620999013</v>
      </c>
      <c r="S257" s="288">
        <v>7503.1842321378681</v>
      </c>
      <c r="T257" s="290">
        <v>0.751</v>
      </c>
      <c r="U257" s="288">
        <v>0.75800000000000001</v>
      </c>
      <c r="V257" s="288">
        <v>0.723923076923077</v>
      </c>
      <c r="W257" s="288">
        <v>0.72750000000000004</v>
      </c>
      <c r="X257" s="288">
        <v>0.76</v>
      </c>
      <c r="Y257" s="288">
        <v>0</v>
      </c>
      <c r="Z257" s="289">
        <v>0</v>
      </c>
      <c r="AA257" s="229"/>
      <c r="AB257" s="52">
        <v>70496.456966930447</v>
      </c>
      <c r="AC257" s="288">
        <v>3.2725881191211799</v>
      </c>
      <c r="AD257" s="288">
        <v>59132.269131730354</v>
      </c>
      <c r="AE257" s="288">
        <v>2.9675788421544418</v>
      </c>
      <c r="AF257" s="288">
        <v>11364.187835200093</v>
      </c>
      <c r="AG257" s="289">
        <v>0.30500927696673807</v>
      </c>
      <c r="AH257" s="229"/>
      <c r="AI257" s="205">
        <f t="shared" si="24"/>
        <v>256762.35494518754</v>
      </c>
      <c r="AJ257" s="205">
        <f t="shared" si="25"/>
        <v>237625.61508371378</v>
      </c>
      <c r="AK257" s="205">
        <f t="shared" si="26"/>
        <v>19136.739861473714</v>
      </c>
      <c r="AL257" s="229"/>
      <c r="AM257" s="52">
        <f t="shared" si="4"/>
        <v>1</v>
      </c>
      <c r="AN257" s="52">
        <f t="shared" si="5"/>
        <v>0</v>
      </c>
      <c r="AO257" s="52">
        <f t="shared" si="6"/>
        <v>1</v>
      </c>
      <c r="AP257" s="229"/>
      <c r="AQ257" s="3"/>
      <c r="AR257" s="3"/>
      <c r="AS257" s="3"/>
      <c r="AT257" s="3"/>
      <c r="AU257" s="229"/>
      <c r="AV257" s="318">
        <f t="shared" si="27"/>
        <v>256762.35494518754</v>
      </c>
      <c r="AW257" s="229"/>
      <c r="AX257" s="312"/>
      <c r="AY257" s="14"/>
      <c r="AZ257" s="14">
        <f t="shared" si="29"/>
        <v>11364.187835200093</v>
      </c>
      <c r="BA257" s="14">
        <f t="shared" si="28"/>
        <v>0.30500927696673807</v>
      </c>
      <c r="BB257" s="14">
        <f t="shared" si="2"/>
        <v>37258.498981456825</v>
      </c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BZ257" s="14"/>
      <c r="CA257" s="14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</row>
    <row r="258" spans="1:101" ht="14.25" customHeight="1" x14ac:dyDescent="0.2">
      <c r="A258" s="286"/>
      <c r="B258" s="52">
        <v>0.18184957205062369</v>
      </c>
      <c r="C258" s="288">
        <v>3.3600524486806754E-2</v>
      </c>
      <c r="D258" s="288">
        <v>2.7255628228775586E-2</v>
      </c>
      <c r="E258" s="288">
        <v>1.7707676333962974E-2</v>
      </c>
      <c r="F258" s="289">
        <v>0.76846633008096266</v>
      </c>
      <c r="G258" s="92">
        <v>0.40543276460600952</v>
      </c>
      <c r="H258" s="288">
        <v>0.77431281149833286</v>
      </c>
      <c r="I258" s="288">
        <v>2.4463082723042984E-2</v>
      </c>
      <c r="J258" s="288">
        <v>1</v>
      </c>
      <c r="K258" s="288">
        <v>0.80079829563807736</v>
      </c>
      <c r="L258" s="290">
        <v>14820.853016532921</v>
      </c>
      <c r="M258" s="288">
        <v>0</v>
      </c>
      <c r="N258" s="288">
        <v>17231.544353169073</v>
      </c>
      <c r="O258" s="288">
        <v>1141.1007113571782</v>
      </c>
      <c r="P258" s="288">
        <v>45226.508188869637</v>
      </c>
      <c r="Q258" s="291">
        <v>83050.339236701184</v>
      </c>
      <c r="R258" s="288">
        <v>21251.599832722193</v>
      </c>
      <c r="S258" s="288">
        <v>12038.119127734997</v>
      </c>
      <c r="T258" s="290">
        <v>0.751</v>
      </c>
      <c r="U258" s="288">
        <v>0.75800000000000001</v>
      </c>
      <c r="V258" s="288">
        <v>0.723923076923077</v>
      </c>
      <c r="W258" s="288">
        <v>0.72750000000000004</v>
      </c>
      <c r="X258" s="288">
        <v>0.76</v>
      </c>
      <c r="Y258" s="288">
        <v>0</v>
      </c>
      <c r="Z258" s="289">
        <v>0</v>
      </c>
      <c r="AA258" s="229"/>
      <c r="AB258" s="52">
        <v>107180.27644192601</v>
      </c>
      <c r="AC258" s="288">
        <v>3.0889367715224463</v>
      </c>
      <c r="AD258" s="288">
        <v>104547.980683993</v>
      </c>
      <c r="AE258" s="288">
        <v>3.2440627861848514</v>
      </c>
      <c r="AF258" s="288">
        <v>2632.2957579330105</v>
      </c>
      <c r="AG258" s="289">
        <v>-0.15512601466240517</v>
      </c>
      <c r="AH258" s="229"/>
      <c r="AI258" s="205">
        <f t="shared" si="24"/>
        <v>201713.40071031859</v>
      </c>
      <c r="AJ258" s="205">
        <f t="shared" si="25"/>
        <v>219858.29793449215</v>
      </c>
      <c r="AK258" s="205">
        <f t="shared" si="26"/>
        <v>-18144.897224173525</v>
      </c>
      <c r="AL258" s="229"/>
      <c r="AM258" s="52">
        <f t="shared" si="4"/>
        <v>0</v>
      </c>
      <c r="AN258" s="52">
        <f t="shared" si="5"/>
        <v>1</v>
      </c>
      <c r="AO258" s="52">
        <f t="shared" si="6"/>
        <v>0</v>
      </c>
      <c r="AP258" s="229"/>
      <c r="AQ258" s="3"/>
      <c r="AR258" s="3"/>
      <c r="AS258" s="3"/>
      <c r="AT258" s="3"/>
      <c r="AU258" s="229"/>
      <c r="AV258" s="318">
        <f t="shared" si="27"/>
        <v>219858.29793449215</v>
      </c>
      <c r="AW258" s="229"/>
      <c r="AX258" s="312"/>
      <c r="AY258" s="14"/>
      <c r="AZ258" s="14">
        <f t="shared" si="29"/>
        <v>2632.2957579330105</v>
      </c>
      <c r="BA258" s="14">
        <f t="shared" si="28"/>
        <v>-0.15512601466240517</v>
      </c>
      <c r="BB258" s="14">
        <f t="shared" si="2"/>
        <v>-16968.757713924228</v>
      </c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BZ258" s="14"/>
      <c r="CA258" s="14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</row>
    <row r="259" spans="1:101" ht="14.25" customHeight="1" x14ac:dyDescent="0.2">
      <c r="A259" s="286"/>
      <c r="B259" s="52">
        <v>0.14582817623656863</v>
      </c>
      <c r="C259" s="288">
        <v>0.12282909290584239</v>
      </c>
      <c r="D259" s="288">
        <v>3.476138862110195E-3</v>
      </c>
      <c r="E259" s="288">
        <v>2.1157104657615333E-2</v>
      </c>
      <c r="F259" s="289">
        <v>0.80463350953166812</v>
      </c>
      <c r="G259" s="92">
        <v>0.43745865505218318</v>
      </c>
      <c r="H259" s="288">
        <v>0.58048043289234474</v>
      </c>
      <c r="I259" s="288">
        <v>1.8697591344222664E-2</v>
      </c>
      <c r="J259" s="288">
        <v>1</v>
      </c>
      <c r="K259" s="288">
        <v>0.77901861436931563</v>
      </c>
      <c r="L259" s="290">
        <v>13731.518239724617</v>
      </c>
      <c r="M259" s="288">
        <v>0</v>
      </c>
      <c r="N259" s="288">
        <v>18224.829733236933</v>
      </c>
      <c r="O259" s="288">
        <v>1283.2174924023279</v>
      </c>
      <c r="P259" s="288">
        <v>47817.717416771193</v>
      </c>
      <c r="Q259" s="291">
        <v>80052.866088646013</v>
      </c>
      <c r="R259" s="288">
        <v>29330.755514447603</v>
      </c>
      <c r="S259" s="288">
        <v>8434.0912056903453</v>
      </c>
      <c r="T259" s="290">
        <v>0.751</v>
      </c>
      <c r="U259" s="288">
        <v>0.75800000000000001</v>
      </c>
      <c r="V259" s="288">
        <v>0.723923076923077</v>
      </c>
      <c r="W259" s="288">
        <v>0.72750000000000004</v>
      </c>
      <c r="X259" s="288">
        <v>0.76</v>
      </c>
      <c r="Y259" s="288">
        <v>0</v>
      </c>
      <c r="Z259" s="289">
        <v>0</v>
      </c>
      <c r="AA259" s="229"/>
      <c r="AB259" s="52">
        <v>81685.707167795365</v>
      </c>
      <c r="AC259" s="288">
        <v>3.2571375274389283</v>
      </c>
      <c r="AD259" s="288">
        <v>74610.857000878852</v>
      </c>
      <c r="AE259" s="288">
        <v>3.142460570394944</v>
      </c>
      <c r="AF259" s="288">
        <v>7074.8501669165125</v>
      </c>
      <c r="AG259" s="289">
        <v>0.11467695704398428</v>
      </c>
      <c r="AH259" s="229"/>
      <c r="AI259" s="205">
        <f t="shared" si="24"/>
        <v>244028.04557609747</v>
      </c>
      <c r="AJ259" s="205">
        <f t="shared" si="25"/>
        <v>239635.20003861556</v>
      </c>
      <c r="AK259" s="205">
        <f t="shared" si="26"/>
        <v>4392.845537481915</v>
      </c>
      <c r="AL259" s="229"/>
      <c r="AM259" s="52">
        <f t="shared" si="4"/>
        <v>1</v>
      </c>
      <c r="AN259" s="52">
        <f t="shared" si="5"/>
        <v>0</v>
      </c>
      <c r="AO259" s="52">
        <f t="shared" si="6"/>
        <v>1</v>
      </c>
      <c r="AP259" s="229"/>
      <c r="AQ259" s="3"/>
      <c r="AR259" s="3"/>
      <c r="AS259" s="3"/>
      <c r="AT259" s="3"/>
      <c r="AU259" s="229"/>
      <c r="AV259" s="318">
        <f t="shared" si="27"/>
        <v>244028.04557609747</v>
      </c>
      <c r="AW259" s="229"/>
      <c r="AX259" s="312"/>
      <c r="AY259" s="14"/>
      <c r="AZ259" s="14">
        <f t="shared" si="29"/>
        <v>7074.8501669165125</v>
      </c>
      <c r="BA259" s="14">
        <f t="shared" si="28"/>
        <v>0.11467695704398428</v>
      </c>
      <c r="BB259" s="14">
        <f t="shared" si="2"/>
        <v>61693.738212838674</v>
      </c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BZ259" s="14"/>
      <c r="CA259" s="14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</row>
    <row r="260" spans="1:101" ht="14.25" customHeight="1" x14ac:dyDescent="0.2">
      <c r="A260" s="286"/>
      <c r="B260" s="52">
        <v>0.14365436788255068</v>
      </c>
      <c r="C260" s="288">
        <v>0.63597426554127279</v>
      </c>
      <c r="D260" s="288">
        <v>1.5873565932345124E-2</v>
      </c>
      <c r="E260" s="288">
        <v>2.0814390345582856E-2</v>
      </c>
      <c r="F260" s="289">
        <v>0.79843393355810088</v>
      </c>
      <c r="G260" s="92">
        <v>0.47153990505628474</v>
      </c>
      <c r="H260" s="288">
        <v>0.25041022231545818</v>
      </c>
      <c r="I260" s="288">
        <v>3.3725117447161224E-2</v>
      </c>
      <c r="J260" s="288">
        <v>0.93179685345827967</v>
      </c>
      <c r="K260" s="288">
        <v>0.74176871036486514</v>
      </c>
      <c r="L260" s="290">
        <v>13866.771405244966</v>
      </c>
      <c r="M260" s="288">
        <v>0</v>
      </c>
      <c r="N260" s="288">
        <v>15542.372913916286</v>
      </c>
      <c r="O260" s="288">
        <v>1363.5927840323434</v>
      </c>
      <c r="P260" s="288">
        <v>36737.077793580298</v>
      </c>
      <c r="Q260" s="291">
        <v>92240.842498676226</v>
      </c>
      <c r="R260" s="288">
        <v>30957.996534477868</v>
      </c>
      <c r="S260" s="288">
        <v>9992.5911261571109</v>
      </c>
      <c r="T260" s="290">
        <v>0.751</v>
      </c>
      <c r="U260" s="288">
        <v>0.75800000000000001</v>
      </c>
      <c r="V260" s="288">
        <v>0.723923076923077</v>
      </c>
      <c r="W260" s="288">
        <v>0.72750000000000004</v>
      </c>
      <c r="X260" s="288">
        <v>0.76</v>
      </c>
      <c r="Y260" s="288">
        <v>0</v>
      </c>
      <c r="Z260" s="289">
        <v>0</v>
      </c>
      <c r="AA260" s="229"/>
      <c r="AB260" s="52">
        <v>96108.445824230148</v>
      </c>
      <c r="AC260" s="288">
        <v>3.2281597899435619</v>
      </c>
      <c r="AD260" s="288">
        <v>80640.842953229119</v>
      </c>
      <c r="AE260" s="288">
        <v>2.9704227294527947</v>
      </c>
      <c r="AF260" s="288">
        <v>15467.602871001029</v>
      </c>
      <c r="AG260" s="289">
        <v>0.25773706049076717</v>
      </c>
      <c r="AH260" s="229"/>
      <c r="AI260" s="205">
        <f t="shared" si="24"/>
        <v>226707.53317012603</v>
      </c>
      <c r="AJ260" s="205">
        <f t="shared" si="25"/>
        <v>216401.42999205037</v>
      </c>
      <c r="AK260" s="205">
        <f t="shared" si="26"/>
        <v>10306.103178075689</v>
      </c>
      <c r="AL260" s="229"/>
      <c r="AM260" s="52">
        <f t="shared" si="4"/>
        <v>1</v>
      </c>
      <c r="AN260" s="52">
        <f t="shared" si="5"/>
        <v>0</v>
      </c>
      <c r="AO260" s="52">
        <f t="shared" si="6"/>
        <v>1</v>
      </c>
      <c r="AP260" s="229"/>
      <c r="AQ260" s="3"/>
      <c r="AR260" s="3"/>
      <c r="AS260" s="3"/>
      <c r="AT260" s="3"/>
      <c r="AU260" s="229"/>
      <c r="AV260" s="318">
        <f t="shared" si="27"/>
        <v>226707.53317012603</v>
      </c>
      <c r="AW260" s="229"/>
      <c r="AX260" s="312"/>
      <c r="AY260" s="14"/>
      <c r="AZ260" s="14">
        <f t="shared" si="29"/>
        <v>15467.602871001029</v>
      </c>
      <c r="BA260" s="14">
        <f t="shared" si="28"/>
        <v>0.25773706049076717</v>
      </c>
      <c r="BB260" s="14">
        <f t="shared" si="2"/>
        <v>60013.111197701117</v>
      </c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BZ260" s="14"/>
      <c r="CA260" s="14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</row>
    <row r="261" spans="1:101" ht="14.25" customHeight="1" x14ac:dyDescent="0.2">
      <c r="A261" s="286"/>
      <c r="B261" s="52">
        <v>0.18883427280418197</v>
      </c>
      <c r="C261" s="288">
        <v>0.21139783771377865</v>
      </c>
      <c r="D261" s="288">
        <v>1.4019510123523869E-2</v>
      </c>
      <c r="E261" s="288">
        <v>8.744514124519976E-3</v>
      </c>
      <c r="F261" s="289">
        <v>0.77775629134488189</v>
      </c>
      <c r="G261" s="92">
        <v>0.41320723143171256</v>
      </c>
      <c r="H261" s="288">
        <v>0.35255495281242577</v>
      </c>
      <c r="I261" s="288">
        <v>2.0443713708361511E-2</v>
      </c>
      <c r="J261" s="288">
        <v>0.99999992662066606</v>
      </c>
      <c r="K261" s="288">
        <v>0.7717400399496479</v>
      </c>
      <c r="L261" s="290">
        <v>11491.663071493249</v>
      </c>
      <c r="M261" s="288">
        <v>0</v>
      </c>
      <c r="N261" s="288">
        <v>14733.997784607507</v>
      </c>
      <c r="O261" s="288">
        <v>1377.5707526636854</v>
      </c>
      <c r="P261" s="288">
        <v>46880.711223949162</v>
      </c>
      <c r="Q261" s="291">
        <v>90364.379394267773</v>
      </c>
      <c r="R261" s="288">
        <v>15662.386238083394</v>
      </c>
      <c r="S261" s="288">
        <v>10506.329508771605</v>
      </c>
      <c r="T261" s="290">
        <v>0.751</v>
      </c>
      <c r="U261" s="288">
        <v>0.75800000000000001</v>
      </c>
      <c r="V261" s="288">
        <v>0.723923076923077</v>
      </c>
      <c r="W261" s="288">
        <v>0.72750000000000004</v>
      </c>
      <c r="X261" s="288">
        <v>0.76</v>
      </c>
      <c r="Y261" s="288">
        <v>0</v>
      </c>
      <c r="Z261" s="289">
        <v>0</v>
      </c>
      <c r="AA261" s="229"/>
      <c r="AB261" s="52">
        <v>93532.858128981228</v>
      </c>
      <c r="AC261" s="288">
        <v>3.1319452765724218</v>
      </c>
      <c r="AD261" s="288">
        <v>84966.888811583209</v>
      </c>
      <c r="AE261" s="288">
        <v>3.1086727103814713</v>
      </c>
      <c r="AF261" s="288">
        <v>8565.9693173980195</v>
      </c>
      <c r="AG261" s="289">
        <v>2.3272566190950528E-2</v>
      </c>
      <c r="AH261" s="229"/>
      <c r="AI261" s="205">
        <f t="shared" si="24"/>
        <v>219661.66952826097</v>
      </c>
      <c r="AJ261" s="205">
        <f t="shared" si="25"/>
        <v>225900.38222656393</v>
      </c>
      <c r="AK261" s="205">
        <f t="shared" si="26"/>
        <v>-6238.7126983029666</v>
      </c>
      <c r="AL261" s="229"/>
      <c r="AM261" s="52">
        <f t="shared" si="4"/>
        <v>0</v>
      </c>
      <c r="AN261" s="52">
        <f t="shared" si="5"/>
        <v>1</v>
      </c>
      <c r="AO261" s="52">
        <f t="shared" si="6"/>
        <v>0</v>
      </c>
      <c r="AP261" s="229"/>
      <c r="AQ261" s="3"/>
      <c r="AR261" s="3"/>
      <c r="AS261" s="3"/>
      <c r="AT261" s="3"/>
      <c r="AU261" s="229"/>
      <c r="AV261" s="318">
        <f t="shared" si="27"/>
        <v>225900.38222656393</v>
      </c>
      <c r="AW261" s="229"/>
      <c r="AX261" s="312"/>
      <c r="AY261" s="14"/>
      <c r="AZ261" s="14">
        <f t="shared" si="29"/>
        <v>8565.9693173980195</v>
      </c>
      <c r="BA261" s="14">
        <f t="shared" si="28"/>
        <v>2.3272566190950528E-2</v>
      </c>
      <c r="BB261" s="14">
        <f t="shared" si="2"/>
        <v>368071.5417077156</v>
      </c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BZ261" s="14"/>
      <c r="CA261" s="14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</row>
    <row r="262" spans="1:101" ht="14.25" customHeight="1" x14ac:dyDescent="0.2">
      <c r="A262" s="286"/>
      <c r="B262" s="52">
        <v>0.1877126556079205</v>
      </c>
      <c r="C262" s="288">
        <v>4.0122017527945614E-2</v>
      </c>
      <c r="D262" s="288">
        <v>1.8564587505994878E-2</v>
      </c>
      <c r="E262" s="288">
        <v>2.9144574453949801E-2</v>
      </c>
      <c r="F262" s="289">
        <v>0.81057135084940812</v>
      </c>
      <c r="G262" s="92">
        <v>0.3725001011335165</v>
      </c>
      <c r="H262" s="288">
        <v>0.16865815930623754</v>
      </c>
      <c r="I262" s="288">
        <v>2.1719617275339775E-2</v>
      </c>
      <c r="J262" s="288">
        <v>1</v>
      </c>
      <c r="K262" s="288">
        <v>0.74717891063962305</v>
      </c>
      <c r="L262" s="290">
        <v>13050.287937347697</v>
      </c>
      <c r="M262" s="288">
        <v>0</v>
      </c>
      <c r="N262" s="288">
        <v>19884.489497819392</v>
      </c>
      <c r="O262" s="288">
        <v>1228.0066852332568</v>
      </c>
      <c r="P262" s="288">
        <v>31253.607442180215</v>
      </c>
      <c r="Q262" s="291">
        <v>79535.718628177943</v>
      </c>
      <c r="R262" s="288">
        <v>18782.560587131575</v>
      </c>
      <c r="S262" s="288">
        <v>9379.3417059623771</v>
      </c>
      <c r="T262" s="290">
        <v>0.751</v>
      </c>
      <c r="U262" s="288">
        <v>0.75800000000000001</v>
      </c>
      <c r="V262" s="288">
        <v>0.723923076923077</v>
      </c>
      <c r="W262" s="288">
        <v>0.72750000000000004</v>
      </c>
      <c r="X262" s="288">
        <v>0.76</v>
      </c>
      <c r="Y262" s="288">
        <v>0</v>
      </c>
      <c r="Z262" s="289">
        <v>0</v>
      </c>
      <c r="AA262" s="229"/>
      <c r="AB262" s="52">
        <v>88987.991310764119</v>
      </c>
      <c r="AC262" s="288">
        <v>3.2849483992806974</v>
      </c>
      <c r="AD262" s="288">
        <v>72556.189529968862</v>
      </c>
      <c r="AE262" s="288">
        <v>2.9952738555561997</v>
      </c>
      <c r="AF262" s="288">
        <v>16431.801780795256</v>
      </c>
      <c r="AG262" s="289">
        <v>0.28967454372449764</v>
      </c>
      <c r="AH262" s="229"/>
      <c r="AI262" s="205">
        <f t="shared" si="24"/>
        <v>239506.84861730563</v>
      </c>
      <c r="AJ262" s="205">
        <f t="shared" si="25"/>
        <v>226971.19602565109</v>
      </c>
      <c r="AK262" s="205">
        <f t="shared" si="26"/>
        <v>12535.652591654507</v>
      </c>
      <c r="AL262" s="229"/>
      <c r="AM262" s="52">
        <f t="shared" si="4"/>
        <v>1</v>
      </c>
      <c r="AN262" s="52">
        <f t="shared" si="5"/>
        <v>0</v>
      </c>
      <c r="AO262" s="52">
        <f t="shared" si="6"/>
        <v>1</v>
      </c>
      <c r="AP262" s="229"/>
      <c r="AQ262" s="3"/>
      <c r="AR262" s="3"/>
      <c r="AS262" s="3"/>
      <c r="AT262" s="3"/>
      <c r="AU262" s="229"/>
      <c r="AV262" s="318">
        <f t="shared" si="27"/>
        <v>239506.84861730563</v>
      </c>
      <c r="AW262" s="229"/>
      <c r="AX262" s="312"/>
      <c r="AY262" s="14"/>
      <c r="AZ262" s="14">
        <f t="shared" si="29"/>
        <v>16431.801780795256</v>
      </c>
      <c r="BA262" s="14">
        <f t="shared" si="28"/>
        <v>0.28967454372449764</v>
      </c>
      <c r="BB262" s="14">
        <f t="shared" si="2"/>
        <v>56725.045872250135</v>
      </c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BZ262" s="14"/>
      <c r="CA262" s="14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</row>
    <row r="263" spans="1:101" ht="14.25" customHeight="1" x14ac:dyDescent="0.2">
      <c r="A263" s="286"/>
      <c r="B263" s="52">
        <v>0.18675907704372896</v>
      </c>
      <c r="C263" s="288">
        <v>0.32021579118978238</v>
      </c>
      <c r="D263" s="288">
        <v>1.1711064876018166E-2</v>
      </c>
      <c r="E263" s="288">
        <v>1.0622944312867005E-2</v>
      </c>
      <c r="F263" s="289">
        <v>0.76494714413146425</v>
      </c>
      <c r="G263" s="92">
        <v>0.41323590113475606</v>
      </c>
      <c r="H263" s="288">
        <v>0.37849732761596605</v>
      </c>
      <c r="I263" s="288">
        <v>1.2291357085034598E-2</v>
      </c>
      <c r="J263" s="288">
        <v>0.97506263504651569</v>
      </c>
      <c r="K263" s="288">
        <v>0.79909815917196991</v>
      </c>
      <c r="L263" s="290">
        <v>13582.440581721727</v>
      </c>
      <c r="M263" s="288">
        <v>0</v>
      </c>
      <c r="N263" s="288">
        <v>15454.245018412399</v>
      </c>
      <c r="O263" s="288">
        <v>1565.2384403267652</v>
      </c>
      <c r="P263" s="288">
        <v>36559.088475814497</v>
      </c>
      <c r="Q263" s="291">
        <v>104861.26233877723</v>
      </c>
      <c r="R263" s="288">
        <v>31017.684642941706</v>
      </c>
      <c r="S263" s="288">
        <v>7822.7764243736574</v>
      </c>
      <c r="T263" s="290">
        <v>0.751</v>
      </c>
      <c r="U263" s="288">
        <v>0.75800000000000001</v>
      </c>
      <c r="V263" s="288">
        <v>0.723923076923077</v>
      </c>
      <c r="W263" s="288">
        <v>0.72750000000000004</v>
      </c>
      <c r="X263" s="288">
        <v>0.76</v>
      </c>
      <c r="Y263" s="288">
        <v>0</v>
      </c>
      <c r="Z263" s="289">
        <v>0</v>
      </c>
      <c r="AA263" s="229"/>
      <c r="AB263" s="52">
        <v>75215.656895390624</v>
      </c>
      <c r="AC263" s="288">
        <v>3.0726798139923659</v>
      </c>
      <c r="AD263" s="288">
        <v>68613.063772242211</v>
      </c>
      <c r="AE263" s="288">
        <v>3.2361047443772248</v>
      </c>
      <c r="AF263" s="288">
        <v>6602.5931231484137</v>
      </c>
      <c r="AG263" s="289">
        <v>-0.16342493038485895</v>
      </c>
      <c r="AH263" s="229"/>
      <c r="AI263" s="205">
        <f t="shared" si="24"/>
        <v>232052.32450384597</v>
      </c>
      <c r="AJ263" s="205">
        <f t="shared" si="25"/>
        <v>254997.41066548025</v>
      </c>
      <c r="AK263" s="205">
        <f t="shared" si="26"/>
        <v>-22945.08616163431</v>
      </c>
      <c r="AL263" s="229"/>
      <c r="AM263" s="52">
        <f t="shared" si="4"/>
        <v>0</v>
      </c>
      <c r="AN263" s="52">
        <f t="shared" si="5"/>
        <v>1</v>
      </c>
      <c r="AO263" s="52">
        <f t="shared" si="6"/>
        <v>0</v>
      </c>
      <c r="AP263" s="229"/>
      <c r="AQ263" s="3"/>
      <c r="AR263" s="3"/>
      <c r="AS263" s="3"/>
      <c r="AT263" s="3"/>
      <c r="AU263" s="229"/>
      <c r="AV263" s="318">
        <f t="shared" si="27"/>
        <v>254997.41066548025</v>
      </c>
      <c r="AW263" s="229"/>
      <c r="AX263" s="312"/>
      <c r="AY263" s="14"/>
      <c r="AZ263" s="14">
        <f t="shared" si="29"/>
        <v>6602.5931231484137</v>
      </c>
      <c r="BA263" s="14">
        <f t="shared" si="28"/>
        <v>-0.16342493038485895</v>
      </c>
      <c r="BB263" s="14">
        <f t="shared" si="2"/>
        <v>-40401.382503878573</v>
      </c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BZ263" s="14"/>
      <c r="CA263" s="14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</row>
    <row r="264" spans="1:101" ht="14.25" customHeight="1" x14ac:dyDescent="0.2">
      <c r="A264" s="286"/>
      <c r="B264" s="52">
        <v>0.14689087756018751</v>
      </c>
      <c r="C264" s="288">
        <v>0.20626960640379266</v>
      </c>
      <c r="D264" s="288">
        <v>1.5514866156668972E-2</v>
      </c>
      <c r="E264" s="288">
        <v>1.2361032109708027E-2</v>
      </c>
      <c r="F264" s="289">
        <v>0.81759011506249957</v>
      </c>
      <c r="G264" s="92">
        <v>0.3653374448042454</v>
      </c>
      <c r="H264" s="288">
        <v>0.9571327304604984</v>
      </c>
      <c r="I264" s="288">
        <v>2.1006504427818151E-2</v>
      </c>
      <c r="J264" s="288">
        <v>0.99994282037940774</v>
      </c>
      <c r="K264" s="288">
        <v>0.76754313181191991</v>
      </c>
      <c r="L264" s="290">
        <v>14483.638852292339</v>
      </c>
      <c r="M264" s="288">
        <v>0</v>
      </c>
      <c r="N264" s="288">
        <v>17127.471457001902</v>
      </c>
      <c r="O264" s="288">
        <v>1013.9920356736642</v>
      </c>
      <c r="P264" s="288">
        <v>53803.640146167701</v>
      </c>
      <c r="Q264" s="291">
        <v>135625.89537105747</v>
      </c>
      <c r="R264" s="288">
        <v>22015.676847480641</v>
      </c>
      <c r="S264" s="288">
        <v>9199.5184531095147</v>
      </c>
      <c r="T264" s="290">
        <v>0.751</v>
      </c>
      <c r="U264" s="288">
        <v>0.75800000000000001</v>
      </c>
      <c r="V264" s="288">
        <v>0.723923076923077</v>
      </c>
      <c r="W264" s="288">
        <v>0.72750000000000004</v>
      </c>
      <c r="X264" s="288">
        <v>0.76</v>
      </c>
      <c r="Y264" s="288">
        <v>0</v>
      </c>
      <c r="Z264" s="289">
        <v>0</v>
      </c>
      <c r="AA264" s="229"/>
      <c r="AB264" s="52">
        <v>90090.130834464566</v>
      </c>
      <c r="AC264" s="288">
        <v>3.3178932732841897</v>
      </c>
      <c r="AD264" s="288">
        <v>79936.479322691725</v>
      </c>
      <c r="AE264" s="288">
        <v>3.0892282063730025</v>
      </c>
      <c r="AF264" s="288">
        <v>10153.651511772841</v>
      </c>
      <c r="AG264" s="289">
        <v>0.22866506691118715</v>
      </c>
      <c r="AH264" s="229"/>
      <c r="AI264" s="205">
        <f t="shared" si="24"/>
        <v>241699.1964939544</v>
      </c>
      <c r="AJ264" s="205">
        <f t="shared" si="25"/>
        <v>228986.34131460852</v>
      </c>
      <c r="AK264" s="205">
        <f t="shared" si="26"/>
        <v>12712.855179345876</v>
      </c>
      <c r="AL264" s="229"/>
      <c r="AM264" s="52">
        <f t="shared" si="4"/>
        <v>1</v>
      </c>
      <c r="AN264" s="52">
        <f t="shared" si="5"/>
        <v>0</v>
      </c>
      <c r="AO264" s="52">
        <f t="shared" si="6"/>
        <v>1</v>
      </c>
      <c r="AP264" s="229"/>
      <c r="AQ264" s="3"/>
      <c r="AR264" s="3"/>
      <c r="AS264" s="3"/>
      <c r="AT264" s="3"/>
      <c r="AU264" s="229"/>
      <c r="AV264" s="318">
        <f t="shared" si="27"/>
        <v>241699.1964939544</v>
      </c>
      <c r="AW264" s="229"/>
      <c r="AX264" s="312"/>
      <c r="AY264" s="14"/>
      <c r="AZ264" s="14">
        <f t="shared" si="29"/>
        <v>10153.651511772841</v>
      </c>
      <c r="BA264" s="14">
        <f t="shared" si="28"/>
        <v>0.22866506691118715</v>
      </c>
      <c r="BB264" s="14">
        <f t="shared" si="2"/>
        <v>44404.034463718453</v>
      </c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</row>
    <row r="265" spans="1:101" ht="14.25" customHeight="1" x14ac:dyDescent="0.2">
      <c r="A265" s="286"/>
      <c r="B265" s="52">
        <v>0.18345698031707747</v>
      </c>
      <c r="C265" s="288">
        <v>0.30910547438769864</v>
      </c>
      <c r="D265" s="288">
        <v>2.7822675254504103E-2</v>
      </c>
      <c r="E265" s="288">
        <v>1.0200838499088564E-2</v>
      </c>
      <c r="F265" s="289">
        <v>0.80351971121924015</v>
      </c>
      <c r="G265" s="92">
        <v>0.41659176351000138</v>
      </c>
      <c r="H265" s="288">
        <v>2.5052874345558272E-2</v>
      </c>
      <c r="I265" s="288">
        <v>9.4711977520243341E-3</v>
      </c>
      <c r="J265" s="288">
        <v>0.9999999999991025</v>
      </c>
      <c r="K265" s="288">
        <v>0.70842458232051619</v>
      </c>
      <c r="L265" s="290">
        <v>12125.814242922646</v>
      </c>
      <c r="M265" s="288">
        <v>0</v>
      </c>
      <c r="N265" s="288">
        <v>19235.628729103089</v>
      </c>
      <c r="O265" s="288">
        <v>951.36832225146657</v>
      </c>
      <c r="P265" s="288">
        <v>56091.804531217123</v>
      </c>
      <c r="Q265" s="291">
        <v>81076.709155894991</v>
      </c>
      <c r="R265" s="288">
        <v>26801.747485739743</v>
      </c>
      <c r="S265" s="288">
        <v>10541.361931281443</v>
      </c>
      <c r="T265" s="290">
        <v>0.751</v>
      </c>
      <c r="U265" s="288">
        <v>0.75800000000000001</v>
      </c>
      <c r="V265" s="288">
        <v>0.723923076923077</v>
      </c>
      <c r="W265" s="288">
        <v>0.72750000000000004</v>
      </c>
      <c r="X265" s="288">
        <v>0.76</v>
      </c>
      <c r="Y265" s="288">
        <v>0</v>
      </c>
      <c r="Z265" s="289">
        <v>0</v>
      </c>
      <c r="AA265" s="229"/>
      <c r="AB265" s="52">
        <v>98112.231941477701</v>
      </c>
      <c r="AC265" s="288">
        <v>3.2519270265426408</v>
      </c>
      <c r="AD265" s="288">
        <v>75788.309629406576</v>
      </c>
      <c r="AE265" s="288">
        <v>2.8182787912667098</v>
      </c>
      <c r="AF265" s="288">
        <v>22323.922312071125</v>
      </c>
      <c r="AG265" s="289">
        <v>0.43364823527593099</v>
      </c>
      <c r="AH265" s="229"/>
      <c r="AI265" s="205">
        <f t="shared" si="24"/>
        <v>227080.47071278637</v>
      </c>
      <c r="AJ265" s="205">
        <f t="shared" si="25"/>
        <v>206039.56949726443</v>
      </c>
      <c r="AK265" s="205">
        <f t="shared" si="26"/>
        <v>21040.901215521975</v>
      </c>
      <c r="AL265" s="229"/>
      <c r="AM265" s="52">
        <f t="shared" si="4"/>
        <v>1</v>
      </c>
      <c r="AN265" s="52">
        <f t="shared" si="5"/>
        <v>0</v>
      </c>
      <c r="AO265" s="52">
        <f t="shared" si="6"/>
        <v>1</v>
      </c>
      <c r="AP265" s="229"/>
      <c r="AQ265" s="3"/>
      <c r="AR265" s="3"/>
      <c r="AS265" s="3"/>
      <c r="AT265" s="3"/>
      <c r="AU265" s="229"/>
      <c r="AV265" s="318">
        <f t="shared" si="27"/>
        <v>227080.47071278637</v>
      </c>
      <c r="AW265" s="229"/>
      <c r="AX265" s="312"/>
      <c r="AY265" s="14"/>
      <c r="AZ265" s="14">
        <f t="shared" si="29"/>
        <v>22323.922312071125</v>
      </c>
      <c r="BA265" s="14">
        <f t="shared" si="28"/>
        <v>0.43364823527593099</v>
      </c>
      <c r="BB265" s="14">
        <f t="shared" si="2"/>
        <v>51479.333930337292</v>
      </c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BZ265" s="14"/>
      <c r="CA265" s="14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</row>
    <row r="266" spans="1:101" ht="14.25" customHeight="1" x14ac:dyDescent="0.2">
      <c r="A266" s="286"/>
      <c r="B266" s="52">
        <v>0.11555953801135715</v>
      </c>
      <c r="C266" s="288">
        <v>9.9169797392329381E-2</v>
      </c>
      <c r="D266" s="288">
        <v>1.6802420501027315E-2</v>
      </c>
      <c r="E266" s="288">
        <v>1.4321493246790103E-2</v>
      </c>
      <c r="F266" s="289">
        <v>0.78711022451090462</v>
      </c>
      <c r="G266" s="92">
        <v>0.42529544923305485</v>
      </c>
      <c r="H266" s="288">
        <v>0.75008082807099496</v>
      </c>
      <c r="I266" s="288">
        <v>2.3346542045739382E-2</v>
      </c>
      <c r="J266" s="288">
        <v>1.9714822698821691E-2</v>
      </c>
      <c r="K266" s="288">
        <v>0.77136948116922333</v>
      </c>
      <c r="L266" s="290">
        <v>12144.617778856857</v>
      </c>
      <c r="M266" s="288">
        <v>0</v>
      </c>
      <c r="N266" s="288">
        <v>20507.380880777662</v>
      </c>
      <c r="O266" s="288">
        <v>1445.5270899705497</v>
      </c>
      <c r="P266" s="288">
        <v>57397.573574023627</v>
      </c>
      <c r="Q266" s="291">
        <v>128904.18890896265</v>
      </c>
      <c r="R266" s="288">
        <v>25770.403424934604</v>
      </c>
      <c r="S266" s="288">
        <v>11756.325406840688</v>
      </c>
      <c r="T266" s="290">
        <v>0.751</v>
      </c>
      <c r="U266" s="288">
        <v>0.75800000000000001</v>
      </c>
      <c r="V266" s="288">
        <v>0.723923076923077</v>
      </c>
      <c r="W266" s="288">
        <v>0.72750000000000004</v>
      </c>
      <c r="X266" s="288">
        <v>0.76</v>
      </c>
      <c r="Y266" s="288">
        <v>0</v>
      </c>
      <c r="Z266" s="289">
        <v>0</v>
      </c>
      <c r="AA266" s="229"/>
      <c r="AB266" s="52">
        <v>104490.48597168124</v>
      </c>
      <c r="AC266" s="288">
        <v>3.1753867121696882</v>
      </c>
      <c r="AD266" s="288">
        <v>100390.95730263414</v>
      </c>
      <c r="AE266" s="288">
        <v>3.1069547738948886</v>
      </c>
      <c r="AF266" s="288">
        <v>4099.5286690470966</v>
      </c>
      <c r="AG266" s="289">
        <v>6.8431938274799542E-2</v>
      </c>
      <c r="AH266" s="229"/>
      <c r="AI266" s="205">
        <f t="shared" si="24"/>
        <v>213048.18524528755</v>
      </c>
      <c r="AJ266" s="205">
        <f t="shared" si="25"/>
        <v>210304.5200868547</v>
      </c>
      <c r="AK266" s="205">
        <f t="shared" si="26"/>
        <v>2743.6651584328574</v>
      </c>
      <c r="AL266" s="229"/>
      <c r="AM266" s="52">
        <f t="shared" si="4"/>
        <v>1</v>
      </c>
      <c r="AN266" s="52">
        <f t="shared" si="5"/>
        <v>0</v>
      </c>
      <c r="AO266" s="52">
        <f t="shared" si="6"/>
        <v>1</v>
      </c>
      <c r="AP266" s="229"/>
      <c r="AQ266" s="3"/>
      <c r="AR266" s="3"/>
      <c r="AS266" s="3"/>
      <c r="AT266" s="3"/>
      <c r="AU266" s="229"/>
      <c r="AV266" s="318">
        <f t="shared" si="27"/>
        <v>213048.18524528755</v>
      </c>
      <c r="AW266" s="229"/>
      <c r="AX266" s="312"/>
      <c r="AY266" s="14"/>
      <c r="AZ266" s="14">
        <f t="shared" si="29"/>
        <v>4099.5286690470966</v>
      </c>
      <c r="BA266" s="14">
        <f t="shared" si="28"/>
        <v>6.8431938274799542E-2</v>
      </c>
      <c r="BB266" s="14">
        <f t="shared" si="2"/>
        <v>59906.657218808774</v>
      </c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BZ266" s="14"/>
      <c r="CA266" s="14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</row>
    <row r="267" spans="1:101" ht="14.25" customHeight="1" x14ac:dyDescent="0.2">
      <c r="A267" s="286"/>
      <c r="B267" s="52">
        <v>0.1999574100333934</v>
      </c>
      <c r="C267" s="288">
        <v>0.15472096824501877</v>
      </c>
      <c r="D267" s="288">
        <v>1.2698149884314636E-2</v>
      </c>
      <c r="E267" s="288">
        <v>3.2107468183734333E-2</v>
      </c>
      <c r="F267" s="289">
        <v>0.81729101267701409</v>
      </c>
      <c r="G267" s="92">
        <v>0.39962081085775913</v>
      </c>
      <c r="H267" s="288">
        <v>0.23536419221435562</v>
      </c>
      <c r="I267" s="288">
        <v>2.5539221687854385E-2</v>
      </c>
      <c r="J267" s="288">
        <v>0.99999998859194772</v>
      </c>
      <c r="K267" s="288">
        <v>0.75617413508542086</v>
      </c>
      <c r="L267" s="290">
        <v>10780.424698090505</v>
      </c>
      <c r="M267" s="288">
        <v>0</v>
      </c>
      <c r="N267" s="288">
        <v>16036.704733552015</v>
      </c>
      <c r="O267" s="288">
        <v>1286.887163665609</v>
      </c>
      <c r="P267" s="288">
        <v>46440.497644451003</v>
      </c>
      <c r="Q267" s="291">
        <v>91230.792697833167</v>
      </c>
      <c r="R267" s="288">
        <v>26431.706422015017</v>
      </c>
      <c r="S267" s="288">
        <v>10104.387001127217</v>
      </c>
      <c r="T267" s="290">
        <v>0.751</v>
      </c>
      <c r="U267" s="288">
        <v>0.75800000000000001</v>
      </c>
      <c r="V267" s="288">
        <v>0.723923076923077</v>
      </c>
      <c r="W267" s="288">
        <v>0.72750000000000004</v>
      </c>
      <c r="X267" s="288">
        <v>0.76</v>
      </c>
      <c r="Y267" s="288">
        <v>0</v>
      </c>
      <c r="Z267" s="289">
        <v>0</v>
      </c>
      <c r="AA267" s="229"/>
      <c r="AB267" s="52">
        <v>93867.517491139675</v>
      </c>
      <c r="AC267" s="288">
        <v>3.3164877618083719</v>
      </c>
      <c r="AD267" s="288">
        <v>80736.672369870474</v>
      </c>
      <c r="AE267" s="288">
        <v>3.0366944987413285</v>
      </c>
      <c r="AF267" s="288">
        <v>13130.845121269202</v>
      </c>
      <c r="AG267" s="289">
        <v>0.27979326306704344</v>
      </c>
      <c r="AH267" s="229"/>
      <c r="AI267" s="205">
        <f t="shared" si="24"/>
        <v>237781.25868969751</v>
      </c>
      <c r="AJ267" s="205">
        <f t="shared" si="25"/>
        <v>222932.7775042624</v>
      </c>
      <c r="AK267" s="205">
        <f t="shared" si="26"/>
        <v>14848.481185435143</v>
      </c>
      <c r="AL267" s="229"/>
      <c r="AM267" s="52">
        <f t="shared" si="4"/>
        <v>1</v>
      </c>
      <c r="AN267" s="52">
        <f t="shared" si="5"/>
        <v>0</v>
      </c>
      <c r="AO267" s="52">
        <f t="shared" si="6"/>
        <v>1</v>
      </c>
      <c r="AP267" s="229"/>
      <c r="AQ267" s="3"/>
      <c r="AR267" s="3"/>
      <c r="AS267" s="3"/>
      <c r="AT267" s="3"/>
      <c r="AU267" s="229"/>
      <c r="AV267" s="318">
        <f t="shared" si="27"/>
        <v>237781.25868969751</v>
      </c>
      <c r="AW267" s="229"/>
      <c r="AX267" s="312"/>
      <c r="AY267" s="14"/>
      <c r="AZ267" s="14">
        <f t="shared" si="29"/>
        <v>13130.845121269202</v>
      </c>
      <c r="BA267" s="14">
        <f t="shared" si="28"/>
        <v>0.27979326306704344</v>
      </c>
      <c r="BB267" s="14">
        <f t="shared" si="2"/>
        <v>46930.526408431848</v>
      </c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BZ267" s="14"/>
      <c r="CA267" s="14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</row>
    <row r="268" spans="1:101" ht="14.25" customHeight="1" x14ac:dyDescent="0.2">
      <c r="A268" s="286"/>
      <c r="B268" s="52">
        <v>0.14840417498551964</v>
      </c>
      <c r="C268" s="288">
        <v>0.4110828175353296</v>
      </c>
      <c r="D268" s="288">
        <v>3.2972451502801037E-2</v>
      </c>
      <c r="E268" s="288">
        <v>1.0041432265481039E-2</v>
      </c>
      <c r="F268" s="289">
        <v>0.80360850320185628</v>
      </c>
      <c r="G268" s="92">
        <v>0.46310624051431848</v>
      </c>
      <c r="H268" s="288">
        <v>0.5256533717499583</v>
      </c>
      <c r="I268" s="288">
        <v>1.218937209988826E-2</v>
      </c>
      <c r="J268" s="288">
        <v>0.99999971868772186</v>
      </c>
      <c r="K268" s="288">
        <v>0.74305085699352913</v>
      </c>
      <c r="L268" s="290">
        <v>11971.888857540038</v>
      </c>
      <c r="M268" s="288">
        <v>0</v>
      </c>
      <c r="N268" s="288">
        <v>16454.159536221403</v>
      </c>
      <c r="O268" s="288">
        <v>1456.3682694447207</v>
      </c>
      <c r="P268" s="288">
        <v>51840.407936393793</v>
      </c>
      <c r="Q268" s="291">
        <v>87100.708790222474</v>
      </c>
      <c r="R268" s="288">
        <v>25503.027143403327</v>
      </c>
      <c r="S268" s="288">
        <v>7441.0283576918036</v>
      </c>
      <c r="T268" s="290">
        <v>0.751</v>
      </c>
      <c r="U268" s="288">
        <v>0.75800000000000001</v>
      </c>
      <c r="V268" s="288">
        <v>0.723923076923077</v>
      </c>
      <c r="W268" s="288">
        <v>0.72750000000000004</v>
      </c>
      <c r="X268" s="288">
        <v>0.76</v>
      </c>
      <c r="Y268" s="288">
        <v>0</v>
      </c>
      <c r="Z268" s="289">
        <v>0</v>
      </c>
      <c r="AA268" s="229"/>
      <c r="AB268" s="52">
        <v>73385.866035205487</v>
      </c>
      <c r="AC268" s="288">
        <v>3.2523423362094777</v>
      </c>
      <c r="AD268" s="288">
        <v>62876.742992780346</v>
      </c>
      <c r="AE268" s="288">
        <v>2.9763079495958782</v>
      </c>
      <c r="AF268" s="288">
        <v>10509.123042425141</v>
      </c>
      <c r="AG268" s="289">
        <v>0.27603438661359947</v>
      </c>
      <c r="AH268" s="229"/>
      <c r="AI268" s="205">
        <f t="shared" si="24"/>
        <v>251848.36758574226</v>
      </c>
      <c r="AJ268" s="205">
        <f t="shared" si="25"/>
        <v>234754.05196680746</v>
      </c>
      <c r="AK268" s="205">
        <f t="shared" si="26"/>
        <v>17094.315618934805</v>
      </c>
      <c r="AL268" s="229"/>
      <c r="AM268" s="52">
        <f t="shared" si="4"/>
        <v>1</v>
      </c>
      <c r="AN268" s="52">
        <f t="shared" si="5"/>
        <v>0</v>
      </c>
      <c r="AO268" s="52">
        <f t="shared" si="6"/>
        <v>1</v>
      </c>
      <c r="AP268" s="229"/>
      <c r="AQ268" s="3"/>
      <c r="AR268" s="3"/>
      <c r="AS268" s="3"/>
      <c r="AT268" s="3"/>
      <c r="AU268" s="229"/>
      <c r="AV268" s="318">
        <f t="shared" si="27"/>
        <v>251848.36758574226</v>
      </c>
      <c r="AW268" s="229"/>
      <c r="AX268" s="312"/>
      <c r="AY268" s="14"/>
      <c r="AZ268" s="14">
        <f t="shared" si="29"/>
        <v>10509.123042425141</v>
      </c>
      <c r="BA268" s="14">
        <f t="shared" si="28"/>
        <v>0.27603438661359947</v>
      </c>
      <c r="BB268" s="14">
        <f t="shared" si="2"/>
        <v>38071.789429394899</v>
      </c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BZ268" s="14"/>
      <c r="CA268" s="14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</row>
    <row r="269" spans="1:101" ht="14.25" customHeight="1" x14ac:dyDescent="0.2">
      <c r="A269" s="286"/>
      <c r="B269" s="52">
        <v>0.12648858971618832</v>
      </c>
      <c r="C269" s="288">
        <v>0.18633299554200577</v>
      </c>
      <c r="D269" s="288">
        <v>1.2800769232837409E-2</v>
      </c>
      <c r="E269" s="288">
        <v>2.2733897445891604E-2</v>
      </c>
      <c r="F269" s="289">
        <v>0.79143612292566423</v>
      </c>
      <c r="G269" s="92">
        <v>0.41044939395931934</v>
      </c>
      <c r="H269" s="288">
        <v>0.84159718441934894</v>
      </c>
      <c r="I269" s="288">
        <v>1.6307863513050691E-2</v>
      </c>
      <c r="J269" s="288">
        <v>0.99999999999998923</v>
      </c>
      <c r="K269" s="288">
        <v>0.74558977210635125</v>
      </c>
      <c r="L269" s="290">
        <v>11401.869874689475</v>
      </c>
      <c r="M269" s="288">
        <v>0</v>
      </c>
      <c r="N269" s="288">
        <v>20508.271393312476</v>
      </c>
      <c r="O269" s="288">
        <v>1343.7712147303739</v>
      </c>
      <c r="P269" s="288">
        <v>49442.218741044417</v>
      </c>
      <c r="Q269" s="291">
        <v>85553.987360317638</v>
      </c>
      <c r="R269" s="288">
        <v>21944.514162274019</v>
      </c>
      <c r="S269" s="288">
        <v>6224.922819920871</v>
      </c>
      <c r="T269" s="290">
        <v>0.751</v>
      </c>
      <c r="U269" s="288">
        <v>0.75800000000000001</v>
      </c>
      <c r="V269" s="288">
        <v>0.723923076923077</v>
      </c>
      <c r="W269" s="288">
        <v>0.72750000000000004</v>
      </c>
      <c r="X269" s="288">
        <v>0.76</v>
      </c>
      <c r="Y269" s="288">
        <v>0</v>
      </c>
      <c r="Z269" s="289">
        <v>0</v>
      </c>
      <c r="AA269" s="229"/>
      <c r="AB269" s="52">
        <v>61015.037126332005</v>
      </c>
      <c r="AC269" s="288">
        <v>3.1955234129677805</v>
      </c>
      <c r="AD269" s="288">
        <v>55356.858605898051</v>
      </c>
      <c r="AE269" s="288">
        <v>2.9879695467684959</v>
      </c>
      <c r="AF269" s="288">
        <v>5658.178520433954</v>
      </c>
      <c r="AG269" s="289">
        <v>0.20755386619928462</v>
      </c>
      <c r="AH269" s="229"/>
      <c r="AI269" s="205">
        <f t="shared" si="24"/>
        <v>258537.30417044606</v>
      </c>
      <c r="AJ269" s="205">
        <f t="shared" si="25"/>
        <v>243440.09607095155</v>
      </c>
      <c r="AK269" s="205">
        <f t="shared" si="26"/>
        <v>15097.208099494506</v>
      </c>
      <c r="AL269" s="229"/>
      <c r="AM269" s="52">
        <f t="shared" ref="AM269:AM523" si="30">IF(MAX(AI269:AJ269)=AI269,1,0)</f>
        <v>1</v>
      </c>
      <c r="AN269" s="52">
        <f t="shared" ref="AN269:AN523" si="31">IF(MAX(AI269:AJ269)=AJ269,1,0)</f>
        <v>0</v>
      </c>
      <c r="AO269" s="52">
        <f t="shared" ref="AO269:AO523" si="32">IF(AK269&gt;0,1,0)</f>
        <v>1</v>
      </c>
      <c r="AP269" s="229"/>
      <c r="AQ269" s="3"/>
      <c r="AR269" s="3"/>
      <c r="AS269" s="3"/>
      <c r="AT269" s="3"/>
      <c r="AU269" s="229"/>
      <c r="AV269" s="318">
        <f t="shared" si="27"/>
        <v>258537.30417044606</v>
      </c>
      <c r="AW269" s="229"/>
      <c r="AX269" s="312"/>
      <c r="AY269" s="14"/>
      <c r="AZ269" s="14">
        <f t="shared" si="29"/>
        <v>5658.178520433954</v>
      </c>
      <c r="BA269" s="14">
        <f t="shared" si="28"/>
        <v>0.20755386619928462</v>
      </c>
      <c r="BB269" s="14">
        <f t="shared" ref="BB269:BB523" si="33">AZ269/BA269</f>
        <v>27261.253302799021</v>
      </c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BZ269" s="14"/>
      <c r="CA269" s="14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</row>
    <row r="270" spans="1:101" ht="14.25" customHeight="1" x14ac:dyDescent="0.2">
      <c r="A270" s="286"/>
      <c r="B270" s="52">
        <v>0.15170369785278287</v>
      </c>
      <c r="C270" s="288">
        <v>0.16369156211158253</v>
      </c>
      <c r="D270" s="288">
        <v>1.3148636742192701E-2</v>
      </c>
      <c r="E270" s="288">
        <v>9.6392165950378497E-3</v>
      </c>
      <c r="F270" s="289">
        <v>0.8198722462129896</v>
      </c>
      <c r="G270" s="92">
        <v>0.3843193530005159</v>
      </c>
      <c r="H270" s="288">
        <v>0.31351941424457008</v>
      </c>
      <c r="I270" s="288">
        <v>1.0953687742018709E-2</v>
      </c>
      <c r="J270" s="288">
        <v>1</v>
      </c>
      <c r="K270" s="288">
        <v>0.77955000906531025</v>
      </c>
      <c r="L270" s="290">
        <v>12277.812713615627</v>
      </c>
      <c r="M270" s="288">
        <v>0</v>
      </c>
      <c r="N270" s="288">
        <v>17120.971739268476</v>
      </c>
      <c r="O270" s="288">
        <v>1359.6379195619922</v>
      </c>
      <c r="P270" s="288">
        <v>45902.464054856282</v>
      </c>
      <c r="Q270" s="291">
        <v>117604.257895915</v>
      </c>
      <c r="R270" s="288">
        <v>19893.088762985986</v>
      </c>
      <c r="S270" s="288">
        <v>9911.2924594823489</v>
      </c>
      <c r="T270" s="290">
        <v>0.751</v>
      </c>
      <c r="U270" s="288">
        <v>0.75800000000000001</v>
      </c>
      <c r="V270" s="288">
        <v>0.723923076923077</v>
      </c>
      <c r="W270" s="288">
        <v>0.72750000000000004</v>
      </c>
      <c r="X270" s="288">
        <v>0.76</v>
      </c>
      <c r="Y270" s="288">
        <v>0</v>
      </c>
      <c r="Z270" s="289">
        <v>0</v>
      </c>
      <c r="AA270" s="229"/>
      <c r="AB270" s="52">
        <v>93679.778992509368</v>
      </c>
      <c r="AC270" s="288">
        <v>3.3286218514161878</v>
      </c>
      <c r="AD270" s="288">
        <v>80710.954571834023</v>
      </c>
      <c r="AE270" s="288">
        <v>3.1449306278188232</v>
      </c>
      <c r="AF270" s="288">
        <v>12968.824420675344</v>
      </c>
      <c r="AG270" s="289">
        <v>0.18369122359736467</v>
      </c>
      <c r="AH270" s="229"/>
      <c r="AI270" s="205">
        <f t="shared" ref="AI270:AI333" si="34">AC270*cRatio-AB270</f>
        <v>239182.40614910942</v>
      </c>
      <c r="AJ270" s="205">
        <f t="shared" ref="AJ270:AJ333" si="35">AE270*cRatio-AD270</f>
        <v>233782.10821004829</v>
      </c>
      <c r="AK270" s="205">
        <f t="shared" ref="AK270:AK333" si="36">AG270*cRatio-AF270</f>
        <v>5400.2979390611217</v>
      </c>
      <c r="AL270" s="229"/>
      <c r="AM270" s="52">
        <f t="shared" si="30"/>
        <v>1</v>
      </c>
      <c r="AN270" s="52">
        <f t="shared" si="31"/>
        <v>0</v>
      </c>
      <c r="AO270" s="52">
        <f t="shared" si="32"/>
        <v>1</v>
      </c>
      <c r="AP270" s="229"/>
      <c r="AQ270" s="3"/>
      <c r="AR270" s="3"/>
      <c r="AS270" s="3"/>
      <c r="AT270" s="3"/>
      <c r="AU270" s="229"/>
      <c r="AV270" s="318">
        <f t="shared" si="27"/>
        <v>239182.40614910942</v>
      </c>
      <c r="AW270" s="229"/>
      <c r="AX270" s="312"/>
      <c r="AY270" s="14"/>
      <c r="AZ270" s="14">
        <f t="shared" si="29"/>
        <v>12968.824420675344</v>
      </c>
      <c r="BA270" s="14">
        <f t="shared" si="28"/>
        <v>0.18369122359736467</v>
      </c>
      <c r="BB270" s="14">
        <f t="shared" si="33"/>
        <v>70601.219626594073</v>
      </c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BZ270" s="14"/>
      <c r="CA270" s="14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</row>
    <row r="271" spans="1:101" ht="14.25" customHeight="1" x14ac:dyDescent="0.2">
      <c r="A271" s="286"/>
      <c r="B271" s="52">
        <v>0.17626356819433775</v>
      </c>
      <c r="C271" s="288">
        <v>0.21483825538342086</v>
      </c>
      <c r="D271" s="288">
        <v>6.8968978167365169E-3</v>
      </c>
      <c r="E271" s="288">
        <v>1.6754385196107502E-2</v>
      </c>
      <c r="F271" s="289">
        <v>0.76222890066812621</v>
      </c>
      <c r="G271" s="92">
        <v>0.39573738938194292</v>
      </c>
      <c r="H271" s="288">
        <v>0.41928510871882407</v>
      </c>
      <c r="I271" s="288">
        <v>4.2949293711262215E-2</v>
      </c>
      <c r="J271" s="288">
        <v>0.99971055039015821</v>
      </c>
      <c r="K271" s="288">
        <v>0.77147298725191815</v>
      </c>
      <c r="L271" s="290">
        <v>9924.49375389335</v>
      </c>
      <c r="M271" s="288">
        <v>0</v>
      </c>
      <c r="N271" s="288">
        <v>17206.163125079249</v>
      </c>
      <c r="O271" s="288">
        <v>1179.1107189593208</v>
      </c>
      <c r="P271" s="288">
        <v>57087.885719928403</v>
      </c>
      <c r="Q271" s="291">
        <v>69709.420352225745</v>
      </c>
      <c r="R271" s="288">
        <v>16149.710619905794</v>
      </c>
      <c r="S271" s="288">
        <v>7797.2057415832332</v>
      </c>
      <c r="T271" s="290">
        <v>0.751</v>
      </c>
      <c r="U271" s="288">
        <v>0.75800000000000001</v>
      </c>
      <c r="V271" s="288">
        <v>0.723923076923077</v>
      </c>
      <c r="W271" s="288">
        <v>0.72750000000000004</v>
      </c>
      <c r="X271" s="288">
        <v>0.76</v>
      </c>
      <c r="Y271" s="288">
        <v>0</v>
      </c>
      <c r="Z271" s="289">
        <v>0</v>
      </c>
      <c r="AA271" s="229"/>
      <c r="AB271" s="52">
        <v>69681.959199198667</v>
      </c>
      <c r="AC271" s="288">
        <v>3.0601361248801124</v>
      </c>
      <c r="AD271" s="288">
        <v>65519.547094198853</v>
      </c>
      <c r="AE271" s="288">
        <v>3.1074346135662383</v>
      </c>
      <c r="AF271" s="288">
        <v>4162.4121049998139</v>
      </c>
      <c r="AG271" s="289">
        <v>-4.729848868612585E-2</v>
      </c>
      <c r="AH271" s="229"/>
      <c r="AI271" s="205">
        <f t="shared" si="34"/>
        <v>236331.65328881258</v>
      </c>
      <c r="AJ271" s="205">
        <f t="shared" si="35"/>
        <v>245223.91426242501</v>
      </c>
      <c r="AK271" s="205">
        <f t="shared" si="36"/>
        <v>-8892.2609736123995</v>
      </c>
      <c r="AL271" s="229"/>
      <c r="AM271" s="52">
        <f t="shared" si="30"/>
        <v>0</v>
      </c>
      <c r="AN271" s="52">
        <f t="shared" si="31"/>
        <v>1</v>
      </c>
      <c r="AO271" s="52">
        <f t="shared" si="32"/>
        <v>0</v>
      </c>
      <c r="AP271" s="229"/>
      <c r="AQ271" s="3"/>
      <c r="AR271" s="3"/>
      <c r="AS271" s="3"/>
      <c r="AT271" s="3"/>
      <c r="AU271" s="229"/>
      <c r="AV271" s="318">
        <f t="shared" ref="AV271:AV334" si="37">MAX(AI271:AJ271)</f>
        <v>245223.91426242501</v>
      </c>
      <c r="AW271" s="229"/>
      <c r="AX271" s="312"/>
      <c r="AY271" s="14"/>
      <c r="AZ271" s="14">
        <f t="shared" si="29"/>
        <v>4162.4121049998139</v>
      </c>
      <c r="BA271" s="14">
        <f t="shared" ref="BA271:BA334" si="38">AG271</f>
        <v>-4.729848868612585E-2</v>
      </c>
      <c r="BB271" s="14">
        <f t="shared" si="33"/>
        <v>-88003.067764420586</v>
      </c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BZ271" s="14"/>
      <c r="CA271" s="14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</row>
    <row r="272" spans="1:101" ht="14.25" customHeight="1" x14ac:dyDescent="0.2">
      <c r="A272" s="286"/>
      <c r="B272" s="52">
        <v>0.15651847197819488</v>
      </c>
      <c r="C272" s="288">
        <v>0.38521421444124182</v>
      </c>
      <c r="D272" s="288">
        <v>6.9666666701481755E-3</v>
      </c>
      <c r="E272" s="288">
        <v>2.1725190542808748E-2</v>
      </c>
      <c r="F272" s="289">
        <v>0.79882928312983703</v>
      </c>
      <c r="G272" s="92">
        <v>0.32572349271760964</v>
      </c>
      <c r="H272" s="288">
        <v>7.2570074987714478E-2</v>
      </c>
      <c r="I272" s="288">
        <v>2.3057294640413395E-2</v>
      </c>
      <c r="J272" s="288">
        <v>0.98483296461720182</v>
      </c>
      <c r="K272" s="288">
        <v>0.77589103840388829</v>
      </c>
      <c r="L272" s="290">
        <v>9885.5087022651423</v>
      </c>
      <c r="M272" s="288">
        <v>0</v>
      </c>
      <c r="N272" s="288">
        <v>19600.048472463714</v>
      </c>
      <c r="O272" s="288">
        <v>1043.3904167092116</v>
      </c>
      <c r="P272" s="288">
        <v>38869.796665400776</v>
      </c>
      <c r="Q272" s="291">
        <v>108998.17459942422</v>
      </c>
      <c r="R272" s="288">
        <v>24359.910468513492</v>
      </c>
      <c r="S272" s="288">
        <v>7762.9756512088679</v>
      </c>
      <c r="T272" s="290">
        <v>0.751</v>
      </c>
      <c r="U272" s="288">
        <v>0.75800000000000001</v>
      </c>
      <c r="V272" s="288">
        <v>0.723923076923077</v>
      </c>
      <c r="W272" s="288">
        <v>0.72750000000000004</v>
      </c>
      <c r="X272" s="288">
        <v>0.76</v>
      </c>
      <c r="Y272" s="288">
        <v>0</v>
      </c>
      <c r="Z272" s="289">
        <v>0</v>
      </c>
      <c r="AA272" s="229"/>
      <c r="AB272" s="52">
        <v>73044.759775166196</v>
      </c>
      <c r="AC272" s="288">
        <v>3.23000591285482</v>
      </c>
      <c r="AD272" s="288">
        <v>62284.784509124103</v>
      </c>
      <c r="AE272" s="288">
        <v>3.1279318225492716</v>
      </c>
      <c r="AF272" s="288">
        <v>10759.975266042093</v>
      </c>
      <c r="AG272" s="289">
        <v>0.10207409030554837</v>
      </c>
      <c r="AH272" s="229"/>
      <c r="AI272" s="205">
        <f t="shared" si="34"/>
        <v>249955.83151031579</v>
      </c>
      <c r="AJ272" s="205">
        <f t="shared" si="35"/>
        <v>250508.39774580306</v>
      </c>
      <c r="AK272" s="205">
        <f t="shared" si="36"/>
        <v>-552.56623548725474</v>
      </c>
      <c r="AL272" s="229"/>
      <c r="AM272" s="52">
        <f t="shared" si="30"/>
        <v>0</v>
      </c>
      <c r="AN272" s="52">
        <f t="shared" si="31"/>
        <v>1</v>
      </c>
      <c r="AO272" s="52">
        <f t="shared" si="32"/>
        <v>0</v>
      </c>
      <c r="AP272" s="229"/>
      <c r="AQ272" s="3"/>
      <c r="AR272" s="3"/>
      <c r="AS272" s="3"/>
      <c r="AT272" s="3"/>
      <c r="AU272" s="229"/>
      <c r="AV272" s="318">
        <f t="shared" si="37"/>
        <v>250508.39774580306</v>
      </c>
      <c r="AW272" s="229"/>
      <c r="AX272" s="312"/>
      <c r="AY272" s="14"/>
      <c r="AZ272" s="14">
        <f t="shared" ref="AZ272:AZ335" si="39">AF272</f>
        <v>10759.975266042093</v>
      </c>
      <c r="BA272" s="14">
        <f t="shared" si="38"/>
        <v>0.10207409030554837</v>
      </c>
      <c r="BB272" s="14">
        <f t="shared" si="33"/>
        <v>105413.38388452158</v>
      </c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BZ272" s="14"/>
      <c r="CA272" s="14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</row>
    <row r="273" spans="1:101" ht="14.25" customHeight="1" x14ac:dyDescent="0.2">
      <c r="A273" s="286"/>
      <c r="B273" s="52">
        <v>0.16266873173778251</v>
      </c>
      <c r="C273" s="288">
        <v>2.6533568642110046E-2</v>
      </c>
      <c r="D273" s="288">
        <v>2.353062553421148E-2</v>
      </c>
      <c r="E273" s="288">
        <v>3.6166786816835494E-2</v>
      </c>
      <c r="F273" s="289">
        <v>0.75681486612657867</v>
      </c>
      <c r="G273" s="92">
        <v>0.3691704568952614</v>
      </c>
      <c r="H273" s="288">
        <v>0.96140317893244243</v>
      </c>
      <c r="I273" s="288">
        <v>1.9672451324330487E-2</v>
      </c>
      <c r="J273" s="288">
        <v>0.99998580180260566</v>
      </c>
      <c r="K273" s="288">
        <v>0.71548515836732873</v>
      </c>
      <c r="L273" s="290">
        <v>14126.339130817209</v>
      </c>
      <c r="M273" s="288">
        <v>0</v>
      </c>
      <c r="N273" s="288">
        <v>16439.058885097671</v>
      </c>
      <c r="O273" s="288">
        <v>968.75212028395401</v>
      </c>
      <c r="P273" s="288">
        <v>43355.112045782065</v>
      </c>
      <c r="Q273" s="291">
        <v>85876.358853646088</v>
      </c>
      <c r="R273" s="288">
        <v>18014.898303249527</v>
      </c>
      <c r="S273" s="288">
        <v>6801.5701459276415</v>
      </c>
      <c r="T273" s="290">
        <v>0.751</v>
      </c>
      <c r="U273" s="288">
        <v>0.75800000000000001</v>
      </c>
      <c r="V273" s="288">
        <v>0.723923076923077</v>
      </c>
      <c r="W273" s="288">
        <v>0.72750000000000004</v>
      </c>
      <c r="X273" s="288">
        <v>0.76</v>
      </c>
      <c r="Y273" s="288">
        <v>0</v>
      </c>
      <c r="Z273" s="289">
        <v>0</v>
      </c>
      <c r="AA273" s="229"/>
      <c r="AB273" s="52">
        <v>65670.973348944681</v>
      </c>
      <c r="AC273" s="288">
        <v>3.0351868854155342</v>
      </c>
      <c r="AD273" s="288">
        <v>56212.874212058035</v>
      </c>
      <c r="AE273" s="288">
        <v>2.8503488157846419</v>
      </c>
      <c r="AF273" s="288">
        <v>9458.0991368866453</v>
      </c>
      <c r="AG273" s="289">
        <v>0.18483806963089222</v>
      </c>
      <c r="AH273" s="229"/>
      <c r="AI273" s="205">
        <f t="shared" si="34"/>
        <v>237847.71519260871</v>
      </c>
      <c r="AJ273" s="205">
        <f t="shared" si="35"/>
        <v>228822.00736640615</v>
      </c>
      <c r="AK273" s="205">
        <f t="shared" si="36"/>
        <v>9025.7078262025752</v>
      </c>
      <c r="AL273" s="229"/>
      <c r="AM273" s="52">
        <f t="shared" si="30"/>
        <v>1</v>
      </c>
      <c r="AN273" s="52">
        <f t="shared" si="31"/>
        <v>0</v>
      </c>
      <c r="AO273" s="52">
        <f t="shared" si="32"/>
        <v>1</v>
      </c>
      <c r="AP273" s="229"/>
      <c r="AQ273" s="3"/>
      <c r="AR273" s="3"/>
      <c r="AS273" s="3"/>
      <c r="AT273" s="3"/>
      <c r="AU273" s="229"/>
      <c r="AV273" s="318">
        <f t="shared" si="37"/>
        <v>237847.71519260871</v>
      </c>
      <c r="AW273" s="229"/>
      <c r="AX273" s="312"/>
      <c r="AY273" s="14"/>
      <c r="AZ273" s="14">
        <f t="shared" si="39"/>
        <v>9458.0991368866453</v>
      </c>
      <c r="BA273" s="14">
        <f t="shared" si="38"/>
        <v>0.18483806963089222</v>
      </c>
      <c r="BB273" s="14">
        <f t="shared" si="33"/>
        <v>51169.648956915429</v>
      </c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BZ273" s="14"/>
      <c r="CA273" s="14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</row>
    <row r="274" spans="1:101" ht="14.25" customHeight="1" x14ac:dyDescent="0.2">
      <c r="A274" s="286"/>
      <c r="B274" s="52">
        <v>0.19105130126873227</v>
      </c>
      <c r="C274" s="288">
        <v>0.53458400716885224</v>
      </c>
      <c r="D274" s="288">
        <v>1.4195385258100856E-2</v>
      </c>
      <c r="E274" s="288">
        <v>6.4882318610283291E-3</v>
      </c>
      <c r="F274" s="289">
        <v>0.77124442134234394</v>
      </c>
      <c r="G274" s="92">
        <v>0.38146444942840591</v>
      </c>
      <c r="H274" s="288">
        <v>0.72395245103694017</v>
      </c>
      <c r="I274" s="288">
        <v>9.5691212423712913E-3</v>
      </c>
      <c r="J274" s="288">
        <v>1</v>
      </c>
      <c r="K274" s="288">
        <v>0.81223016056445485</v>
      </c>
      <c r="L274" s="290">
        <v>8039.4220954509747</v>
      </c>
      <c r="M274" s="288">
        <v>0</v>
      </c>
      <c r="N274" s="288">
        <v>21350.483079247188</v>
      </c>
      <c r="O274" s="288">
        <v>1165.119431253109</v>
      </c>
      <c r="P274" s="288">
        <v>61007.845147876862</v>
      </c>
      <c r="Q274" s="291">
        <v>101007.62241068305</v>
      </c>
      <c r="R274" s="288">
        <v>17703.635542589411</v>
      </c>
      <c r="S274" s="288">
        <v>9971.7107855625927</v>
      </c>
      <c r="T274" s="290">
        <v>0.751</v>
      </c>
      <c r="U274" s="288">
        <v>0.75800000000000001</v>
      </c>
      <c r="V274" s="288">
        <v>0.723923076923077</v>
      </c>
      <c r="W274" s="288">
        <v>0.72750000000000004</v>
      </c>
      <c r="X274" s="288">
        <v>0.76</v>
      </c>
      <c r="Y274" s="288">
        <v>0</v>
      </c>
      <c r="Z274" s="289">
        <v>0</v>
      </c>
      <c r="AA274" s="229"/>
      <c r="AB274" s="52">
        <v>86500.309970459493</v>
      </c>
      <c r="AC274" s="288">
        <v>3.1017839456989909</v>
      </c>
      <c r="AD274" s="288">
        <v>86753.398722812868</v>
      </c>
      <c r="AE274" s="288">
        <v>3.2976916648163384</v>
      </c>
      <c r="AF274" s="288">
        <v>-253.08875235337473</v>
      </c>
      <c r="AG274" s="289">
        <v>-0.1959077191173475</v>
      </c>
      <c r="AH274" s="229"/>
      <c r="AI274" s="205">
        <f t="shared" si="34"/>
        <v>223678.08459943958</v>
      </c>
      <c r="AJ274" s="205">
        <f t="shared" si="35"/>
        <v>243015.76775882096</v>
      </c>
      <c r="AK274" s="205">
        <f t="shared" si="36"/>
        <v>-19337.683159381377</v>
      </c>
      <c r="AL274" s="229"/>
      <c r="AM274" s="52">
        <f t="shared" si="30"/>
        <v>0</v>
      </c>
      <c r="AN274" s="52">
        <f t="shared" si="31"/>
        <v>1</v>
      </c>
      <c r="AO274" s="52">
        <f t="shared" si="32"/>
        <v>0</v>
      </c>
      <c r="AP274" s="229"/>
      <c r="AQ274" s="3"/>
      <c r="AR274" s="3"/>
      <c r="AS274" s="3"/>
      <c r="AT274" s="3"/>
      <c r="AU274" s="229"/>
      <c r="AV274" s="318">
        <f t="shared" si="37"/>
        <v>243015.76775882096</v>
      </c>
      <c r="AW274" s="229"/>
      <c r="AX274" s="312"/>
      <c r="AY274" s="14"/>
      <c r="AZ274" s="14">
        <f t="shared" si="39"/>
        <v>-253.08875235337473</v>
      </c>
      <c r="BA274" s="14">
        <f t="shared" si="38"/>
        <v>-0.1959077191173475</v>
      </c>
      <c r="BB274" s="14">
        <f t="shared" si="33"/>
        <v>1291.8773874437084</v>
      </c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BZ274" s="14"/>
      <c r="CA274" s="14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</row>
    <row r="275" spans="1:101" ht="14.25" customHeight="1" x14ac:dyDescent="0.2">
      <c r="A275" s="286"/>
      <c r="B275" s="52">
        <v>0.16179764830872145</v>
      </c>
      <c r="C275" s="288">
        <v>0.51219663168388085</v>
      </c>
      <c r="D275" s="288">
        <v>2.3048205356926088E-2</v>
      </c>
      <c r="E275" s="288">
        <v>1.1496216197755871E-2</v>
      </c>
      <c r="F275" s="289">
        <v>0.79173505005378519</v>
      </c>
      <c r="G275" s="92">
        <v>0.41774238189116797</v>
      </c>
      <c r="H275" s="288">
        <v>0.30554366065630451</v>
      </c>
      <c r="I275" s="288">
        <v>7.933295871857109E-3</v>
      </c>
      <c r="J275" s="288">
        <v>0.99999012674663279</v>
      </c>
      <c r="K275" s="288">
        <v>0.7438258740803404</v>
      </c>
      <c r="L275" s="290">
        <v>12876.771591366747</v>
      </c>
      <c r="M275" s="288">
        <v>0</v>
      </c>
      <c r="N275" s="288">
        <v>16330.832565330782</v>
      </c>
      <c r="O275" s="288">
        <v>1224.9342065912547</v>
      </c>
      <c r="P275" s="288">
        <v>40877.71406298592</v>
      </c>
      <c r="Q275" s="291">
        <v>107433.4930594047</v>
      </c>
      <c r="R275" s="288">
        <v>19494.750361106217</v>
      </c>
      <c r="S275" s="288">
        <v>8154.1690142333382</v>
      </c>
      <c r="T275" s="290">
        <v>0.751</v>
      </c>
      <c r="U275" s="288">
        <v>0.75800000000000001</v>
      </c>
      <c r="V275" s="288">
        <v>0.723923076923077</v>
      </c>
      <c r="W275" s="288">
        <v>0.72750000000000004</v>
      </c>
      <c r="X275" s="288">
        <v>0.76</v>
      </c>
      <c r="Y275" s="288">
        <v>0</v>
      </c>
      <c r="Z275" s="289">
        <v>0</v>
      </c>
      <c r="AA275" s="229"/>
      <c r="AB275" s="52">
        <v>79022.200010006185</v>
      </c>
      <c r="AC275" s="288">
        <v>3.1969159783411718</v>
      </c>
      <c r="AD275" s="288">
        <v>64039.203342977431</v>
      </c>
      <c r="AE275" s="288">
        <v>2.9798666355784649</v>
      </c>
      <c r="AF275" s="288">
        <v>14982.996667028754</v>
      </c>
      <c r="AG275" s="289">
        <v>0.21704934276270693</v>
      </c>
      <c r="AH275" s="229"/>
      <c r="AI275" s="205">
        <f t="shared" si="34"/>
        <v>240669.39782411099</v>
      </c>
      <c r="AJ275" s="205">
        <f t="shared" si="35"/>
        <v>233947.46021486906</v>
      </c>
      <c r="AK275" s="205">
        <f t="shared" si="36"/>
        <v>6721.9376092419407</v>
      </c>
      <c r="AL275" s="229"/>
      <c r="AM275" s="52">
        <f t="shared" si="30"/>
        <v>1</v>
      </c>
      <c r="AN275" s="52">
        <f t="shared" si="31"/>
        <v>0</v>
      </c>
      <c r="AO275" s="52">
        <f t="shared" si="32"/>
        <v>1</v>
      </c>
      <c r="AP275" s="229"/>
      <c r="AQ275" s="3"/>
      <c r="AR275" s="3"/>
      <c r="AS275" s="3"/>
      <c r="AT275" s="3"/>
      <c r="AU275" s="229"/>
      <c r="AV275" s="318">
        <f t="shared" si="37"/>
        <v>240669.39782411099</v>
      </c>
      <c r="AW275" s="229"/>
      <c r="AX275" s="312"/>
      <c r="AY275" s="14"/>
      <c r="AZ275" s="14">
        <f t="shared" si="39"/>
        <v>14982.996667028754</v>
      </c>
      <c r="BA275" s="14">
        <f t="shared" si="38"/>
        <v>0.21704934276270693</v>
      </c>
      <c r="BB275" s="14">
        <f t="shared" si="33"/>
        <v>69030.371049817841</v>
      </c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BZ275" s="14"/>
      <c r="CA275" s="14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</row>
    <row r="276" spans="1:101" ht="14.25" customHeight="1" x14ac:dyDescent="0.2">
      <c r="A276" s="286"/>
      <c r="B276" s="52">
        <v>0.13529497525428588</v>
      </c>
      <c r="C276" s="288">
        <v>0.32054174195764618</v>
      </c>
      <c r="D276" s="288">
        <v>7.3970329217702118E-3</v>
      </c>
      <c r="E276" s="288">
        <v>1.598448711364131E-2</v>
      </c>
      <c r="F276" s="289">
        <v>0.77521611107337618</v>
      </c>
      <c r="G276" s="92">
        <v>0.34072082504682649</v>
      </c>
      <c r="H276" s="288">
        <v>0.53601604611227716</v>
      </c>
      <c r="I276" s="288">
        <v>4.3564269221515795E-2</v>
      </c>
      <c r="J276" s="288">
        <v>0.99999999999999267</v>
      </c>
      <c r="K276" s="288">
        <v>0.77262430856823516</v>
      </c>
      <c r="L276" s="290">
        <v>13538.825990749765</v>
      </c>
      <c r="M276" s="288">
        <v>0</v>
      </c>
      <c r="N276" s="288">
        <v>24180.506460757948</v>
      </c>
      <c r="O276" s="288">
        <v>1518.5672946003733</v>
      </c>
      <c r="P276" s="288">
        <v>28989.162058163514</v>
      </c>
      <c r="Q276" s="291">
        <v>90222.336001456672</v>
      </c>
      <c r="R276" s="288">
        <v>20176.525253829273</v>
      </c>
      <c r="S276" s="288">
        <v>6796.7659559093581</v>
      </c>
      <c r="T276" s="290">
        <v>0.751</v>
      </c>
      <c r="U276" s="288">
        <v>0.75800000000000001</v>
      </c>
      <c r="V276" s="288">
        <v>0.723923076923077</v>
      </c>
      <c r="W276" s="288">
        <v>0.72750000000000004</v>
      </c>
      <c r="X276" s="288">
        <v>0.76</v>
      </c>
      <c r="Y276" s="288">
        <v>0</v>
      </c>
      <c r="Z276" s="289">
        <v>0</v>
      </c>
      <c r="AA276" s="229"/>
      <c r="AB276" s="52">
        <v>66885.20475583605</v>
      </c>
      <c r="AC276" s="288">
        <v>3.1201718934284499</v>
      </c>
      <c r="AD276" s="288">
        <v>58630.193266488386</v>
      </c>
      <c r="AE276" s="288">
        <v>3.1127731162019256</v>
      </c>
      <c r="AF276" s="288">
        <v>8255.0114893476639</v>
      </c>
      <c r="AG276" s="289">
        <v>7.3987772265242668E-3</v>
      </c>
      <c r="AH276" s="229"/>
      <c r="AI276" s="205">
        <f t="shared" si="34"/>
        <v>245131.98458700895</v>
      </c>
      <c r="AJ276" s="205">
        <f t="shared" si="35"/>
        <v>252647.11835370417</v>
      </c>
      <c r="AK276" s="205">
        <f t="shared" si="36"/>
        <v>-7515.1337666952368</v>
      </c>
      <c r="AL276" s="229"/>
      <c r="AM276" s="52">
        <f t="shared" si="30"/>
        <v>0</v>
      </c>
      <c r="AN276" s="52">
        <f t="shared" si="31"/>
        <v>1</v>
      </c>
      <c r="AO276" s="52">
        <f t="shared" si="32"/>
        <v>0</v>
      </c>
      <c r="AP276" s="229"/>
      <c r="AQ276" s="3"/>
      <c r="AR276" s="3"/>
      <c r="AS276" s="3"/>
      <c r="AT276" s="3"/>
      <c r="AU276" s="229"/>
      <c r="AV276" s="318">
        <f t="shared" si="37"/>
        <v>252647.11835370417</v>
      </c>
      <c r="AW276" s="229"/>
      <c r="AX276" s="312"/>
      <c r="AY276" s="14"/>
      <c r="AZ276" s="14">
        <f t="shared" si="39"/>
        <v>8255.0114893476639</v>
      </c>
      <c r="BA276" s="14">
        <f t="shared" si="38"/>
        <v>7.3987772265242668E-3</v>
      </c>
      <c r="BB276" s="14">
        <f t="shared" si="33"/>
        <v>1115726.4554139888</v>
      </c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BZ276" s="14"/>
      <c r="CA276" s="14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</row>
    <row r="277" spans="1:101" ht="14.25" customHeight="1" x14ac:dyDescent="0.2">
      <c r="A277" s="286"/>
      <c r="B277" s="52">
        <v>0.1675748936616831</v>
      </c>
      <c r="C277" s="288">
        <v>0.339422187526074</v>
      </c>
      <c r="D277" s="288">
        <v>1.9405537706121523E-2</v>
      </c>
      <c r="E277" s="288">
        <v>6.455560766099871E-3</v>
      </c>
      <c r="F277" s="289">
        <v>0.78460736613389481</v>
      </c>
      <c r="G277" s="92">
        <v>0.42834816001083631</v>
      </c>
      <c r="H277" s="288">
        <v>0.88380128993278995</v>
      </c>
      <c r="I277" s="288">
        <v>3.4625795418856242E-2</v>
      </c>
      <c r="J277" s="288">
        <v>0.99973944498938716</v>
      </c>
      <c r="K277" s="288">
        <v>0.77197549492296291</v>
      </c>
      <c r="L277" s="290">
        <v>10969.884273423864</v>
      </c>
      <c r="M277" s="288">
        <v>0</v>
      </c>
      <c r="N277" s="288">
        <v>17560.762563892102</v>
      </c>
      <c r="O277" s="288">
        <v>1445.2932682610056</v>
      </c>
      <c r="P277" s="288">
        <v>48437.544505566082</v>
      </c>
      <c r="Q277" s="291">
        <v>79404.717568575768</v>
      </c>
      <c r="R277" s="288">
        <v>16834.046858396716</v>
      </c>
      <c r="S277" s="288">
        <v>9601.1220496322367</v>
      </c>
      <c r="T277" s="290">
        <v>0.751</v>
      </c>
      <c r="U277" s="288">
        <v>0.75800000000000001</v>
      </c>
      <c r="V277" s="288">
        <v>0.723923076923077</v>
      </c>
      <c r="W277" s="288">
        <v>0.72750000000000004</v>
      </c>
      <c r="X277" s="288">
        <v>0.76</v>
      </c>
      <c r="Y277" s="288">
        <v>0</v>
      </c>
      <c r="Z277" s="289">
        <v>0</v>
      </c>
      <c r="AA277" s="229"/>
      <c r="AB277" s="52">
        <v>87024.194929177727</v>
      </c>
      <c r="AC277" s="288">
        <v>3.1637495165233918</v>
      </c>
      <c r="AD277" s="288">
        <v>82919.862500363655</v>
      </c>
      <c r="AE277" s="288">
        <v>3.1097644086026572</v>
      </c>
      <c r="AF277" s="288">
        <v>4104.332428814072</v>
      </c>
      <c r="AG277" s="289">
        <v>5.3985107920734521E-2</v>
      </c>
      <c r="AH277" s="229"/>
      <c r="AI277" s="205">
        <f t="shared" si="34"/>
        <v>229350.75672316147</v>
      </c>
      <c r="AJ277" s="205">
        <f t="shared" si="35"/>
        <v>228056.57835990208</v>
      </c>
      <c r="AK277" s="205">
        <f t="shared" si="36"/>
        <v>1294.1783632593797</v>
      </c>
      <c r="AL277" s="229"/>
      <c r="AM277" s="52">
        <f t="shared" si="30"/>
        <v>1</v>
      </c>
      <c r="AN277" s="52">
        <f t="shared" si="31"/>
        <v>0</v>
      </c>
      <c r="AO277" s="52">
        <f t="shared" si="32"/>
        <v>1</v>
      </c>
      <c r="AP277" s="229"/>
      <c r="AQ277" s="3"/>
      <c r="AR277" s="3"/>
      <c r="AS277" s="3"/>
      <c r="AT277" s="3"/>
      <c r="AU277" s="229"/>
      <c r="AV277" s="318">
        <f t="shared" si="37"/>
        <v>229350.75672316147</v>
      </c>
      <c r="AW277" s="229"/>
      <c r="AX277" s="312"/>
      <c r="AY277" s="14"/>
      <c r="AZ277" s="14">
        <f t="shared" si="39"/>
        <v>4104.332428814072</v>
      </c>
      <c r="BA277" s="14">
        <f t="shared" si="38"/>
        <v>5.3985107920734521E-2</v>
      </c>
      <c r="BB277" s="14">
        <f t="shared" si="33"/>
        <v>76027.122791722461</v>
      </c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BZ277" s="14"/>
      <c r="CA277" s="14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</row>
    <row r="278" spans="1:101" ht="14.25" customHeight="1" x14ac:dyDescent="0.2">
      <c r="A278" s="286"/>
      <c r="B278" s="52">
        <v>0.19462714475401544</v>
      </c>
      <c r="C278" s="288">
        <v>6.2973380566159504E-2</v>
      </c>
      <c r="D278" s="288">
        <v>1.0379671696634963E-2</v>
      </c>
      <c r="E278" s="288">
        <v>1.9017196666292313E-2</v>
      </c>
      <c r="F278" s="289">
        <v>0.75060426476529463</v>
      </c>
      <c r="G278" s="92">
        <v>0.43157916381520134</v>
      </c>
      <c r="H278" s="288">
        <v>0.60247056809671018</v>
      </c>
      <c r="I278" s="288">
        <v>2.8234773892460048E-3</v>
      </c>
      <c r="J278" s="288">
        <v>9.519368283359754E-2</v>
      </c>
      <c r="K278" s="288">
        <v>0.76073783979748488</v>
      </c>
      <c r="L278" s="290">
        <v>13355.594793655886</v>
      </c>
      <c r="M278" s="288">
        <v>0</v>
      </c>
      <c r="N278" s="288">
        <v>15662.592942504822</v>
      </c>
      <c r="O278" s="288">
        <v>1215.7080640611539</v>
      </c>
      <c r="P278" s="288">
        <v>38447.84893057272</v>
      </c>
      <c r="Q278" s="291">
        <v>107889.61105911639</v>
      </c>
      <c r="R278" s="288">
        <v>22990.124585113012</v>
      </c>
      <c r="S278" s="288">
        <v>10105.3085107604</v>
      </c>
      <c r="T278" s="290">
        <v>0.751</v>
      </c>
      <c r="U278" s="288">
        <v>0.75800000000000001</v>
      </c>
      <c r="V278" s="288">
        <v>0.723923076923077</v>
      </c>
      <c r="W278" s="288">
        <v>0.72750000000000004</v>
      </c>
      <c r="X278" s="288">
        <v>0.76</v>
      </c>
      <c r="Y278" s="288">
        <v>0</v>
      </c>
      <c r="Z278" s="289">
        <v>0</v>
      </c>
      <c r="AA278" s="229"/>
      <c r="AB278" s="52">
        <v>89203.717778569931</v>
      </c>
      <c r="AC278" s="288">
        <v>3.0066234844250488</v>
      </c>
      <c r="AD278" s="288">
        <v>83281.210936299613</v>
      </c>
      <c r="AE278" s="288">
        <v>3.0577579272133852</v>
      </c>
      <c r="AF278" s="288">
        <v>5922.5068422703189</v>
      </c>
      <c r="AG278" s="289">
        <v>-5.1134442788336454E-2</v>
      </c>
      <c r="AH278" s="229"/>
      <c r="AI278" s="205">
        <f t="shared" si="34"/>
        <v>211458.63066393495</v>
      </c>
      <c r="AJ278" s="205">
        <f t="shared" si="35"/>
        <v>222494.5817850389</v>
      </c>
      <c r="AK278" s="205">
        <f t="shared" si="36"/>
        <v>-11035.951121103964</v>
      </c>
      <c r="AL278" s="229"/>
      <c r="AM278" s="52">
        <f t="shared" si="30"/>
        <v>0</v>
      </c>
      <c r="AN278" s="52">
        <f t="shared" si="31"/>
        <v>1</v>
      </c>
      <c r="AO278" s="52">
        <f t="shared" si="32"/>
        <v>0</v>
      </c>
      <c r="AP278" s="229"/>
      <c r="AQ278" s="3"/>
      <c r="AR278" s="3"/>
      <c r="AS278" s="3"/>
      <c r="AT278" s="3"/>
      <c r="AU278" s="229"/>
      <c r="AV278" s="318">
        <f t="shared" si="37"/>
        <v>222494.5817850389</v>
      </c>
      <c r="AW278" s="229"/>
      <c r="AX278" s="312"/>
      <c r="AY278" s="14"/>
      <c r="AZ278" s="14">
        <f t="shared" si="39"/>
        <v>5922.5068422703189</v>
      </c>
      <c r="BA278" s="14">
        <f t="shared" si="38"/>
        <v>-5.1134442788336454E-2</v>
      </c>
      <c r="BB278" s="14">
        <f t="shared" si="33"/>
        <v>-115822.26224280315</v>
      </c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BZ278" s="14"/>
      <c r="CA278" s="14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</row>
    <row r="279" spans="1:101" ht="14.25" customHeight="1" x14ac:dyDescent="0.2">
      <c r="A279" s="286"/>
      <c r="B279" s="52">
        <v>0.173774707112333</v>
      </c>
      <c r="C279" s="288">
        <v>0.67944542742766867</v>
      </c>
      <c r="D279" s="288">
        <v>1.180083387551775E-2</v>
      </c>
      <c r="E279" s="288">
        <v>7.5825141576969972E-3</v>
      </c>
      <c r="F279" s="289">
        <v>0.75283569099400149</v>
      </c>
      <c r="G279" s="92">
        <v>0.33663127622837274</v>
      </c>
      <c r="H279" s="288">
        <v>0.9311628260449597</v>
      </c>
      <c r="I279" s="288">
        <v>1.3483995964509034E-2</v>
      </c>
      <c r="J279" s="288">
        <v>0.99999996026414706</v>
      </c>
      <c r="K279" s="288">
        <v>0.7725545449394291</v>
      </c>
      <c r="L279" s="290">
        <v>13412.145093484096</v>
      </c>
      <c r="M279" s="288">
        <v>0</v>
      </c>
      <c r="N279" s="288">
        <v>24374.961147311569</v>
      </c>
      <c r="O279" s="288">
        <v>1118.7841959345856</v>
      </c>
      <c r="P279" s="288">
        <v>47231.372454729775</v>
      </c>
      <c r="Q279" s="291">
        <v>94223.555735179019</v>
      </c>
      <c r="R279" s="288">
        <v>29338.260410569237</v>
      </c>
      <c r="S279" s="288">
        <v>9939.8183428991142</v>
      </c>
      <c r="T279" s="290">
        <v>0.751</v>
      </c>
      <c r="U279" s="288">
        <v>0.75800000000000001</v>
      </c>
      <c r="V279" s="288">
        <v>0.723923076923077</v>
      </c>
      <c r="W279" s="288">
        <v>0.72750000000000004</v>
      </c>
      <c r="X279" s="288">
        <v>0.76</v>
      </c>
      <c r="Y279" s="288">
        <v>0</v>
      </c>
      <c r="Z279" s="289">
        <v>0</v>
      </c>
      <c r="AA279" s="229"/>
      <c r="AB279" s="52">
        <v>91364.177854243171</v>
      </c>
      <c r="AC279" s="288">
        <v>3.0168791538314439</v>
      </c>
      <c r="AD279" s="288">
        <v>86864.157587237249</v>
      </c>
      <c r="AE279" s="288">
        <v>3.1124495733505428</v>
      </c>
      <c r="AF279" s="288">
        <v>4500.0202670059225</v>
      </c>
      <c r="AG279" s="289">
        <v>-9.5570419519098948E-2</v>
      </c>
      <c r="AH279" s="229"/>
      <c r="AI279" s="205">
        <f t="shared" si="34"/>
        <v>210323.73752890123</v>
      </c>
      <c r="AJ279" s="205">
        <f t="shared" si="35"/>
        <v>224380.79974781704</v>
      </c>
      <c r="AK279" s="205">
        <f t="shared" si="36"/>
        <v>-14057.062218915817</v>
      </c>
      <c r="AL279" s="229"/>
      <c r="AM279" s="52">
        <f t="shared" si="30"/>
        <v>0</v>
      </c>
      <c r="AN279" s="52">
        <f t="shared" si="31"/>
        <v>1</v>
      </c>
      <c r="AO279" s="52">
        <f t="shared" si="32"/>
        <v>0</v>
      </c>
      <c r="AP279" s="229"/>
      <c r="AQ279" s="3"/>
      <c r="AR279" s="3"/>
      <c r="AS279" s="3"/>
      <c r="AT279" s="3"/>
      <c r="AU279" s="229"/>
      <c r="AV279" s="318">
        <f t="shared" si="37"/>
        <v>224380.79974781704</v>
      </c>
      <c r="AW279" s="229"/>
      <c r="AX279" s="312"/>
      <c r="AY279" s="14"/>
      <c r="AZ279" s="14">
        <f t="shared" si="39"/>
        <v>4500.0202670059225</v>
      </c>
      <c r="BA279" s="14">
        <f t="shared" si="38"/>
        <v>-9.5570419519098948E-2</v>
      </c>
      <c r="BB279" s="14">
        <f t="shared" si="33"/>
        <v>-47085.910992643818</v>
      </c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BZ279" s="14"/>
      <c r="CA279" s="14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</row>
    <row r="280" spans="1:101" ht="14.25" customHeight="1" x14ac:dyDescent="0.2">
      <c r="A280" s="286"/>
      <c r="B280" s="52">
        <v>0.16570263252641404</v>
      </c>
      <c r="C280" s="288">
        <v>0.56769201364110178</v>
      </c>
      <c r="D280" s="288">
        <v>1.8825089998548705E-2</v>
      </c>
      <c r="E280" s="288">
        <v>2.0928254782288436E-2</v>
      </c>
      <c r="F280" s="289">
        <v>0.76932190148219304</v>
      </c>
      <c r="G280" s="92">
        <v>0.38565040443327819</v>
      </c>
      <c r="H280" s="288">
        <v>0.33244061620013798</v>
      </c>
      <c r="I280" s="288">
        <v>3.2147994300856908E-2</v>
      </c>
      <c r="J280" s="288">
        <v>0.99999999999999933</v>
      </c>
      <c r="K280" s="288">
        <v>0.73773542178256712</v>
      </c>
      <c r="L280" s="290">
        <v>10784.005154907214</v>
      </c>
      <c r="M280" s="288">
        <v>0</v>
      </c>
      <c r="N280" s="288">
        <v>21565.479656830004</v>
      </c>
      <c r="O280" s="288">
        <v>1308.0019761710892</v>
      </c>
      <c r="P280" s="288">
        <v>38160.664699000736</v>
      </c>
      <c r="Q280" s="291">
        <v>98163.858251336074</v>
      </c>
      <c r="R280" s="288">
        <v>28216.147579349319</v>
      </c>
      <c r="S280" s="288">
        <v>10623.007488542244</v>
      </c>
      <c r="T280" s="290">
        <v>0.751</v>
      </c>
      <c r="U280" s="288">
        <v>0.75800000000000001</v>
      </c>
      <c r="V280" s="288">
        <v>0.723923076923077</v>
      </c>
      <c r="W280" s="288">
        <v>0.72750000000000004</v>
      </c>
      <c r="X280" s="288">
        <v>0.76</v>
      </c>
      <c r="Y280" s="288">
        <v>0</v>
      </c>
      <c r="Z280" s="289">
        <v>0</v>
      </c>
      <c r="AA280" s="229"/>
      <c r="AB280" s="52">
        <v>94891.642707939798</v>
      </c>
      <c r="AC280" s="288">
        <v>3.0928920379652167</v>
      </c>
      <c r="AD280" s="288">
        <v>84308.391186718683</v>
      </c>
      <c r="AE280" s="288">
        <v>2.9519263055162179</v>
      </c>
      <c r="AF280" s="288">
        <v>10583.251521221115</v>
      </c>
      <c r="AG280" s="289">
        <v>0.14096573244899879</v>
      </c>
      <c r="AH280" s="229"/>
      <c r="AI280" s="205">
        <f t="shared" si="34"/>
        <v>214397.56108858186</v>
      </c>
      <c r="AJ280" s="205">
        <f t="shared" si="35"/>
        <v>210884.2393649031</v>
      </c>
      <c r="AK280" s="205">
        <f t="shared" si="36"/>
        <v>3513.3217236787641</v>
      </c>
      <c r="AL280" s="229"/>
      <c r="AM280" s="52">
        <f t="shared" si="30"/>
        <v>1</v>
      </c>
      <c r="AN280" s="52">
        <f t="shared" si="31"/>
        <v>0</v>
      </c>
      <c r="AO280" s="52">
        <f t="shared" si="32"/>
        <v>1</v>
      </c>
      <c r="AP280" s="229"/>
      <c r="AQ280" s="3"/>
      <c r="AR280" s="3"/>
      <c r="AS280" s="3"/>
      <c r="AT280" s="3"/>
      <c r="AU280" s="229"/>
      <c r="AV280" s="318">
        <f t="shared" si="37"/>
        <v>214397.56108858186</v>
      </c>
      <c r="AW280" s="229"/>
      <c r="AX280" s="312"/>
      <c r="AY280" s="14"/>
      <c r="AZ280" s="14">
        <f t="shared" si="39"/>
        <v>10583.251521221115</v>
      </c>
      <c r="BA280" s="14">
        <f t="shared" si="38"/>
        <v>0.14096573244899879</v>
      </c>
      <c r="BB280" s="14">
        <f t="shared" si="33"/>
        <v>75076.767504826901</v>
      </c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BZ280" s="14"/>
      <c r="CA280" s="14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</row>
    <row r="281" spans="1:101" ht="14.25" customHeight="1" x14ac:dyDescent="0.2">
      <c r="A281" s="286"/>
      <c r="B281" s="52">
        <v>0.14812417502611488</v>
      </c>
      <c r="C281" s="288">
        <v>4.4708135882371283E-2</v>
      </c>
      <c r="D281" s="288">
        <v>2.8374863044852261E-2</v>
      </c>
      <c r="E281" s="288">
        <v>1.3023931937071768E-2</v>
      </c>
      <c r="F281" s="289">
        <v>0.81452481552479605</v>
      </c>
      <c r="G281" s="92">
        <v>0.37614462393170794</v>
      </c>
      <c r="H281" s="288">
        <v>0.38772342910272711</v>
      </c>
      <c r="I281" s="288">
        <v>2.9289419614639711E-2</v>
      </c>
      <c r="J281" s="288">
        <v>0.94349198324331185</v>
      </c>
      <c r="K281" s="288">
        <v>0.76260256008127536</v>
      </c>
      <c r="L281" s="290">
        <v>17085.652747016469</v>
      </c>
      <c r="M281" s="288">
        <v>0</v>
      </c>
      <c r="N281" s="288">
        <v>17632.927886000427</v>
      </c>
      <c r="O281" s="288">
        <v>1799.1261748493998</v>
      </c>
      <c r="P281" s="288">
        <v>51697.942371304001</v>
      </c>
      <c r="Q281" s="291">
        <v>123020.91766077165</v>
      </c>
      <c r="R281" s="288">
        <v>22856.951064428078</v>
      </c>
      <c r="S281" s="288">
        <v>10395.530282913511</v>
      </c>
      <c r="T281" s="290">
        <v>0.751</v>
      </c>
      <c r="U281" s="288">
        <v>0.75800000000000001</v>
      </c>
      <c r="V281" s="288">
        <v>0.723923076923077</v>
      </c>
      <c r="W281" s="288">
        <v>0.72750000000000004</v>
      </c>
      <c r="X281" s="288">
        <v>0.76</v>
      </c>
      <c r="Y281" s="288">
        <v>0</v>
      </c>
      <c r="Z281" s="289">
        <v>0</v>
      </c>
      <c r="AA281" s="229"/>
      <c r="AB281" s="52">
        <v>101871.15204171723</v>
      </c>
      <c r="AC281" s="288">
        <v>3.3034957796303202</v>
      </c>
      <c r="AD281" s="288">
        <v>85050.799575736863</v>
      </c>
      <c r="AE281" s="288">
        <v>3.0663738478413851</v>
      </c>
      <c r="AF281" s="288">
        <v>16820.352465980366</v>
      </c>
      <c r="AG281" s="289">
        <v>0.23712193178893504</v>
      </c>
      <c r="AH281" s="229"/>
      <c r="AI281" s="205">
        <f t="shared" si="34"/>
        <v>228478.42592131477</v>
      </c>
      <c r="AJ281" s="205">
        <f t="shared" si="35"/>
        <v>221586.58520840167</v>
      </c>
      <c r="AK281" s="205">
        <f t="shared" si="36"/>
        <v>6891.8407129131374</v>
      </c>
      <c r="AL281" s="229"/>
      <c r="AM281" s="52">
        <f t="shared" si="30"/>
        <v>1</v>
      </c>
      <c r="AN281" s="52">
        <f t="shared" si="31"/>
        <v>0</v>
      </c>
      <c r="AO281" s="52">
        <f t="shared" si="32"/>
        <v>1</v>
      </c>
      <c r="AP281" s="229"/>
      <c r="AQ281" s="3"/>
      <c r="AR281" s="3"/>
      <c r="AS281" s="3"/>
      <c r="AT281" s="3"/>
      <c r="AU281" s="229"/>
      <c r="AV281" s="318">
        <f t="shared" si="37"/>
        <v>228478.42592131477</v>
      </c>
      <c r="AW281" s="229"/>
      <c r="AX281" s="312"/>
      <c r="AY281" s="14"/>
      <c r="AZ281" s="14">
        <f t="shared" si="39"/>
        <v>16820.352465980366</v>
      </c>
      <c r="BA281" s="14">
        <f t="shared" si="38"/>
        <v>0.23712193178893504</v>
      </c>
      <c r="BB281" s="14">
        <f t="shared" si="33"/>
        <v>70935.456450955186</v>
      </c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BZ281" s="14"/>
      <c r="CA281" s="14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</row>
    <row r="282" spans="1:101" ht="14.25" customHeight="1" x14ac:dyDescent="0.2">
      <c r="A282" s="286"/>
      <c r="B282" s="52">
        <v>0.19369576392176857</v>
      </c>
      <c r="C282" s="288">
        <v>0.82911212724729511</v>
      </c>
      <c r="D282" s="288">
        <v>1.5067420679840127E-2</v>
      </c>
      <c r="E282" s="288">
        <v>1.1741357375748083E-2</v>
      </c>
      <c r="F282" s="289">
        <v>0.79935292168645733</v>
      </c>
      <c r="G282" s="92">
        <v>0.43296453795945966</v>
      </c>
      <c r="H282" s="288">
        <v>0.3200350646740503</v>
      </c>
      <c r="I282" s="288">
        <v>1.4007680195264426E-2</v>
      </c>
      <c r="J282" s="288">
        <v>0.99999999985263899</v>
      </c>
      <c r="K282" s="288">
        <v>0.72220921177494934</v>
      </c>
      <c r="L282" s="290">
        <v>9208.9749326112033</v>
      </c>
      <c r="M282" s="288">
        <v>0</v>
      </c>
      <c r="N282" s="288">
        <v>14832.705201954286</v>
      </c>
      <c r="O282" s="288">
        <v>1136.9063142793248</v>
      </c>
      <c r="P282" s="288">
        <v>40130.494609422421</v>
      </c>
      <c r="Q282" s="291">
        <v>74319.137295359586</v>
      </c>
      <c r="R282" s="288">
        <v>26173.134228474421</v>
      </c>
      <c r="S282" s="288">
        <v>6890.3461897375473</v>
      </c>
      <c r="T282" s="290">
        <v>0.751</v>
      </c>
      <c r="U282" s="288">
        <v>0.75800000000000001</v>
      </c>
      <c r="V282" s="288">
        <v>0.723923076923077</v>
      </c>
      <c r="W282" s="288">
        <v>0.72750000000000004</v>
      </c>
      <c r="X282" s="288">
        <v>0.76</v>
      </c>
      <c r="Y282" s="288">
        <v>0</v>
      </c>
      <c r="Z282" s="289">
        <v>0</v>
      </c>
      <c r="AA282" s="229"/>
      <c r="AB282" s="52">
        <v>68391.250966603024</v>
      </c>
      <c r="AC282" s="288">
        <v>3.2324514709346426</v>
      </c>
      <c r="AD282" s="288">
        <v>54604.887610072103</v>
      </c>
      <c r="AE282" s="288">
        <v>2.8809633623367068</v>
      </c>
      <c r="AF282" s="288">
        <v>13786.363356530921</v>
      </c>
      <c r="AG282" s="289">
        <v>0.35148810859793578</v>
      </c>
      <c r="AH282" s="229"/>
      <c r="AI282" s="205">
        <f t="shared" si="34"/>
        <v>254853.89612686125</v>
      </c>
      <c r="AJ282" s="205">
        <f t="shared" si="35"/>
        <v>233491.44862359861</v>
      </c>
      <c r="AK282" s="205">
        <f t="shared" si="36"/>
        <v>21362.447503262658</v>
      </c>
      <c r="AL282" s="229"/>
      <c r="AM282" s="52">
        <f t="shared" si="30"/>
        <v>1</v>
      </c>
      <c r="AN282" s="52">
        <f t="shared" si="31"/>
        <v>0</v>
      </c>
      <c r="AO282" s="52">
        <f t="shared" si="32"/>
        <v>1</v>
      </c>
      <c r="AP282" s="229"/>
      <c r="AQ282" s="3"/>
      <c r="AR282" s="3"/>
      <c r="AS282" s="3"/>
      <c r="AT282" s="3"/>
      <c r="AU282" s="229"/>
      <c r="AV282" s="318">
        <f t="shared" si="37"/>
        <v>254853.89612686125</v>
      </c>
      <c r="AW282" s="229"/>
      <c r="AX282" s="312"/>
      <c r="AY282" s="14"/>
      <c r="AZ282" s="14">
        <f t="shared" si="39"/>
        <v>13786.363356530921</v>
      </c>
      <c r="BA282" s="14">
        <f t="shared" si="38"/>
        <v>0.35148810859793578</v>
      </c>
      <c r="BB282" s="14">
        <f t="shared" si="33"/>
        <v>39222.84429912542</v>
      </c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BZ282" s="14"/>
      <c r="CA282" s="14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</row>
    <row r="283" spans="1:101" ht="14.25" customHeight="1" x14ac:dyDescent="0.2">
      <c r="A283" s="286"/>
      <c r="B283" s="52">
        <v>0.16489483948201777</v>
      </c>
      <c r="C283" s="288">
        <v>0.13584083060659011</v>
      </c>
      <c r="D283" s="288">
        <v>1.4701929733252128E-2</v>
      </c>
      <c r="E283" s="288">
        <v>5.2997447174963188E-3</v>
      </c>
      <c r="F283" s="289">
        <v>0.81756409524717766</v>
      </c>
      <c r="G283" s="92">
        <v>0.43253236029680986</v>
      </c>
      <c r="H283" s="288">
        <v>0.50859669600075152</v>
      </c>
      <c r="I283" s="288">
        <v>2.5870471939250739E-2</v>
      </c>
      <c r="J283" s="288">
        <v>0.9999966688806563</v>
      </c>
      <c r="K283" s="288">
        <v>0.76147617422872294</v>
      </c>
      <c r="L283" s="290">
        <v>10338.000833054797</v>
      </c>
      <c r="M283" s="288">
        <v>0</v>
      </c>
      <c r="N283" s="288">
        <v>21889.669172412174</v>
      </c>
      <c r="O283" s="288">
        <v>1341.5918131714996</v>
      </c>
      <c r="P283" s="288">
        <v>46644.80319417439</v>
      </c>
      <c r="Q283" s="291">
        <v>103145.76452845937</v>
      </c>
      <c r="R283" s="288">
        <v>19095.072001554498</v>
      </c>
      <c r="S283" s="288">
        <v>10007.281547636454</v>
      </c>
      <c r="T283" s="290">
        <v>0.751</v>
      </c>
      <c r="U283" s="288">
        <v>0.75800000000000001</v>
      </c>
      <c r="V283" s="288">
        <v>0.723923076923077</v>
      </c>
      <c r="W283" s="288">
        <v>0.72750000000000004</v>
      </c>
      <c r="X283" s="288">
        <v>0.76</v>
      </c>
      <c r="Y283" s="288">
        <v>0</v>
      </c>
      <c r="Z283" s="289">
        <v>0</v>
      </c>
      <c r="AA283" s="229"/>
      <c r="AB283" s="52">
        <v>92254.35741807858</v>
      </c>
      <c r="AC283" s="288">
        <v>3.3177709980447845</v>
      </c>
      <c r="AD283" s="288">
        <v>82608.55002564509</v>
      </c>
      <c r="AE283" s="288">
        <v>3.0611687383106534</v>
      </c>
      <c r="AF283" s="288">
        <v>9645.8073924334894</v>
      </c>
      <c r="AG283" s="289">
        <v>0.25660225973413109</v>
      </c>
      <c r="AH283" s="229"/>
      <c r="AI283" s="205">
        <f t="shared" si="34"/>
        <v>239522.74238639988</v>
      </c>
      <c r="AJ283" s="205">
        <f t="shared" si="35"/>
        <v>223508.32380542022</v>
      </c>
      <c r="AK283" s="205">
        <f t="shared" si="36"/>
        <v>16014.418580979618</v>
      </c>
      <c r="AL283" s="229"/>
      <c r="AM283" s="52">
        <f t="shared" si="30"/>
        <v>1</v>
      </c>
      <c r="AN283" s="52">
        <f t="shared" si="31"/>
        <v>0</v>
      </c>
      <c r="AO283" s="52">
        <f t="shared" si="32"/>
        <v>1</v>
      </c>
      <c r="AP283" s="229"/>
      <c r="AQ283" s="3"/>
      <c r="AR283" s="3"/>
      <c r="AS283" s="3"/>
      <c r="AT283" s="3"/>
      <c r="AU283" s="229"/>
      <c r="AV283" s="318">
        <f t="shared" si="37"/>
        <v>239522.74238639988</v>
      </c>
      <c r="AW283" s="229"/>
      <c r="AX283" s="312"/>
      <c r="AY283" s="14"/>
      <c r="AZ283" s="14">
        <f t="shared" si="39"/>
        <v>9645.8073924334894</v>
      </c>
      <c r="BA283" s="14">
        <f t="shared" si="38"/>
        <v>0.25660225973413109</v>
      </c>
      <c r="BB283" s="14">
        <f t="shared" si="33"/>
        <v>37590.500576369181</v>
      </c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BZ283" s="14"/>
      <c r="CA283" s="14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</row>
    <row r="284" spans="1:101" ht="14.25" customHeight="1" x14ac:dyDescent="0.2">
      <c r="A284" s="286"/>
      <c r="B284" s="52">
        <v>0.19510667895272127</v>
      </c>
      <c r="C284" s="288">
        <v>0.44038424771192097</v>
      </c>
      <c r="D284" s="288">
        <v>3.0714773603547235E-3</v>
      </c>
      <c r="E284" s="288">
        <v>1.5452956483781088E-2</v>
      </c>
      <c r="F284" s="289">
        <v>0.73903000696486543</v>
      </c>
      <c r="G284" s="92">
        <v>0.3654526579144079</v>
      </c>
      <c r="H284" s="288">
        <v>0.74144715881648082</v>
      </c>
      <c r="I284" s="288">
        <v>1.2066772541588448E-2</v>
      </c>
      <c r="J284" s="288">
        <v>4.4279608189920762E-5</v>
      </c>
      <c r="K284" s="288">
        <v>0.76068024507134857</v>
      </c>
      <c r="L284" s="290">
        <v>13576.124815045581</v>
      </c>
      <c r="M284" s="288">
        <v>0</v>
      </c>
      <c r="N284" s="288">
        <v>16844.187325692019</v>
      </c>
      <c r="O284" s="288">
        <v>1241.0377458457954</v>
      </c>
      <c r="P284" s="288">
        <v>56754.041735193197</v>
      </c>
      <c r="Q284" s="291">
        <v>107754.87365627568</v>
      </c>
      <c r="R284" s="288">
        <v>28925.707913036098</v>
      </c>
      <c r="S284" s="288">
        <v>8072.5183146952704</v>
      </c>
      <c r="T284" s="290">
        <v>0.751</v>
      </c>
      <c r="U284" s="288">
        <v>0.75800000000000001</v>
      </c>
      <c r="V284" s="288">
        <v>0.723923076923077</v>
      </c>
      <c r="W284" s="288">
        <v>0.72750000000000004</v>
      </c>
      <c r="X284" s="288">
        <v>0.76</v>
      </c>
      <c r="Y284" s="288">
        <v>0</v>
      </c>
      <c r="Z284" s="289">
        <v>0</v>
      </c>
      <c r="AA284" s="229"/>
      <c r="AB284" s="52">
        <v>75444.252241400362</v>
      </c>
      <c r="AC284" s="288">
        <v>2.9535533325721719</v>
      </c>
      <c r="AD284" s="288">
        <v>69959.473478046508</v>
      </c>
      <c r="AE284" s="288">
        <v>3.0574918986392308</v>
      </c>
      <c r="AF284" s="288">
        <v>5484.7787633538537</v>
      </c>
      <c r="AG284" s="289">
        <v>-0.10393856606705887</v>
      </c>
      <c r="AH284" s="229"/>
      <c r="AI284" s="205">
        <f t="shared" si="34"/>
        <v>219911.08101581683</v>
      </c>
      <c r="AJ284" s="205">
        <f t="shared" si="35"/>
        <v>235789.71638587656</v>
      </c>
      <c r="AK284" s="205">
        <f t="shared" si="36"/>
        <v>-15878.635370059741</v>
      </c>
      <c r="AL284" s="229"/>
      <c r="AM284" s="52">
        <f t="shared" si="30"/>
        <v>0</v>
      </c>
      <c r="AN284" s="52">
        <f t="shared" si="31"/>
        <v>1</v>
      </c>
      <c r="AO284" s="52">
        <f t="shared" si="32"/>
        <v>0</v>
      </c>
      <c r="AP284" s="229"/>
      <c r="AQ284" s="3"/>
      <c r="AR284" s="3"/>
      <c r="AS284" s="3"/>
      <c r="AT284" s="3"/>
      <c r="AU284" s="229"/>
      <c r="AV284" s="318">
        <f t="shared" si="37"/>
        <v>235789.71638587656</v>
      </c>
      <c r="AW284" s="229"/>
      <c r="AX284" s="312"/>
      <c r="AY284" s="14"/>
      <c r="AZ284" s="14">
        <f t="shared" si="39"/>
        <v>5484.7787633538537</v>
      </c>
      <c r="BA284" s="14">
        <f t="shared" si="38"/>
        <v>-0.10393856606705887</v>
      </c>
      <c r="BB284" s="14">
        <f t="shared" si="33"/>
        <v>-52769.428816395208</v>
      </c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BZ284" s="14"/>
      <c r="CA284" s="14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</row>
    <row r="285" spans="1:101" ht="14.25" customHeight="1" x14ac:dyDescent="0.2">
      <c r="A285" s="286"/>
      <c r="B285" s="52">
        <v>0.15348481684110529</v>
      </c>
      <c r="C285" s="288">
        <v>0.95447068648157773</v>
      </c>
      <c r="D285" s="288">
        <v>9.7144481412565868E-3</v>
      </c>
      <c r="E285" s="288">
        <v>2.1647491864647317E-2</v>
      </c>
      <c r="F285" s="289">
        <v>0.83197804498360128</v>
      </c>
      <c r="G285" s="92">
        <v>0.42575253997834428</v>
      </c>
      <c r="H285" s="288">
        <v>0.41727299259765649</v>
      </c>
      <c r="I285" s="288">
        <v>4.1971996299661196E-2</v>
      </c>
      <c r="J285" s="288">
        <v>0.99999999999602895</v>
      </c>
      <c r="K285" s="288">
        <v>0.75378947163871435</v>
      </c>
      <c r="L285" s="290">
        <v>13208.67472950624</v>
      </c>
      <c r="M285" s="288">
        <v>0</v>
      </c>
      <c r="N285" s="288">
        <v>20971.884685734552</v>
      </c>
      <c r="O285" s="288">
        <v>1283.6407973288401</v>
      </c>
      <c r="P285" s="288">
        <v>26948.511568287431</v>
      </c>
      <c r="Q285" s="291">
        <v>105194.8303150331</v>
      </c>
      <c r="R285" s="288">
        <v>27255.190034874187</v>
      </c>
      <c r="S285" s="288">
        <v>8379.8781405417285</v>
      </c>
      <c r="T285" s="290">
        <v>0.751</v>
      </c>
      <c r="U285" s="288">
        <v>0.75800000000000001</v>
      </c>
      <c r="V285" s="288">
        <v>0.723923076923077</v>
      </c>
      <c r="W285" s="288">
        <v>0.72750000000000004</v>
      </c>
      <c r="X285" s="288">
        <v>0.76</v>
      </c>
      <c r="Y285" s="288">
        <v>0</v>
      </c>
      <c r="Z285" s="289">
        <v>0</v>
      </c>
      <c r="AA285" s="229"/>
      <c r="AB285" s="52">
        <v>86594.379753839385</v>
      </c>
      <c r="AC285" s="288">
        <v>3.3856692931831449</v>
      </c>
      <c r="AD285" s="288">
        <v>71373.190293559644</v>
      </c>
      <c r="AE285" s="288">
        <v>3.0257013266678077</v>
      </c>
      <c r="AF285" s="288">
        <v>15221.18946027974</v>
      </c>
      <c r="AG285" s="289">
        <v>0.35996796651533725</v>
      </c>
      <c r="AH285" s="229"/>
      <c r="AI285" s="205">
        <f t="shared" si="34"/>
        <v>251972.54956447508</v>
      </c>
      <c r="AJ285" s="205">
        <f t="shared" si="35"/>
        <v>231196.94237322116</v>
      </c>
      <c r="AK285" s="205">
        <f t="shared" si="36"/>
        <v>20775.607191253985</v>
      </c>
      <c r="AL285" s="229"/>
      <c r="AM285" s="52">
        <f t="shared" si="30"/>
        <v>1</v>
      </c>
      <c r="AN285" s="52">
        <f t="shared" si="31"/>
        <v>0</v>
      </c>
      <c r="AO285" s="52">
        <f t="shared" si="32"/>
        <v>1</v>
      </c>
      <c r="AP285" s="229"/>
      <c r="AQ285" s="3"/>
      <c r="AR285" s="3"/>
      <c r="AS285" s="3"/>
      <c r="AT285" s="3"/>
      <c r="AU285" s="229"/>
      <c r="AV285" s="318">
        <f t="shared" si="37"/>
        <v>251972.54956447508</v>
      </c>
      <c r="AW285" s="229"/>
      <c r="AX285" s="312"/>
      <c r="AY285" s="14"/>
      <c r="AZ285" s="14">
        <f t="shared" si="39"/>
        <v>15221.18946027974</v>
      </c>
      <c r="BA285" s="14">
        <f t="shared" si="38"/>
        <v>0.35996796651533725</v>
      </c>
      <c r="BB285" s="14">
        <f t="shared" si="33"/>
        <v>42284.84441998593</v>
      </c>
      <c r="BC285" s="14"/>
      <c r="BD285" s="14"/>
      <c r="BE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  <c r="BV285" s="14"/>
      <c r="BW285" s="14"/>
      <c r="BX285" s="14"/>
      <c r="BY285" s="14"/>
      <c r="BZ285" s="14"/>
      <c r="CA285" s="14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</row>
    <row r="286" spans="1:101" ht="14.25" customHeight="1" x14ac:dyDescent="0.2">
      <c r="A286" s="286"/>
      <c r="B286" s="52">
        <v>0.14228576272164167</v>
      </c>
      <c r="C286" s="288">
        <v>0.3085287001171837</v>
      </c>
      <c r="D286" s="288">
        <v>1.4928343714367354E-2</v>
      </c>
      <c r="E286" s="288">
        <v>1.2432767943318794E-2</v>
      </c>
      <c r="F286" s="289">
        <v>0.82588911463987924</v>
      </c>
      <c r="G286" s="92">
        <v>0.36271884031865176</v>
      </c>
      <c r="H286" s="288">
        <v>0.96336102286644176</v>
      </c>
      <c r="I286" s="288">
        <v>1.6380903524786272E-2</v>
      </c>
      <c r="J286" s="288">
        <v>0.99999999999999001</v>
      </c>
      <c r="K286" s="288">
        <v>0.74480917580867079</v>
      </c>
      <c r="L286" s="290">
        <v>14481.520693462329</v>
      </c>
      <c r="M286" s="288">
        <v>0</v>
      </c>
      <c r="N286" s="288">
        <v>15511.446166008393</v>
      </c>
      <c r="O286" s="288">
        <v>1505.9673752583089</v>
      </c>
      <c r="P286" s="288">
        <v>33401.704335613722</v>
      </c>
      <c r="Q286" s="291">
        <v>97572.494703379416</v>
      </c>
      <c r="R286" s="288">
        <v>22882.47061906839</v>
      </c>
      <c r="S286" s="288">
        <v>10032.82208570574</v>
      </c>
      <c r="T286" s="290">
        <v>0.751</v>
      </c>
      <c r="U286" s="288">
        <v>0.75800000000000001</v>
      </c>
      <c r="V286" s="288">
        <v>0.723923076923077</v>
      </c>
      <c r="W286" s="288">
        <v>0.72750000000000004</v>
      </c>
      <c r="X286" s="288">
        <v>0.76</v>
      </c>
      <c r="Y286" s="288">
        <v>0</v>
      </c>
      <c r="Z286" s="289">
        <v>0</v>
      </c>
      <c r="AA286" s="229"/>
      <c r="AB286" s="52">
        <v>97959.19081719208</v>
      </c>
      <c r="AC286" s="288">
        <v>3.3569470477735126</v>
      </c>
      <c r="AD286" s="288">
        <v>83836.129725701379</v>
      </c>
      <c r="AE286" s="288">
        <v>2.9843830755411624</v>
      </c>
      <c r="AF286" s="288">
        <v>14123.061091490701</v>
      </c>
      <c r="AG286" s="289">
        <v>0.37256397223235016</v>
      </c>
      <c r="AH286" s="229"/>
      <c r="AI286" s="205">
        <f t="shared" si="34"/>
        <v>237735.51396015921</v>
      </c>
      <c r="AJ286" s="205">
        <f t="shared" si="35"/>
        <v>214602.17782841486</v>
      </c>
      <c r="AK286" s="205">
        <f t="shared" si="36"/>
        <v>23133.336131744312</v>
      </c>
      <c r="AL286" s="229"/>
      <c r="AM286" s="52">
        <f t="shared" si="30"/>
        <v>1</v>
      </c>
      <c r="AN286" s="52">
        <f t="shared" si="31"/>
        <v>0</v>
      </c>
      <c r="AO286" s="52">
        <f t="shared" si="32"/>
        <v>1</v>
      </c>
      <c r="AP286" s="229"/>
      <c r="AQ286" s="3"/>
      <c r="AR286" s="3"/>
      <c r="AS286" s="3"/>
      <c r="AT286" s="3"/>
      <c r="AU286" s="229"/>
      <c r="AV286" s="318">
        <f t="shared" si="37"/>
        <v>237735.51396015921</v>
      </c>
      <c r="AW286" s="229"/>
      <c r="AX286" s="312"/>
      <c r="AY286" s="14"/>
      <c r="AZ286" s="14">
        <f t="shared" si="39"/>
        <v>14123.061091490701</v>
      </c>
      <c r="BA286" s="14">
        <f t="shared" si="38"/>
        <v>0.37256397223235016</v>
      </c>
      <c r="BB286" s="14">
        <f t="shared" si="33"/>
        <v>37907.747780514939</v>
      </c>
      <c r="BC286" s="14"/>
      <c r="BD286" s="14"/>
      <c r="BE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  <c r="BV286" s="14"/>
      <c r="BW286" s="14"/>
      <c r="BX286" s="14"/>
      <c r="BY286" s="14"/>
      <c r="BZ286" s="14"/>
      <c r="CA286" s="14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</row>
    <row r="287" spans="1:101" ht="14.25" customHeight="1" x14ac:dyDescent="0.2">
      <c r="A287" s="286"/>
      <c r="B287" s="52">
        <v>0.1458156118681167</v>
      </c>
      <c r="C287" s="288">
        <v>0.45579484792081637</v>
      </c>
      <c r="D287" s="288">
        <v>2.2040313457530436E-2</v>
      </c>
      <c r="E287" s="288">
        <v>9.7593194381367186E-3</v>
      </c>
      <c r="F287" s="289">
        <v>0.78527196707588909</v>
      </c>
      <c r="G287" s="92">
        <v>0.47569265467379329</v>
      </c>
      <c r="H287" s="288">
        <v>0.80901818268986836</v>
      </c>
      <c r="I287" s="288">
        <v>1.8207383208542871E-2</v>
      </c>
      <c r="J287" s="288">
        <v>0.53432978801771458</v>
      </c>
      <c r="K287" s="288">
        <v>0.71839428294069096</v>
      </c>
      <c r="L287" s="290">
        <v>7492.941485081571</v>
      </c>
      <c r="M287" s="288">
        <v>0</v>
      </c>
      <c r="N287" s="288">
        <v>16792.054061300518</v>
      </c>
      <c r="O287" s="288">
        <v>1321.6410452229425</v>
      </c>
      <c r="P287" s="288">
        <v>49907.053559021464</v>
      </c>
      <c r="Q287" s="291">
        <v>107136.70600653396</v>
      </c>
      <c r="R287" s="288">
        <v>16375.162466317894</v>
      </c>
      <c r="S287" s="288">
        <v>8693.6263539122701</v>
      </c>
      <c r="T287" s="290">
        <v>0.751</v>
      </c>
      <c r="U287" s="288">
        <v>0.75800000000000001</v>
      </c>
      <c r="V287" s="288">
        <v>0.723923076923077</v>
      </c>
      <c r="W287" s="288">
        <v>0.72750000000000004</v>
      </c>
      <c r="X287" s="288">
        <v>0.76</v>
      </c>
      <c r="Y287" s="288">
        <v>0</v>
      </c>
      <c r="Z287" s="289">
        <v>0</v>
      </c>
      <c r="AA287" s="229"/>
      <c r="AB287" s="52">
        <v>76721.922354896422</v>
      </c>
      <c r="AC287" s="288">
        <v>3.1668386618024575</v>
      </c>
      <c r="AD287" s="288">
        <v>70393.880204018031</v>
      </c>
      <c r="AE287" s="288">
        <v>2.8635852835895999</v>
      </c>
      <c r="AF287" s="288">
        <v>6328.0421508783911</v>
      </c>
      <c r="AG287" s="289">
        <v>0.30325337821285769</v>
      </c>
      <c r="AH287" s="229"/>
      <c r="AI287" s="205">
        <f t="shared" si="34"/>
        <v>239961.94382534933</v>
      </c>
      <c r="AJ287" s="205">
        <f t="shared" si="35"/>
        <v>215964.64815494197</v>
      </c>
      <c r="AK287" s="205">
        <f t="shared" si="36"/>
        <v>23997.295670407377</v>
      </c>
      <c r="AL287" s="229"/>
      <c r="AM287" s="52">
        <f t="shared" si="30"/>
        <v>1</v>
      </c>
      <c r="AN287" s="52">
        <f t="shared" si="31"/>
        <v>0</v>
      </c>
      <c r="AO287" s="52">
        <f t="shared" si="32"/>
        <v>1</v>
      </c>
      <c r="AP287" s="229"/>
      <c r="AQ287" s="3"/>
      <c r="AR287" s="3"/>
      <c r="AS287" s="3"/>
      <c r="AT287" s="3"/>
      <c r="AU287" s="229"/>
      <c r="AV287" s="318">
        <f t="shared" si="37"/>
        <v>239961.94382534933</v>
      </c>
      <c r="AW287" s="229"/>
      <c r="AX287" s="312"/>
      <c r="AY287" s="14"/>
      <c r="AZ287" s="14">
        <f t="shared" si="39"/>
        <v>6328.0421508783911</v>
      </c>
      <c r="BA287" s="14">
        <f t="shared" si="38"/>
        <v>0.30325337821285769</v>
      </c>
      <c r="BB287" s="14">
        <f t="shared" si="33"/>
        <v>20867.177764584216</v>
      </c>
      <c r="BC287" s="14"/>
      <c r="BD287" s="14"/>
      <c r="BE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  <c r="BV287" s="14"/>
      <c r="BW287" s="14"/>
      <c r="BX287" s="14"/>
      <c r="BY287" s="14"/>
      <c r="BZ287" s="14"/>
      <c r="CA287" s="14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</row>
    <row r="288" spans="1:101" ht="14.25" customHeight="1" x14ac:dyDescent="0.2">
      <c r="A288" s="286"/>
      <c r="B288" s="52">
        <v>0.14795567024490799</v>
      </c>
      <c r="C288" s="288">
        <v>0.1349730858581619</v>
      </c>
      <c r="D288" s="288">
        <v>2.3217449020679348E-2</v>
      </c>
      <c r="E288" s="288">
        <v>1.3516774079006514E-2</v>
      </c>
      <c r="F288" s="289">
        <v>0.80535243811537338</v>
      </c>
      <c r="G288" s="92">
        <v>0.39278470905487767</v>
      </c>
      <c r="H288" s="288">
        <v>0.96648779764734638</v>
      </c>
      <c r="I288" s="288">
        <v>5.7980339680635228E-3</v>
      </c>
      <c r="J288" s="288">
        <v>0.95340286372399541</v>
      </c>
      <c r="K288" s="288">
        <v>0.71432999821799048</v>
      </c>
      <c r="L288" s="290">
        <v>12943.611391255576</v>
      </c>
      <c r="M288" s="288">
        <v>0</v>
      </c>
      <c r="N288" s="288">
        <v>20094.910693690294</v>
      </c>
      <c r="O288" s="288">
        <v>971.86523397992232</v>
      </c>
      <c r="P288" s="288">
        <v>41129.611616500355</v>
      </c>
      <c r="Q288" s="291">
        <v>115408.39469644564</v>
      </c>
      <c r="R288" s="288">
        <v>27815.332530490989</v>
      </c>
      <c r="S288" s="288">
        <v>9379.9037761020936</v>
      </c>
      <c r="T288" s="290">
        <v>0.751</v>
      </c>
      <c r="U288" s="288">
        <v>0.75800000000000001</v>
      </c>
      <c r="V288" s="288">
        <v>0.723923076923077</v>
      </c>
      <c r="W288" s="288">
        <v>0.72750000000000004</v>
      </c>
      <c r="X288" s="288">
        <v>0.76</v>
      </c>
      <c r="Y288" s="288">
        <v>0</v>
      </c>
      <c r="Z288" s="289">
        <v>0</v>
      </c>
      <c r="AA288" s="229"/>
      <c r="AB288" s="52">
        <v>88845.303001834982</v>
      </c>
      <c r="AC288" s="288">
        <v>3.2605018070454728</v>
      </c>
      <c r="AD288" s="288">
        <v>78096.93180585964</v>
      </c>
      <c r="AE288" s="288">
        <v>2.8450965567315452</v>
      </c>
      <c r="AF288" s="288">
        <v>10748.371195975342</v>
      </c>
      <c r="AG288" s="289">
        <v>0.41540525031392761</v>
      </c>
      <c r="AH288" s="229"/>
      <c r="AI288" s="205">
        <f t="shared" si="34"/>
        <v>237204.87770271229</v>
      </c>
      <c r="AJ288" s="205">
        <f t="shared" si="35"/>
        <v>206412.72386729487</v>
      </c>
      <c r="AK288" s="205">
        <f t="shared" si="36"/>
        <v>30792.153835417419</v>
      </c>
      <c r="AL288" s="229"/>
      <c r="AM288" s="52">
        <f t="shared" si="30"/>
        <v>1</v>
      </c>
      <c r="AN288" s="52">
        <f t="shared" si="31"/>
        <v>0</v>
      </c>
      <c r="AO288" s="52">
        <f t="shared" si="32"/>
        <v>1</v>
      </c>
      <c r="AP288" s="229"/>
      <c r="AQ288" s="3"/>
      <c r="AR288" s="3"/>
      <c r="AS288" s="3"/>
      <c r="AT288" s="3"/>
      <c r="AU288" s="229"/>
      <c r="AV288" s="318">
        <f t="shared" si="37"/>
        <v>237204.87770271229</v>
      </c>
      <c r="AW288" s="229"/>
      <c r="AX288" s="312"/>
      <c r="AY288" s="14"/>
      <c r="AZ288" s="14">
        <f t="shared" si="39"/>
        <v>10748.371195975342</v>
      </c>
      <c r="BA288" s="14">
        <f t="shared" si="38"/>
        <v>0.41540525031392761</v>
      </c>
      <c r="BB288" s="14">
        <f t="shared" si="33"/>
        <v>25874.423079276552</v>
      </c>
      <c r="BC288" s="14"/>
      <c r="BD288" s="14"/>
      <c r="BE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  <c r="BV288" s="14"/>
      <c r="BW288" s="14"/>
      <c r="BX288" s="14"/>
      <c r="BY288" s="14"/>
      <c r="BZ288" s="14"/>
      <c r="CA288" s="14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</row>
    <row r="289" spans="1:101" ht="14.25" customHeight="1" x14ac:dyDescent="0.2">
      <c r="A289" s="286"/>
      <c r="B289" s="52">
        <v>0.16679627711123335</v>
      </c>
      <c r="C289" s="288">
        <v>0.26692438909906113</v>
      </c>
      <c r="D289" s="288">
        <v>1.0877209399067318E-2</v>
      </c>
      <c r="E289" s="288">
        <v>1.8422012106587338E-2</v>
      </c>
      <c r="F289" s="289">
        <v>0.79917027027197096</v>
      </c>
      <c r="G289" s="92">
        <v>0.39797089484631987</v>
      </c>
      <c r="H289" s="288">
        <v>0.4291741373622654</v>
      </c>
      <c r="I289" s="288">
        <v>3.5614715148105233E-3</v>
      </c>
      <c r="J289" s="288">
        <v>0.94341980247738322</v>
      </c>
      <c r="K289" s="288">
        <v>0.75365010636389451</v>
      </c>
      <c r="L289" s="290">
        <v>12244.683343417628</v>
      </c>
      <c r="M289" s="288">
        <v>0</v>
      </c>
      <c r="N289" s="288">
        <v>17808.60772651988</v>
      </c>
      <c r="O289" s="288">
        <v>998.05263111851059</v>
      </c>
      <c r="P289" s="288">
        <v>67794.902796552211</v>
      </c>
      <c r="Q289" s="291">
        <v>110068.94603090218</v>
      </c>
      <c r="R289" s="288">
        <v>23006.63769162149</v>
      </c>
      <c r="S289" s="288">
        <v>7906.0237633280904</v>
      </c>
      <c r="T289" s="290">
        <v>0.751</v>
      </c>
      <c r="U289" s="288">
        <v>0.75800000000000001</v>
      </c>
      <c r="V289" s="288">
        <v>0.723923076923077</v>
      </c>
      <c r="W289" s="288">
        <v>0.72750000000000004</v>
      </c>
      <c r="X289" s="288">
        <v>0.76</v>
      </c>
      <c r="Y289" s="288">
        <v>0</v>
      </c>
      <c r="Z289" s="289">
        <v>0</v>
      </c>
      <c r="AA289" s="229"/>
      <c r="AB289" s="52">
        <v>76203.220027228395</v>
      </c>
      <c r="AC289" s="288">
        <v>3.2315983820745928</v>
      </c>
      <c r="AD289" s="288">
        <v>64006.094721431538</v>
      </c>
      <c r="AE289" s="288">
        <v>3.0250591373713132</v>
      </c>
      <c r="AF289" s="288">
        <v>12197.125305796857</v>
      </c>
      <c r="AG289" s="289">
        <v>0.20653924470327967</v>
      </c>
      <c r="AH289" s="229"/>
      <c r="AI289" s="205">
        <f t="shared" si="34"/>
        <v>246956.6181802309</v>
      </c>
      <c r="AJ289" s="205">
        <f t="shared" si="35"/>
        <v>238499.81901569979</v>
      </c>
      <c r="AK289" s="205">
        <f t="shared" si="36"/>
        <v>8456.7991645311085</v>
      </c>
      <c r="AL289" s="229"/>
      <c r="AM289" s="52">
        <f t="shared" si="30"/>
        <v>1</v>
      </c>
      <c r="AN289" s="52">
        <f t="shared" si="31"/>
        <v>0</v>
      </c>
      <c r="AO289" s="52">
        <f t="shared" si="32"/>
        <v>1</v>
      </c>
      <c r="AP289" s="229"/>
      <c r="AQ289" s="3"/>
      <c r="AR289" s="3"/>
      <c r="AS289" s="3"/>
      <c r="AT289" s="3"/>
      <c r="AU289" s="229"/>
      <c r="AV289" s="318">
        <f t="shared" si="37"/>
        <v>246956.6181802309</v>
      </c>
      <c r="AW289" s="229"/>
      <c r="AX289" s="312"/>
      <c r="AY289" s="14"/>
      <c r="AZ289" s="14">
        <f t="shared" si="39"/>
        <v>12197.125305796857</v>
      </c>
      <c r="BA289" s="14">
        <f t="shared" si="38"/>
        <v>0.20653924470327967</v>
      </c>
      <c r="BB289" s="14">
        <f t="shared" si="33"/>
        <v>59054.75893126076</v>
      </c>
      <c r="BC289" s="14"/>
      <c r="BD289" s="14"/>
      <c r="BE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  <c r="BV289" s="14"/>
      <c r="BW289" s="14"/>
      <c r="BX289" s="14"/>
      <c r="BY289" s="14"/>
      <c r="BZ289" s="14"/>
      <c r="CA289" s="14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</row>
    <row r="290" spans="1:101" ht="14.25" customHeight="1" x14ac:dyDescent="0.2">
      <c r="A290" s="286"/>
      <c r="B290" s="52">
        <v>0.1927250426280509</v>
      </c>
      <c r="C290" s="288">
        <v>3.2837631562506325E-2</v>
      </c>
      <c r="D290" s="288">
        <v>1.7562785139101145E-2</v>
      </c>
      <c r="E290" s="288">
        <v>2.0774650829568642E-2</v>
      </c>
      <c r="F290" s="289">
        <v>0.8318999745488973</v>
      </c>
      <c r="G290" s="92">
        <v>0.33098558943478829</v>
      </c>
      <c r="H290" s="288">
        <v>0.24624164914956748</v>
      </c>
      <c r="I290" s="288">
        <v>6.9231010550649848E-3</v>
      </c>
      <c r="J290" s="288">
        <v>0.83712576096008229</v>
      </c>
      <c r="K290" s="288">
        <v>0.72001791889378242</v>
      </c>
      <c r="L290" s="290">
        <v>15303.815171703976</v>
      </c>
      <c r="M290" s="288">
        <v>0</v>
      </c>
      <c r="N290" s="288">
        <v>15037.342295078844</v>
      </c>
      <c r="O290" s="288">
        <v>1281.8478049155474</v>
      </c>
      <c r="P290" s="288">
        <v>56755.116041937021</v>
      </c>
      <c r="Q290" s="291">
        <v>88598.623461979936</v>
      </c>
      <c r="R290" s="288">
        <v>16344.277359198626</v>
      </c>
      <c r="S290" s="288">
        <v>6578.5130918476716</v>
      </c>
      <c r="T290" s="290">
        <v>0.751</v>
      </c>
      <c r="U290" s="288">
        <v>0.75800000000000001</v>
      </c>
      <c r="V290" s="288">
        <v>0.723923076923077</v>
      </c>
      <c r="W290" s="288">
        <v>0.72750000000000004</v>
      </c>
      <c r="X290" s="288">
        <v>0.76</v>
      </c>
      <c r="Y290" s="288">
        <v>0</v>
      </c>
      <c r="Z290" s="289">
        <v>0</v>
      </c>
      <c r="AA290" s="229"/>
      <c r="AB290" s="52">
        <v>70151.123175294066</v>
      </c>
      <c r="AC290" s="288">
        <v>3.3853006571602662</v>
      </c>
      <c r="AD290" s="288">
        <v>49320.803088457273</v>
      </c>
      <c r="AE290" s="288">
        <v>2.8709786000738964</v>
      </c>
      <c r="AF290" s="288">
        <v>20830.320086836793</v>
      </c>
      <c r="AG290" s="289">
        <v>0.5143220570863698</v>
      </c>
      <c r="AH290" s="229"/>
      <c r="AI290" s="205">
        <f t="shared" si="34"/>
        <v>268378.94254073256</v>
      </c>
      <c r="AJ290" s="205">
        <f t="shared" si="35"/>
        <v>237777.05691893236</v>
      </c>
      <c r="AK290" s="205">
        <f t="shared" si="36"/>
        <v>30601.885621800189</v>
      </c>
      <c r="AL290" s="229"/>
      <c r="AM290" s="52">
        <f t="shared" si="30"/>
        <v>1</v>
      </c>
      <c r="AN290" s="52">
        <f t="shared" si="31"/>
        <v>0</v>
      </c>
      <c r="AO290" s="52">
        <f t="shared" si="32"/>
        <v>1</v>
      </c>
      <c r="AP290" s="229"/>
      <c r="AQ290" s="3"/>
      <c r="AR290" s="3"/>
      <c r="AS290" s="3"/>
      <c r="AT290" s="3"/>
      <c r="AU290" s="229"/>
      <c r="AV290" s="318">
        <f t="shared" si="37"/>
        <v>268378.94254073256</v>
      </c>
      <c r="AW290" s="229"/>
      <c r="AX290" s="312"/>
      <c r="AY290" s="14"/>
      <c r="AZ290" s="14">
        <f t="shared" si="39"/>
        <v>20830.320086836793</v>
      </c>
      <c r="BA290" s="14">
        <f t="shared" si="38"/>
        <v>0.5143220570863698</v>
      </c>
      <c r="BB290" s="14">
        <f t="shared" si="33"/>
        <v>40500.538135269533</v>
      </c>
      <c r="BC290" s="14"/>
      <c r="BD290" s="14"/>
      <c r="BE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  <c r="BV290" s="14"/>
      <c r="BW290" s="14"/>
      <c r="BX290" s="14"/>
      <c r="BY290" s="14"/>
      <c r="BZ290" s="14"/>
      <c r="CA290" s="14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</row>
    <row r="291" spans="1:101" ht="14.25" customHeight="1" x14ac:dyDescent="0.2">
      <c r="A291" s="286"/>
      <c r="B291" s="52">
        <v>0.18210803713032064</v>
      </c>
      <c r="C291" s="288">
        <v>0.76667959186056112</v>
      </c>
      <c r="D291" s="288">
        <v>1.3559967030207147E-2</v>
      </c>
      <c r="E291" s="288">
        <v>1.2334926909433991E-2</v>
      </c>
      <c r="F291" s="289">
        <v>0.79647294416943837</v>
      </c>
      <c r="G291" s="92">
        <v>0.39336019370367631</v>
      </c>
      <c r="H291" s="288">
        <v>0.32344461716806144</v>
      </c>
      <c r="I291" s="288">
        <v>1.9638712944274439E-2</v>
      </c>
      <c r="J291" s="288">
        <v>0.99999999674449436</v>
      </c>
      <c r="K291" s="288">
        <v>0.73676072187555652</v>
      </c>
      <c r="L291" s="290">
        <v>9663.3302939605946</v>
      </c>
      <c r="M291" s="288">
        <v>0</v>
      </c>
      <c r="N291" s="288">
        <v>19075.045026345946</v>
      </c>
      <c r="O291" s="288">
        <v>1333.4006170521047</v>
      </c>
      <c r="P291" s="288">
        <v>26621.355307508202</v>
      </c>
      <c r="Q291" s="291">
        <v>92555.018018693372</v>
      </c>
      <c r="R291" s="288">
        <v>26810.657569502207</v>
      </c>
      <c r="S291" s="288">
        <v>9364.578207690005</v>
      </c>
      <c r="T291" s="290">
        <v>0.751</v>
      </c>
      <c r="U291" s="288">
        <v>0.75800000000000001</v>
      </c>
      <c r="V291" s="288">
        <v>0.723923076923077</v>
      </c>
      <c r="W291" s="288">
        <v>0.72750000000000004</v>
      </c>
      <c r="X291" s="288">
        <v>0.76</v>
      </c>
      <c r="Y291" s="288">
        <v>0</v>
      </c>
      <c r="Z291" s="289">
        <v>0</v>
      </c>
      <c r="AA291" s="229"/>
      <c r="AB291" s="52">
        <v>87736.879250698577</v>
      </c>
      <c r="AC291" s="288">
        <v>3.2190063849087718</v>
      </c>
      <c r="AD291" s="288">
        <v>73893.646121334954</v>
      </c>
      <c r="AE291" s="288">
        <v>2.9474602362017301</v>
      </c>
      <c r="AF291" s="288">
        <v>13843.233129363623</v>
      </c>
      <c r="AG291" s="289">
        <v>0.27154614870704163</v>
      </c>
      <c r="AH291" s="229"/>
      <c r="AI291" s="205">
        <f t="shared" si="34"/>
        <v>234163.7592401786</v>
      </c>
      <c r="AJ291" s="205">
        <f t="shared" si="35"/>
        <v>220852.37749883803</v>
      </c>
      <c r="AK291" s="205">
        <f t="shared" si="36"/>
        <v>13311.381741340541</v>
      </c>
      <c r="AL291" s="229"/>
      <c r="AM291" s="52">
        <f t="shared" si="30"/>
        <v>1</v>
      </c>
      <c r="AN291" s="52">
        <f t="shared" si="31"/>
        <v>0</v>
      </c>
      <c r="AO291" s="52">
        <f t="shared" si="32"/>
        <v>1</v>
      </c>
      <c r="AP291" s="229"/>
      <c r="AQ291" s="3"/>
      <c r="AR291" s="3"/>
      <c r="AS291" s="3"/>
      <c r="AT291" s="3"/>
      <c r="AU291" s="229"/>
      <c r="AV291" s="318">
        <f t="shared" si="37"/>
        <v>234163.7592401786</v>
      </c>
      <c r="AW291" s="229"/>
      <c r="AX291" s="312"/>
      <c r="AY291" s="14"/>
      <c r="AZ291" s="14">
        <f t="shared" si="39"/>
        <v>13843.233129363623</v>
      </c>
      <c r="BA291" s="14">
        <f t="shared" si="38"/>
        <v>0.27154614870704163</v>
      </c>
      <c r="BB291" s="14">
        <f t="shared" si="33"/>
        <v>50979.302027584403</v>
      </c>
      <c r="BC291" s="14"/>
      <c r="BD291" s="14"/>
      <c r="BE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  <c r="BV291" s="14"/>
      <c r="BW291" s="14"/>
      <c r="BX291" s="14"/>
      <c r="BY291" s="14"/>
      <c r="BZ291" s="14"/>
      <c r="CA291" s="14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</row>
    <row r="292" spans="1:101" ht="14.25" customHeight="1" x14ac:dyDescent="0.2">
      <c r="A292" s="286"/>
      <c r="B292" s="52">
        <v>0.15328828894095894</v>
      </c>
      <c r="C292" s="288">
        <v>0.22164256410202221</v>
      </c>
      <c r="D292" s="288">
        <v>1.7030964857081887E-2</v>
      </c>
      <c r="E292" s="288">
        <v>8.3755637317073483E-3</v>
      </c>
      <c r="F292" s="289">
        <v>0.79375661377681084</v>
      </c>
      <c r="G292" s="92">
        <v>0.37192016337072059</v>
      </c>
      <c r="H292" s="288">
        <v>2.8049399863782676E-2</v>
      </c>
      <c r="I292" s="288">
        <v>9.6863913307895424E-3</v>
      </c>
      <c r="J292" s="288">
        <v>0.99999999999922329</v>
      </c>
      <c r="K292" s="288">
        <v>0.77553013859167685</v>
      </c>
      <c r="L292" s="290">
        <v>15168.219602496123</v>
      </c>
      <c r="M292" s="288">
        <v>0</v>
      </c>
      <c r="N292" s="288">
        <v>19468.96215507001</v>
      </c>
      <c r="O292" s="288">
        <v>1047.2797056035758</v>
      </c>
      <c r="P292" s="288">
        <v>42858.010016896864</v>
      </c>
      <c r="Q292" s="291">
        <v>95861.452208898729</v>
      </c>
      <c r="R292" s="288">
        <v>16336.127014949891</v>
      </c>
      <c r="S292" s="288">
        <v>10223.625381622638</v>
      </c>
      <c r="T292" s="290">
        <v>0.751</v>
      </c>
      <c r="U292" s="288">
        <v>0.75800000000000001</v>
      </c>
      <c r="V292" s="288">
        <v>0.723923076923077</v>
      </c>
      <c r="W292" s="288">
        <v>0.72750000000000004</v>
      </c>
      <c r="X292" s="288">
        <v>0.76</v>
      </c>
      <c r="Y292" s="288">
        <v>0</v>
      </c>
      <c r="Z292" s="289">
        <v>0</v>
      </c>
      <c r="AA292" s="229"/>
      <c r="AB292" s="52">
        <v>96493.145963470335</v>
      </c>
      <c r="AC292" s="288">
        <v>3.2063372021398537</v>
      </c>
      <c r="AD292" s="288">
        <v>80202.884456396307</v>
      </c>
      <c r="AE292" s="288">
        <v>3.1262563015976381</v>
      </c>
      <c r="AF292" s="288">
        <v>16290.261507074028</v>
      </c>
      <c r="AG292" s="289">
        <v>8.0080900542215616E-2</v>
      </c>
      <c r="AH292" s="229"/>
      <c r="AI292" s="205">
        <f t="shared" si="34"/>
        <v>224140.57425051503</v>
      </c>
      <c r="AJ292" s="205">
        <f t="shared" si="35"/>
        <v>232422.74570336749</v>
      </c>
      <c r="AK292" s="205">
        <f t="shared" si="36"/>
        <v>-8282.1714528524681</v>
      </c>
      <c r="AL292" s="229"/>
      <c r="AM292" s="52">
        <f t="shared" si="30"/>
        <v>0</v>
      </c>
      <c r="AN292" s="52">
        <f t="shared" si="31"/>
        <v>1</v>
      </c>
      <c r="AO292" s="52">
        <f t="shared" si="32"/>
        <v>0</v>
      </c>
      <c r="AP292" s="229"/>
      <c r="AQ292" s="3"/>
      <c r="AR292" s="3"/>
      <c r="AS292" s="3"/>
      <c r="AT292" s="3"/>
      <c r="AU292" s="229"/>
      <c r="AV292" s="318">
        <f t="shared" si="37"/>
        <v>232422.74570336749</v>
      </c>
      <c r="AW292" s="229"/>
      <c r="AX292" s="312"/>
      <c r="AY292" s="14"/>
      <c r="AZ292" s="14">
        <f t="shared" si="39"/>
        <v>16290.261507074028</v>
      </c>
      <c r="BA292" s="14">
        <f t="shared" si="38"/>
        <v>8.0080900542215616E-2</v>
      </c>
      <c r="BB292" s="14">
        <f t="shared" si="33"/>
        <v>203422.55639953024</v>
      </c>
      <c r="BC292" s="14"/>
      <c r="BD292" s="14"/>
      <c r="BE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  <c r="BV292" s="14"/>
      <c r="BW292" s="14"/>
      <c r="BX292" s="14"/>
      <c r="BY292" s="14"/>
      <c r="BZ292" s="14"/>
      <c r="CA292" s="14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</row>
    <row r="293" spans="1:101" ht="14.25" customHeight="1" x14ac:dyDescent="0.2">
      <c r="A293" s="286"/>
      <c r="B293" s="52">
        <v>0.21767280931985555</v>
      </c>
      <c r="C293" s="288">
        <v>0.56689576836939781</v>
      </c>
      <c r="D293" s="288">
        <v>1.0346503226060373E-2</v>
      </c>
      <c r="E293" s="288">
        <v>1.3076073373399102E-2</v>
      </c>
      <c r="F293" s="289">
        <v>0.77190450988064907</v>
      </c>
      <c r="G293" s="92">
        <v>0.4156316400004505</v>
      </c>
      <c r="H293" s="288">
        <v>0.25058477925343303</v>
      </c>
      <c r="I293" s="288">
        <v>4.1680284697474352E-3</v>
      </c>
      <c r="J293" s="288">
        <v>0.99995880533593429</v>
      </c>
      <c r="K293" s="288">
        <v>0.76720844560801671</v>
      </c>
      <c r="L293" s="290">
        <v>12710.296379347181</v>
      </c>
      <c r="M293" s="288">
        <v>0</v>
      </c>
      <c r="N293" s="288">
        <v>16875.226932034431</v>
      </c>
      <c r="O293" s="288">
        <v>1291.6177937840137</v>
      </c>
      <c r="P293" s="288">
        <v>51580.995026310578</v>
      </c>
      <c r="Q293" s="291">
        <v>79555.925159708713</v>
      </c>
      <c r="R293" s="288">
        <v>19888.89385795427</v>
      </c>
      <c r="S293" s="288">
        <v>6645.977267808923</v>
      </c>
      <c r="T293" s="290">
        <v>0.751</v>
      </c>
      <c r="U293" s="288">
        <v>0.75800000000000001</v>
      </c>
      <c r="V293" s="288">
        <v>0.723923076923077</v>
      </c>
      <c r="W293" s="288">
        <v>0.72750000000000004</v>
      </c>
      <c r="X293" s="288">
        <v>0.76</v>
      </c>
      <c r="Y293" s="288">
        <v>0</v>
      </c>
      <c r="Z293" s="289">
        <v>0</v>
      </c>
      <c r="AA293" s="229"/>
      <c r="AB293" s="52">
        <v>66426.198079293928</v>
      </c>
      <c r="AC293" s="288">
        <v>3.1048382791360769</v>
      </c>
      <c r="AD293" s="288">
        <v>53718.998980528406</v>
      </c>
      <c r="AE293" s="288">
        <v>3.0876787822792227</v>
      </c>
      <c r="AF293" s="288">
        <v>12707.199098765523</v>
      </c>
      <c r="AG293" s="289">
        <v>1.7159496856854251E-2</v>
      </c>
      <c r="AH293" s="229"/>
      <c r="AI293" s="205">
        <f t="shared" si="34"/>
        <v>244057.62983431376</v>
      </c>
      <c r="AJ293" s="205">
        <f t="shared" si="35"/>
        <v>255048.87924739384</v>
      </c>
      <c r="AK293" s="205">
        <f t="shared" si="36"/>
        <v>-10991.249413080097</v>
      </c>
      <c r="AL293" s="229"/>
      <c r="AM293" s="52">
        <f t="shared" si="30"/>
        <v>0</v>
      </c>
      <c r="AN293" s="52">
        <f t="shared" si="31"/>
        <v>1</v>
      </c>
      <c r="AO293" s="52">
        <f t="shared" si="32"/>
        <v>0</v>
      </c>
      <c r="AP293" s="229"/>
      <c r="AQ293" s="3"/>
      <c r="AR293" s="3"/>
      <c r="AS293" s="3"/>
      <c r="AT293" s="3"/>
      <c r="AU293" s="229"/>
      <c r="AV293" s="318">
        <f t="shared" si="37"/>
        <v>255048.87924739384</v>
      </c>
      <c r="AW293" s="229"/>
      <c r="AX293" s="312"/>
      <c r="AY293" s="14"/>
      <c r="AZ293" s="14">
        <f t="shared" si="39"/>
        <v>12707.199098765523</v>
      </c>
      <c r="BA293" s="14">
        <f t="shared" si="38"/>
        <v>1.7159496856854251E-2</v>
      </c>
      <c r="BB293" s="14">
        <f t="shared" si="33"/>
        <v>740534.4809798263</v>
      </c>
      <c r="BC293" s="14"/>
      <c r="BD293" s="14"/>
      <c r="BE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  <c r="BV293" s="14"/>
      <c r="BW293" s="14"/>
      <c r="BX293" s="14"/>
      <c r="BY293" s="14"/>
      <c r="BZ293" s="14"/>
      <c r="CA293" s="14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</row>
    <row r="294" spans="1:101" ht="14.25" customHeight="1" x14ac:dyDescent="0.2">
      <c r="A294" s="286"/>
      <c r="B294" s="52">
        <v>0.15184811375117682</v>
      </c>
      <c r="C294" s="288">
        <v>8.0909334755948609E-2</v>
      </c>
      <c r="D294" s="288">
        <v>2.1404672237928524E-2</v>
      </c>
      <c r="E294" s="288">
        <v>1.2763540327170645E-2</v>
      </c>
      <c r="F294" s="289">
        <v>0.77755764515897319</v>
      </c>
      <c r="G294" s="92">
        <v>0.39023844467317637</v>
      </c>
      <c r="H294" s="288">
        <v>0.96881039758399856</v>
      </c>
      <c r="I294" s="288">
        <v>1.5274113674323823E-2</v>
      </c>
      <c r="J294" s="288">
        <v>1</v>
      </c>
      <c r="K294" s="288">
        <v>0.70949295636771248</v>
      </c>
      <c r="L294" s="290">
        <v>11876.887065909163</v>
      </c>
      <c r="M294" s="288">
        <v>0</v>
      </c>
      <c r="N294" s="288">
        <v>15791.102665742827</v>
      </c>
      <c r="O294" s="288">
        <v>1094.2626082729728</v>
      </c>
      <c r="P294" s="288">
        <v>48755.851934314815</v>
      </c>
      <c r="Q294" s="291">
        <v>110370.90122075165</v>
      </c>
      <c r="R294" s="288">
        <v>20000.703852461796</v>
      </c>
      <c r="S294" s="288">
        <v>8482.6472854062322</v>
      </c>
      <c r="T294" s="290">
        <v>0.751</v>
      </c>
      <c r="U294" s="288">
        <v>0.75800000000000001</v>
      </c>
      <c r="V294" s="288">
        <v>0.723923076923077</v>
      </c>
      <c r="W294" s="288">
        <v>0.72750000000000004</v>
      </c>
      <c r="X294" s="288">
        <v>0.76</v>
      </c>
      <c r="Y294" s="288">
        <v>0</v>
      </c>
      <c r="Z294" s="289">
        <v>0</v>
      </c>
      <c r="AA294" s="229"/>
      <c r="AB294" s="52">
        <v>77963.161268641779</v>
      </c>
      <c r="AC294" s="288">
        <v>3.1310242142765632</v>
      </c>
      <c r="AD294" s="288">
        <v>68937.915908154231</v>
      </c>
      <c r="AE294" s="288">
        <v>2.8231264350665515</v>
      </c>
      <c r="AF294" s="288">
        <v>9025.2453604875482</v>
      </c>
      <c r="AG294" s="289">
        <v>0.30789777921001171</v>
      </c>
      <c r="AH294" s="229"/>
      <c r="AI294" s="205">
        <f t="shared" si="34"/>
        <v>235139.26015901455</v>
      </c>
      <c r="AJ294" s="205">
        <f t="shared" si="35"/>
        <v>213374.7275985009</v>
      </c>
      <c r="AK294" s="205">
        <f t="shared" si="36"/>
        <v>21764.532560513624</v>
      </c>
      <c r="AL294" s="229"/>
      <c r="AM294" s="52">
        <f t="shared" si="30"/>
        <v>1</v>
      </c>
      <c r="AN294" s="52">
        <f t="shared" si="31"/>
        <v>0</v>
      </c>
      <c r="AO294" s="52">
        <f t="shared" si="32"/>
        <v>1</v>
      </c>
      <c r="AP294" s="229"/>
      <c r="AQ294" s="3"/>
      <c r="AR294" s="3"/>
      <c r="AS294" s="3"/>
      <c r="AT294" s="3"/>
      <c r="AU294" s="229"/>
      <c r="AV294" s="318">
        <f t="shared" si="37"/>
        <v>235139.26015901455</v>
      </c>
      <c r="AW294" s="229"/>
      <c r="AX294" s="312"/>
      <c r="AY294" s="14"/>
      <c r="AZ294" s="14">
        <f t="shared" si="39"/>
        <v>9025.2453604875482</v>
      </c>
      <c r="BA294" s="14">
        <f t="shared" si="38"/>
        <v>0.30789777921001171</v>
      </c>
      <c r="BB294" s="14">
        <f t="shared" si="33"/>
        <v>29312.473067016133</v>
      </c>
      <c r="BC294" s="14"/>
      <c r="BD294" s="14"/>
      <c r="BE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  <c r="BV294" s="14"/>
      <c r="BW294" s="14"/>
      <c r="BX294" s="14"/>
      <c r="BY294" s="14"/>
      <c r="BZ294" s="14"/>
      <c r="CA294" s="14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</row>
    <row r="295" spans="1:101" ht="14.25" customHeight="1" x14ac:dyDescent="0.2">
      <c r="A295" s="286"/>
      <c r="B295" s="52">
        <v>0.15689209552501052</v>
      </c>
      <c r="C295" s="288">
        <v>0.36794764591246165</v>
      </c>
      <c r="D295" s="288">
        <v>9.1608908943099886E-3</v>
      </c>
      <c r="E295" s="288">
        <v>1.0516289745971063E-2</v>
      </c>
      <c r="F295" s="289">
        <v>0.80184703250875555</v>
      </c>
      <c r="G295" s="92">
        <v>0.43325744252874732</v>
      </c>
      <c r="H295" s="288">
        <v>0.81770584462266871</v>
      </c>
      <c r="I295" s="288">
        <v>5.0413897696217069E-2</v>
      </c>
      <c r="J295" s="288">
        <v>0.99999995886424387</v>
      </c>
      <c r="K295" s="288">
        <v>0.76223716797157537</v>
      </c>
      <c r="L295" s="290">
        <v>9026.0713596822043</v>
      </c>
      <c r="M295" s="288">
        <v>0</v>
      </c>
      <c r="N295" s="288">
        <v>26952.232303200864</v>
      </c>
      <c r="O295" s="288">
        <v>1105.9560651278262</v>
      </c>
      <c r="P295" s="288">
        <v>37868.738725338648</v>
      </c>
      <c r="Q295" s="291">
        <v>89207.704598767537</v>
      </c>
      <c r="R295" s="288">
        <v>22824.252936431498</v>
      </c>
      <c r="S295" s="288">
        <v>9315.7612174945825</v>
      </c>
      <c r="T295" s="290">
        <v>0.751</v>
      </c>
      <c r="U295" s="288">
        <v>0.75800000000000001</v>
      </c>
      <c r="V295" s="288">
        <v>0.723923076923077</v>
      </c>
      <c r="W295" s="288">
        <v>0.72750000000000004</v>
      </c>
      <c r="X295" s="288">
        <v>0.76</v>
      </c>
      <c r="Y295" s="288">
        <v>0</v>
      </c>
      <c r="Z295" s="289">
        <v>0</v>
      </c>
      <c r="AA295" s="229"/>
      <c r="AB295" s="52">
        <v>84614.629705204148</v>
      </c>
      <c r="AC295" s="288">
        <v>3.2441056619735589</v>
      </c>
      <c r="AD295" s="288">
        <v>82511.519359196333</v>
      </c>
      <c r="AE295" s="288">
        <v>3.0646851256399104</v>
      </c>
      <c r="AF295" s="288">
        <v>2103.1103460078157</v>
      </c>
      <c r="AG295" s="289">
        <v>0.17942053633364852</v>
      </c>
      <c r="AH295" s="229"/>
      <c r="AI295" s="205">
        <f t="shared" si="34"/>
        <v>239795.9364921517</v>
      </c>
      <c r="AJ295" s="205">
        <f t="shared" si="35"/>
        <v>223956.99320479468</v>
      </c>
      <c r="AK295" s="205">
        <f t="shared" si="36"/>
        <v>15838.943287357037</v>
      </c>
      <c r="AL295" s="229"/>
      <c r="AM295" s="52">
        <f t="shared" si="30"/>
        <v>1</v>
      </c>
      <c r="AN295" s="52">
        <f t="shared" si="31"/>
        <v>0</v>
      </c>
      <c r="AO295" s="52">
        <f t="shared" si="32"/>
        <v>1</v>
      </c>
      <c r="AP295" s="229"/>
      <c r="AQ295" s="3"/>
      <c r="AR295" s="3"/>
      <c r="AS295" s="3"/>
      <c r="AT295" s="3"/>
      <c r="AU295" s="229"/>
      <c r="AV295" s="318">
        <f t="shared" si="37"/>
        <v>239795.9364921517</v>
      </c>
      <c r="AW295" s="229"/>
      <c r="AX295" s="312"/>
      <c r="AY295" s="14"/>
      <c r="AZ295" s="14">
        <f t="shared" si="39"/>
        <v>2103.1103460078157</v>
      </c>
      <c r="BA295" s="14">
        <f t="shared" si="38"/>
        <v>0.17942053633364852</v>
      </c>
      <c r="BB295" s="14">
        <f t="shared" si="33"/>
        <v>11721.681302395029</v>
      </c>
      <c r="BC295" s="14"/>
      <c r="BD295" s="14"/>
      <c r="BE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  <c r="BV295" s="14"/>
      <c r="BW295" s="14"/>
      <c r="BX295" s="14"/>
      <c r="BY295" s="14"/>
      <c r="BZ295" s="14"/>
      <c r="CA295" s="14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</row>
    <row r="296" spans="1:101" ht="14.25" customHeight="1" x14ac:dyDescent="0.2">
      <c r="A296" s="286"/>
      <c r="B296" s="52">
        <v>0.17743263151986977</v>
      </c>
      <c r="C296" s="288">
        <v>0.22872238506851794</v>
      </c>
      <c r="D296" s="288">
        <v>1.4195656302853172E-2</v>
      </c>
      <c r="E296" s="288">
        <v>1.1608388169285019E-2</v>
      </c>
      <c r="F296" s="289">
        <v>0.75824325940144399</v>
      </c>
      <c r="G296" s="92">
        <v>0.43202790547871228</v>
      </c>
      <c r="H296" s="288">
        <v>0.71874154423045633</v>
      </c>
      <c r="I296" s="288">
        <v>3.2215194176018036E-2</v>
      </c>
      <c r="J296" s="288">
        <v>0.99999999999999989</v>
      </c>
      <c r="K296" s="288">
        <v>0.79148957625695537</v>
      </c>
      <c r="L296" s="290">
        <v>10725.323185713249</v>
      </c>
      <c r="M296" s="288">
        <v>0</v>
      </c>
      <c r="N296" s="288">
        <v>18844.028414618882</v>
      </c>
      <c r="O296" s="288">
        <v>1314.6988636499393</v>
      </c>
      <c r="P296" s="288">
        <v>50471.359901210097</v>
      </c>
      <c r="Q296" s="291">
        <v>115757.53185643548</v>
      </c>
      <c r="R296" s="288">
        <v>19942.598632515481</v>
      </c>
      <c r="S296" s="288">
        <v>8361.1986077903584</v>
      </c>
      <c r="T296" s="290">
        <v>0.751</v>
      </c>
      <c r="U296" s="288">
        <v>0.75800000000000001</v>
      </c>
      <c r="V296" s="288">
        <v>0.723923076923077</v>
      </c>
      <c r="W296" s="288">
        <v>0.72750000000000004</v>
      </c>
      <c r="X296" s="288">
        <v>0.76</v>
      </c>
      <c r="Y296" s="288">
        <v>0</v>
      </c>
      <c r="Z296" s="289">
        <v>0</v>
      </c>
      <c r="AA296" s="229"/>
      <c r="AB296" s="52">
        <v>74840.247444076696</v>
      </c>
      <c r="AC296" s="288">
        <v>3.0417648178413028</v>
      </c>
      <c r="AD296" s="288">
        <v>75190.005363864926</v>
      </c>
      <c r="AE296" s="288">
        <v>3.2005461167356932</v>
      </c>
      <c r="AF296" s="288">
        <v>-349.75791978822963</v>
      </c>
      <c r="AG296" s="289">
        <v>-0.15878129889439041</v>
      </c>
      <c r="AH296" s="229"/>
      <c r="AI296" s="205">
        <f t="shared" si="34"/>
        <v>229336.23434005358</v>
      </c>
      <c r="AJ296" s="205">
        <f t="shared" si="35"/>
        <v>244864.60630970437</v>
      </c>
      <c r="AK296" s="205">
        <f t="shared" si="36"/>
        <v>-15528.371969650811</v>
      </c>
      <c r="AL296" s="229"/>
      <c r="AM296" s="52">
        <f t="shared" si="30"/>
        <v>0</v>
      </c>
      <c r="AN296" s="52">
        <f t="shared" si="31"/>
        <v>1</v>
      </c>
      <c r="AO296" s="52">
        <f t="shared" si="32"/>
        <v>0</v>
      </c>
      <c r="AP296" s="229"/>
      <c r="AQ296" s="3"/>
      <c r="AR296" s="3"/>
      <c r="AS296" s="3"/>
      <c r="AT296" s="3"/>
      <c r="AU296" s="229"/>
      <c r="AV296" s="318">
        <f t="shared" si="37"/>
        <v>244864.60630970437</v>
      </c>
      <c r="AW296" s="229"/>
      <c r="AX296" s="312"/>
      <c r="AY296" s="14"/>
      <c r="AZ296" s="14">
        <f t="shared" si="39"/>
        <v>-349.75791978822963</v>
      </c>
      <c r="BA296" s="14">
        <f t="shared" si="38"/>
        <v>-0.15878129889439041</v>
      </c>
      <c r="BB296" s="14">
        <f t="shared" si="33"/>
        <v>2202.7652010887173</v>
      </c>
      <c r="BC296" s="14"/>
      <c r="BD296" s="14"/>
      <c r="BE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  <c r="BV296" s="14"/>
      <c r="BW296" s="14"/>
      <c r="BX296" s="14"/>
      <c r="BY296" s="14"/>
      <c r="BZ296" s="14"/>
      <c r="CA296" s="14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</row>
    <row r="297" spans="1:101" ht="14.25" customHeight="1" x14ac:dyDescent="0.2">
      <c r="A297" s="286"/>
      <c r="B297" s="52">
        <v>0.15966699516000982</v>
      </c>
      <c r="C297" s="288">
        <v>5.0687732175396559E-3</v>
      </c>
      <c r="D297" s="288">
        <v>1.523882627263351E-2</v>
      </c>
      <c r="E297" s="288">
        <v>1.6754678083641616E-2</v>
      </c>
      <c r="F297" s="289">
        <v>0.78860963436577891</v>
      </c>
      <c r="G297" s="92">
        <v>0.37700242504230713</v>
      </c>
      <c r="H297" s="288">
        <v>1.9076046363423575E-2</v>
      </c>
      <c r="I297" s="288">
        <v>1.6773050796569211E-2</v>
      </c>
      <c r="J297" s="288">
        <v>0.82744032268624745</v>
      </c>
      <c r="K297" s="288">
        <v>0.78112327800832149</v>
      </c>
      <c r="L297" s="290">
        <v>9506.2412148764397</v>
      </c>
      <c r="M297" s="288">
        <v>0</v>
      </c>
      <c r="N297" s="288">
        <v>15048.029448132134</v>
      </c>
      <c r="O297" s="288">
        <v>1264.909984229103</v>
      </c>
      <c r="P297" s="288">
        <v>54106.767962622514</v>
      </c>
      <c r="Q297" s="291">
        <v>111868.61959827256</v>
      </c>
      <c r="R297" s="288">
        <v>18156.310139191566</v>
      </c>
      <c r="S297" s="288">
        <v>8894.1705156510252</v>
      </c>
      <c r="T297" s="290">
        <v>0.751</v>
      </c>
      <c r="U297" s="288">
        <v>0.75800000000000001</v>
      </c>
      <c r="V297" s="288">
        <v>0.723923076923077</v>
      </c>
      <c r="W297" s="288">
        <v>0.72750000000000004</v>
      </c>
      <c r="X297" s="288">
        <v>0.76</v>
      </c>
      <c r="Y297" s="288">
        <v>0</v>
      </c>
      <c r="Z297" s="289">
        <v>0</v>
      </c>
      <c r="AA297" s="229"/>
      <c r="AB297" s="52">
        <v>79452.825247563669</v>
      </c>
      <c r="AC297" s="288">
        <v>3.1823630178359861</v>
      </c>
      <c r="AD297" s="288">
        <v>70951.82383184362</v>
      </c>
      <c r="AE297" s="288">
        <v>3.1522461908290369</v>
      </c>
      <c r="AF297" s="288">
        <v>8501.0014157200494</v>
      </c>
      <c r="AG297" s="289">
        <v>3.0116827006949176E-2</v>
      </c>
      <c r="AH297" s="229"/>
      <c r="AI297" s="205">
        <f t="shared" si="34"/>
        <v>238783.47653603496</v>
      </c>
      <c r="AJ297" s="205">
        <f t="shared" si="35"/>
        <v>244272.79525106004</v>
      </c>
      <c r="AK297" s="205">
        <f t="shared" si="36"/>
        <v>-5489.3187150251324</v>
      </c>
      <c r="AL297" s="229"/>
      <c r="AM297" s="52">
        <f t="shared" si="30"/>
        <v>0</v>
      </c>
      <c r="AN297" s="52">
        <f t="shared" si="31"/>
        <v>1</v>
      </c>
      <c r="AO297" s="52">
        <f t="shared" si="32"/>
        <v>0</v>
      </c>
      <c r="AP297" s="229"/>
      <c r="AQ297" s="3"/>
      <c r="AR297" s="3"/>
      <c r="AS297" s="3"/>
      <c r="AT297" s="3"/>
      <c r="AU297" s="229"/>
      <c r="AV297" s="318">
        <f t="shared" si="37"/>
        <v>244272.79525106004</v>
      </c>
      <c r="AW297" s="229"/>
      <c r="AX297" s="312"/>
      <c r="AY297" s="14"/>
      <c r="AZ297" s="14">
        <f t="shared" si="39"/>
        <v>8501.0014157200494</v>
      </c>
      <c r="BA297" s="14">
        <f t="shared" si="38"/>
        <v>3.0116827006949176E-2</v>
      </c>
      <c r="BB297" s="14">
        <f t="shared" si="33"/>
        <v>282267.49829118862</v>
      </c>
      <c r="BC297" s="14"/>
      <c r="BD297" s="14"/>
      <c r="BE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  <c r="BV297" s="14"/>
      <c r="BW297" s="14"/>
      <c r="BX297" s="14"/>
      <c r="BY297" s="14"/>
      <c r="BZ297" s="14"/>
      <c r="CA297" s="14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</row>
    <row r="298" spans="1:101" ht="14.25" customHeight="1" x14ac:dyDescent="0.2">
      <c r="A298" s="286"/>
      <c r="B298" s="52">
        <v>0.12053242547989</v>
      </c>
      <c r="C298" s="288">
        <v>0.34414943635657558</v>
      </c>
      <c r="D298" s="288">
        <v>1.6463056656257691E-2</v>
      </c>
      <c r="E298" s="288">
        <v>1.538416691992972E-2</v>
      </c>
      <c r="F298" s="289">
        <v>0.78008564585289397</v>
      </c>
      <c r="G298" s="92">
        <v>0.39255405491270201</v>
      </c>
      <c r="H298" s="288">
        <v>0.89425182569702466</v>
      </c>
      <c r="I298" s="288">
        <v>3.4830722048719599E-3</v>
      </c>
      <c r="J298" s="288">
        <v>0.96348190030951031</v>
      </c>
      <c r="K298" s="288">
        <v>0.75815052853825859</v>
      </c>
      <c r="L298" s="290">
        <v>14841.609546452906</v>
      </c>
      <c r="M298" s="288">
        <v>0</v>
      </c>
      <c r="N298" s="288">
        <v>16207.860858014286</v>
      </c>
      <c r="O298" s="288">
        <v>1193.3396247602279</v>
      </c>
      <c r="P298" s="288">
        <v>53297.410874376845</v>
      </c>
      <c r="Q298" s="291">
        <v>128570.42637859243</v>
      </c>
      <c r="R298" s="288">
        <v>24615.606522962949</v>
      </c>
      <c r="S298" s="288">
        <v>8331.469509263603</v>
      </c>
      <c r="T298" s="290">
        <v>0.751</v>
      </c>
      <c r="U298" s="288">
        <v>0.75800000000000001</v>
      </c>
      <c r="V298" s="288">
        <v>0.723923076923077</v>
      </c>
      <c r="W298" s="288">
        <v>0.72750000000000004</v>
      </c>
      <c r="X298" s="288">
        <v>0.76</v>
      </c>
      <c r="Y298" s="288">
        <v>0</v>
      </c>
      <c r="Z298" s="289">
        <v>0</v>
      </c>
      <c r="AA298" s="229"/>
      <c r="AB298" s="52">
        <v>80621.304931111663</v>
      </c>
      <c r="AC298" s="288">
        <v>3.1427504071997121</v>
      </c>
      <c r="AD298" s="288">
        <v>72343.751308504041</v>
      </c>
      <c r="AE298" s="288">
        <v>3.0458123607651939</v>
      </c>
      <c r="AF298" s="288">
        <v>8277.5536226076219</v>
      </c>
      <c r="AG298" s="289">
        <v>9.6938046434518199E-2</v>
      </c>
      <c r="AH298" s="229"/>
      <c r="AI298" s="205">
        <f t="shared" si="34"/>
        <v>233653.73578885957</v>
      </c>
      <c r="AJ298" s="205">
        <f t="shared" si="35"/>
        <v>232237.48476801539</v>
      </c>
      <c r="AK298" s="205">
        <f t="shared" si="36"/>
        <v>1416.2510208441981</v>
      </c>
      <c r="AL298" s="229"/>
      <c r="AM298" s="52">
        <f t="shared" si="30"/>
        <v>1</v>
      </c>
      <c r="AN298" s="52">
        <f t="shared" si="31"/>
        <v>0</v>
      </c>
      <c r="AO298" s="52">
        <f t="shared" si="32"/>
        <v>1</v>
      </c>
      <c r="AP298" s="229"/>
      <c r="AQ298" s="3"/>
      <c r="AR298" s="3"/>
      <c r="AS298" s="3"/>
      <c r="AT298" s="3"/>
      <c r="AU298" s="229"/>
      <c r="AV298" s="318">
        <f t="shared" si="37"/>
        <v>233653.73578885957</v>
      </c>
      <c r="AW298" s="229"/>
      <c r="AX298" s="312"/>
      <c r="AY298" s="14"/>
      <c r="AZ298" s="14">
        <f t="shared" si="39"/>
        <v>8277.5536226076219</v>
      </c>
      <c r="BA298" s="14">
        <f t="shared" si="38"/>
        <v>9.6938046434518199E-2</v>
      </c>
      <c r="BB298" s="14">
        <f t="shared" si="33"/>
        <v>85390.142746471814</v>
      </c>
      <c r="BC298" s="14"/>
      <c r="BD298" s="14"/>
      <c r="BE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  <c r="BV298" s="14"/>
      <c r="BW298" s="14"/>
      <c r="BX298" s="14"/>
      <c r="BY298" s="14"/>
      <c r="BZ298" s="14"/>
      <c r="CA298" s="14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</row>
    <row r="299" spans="1:101" ht="14.25" customHeight="1" x14ac:dyDescent="0.2">
      <c r="A299" s="286"/>
      <c r="B299" s="52">
        <v>0.15191375718015757</v>
      </c>
      <c r="C299" s="288">
        <v>0.49181388314793284</v>
      </c>
      <c r="D299" s="288">
        <v>1.5659607165812051E-2</v>
      </c>
      <c r="E299" s="288">
        <v>1.2129538186495934E-2</v>
      </c>
      <c r="F299" s="289">
        <v>0.74540919719099841</v>
      </c>
      <c r="G299" s="92">
        <v>0.41183250758982659</v>
      </c>
      <c r="H299" s="288">
        <v>7.2435159292055268E-2</v>
      </c>
      <c r="I299" s="288">
        <v>1.8779696302493099E-2</v>
      </c>
      <c r="J299" s="288">
        <v>0.99999667763738764</v>
      </c>
      <c r="K299" s="288">
        <v>0.70278102404999931</v>
      </c>
      <c r="L299" s="290">
        <v>11662.455164882997</v>
      </c>
      <c r="M299" s="288">
        <v>0</v>
      </c>
      <c r="N299" s="288">
        <v>14798.772515131153</v>
      </c>
      <c r="O299" s="288">
        <v>978.40070181903161</v>
      </c>
      <c r="P299" s="288">
        <v>51270.988362782664</v>
      </c>
      <c r="Q299" s="291">
        <v>96485.150773292276</v>
      </c>
      <c r="R299" s="288">
        <v>26696.042543246145</v>
      </c>
      <c r="S299" s="288">
        <v>9373.9676269426473</v>
      </c>
      <c r="T299" s="290">
        <v>0.751</v>
      </c>
      <c r="U299" s="288">
        <v>0.75800000000000001</v>
      </c>
      <c r="V299" s="288">
        <v>0.723923076923077</v>
      </c>
      <c r="W299" s="288">
        <v>0.72750000000000004</v>
      </c>
      <c r="X299" s="288">
        <v>0.76</v>
      </c>
      <c r="Y299" s="288">
        <v>0</v>
      </c>
      <c r="Z299" s="289">
        <v>0</v>
      </c>
      <c r="AA299" s="229"/>
      <c r="AB299" s="52">
        <v>83228.716600192653</v>
      </c>
      <c r="AC299" s="288">
        <v>2.9827771308844913</v>
      </c>
      <c r="AD299" s="288">
        <v>68234.119196988424</v>
      </c>
      <c r="AE299" s="288">
        <v>2.792701545549678</v>
      </c>
      <c r="AF299" s="288">
        <v>14994.597403204229</v>
      </c>
      <c r="AG299" s="289">
        <v>0.19007558533481328</v>
      </c>
      <c r="AH299" s="229"/>
      <c r="AI299" s="205">
        <f t="shared" si="34"/>
        <v>215048.9964882565</v>
      </c>
      <c r="AJ299" s="205">
        <f t="shared" si="35"/>
        <v>211036.03535797942</v>
      </c>
      <c r="AK299" s="205">
        <f t="shared" si="36"/>
        <v>4012.9611302771009</v>
      </c>
      <c r="AL299" s="229"/>
      <c r="AM299" s="52">
        <f t="shared" si="30"/>
        <v>1</v>
      </c>
      <c r="AN299" s="52">
        <f t="shared" si="31"/>
        <v>0</v>
      </c>
      <c r="AO299" s="52">
        <f t="shared" si="32"/>
        <v>1</v>
      </c>
      <c r="AP299" s="229"/>
      <c r="AQ299" s="3"/>
      <c r="AR299" s="3"/>
      <c r="AS299" s="3"/>
      <c r="AT299" s="3"/>
      <c r="AU299" s="229"/>
      <c r="AV299" s="318">
        <f t="shared" si="37"/>
        <v>215048.9964882565</v>
      </c>
      <c r="AW299" s="229"/>
      <c r="AX299" s="312"/>
      <c r="AY299" s="14"/>
      <c r="AZ299" s="14">
        <f t="shared" si="39"/>
        <v>14994.597403204229</v>
      </c>
      <c r="BA299" s="14">
        <f t="shared" si="38"/>
        <v>0.19007558533481328</v>
      </c>
      <c r="BB299" s="14">
        <f t="shared" si="33"/>
        <v>78887.550848740662</v>
      </c>
      <c r="BC299" s="14"/>
      <c r="BD299" s="14"/>
      <c r="BE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  <c r="BV299" s="14"/>
      <c r="BW299" s="14"/>
      <c r="BX299" s="14"/>
      <c r="BY299" s="14"/>
      <c r="BZ299" s="14"/>
      <c r="CA299" s="14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</row>
    <row r="300" spans="1:101" ht="14.25" customHeight="1" x14ac:dyDescent="0.2">
      <c r="A300" s="286"/>
      <c r="B300" s="52">
        <v>0.16215121255561804</v>
      </c>
      <c r="C300" s="288">
        <v>0.11454900996645835</v>
      </c>
      <c r="D300" s="288">
        <v>1.4062683250579048E-2</v>
      </c>
      <c r="E300" s="288">
        <v>1.63038160652762E-2</v>
      </c>
      <c r="F300" s="289">
        <v>0.76272146886762204</v>
      </c>
      <c r="G300" s="92">
        <v>0.41466964780552096</v>
      </c>
      <c r="H300" s="288">
        <v>8.599168893533693E-2</v>
      </c>
      <c r="I300" s="288">
        <v>2.3669200088234033E-2</v>
      </c>
      <c r="J300" s="288">
        <v>0.99999999428779374</v>
      </c>
      <c r="K300" s="288">
        <v>0.71132061946850023</v>
      </c>
      <c r="L300" s="290">
        <v>10125.78724859797</v>
      </c>
      <c r="M300" s="288">
        <v>0</v>
      </c>
      <c r="N300" s="288">
        <v>23313.381993453935</v>
      </c>
      <c r="O300" s="288">
        <v>876.77098656287728</v>
      </c>
      <c r="P300" s="288">
        <v>48057.578720342746</v>
      </c>
      <c r="Q300" s="291">
        <v>102768.44321575391</v>
      </c>
      <c r="R300" s="288">
        <v>18240.766194842749</v>
      </c>
      <c r="S300" s="288">
        <v>8242.7906547806797</v>
      </c>
      <c r="T300" s="290">
        <v>0.751</v>
      </c>
      <c r="U300" s="288">
        <v>0.75800000000000001</v>
      </c>
      <c r="V300" s="288">
        <v>0.723923076923077</v>
      </c>
      <c r="W300" s="288">
        <v>0.72750000000000004</v>
      </c>
      <c r="X300" s="288">
        <v>0.76</v>
      </c>
      <c r="Y300" s="288">
        <v>0</v>
      </c>
      <c r="Z300" s="289">
        <v>0</v>
      </c>
      <c r="AA300" s="229"/>
      <c r="AB300" s="52">
        <v>73098.968358836573</v>
      </c>
      <c r="AC300" s="288">
        <v>3.0624082853315127</v>
      </c>
      <c r="AD300" s="288">
        <v>61194.104199534551</v>
      </c>
      <c r="AE300" s="288">
        <v>2.8314234509632201</v>
      </c>
      <c r="AF300" s="288">
        <v>11904.864159302022</v>
      </c>
      <c r="AG300" s="289">
        <v>0.23098483436829254</v>
      </c>
      <c r="AH300" s="229"/>
      <c r="AI300" s="205">
        <f t="shared" si="34"/>
        <v>233141.86017431467</v>
      </c>
      <c r="AJ300" s="205">
        <f t="shared" si="35"/>
        <v>221948.24089678747</v>
      </c>
      <c r="AK300" s="205">
        <f t="shared" si="36"/>
        <v>11193.619277527232</v>
      </c>
      <c r="AL300" s="229"/>
      <c r="AM300" s="52">
        <f t="shared" si="30"/>
        <v>1</v>
      </c>
      <c r="AN300" s="52">
        <f t="shared" si="31"/>
        <v>0</v>
      </c>
      <c r="AO300" s="52">
        <f t="shared" si="32"/>
        <v>1</v>
      </c>
      <c r="AP300" s="229"/>
      <c r="AQ300" s="3"/>
      <c r="AR300" s="3"/>
      <c r="AS300" s="3"/>
      <c r="AT300" s="3"/>
      <c r="AU300" s="229"/>
      <c r="AV300" s="318">
        <f t="shared" si="37"/>
        <v>233141.86017431467</v>
      </c>
      <c r="AW300" s="229"/>
      <c r="AX300" s="312"/>
      <c r="AY300" s="14"/>
      <c r="AZ300" s="14">
        <f t="shared" si="39"/>
        <v>11904.864159302022</v>
      </c>
      <c r="BA300" s="14">
        <f t="shared" si="38"/>
        <v>0.23098483436829254</v>
      </c>
      <c r="BB300" s="14">
        <f t="shared" si="33"/>
        <v>51539.592163528687</v>
      </c>
      <c r="BC300" s="14"/>
      <c r="BD300" s="14"/>
      <c r="BE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  <c r="BV300" s="14"/>
      <c r="BW300" s="14"/>
      <c r="BX300" s="14"/>
      <c r="BY300" s="14"/>
      <c r="BZ300" s="14"/>
      <c r="CA300" s="14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</row>
    <row r="301" spans="1:101" ht="14.25" customHeight="1" x14ac:dyDescent="0.2">
      <c r="A301" s="286"/>
      <c r="B301" s="52">
        <v>0.19025193376995964</v>
      </c>
      <c r="C301" s="288">
        <v>0.63696115458826552</v>
      </c>
      <c r="D301" s="288">
        <v>1.5650097829793097E-2</v>
      </c>
      <c r="E301" s="288">
        <v>1.7550504031770386E-2</v>
      </c>
      <c r="F301" s="289">
        <v>0.79234850047931993</v>
      </c>
      <c r="G301" s="92">
        <v>0.42464003494968816</v>
      </c>
      <c r="H301" s="288">
        <v>0.12343393490719828</v>
      </c>
      <c r="I301" s="288">
        <v>4.5040762917418542E-2</v>
      </c>
      <c r="J301" s="288">
        <v>0.99988778097512188</v>
      </c>
      <c r="K301" s="288">
        <v>0.7523029241395216</v>
      </c>
      <c r="L301" s="290">
        <v>8534.4728686057224</v>
      </c>
      <c r="M301" s="288">
        <v>0</v>
      </c>
      <c r="N301" s="288">
        <v>15298.171424311027</v>
      </c>
      <c r="O301" s="288">
        <v>891.7658613565402</v>
      </c>
      <c r="P301" s="288">
        <v>36009.446092513572</v>
      </c>
      <c r="Q301" s="291">
        <v>79457.995292756459</v>
      </c>
      <c r="R301" s="288">
        <v>31194.758951743243</v>
      </c>
      <c r="S301" s="288">
        <v>9905.0320501354126</v>
      </c>
      <c r="T301" s="290">
        <v>0.751</v>
      </c>
      <c r="U301" s="288">
        <v>0.75800000000000001</v>
      </c>
      <c r="V301" s="288">
        <v>0.723923076923077</v>
      </c>
      <c r="W301" s="288">
        <v>0.72750000000000004</v>
      </c>
      <c r="X301" s="288">
        <v>0.76</v>
      </c>
      <c r="Y301" s="288">
        <v>0</v>
      </c>
      <c r="Z301" s="289">
        <v>0</v>
      </c>
      <c r="AA301" s="229"/>
      <c r="AB301" s="52">
        <v>90439.162337928923</v>
      </c>
      <c r="AC301" s="288">
        <v>3.1997742034824386</v>
      </c>
      <c r="AD301" s="288">
        <v>79124.876964537587</v>
      </c>
      <c r="AE301" s="288">
        <v>3.0188529569550306</v>
      </c>
      <c r="AF301" s="288">
        <v>11314.285373391336</v>
      </c>
      <c r="AG301" s="289">
        <v>0.18092124652740793</v>
      </c>
      <c r="AH301" s="229"/>
      <c r="AI301" s="205">
        <f t="shared" si="34"/>
        <v>229538.25801031492</v>
      </c>
      <c r="AJ301" s="205">
        <f t="shared" si="35"/>
        <v>222760.41873096547</v>
      </c>
      <c r="AK301" s="205">
        <f t="shared" si="36"/>
        <v>6777.8392793494568</v>
      </c>
      <c r="AL301" s="229"/>
      <c r="AM301" s="52">
        <f t="shared" si="30"/>
        <v>1</v>
      </c>
      <c r="AN301" s="52">
        <f t="shared" si="31"/>
        <v>0</v>
      </c>
      <c r="AO301" s="52">
        <f t="shared" si="32"/>
        <v>1</v>
      </c>
      <c r="AP301" s="229"/>
      <c r="AQ301" s="3"/>
      <c r="AR301" s="3"/>
      <c r="AS301" s="3"/>
      <c r="AT301" s="3"/>
      <c r="AU301" s="229"/>
      <c r="AV301" s="318">
        <f t="shared" si="37"/>
        <v>229538.25801031492</v>
      </c>
      <c r="AW301" s="229"/>
      <c r="AX301" s="312"/>
      <c r="AY301" s="14"/>
      <c r="AZ301" s="14">
        <f t="shared" si="39"/>
        <v>11314.285373391336</v>
      </c>
      <c r="BA301" s="14">
        <f t="shared" si="38"/>
        <v>0.18092124652740793</v>
      </c>
      <c r="BB301" s="14">
        <f t="shared" si="33"/>
        <v>62537.073950998478</v>
      </c>
      <c r="BC301" s="14"/>
      <c r="BD301" s="14"/>
      <c r="BE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14"/>
      <c r="BS301" s="14"/>
      <c r="BT301" s="14"/>
      <c r="BU301" s="14"/>
      <c r="BV301" s="14"/>
      <c r="BW301" s="14"/>
      <c r="BX301" s="14"/>
      <c r="BY301" s="14"/>
      <c r="BZ301" s="14"/>
      <c r="CA301" s="14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</row>
    <row r="302" spans="1:101" ht="14.25" customHeight="1" x14ac:dyDescent="0.2">
      <c r="A302" s="286"/>
      <c r="B302" s="52">
        <v>0.1829082029324105</v>
      </c>
      <c r="C302" s="288">
        <v>9.7415585226012638E-2</v>
      </c>
      <c r="D302" s="288">
        <v>1.0894226485836879E-2</v>
      </c>
      <c r="E302" s="288">
        <v>1.5289960022637383E-2</v>
      </c>
      <c r="F302" s="289">
        <v>0.79958635739887618</v>
      </c>
      <c r="G302" s="92">
        <v>0.43330797486209482</v>
      </c>
      <c r="H302" s="288">
        <v>0.50444588676960489</v>
      </c>
      <c r="I302" s="288">
        <v>4.8581048256472964E-3</v>
      </c>
      <c r="J302" s="288">
        <v>4.370997062937286E-2</v>
      </c>
      <c r="K302" s="288">
        <v>0.73994237615958369</v>
      </c>
      <c r="L302" s="290">
        <v>9718.6473585122676</v>
      </c>
      <c r="M302" s="288">
        <v>0</v>
      </c>
      <c r="N302" s="288">
        <v>13392.519364411291</v>
      </c>
      <c r="O302" s="288">
        <v>1729.68080586888</v>
      </c>
      <c r="P302" s="288">
        <v>51668.580208549494</v>
      </c>
      <c r="Q302" s="291">
        <v>118152.03480047658</v>
      </c>
      <c r="R302" s="288">
        <v>21513.766882909611</v>
      </c>
      <c r="S302" s="288">
        <v>10272.023896520492</v>
      </c>
      <c r="T302" s="290">
        <v>0.751</v>
      </c>
      <c r="U302" s="288">
        <v>0.75800000000000001</v>
      </c>
      <c r="V302" s="288">
        <v>0.723923076923077</v>
      </c>
      <c r="W302" s="288">
        <v>0.72750000000000004</v>
      </c>
      <c r="X302" s="288">
        <v>0.76</v>
      </c>
      <c r="Y302" s="288">
        <v>0</v>
      </c>
      <c r="Z302" s="289">
        <v>0</v>
      </c>
      <c r="AA302" s="229"/>
      <c r="AB302" s="52">
        <v>91986.909735624446</v>
      </c>
      <c r="AC302" s="288">
        <v>3.2335418283218544</v>
      </c>
      <c r="AD302" s="288">
        <v>81479.01996066609</v>
      </c>
      <c r="AE302" s="288">
        <v>2.9620440916865993</v>
      </c>
      <c r="AF302" s="288">
        <v>10507.889774958356</v>
      </c>
      <c r="AG302" s="289">
        <v>0.27149773663525512</v>
      </c>
      <c r="AH302" s="229"/>
      <c r="AI302" s="205">
        <f t="shared" si="34"/>
        <v>231367.27309656102</v>
      </c>
      <c r="AJ302" s="205">
        <f t="shared" si="35"/>
        <v>214725.38920799387</v>
      </c>
      <c r="AK302" s="205">
        <f t="shared" si="36"/>
        <v>16641.883888567158</v>
      </c>
      <c r="AL302" s="229"/>
      <c r="AM302" s="52">
        <f t="shared" si="30"/>
        <v>1</v>
      </c>
      <c r="AN302" s="52">
        <f t="shared" si="31"/>
        <v>0</v>
      </c>
      <c r="AO302" s="52">
        <f t="shared" si="32"/>
        <v>1</v>
      </c>
      <c r="AP302" s="229"/>
      <c r="AQ302" s="3"/>
      <c r="AR302" s="3"/>
      <c r="AS302" s="3"/>
      <c r="AT302" s="3"/>
      <c r="AU302" s="229"/>
      <c r="AV302" s="318">
        <f t="shared" si="37"/>
        <v>231367.27309656102</v>
      </c>
      <c r="AW302" s="229"/>
      <c r="AX302" s="312"/>
      <c r="AY302" s="14"/>
      <c r="AZ302" s="14">
        <f t="shared" si="39"/>
        <v>10507.889774958356</v>
      </c>
      <c r="BA302" s="14">
        <f t="shared" si="38"/>
        <v>0.27149773663525512</v>
      </c>
      <c r="BB302" s="14">
        <f t="shared" si="33"/>
        <v>38703.415745506667</v>
      </c>
      <c r="BC302" s="14"/>
      <c r="BD302" s="14"/>
      <c r="BE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14"/>
      <c r="BS302" s="14"/>
      <c r="BT302" s="14"/>
      <c r="BU302" s="14"/>
      <c r="BV302" s="14"/>
      <c r="BW302" s="14"/>
      <c r="BX302" s="14"/>
      <c r="BY302" s="14"/>
      <c r="BZ302" s="14"/>
      <c r="CA302" s="14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</row>
    <row r="303" spans="1:101" ht="14.25" customHeight="1" x14ac:dyDescent="0.2">
      <c r="A303" s="286"/>
      <c r="B303" s="52">
        <v>0.19050814890291023</v>
      </c>
      <c r="C303" s="288">
        <v>0.66230325761057118</v>
      </c>
      <c r="D303" s="288">
        <v>2.3691273383091849E-2</v>
      </c>
      <c r="E303" s="288">
        <v>2.4345404943011406E-2</v>
      </c>
      <c r="F303" s="289">
        <v>0.77033246133219246</v>
      </c>
      <c r="G303" s="92">
        <v>0.38742631054753912</v>
      </c>
      <c r="H303" s="288">
        <v>8.5659368783407755E-2</v>
      </c>
      <c r="I303" s="288">
        <v>1.767017009191274E-2</v>
      </c>
      <c r="J303" s="288">
        <v>0.99999999999979705</v>
      </c>
      <c r="K303" s="288">
        <v>0.76066301552189874</v>
      </c>
      <c r="L303" s="290">
        <v>14068.183038947516</v>
      </c>
      <c r="M303" s="288">
        <v>0</v>
      </c>
      <c r="N303" s="288">
        <v>15934.819488854166</v>
      </c>
      <c r="O303" s="288">
        <v>1593.7020742667823</v>
      </c>
      <c r="P303" s="288">
        <v>41709.005773178891</v>
      </c>
      <c r="Q303" s="291">
        <v>100757.07707761033</v>
      </c>
      <c r="R303" s="288">
        <v>33378.294115042561</v>
      </c>
      <c r="S303" s="288">
        <v>12220.089395917546</v>
      </c>
      <c r="T303" s="290">
        <v>0.751</v>
      </c>
      <c r="U303" s="288">
        <v>0.75800000000000001</v>
      </c>
      <c r="V303" s="288">
        <v>0.723923076923077</v>
      </c>
      <c r="W303" s="288">
        <v>0.72750000000000004</v>
      </c>
      <c r="X303" s="288">
        <v>0.76</v>
      </c>
      <c r="Y303" s="288">
        <v>0</v>
      </c>
      <c r="Z303" s="289">
        <v>0</v>
      </c>
      <c r="AA303" s="229"/>
      <c r="AB303" s="52">
        <v>112259.84225158974</v>
      </c>
      <c r="AC303" s="288">
        <v>3.0975652877021966</v>
      </c>
      <c r="AD303" s="288">
        <v>95630.516065225005</v>
      </c>
      <c r="AE303" s="288">
        <v>3.0574123168048786</v>
      </c>
      <c r="AF303" s="288">
        <v>16629.326186364735</v>
      </c>
      <c r="AG303" s="289">
        <v>4.0152970897318063E-2</v>
      </c>
      <c r="AH303" s="229"/>
      <c r="AI303" s="205">
        <f t="shared" si="34"/>
        <v>197496.6865186299</v>
      </c>
      <c r="AJ303" s="205">
        <f t="shared" si="35"/>
        <v>210110.71561526286</v>
      </c>
      <c r="AK303" s="205">
        <f t="shared" si="36"/>
        <v>-12614.029096632928</v>
      </c>
      <c r="AL303" s="229"/>
      <c r="AM303" s="52">
        <f t="shared" si="30"/>
        <v>0</v>
      </c>
      <c r="AN303" s="52">
        <f t="shared" si="31"/>
        <v>1</v>
      </c>
      <c r="AO303" s="52">
        <f t="shared" si="32"/>
        <v>0</v>
      </c>
      <c r="AP303" s="229"/>
      <c r="AQ303" s="3"/>
      <c r="AR303" s="3"/>
      <c r="AS303" s="3"/>
      <c r="AT303" s="3"/>
      <c r="AU303" s="229"/>
      <c r="AV303" s="318">
        <f t="shared" si="37"/>
        <v>210110.71561526286</v>
      </c>
      <c r="AW303" s="229"/>
      <c r="AX303" s="312"/>
      <c r="AY303" s="14"/>
      <c r="AZ303" s="14">
        <f t="shared" si="39"/>
        <v>16629.326186364735</v>
      </c>
      <c r="BA303" s="14">
        <f t="shared" si="38"/>
        <v>4.0152970897318063E-2</v>
      </c>
      <c r="BB303" s="14">
        <f t="shared" si="33"/>
        <v>414149.33477501303</v>
      </c>
      <c r="BC303" s="14"/>
      <c r="BD303" s="14"/>
      <c r="BE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14"/>
      <c r="BS303" s="14"/>
      <c r="BT303" s="14"/>
      <c r="BU303" s="14"/>
      <c r="BV303" s="14"/>
      <c r="BW303" s="14"/>
      <c r="BX303" s="14"/>
      <c r="BY303" s="14"/>
      <c r="BZ303" s="14"/>
      <c r="CA303" s="14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</row>
    <row r="304" spans="1:101" ht="14.25" customHeight="1" x14ac:dyDescent="0.2">
      <c r="A304" s="286"/>
      <c r="B304" s="52">
        <v>0.14866487125590108</v>
      </c>
      <c r="C304" s="288">
        <v>0.43332614295554595</v>
      </c>
      <c r="D304" s="288">
        <v>1.6715880860974308E-2</v>
      </c>
      <c r="E304" s="288">
        <v>2.2621354922309322E-2</v>
      </c>
      <c r="F304" s="289">
        <v>0.7599271358851768</v>
      </c>
      <c r="G304" s="92">
        <v>0.42406517753216821</v>
      </c>
      <c r="H304" s="288">
        <v>0.78103562742607335</v>
      </c>
      <c r="I304" s="288">
        <v>1.3204968150263894E-2</v>
      </c>
      <c r="J304" s="288">
        <v>0.99999999985439292</v>
      </c>
      <c r="K304" s="288">
        <v>0.77614468890513222</v>
      </c>
      <c r="L304" s="290">
        <v>13511.49688296507</v>
      </c>
      <c r="M304" s="288">
        <v>0</v>
      </c>
      <c r="N304" s="288">
        <v>12854.824092574032</v>
      </c>
      <c r="O304" s="288">
        <v>1271.9719751167268</v>
      </c>
      <c r="P304" s="288">
        <v>45043.494011970462</v>
      </c>
      <c r="Q304" s="291">
        <v>103718.96076392791</v>
      </c>
      <c r="R304" s="288">
        <v>34099.300627824698</v>
      </c>
      <c r="S304" s="288">
        <v>9173.6178164927423</v>
      </c>
      <c r="T304" s="290">
        <v>0.751</v>
      </c>
      <c r="U304" s="288">
        <v>0.75800000000000001</v>
      </c>
      <c r="V304" s="288">
        <v>0.723923076923077</v>
      </c>
      <c r="W304" s="288">
        <v>0.72750000000000004</v>
      </c>
      <c r="X304" s="288">
        <v>0.76</v>
      </c>
      <c r="Y304" s="288">
        <v>0</v>
      </c>
      <c r="Z304" s="289">
        <v>0</v>
      </c>
      <c r="AA304" s="229"/>
      <c r="AB304" s="52">
        <v>85189.904356291227</v>
      </c>
      <c r="AC304" s="288">
        <v>3.0495233928899292</v>
      </c>
      <c r="AD304" s="288">
        <v>83669.997869981715</v>
      </c>
      <c r="AE304" s="288">
        <v>3.129109548479641</v>
      </c>
      <c r="AF304" s="288">
        <v>1519.9064863095118</v>
      </c>
      <c r="AG304" s="289">
        <v>-7.9586155589711716E-2</v>
      </c>
      <c r="AH304" s="229"/>
      <c r="AI304" s="205">
        <f t="shared" si="34"/>
        <v>219762.4349327017</v>
      </c>
      <c r="AJ304" s="205">
        <f t="shared" si="35"/>
        <v>229240.95697798239</v>
      </c>
      <c r="AK304" s="205">
        <f t="shared" si="36"/>
        <v>-9478.5220452806825</v>
      </c>
      <c r="AL304" s="229"/>
      <c r="AM304" s="52">
        <f t="shared" si="30"/>
        <v>0</v>
      </c>
      <c r="AN304" s="52">
        <f t="shared" si="31"/>
        <v>1</v>
      </c>
      <c r="AO304" s="52">
        <f t="shared" si="32"/>
        <v>0</v>
      </c>
      <c r="AP304" s="229"/>
      <c r="AQ304" s="3"/>
      <c r="AR304" s="3"/>
      <c r="AS304" s="3"/>
      <c r="AT304" s="3"/>
      <c r="AU304" s="229"/>
      <c r="AV304" s="318">
        <f t="shared" si="37"/>
        <v>229240.95697798239</v>
      </c>
      <c r="AW304" s="229"/>
      <c r="AX304" s="312"/>
      <c r="AY304" s="14"/>
      <c r="AZ304" s="14">
        <f t="shared" si="39"/>
        <v>1519.9064863095118</v>
      </c>
      <c r="BA304" s="14">
        <f t="shared" si="38"/>
        <v>-7.9586155589711716E-2</v>
      </c>
      <c r="BB304" s="14">
        <f t="shared" si="33"/>
        <v>-19097.624141377593</v>
      </c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</row>
    <row r="305" spans="1:101" ht="14.25" customHeight="1" x14ac:dyDescent="0.2">
      <c r="A305" s="286"/>
      <c r="B305" s="52">
        <v>0.14883975092253238</v>
      </c>
      <c r="C305" s="288">
        <v>0.35292200771422388</v>
      </c>
      <c r="D305" s="288">
        <v>7.4162275654597008E-3</v>
      </c>
      <c r="E305" s="288">
        <v>1.9055944740095976E-2</v>
      </c>
      <c r="F305" s="289">
        <v>0.80491748182613909</v>
      </c>
      <c r="G305" s="92">
        <v>0.40418078166466598</v>
      </c>
      <c r="H305" s="288">
        <v>0.63155452681234237</v>
      </c>
      <c r="I305" s="288">
        <v>1.6889674871634619E-2</v>
      </c>
      <c r="J305" s="288">
        <v>0.11880454027584561</v>
      </c>
      <c r="K305" s="288">
        <v>0.75628306055285288</v>
      </c>
      <c r="L305" s="290">
        <v>9437.9063677587383</v>
      </c>
      <c r="M305" s="288">
        <v>0</v>
      </c>
      <c r="N305" s="288">
        <v>22107.339927386623</v>
      </c>
      <c r="O305" s="288">
        <v>721.29956255206412</v>
      </c>
      <c r="P305" s="288">
        <v>40954.0538658437</v>
      </c>
      <c r="Q305" s="291">
        <v>87830.238923725818</v>
      </c>
      <c r="R305" s="288">
        <v>22346.186367766888</v>
      </c>
      <c r="S305" s="288">
        <v>11037.629350726609</v>
      </c>
      <c r="T305" s="290">
        <v>0.751</v>
      </c>
      <c r="U305" s="288">
        <v>0.75800000000000001</v>
      </c>
      <c r="V305" s="288">
        <v>0.723923076923077</v>
      </c>
      <c r="W305" s="288">
        <v>0.72750000000000004</v>
      </c>
      <c r="X305" s="288">
        <v>0.76</v>
      </c>
      <c r="Y305" s="288">
        <v>0</v>
      </c>
      <c r="Z305" s="289">
        <v>0</v>
      </c>
      <c r="AA305" s="229"/>
      <c r="AB305" s="52">
        <v>98793.036333181502</v>
      </c>
      <c r="AC305" s="288">
        <v>3.2584662999766554</v>
      </c>
      <c r="AD305" s="288">
        <v>89842.07204601077</v>
      </c>
      <c r="AE305" s="288">
        <v>3.0371968534386737</v>
      </c>
      <c r="AF305" s="288">
        <v>8950.9642871707329</v>
      </c>
      <c r="AG305" s="289">
        <v>0.22126944653798164</v>
      </c>
      <c r="AH305" s="229"/>
      <c r="AI305" s="205">
        <f t="shared" si="34"/>
        <v>227053.59366448404</v>
      </c>
      <c r="AJ305" s="205">
        <f t="shared" si="35"/>
        <v>213877.61329785665</v>
      </c>
      <c r="AK305" s="205">
        <f t="shared" si="36"/>
        <v>13175.980366627431</v>
      </c>
      <c r="AL305" s="229"/>
      <c r="AM305" s="52">
        <f t="shared" si="30"/>
        <v>1</v>
      </c>
      <c r="AN305" s="52">
        <f t="shared" si="31"/>
        <v>0</v>
      </c>
      <c r="AO305" s="52">
        <f t="shared" si="32"/>
        <v>1</v>
      </c>
      <c r="AP305" s="229"/>
      <c r="AQ305" s="3"/>
      <c r="AR305" s="3"/>
      <c r="AS305" s="3"/>
      <c r="AT305" s="3"/>
      <c r="AU305" s="229"/>
      <c r="AV305" s="318">
        <f t="shared" si="37"/>
        <v>227053.59366448404</v>
      </c>
      <c r="AW305" s="229"/>
      <c r="AX305" s="312"/>
      <c r="AY305" s="14"/>
      <c r="AZ305" s="14">
        <f t="shared" si="39"/>
        <v>8950.9642871707329</v>
      </c>
      <c r="BA305" s="14">
        <f t="shared" si="38"/>
        <v>0.22126944653798164</v>
      </c>
      <c r="BB305" s="14">
        <f t="shared" si="33"/>
        <v>40452.780206300515</v>
      </c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</row>
    <row r="306" spans="1:101" ht="14.25" customHeight="1" x14ac:dyDescent="0.2">
      <c r="A306" s="286"/>
      <c r="B306" s="52">
        <v>0.14639244937107679</v>
      </c>
      <c r="C306" s="288">
        <v>7.063666551982252E-2</v>
      </c>
      <c r="D306" s="288">
        <v>1.7810593243852146E-2</v>
      </c>
      <c r="E306" s="288">
        <v>8.5477852764904595E-3</v>
      </c>
      <c r="F306" s="289">
        <v>0.78294472563054462</v>
      </c>
      <c r="G306" s="92">
        <v>0.43991251541977272</v>
      </c>
      <c r="H306" s="288">
        <v>0.62748599978626318</v>
      </c>
      <c r="I306" s="288">
        <v>2.8641850551315184E-2</v>
      </c>
      <c r="J306" s="288">
        <v>0.999996435860393</v>
      </c>
      <c r="K306" s="288">
        <v>0.76896945952701368</v>
      </c>
      <c r="L306" s="290">
        <v>13415.183317998077</v>
      </c>
      <c r="M306" s="288">
        <v>0</v>
      </c>
      <c r="N306" s="288">
        <v>25871.584427571011</v>
      </c>
      <c r="O306" s="288">
        <v>1091.347881718576</v>
      </c>
      <c r="P306" s="288">
        <v>32793.040865801981</v>
      </c>
      <c r="Q306" s="291">
        <v>54324.85498561553</v>
      </c>
      <c r="R306" s="288">
        <v>27127.611095107779</v>
      </c>
      <c r="S306" s="288">
        <v>5404.4611842110862</v>
      </c>
      <c r="T306" s="290">
        <v>0.751</v>
      </c>
      <c r="U306" s="288">
        <v>0.75800000000000001</v>
      </c>
      <c r="V306" s="288">
        <v>0.723923076923077</v>
      </c>
      <c r="W306" s="288">
        <v>0.72750000000000004</v>
      </c>
      <c r="X306" s="288">
        <v>0.76</v>
      </c>
      <c r="Y306" s="288">
        <v>0</v>
      </c>
      <c r="Z306" s="289">
        <v>0</v>
      </c>
      <c r="AA306" s="229"/>
      <c r="AB306" s="52">
        <v>55898.8927809046</v>
      </c>
      <c r="AC306" s="288">
        <v>3.1560243976251514</v>
      </c>
      <c r="AD306" s="288">
        <v>50642.094795465156</v>
      </c>
      <c r="AE306" s="288">
        <v>3.0958333458919531</v>
      </c>
      <c r="AF306" s="288">
        <v>5256.7979854394434</v>
      </c>
      <c r="AG306" s="289">
        <v>6.0191051733198275E-2</v>
      </c>
      <c r="AH306" s="229"/>
      <c r="AI306" s="205">
        <f t="shared" si="34"/>
        <v>259703.54698161053</v>
      </c>
      <c r="AJ306" s="205">
        <f t="shared" si="35"/>
        <v>258941.23979373017</v>
      </c>
      <c r="AK306" s="205">
        <f t="shared" si="36"/>
        <v>762.30718788038394</v>
      </c>
      <c r="AL306" s="229"/>
      <c r="AM306" s="52">
        <f t="shared" si="30"/>
        <v>1</v>
      </c>
      <c r="AN306" s="52">
        <f t="shared" si="31"/>
        <v>0</v>
      </c>
      <c r="AO306" s="52">
        <f t="shared" si="32"/>
        <v>1</v>
      </c>
      <c r="AP306" s="229"/>
      <c r="AQ306" s="3"/>
      <c r="AR306" s="3"/>
      <c r="AS306" s="3"/>
      <c r="AT306" s="3"/>
      <c r="AU306" s="229"/>
      <c r="AV306" s="318">
        <f t="shared" si="37"/>
        <v>259703.54698161053</v>
      </c>
      <c r="AW306" s="229"/>
      <c r="AX306" s="312"/>
      <c r="AY306" s="14"/>
      <c r="AZ306" s="14">
        <f t="shared" si="39"/>
        <v>5256.7979854394434</v>
      </c>
      <c r="BA306" s="14">
        <f t="shared" si="38"/>
        <v>6.0191051733198275E-2</v>
      </c>
      <c r="BB306" s="14">
        <f t="shared" si="33"/>
        <v>87335.20737834301</v>
      </c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</row>
    <row r="307" spans="1:101" ht="14.25" customHeight="1" x14ac:dyDescent="0.2">
      <c r="A307" s="286"/>
      <c r="B307" s="52">
        <v>0.11857521931915115</v>
      </c>
      <c r="C307" s="288">
        <v>0.65540200763042744</v>
      </c>
      <c r="D307" s="288">
        <v>2.1450515813974391E-2</v>
      </c>
      <c r="E307" s="288">
        <v>1.7382617958878299E-2</v>
      </c>
      <c r="F307" s="289">
        <v>0.7602418615883666</v>
      </c>
      <c r="G307" s="92">
        <v>0.4266514841807183</v>
      </c>
      <c r="H307" s="288">
        <v>0.90503488340432492</v>
      </c>
      <c r="I307" s="288">
        <v>1.2058837881157523E-2</v>
      </c>
      <c r="J307" s="288">
        <v>0.80622342385193801</v>
      </c>
      <c r="K307" s="288">
        <v>0.74413801165621241</v>
      </c>
      <c r="L307" s="290">
        <v>13863.18262848491</v>
      </c>
      <c r="M307" s="288">
        <v>0</v>
      </c>
      <c r="N307" s="288">
        <v>17147.675998039744</v>
      </c>
      <c r="O307" s="288">
        <v>1627.5963518802023</v>
      </c>
      <c r="P307" s="288">
        <v>33515.248580758525</v>
      </c>
      <c r="Q307" s="291">
        <v>187485.38697307996</v>
      </c>
      <c r="R307" s="288">
        <v>22065.347926667102</v>
      </c>
      <c r="S307" s="288">
        <v>9346.2565868638321</v>
      </c>
      <c r="T307" s="290">
        <v>0.751</v>
      </c>
      <c r="U307" s="288">
        <v>0.75800000000000001</v>
      </c>
      <c r="V307" s="288">
        <v>0.723923076923077</v>
      </c>
      <c r="W307" s="288">
        <v>0.72750000000000004</v>
      </c>
      <c r="X307" s="288">
        <v>0.76</v>
      </c>
      <c r="Y307" s="288">
        <v>0</v>
      </c>
      <c r="Z307" s="289">
        <v>0</v>
      </c>
      <c r="AA307" s="229"/>
      <c r="AB307" s="52">
        <v>86609.934459642202</v>
      </c>
      <c r="AC307" s="288">
        <v>3.0509740062048536</v>
      </c>
      <c r="AD307" s="288">
        <v>79712.157898842677</v>
      </c>
      <c r="AE307" s="288">
        <v>2.981300161249441</v>
      </c>
      <c r="AF307" s="288">
        <v>6897.7765607995243</v>
      </c>
      <c r="AG307" s="289">
        <v>6.9673844955412623E-2</v>
      </c>
      <c r="AH307" s="229"/>
      <c r="AI307" s="205">
        <f t="shared" si="34"/>
        <v>218487.46616084315</v>
      </c>
      <c r="AJ307" s="205">
        <f t="shared" si="35"/>
        <v>218417.85822610141</v>
      </c>
      <c r="AK307" s="205">
        <f t="shared" si="36"/>
        <v>69.607934741738063</v>
      </c>
      <c r="AL307" s="229"/>
      <c r="AM307" s="52">
        <f t="shared" si="30"/>
        <v>1</v>
      </c>
      <c r="AN307" s="52">
        <f t="shared" si="31"/>
        <v>0</v>
      </c>
      <c r="AO307" s="52">
        <f t="shared" si="32"/>
        <v>1</v>
      </c>
      <c r="AP307" s="229"/>
      <c r="AQ307" s="3"/>
      <c r="AR307" s="3"/>
      <c r="AS307" s="3"/>
      <c r="AT307" s="3"/>
      <c r="AU307" s="229"/>
      <c r="AV307" s="318">
        <f t="shared" si="37"/>
        <v>218487.46616084315</v>
      </c>
      <c r="AW307" s="229"/>
      <c r="AX307" s="312"/>
      <c r="AY307" s="14"/>
      <c r="AZ307" s="14">
        <f t="shared" si="39"/>
        <v>6897.7765607995243</v>
      </c>
      <c r="BA307" s="14">
        <f t="shared" si="38"/>
        <v>6.9673844955412623E-2</v>
      </c>
      <c r="BB307" s="14">
        <f t="shared" si="33"/>
        <v>99000.945982150355</v>
      </c>
      <c r="BC307" s="14"/>
      <c r="BD307" s="14"/>
      <c r="BE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14"/>
      <c r="BS307" s="14"/>
      <c r="BT307" s="14"/>
      <c r="BU307" s="14"/>
      <c r="BV307" s="14"/>
      <c r="BW307" s="14"/>
      <c r="BX307" s="14"/>
      <c r="BY307" s="14"/>
      <c r="BZ307" s="14"/>
      <c r="CA307" s="14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</row>
    <row r="308" spans="1:101" ht="14.25" customHeight="1" x14ac:dyDescent="0.2">
      <c r="A308" s="286"/>
      <c r="B308" s="52">
        <v>0.14946727846802568</v>
      </c>
      <c r="C308" s="288">
        <v>7.2064088847421269E-3</v>
      </c>
      <c r="D308" s="288">
        <v>1.5899201730562695E-2</v>
      </c>
      <c r="E308" s="288">
        <v>2.65497254480207E-2</v>
      </c>
      <c r="F308" s="289">
        <v>0.82804677802715321</v>
      </c>
      <c r="G308" s="92">
        <v>0.37063775214073585</v>
      </c>
      <c r="H308" s="288">
        <v>0.11308972925924912</v>
      </c>
      <c r="I308" s="288">
        <v>1.6430517380421117E-2</v>
      </c>
      <c r="J308" s="288">
        <v>0.90655930932824635</v>
      </c>
      <c r="K308" s="288">
        <v>0.76927724129897335</v>
      </c>
      <c r="L308" s="290">
        <v>13614.342314215788</v>
      </c>
      <c r="M308" s="288">
        <v>0</v>
      </c>
      <c r="N308" s="288">
        <v>23303.647454175905</v>
      </c>
      <c r="O308" s="288">
        <v>1188.5007592015561</v>
      </c>
      <c r="P308" s="288">
        <v>43093.942604076408</v>
      </c>
      <c r="Q308" s="291">
        <v>131021.79735676412</v>
      </c>
      <c r="R308" s="288">
        <v>24259.54042324251</v>
      </c>
      <c r="S308" s="288">
        <v>7125.6712236147487</v>
      </c>
      <c r="T308" s="290">
        <v>0.751</v>
      </c>
      <c r="U308" s="288">
        <v>0.75800000000000001</v>
      </c>
      <c r="V308" s="288">
        <v>0.723923076923077</v>
      </c>
      <c r="W308" s="288">
        <v>0.72750000000000004</v>
      </c>
      <c r="X308" s="288">
        <v>0.76</v>
      </c>
      <c r="Y308" s="288">
        <v>0</v>
      </c>
      <c r="Z308" s="289">
        <v>0</v>
      </c>
      <c r="AA308" s="229"/>
      <c r="AB308" s="52">
        <v>72561.00402175101</v>
      </c>
      <c r="AC308" s="288">
        <v>3.3671183633467101</v>
      </c>
      <c r="AD308" s="288">
        <v>57266.349507154118</v>
      </c>
      <c r="AE308" s="288">
        <v>3.0972590641890902</v>
      </c>
      <c r="AF308" s="288">
        <v>15294.654514596892</v>
      </c>
      <c r="AG308" s="289">
        <v>0.26985929915761986</v>
      </c>
      <c r="AH308" s="229"/>
      <c r="AI308" s="205">
        <f t="shared" si="34"/>
        <v>264150.83231292001</v>
      </c>
      <c r="AJ308" s="205">
        <f t="shared" si="35"/>
        <v>252459.55691175492</v>
      </c>
      <c r="AK308" s="205">
        <f t="shared" si="36"/>
        <v>11691.275401165094</v>
      </c>
      <c r="AL308" s="229"/>
      <c r="AM308" s="52">
        <f t="shared" si="30"/>
        <v>1</v>
      </c>
      <c r="AN308" s="52">
        <f t="shared" si="31"/>
        <v>0</v>
      </c>
      <c r="AO308" s="52">
        <f t="shared" si="32"/>
        <v>1</v>
      </c>
      <c r="AP308" s="229"/>
      <c r="AQ308" s="3"/>
      <c r="AR308" s="3"/>
      <c r="AS308" s="3"/>
      <c r="AT308" s="3"/>
      <c r="AU308" s="229"/>
      <c r="AV308" s="318">
        <f t="shared" si="37"/>
        <v>264150.83231292001</v>
      </c>
      <c r="AW308" s="229"/>
      <c r="AX308" s="312"/>
      <c r="AY308" s="14"/>
      <c r="AZ308" s="14">
        <f t="shared" si="39"/>
        <v>15294.654514596892</v>
      </c>
      <c r="BA308" s="14">
        <f t="shared" si="38"/>
        <v>0.26985929915761986</v>
      </c>
      <c r="BB308" s="14">
        <f t="shared" si="33"/>
        <v>56676.403452984458</v>
      </c>
      <c r="BC308" s="14"/>
      <c r="BD308" s="14"/>
      <c r="BE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  <c r="BV308" s="14"/>
      <c r="BW308" s="14"/>
      <c r="BX308" s="14"/>
      <c r="BY308" s="14"/>
      <c r="BZ308" s="14"/>
      <c r="CA308" s="14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</row>
    <row r="309" spans="1:101" ht="14.25" customHeight="1" x14ac:dyDescent="0.2">
      <c r="A309" s="286"/>
      <c r="B309" s="52">
        <v>0.17028484572003333</v>
      </c>
      <c r="C309" s="288">
        <v>0.21471405891347387</v>
      </c>
      <c r="D309" s="288">
        <v>9.3869329856718919E-3</v>
      </c>
      <c r="E309" s="288">
        <v>1.1479611708566076E-2</v>
      </c>
      <c r="F309" s="289">
        <v>0.76166796338821874</v>
      </c>
      <c r="G309" s="92">
        <v>0.3419920066642449</v>
      </c>
      <c r="H309" s="288">
        <v>0.73317551270475478</v>
      </c>
      <c r="I309" s="288">
        <v>2.7613889817991955E-2</v>
      </c>
      <c r="J309" s="288">
        <v>1</v>
      </c>
      <c r="K309" s="288">
        <v>0.68136290373631991</v>
      </c>
      <c r="L309" s="290">
        <v>8868.8247786249103</v>
      </c>
      <c r="M309" s="288">
        <v>0</v>
      </c>
      <c r="N309" s="288">
        <v>16291.753378023093</v>
      </c>
      <c r="O309" s="288">
        <v>1002.7293168669702</v>
      </c>
      <c r="P309" s="288">
        <v>28293.700800434406</v>
      </c>
      <c r="Q309" s="291">
        <v>105449.09737019951</v>
      </c>
      <c r="R309" s="288">
        <v>14120.750766312205</v>
      </c>
      <c r="S309" s="288">
        <v>10352.815770753785</v>
      </c>
      <c r="T309" s="290">
        <v>0.751</v>
      </c>
      <c r="U309" s="288">
        <v>0.75800000000000001</v>
      </c>
      <c r="V309" s="288">
        <v>0.723923076923077</v>
      </c>
      <c r="W309" s="288">
        <v>0.72750000000000004</v>
      </c>
      <c r="X309" s="288">
        <v>0.76</v>
      </c>
      <c r="Y309" s="288">
        <v>0</v>
      </c>
      <c r="Z309" s="289">
        <v>0</v>
      </c>
      <c r="AA309" s="229"/>
      <c r="AB309" s="52">
        <v>87808.802256421652</v>
      </c>
      <c r="AC309" s="288">
        <v>3.0575490491771906</v>
      </c>
      <c r="AD309" s="288">
        <v>75570.834385577458</v>
      </c>
      <c r="AE309" s="288">
        <v>2.6960890021385855</v>
      </c>
      <c r="AF309" s="288">
        <v>12237.967870844193</v>
      </c>
      <c r="AG309" s="289">
        <v>0.36146004703860513</v>
      </c>
      <c r="AH309" s="229"/>
      <c r="AI309" s="205">
        <f t="shared" si="34"/>
        <v>217946.10266129742</v>
      </c>
      <c r="AJ309" s="205">
        <f t="shared" si="35"/>
        <v>194038.06582828105</v>
      </c>
      <c r="AK309" s="205">
        <f t="shared" si="36"/>
        <v>23908.036833016318</v>
      </c>
      <c r="AL309" s="229"/>
      <c r="AM309" s="52">
        <f t="shared" si="30"/>
        <v>1</v>
      </c>
      <c r="AN309" s="52">
        <f t="shared" si="31"/>
        <v>0</v>
      </c>
      <c r="AO309" s="52">
        <f t="shared" si="32"/>
        <v>1</v>
      </c>
      <c r="AP309" s="229"/>
      <c r="AQ309" s="3"/>
      <c r="AR309" s="3"/>
      <c r="AS309" s="3"/>
      <c r="AT309" s="3"/>
      <c r="AU309" s="229"/>
      <c r="AV309" s="318">
        <f t="shared" si="37"/>
        <v>217946.10266129742</v>
      </c>
      <c r="AW309" s="229"/>
      <c r="AX309" s="312"/>
      <c r="AY309" s="14"/>
      <c r="AZ309" s="14">
        <f t="shared" si="39"/>
        <v>12237.967870844193</v>
      </c>
      <c r="BA309" s="14">
        <f t="shared" si="38"/>
        <v>0.36146004703860513</v>
      </c>
      <c r="BB309" s="14">
        <f t="shared" si="33"/>
        <v>33857.041659536822</v>
      </c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</row>
    <row r="310" spans="1:101" ht="14.25" customHeight="1" x14ac:dyDescent="0.2">
      <c r="A310" s="286"/>
      <c r="B310" s="52">
        <v>0.18824971816546632</v>
      </c>
      <c r="C310" s="288">
        <v>0.12688317142574532</v>
      </c>
      <c r="D310" s="288">
        <v>1.6449062778694179E-2</v>
      </c>
      <c r="E310" s="288">
        <v>1.2699654105081374E-2</v>
      </c>
      <c r="F310" s="289">
        <v>0.75465957580009146</v>
      </c>
      <c r="G310" s="92">
        <v>0.37591446696422631</v>
      </c>
      <c r="H310" s="288">
        <v>2.1603981382580916E-2</v>
      </c>
      <c r="I310" s="288">
        <v>1.3179224213860787E-2</v>
      </c>
      <c r="J310" s="288">
        <v>0.94950388074097736</v>
      </c>
      <c r="K310" s="288">
        <v>0.65171153700832984</v>
      </c>
      <c r="L310" s="290">
        <v>15118.977345707088</v>
      </c>
      <c r="M310" s="288">
        <v>0</v>
      </c>
      <c r="N310" s="288">
        <v>27992.251125993349</v>
      </c>
      <c r="O310" s="288">
        <v>884.41033598974138</v>
      </c>
      <c r="P310" s="288">
        <v>45904.189854889366</v>
      </c>
      <c r="Q310" s="291">
        <v>98166.938740342826</v>
      </c>
      <c r="R310" s="288">
        <v>16030.835529005628</v>
      </c>
      <c r="S310" s="288">
        <v>4236.6938587968998</v>
      </c>
      <c r="T310" s="290">
        <v>0.751</v>
      </c>
      <c r="U310" s="288">
        <v>0.75800000000000001</v>
      </c>
      <c r="V310" s="288">
        <v>0.723923076923077</v>
      </c>
      <c r="W310" s="288">
        <v>0.72750000000000004</v>
      </c>
      <c r="X310" s="288">
        <v>0.76</v>
      </c>
      <c r="Y310" s="288">
        <v>0</v>
      </c>
      <c r="Z310" s="289">
        <v>0</v>
      </c>
      <c r="AA310" s="229"/>
      <c r="AB310" s="52">
        <v>47635.45604090736</v>
      </c>
      <c r="AC310" s="288">
        <v>3.0252675572084753</v>
      </c>
      <c r="AD310" s="288">
        <v>28837.429350614588</v>
      </c>
      <c r="AE310" s="288">
        <v>2.5635314933848625</v>
      </c>
      <c r="AF310" s="288">
        <v>18798.026690292772</v>
      </c>
      <c r="AG310" s="289">
        <v>0.46173606382361276</v>
      </c>
      <c r="AH310" s="229"/>
      <c r="AI310" s="205">
        <f t="shared" si="34"/>
        <v>254891.29967994016</v>
      </c>
      <c r="AJ310" s="205">
        <f t="shared" si="35"/>
        <v>227515.71998787168</v>
      </c>
      <c r="AK310" s="205">
        <f t="shared" si="36"/>
        <v>27375.579692068506</v>
      </c>
      <c r="AL310" s="229"/>
      <c r="AM310" s="52">
        <f t="shared" si="30"/>
        <v>1</v>
      </c>
      <c r="AN310" s="52">
        <f t="shared" si="31"/>
        <v>0</v>
      </c>
      <c r="AO310" s="52">
        <f t="shared" si="32"/>
        <v>1</v>
      </c>
      <c r="AP310" s="229"/>
      <c r="AQ310" s="3"/>
      <c r="AR310" s="3"/>
      <c r="AS310" s="3"/>
      <c r="AT310" s="3"/>
      <c r="AU310" s="229"/>
      <c r="AV310" s="318">
        <f t="shared" si="37"/>
        <v>254891.29967994016</v>
      </c>
      <c r="AW310" s="229"/>
      <c r="AX310" s="312"/>
      <c r="AY310" s="14"/>
      <c r="AZ310" s="14">
        <f t="shared" si="39"/>
        <v>18798.026690292772</v>
      </c>
      <c r="BA310" s="14">
        <f t="shared" si="38"/>
        <v>0.46173606382361276</v>
      </c>
      <c r="BB310" s="14">
        <f t="shared" si="33"/>
        <v>40711.627622558379</v>
      </c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</row>
    <row r="311" spans="1:101" ht="14.25" customHeight="1" x14ac:dyDescent="0.2">
      <c r="A311" s="286"/>
      <c r="B311" s="52">
        <v>0.15310913107200963</v>
      </c>
      <c r="C311" s="288">
        <v>0.87779124885146587</v>
      </c>
      <c r="D311" s="288">
        <v>1.9920709136911352E-2</v>
      </c>
      <c r="E311" s="288">
        <v>9.8211690180629429E-3</v>
      </c>
      <c r="F311" s="289">
        <v>0.79869566681542126</v>
      </c>
      <c r="G311" s="92">
        <v>0.43123391739470873</v>
      </c>
      <c r="H311" s="288">
        <v>0.14794154897837597</v>
      </c>
      <c r="I311" s="288">
        <v>1.3979199196911889E-2</v>
      </c>
      <c r="J311" s="288">
        <v>0.99996607601703691</v>
      </c>
      <c r="K311" s="288">
        <v>0.71523891686169461</v>
      </c>
      <c r="L311" s="290">
        <v>15326.539090653971</v>
      </c>
      <c r="M311" s="288">
        <v>0</v>
      </c>
      <c r="N311" s="288">
        <v>18583.667349297619</v>
      </c>
      <c r="O311" s="288">
        <v>1102.3298013242111</v>
      </c>
      <c r="P311" s="288">
        <v>37132.873505929165</v>
      </c>
      <c r="Q311" s="291">
        <v>100210.78743167076</v>
      </c>
      <c r="R311" s="288">
        <v>20508.067709338204</v>
      </c>
      <c r="S311" s="288">
        <v>7329.7663141785479</v>
      </c>
      <c r="T311" s="290">
        <v>0.751</v>
      </c>
      <c r="U311" s="288">
        <v>0.75800000000000001</v>
      </c>
      <c r="V311" s="288">
        <v>0.723923076923077</v>
      </c>
      <c r="W311" s="288">
        <v>0.72750000000000004</v>
      </c>
      <c r="X311" s="288">
        <v>0.76</v>
      </c>
      <c r="Y311" s="288">
        <v>0</v>
      </c>
      <c r="Z311" s="289">
        <v>0</v>
      </c>
      <c r="AA311" s="229"/>
      <c r="AB311" s="52">
        <v>76529.353919803485</v>
      </c>
      <c r="AC311" s="288">
        <v>3.2293819511760571</v>
      </c>
      <c r="AD311" s="288">
        <v>55090.083757683453</v>
      </c>
      <c r="AE311" s="288">
        <v>2.8492290334409303</v>
      </c>
      <c r="AF311" s="288">
        <v>21439.270162120032</v>
      </c>
      <c r="AG311" s="289">
        <v>0.38015291773512683</v>
      </c>
      <c r="AH311" s="229"/>
      <c r="AI311" s="205">
        <f t="shared" si="34"/>
        <v>246408.84119780225</v>
      </c>
      <c r="AJ311" s="205">
        <f t="shared" si="35"/>
        <v>229832.81958640955</v>
      </c>
      <c r="AK311" s="205">
        <f t="shared" si="36"/>
        <v>16576.021611392651</v>
      </c>
      <c r="AL311" s="229"/>
      <c r="AM311" s="52">
        <f t="shared" si="30"/>
        <v>1</v>
      </c>
      <c r="AN311" s="52">
        <f t="shared" si="31"/>
        <v>0</v>
      </c>
      <c r="AO311" s="52">
        <f t="shared" si="32"/>
        <v>1</v>
      </c>
      <c r="AP311" s="229"/>
      <c r="AQ311" s="3"/>
      <c r="AR311" s="3"/>
      <c r="AS311" s="3"/>
      <c r="AT311" s="3"/>
      <c r="AU311" s="229"/>
      <c r="AV311" s="318">
        <f t="shared" si="37"/>
        <v>246408.84119780225</v>
      </c>
      <c r="AW311" s="229"/>
      <c r="AX311" s="312"/>
      <c r="AY311" s="14"/>
      <c r="AZ311" s="14">
        <f t="shared" si="39"/>
        <v>21439.270162120032</v>
      </c>
      <c r="BA311" s="14">
        <f t="shared" si="38"/>
        <v>0.38015291773512683</v>
      </c>
      <c r="BB311" s="14">
        <f t="shared" si="33"/>
        <v>56396.437228078663</v>
      </c>
      <c r="BC311" s="14"/>
      <c r="BD311" s="14"/>
      <c r="BE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14"/>
      <c r="BS311" s="14"/>
      <c r="BT311" s="14"/>
      <c r="BU311" s="14"/>
      <c r="BV311" s="14"/>
      <c r="BW311" s="14"/>
      <c r="BX311" s="14"/>
      <c r="BY311" s="14"/>
      <c r="BZ311" s="14"/>
      <c r="CA311" s="14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</row>
    <row r="312" spans="1:101" ht="14.25" customHeight="1" x14ac:dyDescent="0.2">
      <c r="A312" s="286"/>
      <c r="B312" s="52">
        <v>0.14931912723475807</v>
      </c>
      <c r="C312" s="288">
        <v>0.39438828098152678</v>
      </c>
      <c r="D312" s="288">
        <v>2.5196452156254212E-2</v>
      </c>
      <c r="E312" s="288">
        <v>7.3828562257704953E-3</v>
      </c>
      <c r="F312" s="289">
        <v>0.76843350517696085</v>
      </c>
      <c r="G312" s="92">
        <v>0.40993544423494455</v>
      </c>
      <c r="H312" s="288">
        <v>0.87851559054700501</v>
      </c>
      <c r="I312" s="288">
        <v>1.3987248249597279E-2</v>
      </c>
      <c r="J312" s="288">
        <v>0.99972151998684167</v>
      </c>
      <c r="K312" s="288">
        <v>0.80871343130830187</v>
      </c>
      <c r="L312" s="290">
        <v>15165.836326606477</v>
      </c>
      <c r="M312" s="288">
        <v>0</v>
      </c>
      <c r="N312" s="288">
        <v>16126.186931589082</v>
      </c>
      <c r="O312" s="288">
        <v>1337.8336936135445</v>
      </c>
      <c r="P312" s="288">
        <v>48417.634145890464</v>
      </c>
      <c r="Q312" s="291">
        <v>69472.756237936585</v>
      </c>
      <c r="R312" s="288">
        <v>23169.99449181301</v>
      </c>
      <c r="S312" s="288">
        <v>9249.2325605828373</v>
      </c>
      <c r="T312" s="290">
        <v>0.751</v>
      </c>
      <c r="U312" s="288">
        <v>0.75800000000000001</v>
      </c>
      <c r="V312" s="288">
        <v>0.723923076923077</v>
      </c>
      <c r="W312" s="288">
        <v>0.72750000000000004</v>
      </c>
      <c r="X312" s="288">
        <v>0.76</v>
      </c>
      <c r="Y312" s="288">
        <v>0</v>
      </c>
      <c r="Z312" s="289">
        <v>0</v>
      </c>
      <c r="AA312" s="229"/>
      <c r="AB312" s="52">
        <v>87372.951054732883</v>
      </c>
      <c r="AC312" s="288">
        <v>3.0887850464013824</v>
      </c>
      <c r="AD312" s="288">
        <v>84183.697526722593</v>
      </c>
      <c r="AE312" s="288">
        <v>3.2811721347787586</v>
      </c>
      <c r="AF312" s="288">
        <v>3189.2535280102893</v>
      </c>
      <c r="AG312" s="289">
        <v>-0.19238708837737617</v>
      </c>
      <c r="AH312" s="229"/>
      <c r="AI312" s="205">
        <f t="shared" si="34"/>
        <v>221505.55358540535</v>
      </c>
      <c r="AJ312" s="205">
        <f t="shared" si="35"/>
        <v>243933.51595115327</v>
      </c>
      <c r="AK312" s="205">
        <f t="shared" si="36"/>
        <v>-22427.962365747906</v>
      </c>
      <c r="AL312" s="229"/>
      <c r="AM312" s="52">
        <f t="shared" si="30"/>
        <v>0</v>
      </c>
      <c r="AN312" s="52">
        <f t="shared" si="31"/>
        <v>1</v>
      </c>
      <c r="AO312" s="52">
        <f t="shared" si="32"/>
        <v>0</v>
      </c>
      <c r="AP312" s="229"/>
      <c r="AQ312" s="3"/>
      <c r="AR312" s="3"/>
      <c r="AS312" s="3"/>
      <c r="AT312" s="3"/>
      <c r="AU312" s="229"/>
      <c r="AV312" s="318">
        <f t="shared" si="37"/>
        <v>243933.51595115327</v>
      </c>
      <c r="AW312" s="229"/>
      <c r="AX312" s="312"/>
      <c r="AY312" s="14"/>
      <c r="AZ312" s="14">
        <f t="shared" si="39"/>
        <v>3189.2535280102893</v>
      </c>
      <c r="BA312" s="14">
        <f t="shared" si="38"/>
        <v>-0.19238708837737617</v>
      </c>
      <c r="BB312" s="14">
        <f t="shared" si="33"/>
        <v>-16577.274259457688</v>
      </c>
      <c r="BC312" s="14"/>
      <c r="BD312" s="14"/>
      <c r="BE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14"/>
      <c r="BS312" s="14"/>
      <c r="BT312" s="14"/>
      <c r="BU312" s="14"/>
      <c r="BV312" s="14"/>
      <c r="BW312" s="14"/>
      <c r="BX312" s="14"/>
      <c r="BY312" s="14"/>
      <c r="BZ312" s="14"/>
      <c r="CA312" s="14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</row>
    <row r="313" spans="1:101" ht="14.25" customHeight="1" x14ac:dyDescent="0.2">
      <c r="A313" s="286"/>
      <c r="B313" s="52">
        <v>0.18333739197880838</v>
      </c>
      <c r="C313" s="288">
        <v>9.5504773159321696E-2</v>
      </c>
      <c r="D313" s="288">
        <v>7.6723406875347034E-3</v>
      </c>
      <c r="E313" s="288">
        <v>6.4912260051149546E-3</v>
      </c>
      <c r="F313" s="289">
        <v>0.80057046152332378</v>
      </c>
      <c r="G313" s="92">
        <v>0.42307290177332058</v>
      </c>
      <c r="H313" s="288">
        <v>0.44050984018794098</v>
      </c>
      <c r="I313" s="288">
        <v>3.7439963373421814E-2</v>
      </c>
      <c r="J313" s="288">
        <v>0.99961444745290617</v>
      </c>
      <c r="K313" s="288">
        <v>0.7582297446248899</v>
      </c>
      <c r="L313" s="290">
        <v>12982.190616871518</v>
      </c>
      <c r="M313" s="288">
        <v>0</v>
      </c>
      <c r="N313" s="288">
        <v>18248.811931482043</v>
      </c>
      <c r="O313" s="288">
        <v>1152.4521998709954</v>
      </c>
      <c r="P313" s="288">
        <v>46050.997104131653</v>
      </c>
      <c r="Q313" s="291">
        <v>89657.296908380056</v>
      </c>
      <c r="R313" s="288">
        <v>33520.223617674979</v>
      </c>
      <c r="S313" s="288">
        <v>10504.525649612891</v>
      </c>
      <c r="T313" s="290">
        <v>0.751</v>
      </c>
      <c r="U313" s="288">
        <v>0.75800000000000001</v>
      </c>
      <c r="V313" s="288">
        <v>0.723923076923077</v>
      </c>
      <c r="W313" s="288">
        <v>0.72750000000000004</v>
      </c>
      <c r="X313" s="288">
        <v>0.76</v>
      </c>
      <c r="Y313" s="288">
        <v>0</v>
      </c>
      <c r="Z313" s="289">
        <v>0</v>
      </c>
      <c r="AA313" s="229"/>
      <c r="AB313" s="52">
        <v>97181.495079719782</v>
      </c>
      <c r="AC313" s="288">
        <v>3.2381394305696425</v>
      </c>
      <c r="AD313" s="288">
        <v>88411.537331547923</v>
      </c>
      <c r="AE313" s="288">
        <v>3.0461779433316227</v>
      </c>
      <c r="AF313" s="288">
        <v>8769.9577481718588</v>
      </c>
      <c r="AG313" s="289">
        <v>0.19196148723801976</v>
      </c>
      <c r="AH313" s="229"/>
      <c r="AI313" s="205">
        <f t="shared" si="34"/>
        <v>226632.44797724448</v>
      </c>
      <c r="AJ313" s="205">
        <f t="shared" si="35"/>
        <v>216206.25700161431</v>
      </c>
      <c r="AK313" s="205">
        <f t="shared" si="36"/>
        <v>10426.190975630117</v>
      </c>
      <c r="AL313" s="229"/>
      <c r="AM313" s="52">
        <f t="shared" si="30"/>
        <v>1</v>
      </c>
      <c r="AN313" s="52">
        <f t="shared" si="31"/>
        <v>0</v>
      </c>
      <c r="AO313" s="52">
        <f t="shared" si="32"/>
        <v>1</v>
      </c>
      <c r="AP313" s="229"/>
      <c r="AQ313" s="3"/>
      <c r="AR313" s="3"/>
      <c r="AS313" s="3"/>
      <c r="AT313" s="3"/>
      <c r="AU313" s="229"/>
      <c r="AV313" s="318">
        <f t="shared" si="37"/>
        <v>226632.44797724448</v>
      </c>
      <c r="AW313" s="229"/>
      <c r="AX313" s="312"/>
      <c r="AY313" s="14"/>
      <c r="AZ313" s="14">
        <f t="shared" si="39"/>
        <v>8769.9577481718588</v>
      </c>
      <c r="BA313" s="14">
        <f t="shared" si="38"/>
        <v>0.19196148723801976</v>
      </c>
      <c r="BB313" s="14">
        <f t="shared" si="33"/>
        <v>45686.027308684483</v>
      </c>
      <c r="BC313" s="14"/>
      <c r="BD313" s="14"/>
      <c r="BE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14"/>
      <c r="BS313" s="14"/>
      <c r="BT313" s="14"/>
      <c r="BU313" s="14"/>
      <c r="BV313" s="14"/>
      <c r="BW313" s="14"/>
      <c r="BX313" s="14"/>
      <c r="BY313" s="14"/>
      <c r="BZ313" s="14"/>
      <c r="CA313" s="14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</row>
    <row r="314" spans="1:101" ht="14.25" customHeight="1" x14ac:dyDescent="0.2">
      <c r="A314" s="286"/>
      <c r="B314" s="52">
        <v>0.18347333614188499</v>
      </c>
      <c r="C314" s="288">
        <v>0.28062153146958851</v>
      </c>
      <c r="D314" s="288">
        <v>2.9383521940014368E-2</v>
      </c>
      <c r="E314" s="288">
        <v>2.5540153544839739E-2</v>
      </c>
      <c r="F314" s="289">
        <v>0.80533041773958036</v>
      </c>
      <c r="G314" s="92">
        <v>0.4033145664388037</v>
      </c>
      <c r="H314" s="288">
        <v>0.75827790228461822</v>
      </c>
      <c r="I314" s="288">
        <v>3.5667539823288519E-2</v>
      </c>
      <c r="J314" s="288">
        <v>0.99999948398007588</v>
      </c>
      <c r="K314" s="288">
        <v>0.78779940030885975</v>
      </c>
      <c r="L314" s="290">
        <v>10701.954102977521</v>
      </c>
      <c r="M314" s="288">
        <v>0</v>
      </c>
      <c r="N314" s="288">
        <v>22122.263704198704</v>
      </c>
      <c r="O314" s="288">
        <v>1074.8562882022952</v>
      </c>
      <c r="P314" s="288">
        <v>61648.439786603696</v>
      </c>
      <c r="Q314" s="291">
        <v>78959.033840015414</v>
      </c>
      <c r="R314" s="288">
        <v>29380.771769356314</v>
      </c>
      <c r="S314" s="288">
        <v>9991.7118243019613</v>
      </c>
      <c r="T314" s="290">
        <v>0.751</v>
      </c>
      <c r="U314" s="288">
        <v>0.75800000000000001</v>
      </c>
      <c r="V314" s="288">
        <v>0.723923076923077</v>
      </c>
      <c r="W314" s="288">
        <v>0.72750000000000004</v>
      </c>
      <c r="X314" s="288">
        <v>0.76</v>
      </c>
      <c r="Y314" s="288">
        <v>0</v>
      </c>
      <c r="Z314" s="289">
        <v>0</v>
      </c>
      <c r="AA314" s="229"/>
      <c r="AB314" s="52">
        <v>92529.110124764149</v>
      </c>
      <c r="AC314" s="288">
        <v>3.2603987490291866</v>
      </c>
      <c r="AD314" s="288">
        <v>90048.55121035222</v>
      </c>
      <c r="AE314" s="288">
        <v>3.1833329808845967</v>
      </c>
      <c r="AF314" s="288">
        <v>2480.5589144119294</v>
      </c>
      <c r="AG314" s="289">
        <v>7.7065768144589875E-2</v>
      </c>
      <c r="AH314" s="229"/>
      <c r="AI314" s="205">
        <f t="shared" si="34"/>
        <v>233510.76477815449</v>
      </c>
      <c r="AJ314" s="205">
        <f t="shared" si="35"/>
        <v>228284.74687810743</v>
      </c>
      <c r="AK314" s="205">
        <f t="shared" si="36"/>
        <v>5226.017900047058</v>
      </c>
      <c r="AL314" s="229"/>
      <c r="AM314" s="52">
        <f t="shared" si="30"/>
        <v>1</v>
      </c>
      <c r="AN314" s="52">
        <f t="shared" si="31"/>
        <v>0</v>
      </c>
      <c r="AO314" s="52">
        <f t="shared" si="32"/>
        <v>1</v>
      </c>
      <c r="AP314" s="229"/>
      <c r="AQ314" s="3"/>
      <c r="AR314" s="3"/>
      <c r="AS314" s="3"/>
      <c r="AT314" s="3"/>
      <c r="AU314" s="229"/>
      <c r="AV314" s="318">
        <f t="shared" si="37"/>
        <v>233510.76477815449</v>
      </c>
      <c r="AW314" s="229"/>
      <c r="AX314" s="312"/>
      <c r="AY314" s="14"/>
      <c r="AZ314" s="14">
        <f t="shared" si="39"/>
        <v>2480.5589144119294</v>
      </c>
      <c r="BA314" s="14">
        <f t="shared" si="38"/>
        <v>7.7065768144589875E-2</v>
      </c>
      <c r="BB314" s="14">
        <f t="shared" si="33"/>
        <v>32187.558420983158</v>
      </c>
      <c r="BC314" s="14"/>
      <c r="BD314" s="14"/>
      <c r="BE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14"/>
      <c r="BS314" s="14"/>
      <c r="BT314" s="14"/>
      <c r="BU314" s="14"/>
      <c r="BV314" s="14"/>
      <c r="BW314" s="14"/>
      <c r="BX314" s="14"/>
      <c r="BY314" s="14"/>
      <c r="BZ314" s="14"/>
      <c r="CA314" s="14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</row>
    <row r="315" spans="1:101" ht="14.25" customHeight="1" x14ac:dyDescent="0.2">
      <c r="A315" s="286"/>
      <c r="B315" s="52">
        <v>0.15410929949983784</v>
      </c>
      <c r="C315" s="288">
        <v>0.72888985864909017</v>
      </c>
      <c r="D315" s="288">
        <v>7.3058650372935623E-3</v>
      </c>
      <c r="E315" s="288">
        <v>1.3329715224072588E-2</v>
      </c>
      <c r="F315" s="289">
        <v>0.7642898482447692</v>
      </c>
      <c r="G315" s="92">
        <v>0.39498657726778075</v>
      </c>
      <c r="H315" s="288">
        <v>0.90088215746183598</v>
      </c>
      <c r="I315" s="288">
        <v>9.6169411716590485E-3</v>
      </c>
      <c r="J315" s="288">
        <v>1</v>
      </c>
      <c r="K315" s="288">
        <v>0.78458108833818396</v>
      </c>
      <c r="L315" s="290">
        <v>10150.736232426218</v>
      </c>
      <c r="M315" s="288">
        <v>0</v>
      </c>
      <c r="N315" s="288">
        <v>12296.091707665211</v>
      </c>
      <c r="O315" s="288">
        <v>1198.38815231321</v>
      </c>
      <c r="P315" s="288">
        <v>62747.55011190645</v>
      </c>
      <c r="Q315" s="291">
        <v>105886.76351654976</v>
      </c>
      <c r="R315" s="288">
        <v>16891.154308657067</v>
      </c>
      <c r="S315" s="288">
        <v>9470.7892140183667</v>
      </c>
      <c r="T315" s="290">
        <v>0.751</v>
      </c>
      <c r="U315" s="288">
        <v>0.75800000000000001</v>
      </c>
      <c r="V315" s="288">
        <v>0.723923076923077</v>
      </c>
      <c r="W315" s="288">
        <v>0.72750000000000004</v>
      </c>
      <c r="X315" s="288">
        <v>0.76</v>
      </c>
      <c r="Y315" s="288">
        <v>0</v>
      </c>
      <c r="Z315" s="289">
        <v>0</v>
      </c>
      <c r="AA315" s="229"/>
      <c r="AB315" s="52">
        <v>84030.107244254294</v>
      </c>
      <c r="AC315" s="288">
        <v>3.0696455739793489</v>
      </c>
      <c r="AD315" s="288">
        <v>81254.655541703614</v>
      </c>
      <c r="AE315" s="288">
        <v>3.1683384171247013</v>
      </c>
      <c r="AF315" s="288">
        <v>2775.4517025506793</v>
      </c>
      <c r="AG315" s="289">
        <v>-9.8692843145352427E-2</v>
      </c>
      <c r="AH315" s="229"/>
      <c r="AI315" s="205">
        <f t="shared" si="34"/>
        <v>222934.45015368061</v>
      </c>
      <c r="AJ315" s="205">
        <f t="shared" si="35"/>
        <v>235579.18617076648</v>
      </c>
      <c r="AK315" s="205">
        <f t="shared" si="36"/>
        <v>-12644.736017085923</v>
      </c>
      <c r="AL315" s="229"/>
      <c r="AM315" s="52">
        <f t="shared" si="30"/>
        <v>0</v>
      </c>
      <c r="AN315" s="52">
        <f t="shared" si="31"/>
        <v>1</v>
      </c>
      <c r="AO315" s="52">
        <f t="shared" si="32"/>
        <v>0</v>
      </c>
      <c r="AP315" s="229"/>
      <c r="AQ315" s="3"/>
      <c r="AR315" s="3"/>
      <c r="AS315" s="3"/>
      <c r="AT315" s="3"/>
      <c r="AU315" s="229"/>
      <c r="AV315" s="318">
        <f t="shared" si="37"/>
        <v>235579.18617076648</v>
      </c>
      <c r="AW315" s="229"/>
      <c r="AX315" s="312"/>
      <c r="AY315" s="14"/>
      <c r="AZ315" s="14">
        <f t="shared" si="39"/>
        <v>2775.4517025506793</v>
      </c>
      <c r="BA315" s="14">
        <f t="shared" si="38"/>
        <v>-9.8692843145352427E-2</v>
      </c>
      <c r="BB315" s="14">
        <f t="shared" si="33"/>
        <v>-28122.117208266674</v>
      </c>
      <c r="BC315" s="14"/>
      <c r="BD315" s="14"/>
      <c r="BE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14"/>
      <c r="BS315" s="14"/>
      <c r="BT315" s="14"/>
      <c r="BU315" s="14"/>
      <c r="BV315" s="14"/>
      <c r="BW315" s="14"/>
      <c r="BX315" s="14"/>
      <c r="BY315" s="14"/>
      <c r="BZ315" s="14"/>
      <c r="CA315" s="14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</row>
    <row r="316" spans="1:101" ht="14.25" customHeight="1" x14ac:dyDescent="0.2">
      <c r="A316" s="286"/>
      <c r="B316" s="52">
        <v>0.15038510572298164</v>
      </c>
      <c r="C316" s="288">
        <v>0.29098624667377704</v>
      </c>
      <c r="D316" s="288">
        <v>9.0911738510871826E-3</v>
      </c>
      <c r="E316" s="288">
        <v>2.688095627872189E-2</v>
      </c>
      <c r="F316" s="289">
        <v>0.79043254841258836</v>
      </c>
      <c r="G316" s="92">
        <v>0.41485298819958305</v>
      </c>
      <c r="H316" s="288">
        <v>0.15386252057906979</v>
      </c>
      <c r="I316" s="288">
        <v>1.6196305945289646E-2</v>
      </c>
      <c r="J316" s="288">
        <v>0.99999695614663187</v>
      </c>
      <c r="K316" s="288">
        <v>0.77014002700350681</v>
      </c>
      <c r="L316" s="290">
        <v>10981.305217125249</v>
      </c>
      <c r="M316" s="288">
        <v>0</v>
      </c>
      <c r="N316" s="288">
        <v>21651.254308117626</v>
      </c>
      <c r="O316" s="288">
        <v>1291.8073177809283</v>
      </c>
      <c r="P316" s="288">
        <v>35528.719275212905</v>
      </c>
      <c r="Q316" s="291">
        <v>72917.997084774906</v>
      </c>
      <c r="R316" s="288">
        <v>24837.453929196508</v>
      </c>
      <c r="S316" s="288">
        <v>7682.6533429803521</v>
      </c>
      <c r="T316" s="290">
        <v>0.751</v>
      </c>
      <c r="U316" s="288">
        <v>0.75800000000000001</v>
      </c>
      <c r="V316" s="288">
        <v>0.723923076923077</v>
      </c>
      <c r="W316" s="288">
        <v>0.72750000000000004</v>
      </c>
      <c r="X316" s="288">
        <v>0.76</v>
      </c>
      <c r="Y316" s="288">
        <v>0</v>
      </c>
      <c r="Z316" s="289">
        <v>0</v>
      </c>
      <c r="AA316" s="229"/>
      <c r="AB316" s="52">
        <v>72497.064682273733</v>
      </c>
      <c r="AC316" s="288">
        <v>3.1908492414274323</v>
      </c>
      <c r="AD316" s="288">
        <v>62017.141817745025</v>
      </c>
      <c r="AE316" s="288">
        <v>3.1012564885376608</v>
      </c>
      <c r="AF316" s="288">
        <v>10479.922864528708</v>
      </c>
      <c r="AG316" s="289">
        <v>8.9592752889771532E-2</v>
      </c>
      <c r="AH316" s="229"/>
      <c r="AI316" s="205">
        <f t="shared" si="34"/>
        <v>246587.85946046951</v>
      </c>
      <c r="AJ316" s="205">
        <f t="shared" si="35"/>
        <v>248108.50703602107</v>
      </c>
      <c r="AK316" s="205">
        <f t="shared" si="36"/>
        <v>-1520.6475755515548</v>
      </c>
      <c r="AL316" s="229"/>
      <c r="AM316" s="52">
        <f t="shared" si="30"/>
        <v>0</v>
      </c>
      <c r="AN316" s="52">
        <f t="shared" si="31"/>
        <v>1</v>
      </c>
      <c r="AO316" s="52">
        <f t="shared" si="32"/>
        <v>0</v>
      </c>
      <c r="AP316" s="229"/>
      <c r="AQ316" s="3"/>
      <c r="AR316" s="3"/>
      <c r="AS316" s="3"/>
      <c r="AT316" s="3"/>
      <c r="AU316" s="229"/>
      <c r="AV316" s="318">
        <f t="shared" si="37"/>
        <v>248108.50703602107</v>
      </c>
      <c r="AW316" s="229"/>
      <c r="AX316" s="312"/>
      <c r="AY316" s="14"/>
      <c r="AZ316" s="14">
        <f t="shared" si="39"/>
        <v>10479.922864528708</v>
      </c>
      <c r="BA316" s="14">
        <f t="shared" si="38"/>
        <v>8.9592752889771532E-2</v>
      </c>
      <c r="BB316" s="14">
        <f t="shared" si="33"/>
        <v>116972.88593668341</v>
      </c>
      <c r="BC316" s="14"/>
      <c r="BD316" s="14"/>
      <c r="BE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14"/>
      <c r="BS316" s="14"/>
      <c r="BT316" s="14"/>
      <c r="BU316" s="14"/>
      <c r="BV316" s="14"/>
      <c r="BW316" s="14"/>
      <c r="BX316" s="14"/>
      <c r="BY316" s="14"/>
      <c r="BZ316" s="14"/>
      <c r="CA316" s="14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</row>
    <row r="317" spans="1:101" ht="14.25" customHeight="1" x14ac:dyDescent="0.2">
      <c r="A317" s="286"/>
      <c r="B317" s="52">
        <v>0.13332017510535371</v>
      </c>
      <c r="C317" s="288">
        <v>0.2460763662024702</v>
      </c>
      <c r="D317" s="288">
        <v>1.5009467965797718E-2</v>
      </c>
      <c r="E317" s="288">
        <v>2.0454978445772931E-2</v>
      </c>
      <c r="F317" s="289">
        <v>0.7712795254191539</v>
      </c>
      <c r="G317" s="92">
        <v>0.35070570273960688</v>
      </c>
      <c r="H317" s="288">
        <v>4.4857908449780493E-2</v>
      </c>
      <c r="I317" s="288">
        <v>4.6148037255311802E-2</v>
      </c>
      <c r="J317" s="288">
        <v>0.9999999999997562</v>
      </c>
      <c r="K317" s="288">
        <v>0.7877833342338737</v>
      </c>
      <c r="L317" s="290">
        <v>11691.768335844605</v>
      </c>
      <c r="M317" s="288">
        <v>0</v>
      </c>
      <c r="N317" s="288">
        <v>21326.651298946963</v>
      </c>
      <c r="O317" s="288">
        <v>1260.3017311544625</v>
      </c>
      <c r="P317" s="288">
        <v>74566.015690228407</v>
      </c>
      <c r="Q317" s="291">
        <v>98012.085182112482</v>
      </c>
      <c r="R317" s="288">
        <v>18463.745257965798</v>
      </c>
      <c r="S317" s="288">
        <v>9355.8267881116171</v>
      </c>
      <c r="T317" s="290">
        <v>0.751</v>
      </c>
      <c r="U317" s="288">
        <v>0.75800000000000001</v>
      </c>
      <c r="V317" s="288">
        <v>0.723923076923077</v>
      </c>
      <c r="W317" s="288">
        <v>0.72750000000000004</v>
      </c>
      <c r="X317" s="288">
        <v>0.76</v>
      </c>
      <c r="Y317" s="288">
        <v>0</v>
      </c>
      <c r="Z317" s="289">
        <v>0</v>
      </c>
      <c r="AA317" s="229"/>
      <c r="AB317" s="52">
        <v>84120.0586726045</v>
      </c>
      <c r="AC317" s="288">
        <v>3.101946360574932</v>
      </c>
      <c r="AD317" s="288">
        <v>77424.740919616961</v>
      </c>
      <c r="AE317" s="288">
        <v>3.1832580862562647</v>
      </c>
      <c r="AF317" s="288">
        <v>6695.3177529875393</v>
      </c>
      <c r="AG317" s="289">
        <v>-8.1311725681332714E-2</v>
      </c>
      <c r="AH317" s="229"/>
      <c r="AI317" s="205">
        <f t="shared" si="34"/>
        <v>226074.57738488872</v>
      </c>
      <c r="AJ317" s="205">
        <f t="shared" si="35"/>
        <v>240901.06770600955</v>
      </c>
      <c r="AK317" s="205">
        <f t="shared" si="36"/>
        <v>-14826.490321120811</v>
      </c>
      <c r="AL317" s="229"/>
      <c r="AM317" s="52">
        <f t="shared" si="30"/>
        <v>0</v>
      </c>
      <c r="AN317" s="52">
        <f t="shared" si="31"/>
        <v>1</v>
      </c>
      <c r="AO317" s="52">
        <f t="shared" si="32"/>
        <v>0</v>
      </c>
      <c r="AP317" s="229"/>
      <c r="AQ317" s="3"/>
      <c r="AR317" s="3"/>
      <c r="AS317" s="3"/>
      <c r="AT317" s="3"/>
      <c r="AU317" s="229"/>
      <c r="AV317" s="318">
        <f t="shared" si="37"/>
        <v>240901.06770600955</v>
      </c>
      <c r="AW317" s="229"/>
      <c r="AX317" s="312"/>
      <c r="AY317" s="14"/>
      <c r="AZ317" s="14">
        <f t="shared" si="39"/>
        <v>6695.3177529875393</v>
      </c>
      <c r="BA317" s="14">
        <f t="shared" si="38"/>
        <v>-8.1311725681332714E-2</v>
      </c>
      <c r="BB317" s="14">
        <f t="shared" si="33"/>
        <v>-82341.35602074214</v>
      </c>
      <c r="BC317" s="14"/>
      <c r="BD317" s="14"/>
      <c r="BE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14"/>
      <c r="BS317" s="14"/>
      <c r="BT317" s="14"/>
      <c r="BU317" s="14"/>
      <c r="BV317" s="14"/>
      <c r="BW317" s="14"/>
      <c r="BX317" s="14"/>
      <c r="BY317" s="14"/>
      <c r="BZ317" s="14"/>
      <c r="CA317" s="14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</row>
    <row r="318" spans="1:101" ht="14.25" customHeight="1" x14ac:dyDescent="0.2">
      <c r="A318" s="286"/>
      <c r="B318" s="52">
        <v>0.16869249106296047</v>
      </c>
      <c r="C318" s="288">
        <v>3.7648968330591767E-2</v>
      </c>
      <c r="D318" s="288">
        <v>6.8011810690533385E-3</v>
      </c>
      <c r="E318" s="288">
        <v>1.1974285220000694E-2</v>
      </c>
      <c r="F318" s="289">
        <v>0.80125900272918116</v>
      </c>
      <c r="G318" s="92">
        <v>0.43075531872873063</v>
      </c>
      <c r="H318" s="288">
        <v>0.20713983338470907</v>
      </c>
      <c r="I318" s="288">
        <v>1.6875235978246805E-2</v>
      </c>
      <c r="J318" s="288">
        <v>0.22625757334510899</v>
      </c>
      <c r="K318" s="288">
        <v>0.72744061883942279</v>
      </c>
      <c r="L318" s="290">
        <v>12525.140923288225</v>
      </c>
      <c r="M318" s="288">
        <v>0</v>
      </c>
      <c r="N318" s="288">
        <v>15326.511493976392</v>
      </c>
      <c r="O318" s="288">
        <v>1249.6867599752618</v>
      </c>
      <c r="P318" s="288">
        <v>54179.006812308049</v>
      </c>
      <c r="Q318" s="291">
        <v>125451.62494636689</v>
      </c>
      <c r="R318" s="288">
        <v>27647.339162488603</v>
      </c>
      <c r="S318" s="288">
        <v>11303.388941292473</v>
      </c>
      <c r="T318" s="290">
        <v>0.751</v>
      </c>
      <c r="U318" s="288">
        <v>0.75800000000000001</v>
      </c>
      <c r="V318" s="288">
        <v>0.723923076923077</v>
      </c>
      <c r="W318" s="288">
        <v>0.72750000000000004</v>
      </c>
      <c r="X318" s="288">
        <v>0.76</v>
      </c>
      <c r="Y318" s="288">
        <v>0</v>
      </c>
      <c r="Z318" s="289">
        <v>0</v>
      </c>
      <c r="AA318" s="229"/>
      <c r="AB318" s="52">
        <v>102740.85975016259</v>
      </c>
      <c r="AC318" s="288">
        <v>3.2413571057819746</v>
      </c>
      <c r="AD318" s="288">
        <v>85988.826922491862</v>
      </c>
      <c r="AE318" s="288">
        <v>2.904831197715235</v>
      </c>
      <c r="AF318" s="288">
        <v>16752.03282767073</v>
      </c>
      <c r="AG318" s="289">
        <v>0.33652590806673954</v>
      </c>
      <c r="AH318" s="229"/>
      <c r="AI318" s="205">
        <f t="shared" si="34"/>
        <v>221394.85082803486</v>
      </c>
      <c r="AJ318" s="205">
        <f t="shared" si="35"/>
        <v>204494.29284903166</v>
      </c>
      <c r="AK318" s="205">
        <f t="shared" si="36"/>
        <v>16900.557979003228</v>
      </c>
      <c r="AL318" s="229"/>
      <c r="AM318" s="52">
        <f t="shared" si="30"/>
        <v>1</v>
      </c>
      <c r="AN318" s="52">
        <f t="shared" si="31"/>
        <v>0</v>
      </c>
      <c r="AO318" s="52">
        <f t="shared" si="32"/>
        <v>1</v>
      </c>
      <c r="AP318" s="229"/>
      <c r="AQ318" s="3"/>
      <c r="AR318" s="3"/>
      <c r="AS318" s="3"/>
      <c r="AT318" s="3"/>
      <c r="AU318" s="229"/>
      <c r="AV318" s="318">
        <f t="shared" si="37"/>
        <v>221394.85082803486</v>
      </c>
      <c r="AW318" s="229"/>
      <c r="AX318" s="312"/>
      <c r="AY318" s="14"/>
      <c r="AZ318" s="14">
        <f t="shared" si="39"/>
        <v>16752.03282767073</v>
      </c>
      <c r="BA318" s="14">
        <f t="shared" si="38"/>
        <v>0.33652590806673954</v>
      </c>
      <c r="BB318" s="14">
        <f t="shared" si="33"/>
        <v>49779.325829345893</v>
      </c>
      <c r="BC318" s="14"/>
      <c r="BD318" s="14"/>
      <c r="BE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14"/>
      <c r="BS318" s="14"/>
      <c r="BT318" s="14"/>
      <c r="BU318" s="14"/>
      <c r="BV318" s="14"/>
      <c r="BW318" s="14"/>
      <c r="BX318" s="14"/>
      <c r="BY318" s="14"/>
      <c r="BZ318" s="14"/>
      <c r="CA318" s="14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</row>
    <row r="319" spans="1:101" ht="14.25" customHeight="1" x14ac:dyDescent="0.2">
      <c r="A319" s="286"/>
      <c r="B319" s="52">
        <v>0.17500460874282109</v>
      </c>
      <c r="C319" s="288">
        <v>2.8648139047066083E-2</v>
      </c>
      <c r="D319" s="288">
        <v>1.3002658244140427E-2</v>
      </c>
      <c r="E319" s="288">
        <v>4.6882700849867551E-3</v>
      </c>
      <c r="F319" s="289">
        <v>0.80026167369422652</v>
      </c>
      <c r="G319" s="92">
        <v>0.34414318044542991</v>
      </c>
      <c r="H319" s="288">
        <v>0.35816084060612124</v>
      </c>
      <c r="I319" s="288">
        <v>1.1173573250612617E-2</v>
      </c>
      <c r="J319" s="288">
        <v>0.99997090305456782</v>
      </c>
      <c r="K319" s="288">
        <v>0.79012815548480964</v>
      </c>
      <c r="L319" s="290">
        <v>15282.578684654412</v>
      </c>
      <c r="M319" s="288">
        <v>0</v>
      </c>
      <c r="N319" s="288">
        <v>19554.590096413951</v>
      </c>
      <c r="O319" s="288">
        <v>1429.0246742448458</v>
      </c>
      <c r="P319" s="288">
        <v>38007.794291788567</v>
      </c>
      <c r="Q319" s="291">
        <v>114837.23534551809</v>
      </c>
      <c r="R319" s="288">
        <v>22496.659521107267</v>
      </c>
      <c r="S319" s="288">
        <v>9503.3716482090531</v>
      </c>
      <c r="T319" s="290">
        <v>0.751</v>
      </c>
      <c r="U319" s="288">
        <v>0.75800000000000001</v>
      </c>
      <c r="V319" s="288">
        <v>0.723923076923077</v>
      </c>
      <c r="W319" s="288">
        <v>0.72750000000000004</v>
      </c>
      <c r="X319" s="288">
        <v>0.76</v>
      </c>
      <c r="Y319" s="288">
        <v>0</v>
      </c>
      <c r="Z319" s="289">
        <v>0</v>
      </c>
      <c r="AA319" s="229"/>
      <c r="AB319" s="52">
        <v>91216.087554830636</v>
      </c>
      <c r="AC319" s="288">
        <v>3.2366966517807958</v>
      </c>
      <c r="AD319" s="288">
        <v>78774.262354749255</v>
      </c>
      <c r="AE319" s="288">
        <v>3.1941931564394275</v>
      </c>
      <c r="AF319" s="288">
        <v>12441.825200081381</v>
      </c>
      <c r="AG319" s="289">
        <v>4.2503495341368325E-2</v>
      </c>
      <c r="AH319" s="229"/>
      <c r="AI319" s="205">
        <f t="shared" si="34"/>
        <v>232453.57762324892</v>
      </c>
      <c r="AJ319" s="205">
        <f t="shared" si="35"/>
        <v>240645.05328919349</v>
      </c>
      <c r="AK319" s="205">
        <f t="shared" si="36"/>
        <v>-8191.4756659445484</v>
      </c>
      <c r="AL319" s="229"/>
      <c r="AM319" s="52">
        <f t="shared" si="30"/>
        <v>0</v>
      </c>
      <c r="AN319" s="52">
        <f t="shared" si="31"/>
        <v>1</v>
      </c>
      <c r="AO319" s="52">
        <f t="shared" si="32"/>
        <v>0</v>
      </c>
      <c r="AP319" s="229"/>
      <c r="AQ319" s="3"/>
      <c r="AR319" s="3"/>
      <c r="AS319" s="3"/>
      <c r="AT319" s="3"/>
      <c r="AU319" s="229"/>
      <c r="AV319" s="318">
        <f t="shared" si="37"/>
        <v>240645.05328919349</v>
      </c>
      <c r="AW319" s="229"/>
      <c r="AX319" s="312"/>
      <c r="AY319" s="14"/>
      <c r="AZ319" s="14">
        <f t="shared" si="39"/>
        <v>12441.825200081381</v>
      </c>
      <c r="BA319" s="14">
        <f t="shared" si="38"/>
        <v>4.2503495341368325E-2</v>
      </c>
      <c r="BB319" s="14">
        <f t="shared" si="33"/>
        <v>292724.75357978023</v>
      </c>
      <c r="BC319" s="14"/>
      <c r="BD319" s="14"/>
      <c r="BE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14"/>
      <c r="BS319" s="14"/>
      <c r="BT319" s="14"/>
      <c r="BU319" s="14"/>
      <c r="BV319" s="14"/>
      <c r="BW319" s="14"/>
      <c r="BX319" s="14"/>
      <c r="BY319" s="14"/>
      <c r="BZ319" s="14"/>
      <c r="CA319" s="14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</row>
    <row r="320" spans="1:101" ht="14.25" customHeight="1" x14ac:dyDescent="0.2">
      <c r="A320" s="286"/>
      <c r="B320" s="52">
        <v>0.16846350320351167</v>
      </c>
      <c r="C320" s="288">
        <v>0.17973024916006966</v>
      </c>
      <c r="D320" s="288">
        <v>1.7527598817127066E-2</v>
      </c>
      <c r="E320" s="288">
        <v>1.3656844152203316E-2</v>
      </c>
      <c r="F320" s="289">
        <v>0.7673595314025945</v>
      </c>
      <c r="G320" s="92">
        <v>0.39288524911147371</v>
      </c>
      <c r="H320" s="288">
        <v>1.1096970861297037E-2</v>
      </c>
      <c r="I320" s="288">
        <v>3.0624917798078299E-2</v>
      </c>
      <c r="J320" s="288">
        <v>1</v>
      </c>
      <c r="K320" s="288">
        <v>0.75196606966935597</v>
      </c>
      <c r="L320" s="290">
        <v>14982.70148396311</v>
      </c>
      <c r="M320" s="288">
        <v>0</v>
      </c>
      <c r="N320" s="288">
        <v>15729.371151164853</v>
      </c>
      <c r="O320" s="288">
        <v>1604.2695759371861</v>
      </c>
      <c r="P320" s="288">
        <v>40927.13571609294</v>
      </c>
      <c r="Q320" s="291">
        <v>99750.481268192685</v>
      </c>
      <c r="R320" s="288">
        <v>20866.028334483657</v>
      </c>
      <c r="S320" s="288">
        <v>10273.558667328803</v>
      </c>
      <c r="T320" s="290">
        <v>0.751</v>
      </c>
      <c r="U320" s="288">
        <v>0.75800000000000001</v>
      </c>
      <c r="V320" s="288">
        <v>0.723923076923077</v>
      </c>
      <c r="W320" s="288">
        <v>0.72750000000000004</v>
      </c>
      <c r="X320" s="288">
        <v>0.76</v>
      </c>
      <c r="Y320" s="288">
        <v>0</v>
      </c>
      <c r="Z320" s="289">
        <v>0</v>
      </c>
      <c r="AA320" s="229"/>
      <c r="AB320" s="52">
        <v>94246.367189767378</v>
      </c>
      <c r="AC320" s="288">
        <v>3.0838217965162533</v>
      </c>
      <c r="AD320" s="288">
        <v>79679.352780972666</v>
      </c>
      <c r="AE320" s="288">
        <v>3.017301587530262</v>
      </c>
      <c r="AF320" s="288">
        <v>14567.014408794712</v>
      </c>
      <c r="AG320" s="289">
        <v>6.6520208985991314E-2</v>
      </c>
      <c r="AH320" s="229"/>
      <c r="AI320" s="205">
        <f t="shared" si="34"/>
        <v>214135.81246185797</v>
      </c>
      <c r="AJ320" s="205">
        <f t="shared" si="35"/>
        <v>222050.80597205355</v>
      </c>
      <c r="AK320" s="205">
        <f t="shared" si="36"/>
        <v>-7914.9935101955807</v>
      </c>
      <c r="AL320" s="229"/>
      <c r="AM320" s="52">
        <f t="shared" si="30"/>
        <v>0</v>
      </c>
      <c r="AN320" s="52">
        <f t="shared" si="31"/>
        <v>1</v>
      </c>
      <c r="AO320" s="52">
        <f t="shared" si="32"/>
        <v>0</v>
      </c>
      <c r="AP320" s="229"/>
      <c r="AQ320" s="3"/>
      <c r="AR320" s="3"/>
      <c r="AS320" s="3"/>
      <c r="AT320" s="3"/>
      <c r="AU320" s="229"/>
      <c r="AV320" s="318">
        <f t="shared" si="37"/>
        <v>222050.80597205355</v>
      </c>
      <c r="AW320" s="229"/>
      <c r="AX320" s="312"/>
      <c r="AY320" s="14"/>
      <c r="AZ320" s="14">
        <f t="shared" si="39"/>
        <v>14567.014408794712</v>
      </c>
      <c r="BA320" s="14">
        <f t="shared" si="38"/>
        <v>6.6520208985991314E-2</v>
      </c>
      <c r="BB320" s="14">
        <f t="shared" si="33"/>
        <v>218986.29951481996</v>
      </c>
      <c r="BC320" s="14"/>
      <c r="BD320" s="14"/>
      <c r="BE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14"/>
      <c r="BS320" s="14"/>
      <c r="BT320" s="14"/>
      <c r="BU320" s="14"/>
      <c r="BV320" s="14"/>
      <c r="BW320" s="14"/>
      <c r="BX320" s="14"/>
      <c r="BY320" s="14"/>
      <c r="BZ320" s="14"/>
      <c r="CA320" s="14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</row>
    <row r="321" spans="1:101" ht="14.25" customHeight="1" x14ac:dyDescent="0.2">
      <c r="A321" s="286"/>
      <c r="B321" s="52">
        <v>0.18425894911293572</v>
      </c>
      <c r="C321" s="288">
        <v>2.9181052966899063E-2</v>
      </c>
      <c r="D321" s="288">
        <v>3.2284266793386918E-2</v>
      </c>
      <c r="E321" s="288">
        <v>1.076021800332197E-2</v>
      </c>
      <c r="F321" s="289">
        <v>0.8055187215754811</v>
      </c>
      <c r="G321" s="92">
        <v>0.38005806825098881</v>
      </c>
      <c r="H321" s="288">
        <v>0.16302657835146619</v>
      </c>
      <c r="I321" s="288">
        <v>3.3913413139384896E-2</v>
      </c>
      <c r="J321" s="288">
        <v>0.92699290849944616</v>
      </c>
      <c r="K321" s="288">
        <v>0.75057402430585352</v>
      </c>
      <c r="L321" s="290">
        <v>14263.777530687667</v>
      </c>
      <c r="M321" s="288">
        <v>0</v>
      </c>
      <c r="N321" s="288">
        <v>17755.262911840451</v>
      </c>
      <c r="O321" s="288">
        <v>1265.7988564017533</v>
      </c>
      <c r="P321" s="288">
        <v>41502.949296041632</v>
      </c>
      <c r="Q321" s="291">
        <v>96581.865326245897</v>
      </c>
      <c r="R321" s="288">
        <v>24125.686572818689</v>
      </c>
      <c r="S321" s="288">
        <v>10287.56531520132</v>
      </c>
      <c r="T321" s="290">
        <v>0.751</v>
      </c>
      <c r="U321" s="288">
        <v>0.75800000000000001</v>
      </c>
      <c r="V321" s="288">
        <v>0.723923076923077</v>
      </c>
      <c r="W321" s="288">
        <v>0.72750000000000004</v>
      </c>
      <c r="X321" s="288">
        <v>0.76</v>
      </c>
      <c r="Y321" s="288">
        <v>0</v>
      </c>
      <c r="Z321" s="289">
        <v>0</v>
      </c>
      <c r="AA321" s="229"/>
      <c r="AB321" s="52">
        <v>97263.582173191491</v>
      </c>
      <c r="AC321" s="288">
        <v>3.2612800582633348</v>
      </c>
      <c r="AD321" s="288">
        <v>80883.218794942542</v>
      </c>
      <c r="AE321" s="288">
        <v>3.0108924765781735</v>
      </c>
      <c r="AF321" s="288">
        <v>16380.363378248949</v>
      </c>
      <c r="AG321" s="289">
        <v>0.25038758168516129</v>
      </c>
      <c r="AH321" s="229"/>
      <c r="AI321" s="205">
        <f t="shared" si="34"/>
        <v>228864.423653142</v>
      </c>
      <c r="AJ321" s="205">
        <f t="shared" si="35"/>
        <v>220206.02886287478</v>
      </c>
      <c r="AK321" s="205">
        <f t="shared" si="36"/>
        <v>8658.3947902671789</v>
      </c>
      <c r="AL321" s="229"/>
      <c r="AM321" s="52">
        <f t="shared" si="30"/>
        <v>1</v>
      </c>
      <c r="AN321" s="52">
        <f t="shared" si="31"/>
        <v>0</v>
      </c>
      <c r="AO321" s="52">
        <f t="shared" si="32"/>
        <v>1</v>
      </c>
      <c r="AP321" s="229"/>
      <c r="AQ321" s="3"/>
      <c r="AR321" s="3"/>
      <c r="AS321" s="3"/>
      <c r="AT321" s="3"/>
      <c r="AU321" s="229"/>
      <c r="AV321" s="318">
        <f t="shared" si="37"/>
        <v>228864.423653142</v>
      </c>
      <c r="AW321" s="229"/>
      <c r="AX321" s="312"/>
      <c r="AY321" s="14"/>
      <c r="AZ321" s="14">
        <f t="shared" si="39"/>
        <v>16380.363378248949</v>
      </c>
      <c r="BA321" s="14">
        <f t="shared" si="38"/>
        <v>0.25038758168516129</v>
      </c>
      <c r="BB321" s="14">
        <f t="shared" si="33"/>
        <v>65420.031089424025</v>
      </c>
      <c r="BC321" s="14"/>
      <c r="BD321" s="14"/>
      <c r="BE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14"/>
      <c r="BS321" s="14"/>
      <c r="BT321" s="14"/>
      <c r="BU321" s="14"/>
      <c r="BV321" s="14"/>
      <c r="BW321" s="14"/>
      <c r="BX321" s="14"/>
      <c r="BY321" s="14"/>
      <c r="BZ321" s="14"/>
      <c r="CA321" s="14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</row>
    <row r="322" spans="1:101" ht="14.25" customHeight="1" x14ac:dyDescent="0.2">
      <c r="A322" s="286"/>
      <c r="B322" s="52">
        <v>0.14806147503215106</v>
      </c>
      <c r="C322" s="288">
        <v>7.6413459308620979E-2</v>
      </c>
      <c r="D322" s="288">
        <v>2.0557926689051653E-2</v>
      </c>
      <c r="E322" s="288">
        <v>1.2407127879387945E-2</v>
      </c>
      <c r="F322" s="289">
        <v>0.7773822772379696</v>
      </c>
      <c r="G322" s="92">
        <v>0.40426701088124939</v>
      </c>
      <c r="H322" s="288">
        <v>0.48316410139268184</v>
      </c>
      <c r="I322" s="288">
        <v>1.7676843185783886E-2</v>
      </c>
      <c r="J322" s="288">
        <v>0.99999999973890807</v>
      </c>
      <c r="K322" s="288">
        <v>0.74811212489296341</v>
      </c>
      <c r="L322" s="290">
        <v>12843.059827613035</v>
      </c>
      <c r="M322" s="288">
        <v>0</v>
      </c>
      <c r="N322" s="288">
        <v>18614.085151644747</v>
      </c>
      <c r="O322" s="288">
        <v>974.75384283954384</v>
      </c>
      <c r="P322" s="288">
        <v>32723.500716352526</v>
      </c>
      <c r="Q322" s="291">
        <v>97147.751591041757</v>
      </c>
      <c r="R322" s="288">
        <v>24801.61720602612</v>
      </c>
      <c r="S322" s="288">
        <v>6832.9270188950541</v>
      </c>
      <c r="T322" s="290">
        <v>0.751</v>
      </c>
      <c r="U322" s="288">
        <v>0.75800000000000001</v>
      </c>
      <c r="V322" s="288">
        <v>0.723923076923077</v>
      </c>
      <c r="W322" s="288">
        <v>0.72750000000000004</v>
      </c>
      <c r="X322" s="288">
        <v>0.76</v>
      </c>
      <c r="Y322" s="288">
        <v>0</v>
      </c>
      <c r="Z322" s="289">
        <v>0</v>
      </c>
      <c r="AA322" s="229"/>
      <c r="AB322" s="52">
        <v>66164.55184321171</v>
      </c>
      <c r="AC322" s="288">
        <v>3.1302111376950266</v>
      </c>
      <c r="AD322" s="288">
        <v>57200.001565178762</v>
      </c>
      <c r="AE322" s="288">
        <v>2.99956513227073</v>
      </c>
      <c r="AF322" s="288">
        <v>8964.550278032948</v>
      </c>
      <c r="AG322" s="289">
        <v>0.13064600542429661</v>
      </c>
      <c r="AH322" s="229"/>
      <c r="AI322" s="205">
        <f t="shared" si="34"/>
        <v>246856.56192629097</v>
      </c>
      <c r="AJ322" s="205">
        <f t="shared" si="35"/>
        <v>242756.51166189424</v>
      </c>
      <c r="AK322" s="205">
        <f t="shared" si="36"/>
        <v>4100.050264396712</v>
      </c>
      <c r="AL322" s="229"/>
      <c r="AM322" s="52">
        <f t="shared" si="30"/>
        <v>1</v>
      </c>
      <c r="AN322" s="52">
        <f t="shared" si="31"/>
        <v>0</v>
      </c>
      <c r="AO322" s="52">
        <f t="shared" si="32"/>
        <v>1</v>
      </c>
      <c r="AP322" s="229"/>
      <c r="AQ322" s="3"/>
      <c r="AR322" s="3"/>
      <c r="AS322" s="3"/>
      <c r="AT322" s="3"/>
      <c r="AU322" s="229"/>
      <c r="AV322" s="318">
        <f t="shared" si="37"/>
        <v>246856.56192629097</v>
      </c>
      <c r="AW322" s="229"/>
      <c r="AX322" s="312"/>
      <c r="AY322" s="14"/>
      <c r="AZ322" s="14">
        <f t="shared" si="39"/>
        <v>8964.550278032948</v>
      </c>
      <c r="BA322" s="14">
        <f t="shared" si="38"/>
        <v>0.13064600542429661</v>
      </c>
      <c r="BB322" s="14">
        <f t="shared" si="33"/>
        <v>68617.101984243185</v>
      </c>
      <c r="BC322" s="14"/>
      <c r="BD322" s="14"/>
      <c r="BE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14"/>
      <c r="BS322" s="14"/>
      <c r="BT322" s="14"/>
      <c r="BU322" s="14"/>
      <c r="BV322" s="14"/>
      <c r="BW322" s="14"/>
      <c r="BX322" s="14"/>
      <c r="BY322" s="14"/>
      <c r="BZ322" s="14"/>
      <c r="CA322" s="14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</row>
    <row r="323" spans="1:101" ht="14.25" customHeight="1" x14ac:dyDescent="0.2">
      <c r="A323" s="286"/>
      <c r="B323" s="52">
        <v>0.14477370889097085</v>
      </c>
      <c r="C323" s="288">
        <v>0.63041014983657018</v>
      </c>
      <c r="D323" s="288">
        <v>1.4930382868886816E-2</v>
      </c>
      <c r="E323" s="288">
        <v>6.227243998806282E-3</v>
      </c>
      <c r="F323" s="289">
        <v>0.79182176060452258</v>
      </c>
      <c r="G323" s="92">
        <v>0.4073930700262044</v>
      </c>
      <c r="H323" s="288">
        <v>0.36894958847422926</v>
      </c>
      <c r="I323" s="288">
        <v>1.8406029990614885E-3</v>
      </c>
      <c r="J323" s="288">
        <v>0.99999186000944706</v>
      </c>
      <c r="K323" s="288">
        <v>0.80863969039381245</v>
      </c>
      <c r="L323" s="290">
        <v>8907.7797713300752</v>
      </c>
      <c r="M323" s="288">
        <v>0</v>
      </c>
      <c r="N323" s="288">
        <v>19263.436180955778</v>
      </c>
      <c r="O323" s="288">
        <v>948.91509180643095</v>
      </c>
      <c r="P323" s="288">
        <v>68290.617948987725</v>
      </c>
      <c r="Q323" s="291">
        <v>83232.733357419696</v>
      </c>
      <c r="R323" s="288">
        <v>24725.835074604554</v>
      </c>
      <c r="S323" s="288">
        <v>10801.303718338297</v>
      </c>
      <c r="T323" s="290">
        <v>0.751</v>
      </c>
      <c r="U323" s="288">
        <v>0.75800000000000001</v>
      </c>
      <c r="V323" s="288">
        <v>0.723923076923077</v>
      </c>
      <c r="W323" s="288">
        <v>0.72750000000000004</v>
      </c>
      <c r="X323" s="288">
        <v>0.76</v>
      </c>
      <c r="Y323" s="288">
        <v>0</v>
      </c>
      <c r="Z323" s="289">
        <v>0</v>
      </c>
      <c r="AA323" s="229"/>
      <c r="AB323" s="52">
        <v>96174.245518982309</v>
      </c>
      <c r="AC323" s="288">
        <v>3.1973199495378135</v>
      </c>
      <c r="AD323" s="288">
        <v>91331.061769528373</v>
      </c>
      <c r="AE323" s="288">
        <v>3.2808259519094212</v>
      </c>
      <c r="AF323" s="288">
        <v>4843.1837494539359</v>
      </c>
      <c r="AG323" s="289">
        <v>-8.3506002371607657E-2</v>
      </c>
      <c r="AH323" s="229"/>
      <c r="AI323" s="205">
        <f t="shared" si="34"/>
        <v>223557.74943479907</v>
      </c>
      <c r="AJ323" s="205">
        <f t="shared" si="35"/>
        <v>236751.53342141374</v>
      </c>
      <c r="AK323" s="205">
        <f t="shared" si="36"/>
        <v>-13193.783986614702</v>
      </c>
      <c r="AL323" s="229"/>
      <c r="AM323" s="52">
        <f t="shared" si="30"/>
        <v>0</v>
      </c>
      <c r="AN323" s="52">
        <f t="shared" si="31"/>
        <v>1</v>
      </c>
      <c r="AO323" s="52">
        <f t="shared" si="32"/>
        <v>0</v>
      </c>
      <c r="AP323" s="229"/>
      <c r="AQ323" s="3"/>
      <c r="AR323" s="3"/>
      <c r="AS323" s="3"/>
      <c r="AT323" s="3"/>
      <c r="AU323" s="229"/>
      <c r="AV323" s="318">
        <f t="shared" si="37"/>
        <v>236751.53342141374</v>
      </c>
      <c r="AW323" s="229"/>
      <c r="AX323" s="312"/>
      <c r="AY323" s="14"/>
      <c r="AZ323" s="14">
        <f t="shared" si="39"/>
        <v>4843.1837494539359</v>
      </c>
      <c r="BA323" s="14">
        <f t="shared" si="38"/>
        <v>-8.3506002371607657E-2</v>
      </c>
      <c r="BB323" s="14">
        <f t="shared" si="33"/>
        <v>-57998.031421758446</v>
      </c>
      <c r="BC323" s="14"/>
      <c r="BD323" s="14"/>
      <c r="BE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14"/>
      <c r="BS323" s="14"/>
      <c r="BT323" s="14"/>
      <c r="BU323" s="14"/>
      <c r="BV323" s="14"/>
      <c r="BW323" s="14"/>
      <c r="BX323" s="14"/>
      <c r="BY323" s="14"/>
      <c r="BZ323" s="14"/>
      <c r="CA323" s="14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</row>
    <row r="324" spans="1:101" ht="14.25" customHeight="1" x14ac:dyDescent="0.2">
      <c r="A324" s="286"/>
      <c r="B324" s="52">
        <v>0.16098011579426963</v>
      </c>
      <c r="C324" s="288">
        <v>2.4831771304099321E-2</v>
      </c>
      <c r="D324" s="288">
        <v>1.3522929869222201E-2</v>
      </c>
      <c r="E324" s="288">
        <v>1.7726572487176906E-2</v>
      </c>
      <c r="F324" s="289">
        <v>0.76469840651597043</v>
      </c>
      <c r="G324" s="92">
        <v>0.44226082997386384</v>
      </c>
      <c r="H324" s="288">
        <v>0.6370997957968767</v>
      </c>
      <c r="I324" s="288">
        <v>2.0936410789582971E-2</v>
      </c>
      <c r="J324" s="288">
        <v>0.99999998105862609</v>
      </c>
      <c r="K324" s="288">
        <v>0.70454826784101476</v>
      </c>
      <c r="L324" s="290">
        <v>10445.70666812733</v>
      </c>
      <c r="M324" s="288">
        <v>0</v>
      </c>
      <c r="N324" s="288">
        <v>20438.680007658248</v>
      </c>
      <c r="O324" s="288">
        <v>1012.8293141866018</v>
      </c>
      <c r="P324" s="288">
        <v>35874.952167861229</v>
      </c>
      <c r="Q324" s="291">
        <v>88214.718495053588</v>
      </c>
      <c r="R324" s="288">
        <v>27644.332013429048</v>
      </c>
      <c r="S324" s="288">
        <v>9141.3193932924387</v>
      </c>
      <c r="T324" s="290">
        <v>0.751</v>
      </c>
      <c r="U324" s="288">
        <v>0.75800000000000001</v>
      </c>
      <c r="V324" s="288">
        <v>0.723923076923077</v>
      </c>
      <c r="W324" s="288">
        <v>0.72750000000000004</v>
      </c>
      <c r="X324" s="288">
        <v>0.76</v>
      </c>
      <c r="Y324" s="288">
        <v>0</v>
      </c>
      <c r="Z324" s="289">
        <v>0</v>
      </c>
      <c r="AA324" s="229"/>
      <c r="AB324" s="52">
        <v>80133.934017492342</v>
      </c>
      <c r="AC324" s="288">
        <v>3.0715315000801229</v>
      </c>
      <c r="AD324" s="288">
        <v>73640.379239848233</v>
      </c>
      <c r="AE324" s="288">
        <v>2.8007054957423985</v>
      </c>
      <c r="AF324" s="288">
        <v>6493.554777644109</v>
      </c>
      <c r="AG324" s="289">
        <v>0.27082600433772441</v>
      </c>
      <c r="AH324" s="229"/>
      <c r="AI324" s="205">
        <f t="shared" si="34"/>
        <v>227019.21599051997</v>
      </c>
      <c r="AJ324" s="205">
        <f t="shared" si="35"/>
        <v>206430.17033439159</v>
      </c>
      <c r="AK324" s="205">
        <f t="shared" si="36"/>
        <v>20589.045656128332</v>
      </c>
      <c r="AL324" s="229"/>
      <c r="AM324" s="52">
        <f t="shared" si="30"/>
        <v>1</v>
      </c>
      <c r="AN324" s="52">
        <f t="shared" si="31"/>
        <v>0</v>
      </c>
      <c r="AO324" s="52">
        <f t="shared" si="32"/>
        <v>1</v>
      </c>
      <c r="AP324" s="229"/>
      <c r="AQ324" s="3"/>
      <c r="AR324" s="3"/>
      <c r="AS324" s="3"/>
      <c r="AT324" s="3"/>
      <c r="AU324" s="229"/>
      <c r="AV324" s="318">
        <f t="shared" si="37"/>
        <v>227019.21599051997</v>
      </c>
      <c r="AW324" s="229"/>
      <c r="AX324" s="312"/>
      <c r="AY324" s="14"/>
      <c r="AZ324" s="14">
        <f t="shared" si="39"/>
        <v>6493.554777644109</v>
      </c>
      <c r="BA324" s="14">
        <f t="shared" si="38"/>
        <v>0.27082600433772441</v>
      </c>
      <c r="BB324" s="14">
        <f t="shared" si="33"/>
        <v>23976.851091250974</v>
      </c>
      <c r="BC324" s="14"/>
      <c r="BD324" s="14"/>
      <c r="BE324" s="14"/>
      <c r="BF324" s="14"/>
      <c r="BG324" s="14"/>
      <c r="BH324" s="14"/>
      <c r="BI324" s="14"/>
      <c r="BJ324" s="14"/>
      <c r="BK324" s="14"/>
      <c r="BL324" s="14"/>
      <c r="BM324" s="14"/>
      <c r="BN324" s="14"/>
      <c r="BO324" s="14"/>
      <c r="BP324" s="14"/>
      <c r="BQ324" s="14"/>
      <c r="BR324" s="14"/>
      <c r="BS324" s="14"/>
      <c r="BT324" s="14"/>
      <c r="BU324" s="14"/>
      <c r="BV324" s="14"/>
      <c r="BW324" s="14"/>
      <c r="BX324" s="14"/>
      <c r="BY324" s="14"/>
      <c r="BZ324" s="14"/>
      <c r="CA324" s="14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</row>
    <row r="325" spans="1:101" ht="14.25" customHeight="1" x14ac:dyDescent="0.2">
      <c r="A325" s="286"/>
      <c r="B325" s="52">
        <v>0.15127638210915756</v>
      </c>
      <c r="C325" s="288">
        <v>7.8172903970085264E-2</v>
      </c>
      <c r="D325" s="288">
        <v>2.1173930025202625E-2</v>
      </c>
      <c r="E325" s="288">
        <v>1.899900241460839E-2</v>
      </c>
      <c r="F325" s="289">
        <v>0.80073426717040164</v>
      </c>
      <c r="G325" s="92">
        <v>0.3466864011153758</v>
      </c>
      <c r="H325" s="288">
        <v>0.68002258248119229</v>
      </c>
      <c r="I325" s="288">
        <v>6.5143679717061011E-3</v>
      </c>
      <c r="J325" s="288">
        <v>0.99344810610683809</v>
      </c>
      <c r="K325" s="288">
        <v>0.76088846669011034</v>
      </c>
      <c r="L325" s="290">
        <v>9549.9953693476928</v>
      </c>
      <c r="M325" s="288">
        <v>0</v>
      </c>
      <c r="N325" s="288">
        <v>22634.91711519922</v>
      </c>
      <c r="O325" s="288">
        <v>1113.546646041026</v>
      </c>
      <c r="P325" s="288">
        <v>47979.805831205973</v>
      </c>
      <c r="Q325" s="291">
        <v>96072.87825523733</v>
      </c>
      <c r="R325" s="288">
        <v>24681.5908448173</v>
      </c>
      <c r="S325" s="288">
        <v>9137.591523727895</v>
      </c>
      <c r="T325" s="290">
        <v>0.751</v>
      </c>
      <c r="U325" s="288">
        <v>0.75800000000000001</v>
      </c>
      <c r="V325" s="288">
        <v>0.723923076923077</v>
      </c>
      <c r="W325" s="288">
        <v>0.72750000000000004</v>
      </c>
      <c r="X325" s="288">
        <v>0.76</v>
      </c>
      <c r="Y325" s="288">
        <v>0</v>
      </c>
      <c r="Z325" s="289">
        <v>0</v>
      </c>
      <c r="AA325" s="229"/>
      <c r="AB325" s="52">
        <v>82775.228030005499</v>
      </c>
      <c r="AC325" s="288">
        <v>3.2389048560100422</v>
      </c>
      <c r="AD325" s="288">
        <v>75875.750311680211</v>
      </c>
      <c r="AE325" s="288">
        <v>3.0584536937153306</v>
      </c>
      <c r="AF325" s="288">
        <v>6899.4777183252882</v>
      </c>
      <c r="AG325" s="289">
        <v>0.18045116229471159</v>
      </c>
      <c r="AH325" s="229"/>
      <c r="AI325" s="205">
        <f t="shared" si="34"/>
        <v>241115.25757099871</v>
      </c>
      <c r="AJ325" s="205">
        <f t="shared" si="35"/>
        <v>229969.61905985285</v>
      </c>
      <c r="AK325" s="205">
        <f t="shared" si="36"/>
        <v>11145.638511145869</v>
      </c>
      <c r="AL325" s="229"/>
      <c r="AM325" s="52">
        <f t="shared" si="30"/>
        <v>1</v>
      </c>
      <c r="AN325" s="52">
        <f t="shared" si="31"/>
        <v>0</v>
      </c>
      <c r="AO325" s="52">
        <f t="shared" si="32"/>
        <v>1</v>
      </c>
      <c r="AP325" s="229"/>
      <c r="AQ325" s="3"/>
      <c r="AR325" s="3"/>
      <c r="AS325" s="3"/>
      <c r="AT325" s="3"/>
      <c r="AU325" s="229"/>
      <c r="AV325" s="318">
        <f t="shared" si="37"/>
        <v>241115.25757099871</v>
      </c>
      <c r="AW325" s="229"/>
      <c r="AX325" s="312"/>
      <c r="AY325" s="14"/>
      <c r="AZ325" s="14">
        <f t="shared" si="39"/>
        <v>6899.4777183252882</v>
      </c>
      <c r="BA325" s="14">
        <f t="shared" si="38"/>
        <v>0.18045116229471159</v>
      </c>
      <c r="BB325" s="14">
        <f t="shared" si="33"/>
        <v>38234.598384337965</v>
      </c>
      <c r="BC325" s="14"/>
      <c r="BD325" s="14"/>
      <c r="BE325" s="14"/>
      <c r="BF325" s="14"/>
      <c r="BG325" s="14"/>
      <c r="BH325" s="14"/>
      <c r="BI325" s="14"/>
      <c r="BJ325" s="14"/>
      <c r="BK325" s="14"/>
      <c r="BL325" s="14"/>
      <c r="BM325" s="14"/>
      <c r="BN325" s="14"/>
      <c r="BO325" s="14"/>
      <c r="BP325" s="14"/>
      <c r="BQ325" s="14"/>
      <c r="BR325" s="14"/>
      <c r="BS325" s="14"/>
      <c r="BT325" s="14"/>
      <c r="BU325" s="14"/>
      <c r="BV325" s="14"/>
      <c r="BW325" s="14"/>
      <c r="BX325" s="14"/>
      <c r="BY325" s="14"/>
      <c r="BZ325" s="14"/>
      <c r="CA325" s="14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</row>
    <row r="326" spans="1:101" ht="14.25" customHeight="1" x14ac:dyDescent="0.2">
      <c r="A326" s="286"/>
      <c r="B326" s="52">
        <v>0.19510793972394458</v>
      </c>
      <c r="C326" s="288">
        <v>0.7127377349479358</v>
      </c>
      <c r="D326" s="288">
        <v>1.3569231860114623E-2</v>
      </c>
      <c r="E326" s="288">
        <v>1.637595702696315E-2</v>
      </c>
      <c r="F326" s="289">
        <v>0.78652555646178313</v>
      </c>
      <c r="G326" s="92">
        <v>0.36153417126722037</v>
      </c>
      <c r="H326" s="288">
        <v>0.36564221564174954</v>
      </c>
      <c r="I326" s="288">
        <v>6.5045831875525173E-3</v>
      </c>
      <c r="J326" s="288">
        <v>0.30616225171473371</v>
      </c>
      <c r="K326" s="288">
        <v>0.75927412116070414</v>
      </c>
      <c r="L326" s="290">
        <v>11736.593876717443</v>
      </c>
      <c r="M326" s="288">
        <v>0</v>
      </c>
      <c r="N326" s="288">
        <v>20209.951926942354</v>
      </c>
      <c r="O326" s="288">
        <v>1334.3907714344234</v>
      </c>
      <c r="P326" s="288">
        <v>29436.393431097284</v>
      </c>
      <c r="Q326" s="291">
        <v>78206.820178073409</v>
      </c>
      <c r="R326" s="288">
        <v>20693.352410166615</v>
      </c>
      <c r="S326" s="288">
        <v>11676.495758892579</v>
      </c>
      <c r="T326" s="290">
        <v>0.751</v>
      </c>
      <c r="U326" s="288">
        <v>0.75800000000000001</v>
      </c>
      <c r="V326" s="288">
        <v>0.723923076923077</v>
      </c>
      <c r="W326" s="288">
        <v>0.72750000000000004</v>
      </c>
      <c r="X326" s="288">
        <v>0.76</v>
      </c>
      <c r="Y326" s="288">
        <v>0</v>
      </c>
      <c r="Z326" s="289">
        <v>0</v>
      </c>
      <c r="AA326" s="229"/>
      <c r="AB326" s="52">
        <v>106025.00863092454</v>
      </c>
      <c r="AC326" s="288">
        <v>3.1726673821819089</v>
      </c>
      <c r="AD326" s="288">
        <v>91858.811104542066</v>
      </c>
      <c r="AE326" s="288">
        <v>3.0509986701788661</v>
      </c>
      <c r="AF326" s="288">
        <v>14166.197526382472</v>
      </c>
      <c r="AG326" s="289">
        <v>0.12166871200304286</v>
      </c>
      <c r="AH326" s="229"/>
      <c r="AI326" s="205">
        <f t="shared" si="34"/>
        <v>211241.72958726637</v>
      </c>
      <c r="AJ326" s="205">
        <f t="shared" si="35"/>
        <v>213241.05591334455</v>
      </c>
      <c r="AK326" s="205">
        <f t="shared" si="36"/>
        <v>-1999.326326078186</v>
      </c>
      <c r="AL326" s="229"/>
      <c r="AM326" s="52">
        <f t="shared" si="30"/>
        <v>0</v>
      </c>
      <c r="AN326" s="52">
        <f t="shared" si="31"/>
        <v>1</v>
      </c>
      <c r="AO326" s="52">
        <f t="shared" si="32"/>
        <v>0</v>
      </c>
      <c r="AP326" s="229"/>
      <c r="AQ326" s="3"/>
      <c r="AR326" s="3"/>
      <c r="AS326" s="3"/>
      <c r="AT326" s="3"/>
      <c r="AU326" s="229"/>
      <c r="AV326" s="318">
        <f t="shared" si="37"/>
        <v>213241.05591334455</v>
      </c>
      <c r="AW326" s="229"/>
      <c r="AX326" s="312"/>
      <c r="AY326" s="14"/>
      <c r="AZ326" s="14">
        <f t="shared" si="39"/>
        <v>14166.197526382472</v>
      </c>
      <c r="BA326" s="14">
        <f t="shared" si="38"/>
        <v>0.12166871200304286</v>
      </c>
      <c r="BB326" s="14">
        <f t="shared" si="33"/>
        <v>116432.54287123698</v>
      </c>
      <c r="BC326" s="14"/>
      <c r="BD326" s="14"/>
      <c r="BE326" s="14"/>
      <c r="BF326" s="14"/>
      <c r="BG326" s="14"/>
      <c r="BH326" s="14"/>
      <c r="BI326" s="14"/>
      <c r="BJ326" s="14"/>
      <c r="BK326" s="14"/>
      <c r="BL326" s="14"/>
      <c r="BM326" s="14"/>
      <c r="BN326" s="14"/>
      <c r="BO326" s="14"/>
      <c r="BP326" s="14"/>
      <c r="BQ326" s="14"/>
      <c r="BR326" s="14"/>
      <c r="BS326" s="14"/>
      <c r="BT326" s="14"/>
      <c r="BU326" s="14"/>
      <c r="BV326" s="14"/>
      <c r="BW326" s="14"/>
      <c r="BX326" s="14"/>
      <c r="BY326" s="14"/>
      <c r="BZ326" s="14"/>
      <c r="CA326" s="14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</row>
    <row r="327" spans="1:101" ht="14.25" customHeight="1" x14ac:dyDescent="0.2">
      <c r="A327" s="286"/>
      <c r="B327" s="52">
        <v>0.20110238170485917</v>
      </c>
      <c r="C327" s="288">
        <v>0.22670715693550206</v>
      </c>
      <c r="D327" s="288">
        <v>1.3964174857783705E-2</v>
      </c>
      <c r="E327" s="288">
        <v>2.6144555367568767E-2</v>
      </c>
      <c r="F327" s="289">
        <v>0.79282023527582501</v>
      </c>
      <c r="G327" s="92">
        <v>0.4410593440161209</v>
      </c>
      <c r="H327" s="288">
        <v>0.93652675604585911</v>
      </c>
      <c r="I327" s="288">
        <v>1.8858558542207415E-2</v>
      </c>
      <c r="J327" s="288">
        <v>1</v>
      </c>
      <c r="K327" s="288">
        <v>0.77980539743471611</v>
      </c>
      <c r="L327" s="290">
        <v>15552.369639861576</v>
      </c>
      <c r="M327" s="288">
        <v>0</v>
      </c>
      <c r="N327" s="288">
        <v>22704.847541900508</v>
      </c>
      <c r="O327" s="288">
        <v>1079.7853522195217</v>
      </c>
      <c r="P327" s="288">
        <v>63503.660152924473</v>
      </c>
      <c r="Q327" s="291">
        <v>76684.831334761446</v>
      </c>
      <c r="R327" s="288">
        <v>21172.041305294828</v>
      </c>
      <c r="S327" s="288">
        <v>12125.407472574376</v>
      </c>
      <c r="T327" s="290">
        <v>0.751</v>
      </c>
      <c r="U327" s="288">
        <v>0.75800000000000001</v>
      </c>
      <c r="V327" s="288">
        <v>0.723923076923077</v>
      </c>
      <c r="W327" s="288">
        <v>0.72750000000000004</v>
      </c>
      <c r="X327" s="288">
        <v>0.76</v>
      </c>
      <c r="Y327" s="288">
        <v>0</v>
      </c>
      <c r="Z327" s="289">
        <v>0</v>
      </c>
      <c r="AA327" s="229"/>
      <c r="AB327" s="52">
        <v>112149.78698203368</v>
      </c>
      <c r="AC327" s="288">
        <v>3.2019725401091845</v>
      </c>
      <c r="AD327" s="288">
        <v>104737.08246652935</v>
      </c>
      <c r="AE327" s="288">
        <v>3.1461178961437652</v>
      </c>
      <c r="AF327" s="288">
        <v>7412.7045155043306</v>
      </c>
      <c r="AG327" s="289">
        <v>5.5854643965419282E-2</v>
      </c>
      <c r="AH327" s="229"/>
      <c r="AI327" s="205">
        <f t="shared" si="34"/>
        <v>208047.46702888474</v>
      </c>
      <c r="AJ327" s="205">
        <f t="shared" si="35"/>
        <v>209874.70714784716</v>
      </c>
      <c r="AK327" s="205">
        <f t="shared" si="36"/>
        <v>-1827.2401189624024</v>
      </c>
      <c r="AL327" s="229"/>
      <c r="AM327" s="52">
        <f t="shared" si="30"/>
        <v>0</v>
      </c>
      <c r="AN327" s="52">
        <f t="shared" si="31"/>
        <v>1</v>
      </c>
      <c r="AO327" s="52">
        <f t="shared" si="32"/>
        <v>0</v>
      </c>
      <c r="AP327" s="229"/>
      <c r="AQ327" s="3"/>
      <c r="AR327" s="3"/>
      <c r="AS327" s="3"/>
      <c r="AT327" s="3"/>
      <c r="AU327" s="229"/>
      <c r="AV327" s="318">
        <f t="shared" si="37"/>
        <v>209874.70714784716</v>
      </c>
      <c r="AW327" s="229"/>
      <c r="AX327" s="312"/>
      <c r="AY327" s="14"/>
      <c r="AZ327" s="14">
        <f t="shared" si="39"/>
        <v>7412.7045155043306</v>
      </c>
      <c r="BA327" s="14">
        <f t="shared" si="38"/>
        <v>5.5854643965419282E-2</v>
      </c>
      <c r="BB327" s="14">
        <f t="shared" si="33"/>
        <v>132714.20224419804</v>
      </c>
      <c r="BC327" s="14"/>
      <c r="BD327" s="14"/>
      <c r="BE327" s="14"/>
      <c r="BF327" s="14"/>
      <c r="BG327" s="14"/>
      <c r="BH327" s="14"/>
      <c r="BI327" s="14"/>
      <c r="BJ327" s="14"/>
      <c r="BK327" s="14"/>
      <c r="BL327" s="14"/>
      <c r="BM327" s="14"/>
      <c r="BN327" s="14"/>
      <c r="BO327" s="14"/>
      <c r="BP327" s="14"/>
      <c r="BQ327" s="14"/>
      <c r="BR327" s="14"/>
      <c r="BS327" s="14"/>
      <c r="BT327" s="14"/>
      <c r="BU327" s="14"/>
      <c r="BV327" s="14"/>
      <c r="BW327" s="14"/>
      <c r="BX327" s="14"/>
      <c r="BY327" s="14"/>
      <c r="BZ327" s="14"/>
      <c r="CA327" s="14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</row>
    <row r="328" spans="1:101" ht="14.25" customHeight="1" x14ac:dyDescent="0.2">
      <c r="A328" s="286"/>
      <c r="B328" s="52">
        <v>0.13623321042000144</v>
      </c>
      <c r="C328" s="288">
        <v>0.58547404745019893</v>
      </c>
      <c r="D328" s="288">
        <v>8.8319677089992409E-3</v>
      </c>
      <c r="E328" s="288">
        <v>1.0171669885413544E-2</v>
      </c>
      <c r="F328" s="289">
        <v>0.77812720662889789</v>
      </c>
      <c r="G328" s="92">
        <v>0.40322325836056427</v>
      </c>
      <c r="H328" s="288">
        <v>5.0091587044032118E-2</v>
      </c>
      <c r="I328" s="288">
        <v>2.1181846666416315E-2</v>
      </c>
      <c r="J328" s="288">
        <v>0.99999999999720068</v>
      </c>
      <c r="K328" s="288">
        <v>0.76025388599447874</v>
      </c>
      <c r="L328" s="290">
        <v>12643.019566753062</v>
      </c>
      <c r="M328" s="288">
        <v>0</v>
      </c>
      <c r="N328" s="288">
        <v>20917.588336608045</v>
      </c>
      <c r="O328" s="288">
        <v>1449.9522947744338</v>
      </c>
      <c r="P328" s="288">
        <v>51394.745047606579</v>
      </c>
      <c r="Q328" s="291">
        <v>95325.133395033743</v>
      </c>
      <c r="R328" s="288">
        <v>28056.617019047615</v>
      </c>
      <c r="S328" s="288">
        <v>5408.5945446816468</v>
      </c>
      <c r="T328" s="290">
        <v>0.751</v>
      </c>
      <c r="U328" s="288">
        <v>0.75800000000000001</v>
      </c>
      <c r="V328" s="288">
        <v>0.723923076923077</v>
      </c>
      <c r="W328" s="288">
        <v>0.72750000000000004</v>
      </c>
      <c r="X328" s="288">
        <v>0.76</v>
      </c>
      <c r="Y328" s="288">
        <v>0</v>
      </c>
      <c r="Z328" s="289">
        <v>0</v>
      </c>
      <c r="AA328" s="229"/>
      <c r="AB328" s="52">
        <v>56868.463842160287</v>
      </c>
      <c r="AC328" s="288">
        <v>3.1336652642640259</v>
      </c>
      <c r="AD328" s="288">
        <v>43713.478066890872</v>
      </c>
      <c r="AE328" s="288">
        <v>3.0555227195348253</v>
      </c>
      <c r="AF328" s="288">
        <v>13154.985775269415</v>
      </c>
      <c r="AG328" s="289">
        <v>7.8142544729200569E-2</v>
      </c>
      <c r="AH328" s="229"/>
      <c r="AI328" s="205">
        <f t="shared" si="34"/>
        <v>256498.06258424232</v>
      </c>
      <c r="AJ328" s="205">
        <f t="shared" si="35"/>
        <v>261838.79388659165</v>
      </c>
      <c r="AK328" s="205">
        <f t="shared" si="36"/>
        <v>-5340.731302349358</v>
      </c>
      <c r="AL328" s="229"/>
      <c r="AM328" s="52">
        <f t="shared" si="30"/>
        <v>0</v>
      </c>
      <c r="AN328" s="52">
        <f t="shared" si="31"/>
        <v>1</v>
      </c>
      <c r="AO328" s="52">
        <f t="shared" si="32"/>
        <v>0</v>
      </c>
      <c r="AP328" s="229"/>
      <c r="AQ328" s="3"/>
      <c r="AR328" s="3"/>
      <c r="AS328" s="3"/>
      <c r="AT328" s="3"/>
      <c r="AU328" s="229"/>
      <c r="AV328" s="318">
        <f t="shared" si="37"/>
        <v>261838.79388659165</v>
      </c>
      <c r="AW328" s="229"/>
      <c r="AX328" s="312"/>
      <c r="AY328" s="14"/>
      <c r="AZ328" s="14">
        <f t="shared" si="39"/>
        <v>13154.985775269415</v>
      </c>
      <c r="BA328" s="14">
        <f t="shared" si="38"/>
        <v>7.8142544729200569E-2</v>
      </c>
      <c r="BB328" s="14">
        <f t="shared" si="33"/>
        <v>168346.01203297664</v>
      </c>
      <c r="BC328" s="14"/>
      <c r="BD328" s="14"/>
      <c r="BE328" s="14"/>
      <c r="BF328" s="14"/>
      <c r="BG328" s="14"/>
      <c r="BH328" s="14"/>
      <c r="BI328" s="14"/>
      <c r="BJ328" s="14"/>
      <c r="BK328" s="14"/>
      <c r="BL328" s="14"/>
      <c r="BM328" s="14"/>
      <c r="BN328" s="14"/>
      <c r="BO328" s="14"/>
      <c r="BP328" s="14"/>
      <c r="BQ328" s="14"/>
      <c r="BR328" s="14"/>
      <c r="BS328" s="14"/>
      <c r="BT328" s="14"/>
      <c r="BU328" s="14"/>
      <c r="BV328" s="14"/>
      <c r="BW328" s="14"/>
      <c r="BX328" s="14"/>
      <c r="BY328" s="14"/>
      <c r="BZ328" s="14"/>
      <c r="CA328" s="14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</row>
    <row r="329" spans="1:101" ht="14.25" customHeight="1" x14ac:dyDescent="0.2">
      <c r="A329" s="286"/>
      <c r="B329" s="52">
        <v>0.14310361824781478</v>
      </c>
      <c r="C329" s="288">
        <v>4.621499500099048E-2</v>
      </c>
      <c r="D329" s="288">
        <v>1.8300239474757118E-2</v>
      </c>
      <c r="E329" s="288">
        <v>1.4523729009259689E-2</v>
      </c>
      <c r="F329" s="289">
        <v>0.79898479685578039</v>
      </c>
      <c r="G329" s="92">
        <v>0.46209082866135298</v>
      </c>
      <c r="H329" s="288">
        <v>0.16329995245975196</v>
      </c>
      <c r="I329" s="288">
        <v>1.7163837486420142E-2</v>
      </c>
      <c r="J329" s="288">
        <v>0.99999999230329384</v>
      </c>
      <c r="K329" s="288">
        <v>0.73500937236518682</v>
      </c>
      <c r="L329" s="290">
        <v>13981.120502179137</v>
      </c>
      <c r="M329" s="288">
        <v>0</v>
      </c>
      <c r="N329" s="288">
        <v>17656.473209601645</v>
      </c>
      <c r="O329" s="288">
        <v>1369.4655489826116</v>
      </c>
      <c r="P329" s="288">
        <v>58484.171912129081</v>
      </c>
      <c r="Q329" s="291">
        <v>76242.419525239413</v>
      </c>
      <c r="R329" s="288">
        <v>26766.153483269984</v>
      </c>
      <c r="S329" s="288">
        <v>10522.132173720664</v>
      </c>
      <c r="T329" s="290">
        <v>0.751</v>
      </c>
      <c r="U329" s="288">
        <v>0.75800000000000001</v>
      </c>
      <c r="V329" s="288">
        <v>0.723923076923077</v>
      </c>
      <c r="W329" s="288">
        <v>0.72750000000000004</v>
      </c>
      <c r="X329" s="288">
        <v>0.76</v>
      </c>
      <c r="Y329" s="288">
        <v>0</v>
      </c>
      <c r="Z329" s="289">
        <v>0</v>
      </c>
      <c r="AA329" s="229"/>
      <c r="AB329" s="52">
        <v>97805.426559191706</v>
      </c>
      <c r="AC329" s="288">
        <v>3.2307321663637301</v>
      </c>
      <c r="AD329" s="288">
        <v>80954.896692930517</v>
      </c>
      <c r="AE329" s="288">
        <v>2.93943932563199</v>
      </c>
      <c r="AF329" s="288">
        <v>16850.529866261189</v>
      </c>
      <c r="AG329" s="289">
        <v>0.29129284073174011</v>
      </c>
      <c r="AH329" s="229"/>
      <c r="AI329" s="205">
        <f t="shared" si="34"/>
        <v>225267.7900771813</v>
      </c>
      <c r="AJ329" s="205">
        <f t="shared" si="35"/>
        <v>212989.0358702685</v>
      </c>
      <c r="AK329" s="205">
        <f t="shared" si="36"/>
        <v>12278.754206912821</v>
      </c>
      <c r="AL329" s="229"/>
      <c r="AM329" s="52">
        <f t="shared" si="30"/>
        <v>1</v>
      </c>
      <c r="AN329" s="52">
        <f t="shared" si="31"/>
        <v>0</v>
      </c>
      <c r="AO329" s="52">
        <f t="shared" si="32"/>
        <v>1</v>
      </c>
      <c r="AP329" s="229"/>
      <c r="AQ329" s="3"/>
      <c r="AR329" s="3"/>
      <c r="AS329" s="3"/>
      <c r="AT329" s="3"/>
      <c r="AU329" s="229"/>
      <c r="AV329" s="318">
        <f t="shared" si="37"/>
        <v>225267.7900771813</v>
      </c>
      <c r="AW329" s="229"/>
      <c r="AX329" s="312"/>
      <c r="AY329" s="14"/>
      <c r="AZ329" s="14">
        <f t="shared" si="39"/>
        <v>16850.529866261189</v>
      </c>
      <c r="BA329" s="14">
        <f t="shared" si="38"/>
        <v>0.29129284073174011</v>
      </c>
      <c r="BB329" s="14">
        <f t="shared" si="33"/>
        <v>57847.387611490674</v>
      </c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</row>
    <row r="330" spans="1:101" ht="14.25" customHeight="1" x14ac:dyDescent="0.2">
      <c r="A330" s="286"/>
      <c r="B330" s="52">
        <v>0.15180382979810303</v>
      </c>
      <c r="C330" s="288">
        <v>0.40074642078511979</v>
      </c>
      <c r="D330" s="288">
        <v>1.2642966660139913E-2</v>
      </c>
      <c r="E330" s="288">
        <v>3.7403460498565577E-2</v>
      </c>
      <c r="F330" s="289">
        <v>0.79274898633300372</v>
      </c>
      <c r="G330" s="92">
        <v>0.45140261430020678</v>
      </c>
      <c r="H330" s="288">
        <v>0.10348485376185157</v>
      </c>
      <c r="I330" s="288">
        <v>4.8896280026040295E-2</v>
      </c>
      <c r="J330" s="288">
        <v>0.99852034063158313</v>
      </c>
      <c r="K330" s="288">
        <v>0.75846897998211338</v>
      </c>
      <c r="L330" s="290">
        <v>13970.987254637255</v>
      </c>
      <c r="M330" s="288">
        <v>0</v>
      </c>
      <c r="N330" s="288">
        <v>21270.068177828525</v>
      </c>
      <c r="O330" s="288">
        <v>1358.5821768246717</v>
      </c>
      <c r="P330" s="288">
        <v>56955.103996323589</v>
      </c>
      <c r="Q330" s="291">
        <v>111523.95886811193</v>
      </c>
      <c r="R330" s="288">
        <v>29091.737278081837</v>
      </c>
      <c r="S330" s="288">
        <v>7666.0230316944799</v>
      </c>
      <c r="T330" s="290">
        <v>0.751</v>
      </c>
      <c r="U330" s="288">
        <v>0.75800000000000001</v>
      </c>
      <c r="V330" s="288">
        <v>0.723923076923077</v>
      </c>
      <c r="W330" s="288">
        <v>0.72750000000000004</v>
      </c>
      <c r="X330" s="288">
        <v>0.76</v>
      </c>
      <c r="Y330" s="288">
        <v>0</v>
      </c>
      <c r="Z330" s="289">
        <v>0</v>
      </c>
      <c r="AA330" s="229"/>
      <c r="AB330" s="52">
        <v>76345.161684532504</v>
      </c>
      <c r="AC330" s="288">
        <v>3.2016404897320752</v>
      </c>
      <c r="AD330" s="288">
        <v>64327.640233511462</v>
      </c>
      <c r="AE330" s="288">
        <v>3.0472820755348153</v>
      </c>
      <c r="AF330" s="288">
        <v>12017.521451021043</v>
      </c>
      <c r="AG330" s="289">
        <v>0.15435841419725982</v>
      </c>
      <c r="AH330" s="229"/>
      <c r="AI330" s="205">
        <f t="shared" si="34"/>
        <v>243818.88728867503</v>
      </c>
      <c r="AJ330" s="205">
        <f t="shared" si="35"/>
        <v>240400.56731997005</v>
      </c>
      <c r="AK330" s="205">
        <f t="shared" si="36"/>
        <v>3418.31996870494</v>
      </c>
      <c r="AL330" s="229"/>
      <c r="AM330" s="52">
        <f t="shared" si="30"/>
        <v>1</v>
      </c>
      <c r="AN330" s="52">
        <f t="shared" si="31"/>
        <v>0</v>
      </c>
      <c r="AO330" s="52">
        <f t="shared" si="32"/>
        <v>1</v>
      </c>
      <c r="AP330" s="229"/>
      <c r="AQ330" s="3"/>
      <c r="AR330" s="3"/>
      <c r="AS330" s="3"/>
      <c r="AT330" s="3"/>
      <c r="AU330" s="229"/>
      <c r="AV330" s="318">
        <f t="shared" si="37"/>
        <v>243818.88728867503</v>
      </c>
      <c r="AW330" s="229"/>
      <c r="AX330" s="312"/>
      <c r="AY330" s="14"/>
      <c r="AZ330" s="14">
        <f t="shared" si="39"/>
        <v>12017.521451021043</v>
      </c>
      <c r="BA330" s="14">
        <f t="shared" si="38"/>
        <v>0.15435841419725982</v>
      </c>
      <c r="BB330" s="14">
        <f t="shared" si="33"/>
        <v>77854.65737982672</v>
      </c>
      <c r="BC330" s="14"/>
      <c r="BD330" s="14"/>
      <c r="BE330" s="14"/>
      <c r="BF330" s="14"/>
      <c r="BG330" s="14"/>
      <c r="BH330" s="14"/>
      <c r="BI330" s="14"/>
      <c r="BJ330" s="14"/>
      <c r="BK330" s="14"/>
      <c r="BL330" s="14"/>
      <c r="BM330" s="14"/>
      <c r="BN330" s="14"/>
      <c r="BO330" s="14"/>
      <c r="BP330" s="14"/>
      <c r="BQ330" s="14"/>
      <c r="BR330" s="14"/>
      <c r="BS330" s="14"/>
      <c r="BT330" s="14"/>
      <c r="BU330" s="14"/>
      <c r="BV330" s="14"/>
      <c r="BW330" s="14"/>
      <c r="BX330" s="14"/>
      <c r="BY330" s="14"/>
      <c r="BZ330" s="14"/>
      <c r="CA330" s="14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</row>
    <row r="331" spans="1:101" ht="14.25" customHeight="1" x14ac:dyDescent="0.2">
      <c r="A331" s="286"/>
      <c r="B331" s="52">
        <v>0.15908640111885514</v>
      </c>
      <c r="C331" s="288">
        <v>5.2786260965078085E-4</v>
      </c>
      <c r="D331" s="288">
        <v>1.1629710290797861E-2</v>
      </c>
      <c r="E331" s="288">
        <v>1.3526313020210325E-2</v>
      </c>
      <c r="F331" s="289">
        <v>0.78088494541682851</v>
      </c>
      <c r="G331" s="92">
        <v>0.35934386451963268</v>
      </c>
      <c r="H331" s="288">
        <v>0.24466536723708068</v>
      </c>
      <c r="I331" s="288">
        <v>3.2311802438352966E-2</v>
      </c>
      <c r="J331" s="288">
        <v>0.99970788750546191</v>
      </c>
      <c r="K331" s="288">
        <v>0.77981804727354109</v>
      </c>
      <c r="L331" s="290">
        <v>9789.910506332264</v>
      </c>
      <c r="M331" s="288">
        <v>0</v>
      </c>
      <c r="N331" s="288">
        <v>13498.92788256518</v>
      </c>
      <c r="O331" s="288">
        <v>1386.0032043147382</v>
      </c>
      <c r="P331" s="288">
        <v>52751.95639964618</v>
      </c>
      <c r="Q331" s="291">
        <v>66370.320903400672</v>
      </c>
      <c r="R331" s="288">
        <v>21893.979153482353</v>
      </c>
      <c r="S331" s="288">
        <v>9087.0969217044076</v>
      </c>
      <c r="T331" s="290">
        <v>0.751</v>
      </c>
      <c r="U331" s="288">
        <v>0.75800000000000001</v>
      </c>
      <c r="V331" s="288">
        <v>0.723923076923077</v>
      </c>
      <c r="W331" s="288">
        <v>0.72750000000000004</v>
      </c>
      <c r="X331" s="288">
        <v>0.76</v>
      </c>
      <c r="Y331" s="288">
        <v>0</v>
      </c>
      <c r="Z331" s="289">
        <v>0</v>
      </c>
      <c r="AA331" s="229"/>
      <c r="AB331" s="52">
        <v>80403.088154863086</v>
      </c>
      <c r="AC331" s="288">
        <v>3.146460063457067</v>
      </c>
      <c r="AD331" s="288">
        <v>74561.711985272865</v>
      </c>
      <c r="AE331" s="288">
        <v>3.1461767063215675</v>
      </c>
      <c r="AF331" s="288">
        <v>5841.3761695902213</v>
      </c>
      <c r="AG331" s="289">
        <v>2.8335713549942909E-4</v>
      </c>
      <c r="AH331" s="229"/>
      <c r="AI331" s="205">
        <f t="shared" si="34"/>
        <v>234242.9181908436</v>
      </c>
      <c r="AJ331" s="205">
        <f t="shared" si="35"/>
        <v>240055.9586468839</v>
      </c>
      <c r="AK331" s="205">
        <f t="shared" si="36"/>
        <v>-5813.0404560402785</v>
      </c>
      <c r="AL331" s="229"/>
      <c r="AM331" s="52">
        <f t="shared" si="30"/>
        <v>0</v>
      </c>
      <c r="AN331" s="52">
        <f t="shared" si="31"/>
        <v>1</v>
      </c>
      <c r="AO331" s="52">
        <f t="shared" si="32"/>
        <v>0</v>
      </c>
      <c r="AP331" s="229"/>
      <c r="AQ331" s="3"/>
      <c r="AR331" s="3"/>
      <c r="AS331" s="3"/>
      <c r="AT331" s="3"/>
      <c r="AU331" s="229"/>
      <c r="AV331" s="318">
        <f t="shared" si="37"/>
        <v>240055.9586468839</v>
      </c>
      <c r="AW331" s="229"/>
      <c r="AX331" s="312"/>
      <c r="AY331" s="14"/>
      <c r="AZ331" s="14">
        <f t="shared" si="39"/>
        <v>5841.3761695902213</v>
      </c>
      <c r="BA331" s="14">
        <f t="shared" si="38"/>
        <v>2.8335713549942909E-4</v>
      </c>
      <c r="BB331" s="14">
        <f t="shared" si="33"/>
        <v>20614889.966665372</v>
      </c>
      <c r="BC331" s="14"/>
      <c r="BD331" s="14"/>
      <c r="BE331" s="14"/>
      <c r="BF331" s="14"/>
      <c r="BG331" s="14"/>
      <c r="BH331" s="14"/>
      <c r="BI331" s="14"/>
      <c r="BJ331" s="14"/>
      <c r="BK331" s="14"/>
      <c r="BL331" s="14"/>
      <c r="BM331" s="14"/>
      <c r="BN331" s="14"/>
      <c r="BO331" s="14"/>
      <c r="BP331" s="14"/>
      <c r="BQ331" s="14"/>
      <c r="BR331" s="14"/>
      <c r="BS331" s="14"/>
      <c r="BT331" s="14"/>
      <c r="BU331" s="14"/>
      <c r="BV331" s="14"/>
      <c r="BW331" s="14"/>
      <c r="BX331" s="14"/>
      <c r="BY331" s="14"/>
      <c r="BZ331" s="14"/>
      <c r="CA331" s="14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</row>
    <row r="332" spans="1:101" ht="14.25" customHeight="1" x14ac:dyDescent="0.2">
      <c r="A332" s="286"/>
      <c r="B332" s="52">
        <v>0.14478298221452837</v>
      </c>
      <c r="C332" s="288">
        <v>0.36464989788723057</v>
      </c>
      <c r="D332" s="288">
        <v>1.144680329322938E-2</v>
      </c>
      <c r="E332" s="288">
        <v>1.1212600929594699E-2</v>
      </c>
      <c r="F332" s="289">
        <v>0.80970870533090222</v>
      </c>
      <c r="G332" s="92">
        <v>0.33882276964579072</v>
      </c>
      <c r="H332" s="288">
        <v>0.50415659311343108</v>
      </c>
      <c r="I332" s="288">
        <v>2.8123236964764819E-2</v>
      </c>
      <c r="J332" s="288">
        <v>0.29507365594333818</v>
      </c>
      <c r="K332" s="288">
        <v>0.78717626026458865</v>
      </c>
      <c r="L332" s="290">
        <v>14891.983302013074</v>
      </c>
      <c r="M332" s="288">
        <v>0</v>
      </c>
      <c r="N332" s="288">
        <v>19251.299334778512</v>
      </c>
      <c r="O332" s="288">
        <v>948.79539649772858</v>
      </c>
      <c r="P332" s="288">
        <v>37466.26185499283</v>
      </c>
      <c r="Q332" s="291">
        <v>113270.44039866833</v>
      </c>
      <c r="R332" s="288">
        <v>20636.098003080551</v>
      </c>
      <c r="S332" s="288">
        <v>8343.8588797084467</v>
      </c>
      <c r="T332" s="290">
        <v>0.751</v>
      </c>
      <c r="U332" s="288">
        <v>0.75800000000000001</v>
      </c>
      <c r="V332" s="288">
        <v>0.723923076923077</v>
      </c>
      <c r="W332" s="288">
        <v>0.72750000000000004</v>
      </c>
      <c r="X332" s="288">
        <v>0.76</v>
      </c>
      <c r="Y332" s="288">
        <v>0</v>
      </c>
      <c r="Z332" s="289">
        <v>0</v>
      </c>
      <c r="AA332" s="229"/>
      <c r="AB332" s="52">
        <v>83208.399348312058</v>
      </c>
      <c r="AC332" s="288">
        <v>3.2809046213523811</v>
      </c>
      <c r="AD332" s="288">
        <v>70551.876784785461</v>
      </c>
      <c r="AE332" s="288">
        <v>3.1804284100985374</v>
      </c>
      <c r="AF332" s="288">
        <v>12656.522563526596</v>
      </c>
      <c r="AG332" s="289">
        <v>0.10047621125384376</v>
      </c>
      <c r="AH332" s="229"/>
      <c r="AI332" s="205">
        <f t="shared" si="34"/>
        <v>244882.06278692605</v>
      </c>
      <c r="AJ332" s="205">
        <f t="shared" si="35"/>
        <v>247490.96422506828</v>
      </c>
      <c r="AK332" s="205">
        <f t="shared" si="36"/>
        <v>-2608.9014381422203</v>
      </c>
      <c r="AL332" s="229"/>
      <c r="AM332" s="52">
        <f t="shared" si="30"/>
        <v>0</v>
      </c>
      <c r="AN332" s="52">
        <f t="shared" si="31"/>
        <v>1</v>
      </c>
      <c r="AO332" s="52">
        <f t="shared" si="32"/>
        <v>0</v>
      </c>
      <c r="AP332" s="229"/>
      <c r="AQ332" s="3"/>
      <c r="AR332" s="3"/>
      <c r="AS332" s="3"/>
      <c r="AT332" s="3"/>
      <c r="AU332" s="229"/>
      <c r="AV332" s="318">
        <f t="shared" si="37"/>
        <v>247490.96422506828</v>
      </c>
      <c r="AW332" s="229"/>
      <c r="AX332" s="312"/>
      <c r="AY332" s="14"/>
      <c r="AZ332" s="14">
        <f t="shared" si="39"/>
        <v>12656.522563526596</v>
      </c>
      <c r="BA332" s="14">
        <f t="shared" si="38"/>
        <v>0.10047621125384376</v>
      </c>
      <c r="BB332" s="14">
        <f t="shared" si="33"/>
        <v>125965.36439407607</v>
      </c>
      <c r="BC332" s="14"/>
      <c r="BD332" s="14"/>
      <c r="BE332" s="14"/>
      <c r="BF332" s="14"/>
      <c r="BG332" s="14"/>
      <c r="BH332" s="14"/>
      <c r="BI332" s="14"/>
      <c r="BJ332" s="14"/>
      <c r="BK332" s="14"/>
      <c r="BL332" s="14"/>
      <c r="BM332" s="14"/>
      <c r="BN332" s="14"/>
      <c r="BO332" s="14"/>
      <c r="BP332" s="14"/>
      <c r="BQ332" s="14"/>
      <c r="BR332" s="14"/>
      <c r="BS332" s="14"/>
      <c r="BT332" s="14"/>
      <c r="BU332" s="14"/>
      <c r="BV332" s="14"/>
      <c r="BW332" s="14"/>
      <c r="BX332" s="14"/>
      <c r="BY332" s="14"/>
      <c r="BZ332" s="14"/>
      <c r="CA332" s="14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</row>
    <row r="333" spans="1:101" ht="14.25" customHeight="1" x14ac:dyDescent="0.2">
      <c r="A333" s="286"/>
      <c r="B333" s="52">
        <v>0.11360966207421459</v>
      </c>
      <c r="C333" s="288">
        <v>0.3929857816138641</v>
      </c>
      <c r="D333" s="288">
        <v>1.7398178191143754E-2</v>
      </c>
      <c r="E333" s="288">
        <v>1.2965100136013255E-2</v>
      </c>
      <c r="F333" s="289">
        <v>0.77605725118259683</v>
      </c>
      <c r="G333" s="92">
        <v>0.44240860587337372</v>
      </c>
      <c r="H333" s="288">
        <v>0.46833945069278676</v>
      </c>
      <c r="I333" s="288">
        <v>1.6521669601628264E-2</v>
      </c>
      <c r="J333" s="288">
        <v>1</v>
      </c>
      <c r="K333" s="288">
        <v>0.79085968290401087</v>
      </c>
      <c r="L333" s="290">
        <v>10248.830693391546</v>
      </c>
      <c r="M333" s="288">
        <v>0</v>
      </c>
      <c r="N333" s="288">
        <v>18616.845774076846</v>
      </c>
      <c r="O333" s="288">
        <v>1780.3914859703671</v>
      </c>
      <c r="P333" s="288">
        <v>34798.785906717705</v>
      </c>
      <c r="Q333" s="291">
        <v>101132.49377774895</v>
      </c>
      <c r="R333" s="288">
        <v>22285.845490968619</v>
      </c>
      <c r="S333" s="288">
        <v>11333.905571110741</v>
      </c>
      <c r="T333" s="290">
        <v>0.751</v>
      </c>
      <c r="U333" s="288">
        <v>0.75800000000000001</v>
      </c>
      <c r="V333" s="288">
        <v>0.723923076923077</v>
      </c>
      <c r="W333" s="288">
        <v>0.72750000000000004</v>
      </c>
      <c r="X333" s="288">
        <v>0.76</v>
      </c>
      <c r="Y333" s="288">
        <v>0</v>
      </c>
      <c r="Z333" s="289">
        <v>0</v>
      </c>
      <c r="AA333" s="229"/>
      <c r="AB333" s="52">
        <v>98745.487912489159</v>
      </c>
      <c r="AC333" s="288">
        <v>3.1240693403424191</v>
      </c>
      <c r="AD333" s="288">
        <v>95902.828277783658</v>
      </c>
      <c r="AE333" s="288">
        <v>3.1976064070209675</v>
      </c>
      <c r="AF333" s="288">
        <v>2842.659634705502</v>
      </c>
      <c r="AG333" s="289">
        <v>-7.3537066678548424E-2</v>
      </c>
      <c r="AH333" s="229"/>
      <c r="AI333" s="205">
        <f t="shared" si="34"/>
        <v>213661.44612175273</v>
      </c>
      <c r="AJ333" s="205">
        <f t="shared" si="35"/>
        <v>223857.8124243131</v>
      </c>
      <c r="AK333" s="205">
        <f t="shared" si="36"/>
        <v>-10196.366302560346</v>
      </c>
      <c r="AL333" s="229"/>
      <c r="AM333" s="52">
        <f t="shared" si="30"/>
        <v>0</v>
      </c>
      <c r="AN333" s="52">
        <f t="shared" si="31"/>
        <v>1</v>
      </c>
      <c r="AO333" s="52">
        <f t="shared" si="32"/>
        <v>0</v>
      </c>
      <c r="AP333" s="229"/>
      <c r="AQ333" s="3"/>
      <c r="AR333" s="3"/>
      <c r="AS333" s="3"/>
      <c r="AT333" s="3"/>
      <c r="AU333" s="229"/>
      <c r="AV333" s="318">
        <f t="shared" si="37"/>
        <v>223857.8124243131</v>
      </c>
      <c r="AW333" s="229"/>
      <c r="AX333" s="312"/>
      <c r="AY333" s="14"/>
      <c r="AZ333" s="14">
        <f t="shared" si="39"/>
        <v>2842.659634705502</v>
      </c>
      <c r="BA333" s="14">
        <f t="shared" si="38"/>
        <v>-7.3537066678548424E-2</v>
      </c>
      <c r="BB333" s="14">
        <f t="shared" si="33"/>
        <v>-38656.146663173029</v>
      </c>
      <c r="BC333" s="14"/>
      <c r="BD333" s="14"/>
      <c r="BE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  <c r="BV333" s="14"/>
      <c r="BW333" s="14"/>
      <c r="BX333" s="14"/>
      <c r="BY333" s="14"/>
      <c r="BZ333" s="14"/>
      <c r="CA333" s="14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</row>
    <row r="334" spans="1:101" ht="14.25" customHeight="1" x14ac:dyDescent="0.2">
      <c r="A334" s="286"/>
      <c r="B334" s="52">
        <v>0.19678539350358659</v>
      </c>
      <c r="C334" s="288">
        <v>5.1854666965671967E-2</v>
      </c>
      <c r="D334" s="288">
        <v>1.9387996808900132E-2</v>
      </c>
      <c r="E334" s="288">
        <v>1.6308341759159073E-2</v>
      </c>
      <c r="F334" s="289">
        <v>0.78623459433181864</v>
      </c>
      <c r="G334" s="92">
        <v>0.36958371115431404</v>
      </c>
      <c r="H334" s="288">
        <v>0.80291446822149493</v>
      </c>
      <c r="I334" s="288">
        <v>4.3066368360072382E-2</v>
      </c>
      <c r="J334" s="288">
        <v>0.99999788951363722</v>
      </c>
      <c r="K334" s="288">
        <v>0.68998962160964905</v>
      </c>
      <c r="L334" s="290">
        <v>9278.1690713367134</v>
      </c>
      <c r="M334" s="288">
        <v>0</v>
      </c>
      <c r="N334" s="288">
        <v>19610.776237621187</v>
      </c>
      <c r="O334" s="288">
        <v>1209.855264005625</v>
      </c>
      <c r="P334" s="288">
        <v>45017.096116846449</v>
      </c>
      <c r="Q334" s="291">
        <v>70597.788005220835</v>
      </c>
      <c r="R334" s="288">
        <v>15711.211030350853</v>
      </c>
      <c r="S334" s="288">
        <v>6574.0863416488955</v>
      </c>
      <c r="T334" s="290">
        <v>0.751</v>
      </c>
      <c r="U334" s="288">
        <v>0.75800000000000001</v>
      </c>
      <c r="V334" s="288">
        <v>0.723923076923077</v>
      </c>
      <c r="W334" s="288">
        <v>0.72750000000000004</v>
      </c>
      <c r="X334" s="288">
        <v>0.76</v>
      </c>
      <c r="Y334" s="288">
        <v>0</v>
      </c>
      <c r="Z334" s="289">
        <v>0</v>
      </c>
      <c r="AA334" s="229"/>
      <c r="AB334" s="52">
        <v>61132.620858652648</v>
      </c>
      <c r="AC334" s="288">
        <v>3.1713142977685091</v>
      </c>
      <c r="AD334" s="288">
        <v>52305.308292453716</v>
      </c>
      <c r="AE334" s="288">
        <v>2.7349153068949539</v>
      </c>
      <c r="AF334" s="288">
        <v>8827.3125661989325</v>
      </c>
      <c r="AG334" s="289">
        <v>0.43639899087355527</v>
      </c>
      <c r="AH334" s="229"/>
      <c r="AI334" s="205">
        <f t="shared" ref="AI334:AI397" si="40">AC334*cRatio-AB334</f>
        <v>255998.80891819828</v>
      </c>
      <c r="AJ334" s="205">
        <f t="shared" ref="AJ334:AJ397" si="41">AE334*cRatio-AD334</f>
        <v>221186.22239704168</v>
      </c>
      <c r="AK334" s="205">
        <f t="shared" ref="AK334:AK397" si="42">AG334*cRatio-AF334</f>
        <v>34812.586521156598</v>
      </c>
      <c r="AL334" s="229"/>
      <c r="AM334" s="52">
        <f t="shared" si="30"/>
        <v>1</v>
      </c>
      <c r="AN334" s="52">
        <f t="shared" si="31"/>
        <v>0</v>
      </c>
      <c r="AO334" s="52">
        <f t="shared" si="32"/>
        <v>1</v>
      </c>
      <c r="AP334" s="229"/>
      <c r="AQ334" s="3"/>
      <c r="AR334" s="3"/>
      <c r="AS334" s="3"/>
      <c r="AT334" s="3"/>
      <c r="AU334" s="229"/>
      <c r="AV334" s="318">
        <f t="shared" si="37"/>
        <v>255998.80891819828</v>
      </c>
      <c r="AW334" s="229"/>
      <c r="AX334" s="312"/>
      <c r="AY334" s="14"/>
      <c r="AZ334" s="14">
        <f t="shared" si="39"/>
        <v>8827.3125661989325</v>
      </c>
      <c r="BA334" s="14">
        <f t="shared" si="38"/>
        <v>0.43639899087355527</v>
      </c>
      <c r="BB334" s="14">
        <f t="shared" si="33"/>
        <v>20227.619107296716</v>
      </c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</row>
    <row r="335" spans="1:101" ht="14.25" customHeight="1" x14ac:dyDescent="0.2">
      <c r="A335" s="286"/>
      <c r="B335" s="52">
        <v>0.18801952916792419</v>
      </c>
      <c r="C335" s="288">
        <v>0.57407523696390461</v>
      </c>
      <c r="D335" s="288">
        <v>7.2273902523701987E-3</v>
      </c>
      <c r="E335" s="288">
        <v>5.9381829891679934E-3</v>
      </c>
      <c r="F335" s="289">
        <v>0.76019193724521905</v>
      </c>
      <c r="G335" s="92">
        <v>0.44743916759456148</v>
      </c>
      <c r="H335" s="288">
        <v>0.46602395768678179</v>
      </c>
      <c r="I335" s="288">
        <v>6.6390302857352547E-3</v>
      </c>
      <c r="J335" s="288">
        <v>0.99999999998967026</v>
      </c>
      <c r="K335" s="288">
        <v>0.74924871150841532</v>
      </c>
      <c r="L335" s="290">
        <v>9936.0188132426374</v>
      </c>
      <c r="M335" s="288">
        <v>0</v>
      </c>
      <c r="N335" s="288">
        <v>14255.506656706526</v>
      </c>
      <c r="O335" s="288">
        <v>1200.4711474435608</v>
      </c>
      <c r="P335" s="288">
        <v>37683.643325853758</v>
      </c>
      <c r="Q335" s="291">
        <v>81016.282212163598</v>
      </c>
      <c r="R335" s="288">
        <v>24454.273975466291</v>
      </c>
      <c r="S335" s="288">
        <v>11786.308243611285</v>
      </c>
      <c r="T335" s="290">
        <v>0.751</v>
      </c>
      <c r="U335" s="288">
        <v>0.75800000000000001</v>
      </c>
      <c r="V335" s="288">
        <v>0.723923076923077</v>
      </c>
      <c r="W335" s="288">
        <v>0.72750000000000004</v>
      </c>
      <c r="X335" s="288">
        <v>0.76</v>
      </c>
      <c r="Y335" s="288">
        <v>0</v>
      </c>
      <c r="Z335" s="289">
        <v>0</v>
      </c>
      <c r="AA335" s="229"/>
      <c r="AB335" s="52">
        <v>101634.83052658624</v>
      </c>
      <c r="AC335" s="288">
        <v>3.050743887790019</v>
      </c>
      <c r="AD335" s="288">
        <v>94096.558026087034</v>
      </c>
      <c r="AE335" s="288">
        <v>3.0047934471023354</v>
      </c>
      <c r="AF335" s="288">
        <v>7538.2725004992099</v>
      </c>
      <c r="AG335" s="289">
        <v>4.5950440687683614E-2</v>
      </c>
      <c r="AH335" s="229"/>
      <c r="AI335" s="205">
        <f t="shared" si="40"/>
        <v>203439.55825241565</v>
      </c>
      <c r="AJ335" s="205">
        <f t="shared" si="41"/>
        <v>206382.78668414653</v>
      </c>
      <c r="AK335" s="205">
        <f t="shared" si="42"/>
        <v>-2943.2284317308486</v>
      </c>
      <c r="AL335" s="229"/>
      <c r="AM335" s="52">
        <f t="shared" si="30"/>
        <v>0</v>
      </c>
      <c r="AN335" s="52">
        <f t="shared" si="31"/>
        <v>1</v>
      </c>
      <c r="AO335" s="52">
        <f t="shared" si="32"/>
        <v>0</v>
      </c>
      <c r="AP335" s="229"/>
      <c r="AQ335" s="3"/>
      <c r="AR335" s="3"/>
      <c r="AS335" s="3"/>
      <c r="AT335" s="3"/>
      <c r="AU335" s="229"/>
      <c r="AV335" s="318">
        <f t="shared" ref="AV335:AV398" si="43">MAX(AI335:AJ335)</f>
        <v>206382.78668414653</v>
      </c>
      <c r="AW335" s="229"/>
      <c r="AX335" s="312"/>
      <c r="AY335" s="14"/>
      <c r="AZ335" s="14">
        <f t="shared" si="39"/>
        <v>7538.2725004992099</v>
      </c>
      <c r="BA335" s="14">
        <f t="shared" ref="BA335:BA398" si="44">AG335</f>
        <v>4.5950440687683614E-2</v>
      </c>
      <c r="BB335" s="14">
        <f t="shared" si="33"/>
        <v>164052.23514036374</v>
      </c>
      <c r="BC335" s="14"/>
      <c r="BD335" s="14"/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</row>
    <row r="336" spans="1:101" ht="14.25" customHeight="1" x14ac:dyDescent="0.2">
      <c r="A336" s="286"/>
      <c r="B336" s="52">
        <v>0.13889077053218293</v>
      </c>
      <c r="C336" s="288">
        <v>0.80722021581960479</v>
      </c>
      <c r="D336" s="288">
        <v>2.1511466588922112E-2</v>
      </c>
      <c r="E336" s="288">
        <v>1.7128932697630495E-2</v>
      </c>
      <c r="F336" s="289">
        <v>0.82374392354177883</v>
      </c>
      <c r="G336" s="92">
        <v>0.35516302999041027</v>
      </c>
      <c r="H336" s="288">
        <v>0.99950121595202235</v>
      </c>
      <c r="I336" s="288">
        <v>1.5733621445366604E-2</v>
      </c>
      <c r="J336" s="288">
        <v>1</v>
      </c>
      <c r="K336" s="288">
        <v>0.74193802541254061</v>
      </c>
      <c r="L336" s="290">
        <v>13740.60727224314</v>
      </c>
      <c r="M336" s="288">
        <v>0</v>
      </c>
      <c r="N336" s="288">
        <v>20553.078559530823</v>
      </c>
      <c r="O336" s="288">
        <v>956.54902687912283</v>
      </c>
      <c r="P336" s="288">
        <v>40157.641639758789</v>
      </c>
      <c r="Q336" s="291">
        <v>120209.21244555103</v>
      </c>
      <c r="R336" s="288">
        <v>20687.527959026989</v>
      </c>
      <c r="S336" s="288">
        <v>9519.532569054536</v>
      </c>
      <c r="T336" s="290">
        <v>0.751</v>
      </c>
      <c r="U336" s="288">
        <v>0.75800000000000001</v>
      </c>
      <c r="V336" s="288">
        <v>0.723923076923077</v>
      </c>
      <c r="W336" s="288">
        <v>0.72750000000000004</v>
      </c>
      <c r="X336" s="288">
        <v>0.76</v>
      </c>
      <c r="Y336" s="288">
        <v>0</v>
      </c>
      <c r="Z336" s="289">
        <v>0</v>
      </c>
      <c r="AA336" s="229"/>
      <c r="AB336" s="52">
        <v>94205.444583734759</v>
      </c>
      <c r="AC336" s="288">
        <v>3.3468417660704346</v>
      </c>
      <c r="AD336" s="288">
        <v>79100.319024865661</v>
      </c>
      <c r="AE336" s="288">
        <v>2.9711997590926535</v>
      </c>
      <c r="AF336" s="288">
        <v>15105.125558869098</v>
      </c>
      <c r="AG336" s="289">
        <v>0.37564200697778105</v>
      </c>
      <c r="AH336" s="229"/>
      <c r="AI336" s="205">
        <f t="shared" si="40"/>
        <v>240478.73202330872</v>
      </c>
      <c r="AJ336" s="205">
        <f t="shared" si="41"/>
        <v>218019.65688439968</v>
      </c>
      <c r="AK336" s="205">
        <f t="shared" si="42"/>
        <v>22459.075138909007</v>
      </c>
      <c r="AL336" s="229"/>
      <c r="AM336" s="52">
        <f t="shared" si="30"/>
        <v>1</v>
      </c>
      <c r="AN336" s="52">
        <f t="shared" si="31"/>
        <v>0</v>
      </c>
      <c r="AO336" s="52">
        <f t="shared" si="32"/>
        <v>1</v>
      </c>
      <c r="AP336" s="229"/>
      <c r="AQ336" s="3"/>
      <c r="AR336" s="3"/>
      <c r="AS336" s="3"/>
      <c r="AT336" s="3"/>
      <c r="AU336" s="229"/>
      <c r="AV336" s="318">
        <f t="shared" si="43"/>
        <v>240478.73202330872</v>
      </c>
      <c r="AW336" s="229"/>
      <c r="AX336" s="312"/>
      <c r="AY336" s="14"/>
      <c r="AZ336" s="14">
        <f t="shared" ref="AZ336:AZ399" si="45">AF336</f>
        <v>15105.125558869098</v>
      </c>
      <c r="BA336" s="14">
        <f t="shared" si="44"/>
        <v>0.37564200697778105</v>
      </c>
      <c r="BB336" s="14">
        <f t="shared" si="33"/>
        <v>40211.49200111306</v>
      </c>
      <c r="BC336" s="14"/>
      <c r="BD336" s="14"/>
      <c r="BE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  <c r="BV336" s="14"/>
      <c r="BW336" s="14"/>
      <c r="BX336" s="14"/>
      <c r="BY336" s="14"/>
      <c r="BZ336" s="14"/>
      <c r="CA336" s="14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</row>
    <row r="337" spans="1:101" ht="14.25" customHeight="1" x14ac:dyDescent="0.2">
      <c r="A337" s="286"/>
      <c r="B337" s="52">
        <v>0.14822165588922112</v>
      </c>
      <c r="C337" s="288">
        <v>0.20398890515311816</v>
      </c>
      <c r="D337" s="288">
        <v>1.4101937011299814E-2</v>
      </c>
      <c r="E337" s="288">
        <v>1.6535482055580752E-2</v>
      </c>
      <c r="F337" s="289">
        <v>0.77171288158628881</v>
      </c>
      <c r="G337" s="92">
        <v>0.40279778601775518</v>
      </c>
      <c r="H337" s="288">
        <v>0.19261404988692296</v>
      </c>
      <c r="I337" s="288">
        <v>9.6915835567033225E-3</v>
      </c>
      <c r="J337" s="288">
        <v>0.99999999999999589</v>
      </c>
      <c r="K337" s="288">
        <v>0.7471626417852405</v>
      </c>
      <c r="L337" s="290">
        <v>15199.176491548618</v>
      </c>
      <c r="M337" s="288">
        <v>0</v>
      </c>
      <c r="N337" s="288">
        <v>23926.288828505189</v>
      </c>
      <c r="O337" s="288">
        <v>1448.7025701259033</v>
      </c>
      <c r="P337" s="288">
        <v>48343.319681108958</v>
      </c>
      <c r="Q337" s="291">
        <v>129988.32336243254</v>
      </c>
      <c r="R337" s="288">
        <v>28688.23633114103</v>
      </c>
      <c r="S337" s="288">
        <v>7672.3251225135291</v>
      </c>
      <c r="T337" s="290">
        <v>0.751</v>
      </c>
      <c r="U337" s="288">
        <v>0.75800000000000001</v>
      </c>
      <c r="V337" s="288">
        <v>0.723923076923077</v>
      </c>
      <c r="W337" s="288">
        <v>0.72750000000000004</v>
      </c>
      <c r="X337" s="288">
        <v>0.76</v>
      </c>
      <c r="Y337" s="288">
        <v>0</v>
      </c>
      <c r="Z337" s="289">
        <v>0</v>
      </c>
      <c r="AA337" s="229"/>
      <c r="AB337" s="52">
        <v>75185.283083362068</v>
      </c>
      <c r="AC337" s="288">
        <v>3.1039515144905079</v>
      </c>
      <c r="AD337" s="288">
        <v>60761.762987201044</v>
      </c>
      <c r="AE337" s="288">
        <v>2.9951990573042133</v>
      </c>
      <c r="AF337" s="288">
        <v>14423.520096161024</v>
      </c>
      <c r="AG337" s="289">
        <v>0.10875245718629456</v>
      </c>
      <c r="AH337" s="229"/>
      <c r="AI337" s="205">
        <f t="shared" si="40"/>
        <v>235209.86836568874</v>
      </c>
      <c r="AJ337" s="205">
        <f t="shared" si="41"/>
        <v>238758.14274322026</v>
      </c>
      <c r="AK337" s="205">
        <f t="shared" si="42"/>
        <v>-3548.2743775315685</v>
      </c>
      <c r="AL337" s="229"/>
      <c r="AM337" s="52">
        <f t="shared" si="30"/>
        <v>0</v>
      </c>
      <c r="AN337" s="52">
        <f t="shared" si="31"/>
        <v>1</v>
      </c>
      <c r="AO337" s="52">
        <f t="shared" si="32"/>
        <v>0</v>
      </c>
      <c r="AP337" s="229"/>
      <c r="AQ337" s="3"/>
      <c r="AR337" s="3"/>
      <c r="AS337" s="3"/>
      <c r="AT337" s="3"/>
      <c r="AU337" s="229"/>
      <c r="AV337" s="318">
        <f t="shared" si="43"/>
        <v>238758.14274322026</v>
      </c>
      <c r="AW337" s="229"/>
      <c r="AX337" s="312"/>
      <c r="AY337" s="14"/>
      <c r="AZ337" s="14">
        <f t="shared" si="45"/>
        <v>14423.520096161024</v>
      </c>
      <c r="BA337" s="14">
        <f t="shared" si="44"/>
        <v>0.10875245718629456</v>
      </c>
      <c r="BB337" s="14">
        <f t="shared" si="33"/>
        <v>132627.07316537522</v>
      </c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</row>
    <row r="338" spans="1:101" ht="14.25" customHeight="1" x14ac:dyDescent="0.2">
      <c r="A338" s="286"/>
      <c r="B338" s="52">
        <v>0.15955008655679515</v>
      </c>
      <c r="C338" s="288">
        <v>0.62186201341824043</v>
      </c>
      <c r="D338" s="288">
        <v>1.7903856885925995E-2</v>
      </c>
      <c r="E338" s="288">
        <v>1.3670246023043092E-2</v>
      </c>
      <c r="F338" s="289">
        <v>0.80693279027801479</v>
      </c>
      <c r="G338" s="92">
        <v>0.36058959485094844</v>
      </c>
      <c r="H338" s="288">
        <v>0.29680711826410333</v>
      </c>
      <c r="I338" s="288">
        <v>6.7117172147216258E-3</v>
      </c>
      <c r="J338" s="288">
        <v>0.99999997222796733</v>
      </c>
      <c r="K338" s="288">
        <v>0.75805754330661179</v>
      </c>
      <c r="L338" s="290">
        <v>18209.28600319659</v>
      </c>
      <c r="M338" s="288">
        <v>0</v>
      </c>
      <c r="N338" s="288">
        <v>18115.800923703133</v>
      </c>
      <c r="O338" s="288">
        <v>1102.5138087603978</v>
      </c>
      <c r="P338" s="288">
        <v>56177.074566182811</v>
      </c>
      <c r="Q338" s="291">
        <v>61733.406758442907</v>
      </c>
      <c r="R338" s="288">
        <v>27270.184040565568</v>
      </c>
      <c r="S338" s="288">
        <v>9886.5552824871156</v>
      </c>
      <c r="T338" s="290">
        <v>0.751</v>
      </c>
      <c r="U338" s="288">
        <v>0.75800000000000001</v>
      </c>
      <c r="V338" s="288">
        <v>0.723923076923077</v>
      </c>
      <c r="W338" s="288">
        <v>0.72750000000000004</v>
      </c>
      <c r="X338" s="288">
        <v>0.76</v>
      </c>
      <c r="Y338" s="288">
        <v>0</v>
      </c>
      <c r="Z338" s="289">
        <v>0</v>
      </c>
      <c r="AA338" s="229"/>
      <c r="AB338" s="52">
        <v>100268.44796774756</v>
      </c>
      <c r="AC338" s="288">
        <v>3.2679000318611613</v>
      </c>
      <c r="AD338" s="288">
        <v>78399.340222925282</v>
      </c>
      <c r="AE338" s="288">
        <v>3.0453832461573422</v>
      </c>
      <c r="AF338" s="288">
        <v>21869.107744822279</v>
      </c>
      <c r="AG338" s="289">
        <v>0.22251678570381905</v>
      </c>
      <c r="AH338" s="229"/>
      <c r="AI338" s="205">
        <f t="shared" si="40"/>
        <v>226521.55521836854</v>
      </c>
      <c r="AJ338" s="205">
        <f t="shared" si="41"/>
        <v>226138.98439280892</v>
      </c>
      <c r="AK338" s="205">
        <f t="shared" si="42"/>
        <v>382.57082555962552</v>
      </c>
      <c r="AL338" s="229"/>
      <c r="AM338" s="52">
        <f t="shared" si="30"/>
        <v>1</v>
      </c>
      <c r="AN338" s="52">
        <f t="shared" si="31"/>
        <v>0</v>
      </c>
      <c r="AO338" s="52">
        <f t="shared" si="32"/>
        <v>1</v>
      </c>
      <c r="AP338" s="229"/>
      <c r="AQ338" s="3"/>
      <c r="AR338" s="3"/>
      <c r="AS338" s="3"/>
      <c r="AT338" s="3"/>
      <c r="AU338" s="229"/>
      <c r="AV338" s="318">
        <f t="shared" si="43"/>
        <v>226521.55521836854</v>
      </c>
      <c r="AW338" s="229"/>
      <c r="AX338" s="312"/>
      <c r="AY338" s="14"/>
      <c r="AZ338" s="14">
        <f t="shared" si="45"/>
        <v>21869.107744822279</v>
      </c>
      <c r="BA338" s="14">
        <f t="shared" si="44"/>
        <v>0.22251678570381905</v>
      </c>
      <c r="BB338" s="14">
        <f t="shared" si="33"/>
        <v>98280.710264847847</v>
      </c>
      <c r="BC338" s="14"/>
      <c r="BD338" s="14"/>
      <c r="BE338" s="14"/>
      <c r="BF338" s="14"/>
      <c r="BG338" s="14"/>
      <c r="BH338" s="14"/>
      <c r="BI338" s="14"/>
      <c r="BJ338" s="14"/>
      <c r="BK338" s="14"/>
      <c r="BL338" s="14"/>
      <c r="BM338" s="14"/>
      <c r="BN338" s="14"/>
      <c r="BO338" s="14"/>
      <c r="BP338" s="14"/>
      <c r="BQ338" s="14"/>
      <c r="BR338" s="14"/>
      <c r="BS338" s="14"/>
      <c r="BT338" s="14"/>
      <c r="BU338" s="14"/>
      <c r="BV338" s="14"/>
      <c r="BW338" s="14"/>
      <c r="BX338" s="14"/>
      <c r="BY338" s="14"/>
      <c r="BZ338" s="14"/>
      <c r="CA338" s="14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</row>
    <row r="339" spans="1:101" ht="14.25" customHeight="1" x14ac:dyDescent="0.2">
      <c r="A339" s="286"/>
      <c r="B339" s="52">
        <v>0.15977436961560976</v>
      </c>
      <c r="C339" s="288">
        <v>0.82454284935539446</v>
      </c>
      <c r="D339" s="288">
        <v>1.3191659834993706E-2</v>
      </c>
      <c r="E339" s="288">
        <v>2.0261089129415599E-2</v>
      </c>
      <c r="F339" s="289">
        <v>0.77466755871650039</v>
      </c>
      <c r="G339" s="92">
        <v>0.36259544438797336</v>
      </c>
      <c r="H339" s="288">
        <v>0.68330261846409412</v>
      </c>
      <c r="I339" s="288">
        <v>1.5219291758347771E-2</v>
      </c>
      <c r="J339" s="288">
        <v>0.99999949052315629</v>
      </c>
      <c r="K339" s="288">
        <v>0.75807979784716406</v>
      </c>
      <c r="L339" s="290">
        <v>11300.237885155324</v>
      </c>
      <c r="M339" s="288">
        <v>0</v>
      </c>
      <c r="N339" s="288">
        <v>17627.678288997369</v>
      </c>
      <c r="O339" s="288">
        <v>1145.83803369926</v>
      </c>
      <c r="P339" s="288">
        <v>43098.773227937716</v>
      </c>
      <c r="Q339" s="291">
        <v>83550.722687417583</v>
      </c>
      <c r="R339" s="288">
        <v>23511.506935354708</v>
      </c>
      <c r="S339" s="288">
        <v>10737.066324116038</v>
      </c>
      <c r="T339" s="290">
        <v>0.751</v>
      </c>
      <c r="U339" s="288">
        <v>0.75800000000000001</v>
      </c>
      <c r="V339" s="288">
        <v>0.723923076923077</v>
      </c>
      <c r="W339" s="288">
        <v>0.72750000000000004</v>
      </c>
      <c r="X339" s="288">
        <v>0.76</v>
      </c>
      <c r="Y339" s="288">
        <v>0</v>
      </c>
      <c r="Z339" s="289">
        <v>0</v>
      </c>
      <c r="AA339" s="229"/>
      <c r="AB339" s="52">
        <v>97123.246062634775</v>
      </c>
      <c r="AC339" s="288">
        <v>3.1176307581378198</v>
      </c>
      <c r="AD339" s="288">
        <v>88219.172079610304</v>
      </c>
      <c r="AE339" s="288">
        <v>3.045485946692883</v>
      </c>
      <c r="AF339" s="288">
        <v>8904.0739830244711</v>
      </c>
      <c r="AG339" s="289">
        <v>7.2144811444936785E-2</v>
      </c>
      <c r="AH339" s="229"/>
      <c r="AI339" s="205">
        <f t="shared" si="40"/>
        <v>214639.82975114722</v>
      </c>
      <c r="AJ339" s="205">
        <f t="shared" si="41"/>
        <v>216329.42258967803</v>
      </c>
      <c r="AK339" s="205">
        <f t="shared" si="42"/>
        <v>-1689.5928385307925</v>
      </c>
      <c r="AL339" s="229"/>
      <c r="AM339" s="52">
        <f t="shared" si="30"/>
        <v>0</v>
      </c>
      <c r="AN339" s="52">
        <f t="shared" si="31"/>
        <v>1</v>
      </c>
      <c r="AO339" s="52">
        <f t="shared" si="32"/>
        <v>0</v>
      </c>
      <c r="AP339" s="229"/>
      <c r="AQ339" s="3"/>
      <c r="AR339" s="3"/>
      <c r="AS339" s="3"/>
      <c r="AT339" s="3"/>
      <c r="AU339" s="229"/>
      <c r="AV339" s="318">
        <f t="shared" si="43"/>
        <v>216329.42258967803</v>
      </c>
      <c r="AW339" s="229"/>
      <c r="AX339" s="312"/>
      <c r="AY339" s="14"/>
      <c r="AZ339" s="14">
        <f t="shared" si="45"/>
        <v>8904.0739830244711</v>
      </c>
      <c r="BA339" s="14">
        <f t="shared" si="44"/>
        <v>7.2144811444936785E-2</v>
      </c>
      <c r="BB339" s="14">
        <f t="shared" si="33"/>
        <v>123419.46433417937</v>
      </c>
      <c r="BC339" s="14"/>
      <c r="BD339" s="14"/>
      <c r="BE339" s="14"/>
      <c r="BF339" s="14"/>
      <c r="BG339" s="14"/>
      <c r="BH339" s="14"/>
      <c r="BI339" s="14"/>
      <c r="BJ339" s="14"/>
      <c r="BK339" s="14"/>
      <c r="BL339" s="14"/>
      <c r="BM339" s="14"/>
      <c r="BN339" s="14"/>
      <c r="BO339" s="14"/>
      <c r="BP339" s="14"/>
      <c r="BQ339" s="14"/>
      <c r="BR339" s="14"/>
      <c r="BS339" s="14"/>
      <c r="BT339" s="14"/>
      <c r="BU339" s="14"/>
      <c r="BV339" s="14"/>
      <c r="BW339" s="14"/>
      <c r="BX339" s="14"/>
      <c r="BY339" s="14"/>
      <c r="BZ339" s="14"/>
      <c r="CA339" s="14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</row>
    <row r="340" spans="1:101" ht="14.25" customHeight="1" x14ac:dyDescent="0.2">
      <c r="A340" s="286"/>
      <c r="B340" s="52">
        <v>0.14270804147364968</v>
      </c>
      <c r="C340" s="288">
        <v>0.35094849597884337</v>
      </c>
      <c r="D340" s="288">
        <v>1.9396571978334443E-2</v>
      </c>
      <c r="E340" s="288">
        <v>6.9548889434127847E-3</v>
      </c>
      <c r="F340" s="289">
        <v>0.76255696230358017</v>
      </c>
      <c r="G340" s="92">
        <v>0.39270546521589134</v>
      </c>
      <c r="H340" s="288">
        <v>5.2825770451984999E-2</v>
      </c>
      <c r="I340" s="288">
        <v>2.4534429202326291E-2</v>
      </c>
      <c r="J340" s="288">
        <v>0.98425968947544529</v>
      </c>
      <c r="K340" s="288">
        <v>0.75675514158788915</v>
      </c>
      <c r="L340" s="290">
        <v>13741.031401576414</v>
      </c>
      <c r="M340" s="288">
        <v>0</v>
      </c>
      <c r="N340" s="288">
        <v>22240.669277934652</v>
      </c>
      <c r="O340" s="288">
        <v>1308.9793857793952</v>
      </c>
      <c r="P340" s="288">
        <v>46874.783216351461</v>
      </c>
      <c r="Q340" s="291">
        <v>56944.2568936881</v>
      </c>
      <c r="R340" s="288">
        <v>25261.671255540245</v>
      </c>
      <c r="S340" s="288">
        <v>9689.1508823676359</v>
      </c>
      <c r="T340" s="290">
        <v>0.751</v>
      </c>
      <c r="U340" s="288">
        <v>0.75800000000000001</v>
      </c>
      <c r="V340" s="288">
        <v>0.723923076923077</v>
      </c>
      <c r="W340" s="288">
        <v>0.72750000000000004</v>
      </c>
      <c r="X340" s="288">
        <v>0.76</v>
      </c>
      <c r="Y340" s="288">
        <v>0</v>
      </c>
      <c r="Z340" s="289">
        <v>0</v>
      </c>
      <c r="AA340" s="229"/>
      <c r="AB340" s="52">
        <v>88515.302351008751</v>
      </c>
      <c r="AC340" s="288">
        <v>3.0616493931477238</v>
      </c>
      <c r="AD340" s="288">
        <v>75429.239890906509</v>
      </c>
      <c r="AE340" s="288">
        <v>3.0393742659147081</v>
      </c>
      <c r="AF340" s="288">
        <v>13086.062460102243</v>
      </c>
      <c r="AG340" s="289">
        <v>2.2275127233015724E-2</v>
      </c>
      <c r="AH340" s="229"/>
      <c r="AI340" s="205">
        <f t="shared" si="40"/>
        <v>217649.63696376362</v>
      </c>
      <c r="AJ340" s="205">
        <f t="shared" si="41"/>
        <v>228508.18670056429</v>
      </c>
      <c r="AK340" s="205">
        <f t="shared" si="42"/>
        <v>-10858.549736800671</v>
      </c>
      <c r="AL340" s="229"/>
      <c r="AM340" s="52">
        <f t="shared" si="30"/>
        <v>0</v>
      </c>
      <c r="AN340" s="52">
        <f t="shared" si="31"/>
        <v>1</v>
      </c>
      <c r="AO340" s="52">
        <f t="shared" si="32"/>
        <v>0</v>
      </c>
      <c r="AP340" s="229"/>
      <c r="AQ340" s="3"/>
      <c r="AR340" s="3"/>
      <c r="AS340" s="3"/>
      <c r="AT340" s="3"/>
      <c r="AU340" s="229"/>
      <c r="AV340" s="318">
        <f t="shared" si="43"/>
        <v>228508.18670056429</v>
      </c>
      <c r="AW340" s="229"/>
      <c r="AX340" s="312"/>
      <c r="AY340" s="14"/>
      <c r="AZ340" s="14">
        <f t="shared" si="45"/>
        <v>13086.062460102243</v>
      </c>
      <c r="BA340" s="14">
        <f t="shared" si="44"/>
        <v>2.2275127233015724E-2</v>
      </c>
      <c r="BB340" s="14">
        <f t="shared" si="33"/>
        <v>587474.19591419247</v>
      </c>
      <c r="BC340" s="14"/>
      <c r="BD340" s="14"/>
      <c r="BE340" s="14"/>
      <c r="BF340" s="14"/>
      <c r="BG340" s="14"/>
      <c r="BH340" s="14"/>
      <c r="BI340" s="14"/>
      <c r="BJ340" s="14"/>
      <c r="BK340" s="14"/>
      <c r="BL340" s="14"/>
      <c r="BM340" s="14"/>
      <c r="BN340" s="14"/>
      <c r="BO340" s="14"/>
      <c r="BP340" s="14"/>
      <c r="BQ340" s="14"/>
      <c r="BR340" s="14"/>
      <c r="BS340" s="14"/>
      <c r="BT340" s="14"/>
      <c r="BU340" s="14"/>
      <c r="BV340" s="14"/>
      <c r="BW340" s="14"/>
      <c r="BX340" s="14"/>
      <c r="BY340" s="14"/>
      <c r="BZ340" s="14"/>
      <c r="CA340" s="14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</row>
    <row r="341" spans="1:101" ht="14.25" customHeight="1" x14ac:dyDescent="0.2">
      <c r="A341" s="286"/>
      <c r="B341" s="52">
        <v>0.18090666275461997</v>
      </c>
      <c r="C341" s="288">
        <v>0.455365799943381</v>
      </c>
      <c r="D341" s="288">
        <v>5.8277464509378964E-3</v>
      </c>
      <c r="E341" s="288">
        <v>2.3959476074536856E-2</v>
      </c>
      <c r="F341" s="289">
        <v>0.7752711600923422</v>
      </c>
      <c r="G341" s="92">
        <v>0.44850827846350494</v>
      </c>
      <c r="H341" s="288">
        <v>0.74084153714304835</v>
      </c>
      <c r="I341" s="288">
        <v>1.8480190538985419E-2</v>
      </c>
      <c r="J341" s="288">
        <v>0.99999999953368746</v>
      </c>
      <c r="K341" s="288">
        <v>0.78886236379689112</v>
      </c>
      <c r="L341" s="290">
        <v>10184.406002887867</v>
      </c>
      <c r="M341" s="288">
        <v>0</v>
      </c>
      <c r="N341" s="288">
        <v>24847.029344277471</v>
      </c>
      <c r="O341" s="288">
        <v>1173.8330062861937</v>
      </c>
      <c r="P341" s="288">
        <v>44890.176168547594</v>
      </c>
      <c r="Q341" s="291">
        <v>72967.709368360986</v>
      </c>
      <c r="R341" s="288">
        <v>23238.471237829781</v>
      </c>
      <c r="S341" s="288">
        <v>8185.8163806341845</v>
      </c>
      <c r="T341" s="290">
        <v>0.751</v>
      </c>
      <c r="U341" s="288">
        <v>0.75800000000000001</v>
      </c>
      <c r="V341" s="288">
        <v>0.723923076923077</v>
      </c>
      <c r="W341" s="288">
        <v>0.72750000000000004</v>
      </c>
      <c r="X341" s="288">
        <v>0.76</v>
      </c>
      <c r="Y341" s="288">
        <v>0</v>
      </c>
      <c r="Z341" s="289">
        <v>0</v>
      </c>
      <c r="AA341" s="229"/>
      <c r="AB341" s="52">
        <v>75231.961557986418</v>
      </c>
      <c r="AC341" s="288">
        <v>3.1204269307055097</v>
      </c>
      <c r="AD341" s="288">
        <v>73766.90479893978</v>
      </c>
      <c r="AE341" s="288">
        <v>3.1882890624691465</v>
      </c>
      <c r="AF341" s="288">
        <v>1465.056759046638</v>
      </c>
      <c r="AG341" s="289">
        <v>-6.7862131763636757E-2</v>
      </c>
      <c r="AH341" s="229"/>
      <c r="AI341" s="205">
        <f t="shared" si="40"/>
        <v>236810.73151256455</v>
      </c>
      <c r="AJ341" s="205">
        <f t="shared" si="41"/>
        <v>245062.00144797488</v>
      </c>
      <c r="AK341" s="205">
        <f t="shared" si="42"/>
        <v>-8251.2699354103133</v>
      </c>
      <c r="AL341" s="229"/>
      <c r="AM341" s="52">
        <f t="shared" si="30"/>
        <v>0</v>
      </c>
      <c r="AN341" s="52">
        <f t="shared" si="31"/>
        <v>1</v>
      </c>
      <c r="AO341" s="52">
        <f t="shared" si="32"/>
        <v>0</v>
      </c>
      <c r="AP341" s="229"/>
      <c r="AQ341" s="3"/>
      <c r="AR341" s="3"/>
      <c r="AS341" s="3"/>
      <c r="AT341" s="3"/>
      <c r="AU341" s="229"/>
      <c r="AV341" s="318">
        <f t="shared" si="43"/>
        <v>245062.00144797488</v>
      </c>
      <c r="AW341" s="229"/>
      <c r="AX341" s="312"/>
      <c r="AY341" s="14"/>
      <c r="AZ341" s="14">
        <f t="shared" si="45"/>
        <v>1465.056759046638</v>
      </c>
      <c r="BA341" s="14">
        <f t="shared" si="44"/>
        <v>-6.7862131763636757E-2</v>
      </c>
      <c r="BB341" s="14">
        <f t="shared" si="33"/>
        <v>-21588.722914709171</v>
      </c>
      <c r="BC341" s="14"/>
      <c r="BD341" s="14"/>
      <c r="BE341" s="14"/>
      <c r="BF341" s="14"/>
      <c r="BG341" s="14"/>
      <c r="BH341" s="14"/>
      <c r="BI341" s="14"/>
      <c r="BJ341" s="14"/>
      <c r="BK341" s="14"/>
      <c r="BL341" s="14"/>
      <c r="BM341" s="14"/>
      <c r="BN341" s="14"/>
      <c r="BO341" s="14"/>
      <c r="BP341" s="14"/>
      <c r="BQ341" s="14"/>
      <c r="BR341" s="14"/>
      <c r="BS341" s="14"/>
      <c r="BT341" s="14"/>
      <c r="BU341" s="14"/>
      <c r="BV341" s="14"/>
      <c r="BW341" s="14"/>
      <c r="BX341" s="14"/>
      <c r="BY341" s="14"/>
      <c r="BZ341" s="14"/>
      <c r="CA341" s="14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</row>
    <row r="342" spans="1:101" ht="14.25" customHeight="1" x14ac:dyDescent="0.2">
      <c r="A342" s="286"/>
      <c r="B342" s="52">
        <v>0.14443599294147716</v>
      </c>
      <c r="C342" s="288">
        <v>0.39049788305514677</v>
      </c>
      <c r="D342" s="288">
        <v>3.0200446529882186E-2</v>
      </c>
      <c r="E342" s="288">
        <v>1.2780536107745894E-2</v>
      </c>
      <c r="F342" s="289">
        <v>0.8227645554692874</v>
      </c>
      <c r="G342" s="92">
        <v>0.43506874053641509</v>
      </c>
      <c r="H342" s="288">
        <v>0.66649007459336085</v>
      </c>
      <c r="I342" s="288">
        <v>2.5550852607321262E-2</v>
      </c>
      <c r="J342" s="288">
        <v>1</v>
      </c>
      <c r="K342" s="288">
        <v>0.7826428320114085</v>
      </c>
      <c r="L342" s="290">
        <v>19385.773569612396</v>
      </c>
      <c r="M342" s="288">
        <v>0</v>
      </c>
      <c r="N342" s="288">
        <v>26059.576139103643</v>
      </c>
      <c r="O342" s="288">
        <v>1333.1068941739202</v>
      </c>
      <c r="P342" s="288">
        <v>34400.689914163027</v>
      </c>
      <c r="Q342" s="291">
        <v>103188.84993594613</v>
      </c>
      <c r="R342" s="288">
        <v>24084.276187298325</v>
      </c>
      <c r="S342" s="288">
        <v>5905.9084380938557</v>
      </c>
      <c r="T342" s="290">
        <v>0.751</v>
      </c>
      <c r="U342" s="288">
        <v>0.75800000000000001</v>
      </c>
      <c r="V342" s="288">
        <v>0.723923076923077</v>
      </c>
      <c r="W342" s="288">
        <v>0.72750000000000004</v>
      </c>
      <c r="X342" s="288">
        <v>0.76</v>
      </c>
      <c r="Y342" s="288">
        <v>0</v>
      </c>
      <c r="Z342" s="289">
        <v>0</v>
      </c>
      <c r="AA342" s="229"/>
      <c r="AB342" s="52">
        <v>69507.116523926248</v>
      </c>
      <c r="AC342" s="288">
        <v>3.3422306887288067</v>
      </c>
      <c r="AD342" s="288">
        <v>55399.623160258241</v>
      </c>
      <c r="AE342" s="288">
        <v>3.1593156880258335</v>
      </c>
      <c r="AF342" s="288">
        <v>14107.493363668007</v>
      </c>
      <c r="AG342" s="289">
        <v>0.18291500070297317</v>
      </c>
      <c r="AH342" s="229"/>
      <c r="AI342" s="205">
        <f t="shared" si="40"/>
        <v>264715.95234895439</v>
      </c>
      <c r="AJ342" s="205">
        <f t="shared" si="41"/>
        <v>260531.9456423251</v>
      </c>
      <c r="AK342" s="205">
        <f t="shared" si="42"/>
        <v>4184.0067066293086</v>
      </c>
      <c r="AL342" s="229"/>
      <c r="AM342" s="52">
        <f t="shared" si="30"/>
        <v>1</v>
      </c>
      <c r="AN342" s="52">
        <f t="shared" si="31"/>
        <v>0</v>
      </c>
      <c r="AO342" s="52">
        <f t="shared" si="32"/>
        <v>1</v>
      </c>
      <c r="AP342" s="229"/>
      <c r="AQ342" s="3"/>
      <c r="AR342" s="3"/>
      <c r="AS342" s="3"/>
      <c r="AT342" s="3"/>
      <c r="AU342" s="229"/>
      <c r="AV342" s="318">
        <f t="shared" si="43"/>
        <v>264715.95234895439</v>
      </c>
      <c r="AW342" s="229"/>
      <c r="AX342" s="312"/>
      <c r="AY342" s="14"/>
      <c r="AZ342" s="14">
        <f t="shared" si="45"/>
        <v>14107.493363668007</v>
      </c>
      <c r="BA342" s="14">
        <f t="shared" si="44"/>
        <v>0.18291500070297317</v>
      </c>
      <c r="BB342" s="14">
        <f t="shared" si="33"/>
        <v>77125.950903154648</v>
      </c>
      <c r="BC342" s="14"/>
      <c r="BD342" s="14"/>
      <c r="BE342" s="14"/>
      <c r="BF342" s="14"/>
      <c r="BG342" s="14"/>
      <c r="BH342" s="14"/>
      <c r="BI342" s="14"/>
      <c r="BJ342" s="14"/>
      <c r="BK342" s="14"/>
      <c r="BL342" s="14"/>
      <c r="BM342" s="14"/>
      <c r="BN342" s="14"/>
      <c r="BO342" s="14"/>
      <c r="BP342" s="14"/>
      <c r="BQ342" s="14"/>
      <c r="BR342" s="14"/>
      <c r="BS342" s="14"/>
      <c r="BT342" s="14"/>
      <c r="BU342" s="14"/>
      <c r="BV342" s="14"/>
      <c r="BW342" s="14"/>
      <c r="BX342" s="14"/>
      <c r="BY342" s="14"/>
      <c r="BZ342" s="14"/>
      <c r="CA342" s="14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</row>
    <row r="343" spans="1:101" ht="14.25" customHeight="1" x14ac:dyDescent="0.2">
      <c r="A343" s="286"/>
      <c r="B343" s="52">
        <v>0.158765921839574</v>
      </c>
      <c r="C343" s="288">
        <v>0.14588577952962331</v>
      </c>
      <c r="D343" s="288">
        <v>1.497039005783618E-2</v>
      </c>
      <c r="E343" s="288">
        <v>2.043945304176864E-2</v>
      </c>
      <c r="F343" s="289">
        <v>0.78659230518855572</v>
      </c>
      <c r="G343" s="92">
        <v>0.42117372880545478</v>
      </c>
      <c r="H343" s="288">
        <v>0.16524690506964043</v>
      </c>
      <c r="I343" s="288">
        <v>1.7857139602220795E-2</v>
      </c>
      <c r="J343" s="288">
        <v>0.99999994604381759</v>
      </c>
      <c r="K343" s="288">
        <v>0.74175773868941342</v>
      </c>
      <c r="L343" s="290">
        <v>8151.0446044566615</v>
      </c>
      <c r="M343" s="288">
        <v>0</v>
      </c>
      <c r="N343" s="288">
        <v>20269.202563265419</v>
      </c>
      <c r="O343" s="288">
        <v>1618.3163775767459</v>
      </c>
      <c r="P343" s="288">
        <v>44334.90854677742</v>
      </c>
      <c r="Q343" s="291">
        <v>65382.553926887755</v>
      </c>
      <c r="R343" s="288">
        <v>23793.82060180289</v>
      </c>
      <c r="S343" s="288">
        <v>11050.349113197783</v>
      </c>
      <c r="T343" s="290">
        <v>0.751</v>
      </c>
      <c r="U343" s="288">
        <v>0.75800000000000001</v>
      </c>
      <c r="V343" s="288">
        <v>0.723923076923077</v>
      </c>
      <c r="W343" s="288">
        <v>0.72750000000000004</v>
      </c>
      <c r="X343" s="288">
        <v>0.76</v>
      </c>
      <c r="Y343" s="288">
        <v>0</v>
      </c>
      <c r="Z343" s="289">
        <v>0</v>
      </c>
      <c r="AA343" s="229"/>
      <c r="AB343" s="52">
        <v>95189.47337458159</v>
      </c>
      <c r="AC343" s="288">
        <v>3.1729778078382798</v>
      </c>
      <c r="AD343" s="288">
        <v>85045.326930297786</v>
      </c>
      <c r="AE343" s="288">
        <v>2.9703723792140648</v>
      </c>
      <c r="AF343" s="288">
        <v>10144.146444283804</v>
      </c>
      <c r="AG343" s="289">
        <v>0.20260542862421493</v>
      </c>
      <c r="AH343" s="229"/>
      <c r="AI343" s="205">
        <f t="shared" si="40"/>
        <v>222108.30740924639</v>
      </c>
      <c r="AJ343" s="205">
        <f t="shared" si="41"/>
        <v>211991.91099110869</v>
      </c>
      <c r="AK343" s="205">
        <f t="shared" si="42"/>
        <v>10116.39641813769</v>
      </c>
      <c r="AL343" s="229"/>
      <c r="AM343" s="52">
        <f t="shared" si="30"/>
        <v>1</v>
      </c>
      <c r="AN343" s="52">
        <f t="shared" si="31"/>
        <v>0</v>
      </c>
      <c r="AO343" s="52">
        <f t="shared" si="32"/>
        <v>1</v>
      </c>
      <c r="AP343" s="229"/>
      <c r="AQ343" s="3"/>
      <c r="AR343" s="3"/>
      <c r="AS343" s="3"/>
      <c r="AT343" s="3"/>
      <c r="AU343" s="229"/>
      <c r="AV343" s="318">
        <f t="shared" si="43"/>
        <v>222108.30740924639</v>
      </c>
      <c r="AW343" s="229"/>
      <c r="AX343" s="312"/>
      <c r="AY343" s="14"/>
      <c r="AZ343" s="14">
        <f t="shared" si="45"/>
        <v>10144.146444283804</v>
      </c>
      <c r="BA343" s="14">
        <f t="shared" si="44"/>
        <v>0.20260542862421493</v>
      </c>
      <c r="BB343" s="14">
        <f t="shared" si="33"/>
        <v>50068.482928454956</v>
      </c>
      <c r="BC343" s="14"/>
      <c r="BD343" s="14"/>
      <c r="BE343" s="14"/>
      <c r="BF343" s="14"/>
      <c r="BG343" s="14"/>
      <c r="BH343" s="14"/>
      <c r="BI343" s="14"/>
      <c r="BJ343" s="14"/>
      <c r="BK343" s="14"/>
      <c r="BL343" s="14"/>
      <c r="BM343" s="14"/>
      <c r="BN343" s="14"/>
      <c r="BO343" s="14"/>
      <c r="BP343" s="14"/>
      <c r="BQ343" s="14"/>
      <c r="BR343" s="14"/>
      <c r="BS343" s="14"/>
      <c r="BT343" s="14"/>
      <c r="BU343" s="14"/>
      <c r="BV343" s="14"/>
      <c r="BW343" s="14"/>
      <c r="BX343" s="14"/>
      <c r="BY343" s="14"/>
      <c r="BZ343" s="14"/>
      <c r="CA343" s="14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</row>
    <row r="344" spans="1:101" ht="14.25" customHeight="1" x14ac:dyDescent="0.2">
      <c r="A344" s="286"/>
      <c r="B344" s="52">
        <v>0.18214551293125214</v>
      </c>
      <c r="C344" s="288">
        <v>0.10181385623087835</v>
      </c>
      <c r="D344" s="288">
        <v>1.2140112024913592E-2</v>
      </c>
      <c r="E344" s="288">
        <v>1.1885646757400403E-2</v>
      </c>
      <c r="F344" s="289">
        <v>0.75647212862265467</v>
      </c>
      <c r="G344" s="92">
        <v>0.3936500244880437</v>
      </c>
      <c r="H344" s="288">
        <v>0.4701397372023377</v>
      </c>
      <c r="I344" s="288">
        <v>1.3078643112612231E-2</v>
      </c>
      <c r="J344" s="288">
        <v>0.99728073400999429</v>
      </c>
      <c r="K344" s="288">
        <v>0.80252391828574599</v>
      </c>
      <c r="L344" s="290">
        <v>10452.86316694482</v>
      </c>
      <c r="M344" s="288">
        <v>0</v>
      </c>
      <c r="N344" s="288">
        <v>21543.721578371107</v>
      </c>
      <c r="O344" s="288">
        <v>1039.6586362219389</v>
      </c>
      <c r="P344" s="288">
        <v>44843.776730854966</v>
      </c>
      <c r="Q344" s="291">
        <v>97071.950215590012</v>
      </c>
      <c r="R344" s="288">
        <v>13340.239498467823</v>
      </c>
      <c r="S344" s="288">
        <v>6902.9712416017555</v>
      </c>
      <c r="T344" s="290">
        <v>0.751</v>
      </c>
      <c r="U344" s="288">
        <v>0.75800000000000001</v>
      </c>
      <c r="V344" s="288">
        <v>0.723923076923077</v>
      </c>
      <c r="W344" s="288">
        <v>0.72750000000000004</v>
      </c>
      <c r="X344" s="288">
        <v>0.76</v>
      </c>
      <c r="Y344" s="288">
        <v>0</v>
      </c>
      <c r="Z344" s="289">
        <v>0</v>
      </c>
      <c r="AA344" s="229"/>
      <c r="AB344" s="52">
        <v>62814.821578186406</v>
      </c>
      <c r="AC344" s="288">
        <v>3.0336090117505097</v>
      </c>
      <c r="AD344" s="288">
        <v>58933.83508107641</v>
      </c>
      <c r="AE344" s="288">
        <v>3.2521447834104262</v>
      </c>
      <c r="AF344" s="288">
        <v>3880.986497109996</v>
      </c>
      <c r="AG344" s="289">
        <v>-0.21853577165991656</v>
      </c>
      <c r="AH344" s="229"/>
      <c r="AI344" s="205">
        <f t="shared" si="40"/>
        <v>240546.07959686458</v>
      </c>
      <c r="AJ344" s="205">
        <f t="shared" si="41"/>
        <v>266280.64325996622</v>
      </c>
      <c r="AK344" s="205">
        <f t="shared" si="42"/>
        <v>-25734.563663101653</v>
      </c>
      <c r="AL344" s="229"/>
      <c r="AM344" s="52">
        <f t="shared" si="30"/>
        <v>0</v>
      </c>
      <c r="AN344" s="52">
        <f t="shared" si="31"/>
        <v>1</v>
      </c>
      <c r="AO344" s="52">
        <f t="shared" si="32"/>
        <v>0</v>
      </c>
      <c r="AP344" s="229"/>
      <c r="AQ344" s="3"/>
      <c r="AR344" s="3"/>
      <c r="AS344" s="3"/>
      <c r="AT344" s="3"/>
      <c r="AU344" s="229"/>
      <c r="AV344" s="318">
        <f t="shared" si="43"/>
        <v>266280.64325996622</v>
      </c>
      <c r="AW344" s="229"/>
      <c r="AX344" s="312"/>
      <c r="AY344" s="14"/>
      <c r="AZ344" s="14">
        <f t="shared" si="45"/>
        <v>3880.986497109996</v>
      </c>
      <c r="BA344" s="14">
        <f t="shared" si="44"/>
        <v>-0.21853577165991656</v>
      </c>
      <c r="BB344" s="14">
        <f t="shared" si="33"/>
        <v>-17759.04451537368</v>
      </c>
      <c r="BC344" s="14"/>
      <c r="BD344" s="14"/>
      <c r="BE344" s="14"/>
      <c r="BF344" s="14"/>
      <c r="BG344" s="14"/>
      <c r="BH344" s="14"/>
      <c r="BI344" s="14"/>
      <c r="BJ344" s="14"/>
      <c r="BK344" s="14"/>
      <c r="BL344" s="14"/>
      <c r="BM344" s="14"/>
      <c r="BN344" s="14"/>
      <c r="BO344" s="14"/>
      <c r="BP344" s="14"/>
      <c r="BQ344" s="14"/>
      <c r="BR344" s="14"/>
      <c r="BS344" s="14"/>
      <c r="BT344" s="14"/>
      <c r="BU344" s="14"/>
      <c r="BV344" s="14"/>
      <c r="BW344" s="14"/>
      <c r="BX344" s="14"/>
      <c r="BY344" s="14"/>
      <c r="BZ344" s="14"/>
      <c r="CA344" s="14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</row>
    <row r="345" spans="1:101" ht="14.25" customHeight="1" x14ac:dyDescent="0.2">
      <c r="A345" s="286"/>
      <c r="B345" s="52">
        <v>0.14778261271503487</v>
      </c>
      <c r="C345" s="288">
        <v>9.3581008945298888E-4</v>
      </c>
      <c r="D345" s="288">
        <v>1.996596806593065E-2</v>
      </c>
      <c r="E345" s="288">
        <v>1.4950895057289748E-2</v>
      </c>
      <c r="F345" s="289">
        <v>0.74793818417616664</v>
      </c>
      <c r="G345" s="92">
        <v>0.43137418122109006</v>
      </c>
      <c r="H345" s="288">
        <v>0.76273051991055552</v>
      </c>
      <c r="I345" s="288">
        <v>1.9971156590552819E-2</v>
      </c>
      <c r="J345" s="288">
        <v>0.96776025078871664</v>
      </c>
      <c r="K345" s="288">
        <v>0.73327566155166746</v>
      </c>
      <c r="L345" s="290">
        <v>15425.134034197068</v>
      </c>
      <c r="M345" s="288">
        <v>0</v>
      </c>
      <c r="N345" s="288">
        <v>19618.396135273815</v>
      </c>
      <c r="O345" s="288">
        <v>890.96269800275763</v>
      </c>
      <c r="P345" s="288">
        <v>34253.300641761183</v>
      </c>
      <c r="Q345" s="291">
        <v>110953.7699024075</v>
      </c>
      <c r="R345" s="288">
        <v>27705.029301510931</v>
      </c>
      <c r="S345" s="288">
        <v>6418.6946155044452</v>
      </c>
      <c r="T345" s="290">
        <v>0.751</v>
      </c>
      <c r="U345" s="288">
        <v>0.75800000000000001</v>
      </c>
      <c r="V345" s="288">
        <v>0.723923076923077</v>
      </c>
      <c r="W345" s="288">
        <v>0.72750000000000004</v>
      </c>
      <c r="X345" s="288">
        <v>0.76</v>
      </c>
      <c r="Y345" s="288">
        <v>0</v>
      </c>
      <c r="Z345" s="289">
        <v>0</v>
      </c>
      <c r="AA345" s="229"/>
      <c r="AB345" s="52">
        <v>63429.15591624759</v>
      </c>
      <c r="AC345" s="288">
        <v>2.9943803769341306</v>
      </c>
      <c r="AD345" s="288">
        <v>57655.895651833896</v>
      </c>
      <c r="AE345" s="288">
        <v>2.9315039594922636</v>
      </c>
      <c r="AF345" s="288">
        <v>5773.2602644136932</v>
      </c>
      <c r="AG345" s="289">
        <v>6.2876417441867005E-2</v>
      </c>
      <c r="AH345" s="229"/>
      <c r="AI345" s="205">
        <f t="shared" si="40"/>
        <v>236008.88177716546</v>
      </c>
      <c r="AJ345" s="205">
        <f t="shared" si="41"/>
        <v>235494.50029739243</v>
      </c>
      <c r="AK345" s="205">
        <f t="shared" si="42"/>
        <v>514.38147977300741</v>
      </c>
      <c r="AL345" s="229"/>
      <c r="AM345" s="52">
        <f t="shared" si="30"/>
        <v>1</v>
      </c>
      <c r="AN345" s="52">
        <f t="shared" si="31"/>
        <v>0</v>
      </c>
      <c r="AO345" s="52">
        <f t="shared" si="32"/>
        <v>1</v>
      </c>
      <c r="AP345" s="229"/>
      <c r="AQ345" s="3"/>
      <c r="AR345" s="3"/>
      <c r="AS345" s="3"/>
      <c r="AT345" s="3"/>
      <c r="AU345" s="229"/>
      <c r="AV345" s="318">
        <f t="shared" si="43"/>
        <v>236008.88177716546</v>
      </c>
      <c r="AW345" s="229"/>
      <c r="AX345" s="312"/>
      <c r="AY345" s="14"/>
      <c r="AZ345" s="14">
        <f t="shared" si="45"/>
        <v>5773.2602644136932</v>
      </c>
      <c r="BA345" s="14">
        <f t="shared" si="44"/>
        <v>6.2876417441867005E-2</v>
      </c>
      <c r="BB345" s="14">
        <f t="shared" si="33"/>
        <v>91819.166856181269</v>
      </c>
      <c r="BC345" s="14"/>
      <c r="BD345" s="14"/>
      <c r="BE345" s="14"/>
      <c r="BF345" s="14"/>
      <c r="BG345" s="14"/>
      <c r="BH345" s="14"/>
      <c r="BI345" s="14"/>
      <c r="BJ345" s="14"/>
      <c r="BK345" s="14"/>
      <c r="BL345" s="14"/>
      <c r="BM345" s="14"/>
      <c r="BN345" s="14"/>
      <c r="BO345" s="14"/>
      <c r="BP345" s="14"/>
      <c r="BQ345" s="14"/>
      <c r="BR345" s="14"/>
      <c r="BS345" s="14"/>
      <c r="BT345" s="14"/>
      <c r="BU345" s="14"/>
      <c r="BV345" s="14"/>
      <c r="BW345" s="14"/>
      <c r="BX345" s="14"/>
      <c r="BY345" s="14"/>
      <c r="BZ345" s="14"/>
      <c r="CA345" s="14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</row>
    <row r="346" spans="1:101" ht="14.25" customHeight="1" x14ac:dyDescent="0.2">
      <c r="A346" s="286"/>
      <c r="B346" s="52">
        <v>0.15832345007884507</v>
      </c>
      <c r="C346" s="288">
        <v>0.22054380944417043</v>
      </c>
      <c r="D346" s="288">
        <v>1.3720712325241746E-2</v>
      </c>
      <c r="E346" s="288">
        <v>7.0814740843544895E-3</v>
      </c>
      <c r="F346" s="289">
        <v>0.81457240561613653</v>
      </c>
      <c r="G346" s="92">
        <v>0.44861857584024578</v>
      </c>
      <c r="H346" s="288">
        <v>1.1532076468966462E-2</v>
      </c>
      <c r="I346" s="288">
        <v>2.0691459009788229E-3</v>
      </c>
      <c r="J346" s="288">
        <v>0.9973519406433301</v>
      </c>
      <c r="K346" s="288">
        <v>0.73845433659743198</v>
      </c>
      <c r="L346" s="290">
        <v>15695.389212660833</v>
      </c>
      <c r="M346" s="288">
        <v>0</v>
      </c>
      <c r="N346" s="288">
        <v>20988.414528627258</v>
      </c>
      <c r="O346" s="288">
        <v>1218.678930202843</v>
      </c>
      <c r="P346" s="288">
        <v>49798.51705805432</v>
      </c>
      <c r="Q346" s="291">
        <v>109179.92346874927</v>
      </c>
      <c r="R346" s="288">
        <v>25285.263165255485</v>
      </c>
      <c r="S346" s="288">
        <v>11288.17082046171</v>
      </c>
      <c r="T346" s="290">
        <v>0.751</v>
      </c>
      <c r="U346" s="288">
        <v>0.75800000000000001</v>
      </c>
      <c r="V346" s="288">
        <v>0.723923076923077</v>
      </c>
      <c r="W346" s="288">
        <v>0.72750000000000004</v>
      </c>
      <c r="X346" s="288">
        <v>0.76</v>
      </c>
      <c r="Y346" s="288">
        <v>0</v>
      </c>
      <c r="Z346" s="289">
        <v>0</v>
      </c>
      <c r="AA346" s="229"/>
      <c r="AB346" s="52">
        <v>108061.32654188742</v>
      </c>
      <c r="AC346" s="288">
        <v>3.3037191942719879</v>
      </c>
      <c r="AD346" s="288">
        <v>83970.112312577068</v>
      </c>
      <c r="AE346" s="288">
        <v>2.9552213286168594</v>
      </c>
      <c r="AF346" s="288">
        <v>24091.214229310353</v>
      </c>
      <c r="AG346" s="289">
        <v>0.34849786565512852</v>
      </c>
      <c r="AH346" s="229"/>
      <c r="AI346" s="205">
        <f t="shared" si="40"/>
        <v>222310.59288531134</v>
      </c>
      <c r="AJ346" s="205">
        <f t="shared" si="41"/>
        <v>211552.02054910886</v>
      </c>
      <c r="AK346" s="205">
        <f t="shared" si="42"/>
        <v>10758.572336202502</v>
      </c>
      <c r="AL346" s="229"/>
      <c r="AM346" s="52">
        <f t="shared" si="30"/>
        <v>1</v>
      </c>
      <c r="AN346" s="52">
        <f t="shared" si="31"/>
        <v>0</v>
      </c>
      <c r="AO346" s="52">
        <f t="shared" si="32"/>
        <v>1</v>
      </c>
      <c r="AP346" s="229"/>
      <c r="AQ346" s="3"/>
      <c r="AR346" s="3"/>
      <c r="AS346" s="3"/>
      <c r="AT346" s="3"/>
      <c r="AU346" s="229"/>
      <c r="AV346" s="318">
        <f t="shared" si="43"/>
        <v>222310.59288531134</v>
      </c>
      <c r="AW346" s="229"/>
      <c r="AX346" s="312"/>
      <c r="AY346" s="14"/>
      <c r="AZ346" s="14">
        <f t="shared" si="45"/>
        <v>24091.214229310353</v>
      </c>
      <c r="BA346" s="14">
        <f t="shared" si="44"/>
        <v>0.34849786565512852</v>
      </c>
      <c r="BB346" s="14">
        <f t="shared" si="33"/>
        <v>69128.728188972265</v>
      </c>
      <c r="BC346" s="14"/>
      <c r="BD346" s="14"/>
      <c r="BE346" s="14"/>
      <c r="BF346" s="14"/>
      <c r="BG346" s="14"/>
      <c r="BH346" s="14"/>
      <c r="BI346" s="14"/>
      <c r="BJ346" s="14"/>
      <c r="BK346" s="14"/>
      <c r="BL346" s="14"/>
      <c r="BM346" s="14"/>
      <c r="BN346" s="14"/>
      <c r="BO346" s="14"/>
      <c r="BP346" s="14"/>
      <c r="BQ346" s="14"/>
      <c r="BR346" s="14"/>
      <c r="BS346" s="14"/>
      <c r="BT346" s="14"/>
      <c r="BU346" s="14"/>
      <c r="BV346" s="14"/>
      <c r="BW346" s="14"/>
      <c r="BX346" s="14"/>
      <c r="BY346" s="14"/>
      <c r="BZ346" s="14"/>
      <c r="CA346" s="14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</row>
    <row r="347" spans="1:101" ht="14.25" customHeight="1" x14ac:dyDescent="0.2">
      <c r="A347" s="286"/>
      <c r="B347" s="52">
        <v>0.15008238156051754</v>
      </c>
      <c r="C347" s="288">
        <v>0.39026280525229839</v>
      </c>
      <c r="D347" s="288">
        <v>1.5278940408990471E-2</v>
      </c>
      <c r="E347" s="288">
        <v>1.1081357144003497E-2</v>
      </c>
      <c r="F347" s="289">
        <v>0.80420733384516829</v>
      </c>
      <c r="G347" s="92">
        <v>0.46650944750326118</v>
      </c>
      <c r="H347" s="288">
        <v>0.86899333220986041</v>
      </c>
      <c r="I347" s="288">
        <v>2.3815173817607449E-2</v>
      </c>
      <c r="J347" s="288">
        <v>1</v>
      </c>
      <c r="K347" s="288">
        <v>0.75869338198845782</v>
      </c>
      <c r="L347" s="290">
        <v>11438.930426357127</v>
      </c>
      <c r="M347" s="288">
        <v>0</v>
      </c>
      <c r="N347" s="288">
        <v>14848.56436522582</v>
      </c>
      <c r="O347" s="288">
        <v>952.84825888188027</v>
      </c>
      <c r="P347" s="288">
        <v>45044.135400012645</v>
      </c>
      <c r="Q347" s="291">
        <v>93140.624276101793</v>
      </c>
      <c r="R347" s="288">
        <v>21867.561081669832</v>
      </c>
      <c r="S347" s="288">
        <v>9133.1181403358205</v>
      </c>
      <c r="T347" s="290">
        <v>0.751</v>
      </c>
      <c r="U347" s="288">
        <v>0.75800000000000001</v>
      </c>
      <c r="V347" s="288">
        <v>0.723923076923077</v>
      </c>
      <c r="W347" s="288">
        <v>0.72750000000000004</v>
      </c>
      <c r="X347" s="288">
        <v>0.76</v>
      </c>
      <c r="Y347" s="288">
        <v>0</v>
      </c>
      <c r="Z347" s="289">
        <v>0</v>
      </c>
      <c r="AA347" s="229"/>
      <c r="AB347" s="52">
        <v>85809.35817821305</v>
      </c>
      <c r="AC347" s="288">
        <v>3.2551435894448648</v>
      </c>
      <c r="AD347" s="288">
        <v>79988.565490989553</v>
      </c>
      <c r="AE347" s="288">
        <v>3.0483178300371021</v>
      </c>
      <c r="AF347" s="288">
        <v>5820.7926872234966</v>
      </c>
      <c r="AG347" s="289">
        <v>0.20682575940776271</v>
      </c>
      <c r="AH347" s="229"/>
      <c r="AI347" s="205">
        <f t="shared" si="40"/>
        <v>239705.00076627341</v>
      </c>
      <c r="AJ347" s="205">
        <f t="shared" si="41"/>
        <v>224843.21751272067</v>
      </c>
      <c r="AK347" s="205">
        <f t="shared" si="42"/>
        <v>14861.783253552774</v>
      </c>
      <c r="AL347" s="229"/>
      <c r="AM347" s="52">
        <f t="shared" si="30"/>
        <v>1</v>
      </c>
      <c r="AN347" s="52">
        <f t="shared" si="31"/>
        <v>0</v>
      </c>
      <c r="AO347" s="52">
        <f t="shared" si="32"/>
        <v>1</v>
      </c>
      <c r="AP347" s="229"/>
      <c r="AQ347" s="3"/>
      <c r="AR347" s="3"/>
      <c r="AS347" s="3"/>
      <c r="AT347" s="3"/>
      <c r="AU347" s="229"/>
      <c r="AV347" s="318">
        <f t="shared" si="43"/>
        <v>239705.00076627341</v>
      </c>
      <c r="AW347" s="229"/>
      <c r="AX347" s="312"/>
      <c r="AY347" s="14"/>
      <c r="AZ347" s="14">
        <f t="shared" si="45"/>
        <v>5820.7926872234966</v>
      </c>
      <c r="BA347" s="14">
        <f t="shared" si="44"/>
        <v>0.20682575940776271</v>
      </c>
      <c r="BB347" s="14">
        <f t="shared" si="33"/>
        <v>28143.460968745399</v>
      </c>
      <c r="BC347" s="14"/>
      <c r="BD347" s="14"/>
      <c r="BE347" s="14"/>
      <c r="BF347" s="14"/>
      <c r="BG347" s="14"/>
      <c r="BH347" s="14"/>
      <c r="BI347" s="14"/>
      <c r="BJ347" s="14"/>
      <c r="BK347" s="14"/>
      <c r="BL347" s="14"/>
      <c r="BM347" s="14"/>
      <c r="BN347" s="14"/>
      <c r="BO347" s="14"/>
      <c r="BP347" s="14"/>
      <c r="BQ347" s="14"/>
      <c r="BR347" s="14"/>
      <c r="BS347" s="14"/>
      <c r="BT347" s="14"/>
      <c r="BU347" s="14"/>
      <c r="BV347" s="14"/>
      <c r="BW347" s="14"/>
      <c r="BX347" s="14"/>
      <c r="BY347" s="14"/>
      <c r="BZ347" s="14"/>
      <c r="CA347" s="14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</row>
    <row r="348" spans="1:101" ht="14.25" customHeight="1" x14ac:dyDescent="0.2">
      <c r="A348" s="286"/>
      <c r="B348" s="52">
        <v>0.14774723953648292</v>
      </c>
      <c r="C348" s="288">
        <v>0.23274215540470411</v>
      </c>
      <c r="D348" s="288">
        <v>8.5250634056244536E-3</v>
      </c>
      <c r="E348" s="288">
        <v>1.8258678019419383E-2</v>
      </c>
      <c r="F348" s="289">
        <v>0.79455690813482238</v>
      </c>
      <c r="G348" s="92">
        <v>0.49537672610000483</v>
      </c>
      <c r="H348" s="288">
        <v>0.80189811468801075</v>
      </c>
      <c r="I348" s="288">
        <v>2.9492882356189853E-2</v>
      </c>
      <c r="J348" s="288">
        <v>0.99998861502718828</v>
      </c>
      <c r="K348" s="288">
        <v>0.8258755137518814</v>
      </c>
      <c r="L348" s="290">
        <v>11425.051363675972</v>
      </c>
      <c r="M348" s="288">
        <v>0</v>
      </c>
      <c r="N348" s="288">
        <v>18227.179642777068</v>
      </c>
      <c r="O348" s="288">
        <v>1347.3880714388361</v>
      </c>
      <c r="P348" s="288">
        <v>41737.206013345472</v>
      </c>
      <c r="Q348" s="291">
        <v>108111.76824544526</v>
      </c>
      <c r="R348" s="288">
        <v>19605.541883842674</v>
      </c>
      <c r="S348" s="288">
        <v>7142.8431727550906</v>
      </c>
      <c r="T348" s="290">
        <v>0.751</v>
      </c>
      <c r="U348" s="288">
        <v>0.75800000000000001</v>
      </c>
      <c r="V348" s="288">
        <v>0.723923076923077</v>
      </c>
      <c r="W348" s="288">
        <v>0.72750000000000004</v>
      </c>
      <c r="X348" s="288">
        <v>0.76</v>
      </c>
      <c r="Y348" s="288">
        <v>0</v>
      </c>
      <c r="Z348" s="289">
        <v>0</v>
      </c>
      <c r="AA348" s="229"/>
      <c r="AB348" s="52">
        <v>68635.238384540935</v>
      </c>
      <c r="AC348" s="288">
        <v>3.2100686366364761</v>
      </c>
      <c r="AD348" s="288">
        <v>69571.304130807024</v>
      </c>
      <c r="AE348" s="288">
        <v>3.361974090701914</v>
      </c>
      <c r="AF348" s="288">
        <v>-936.06574626608926</v>
      </c>
      <c r="AG348" s="289">
        <v>-0.15190545406543787</v>
      </c>
      <c r="AH348" s="229"/>
      <c r="AI348" s="205">
        <f t="shared" si="40"/>
        <v>252371.62527910667</v>
      </c>
      <c r="AJ348" s="205">
        <f t="shared" si="41"/>
        <v>266626.10493938439</v>
      </c>
      <c r="AK348" s="205">
        <f t="shared" si="42"/>
        <v>-14254.479660277699</v>
      </c>
      <c r="AL348" s="229"/>
      <c r="AM348" s="52">
        <f t="shared" si="30"/>
        <v>0</v>
      </c>
      <c r="AN348" s="52">
        <f t="shared" si="31"/>
        <v>1</v>
      </c>
      <c r="AO348" s="52">
        <f t="shared" si="32"/>
        <v>0</v>
      </c>
      <c r="AP348" s="229"/>
      <c r="AQ348" s="3"/>
      <c r="AR348" s="3"/>
      <c r="AS348" s="3"/>
      <c r="AT348" s="3"/>
      <c r="AU348" s="229"/>
      <c r="AV348" s="318">
        <f t="shared" si="43"/>
        <v>266626.10493938439</v>
      </c>
      <c r="AW348" s="229"/>
      <c r="AX348" s="312"/>
      <c r="AY348" s="14"/>
      <c r="AZ348" s="14">
        <f t="shared" si="45"/>
        <v>-936.06574626608926</v>
      </c>
      <c r="BA348" s="14">
        <f t="shared" si="44"/>
        <v>-0.15190545406543787</v>
      </c>
      <c r="BB348" s="14">
        <f t="shared" si="33"/>
        <v>6162.1602201514806</v>
      </c>
      <c r="BC348" s="14"/>
      <c r="BD348" s="14"/>
      <c r="BE348" s="14"/>
      <c r="BF348" s="14"/>
      <c r="BG348" s="14"/>
      <c r="BH348" s="14"/>
      <c r="BI348" s="14"/>
      <c r="BJ348" s="14"/>
      <c r="BK348" s="14"/>
      <c r="BL348" s="14"/>
      <c r="BM348" s="14"/>
      <c r="BN348" s="14"/>
      <c r="BO348" s="14"/>
      <c r="BP348" s="14"/>
      <c r="BQ348" s="14"/>
      <c r="BR348" s="14"/>
      <c r="BS348" s="14"/>
      <c r="BT348" s="14"/>
      <c r="BU348" s="14"/>
      <c r="BV348" s="14"/>
      <c r="BW348" s="14"/>
      <c r="BX348" s="14"/>
      <c r="BY348" s="14"/>
      <c r="BZ348" s="14"/>
      <c r="CA348" s="14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</row>
    <row r="349" spans="1:101" ht="14.25" customHeight="1" x14ac:dyDescent="0.2">
      <c r="A349" s="286"/>
      <c r="B349" s="52">
        <v>0.13685055992339393</v>
      </c>
      <c r="C349" s="288">
        <v>0.36172494735836147</v>
      </c>
      <c r="D349" s="288">
        <v>1.1435700765906808E-2</v>
      </c>
      <c r="E349" s="288">
        <v>1.8160516678887739E-2</v>
      </c>
      <c r="F349" s="289">
        <v>0.75746437291370583</v>
      </c>
      <c r="G349" s="92">
        <v>0.36375180135591423</v>
      </c>
      <c r="H349" s="288">
        <v>0.45204117226387863</v>
      </c>
      <c r="I349" s="288">
        <v>1.6451202392846698E-2</v>
      </c>
      <c r="J349" s="288">
        <v>0.98378797703269427</v>
      </c>
      <c r="K349" s="288">
        <v>0.77531964965193645</v>
      </c>
      <c r="L349" s="290">
        <v>10425.073008359748</v>
      </c>
      <c r="M349" s="288">
        <v>0</v>
      </c>
      <c r="N349" s="288">
        <v>15925.283484528298</v>
      </c>
      <c r="O349" s="288">
        <v>1414.8266049574672</v>
      </c>
      <c r="P349" s="288">
        <v>39301.616999596947</v>
      </c>
      <c r="Q349" s="291">
        <v>126219.77599603638</v>
      </c>
      <c r="R349" s="288">
        <v>30054.746448429963</v>
      </c>
      <c r="S349" s="288">
        <v>11941.761166596585</v>
      </c>
      <c r="T349" s="290">
        <v>0.751</v>
      </c>
      <c r="U349" s="288">
        <v>0.75800000000000001</v>
      </c>
      <c r="V349" s="288">
        <v>0.723923076923077</v>
      </c>
      <c r="W349" s="288">
        <v>0.72750000000000004</v>
      </c>
      <c r="X349" s="288">
        <v>0.76</v>
      </c>
      <c r="Y349" s="288">
        <v>0</v>
      </c>
      <c r="Z349" s="289">
        <v>0</v>
      </c>
      <c r="AA349" s="229"/>
      <c r="AB349" s="52">
        <v>101876.28748865024</v>
      </c>
      <c r="AC349" s="288">
        <v>3.0381775499068002</v>
      </c>
      <c r="AD349" s="288">
        <v>98844.137566836929</v>
      </c>
      <c r="AE349" s="288">
        <v>3.1252791760699843</v>
      </c>
      <c r="AF349" s="288">
        <v>3032.1499218133104</v>
      </c>
      <c r="AG349" s="289">
        <v>-8.7101626163184065E-2</v>
      </c>
      <c r="AH349" s="229"/>
      <c r="AI349" s="205">
        <f t="shared" si="40"/>
        <v>201941.46750202979</v>
      </c>
      <c r="AJ349" s="205">
        <f t="shared" si="41"/>
        <v>213683.78004016148</v>
      </c>
      <c r="AK349" s="205">
        <f t="shared" si="42"/>
        <v>-11742.312538131717</v>
      </c>
      <c r="AL349" s="229"/>
      <c r="AM349" s="52">
        <f t="shared" si="30"/>
        <v>0</v>
      </c>
      <c r="AN349" s="52">
        <f t="shared" si="31"/>
        <v>1</v>
      </c>
      <c r="AO349" s="52">
        <f t="shared" si="32"/>
        <v>0</v>
      </c>
      <c r="AP349" s="229"/>
      <c r="AQ349" s="3"/>
      <c r="AR349" s="3"/>
      <c r="AS349" s="3"/>
      <c r="AT349" s="3"/>
      <c r="AU349" s="229"/>
      <c r="AV349" s="318">
        <f t="shared" si="43"/>
        <v>213683.78004016148</v>
      </c>
      <c r="AW349" s="229"/>
      <c r="AX349" s="312"/>
      <c r="AY349" s="14"/>
      <c r="AZ349" s="14">
        <f t="shared" si="45"/>
        <v>3032.1499218133104</v>
      </c>
      <c r="BA349" s="14">
        <f t="shared" si="44"/>
        <v>-8.7101626163184065E-2</v>
      </c>
      <c r="BB349" s="14">
        <f t="shared" si="33"/>
        <v>-34811.633896852931</v>
      </c>
      <c r="BC349" s="14"/>
      <c r="BD349" s="14"/>
      <c r="BE349" s="14"/>
      <c r="BF349" s="14"/>
      <c r="BG349" s="14"/>
      <c r="BH349" s="14"/>
      <c r="BI349" s="14"/>
      <c r="BJ349" s="14"/>
      <c r="BK349" s="14"/>
      <c r="BL349" s="14"/>
      <c r="BM349" s="14"/>
      <c r="BN349" s="14"/>
      <c r="BO349" s="14"/>
      <c r="BP349" s="14"/>
      <c r="BQ349" s="14"/>
      <c r="BR349" s="14"/>
      <c r="BS349" s="14"/>
      <c r="BT349" s="14"/>
      <c r="BU349" s="14"/>
      <c r="BV349" s="14"/>
      <c r="BW349" s="14"/>
      <c r="BX349" s="14"/>
      <c r="BY349" s="14"/>
      <c r="BZ349" s="14"/>
      <c r="CA349" s="14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</row>
    <row r="350" spans="1:101" ht="14.25" customHeight="1" x14ac:dyDescent="0.2">
      <c r="A350" s="286"/>
      <c r="B350" s="52">
        <v>0.1396661632584793</v>
      </c>
      <c r="C350" s="288">
        <v>0.50341607024517643</v>
      </c>
      <c r="D350" s="288">
        <v>7.9543293294399159E-3</v>
      </c>
      <c r="E350" s="288">
        <v>1.9672165986375667E-2</v>
      </c>
      <c r="F350" s="289">
        <v>0.78322263057073171</v>
      </c>
      <c r="G350" s="92">
        <v>0.39186040734788785</v>
      </c>
      <c r="H350" s="288">
        <v>0.70749817833253159</v>
      </c>
      <c r="I350" s="288">
        <v>1.2594571930321352E-2</v>
      </c>
      <c r="J350" s="288">
        <v>0.999999999999994</v>
      </c>
      <c r="K350" s="288">
        <v>0.74482469216562497</v>
      </c>
      <c r="L350" s="290">
        <v>10269.225698357386</v>
      </c>
      <c r="M350" s="288">
        <v>0</v>
      </c>
      <c r="N350" s="288">
        <v>20198.770860355013</v>
      </c>
      <c r="O350" s="288">
        <v>1402.2955696031167</v>
      </c>
      <c r="P350" s="288">
        <v>61188.802366435862</v>
      </c>
      <c r="Q350" s="291">
        <v>103718.63632995644</v>
      </c>
      <c r="R350" s="288">
        <v>21203.395323237248</v>
      </c>
      <c r="S350" s="288">
        <v>7978.4212836343531</v>
      </c>
      <c r="T350" s="290">
        <v>0.751</v>
      </c>
      <c r="U350" s="288">
        <v>0.75800000000000001</v>
      </c>
      <c r="V350" s="288">
        <v>0.723923076923077</v>
      </c>
      <c r="W350" s="288">
        <v>0.72750000000000004</v>
      </c>
      <c r="X350" s="288">
        <v>0.76</v>
      </c>
      <c r="Y350" s="288">
        <v>0</v>
      </c>
      <c r="Z350" s="289">
        <v>0</v>
      </c>
      <c r="AA350" s="229"/>
      <c r="AB350" s="52">
        <v>73951.094677654823</v>
      </c>
      <c r="AC350" s="288">
        <v>3.1573153242674219</v>
      </c>
      <c r="AD350" s="288">
        <v>66576.301221936956</v>
      </c>
      <c r="AE350" s="288">
        <v>2.9844543565152728</v>
      </c>
      <c r="AF350" s="288">
        <v>7374.7934557178669</v>
      </c>
      <c r="AG350" s="289">
        <v>0.1728609677521491</v>
      </c>
      <c r="AH350" s="229"/>
      <c r="AI350" s="205">
        <f t="shared" si="40"/>
        <v>241780.43774908737</v>
      </c>
      <c r="AJ350" s="205">
        <f t="shared" si="41"/>
        <v>231869.13442959031</v>
      </c>
      <c r="AK350" s="205">
        <f t="shared" si="42"/>
        <v>9911.3033194970412</v>
      </c>
      <c r="AL350" s="229"/>
      <c r="AM350" s="52">
        <f t="shared" si="30"/>
        <v>1</v>
      </c>
      <c r="AN350" s="52">
        <f t="shared" si="31"/>
        <v>0</v>
      </c>
      <c r="AO350" s="52">
        <f t="shared" si="32"/>
        <v>1</v>
      </c>
      <c r="AP350" s="229"/>
      <c r="AQ350" s="3"/>
      <c r="AR350" s="3"/>
      <c r="AS350" s="3"/>
      <c r="AT350" s="3"/>
      <c r="AU350" s="229"/>
      <c r="AV350" s="318">
        <f t="shared" si="43"/>
        <v>241780.43774908737</v>
      </c>
      <c r="AW350" s="229"/>
      <c r="AX350" s="312"/>
      <c r="AY350" s="14"/>
      <c r="AZ350" s="14">
        <f t="shared" si="45"/>
        <v>7374.7934557178669</v>
      </c>
      <c r="BA350" s="14">
        <f t="shared" si="44"/>
        <v>0.1728609677521491</v>
      </c>
      <c r="BB350" s="14">
        <f t="shared" si="33"/>
        <v>42663.15034341337</v>
      </c>
      <c r="BC350" s="14"/>
      <c r="BD350" s="14"/>
      <c r="BE350" s="14"/>
      <c r="BF350" s="14"/>
      <c r="BG350" s="14"/>
      <c r="BH350" s="14"/>
      <c r="BI350" s="14"/>
      <c r="BJ350" s="14"/>
      <c r="BK350" s="14"/>
      <c r="BL350" s="14"/>
      <c r="BM350" s="14"/>
      <c r="BN350" s="14"/>
      <c r="BO350" s="14"/>
      <c r="BP350" s="14"/>
      <c r="BQ350" s="14"/>
      <c r="BR350" s="14"/>
      <c r="BS350" s="14"/>
      <c r="BT350" s="14"/>
      <c r="BU350" s="14"/>
      <c r="BV350" s="14"/>
      <c r="BW350" s="14"/>
      <c r="BX350" s="14"/>
      <c r="BY350" s="14"/>
      <c r="BZ350" s="14"/>
      <c r="CA350" s="14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</row>
    <row r="351" spans="1:101" ht="14.25" customHeight="1" x14ac:dyDescent="0.2">
      <c r="A351" s="286"/>
      <c r="B351" s="52">
        <v>0.17933924464318418</v>
      </c>
      <c r="C351" s="288">
        <v>0.39520738063980176</v>
      </c>
      <c r="D351" s="288">
        <v>6.7635157271504947E-3</v>
      </c>
      <c r="E351" s="288">
        <v>2.1337245169604113E-2</v>
      </c>
      <c r="F351" s="289">
        <v>0.7634777346493844</v>
      </c>
      <c r="G351" s="92">
        <v>0.41452456754558165</v>
      </c>
      <c r="H351" s="288">
        <v>0.92981204647673921</v>
      </c>
      <c r="I351" s="288">
        <v>1.4096777799066722E-2</v>
      </c>
      <c r="J351" s="288">
        <v>1</v>
      </c>
      <c r="K351" s="288">
        <v>0.79347196572723189</v>
      </c>
      <c r="L351" s="290">
        <v>11557.616981928892</v>
      </c>
      <c r="M351" s="288">
        <v>0</v>
      </c>
      <c r="N351" s="288">
        <v>19982.926815735944</v>
      </c>
      <c r="O351" s="288">
        <v>1241.158984560903</v>
      </c>
      <c r="P351" s="288">
        <v>33930.255696883833</v>
      </c>
      <c r="Q351" s="291">
        <v>90440.592246674307</v>
      </c>
      <c r="R351" s="288">
        <v>26351.618781108267</v>
      </c>
      <c r="S351" s="288">
        <v>8537.1618204083679</v>
      </c>
      <c r="T351" s="290">
        <v>0.751</v>
      </c>
      <c r="U351" s="288">
        <v>0.75800000000000001</v>
      </c>
      <c r="V351" s="288">
        <v>0.723923076923077</v>
      </c>
      <c r="W351" s="288">
        <v>0.72750000000000004</v>
      </c>
      <c r="X351" s="288">
        <v>0.76</v>
      </c>
      <c r="Y351" s="288">
        <v>0</v>
      </c>
      <c r="Z351" s="289">
        <v>0</v>
      </c>
      <c r="AA351" s="229"/>
      <c r="AB351" s="52">
        <v>78301.438686673297</v>
      </c>
      <c r="AC351" s="288">
        <v>3.0658975930858876</v>
      </c>
      <c r="AD351" s="288">
        <v>78979.628142729343</v>
      </c>
      <c r="AE351" s="288">
        <v>3.2098020016799311</v>
      </c>
      <c r="AF351" s="288">
        <v>-678.18945605604677</v>
      </c>
      <c r="AG351" s="289">
        <v>-0.14390440859404352</v>
      </c>
      <c r="AH351" s="229"/>
      <c r="AI351" s="205">
        <f t="shared" si="40"/>
        <v>228288.32062191545</v>
      </c>
      <c r="AJ351" s="205">
        <f t="shared" si="41"/>
        <v>242000.57202526374</v>
      </c>
      <c r="AK351" s="205">
        <f t="shared" si="42"/>
        <v>-13712.251403348306</v>
      </c>
      <c r="AL351" s="229"/>
      <c r="AM351" s="52">
        <f t="shared" si="30"/>
        <v>0</v>
      </c>
      <c r="AN351" s="52">
        <f t="shared" si="31"/>
        <v>1</v>
      </c>
      <c r="AO351" s="52">
        <f t="shared" si="32"/>
        <v>0</v>
      </c>
      <c r="AP351" s="229"/>
      <c r="AQ351" s="3"/>
      <c r="AR351" s="3"/>
      <c r="AS351" s="3"/>
      <c r="AT351" s="3"/>
      <c r="AU351" s="229"/>
      <c r="AV351" s="318">
        <f t="shared" si="43"/>
        <v>242000.57202526374</v>
      </c>
      <c r="AW351" s="229"/>
      <c r="AX351" s="312"/>
      <c r="AY351" s="14"/>
      <c r="AZ351" s="14">
        <f t="shared" si="45"/>
        <v>-678.18945605604677</v>
      </c>
      <c r="BA351" s="14">
        <f t="shared" si="44"/>
        <v>-0.14390440859404352</v>
      </c>
      <c r="BB351" s="14">
        <f t="shared" si="33"/>
        <v>4712.7774797312104</v>
      </c>
      <c r="BC351" s="14"/>
      <c r="BD351" s="14"/>
      <c r="BE351" s="14"/>
      <c r="BF351" s="14"/>
      <c r="BG351" s="14"/>
      <c r="BH351" s="14"/>
      <c r="BI351" s="14"/>
      <c r="BJ351" s="14"/>
      <c r="BK351" s="14"/>
      <c r="BL351" s="14"/>
      <c r="BM351" s="14"/>
      <c r="BN351" s="14"/>
      <c r="BO351" s="14"/>
      <c r="BP351" s="14"/>
      <c r="BQ351" s="14"/>
      <c r="BR351" s="14"/>
      <c r="BS351" s="14"/>
      <c r="BT351" s="14"/>
      <c r="BU351" s="14"/>
      <c r="BV351" s="14"/>
      <c r="BW351" s="14"/>
      <c r="BX351" s="14"/>
      <c r="BY351" s="14"/>
      <c r="BZ351" s="14"/>
      <c r="CA351" s="14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</row>
    <row r="352" spans="1:101" ht="14.25" customHeight="1" x14ac:dyDescent="0.2">
      <c r="A352" s="286"/>
      <c r="B352" s="52">
        <v>0.14345284231915778</v>
      </c>
      <c r="C352" s="288">
        <v>0.12608556144563354</v>
      </c>
      <c r="D352" s="288">
        <v>2.6752965297332509E-2</v>
      </c>
      <c r="E352" s="288">
        <v>1.2333462471358012E-2</v>
      </c>
      <c r="F352" s="289">
        <v>0.76040604345846241</v>
      </c>
      <c r="G352" s="92">
        <v>0.41110399849028101</v>
      </c>
      <c r="H352" s="288">
        <v>0.70818949235890516</v>
      </c>
      <c r="I352" s="288">
        <v>1.6331809572513456E-2</v>
      </c>
      <c r="J352" s="288">
        <v>0.99987194888203168</v>
      </c>
      <c r="K352" s="288">
        <v>0.76741188703075025</v>
      </c>
      <c r="L352" s="290">
        <v>9292.5812535208497</v>
      </c>
      <c r="M352" s="288">
        <v>0</v>
      </c>
      <c r="N352" s="288">
        <v>16206.909801986274</v>
      </c>
      <c r="O352" s="288">
        <v>1476.9499892839222</v>
      </c>
      <c r="P352" s="288">
        <v>52632.075471526303</v>
      </c>
      <c r="Q352" s="291">
        <v>108103.54605002391</v>
      </c>
      <c r="R352" s="288">
        <v>22471.340482399068</v>
      </c>
      <c r="S352" s="288">
        <v>8505.8470936781487</v>
      </c>
      <c r="T352" s="290">
        <v>0.751</v>
      </c>
      <c r="U352" s="288">
        <v>0.75800000000000001</v>
      </c>
      <c r="V352" s="288">
        <v>0.723923076923077</v>
      </c>
      <c r="W352" s="288">
        <v>0.72750000000000004</v>
      </c>
      <c r="X352" s="288">
        <v>0.76</v>
      </c>
      <c r="Y352" s="288">
        <v>0</v>
      </c>
      <c r="Z352" s="289">
        <v>0</v>
      </c>
      <c r="AA352" s="229"/>
      <c r="AB352" s="52">
        <v>74376.006604848371</v>
      </c>
      <c r="AC352" s="288">
        <v>3.0517308043044382</v>
      </c>
      <c r="AD352" s="288">
        <v>73338.73717325351</v>
      </c>
      <c r="AE352" s="288">
        <v>3.0886205898453358</v>
      </c>
      <c r="AF352" s="288">
        <v>1037.2694315948611</v>
      </c>
      <c r="AG352" s="289">
        <v>-3.6889785540897613E-2</v>
      </c>
      <c r="AH352" s="229"/>
      <c r="AI352" s="205">
        <f t="shared" si="40"/>
        <v>230797.07382559543</v>
      </c>
      <c r="AJ352" s="205">
        <f t="shared" si="41"/>
        <v>235523.3218112801</v>
      </c>
      <c r="AK352" s="205">
        <f t="shared" si="42"/>
        <v>-4726.2479856846221</v>
      </c>
      <c r="AL352" s="229"/>
      <c r="AM352" s="52">
        <f t="shared" si="30"/>
        <v>0</v>
      </c>
      <c r="AN352" s="52">
        <f t="shared" si="31"/>
        <v>1</v>
      </c>
      <c r="AO352" s="52">
        <f t="shared" si="32"/>
        <v>0</v>
      </c>
      <c r="AP352" s="229"/>
      <c r="AQ352" s="3"/>
      <c r="AR352" s="3"/>
      <c r="AS352" s="3"/>
      <c r="AT352" s="3"/>
      <c r="AU352" s="229"/>
      <c r="AV352" s="318">
        <f t="shared" si="43"/>
        <v>235523.3218112801</v>
      </c>
      <c r="AW352" s="229"/>
      <c r="AX352" s="312"/>
      <c r="AY352" s="14"/>
      <c r="AZ352" s="14">
        <f t="shared" si="45"/>
        <v>1037.2694315948611</v>
      </c>
      <c r="BA352" s="14">
        <f t="shared" si="44"/>
        <v>-3.6889785540897613E-2</v>
      </c>
      <c r="BB352" s="14">
        <f t="shared" si="33"/>
        <v>-28118.066190569185</v>
      </c>
      <c r="BC352" s="14"/>
      <c r="BD352" s="14"/>
      <c r="BE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14"/>
      <c r="BS352" s="14"/>
      <c r="BT352" s="14"/>
      <c r="BU352" s="14"/>
      <c r="BV352" s="14"/>
      <c r="BW352" s="14"/>
      <c r="BX352" s="14"/>
      <c r="BY352" s="14"/>
      <c r="BZ352" s="14"/>
      <c r="CA352" s="14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</row>
    <row r="353" spans="1:101" ht="14.25" customHeight="1" x14ac:dyDescent="0.2">
      <c r="A353" s="286"/>
      <c r="B353" s="52">
        <v>0.14240592586747639</v>
      </c>
      <c r="C353" s="288">
        <v>0.28550275408949616</v>
      </c>
      <c r="D353" s="288">
        <v>1.5083337602140645E-2</v>
      </c>
      <c r="E353" s="288">
        <v>1.7505890225250287E-2</v>
      </c>
      <c r="F353" s="289">
        <v>0.80472917638524799</v>
      </c>
      <c r="G353" s="92">
        <v>0.39107706583792318</v>
      </c>
      <c r="H353" s="288">
        <v>6.0047456645885601E-2</v>
      </c>
      <c r="I353" s="288">
        <v>3.755159705438238E-2</v>
      </c>
      <c r="J353" s="288">
        <v>0.99990962002863482</v>
      </c>
      <c r="K353" s="288">
        <v>0.75559763924500978</v>
      </c>
      <c r="L353" s="290">
        <v>15678.10307059279</v>
      </c>
      <c r="M353" s="288">
        <v>0</v>
      </c>
      <c r="N353" s="288">
        <v>17524.876357977158</v>
      </c>
      <c r="O353" s="288">
        <v>1458.9221427470495</v>
      </c>
      <c r="P353" s="288">
        <v>59442.162660537033</v>
      </c>
      <c r="Q353" s="291">
        <v>90598.342217855519</v>
      </c>
      <c r="R353" s="288">
        <v>16430.835532816247</v>
      </c>
      <c r="S353" s="288">
        <v>7469.1789676112185</v>
      </c>
      <c r="T353" s="290">
        <v>0.751</v>
      </c>
      <c r="U353" s="288">
        <v>0.75800000000000001</v>
      </c>
      <c r="V353" s="288">
        <v>0.723923076923077</v>
      </c>
      <c r="W353" s="288">
        <v>0.72750000000000004</v>
      </c>
      <c r="X353" s="288">
        <v>0.76</v>
      </c>
      <c r="Y353" s="288">
        <v>0</v>
      </c>
      <c r="Z353" s="289">
        <v>0</v>
      </c>
      <c r="AA353" s="229"/>
      <c r="AB353" s="52">
        <v>76270.72499901586</v>
      </c>
      <c r="AC353" s="288">
        <v>3.2575851608114048</v>
      </c>
      <c r="AD353" s="288">
        <v>59747.838667449345</v>
      </c>
      <c r="AE353" s="288">
        <v>3.0340360619358662</v>
      </c>
      <c r="AF353" s="288">
        <v>16522.886331566515</v>
      </c>
      <c r="AG353" s="289">
        <v>0.22354909887553864</v>
      </c>
      <c r="AH353" s="229"/>
      <c r="AI353" s="205">
        <f t="shared" si="40"/>
        <v>249487.79108212463</v>
      </c>
      <c r="AJ353" s="205">
        <f t="shared" si="41"/>
        <v>243655.76752613726</v>
      </c>
      <c r="AK353" s="205">
        <f t="shared" si="42"/>
        <v>5832.0235559873508</v>
      </c>
      <c r="AL353" s="229"/>
      <c r="AM353" s="52">
        <f t="shared" si="30"/>
        <v>1</v>
      </c>
      <c r="AN353" s="52">
        <f t="shared" si="31"/>
        <v>0</v>
      </c>
      <c r="AO353" s="52">
        <f t="shared" si="32"/>
        <v>1</v>
      </c>
      <c r="AP353" s="229"/>
      <c r="AQ353" s="3"/>
      <c r="AR353" s="3"/>
      <c r="AS353" s="3"/>
      <c r="AT353" s="3"/>
      <c r="AU353" s="229"/>
      <c r="AV353" s="318">
        <f t="shared" si="43"/>
        <v>249487.79108212463</v>
      </c>
      <c r="AW353" s="229"/>
      <c r="AX353" s="312"/>
      <c r="AY353" s="14"/>
      <c r="AZ353" s="14">
        <f t="shared" si="45"/>
        <v>16522.886331566515</v>
      </c>
      <c r="BA353" s="14">
        <f t="shared" si="44"/>
        <v>0.22354909887553864</v>
      </c>
      <c r="BB353" s="14">
        <f t="shared" si="33"/>
        <v>73911.666003921855</v>
      </c>
      <c r="BC353" s="14"/>
      <c r="BD353" s="14"/>
      <c r="BE353" s="14"/>
      <c r="BF353" s="14"/>
      <c r="BG353" s="14"/>
      <c r="BH353" s="14"/>
      <c r="BI353" s="14"/>
      <c r="BJ353" s="14"/>
      <c r="BK353" s="14"/>
      <c r="BL353" s="14"/>
      <c r="BM353" s="14"/>
      <c r="BN353" s="14"/>
      <c r="BO353" s="14"/>
      <c r="BP353" s="14"/>
      <c r="BQ353" s="14"/>
      <c r="BR353" s="14"/>
      <c r="BS353" s="14"/>
      <c r="BT353" s="14"/>
      <c r="BU353" s="14"/>
      <c r="BV353" s="14"/>
      <c r="BW353" s="14"/>
      <c r="BX353" s="14"/>
      <c r="BY353" s="14"/>
      <c r="BZ353" s="14"/>
      <c r="CA353" s="14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</row>
    <row r="354" spans="1:101" ht="14.25" customHeight="1" x14ac:dyDescent="0.2">
      <c r="A354" s="286"/>
      <c r="B354" s="52">
        <v>0.15800326491619027</v>
      </c>
      <c r="C354" s="288">
        <v>0.61849997672229051</v>
      </c>
      <c r="D354" s="288">
        <v>1.3779052673176129E-2</v>
      </c>
      <c r="E354" s="288">
        <v>3.5101855119383463E-2</v>
      </c>
      <c r="F354" s="289">
        <v>0.82649894587688455</v>
      </c>
      <c r="G354" s="92">
        <v>0.47828518996114811</v>
      </c>
      <c r="H354" s="288">
        <v>0.68794393338947835</v>
      </c>
      <c r="I354" s="288">
        <v>9.1844290241135784E-3</v>
      </c>
      <c r="J354" s="288">
        <v>0.95609096716393893</v>
      </c>
      <c r="K354" s="288">
        <v>0.80322696385552284</v>
      </c>
      <c r="L354" s="290">
        <v>9325.221730951982</v>
      </c>
      <c r="M354" s="288">
        <v>0</v>
      </c>
      <c r="N354" s="288">
        <v>16574.834991517117</v>
      </c>
      <c r="O354" s="288">
        <v>1449.4750275821457</v>
      </c>
      <c r="P354" s="288">
        <v>37844.418009542984</v>
      </c>
      <c r="Q354" s="291">
        <v>104914.2761837565</v>
      </c>
      <c r="R354" s="288">
        <v>22869.228211396396</v>
      </c>
      <c r="S354" s="288">
        <v>9860.9430805745069</v>
      </c>
      <c r="T354" s="290">
        <v>0.751</v>
      </c>
      <c r="U354" s="288">
        <v>0.75800000000000001</v>
      </c>
      <c r="V354" s="288">
        <v>0.723923076923077</v>
      </c>
      <c r="W354" s="288">
        <v>0.72750000000000004</v>
      </c>
      <c r="X354" s="288">
        <v>0.76</v>
      </c>
      <c r="Y354" s="288">
        <v>0</v>
      </c>
      <c r="Z354" s="289">
        <v>0</v>
      </c>
      <c r="AA354" s="229"/>
      <c r="AB354" s="52">
        <v>92725.923686251335</v>
      </c>
      <c r="AC354" s="288">
        <v>3.3598210774988067</v>
      </c>
      <c r="AD354" s="288">
        <v>87880.81762811204</v>
      </c>
      <c r="AE354" s="288">
        <v>3.2554388607769558</v>
      </c>
      <c r="AF354" s="288">
        <v>4845.1060581392958</v>
      </c>
      <c r="AG354" s="289">
        <v>0.10438221672185088</v>
      </c>
      <c r="AH354" s="229"/>
      <c r="AI354" s="205">
        <f t="shared" si="40"/>
        <v>243256.18406362931</v>
      </c>
      <c r="AJ354" s="205">
        <f t="shared" si="41"/>
        <v>237663.06844958354</v>
      </c>
      <c r="AK354" s="205">
        <f t="shared" si="42"/>
        <v>5593.1156140457933</v>
      </c>
      <c r="AL354" s="229"/>
      <c r="AM354" s="52">
        <f t="shared" si="30"/>
        <v>1</v>
      </c>
      <c r="AN354" s="52">
        <f t="shared" si="31"/>
        <v>0</v>
      </c>
      <c r="AO354" s="52">
        <f t="shared" si="32"/>
        <v>1</v>
      </c>
      <c r="AP354" s="229"/>
      <c r="AQ354" s="3"/>
      <c r="AR354" s="3"/>
      <c r="AS354" s="3"/>
      <c r="AT354" s="3"/>
      <c r="AU354" s="229"/>
      <c r="AV354" s="318">
        <f t="shared" si="43"/>
        <v>243256.18406362931</v>
      </c>
      <c r="AW354" s="229"/>
      <c r="AX354" s="312"/>
      <c r="AY354" s="14"/>
      <c r="AZ354" s="14">
        <f t="shared" si="45"/>
        <v>4845.1060581392958</v>
      </c>
      <c r="BA354" s="14">
        <f t="shared" si="44"/>
        <v>0.10438221672185088</v>
      </c>
      <c r="BB354" s="14">
        <f t="shared" si="33"/>
        <v>46416.968429115994</v>
      </c>
      <c r="BC354" s="14"/>
      <c r="BD354" s="14"/>
      <c r="BE354" s="14"/>
      <c r="BF354" s="14"/>
      <c r="BG354" s="14"/>
      <c r="BH354" s="14"/>
      <c r="BI354" s="14"/>
      <c r="BJ354" s="14"/>
      <c r="BK354" s="14"/>
      <c r="BL354" s="14"/>
      <c r="BM354" s="14"/>
      <c r="BN354" s="14"/>
      <c r="BO354" s="14"/>
      <c r="BP354" s="14"/>
      <c r="BQ354" s="14"/>
      <c r="BR354" s="14"/>
      <c r="BS354" s="14"/>
      <c r="BT354" s="14"/>
      <c r="BU354" s="14"/>
      <c r="BV354" s="14"/>
      <c r="BW354" s="14"/>
      <c r="BX354" s="14"/>
      <c r="BY354" s="14"/>
      <c r="BZ354" s="14"/>
      <c r="CA354" s="14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</row>
    <row r="355" spans="1:101" ht="14.25" customHeight="1" x14ac:dyDescent="0.2">
      <c r="A355" s="286"/>
      <c r="B355" s="52">
        <v>0.20708036719164757</v>
      </c>
      <c r="C355" s="288">
        <v>0.15223786753884727</v>
      </c>
      <c r="D355" s="288">
        <v>1.3791273741907969E-2</v>
      </c>
      <c r="E355" s="288">
        <v>1.1156400808146293E-2</v>
      </c>
      <c r="F355" s="289">
        <v>0.77246823027964828</v>
      </c>
      <c r="G355" s="92">
        <v>0.37004082627093626</v>
      </c>
      <c r="H355" s="288">
        <v>2.3907299830630068E-2</v>
      </c>
      <c r="I355" s="288">
        <v>1.8945648779068902E-2</v>
      </c>
      <c r="J355" s="288">
        <v>0.99996648973025182</v>
      </c>
      <c r="K355" s="288">
        <v>0.82357995487664692</v>
      </c>
      <c r="L355" s="290">
        <v>10946.086508491197</v>
      </c>
      <c r="M355" s="288">
        <v>0</v>
      </c>
      <c r="N355" s="288">
        <v>20003.042239704107</v>
      </c>
      <c r="O355" s="288">
        <v>1573.3785967538031</v>
      </c>
      <c r="P355" s="288">
        <v>38524.472137874982</v>
      </c>
      <c r="Q355" s="291">
        <v>128316.86148165527</v>
      </c>
      <c r="R355" s="288">
        <v>28759.425385393795</v>
      </c>
      <c r="S355" s="288">
        <v>7824.9265134842162</v>
      </c>
      <c r="T355" s="290">
        <v>0.751</v>
      </c>
      <c r="U355" s="288">
        <v>0.75800000000000001</v>
      </c>
      <c r="V355" s="288">
        <v>0.723923076923077</v>
      </c>
      <c r="W355" s="288">
        <v>0.72750000000000004</v>
      </c>
      <c r="X355" s="288">
        <v>0.76</v>
      </c>
      <c r="Y355" s="288">
        <v>0</v>
      </c>
      <c r="Z355" s="289">
        <v>0</v>
      </c>
      <c r="AA355" s="229"/>
      <c r="AB355" s="52">
        <v>72401.318428346567</v>
      </c>
      <c r="AC355" s="288">
        <v>3.1074472430860216</v>
      </c>
      <c r="AD355" s="288">
        <v>66433.55096391846</v>
      </c>
      <c r="AE355" s="288">
        <v>3.3511393190688783</v>
      </c>
      <c r="AF355" s="288">
        <v>5967.7674644281069</v>
      </c>
      <c r="AG355" s="289">
        <v>-0.24369207598285669</v>
      </c>
      <c r="AH355" s="229"/>
      <c r="AI355" s="205">
        <f t="shared" si="40"/>
        <v>238343.4058802556</v>
      </c>
      <c r="AJ355" s="205">
        <f t="shared" si="41"/>
        <v>268680.38094296941</v>
      </c>
      <c r="AK355" s="205">
        <f t="shared" si="42"/>
        <v>-30336.975062713776</v>
      </c>
      <c r="AL355" s="229"/>
      <c r="AM355" s="52">
        <f t="shared" si="30"/>
        <v>0</v>
      </c>
      <c r="AN355" s="52">
        <f t="shared" si="31"/>
        <v>1</v>
      </c>
      <c r="AO355" s="52">
        <f t="shared" si="32"/>
        <v>0</v>
      </c>
      <c r="AP355" s="229"/>
      <c r="AQ355" s="3"/>
      <c r="AR355" s="3"/>
      <c r="AS355" s="3"/>
      <c r="AT355" s="3"/>
      <c r="AU355" s="229"/>
      <c r="AV355" s="318">
        <f t="shared" si="43"/>
        <v>268680.38094296941</v>
      </c>
      <c r="AW355" s="229"/>
      <c r="AX355" s="312"/>
      <c r="AY355" s="14"/>
      <c r="AZ355" s="14">
        <f t="shared" si="45"/>
        <v>5967.7674644281069</v>
      </c>
      <c r="BA355" s="14">
        <f t="shared" si="44"/>
        <v>-0.24369207598285669</v>
      </c>
      <c r="BB355" s="14">
        <f t="shared" si="33"/>
        <v>-24488.968056753427</v>
      </c>
      <c r="BC355" s="14"/>
      <c r="BD355" s="14"/>
      <c r="BE355" s="14"/>
      <c r="BF355" s="14"/>
      <c r="BG355" s="14"/>
      <c r="BH355" s="14"/>
      <c r="BI355" s="14"/>
      <c r="BJ355" s="14"/>
      <c r="BK355" s="14"/>
      <c r="BL355" s="14"/>
      <c r="BM355" s="14"/>
      <c r="BN355" s="14"/>
      <c r="BO355" s="14"/>
      <c r="BP355" s="14"/>
      <c r="BQ355" s="14"/>
      <c r="BR355" s="14"/>
      <c r="BS355" s="14"/>
      <c r="BT355" s="14"/>
      <c r="BU355" s="14"/>
      <c r="BV355" s="14"/>
      <c r="BW355" s="14"/>
      <c r="BX355" s="14"/>
      <c r="BY355" s="14"/>
      <c r="BZ355" s="14"/>
      <c r="CA355" s="14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</row>
    <row r="356" spans="1:101" ht="14.25" customHeight="1" x14ac:dyDescent="0.2">
      <c r="A356" s="286"/>
      <c r="B356" s="52">
        <v>0.16615141496038799</v>
      </c>
      <c r="C356" s="288">
        <v>0.32341948865493619</v>
      </c>
      <c r="D356" s="288">
        <v>2.1785893187524108E-2</v>
      </c>
      <c r="E356" s="288">
        <v>1.822130860168536E-2</v>
      </c>
      <c r="F356" s="289">
        <v>0.81265681299831882</v>
      </c>
      <c r="G356" s="92">
        <v>0.39825696854283477</v>
      </c>
      <c r="H356" s="288">
        <v>0.6026955537340497</v>
      </c>
      <c r="I356" s="288">
        <v>1.4779159579283649E-2</v>
      </c>
      <c r="J356" s="288">
        <v>0.9381518436070464</v>
      </c>
      <c r="K356" s="288">
        <v>0.75205618274090869</v>
      </c>
      <c r="L356" s="290">
        <v>11879.942368723949</v>
      </c>
      <c r="M356" s="288">
        <v>0</v>
      </c>
      <c r="N356" s="288">
        <v>22759.34125586247</v>
      </c>
      <c r="O356" s="288">
        <v>1234.0778679852526</v>
      </c>
      <c r="P356" s="288">
        <v>46211.221988763748</v>
      </c>
      <c r="Q356" s="291">
        <v>93969.150279795474</v>
      </c>
      <c r="R356" s="288">
        <v>33744.030991914267</v>
      </c>
      <c r="S356" s="288">
        <v>8904.5567718497459</v>
      </c>
      <c r="T356" s="290">
        <v>0.751</v>
      </c>
      <c r="U356" s="288">
        <v>0.75800000000000001</v>
      </c>
      <c r="V356" s="288">
        <v>0.723923076923077</v>
      </c>
      <c r="W356" s="288">
        <v>0.72750000000000004</v>
      </c>
      <c r="X356" s="288">
        <v>0.76</v>
      </c>
      <c r="Y356" s="288">
        <v>0</v>
      </c>
      <c r="Z356" s="289">
        <v>0</v>
      </c>
      <c r="AA356" s="229"/>
      <c r="AB356" s="52">
        <v>85899.362752582281</v>
      </c>
      <c r="AC356" s="288">
        <v>3.2947291319744134</v>
      </c>
      <c r="AD356" s="288">
        <v>76246.166736469808</v>
      </c>
      <c r="AE356" s="288">
        <v>3.0177165820558987</v>
      </c>
      <c r="AF356" s="288">
        <v>9653.1960161124734</v>
      </c>
      <c r="AG356" s="289">
        <v>0.27701254991851476</v>
      </c>
      <c r="AH356" s="229"/>
      <c r="AI356" s="205">
        <f t="shared" si="40"/>
        <v>243573.55044485902</v>
      </c>
      <c r="AJ356" s="205">
        <f t="shared" si="41"/>
        <v>225525.49146912005</v>
      </c>
      <c r="AK356" s="205">
        <f t="shared" si="42"/>
        <v>18048.058975739004</v>
      </c>
      <c r="AL356" s="229"/>
      <c r="AM356" s="52">
        <f t="shared" si="30"/>
        <v>1</v>
      </c>
      <c r="AN356" s="52">
        <f t="shared" si="31"/>
        <v>0</v>
      </c>
      <c r="AO356" s="52">
        <f t="shared" si="32"/>
        <v>1</v>
      </c>
      <c r="AP356" s="229"/>
      <c r="AQ356" s="3"/>
      <c r="AR356" s="3"/>
      <c r="AS356" s="3"/>
      <c r="AT356" s="3"/>
      <c r="AU356" s="229"/>
      <c r="AV356" s="318">
        <f t="shared" si="43"/>
        <v>243573.55044485902</v>
      </c>
      <c r="AW356" s="229"/>
      <c r="AX356" s="312"/>
      <c r="AY356" s="14"/>
      <c r="AZ356" s="14">
        <f t="shared" si="45"/>
        <v>9653.1960161124734</v>
      </c>
      <c r="BA356" s="14">
        <f t="shared" si="44"/>
        <v>0.27701254991851476</v>
      </c>
      <c r="BB356" s="14">
        <f t="shared" si="33"/>
        <v>34847.504269940226</v>
      </c>
      <c r="BC356" s="14"/>
      <c r="BD356" s="14"/>
      <c r="BE356" s="14"/>
      <c r="BF356" s="14"/>
      <c r="BG356" s="14"/>
      <c r="BH356" s="14"/>
      <c r="BI356" s="14"/>
      <c r="BJ356" s="14"/>
      <c r="BK356" s="14"/>
      <c r="BL356" s="14"/>
      <c r="BM356" s="14"/>
      <c r="BN356" s="14"/>
      <c r="BO356" s="14"/>
      <c r="BP356" s="14"/>
      <c r="BQ356" s="14"/>
      <c r="BR356" s="14"/>
      <c r="BS356" s="14"/>
      <c r="BT356" s="14"/>
      <c r="BU356" s="14"/>
      <c r="BV356" s="14"/>
      <c r="BW356" s="14"/>
      <c r="BX356" s="14"/>
      <c r="BY356" s="14"/>
      <c r="BZ356" s="14"/>
      <c r="CA356" s="14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</row>
    <row r="357" spans="1:101" ht="14.25" customHeight="1" x14ac:dyDescent="0.2">
      <c r="A357" s="286"/>
      <c r="B357" s="52">
        <v>0.1343779770305068</v>
      </c>
      <c r="C357" s="288">
        <v>6.6617177378180362E-2</v>
      </c>
      <c r="D357" s="288">
        <v>9.4309193673328597E-3</v>
      </c>
      <c r="E357" s="288">
        <v>1.435850174540671E-2</v>
      </c>
      <c r="F357" s="289">
        <v>0.80033060463312355</v>
      </c>
      <c r="G357" s="92">
        <v>0.41921604993212569</v>
      </c>
      <c r="H357" s="288">
        <v>1.3809703046780072E-2</v>
      </c>
      <c r="I357" s="288">
        <v>2.0356404526344241E-2</v>
      </c>
      <c r="J357" s="288">
        <v>0.89106338686782194</v>
      </c>
      <c r="K357" s="288">
        <v>0.73933570307393837</v>
      </c>
      <c r="L357" s="290">
        <v>14566.139252443714</v>
      </c>
      <c r="M357" s="288">
        <v>0</v>
      </c>
      <c r="N357" s="288">
        <v>14316.656098259115</v>
      </c>
      <c r="O357" s="288">
        <v>1076.0219842719841</v>
      </c>
      <c r="P357" s="288">
        <v>37486.37399372123</v>
      </c>
      <c r="Q357" s="291">
        <v>133158.3565012053</v>
      </c>
      <c r="R357" s="288">
        <v>31386.667860369107</v>
      </c>
      <c r="S357" s="288">
        <v>10899.919677250815</v>
      </c>
      <c r="T357" s="290">
        <v>0.751</v>
      </c>
      <c r="U357" s="288">
        <v>0.75800000000000001</v>
      </c>
      <c r="V357" s="288">
        <v>0.723923076923077</v>
      </c>
      <c r="W357" s="288">
        <v>0.72750000000000004</v>
      </c>
      <c r="X357" s="288">
        <v>0.76</v>
      </c>
      <c r="Y357" s="288">
        <v>0</v>
      </c>
      <c r="Z357" s="289">
        <v>0</v>
      </c>
      <c r="AA357" s="229"/>
      <c r="AB357" s="52">
        <v>101544.37623273145</v>
      </c>
      <c r="AC357" s="288">
        <v>3.2370187114064821</v>
      </c>
      <c r="AD357" s="288">
        <v>82534.873377184413</v>
      </c>
      <c r="AE357" s="288">
        <v>2.9592620327236565</v>
      </c>
      <c r="AF357" s="288">
        <v>19009.502855547034</v>
      </c>
      <c r="AG357" s="289">
        <v>0.27775667868282561</v>
      </c>
      <c r="AH357" s="229"/>
      <c r="AI357" s="205">
        <f t="shared" si="40"/>
        <v>222157.49490791676</v>
      </c>
      <c r="AJ357" s="205">
        <f t="shared" si="41"/>
        <v>213391.32989518126</v>
      </c>
      <c r="AK357" s="205">
        <f t="shared" si="42"/>
        <v>8766.1650127355279</v>
      </c>
      <c r="AL357" s="229"/>
      <c r="AM357" s="52">
        <f t="shared" si="30"/>
        <v>1</v>
      </c>
      <c r="AN357" s="52">
        <f t="shared" si="31"/>
        <v>0</v>
      </c>
      <c r="AO357" s="52">
        <f t="shared" si="32"/>
        <v>1</v>
      </c>
      <c r="AP357" s="229"/>
      <c r="AQ357" s="3"/>
      <c r="AR357" s="3"/>
      <c r="AS357" s="3"/>
      <c r="AT357" s="3"/>
      <c r="AU357" s="229"/>
      <c r="AV357" s="318">
        <f t="shared" si="43"/>
        <v>222157.49490791676</v>
      </c>
      <c r="AW357" s="229"/>
      <c r="AX357" s="312"/>
      <c r="AY357" s="14"/>
      <c r="AZ357" s="14">
        <f t="shared" si="45"/>
        <v>19009.502855547034</v>
      </c>
      <c r="BA357" s="14">
        <f t="shared" si="44"/>
        <v>0.27775667868282561</v>
      </c>
      <c r="BB357" s="14">
        <f t="shared" si="33"/>
        <v>68439.408714467892</v>
      </c>
      <c r="BC357" s="14"/>
      <c r="BD357" s="14"/>
      <c r="BE357" s="14"/>
      <c r="BF357" s="14"/>
      <c r="BG357" s="14"/>
      <c r="BH357" s="14"/>
      <c r="BI357" s="14"/>
      <c r="BJ357" s="14"/>
      <c r="BK357" s="14"/>
      <c r="BL357" s="14"/>
      <c r="BM357" s="14"/>
      <c r="BN357" s="14"/>
      <c r="BO357" s="14"/>
      <c r="BP357" s="14"/>
      <c r="BQ357" s="14"/>
      <c r="BR357" s="14"/>
      <c r="BS357" s="14"/>
      <c r="BT357" s="14"/>
      <c r="BU357" s="14"/>
      <c r="BV357" s="14"/>
      <c r="BW357" s="14"/>
      <c r="BX357" s="14"/>
      <c r="BY357" s="14"/>
      <c r="BZ357" s="14"/>
      <c r="CA357" s="14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</row>
    <row r="358" spans="1:101" ht="14.25" customHeight="1" x14ac:dyDescent="0.2">
      <c r="A358" s="286"/>
      <c r="B358" s="52">
        <v>0.17351335474343399</v>
      </c>
      <c r="C358" s="288">
        <v>0.47093547000699121</v>
      </c>
      <c r="D358" s="288">
        <v>2.5730255276262937E-2</v>
      </c>
      <c r="E358" s="288">
        <v>2.926339089272767E-2</v>
      </c>
      <c r="F358" s="289">
        <v>0.77491862820972501</v>
      </c>
      <c r="G358" s="92">
        <v>0.34413054292790302</v>
      </c>
      <c r="H358" s="288">
        <v>0.41282893379089142</v>
      </c>
      <c r="I358" s="288">
        <v>1.8596370523732753E-2</v>
      </c>
      <c r="J358" s="288">
        <v>0.99999999756646063</v>
      </c>
      <c r="K358" s="288">
        <v>0.7589576703189499</v>
      </c>
      <c r="L358" s="290">
        <v>12399.873972787054</v>
      </c>
      <c r="M358" s="288">
        <v>0</v>
      </c>
      <c r="N358" s="288">
        <v>19164.4962494498</v>
      </c>
      <c r="O358" s="288">
        <v>1369.1223075842527</v>
      </c>
      <c r="P358" s="288">
        <v>35014.521895588507</v>
      </c>
      <c r="Q358" s="291">
        <v>79062.982990164004</v>
      </c>
      <c r="R358" s="288">
        <v>19915.793769233616</v>
      </c>
      <c r="S358" s="288">
        <v>9676.1037769902487</v>
      </c>
      <c r="T358" s="290">
        <v>0.751</v>
      </c>
      <c r="U358" s="288">
        <v>0.75800000000000001</v>
      </c>
      <c r="V358" s="288">
        <v>0.723923076923077</v>
      </c>
      <c r="W358" s="288">
        <v>0.72750000000000004</v>
      </c>
      <c r="X358" s="288">
        <v>0.76</v>
      </c>
      <c r="Y358" s="288">
        <v>0</v>
      </c>
      <c r="Z358" s="289">
        <v>0</v>
      </c>
      <c r="AA358" s="229"/>
      <c r="AB358" s="52">
        <v>88874.134282304134</v>
      </c>
      <c r="AC358" s="288">
        <v>3.1187937636564751</v>
      </c>
      <c r="AD358" s="288">
        <v>77389.196702953588</v>
      </c>
      <c r="AE358" s="288">
        <v>3.049537786465482</v>
      </c>
      <c r="AF358" s="288">
        <v>11484.937579350546</v>
      </c>
      <c r="AG358" s="289">
        <v>6.9255977190993079E-2</v>
      </c>
      <c r="AH358" s="229"/>
      <c r="AI358" s="205">
        <f t="shared" si="40"/>
        <v>223005.24208334339</v>
      </c>
      <c r="AJ358" s="205">
        <f t="shared" si="41"/>
        <v>227564.58194359462</v>
      </c>
      <c r="AK358" s="205">
        <f t="shared" si="42"/>
        <v>-4559.339860251238</v>
      </c>
      <c r="AL358" s="229"/>
      <c r="AM358" s="52">
        <f t="shared" si="30"/>
        <v>0</v>
      </c>
      <c r="AN358" s="52">
        <f t="shared" si="31"/>
        <v>1</v>
      </c>
      <c r="AO358" s="52">
        <f t="shared" si="32"/>
        <v>0</v>
      </c>
      <c r="AP358" s="229"/>
      <c r="AQ358" s="3"/>
      <c r="AR358" s="3"/>
      <c r="AS358" s="3"/>
      <c r="AT358" s="3"/>
      <c r="AU358" s="229"/>
      <c r="AV358" s="318">
        <f t="shared" si="43"/>
        <v>227564.58194359462</v>
      </c>
      <c r="AW358" s="229"/>
      <c r="AX358" s="312"/>
      <c r="AY358" s="14"/>
      <c r="AZ358" s="14">
        <f t="shared" si="45"/>
        <v>11484.937579350546</v>
      </c>
      <c r="BA358" s="14">
        <f t="shared" si="44"/>
        <v>6.9255977190993079E-2</v>
      </c>
      <c r="BB358" s="14">
        <f t="shared" si="33"/>
        <v>165833.16047476392</v>
      </c>
      <c r="BC358" s="14"/>
      <c r="BD358" s="14"/>
      <c r="BE358" s="14"/>
      <c r="BF358" s="14"/>
      <c r="BG358" s="14"/>
      <c r="BH358" s="14"/>
      <c r="BI358" s="14"/>
      <c r="BJ358" s="14"/>
      <c r="BK358" s="14"/>
      <c r="BL358" s="14"/>
      <c r="BM358" s="14"/>
      <c r="BN358" s="14"/>
      <c r="BO358" s="14"/>
      <c r="BP358" s="14"/>
      <c r="BQ358" s="14"/>
      <c r="BR358" s="14"/>
      <c r="BS358" s="14"/>
      <c r="BT358" s="14"/>
      <c r="BU358" s="14"/>
      <c r="BV358" s="14"/>
      <c r="BW358" s="14"/>
      <c r="BX358" s="14"/>
      <c r="BY358" s="14"/>
      <c r="BZ358" s="14"/>
      <c r="CA358" s="14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</row>
    <row r="359" spans="1:101" ht="14.25" customHeight="1" x14ac:dyDescent="0.2">
      <c r="A359" s="286"/>
      <c r="B359" s="52">
        <v>0.16895579930750415</v>
      </c>
      <c r="C359" s="288">
        <v>0.39123138205505725</v>
      </c>
      <c r="D359" s="288">
        <v>1.8112196377285228E-2</v>
      </c>
      <c r="E359" s="288">
        <v>2.1766157127696362E-2</v>
      </c>
      <c r="F359" s="289">
        <v>0.80925259377458947</v>
      </c>
      <c r="G359" s="92">
        <v>0.39905403892093139</v>
      </c>
      <c r="H359" s="288">
        <v>0.91244610146654659</v>
      </c>
      <c r="I359" s="288">
        <v>4.0667370495744093E-2</v>
      </c>
      <c r="J359" s="288">
        <v>0.81006782064770322</v>
      </c>
      <c r="K359" s="288">
        <v>0.71484629253260557</v>
      </c>
      <c r="L359" s="290">
        <v>11545.447314966821</v>
      </c>
      <c r="M359" s="288">
        <v>0</v>
      </c>
      <c r="N359" s="288">
        <v>20588.811787288803</v>
      </c>
      <c r="O359" s="288">
        <v>1228.9838166122156</v>
      </c>
      <c r="P359" s="288">
        <v>44415.097547814803</v>
      </c>
      <c r="Q359" s="291">
        <v>103609.27430745226</v>
      </c>
      <c r="R359" s="288">
        <v>24426.856231098092</v>
      </c>
      <c r="S359" s="288">
        <v>11188.65846979595</v>
      </c>
      <c r="T359" s="290">
        <v>0.751</v>
      </c>
      <c r="U359" s="288">
        <v>0.75800000000000001</v>
      </c>
      <c r="V359" s="288">
        <v>0.723923076923077</v>
      </c>
      <c r="W359" s="288">
        <v>0.72750000000000004</v>
      </c>
      <c r="X359" s="288">
        <v>0.76</v>
      </c>
      <c r="Y359" s="288">
        <v>0</v>
      </c>
      <c r="Z359" s="289">
        <v>0</v>
      </c>
      <c r="AA359" s="229"/>
      <c r="AB359" s="52">
        <v>103348.87639211588</v>
      </c>
      <c r="AC359" s="288">
        <v>3.2787670029774718</v>
      </c>
      <c r="AD359" s="288">
        <v>91468.101383330621</v>
      </c>
      <c r="AE359" s="288">
        <v>2.8474437734332096</v>
      </c>
      <c r="AF359" s="288">
        <v>11880.775008785262</v>
      </c>
      <c r="AG359" s="289">
        <v>0.43132322954426217</v>
      </c>
      <c r="AH359" s="229"/>
      <c r="AI359" s="205">
        <f t="shared" si="40"/>
        <v>224527.82390563126</v>
      </c>
      <c r="AJ359" s="205">
        <f t="shared" si="41"/>
        <v>193276.27595999037</v>
      </c>
      <c r="AK359" s="205">
        <f t="shared" si="42"/>
        <v>31251.547945640952</v>
      </c>
      <c r="AL359" s="229"/>
      <c r="AM359" s="52">
        <f t="shared" si="30"/>
        <v>1</v>
      </c>
      <c r="AN359" s="52">
        <f t="shared" si="31"/>
        <v>0</v>
      </c>
      <c r="AO359" s="52">
        <f t="shared" si="32"/>
        <v>1</v>
      </c>
      <c r="AP359" s="229"/>
      <c r="AQ359" s="3"/>
      <c r="AR359" s="3"/>
      <c r="AS359" s="3"/>
      <c r="AT359" s="3"/>
      <c r="AU359" s="229"/>
      <c r="AV359" s="318">
        <f t="shared" si="43"/>
        <v>224527.82390563126</v>
      </c>
      <c r="AW359" s="229"/>
      <c r="AX359" s="312"/>
      <c r="AY359" s="14"/>
      <c r="AZ359" s="14">
        <f t="shared" si="45"/>
        <v>11880.775008785262</v>
      </c>
      <c r="BA359" s="14">
        <f t="shared" si="44"/>
        <v>0.43132322954426217</v>
      </c>
      <c r="BB359" s="14">
        <f t="shared" si="33"/>
        <v>27544.945866557049</v>
      </c>
      <c r="BC359" s="14"/>
      <c r="BD359" s="14"/>
      <c r="BE359" s="14"/>
      <c r="BF359" s="14"/>
      <c r="BG359" s="14"/>
      <c r="BH359" s="14"/>
      <c r="BI359" s="14"/>
      <c r="BJ359" s="14"/>
      <c r="BK359" s="14"/>
      <c r="BL359" s="14"/>
      <c r="BM359" s="14"/>
      <c r="BN359" s="14"/>
      <c r="BO359" s="14"/>
      <c r="BP359" s="14"/>
      <c r="BQ359" s="14"/>
      <c r="BR359" s="14"/>
      <c r="BS359" s="14"/>
      <c r="BT359" s="14"/>
      <c r="BU359" s="14"/>
      <c r="BV359" s="14"/>
      <c r="BW359" s="14"/>
      <c r="BX359" s="14"/>
      <c r="BY359" s="14"/>
      <c r="BZ359" s="14"/>
      <c r="CA359" s="14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</row>
    <row r="360" spans="1:101" ht="14.25" customHeight="1" x14ac:dyDescent="0.2">
      <c r="A360" s="286"/>
      <c r="B360" s="52">
        <v>0.15504490980263699</v>
      </c>
      <c r="C360" s="288">
        <v>0.63312367144247506</v>
      </c>
      <c r="D360" s="288">
        <v>1.8892224497907839E-2</v>
      </c>
      <c r="E360" s="288">
        <v>1.5602436798352048E-2</v>
      </c>
      <c r="F360" s="289">
        <v>0.78210962449373267</v>
      </c>
      <c r="G360" s="92">
        <v>0.4403214854603863</v>
      </c>
      <c r="H360" s="288">
        <v>0.73865187656722864</v>
      </c>
      <c r="I360" s="288">
        <v>2.174692514458465E-2</v>
      </c>
      <c r="J360" s="288">
        <v>0.99999999999999778</v>
      </c>
      <c r="K360" s="288">
        <v>0.81342585685125057</v>
      </c>
      <c r="L360" s="290">
        <v>16176.800168418664</v>
      </c>
      <c r="M360" s="288">
        <v>0</v>
      </c>
      <c r="N360" s="288">
        <v>16970.709173618689</v>
      </c>
      <c r="O360" s="288">
        <v>1154.9204568536334</v>
      </c>
      <c r="P360" s="288">
        <v>39426.567336663873</v>
      </c>
      <c r="Q360" s="291">
        <v>114703.41189841277</v>
      </c>
      <c r="R360" s="288">
        <v>23935.157085011509</v>
      </c>
      <c r="S360" s="288">
        <v>6929.2454438381565</v>
      </c>
      <c r="T360" s="290">
        <v>0.751</v>
      </c>
      <c r="U360" s="288">
        <v>0.75800000000000001</v>
      </c>
      <c r="V360" s="288">
        <v>0.723923076923077</v>
      </c>
      <c r="W360" s="288">
        <v>0.72750000000000004</v>
      </c>
      <c r="X360" s="288">
        <v>0.76</v>
      </c>
      <c r="Y360" s="288">
        <v>0</v>
      </c>
      <c r="Z360" s="289">
        <v>0</v>
      </c>
      <c r="AA360" s="229"/>
      <c r="AB360" s="52">
        <v>72708.701826593504</v>
      </c>
      <c r="AC360" s="288">
        <v>3.1521459069079687</v>
      </c>
      <c r="AD360" s="288">
        <v>66111.409441275944</v>
      </c>
      <c r="AE360" s="288">
        <v>3.3033127849966988</v>
      </c>
      <c r="AF360" s="288">
        <v>6597.2923853175598</v>
      </c>
      <c r="AG360" s="289">
        <v>-0.15116687808873008</v>
      </c>
      <c r="AH360" s="229"/>
      <c r="AI360" s="205">
        <f t="shared" si="40"/>
        <v>242505.88886420336</v>
      </c>
      <c r="AJ360" s="205">
        <f t="shared" si="41"/>
        <v>264219.86905839393</v>
      </c>
      <c r="AK360" s="205">
        <f t="shared" si="42"/>
        <v>-21713.980194190568</v>
      </c>
      <c r="AL360" s="229"/>
      <c r="AM360" s="52">
        <f t="shared" si="30"/>
        <v>0</v>
      </c>
      <c r="AN360" s="52">
        <f t="shared" si="31"/>
        <v>1</v>
      </c>
      <c r="AO360" s="52">
        <f t="shared" si="32"/>
        <v>0</v>
      </c>
      <c r="AP360" s="229"/>
      <c r="AQ360" s="3"/>
      <c r="AR360" s="3"/>
      <c r="AS360" s="3"/>
      <c r="AT360" s="3"/>
      <c r="AU360" s="229"/>
      <c r="AV360" s="318">
        <f t="shared" si="43"/>
        <v>264219.86905839393</v>
      </c>
      <c r="AW360" s="229"/>
      <c r="AX360" s="312"/>
      <c r="AY360" s="14"/>
      <c r="AZ360" s="14">
        <f t="shared" si="45"/>
        <v>6597.2923853175598</v>
      </c>
      <c r="BA360" s="14">
        <f t="shared" si="44"/>
        <v>-0.15116687808873008</v>
      </c>
      <c r="BB360" s="14">
        <f t="shared" si="33"/>
        <v>-43642.446471939191</v>
      </c>
      <c r="BC360" s="14"/>
      <c r="BD360" s="14"/>
      <c r="BE360" s="14"/>
      <c r="BF360" s="14"/>
      <c r="BG360" s="14"/>
      <c r="BH360" s="14"/>
      <c r="BI360" s="14"/>
      <c r="BJ360" s="14"/>
      <c r="BK360" s="14"/>
      <c r="BL360" s="14"/>
      <c r="BM360" s="14"/>
      <c r="BN360" s="14"/>
      <c r="BO360" s="14"/>
      <c r="BP360" s="14"/>
      <c r="BQ360" s="14"/>
      <c r="BR360" s="14"/>
      <c r="BS360" s="14"/>
      <c r="BT360" s="14"/>
      <c r="BU360" s="14"/>
      <c r="BV360" s="14"/>
      <c r="BW360" s="14"/>
      <c r="BX360" s="14"/>
      <c r="BY360" s="14"/>
      <c r="BZ360" s="14"/>
      <c r="CA360" s="14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</row>
    <row r="361" spans="1:101" ht="14.25" customHeight="1" x14ac:dyDescent="0.2">
      <c r="A361" s="286"/>
      <c r="B361" s="52">
        <v>0.15199835389826014</v>
      </c>
      <c r="C361" s="288">
        <v>0.46620744043950879</v>
      </c>
      <c r="D361" s="288">
        <v>8.5450438416501025E-3</v>
      </c>
      <c r="E361" s="288">
        <v>1.4917778405424298E-2</v>
      </c>
      <c r="F361" s="289">
        <v>0.8087787745832713</v>
      </c>
      <c r="G361" s="92">
        <v>0.45012265606836754</v>
      </c>
      <c r="H361" s="288">
        <v>0.11780572600158798</v>
      </c>
      <c r="I361" s="288">
        <v>2.0827242629624654E-2</v>
      </c>
      <c r="J361" s="288">
        <v>0.99999999937366812</v>
      </c>
      <c r="K361" s="288">
        <v>0.75483676140033351</v>
      </c>
      <c r="L361" s="290">
        <v>11970.68263616199</v>
      </c>
      <c r="M361" s="288">
        <v>0</v>
      </c>
      <c r="N361" s="288">
        <v>17386.918997288445</v>
      </c>
      <c r="O361" s="288">
        <v>999.06270449459794</v>
      </c>
      <c r="P361" s="288">
        <v>34099.149359806288</v>
      </c>
      <c r="Q361" s="291">
        <v>91343.547762146918</v>
      </c>
      <c r="R361" s="288">
        <v>16117.888596011822</v>
      </c>
      <c r="S361" s="288">
        <v>10382.396991407293</v>
      </c>
      <c r="T361" s="290">
        <v>0.751</v>
      </c>
      <c r="U361" s="288">
        <v>0.75800000000000001</v>
      </c>
      <c r="V361" s="288">
        <v>0.723923076923077</v>
      </c>
      <c r="W361" s="288">
        <v>0.72750000000000004</v>
      </c>
      <c r="X361" s="288">
        <v>0.76</v>
      </c>
      <c r="Y361" s="288">
        <v>0</v>
      </c>
      <c r="Z361" s="289">
        <v>0</v>
      </c>
      <c r="AA361" s="229"/>
      <c r="AB361" s="52">
        <v>96534.444103412286</v>
      </c>
      <c r="AC361" s="288">
        <v>3.2765467413246263</v>
      </c>
      <c r="AD361" s="288">
        <v>80843.174658670905</v>
      </c>
      <c r="AE361" s="288">
        <v>3.0305281730880607</v>
      </c>
      <c r="AF361" s="288">
        <v>15691.269444741381</v>
      </c>
      <c r="AG361" s="289">
        <v>0.24601856823656565</v>
      </c>
      <c r="AH361" s="229"/>
      <c r="AI361" s="205">
        <f t="shared" si="40"/>
        <v>231120.23002905038</v>
      </c>
      <c r="AJ361" s="205">
        <f t="shared" si="41"/>
        <v>222209.64265013515</v>
      </c>
      <c r="AK361" s="205">
        <f t="shared" si="42"/>
        <v>8910.5873789151847</v>
      </c>
      <c r="AL361" s="229"/>
      <c r="AM361" s="52">
        <f t="shared" si="30"/>
        <v>1</v>
      </c>
      <c r="AN361" s="52">
        <f t="shared" si="31"/>
        <v>0</v>
      </c>
      <c r="AO361" s="52">
        <f t="shared" si="32"/>
        <v>1</v>
      </c>
      <c r="AP361" s="229"/>
      <c r="AQ361" s="3"/>
      <c r="AR361" s="3"/>
      <c r="AS361" s="3"/>
      <c r="AT361" s="3"/>
      <c r="AU361" s="229"/>
      <c r="AV361" s="318">
        <f t="shared" si="43"/>
        <v>231120.23002905038</v>
      </c>
      <c r="AW361" s="229"/>
      <c r="AX361" s="312"/>
      <c r="AY361" s="14"/>
      <c r="AZ361" s="14">
        <f t="shared" si="45"/>
        <v>15691.269444741381</v>
      </c>
      <c r="BA361" s="14">
        <f t="shared" si="44"/>
        <v>0.24601856823656565</v>
      </c>
      <c r="BB361" s="14">
        <f t="shared" si="33"/>
        <v>63780.83393141703</v>
      </c>
      <c r="BC361" s="14"/>
      <c r="BD361" s="14"/>
      <c r="BE361" s="14"/>
      <c r="BF361" s="14"/>
      <c r="BG361" s="14"/>
      <c r="BH361" s="14"/>
      <c r="BI361" s="14"/>
      <c r="BJ361" s="14"/>
      <c r="BK361" s="14"/>
      <c r="BL361" s="14"/>
      <c r="BM361" s="14"/>
      <c r="BN361" s="14"/>
      <c r="BO361" s="14"/>
      <c r="BP361" s="14"/>
      <c r="BQ361" s="14"/>
      <c r="BR361" s="14"/>
      <c r="BS361" s="14"/>
      <c r="BT361" s="14"/>
      <c r="BU361" s="14"/>
      <c r="BV361" s="14"/>
      <c r="BW361" s="14"/>
      <c r="BX361" s="14"/>
      <c r="BY361" s="14"/>
      <c r="BZ361" s="14"/>
      <c r="CA361" s="14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</row>
    <row r="362" spans="1:101" ht="14.25" customHeight="1" x14ac:dyDescent="0.2">
      <c r="A362" s="286"/>
      <c r="B362" s="52">
        <v>0.16022916239271878</v>
      </c>
      <c r="C362" s="288">
        <v>0.93810410467872152</v>
      </c>
      <c r="D362" s="288">
        <v>2.0355389380929512E-2</v>
      </c>
      <c r="E362" s="288">
        <v>2.1423998185650217E-2</v>
      </c>
      <c r="F362" s="289">
        <v>0.76675057995083473</v>
      </c>
      <c r="G362" s="92">
        <v>0.39793472222924831</v>
      </c>
      <c r="H362" s="288">
        <v>0.87507511122694948</v>
      </c>
      <c r="I362" s="288">
        <v>1.9642776236209913E-2</v>
      </c>
      <c r="J362" s="288">
        <v>1</v>
      </c>
      <c r="K362" s="288">
        <v>0.77194160345689478</v>
      </c>
      <c r="L362" s="290">
        <v>11214.626930295799</v>
      </c>
      <c r="M362" s="288">
        <v>0</v>
      </c>
      <c r="N362" s="288">
        <v>21796.256786673934</v>
      </c>
      <c r="O362" s="288">
        <v>966.53210419985567</v>
      </c>
      <c r="P362" s="288">
        <v>48235.011868290472</v>
      </c>
      <c r="Q362" s="291">
        <v>106296.6429983681</v>
      </c>
      <c r="R362" s="288">
        <v>15011.375008559884</v>
      </c>
      <c r="S362" s="288">
        <v>7845.3801575977704</v>
      </c>
      <c r="T362" s="290">
        <v>0.751</v>
      </c>
      <c r="U362" s="288">
        <v>0.75800000000000001</v>
      </c>
      <c r="V362" s="288">
        <v>0.723923076923077</v>
      </c>
      <c r="W362" s="288">
        <v>0.72750000000000004</v>
      </c>
      <c r="X362" s="288">
        <v>0.76</v>
      </c>
      <c r="Y362" s="288">
        <v>0</v>
      </c>
      <c r="Z362" s="289">
        <v>0</v>
      </c>
      <c r="AA362" s="229"/>
      <c r="AB362" s="52">
        <v>73544.162933299216</v>
      </c>
      <c r="AC362" s="288">
        <v>3.0810083990884976</v>
      </c>
      <c r="AD362" s="288">
        <v>67387.012898757428</v>
      </c>
      <c r="AE362" s="288">
        <v>3.1096072638188117</v>
      </c>
      <c r="AF362" s="288">
        <v>6157.150034541788</v>
      </c>
      <c r="AG362" s="289">
        <v>-2.8598864730314144E-2</v>
      </c>
      <c r="AH362" s="229"/>
      <c r="AI362" s="205">
        <f t="shared" si="40"/>
        <v>234556.67697555054</v>
      </c>
      <c r="AJ362" s="205">
        <f t="shared" si="41"/>
        <v>243573.71348312375</v>
      </c>
      <c r="AK362" s="205">
        <f t="shared" si="42"/>
        <v>-9017.0365075732025</v>
      </c>
      <c r="AL362" s="229"/>
      <c r="AM362" s="52">
        <f t="shared" si="30"/>
        <v>0</v>
      </c>
      <c r="AN362" s="52">
        <f t="shared" si="31"/>
        <v>1</v>
      </c>
      <c r="AO362" s="52">
        <f t="shared" si="32"/>
        <v>0</v>
      </c>
      <c r="AP362" s="229"/>
      <c r="AQ362" s="3"/>
      <c r="AR362" s="3"/>
      <c r="AS362" s="3"/>
      <c r="AT362" s="3"/>
      <c r="AU362" s="229"/>
      <c r="AV362" s="318">
        <f t="shared" si="43"/>
        <v>243573.71348312375</v>
      </c>
      <c r="AW362" s="229"/>
      <c r="AX362" s="312"/>
      <c r="AY362" s="14"/>
      <c r="AZ362" s="14">
        <f t="shared" si="45"/>
        <v>6157.150034541788</v>
      </c>
      <c r="BA362" s="14">
        <f t="shared" si="44"/>
        <v>-2.8598864730314144E-2</v>
      </c>
      <c r="BB362" s="14">
        <f t="shared" si="33"/>
        <v>-215293.51226363017</v>
      </c>
      <c r="BC362" s="14"/>
      <c r="BD362" s="14"/>
      <c r="BE362" s="14"/>
      <c r="BF362" s="14"/>
      <c r="BG362" s="14"/>
      <c r="BH362" s="14"/>
      <c r="BI362" s="14"/>
      <c r="BJ362" s="14"/>
      <c r="BK362" s="14"/>
      <c r="BL362" s="14"/>
      <c r="BM362" s="14"/>
      <c r="BN362" s="14"/>
      <c r="BO362" s="14"/>
      <c r="BP362" s="14"/>
      <c r="BQ362" s="14"/>
      <c r="BR362" s="14"/>
      <c r="BS362" s="14"/>
      <c r="BT362" s="14"/>
      <c r="BU362" s="14"/>
      <c r="BV362" s="14"/>
      <c r="BW362" s="14"/>
      <c r="BX362" s="14"/>
      <c r="BY362" s="14"/>
      <c r="BZ362" s="14"/>
      <c r="CA362" s="14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</row>
    <row r="363" spans="1:101" ht="14.25" customHeight="1" x14ac:dyDescent="0.2">
      <c r="A363" s="286"/>
      <c r="B363" s="52">
        <v>0.15791478743240794</v>
      </c>
      <c r="C363" s="288">
        <v>0.81203913700512476</v>
      </c>
      <c r="D363" s="288">
        <v>1.8966663605543332E-2</v>
      </c>
      <c r="E363" s="288">
        <v>1.138527238235104E-2</v>
      </c>
      <c r="F363" s="289">
        <v>0.7970622939756179</v>
      </c>
      <c r="G363" s="92">
        <v>0.45777081881239545</v>
      </c>
      <c r="H363" s="288">
        <v>0.17551809889183256</v>
      </c>
      <c r="I363" s="288">
        <v>1.176635277060142E-2</v>
      </c>
      <c r="J363" s="288">
        <v>0.9989839706986533</v>
      </c>
      <c r="K363" s="288">
        <v>0.78615273945899555</v>
      </c>
      <c r="L363" s="290">
        <v>11749.943273980403</v>
      </c>
      <c r="M363" s="288">
        <v>0</v>
      </c>
      <c r="N363" s="288">
        <v>24047.242670190557</v>
      </c>
      <c r="O363" s="288">
        <v>1280.8720936456982</v>
      </c>
      <c r="P363" s="288">
        <v>64210.867668172774</v>
      </c>
      <c r="Q363" s="291">
        <v>102778.70600913356</v>
      </c>
      <c r="R363" s="288">
        <v>16088.504280162235</v>
      </c>
      <c r="S363" s="288">
        <v>8521.6922634365037</v>
      </c>
      <c r="T363" s="290">
        <v>0.751</v>
      </c>
      <c r="U363" s="288">
        <v>0.75800000000000001</v>
      </c>
      <c r="V363" s="288">
        <v>0.723923076923077</v>
      </c>
      <c r="W363" s="288">
        <v>0.72750000000000004</v>
      </c>
      <c r="X363" s="288">
        <v>0.76</v>
      </c>
      <c r="Y363" s="288">
        <v>0</v>
      </c>
      <c r="Z363" s="289">
        <v>0</v>
      </c>
      <c r="AA363" s="229"/>
      <c r="AB363" s="52">
        <v>81585.621652695379</v>
      </c>
      <c r="AC363" s="288">
        <v>3.2217566875411108</v>
      </c>
      <c r="AD363" s="288">
        <v>69765.551813085651</v>
      </c>
      <c r="AE363" s="288">
        <v>3.175658918967776</v>
      </c>
      <c r="AF363" s="288">
        <v>11820.069839609729</v>
      </c>
      <c r="AG363" s="289">
        <v>4.6097768573334807E-2</v>
      </c>
      <c r="AH363" s="229"/>
      <c r="AI363" s="205">
        <f t="shared" si="40"/>
        <v>240590.04710141572</v>
      </c>
      <c r="AJ363" s="205">
        <f t="shared" si="41"/>
        <v>247800.34008369196</v>
      </c>
      <c r="AK363" s="205">
        <f t="shared" si="42"/>
        <v>-7210.292982276248</v>
      </c>
      <c r="AL363" s="229"/>
      <c r="AM363" s="52">
        <f t="shared" si="30"/>
        <v>0</v>
      </c>
      <c r="AN363" s="52">
        <f t="shared" si="31"/>
        <v>1</v>
      </c>
      <c r="AO363" s="52">
        <f t="shared" si="32"/>
        <v>0</v>
      </c>
      <c r="AP363" s="229"/>
      <c r="AQ363" s="3"/>
      <c r="AR363" s="3"/>
      <c r="AS363" s="3"/>
      <c r="AT363" s="3"/>
      <c r="AU363" s="229"/>
      <c r="AV363" s="318">
        <f t="shared" si="43"/>
        <v>247800.34008369196</v>
      </c>
      <c r="AW363" s="229"/>
      <c r="AX363" s="312"/>
      <c r="AY363" s="14"/>
      <c r="AZ363" s="14">
        <f t="shared" si="45"/>
        <v>11820.069839609729</v>
      </c>
      <c r="BA363" s="14">
        <f t="shared" si="44"/>
        <v>4.6097768573334807E-2</v>
      </c>
      <c r="BB363" s="14">
        <f t="shared" si="33"/>
        <v>256413.05871033054</v>
      </c>
      <c r="BC363" s="14"/>
      <c r="BD363" s="14"/>
      <c r="BE363" s="14"/>
      <c r="BF363" s="14"/>
      <c r="BG363" s="14"/>
      <c r="BH363" s="14"/>
      <c r="BI363" s="14"/>
      <c r="BJ363" s="14"/>
      <c r="BK363" s="14"/>
      <c r="BL363" s="14"/>
      <c r="BM363" s="14"/>
      <c r="BN363" s="14"/>
      <c r="BO363" s="14"/>
      <c r="BP363" s="14"/>
      <c r="BQ363" s="14"/>
      <c r="BR363" s="14"/>
      <c r="BS363" s="14"/>
      <c r="BT363" s="14"/>
      <c r="BU363" s="14"/>
      <c r="BV363" s="14"/>
      <c r="BW363" s="14"/>
      <c r="BX363" s="14"/>
      <c r="BY363" s="14"/>
      <c r="BZ363" s="14"/>
      <c r="CA363" s="14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</row>
    <row r="364" spans="1:101" ht="14.25" customHeight="1" x14ac:dyDescent="0.2">
      <c r="A364" s="286"/>
      <c r="B364" s="52">
        <v>0.15951998949837398</v>
      </c>
      <c r="C364" s="288">
        <v>0.2111997044347749</v>
      </c>
      <c r="D364" s="288">
        <v>9.6091983610814315E-3</v>
      </c>
      <c r="E364" s="288">
        <v>1.1553586995175289E-2</v>
      </c>
      <c r="F364" s="289">
        <v>0.81117965309523377</v>
      </c>
      <c r="G364" s="92">
        <v>0.38322917026643988</v>
      </c>
      <c r="H364" s="288">
        <v>0.20131948858485005</v>
      </c>
      <c r="I364" s="288">
        <v>6.417603787246224E-3</v>
      </c>
      <c r="J364" s="288">
        <v>0.99999999986397348</v>
      </c>
      <c r="K364" s="288">
        <v>0.76859395412600706</v>
      </c>
      <c r="L364" s="290">
        <v>17782.067778650104</v>
      </c>
      <c r="M364" s="288">
        <v>0</v>
      </c>
      <c r="N364" s="288">
        <v>19240.658048836172</v>
      </c>
      <c r="O364" s="288">
        <v>1602.2301166204402</v>
      </c>
      <c r="P364" s="288">
        <v>42291.079143452786</v>
      </c>
      <c r="Q364" s="291">
        <v>100574.903889357</v>
      </c>
      <c r="R364" s="288">
        <v>21248.601838268256</v>
      </c>
      <c r="S364" s="288">
        <v>7804.0405098867286</v>
      </c>
      <c r="T364" s="290">
        <v>0.751</v>
      </c>
      <c r="U364" s="288">
        <v>0.75800000000000001</v>
      </c>
      <c r="V364" s="288">
        <v>0.723923076923077</v>
      </c>
      <c r="W364" s="288">
        <v>0.72750000000000004</v>
      </c>
      <c r="X364" s="288">
        <v>0.76</v>
      </c>
      <c r="Y364" s="288">
        <v>0</v>
      </c>
      <c r="Z364" s="289">
        <v>0</v>
      </c>
      <c r="AA364" s="229"/>
      <c r="AB364" s="52">
        <v>81595.000289075717</v>
      </c>
      <c r="AC364" s="288">
        <v>3.2878006073875956</v>
      </c>
      <c r="AD364" s="288">
        <v>62463.291270362883</v>
      </c>
      <c r="AE364" s="288">
        <v>3.0940941178693873</v>
      </c>
      <c r="AF364" s="288">
        <v>19131.709018712834</v>
      </c>
      <c r="AG364" s="289">
        <v>0.19370648951820835</v>
      </c>
      <c r="AH364" s="229"/>
      <c r="AI364" s="205">
        <f t="shared" si="40"/>
        <v>247185.06044968386</v>
      </c>
      <c r="AJ364" s="205">
        <f t="shared" si="41"/>
        <v>246946.12051657584</v>
      </c>
      <c r="AK364" s="205">
        <f t="shared" si="42"/>
        <v>238.93993310800215</v>
      </c>
      <c r="AL364" s="229"/>
      <c r="AM364" s="52">
        <f t="shared" si="30"/>
        <v>1</v>
      </c>
      <c r="AN364" s="52">
        <f t="shared" si="31"/>
        <v>0</v>
      </c>
      <c r="AO364" s="52">
        <f t="shared" si="32"/>
        <v>1</v>
      </c>
      <c r="AP364" s="229"/>
      <c r="AQ364" s="3"/>
      <c r="AR364" s="3"/>
      <c r="AS364" s="3"/>
      <c r="AT364" s="3"/>
      <c r="AU364" s="229"/>
      <c r="AV364" s="318">
        <f t="shared" si="43"/>
        <v>247185.06044968386</v>
      </c>
      <c r="AW364" s="229"/>
      <c r="AX364" s="312"/>
      <c r="AY364" s="14"/>
      <c r="AZ364" s="14">
        <f t="shared" si="45"/>
        <v>19131.709018712834</v>
      </c>
      <c r="BA364" s="14">
        <f t="shared" si="44"/>
        <v>0.19370648951820835</v>
      </c>
      <c r="BB364" s="14">
        <f t="shared" si="33"/>
        <v>98766.484624741803</v>
      </c>
      <c r="BC364" s="14"/>
      <c r="BD364" s="14"/>
      <c r="BE364" s="14"/>
      <c r="BF364" s="14"/>
      <c r="BG364" s="14"/>
      <c r="BH364" s="14"/>
      <c r="BI364" s="14"/>
      <c r="BJ364" s="14"/>
      <c r="BK364" s="14"/>
      <c r="BL364" s="14"/>
      <c r="BM364" s="14"/>
      <c r="BN364" s="14"/>
      <c r="BO364" s="14"/>
      <c r="BP364" s="14"/>
      <c r="BQ364" s="14"/>
      <c r="BR364" s="14"/>
      <c r="BS364" s="14"/>
      <c r="BT364" s="14"/>
      <c r="BU364" s="14"/>
      <c r="BV364" s="14"/>
      <c r="BW364" s="14"/>
      <c r="BX364" s="14"/>
      <c r="BY364" s="14"/>
      <c r="BZ364" s="14"/>
      <c r="CA364" s="14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</row>
    <row r="365" spans="1:101" ht="14.25" customHeight="1" x14ac:dyDescent="0.2">
      <c r="A365" s="286"/>
      <c r="B365" s="52">
        <v>0.19320553850514077</v>
      </c>
      <c r="C365" s="288">
        <v>0.47603490741171917</v>
      </c>
      <c r="D365" s="288">
        <v>2.0447306286810685E-2</v>
      </c>
      <c r="E365" s="288">
        <v>1.4983420563909999E-2</v>
      </c>
      <c r="F365" s="289">
        <v>0.79862558537132644</v>
      </c>
      <c r="G365" s="92">
        <v>0.47443960386759032</v>
      </c>
      <c r="H365" s="288">
        <v>0.16691420723868847</v>
      </c>
      <c r="I365" s="288">
        <v>1.2272885925448288E-2</v>
      </c>
      <c r="J365" s="288">
        <v>0.99999847516434215</v>
      </c>
      <c r="K365" s="288">
        <v>0.77463082517770709</v>
      </c>
      <c r="L365" s="290">
        <v>8854.6087755941244</v>
      </c>
      <c r="M365" s="288">
        <v>0</v>
      </c>
      <c r="N365" s="288">
        <v>26970.248509005742</v>
      </c>
      <c r="O365" s="288">
        <v>1487.2819801652768</v>
      </c>
      <c r="P365" s="288">
        <v>29881.352832693032</v>
      </c>
      <c r="Q365" s="291">
        <v>96732.835223211659</v>
      </c>
      <c r="R365" s="288">
        <v>26155.862441785084</v>
      </c>
      <c r="S365" s="288">
        <v>10106.342312199366</v>
      </c>
      <c r="T365" s="290">
        <v>0.751</v>
      </c>
      <c r="U365" s="288">
        <v>0.75800000000000001</v>
      </c>
      <c r="V365" s="288">
        <v>0.723923076923077</v>
      </c>
      <c r="W365" s="288">
        <v>0.72750000000000004</v>
      </c>
      <c r="X365" s="288">
        <v>0.76</v>
      </c>
      <c r="Y365" s="288">
        <v>0</v>
      </c>
      <c r="Z365" s="289">
        <v>0</v>
      </c>
      <c r="AA365" s="229"/>
      <c r="AB365" s="52">
        <v>91856.25869893354</v>
      </c>
      <c r="AC365" s="288">
        <v>3.2290546959318407</v>
      </c>
      <c r="AD365" s="288">
        <v>81782.363325020677</v>
      </c>
      <c r="AE365" s="288">
        <v>3.1220820236972422</v>
      </c>
      <c r="AF365" s="288">
        <v>10073.895373912863</v>
      </c>
      <c r="AG365" s="289">
        <v>0.1069726722345985</v>
      </c>
      <c r="AH365" s="229"/>
      <c r="AI365" s="205">
        <f t="shared" si="40"/>
        <v>231049.21089425054</v>
      </c>
      <c r="AJ365" s="205">
        <f t="shared" si="41"/>
        <v>230425.83904470355</v>
      </c>
      <c r="AK365" s="205">
        <f t="shared" si="42"/>
        <v>623.37184954698751</v>
      </c>
      <c r="AL365" s="229"/>
      <c r="AM365" s="52">
        <f t="shared" si="30"/>
        <v>1</v>
      </c>
      <c r="AN365" s="52">
        <f t="shared" si="31"/>
        <v>0</v>
      </c>
      <c r="AO365" s="52">
        <f t="shared" si="32"/>
        <v>1</v>
      </c>
      <c r="AP365" s="229"/>
      <c r="AQ365" s="3"/>
      <c r="AR365" s="3"/>
      <c r="AS365" s="3"/>
      <c r="AT365" s="3"/>
      <c r="AU365" s="229"/>
      <c r="AV365" s="318">
        <f t="shared" si="43"/>
        <v>231049.21089425054</v>
      </c>
      <c r="AW365" s="229"/>
      <c r="AX365" s="312"/>
      <c r="AY365" s="14"/>
      <c r="AZ365" s="14">
        <f t="shared" si="45"/>
        <v>10073.895373912863</v>
      </c>
      <c r="BA365" s="14">
        <f t="shared" si="44"/>
        <v>0.1069726722345985</v>
      </c>
      <c r="BB365" s="14">
        <f t="shared" si="33"/>
        <v>94172.606549643926</v>
      </c>
      <c r="BC365" s="14"/>
      <c r="BD365" s="14"/>
      <c r="BE365" s="14"/>
      <c r="BF365" s="14"/>
      <c r="BG365" s="14"/>
      <c r="BH365" s="14"/>
      <c r="BI365" s="14"/>
      <c r="BJ365" s="14"/>
      <c r="BK365" s="14"/>
      <c r="BL365" s="14"/>
      <c r="BM365" s="14"/>
      <c r="BN365" s="14"/>
      <c r="BO365" s="14"/>
      <c r="BP365" s="14"/>
      <c r="BQ365" s="14"/>
      <c r="BR365" s="14"/>
      <c r="BS365" s="14"/>
      <c r="BT365" s="14"/>
      <c r="BU365" s="14"/>
      <c r="BV365" s="14"/>
      <c r="BW365" s="14"/>
      <c r="BX365" s="14"/>
      <c r="BY365" s="14"/>
      <c r="BZ365" s="14"/>
      <c r="CA365" s="14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</row>
    <row r="366" spans="1:101" ht="14.25" customHeight="1" x14ac:dyDescent="0.2">
      <c r="A366" s="286"/>
      <c r="B366" s="52">
        <v>0.16383994471435448</v>
      </c>
      <c r="C366" s="288">
        <v>0.25137059418297647</v>
      </c>
      <c r="D366" s="288">
        <v>1.4956353046995385E-2</v>
      </c>
      <c r="E366" s="288">
        <v>7.0414124239315048E-3</v>
      </c>
      <c r="F366" s="289">
        <v>0.78757227132464125</v>
      </c>
      <c r="G366" s="92">
        <v>0.37699475893083351</v>
      </c>
      <c r="H366" s="288">
        <v>0.80286096974324339</v>
      </c>
      <c r="I366" s="288">
        <v>9.2595922992536554E-3</v>
      </c>
      <c r="J366" s="288">
        <v>0.99998206569496462</v>
      </c>
      <c r="K366" s="288">
        <v>0.77996018471182338</v>
      </c>
      <c r="L366" s="290">
        <v>8301.351895765838</v>
      </c>
      <c r="M366" s="288">
        <v>0</v>
      </c>
      <c r="N366" s="288">
        <v>18301.953791575295</v>
      </c>
      <c r="O366" s="288">
        <v>1042.1297502897114</v>
      </c>
      <c r="P366" s="288">
        <v>29431.804773648928</v>
      </c>
      <c r="Q366" s="291">
        <v>84401.198201966952</v>
      </c>
      <c r="R366" s="288">
        <v>25926.164872303925</v>
      </c>
      <c r="S366" s="288">
        <v>8054.0057423959615</v>
      </c>
      <c r="T366" s="290">
        <v>0.751</v>
      </c>
      <c r="U366" s="288">
        <v>0.75800000000000001</v>
      </c>
      <c r="V366" s="288">
        <v>0.723923076923077</v>
      </c>
      <c r="W366" s="288">
        <v>0.72750000000000004</v>
      </c>
      <c r="X366" s="288">
        <v>0.76</v>
      </c>
      <c r="Y366" s="288">
        <v>0</v>
      </c>
      <c r="Z366" s="289">
        <v>0</v>
      </c>
      <c r="AA366" s="229"/>
      <c r="AB366" s="52">
        <v>72558.799140895106</v>
      </c>
      <c r="AC366" s="288">
        <v>3.1775361019229198</v>
      </c>
      <c r="AD366" s="288">
        <v>71290.695203026291</v>
      </c>
      <c r="AE366" s="288">
        <v>3.1468375327144269</v>
      </c>
      <c r="AF366" s="288">
        <v>1268.1039378688147</v>
      </c>
      <c r="AG366" s="289">
        <v>3.0698569208492898E-2</v>
      </c>
      <c r="AH366" s="229"/>
      <c r="AI366" s="205">
        <f t="shared" si="40"/>
        <v>245194.81105139686</v>
      </c>
      <c r="AJ366" s="205">
        <f t="shared" si="41"/>
        <v>243393.05806841637</v>
      </c>
      <c r="AK366" s="205">
        <f t="shared" si="42"/>
        <v>1801.7529829804753</v>
      </c>
      <c r="AL366" s="229"/>
      <c r="AM366" s="52">
        <f t="shared" si="30"/>
        <v>1</v>
      </c>
      <c r="AN366" s="52">
        <f t="shared" si="31"/>
        <v>0</v>
      </c>
      <c r="AO366" s="52">
        <f t="shared" si="32"/>
        <v>1</v>
      </c>
      <c r="AP366" s="229"/>
      <c r="AQ366" s="3"/>
      <c r="AR366" s="3"/>
      <c r="AS366" s="3"/>
      <c r="AT366" s="3"/>
      <c r="AU366" s="229"/>
      <c r="AV366" s="318">
        <f t="shared" si="43"/>
        <v>245194.81105139686</v>
      </c>
      <c r="AW366" s="229"/>
      <c r="AX366" s="312"/>
      <c r="AY366" s="14"/>
      <c r="AZ366" s="14">
        <f t="shared" si="45"/>
        <v>1268.1039378688147</v>
      </c>
      <c r="BA366" s="14">
        <f t="shared" si="44"/>
        <v>3.0698569208492898E-2</v>
      </c>
      <c r="BB366" s="14">
        <f t="shared" si="33"/>
        <v>41308.242389289859</v>
      </c>
      <c r="BC366" s="14"/>
      <c r="BD366" s="14"/>
      <c r="BE366" s="14"/>
      <c r="BF366" s="14"/>
      <c r="BG366" s="14"/>
      <c r="BH366" s="14"/>
      <c r="BI366" s="14"/>
      <c r="BJ366" s="14"/>
      <c r="BK366" s="14"/>
      <c r="BL366" s="14"/>
      <c r="BM366" s="14"/>
      <c r="BN366" s="14"/>
      <c r="BO366" s="14"/>
      <c r="BP366" s="14"/>
      <c r="BQ366" s="14"/>
      <c r="BR366" s="14"/>
      <c r="BS366" s="14"/>
      <c r="BT366" s="14"/>
      <c r="BU366" s="14"/>
      <c r="BV366" s="14"/>
      <c r="BW366" s="14"/>
      <c r="BX366" s="14"/>
      <c r="BY366" s="14"/>
      <c r="BZ366" s="14"/>
      <c r="CA366" s="14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</row>
    <row r="367" spans="1:101" ht="14.25" customHeight="1" x14ac:dyDescent="0.2">
      <c r="A367" s="286"/>
      <c r="B367" s="52">
        <v>0.14314386615680533</v>
      </c>
      <c r="C367" s="288">
        <v>0.84570676077122742</v>
      </c>
      <c r="D367" s="288">
        <v>1.0076351609685874E-2</v>
      </c>
      <c r="E367" s="288">
        <v>3.2291032915902629E-2</v>
      </c>
      <c r="F367" s="289">
        <v>0.81106969053638944</v>
      </c>
      <c r="G367" s="92">
        <v>0.41304098874569994</v>
      </c>
      <c r="H367" s="288">
        <v>0.57995322046433007</v>
      </c>
      <c r="I367" s="288">
        <v>4.1823507314581003E-3</v>
      </c>
      <c r="J367" s="288">
        <v>0.99999999294217901</v>
      </c>
      <c r="K367" s="288">
        <v>0.77446171984303847</v>
      </c>
      <c r="L367" s="290">
        <v>7682.0250218881411</v>
      </c>
      <c r="M367" s="288">
        <v>0</v>
      </c>
      <c r="N367" s="288">
        <v>21566.430672101436</v>
      </c>
      <c r="O367" s="288">
        <v>1349.9263852349713</v>
      </c>
      <c r="P367" s="288">
        <v>35319.443001115949</v>
      </c>
      <c r="Q367" s="291">
        <v>92742.125070066366</v>
      </c>
      <c r="R367" s="288">
        <v>23563.003681054946</v>
      </c>
      <c r="S367" s="288">
        <v>7974.3249958899141</v>
      </c>
      <c r="T367" s="290">
        <v>0.751</v>
      </c>
      <c r="U367" s="288">
        <v>0.75800000000000001</v>
      </c>
      <c r="V367" s="288">
        <v>0.723923076923077</v>
      </c>
      <c r="W367" s="288">
        <v>0.72750000000000004</v>
      </c>
      <c r="X367" s="288">
        <v>0.76</v>
      </c>
      <c r="Y367" s="288">
        <v>0</v>
      </c>
      <c r="Z367" s="289">
        <v>0</v>
      </c>
      <c r="AA367" s="229"/>
      <c r="AB367" s="52">
        <v>74909.50320793147</v>
      </c>
      <c r="AC367" s="288">
        <v>3.2872849718687855</v>
      </c>
      <c r="AD367" s="288">
        <v>68053.619072938745</v>
      </c>
      <c r="AE367" s="288">
        <v>3.1212972421151046</v>
      </c>
      <c r="AF367" s="288">
        <v>6855.8841349927243</v>
      </c>
      <c r="AG367" s="289">
        <v>0.16598772975368092</v>
      </c>
      <c r="AH367" s="229"/>
      <c r="AI367" s="205">
        <f t="shared" si="40"/>
        <v>253818.99397894711</v>
      </c>
      <c r="AJ367" s="205">
        <f t="shared" si="41"/>
        <v>244076.1051385717</v>
      </c>
      <c r="AK367" s="205">
        <f t="shared" si="42"/>
        <v>9742.8888403753663</v>
      </c>
      <c r="AL367" s="229"/>
      <c r="AM367" s="52">
        <f t="shared" si="30"/>
        <v>1</v>
      </c>
      <c r="AN367" s="52">
        <f t="shared" si="31"/>
        <v>0</v>
      </c>
      <c r="AO367" s="52">
        <f t="shared" si="32"/>
        <v>1</v>
      </c>
      <c r="AP367" s="229"/>
      <c r="AQ367" s="3"/>
      <c r="AR367" s="3"/>
      <c r="AS367" s="3"/>
      <c r="AT367" s="3"/>
      <c r="AU367" s="229"/>
      <c r="AV367" s="318">
        <f t="shared" si="43"/>
        <v>253818.99397894711</v>
      </c>
      <c r="AW367" s="229"/>
      <c r="AX367" s="312"/>
      <c r="AY367" s="14"/>
      <c r="AZ367" s="14">
        <f t="shared" si="45"/>
        <v>6855.8841349927243</v>
      </c>
      <c r="BA367" s="14">
        <f t="shared" si="44"/>
        <v>0.16598772975368092</v>
      </c>
      <c r="BB367" s="14">
        <f t="shared" si="33"/>
        <v>41303.559878592103</v>
      </c>
      <c r="BC367" s="14"/>
      <c r="BD367" s="14"/>
      <c r="BE367" s="14"/>
      <c r="BF367" s="14"/>
      <c r="BG367" s="14"/>
      <c r="BH367" s="14"/>
      <c r="BI367" s="14"/>
      <c r="BJ367" s="14"/>
      <c r="BK367" s="14"/>
      <c r="BL367" s="14"/>
      <c r="BM367" s="14"/>
      <c r="BN367" s="14"/>
      <c r="BO367" s="14"/>
      <c r="BP367" s="14"/>
      <c r="BQ367" s="14"/>
      <c r="BR367" s="14"/>
      <c r="BS367" s="14"/>
      <c r="BT367" s="14"/>
      <c r="BU367" s="14"/>
      <c r="BV367" s="14"/>
      <c r="BW367" s="14"/>
      <c r="BX367" s="14"/>
      <c r="BY367" s="14"/>
      <c r="BZ367" s="14"/>
      <c r="CA367" s="14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</row>
    <row r="368" spans="1:101" ht="14.25" customHeight="1" x14ac:dyDescent="0.2">
      <c r="A368" s="286"/>
      <c r="B368" s="52">
        <v>0.17628614108955321</v>
      </c>
      <c r="C368" s="288">
        <v>0.36365114088791151</v>
      </c>
      <c r="D368" s="288">
        <v>1.1946635682938786E-2</v>
      </c>
      <c r="E368" s="288">
        <v>1.4058261483843796E-2</v>
      </c>
      <c r="F368" s="289">
        <v>0.81506787453560081</v>
      </c>
      <c r="G368" s="92">
        <v>0.42063800345533808</v>
      </c>
      <c r="H368" s="288">
        <v>0.98290648534942804</v>
      </c>
      <c r="I368" s="288">
        <v>1.0047994021261443E-2</v>
      </c>
      <c r="J368" s="288">
        <v>0.99999999999727218</v>
      </c>
      <c r="K368" s="288">
        <v>0.72482113259199143</v>
      </c>
      <c r="L368" s="290">
        <v>11750.025482582401</v>
      </c>
      <c r="M368" s="288">
        <v>0</v>
      </c>
      <c r="N368" s="288">
        <v>13368.655390854325</v>
      </c>
      <c r="O368" s="288">
        <v>1683.2610173067453</v>
      </c>
      <c r="P368" s="288">
        <v>52963.348846006193</v>
      </c>
      <c r="Q368" s="291">
        <v>83166.265942659054</v>
      </c>
      <c r="R368" s="288">
        <v>24924.275176453844</v>
      </c>
      <c r="S368" s="288">
        <v>7664.3825110760099</v>
      </c>
      <c r="T368" s="290">
        <v>0.751</v>
      </c>
      <c r="U368" s="288">
        <v>0.75800000000000001</v>
      </c>
      <c r="V368" s="288">
        <v>0.723923076923077</v>
      </c>
      <c r="W368" s="288">
        <v>0.72750000000000004</v>
      </c>
      <c r="X368" s="288">
        <v>0.76</v>
      </c>
      <c r="Y368" s="288">
        <v>0</v>
      </c>
      <c r="Z368" s="289">
        <v>0</v>
      </c>
      <c r="AA368" s="229"/>
      <c r="AB368" s="52">
        <v>75681.186291015809</v>
      </c>
      <c r="AC368" s="288">
        <v>3.3060454149265888</v>
      </c>
      <c r="AD368" s="288">
        <v>66974.546943876063</v>
      </c>
      <c r="AE368" s="288">
        <v>2.8928746294549681</v>
      </c>
      <c r="AF368" s="288">
        <v>8706.639347139746</v>
      </c>
      <c r="AG368" s="289">
        <v>0.41317078547162067</v>
      </c>
      <c r="AH368" s="229"/>
      <c r="AI368" s="205">
        <f t="shared" si="40"/>
        <v>254923.35520164308</v>
      </c>
      <c r="AJ368" s="205">
        <f t="shared" si="41"/>
        <v>222312.91600162076</v>
      </c>
      <c r="AK368" s="205">
        <f t="shared" si="42"/>
        <v>32610.439200022323</v>
      </c>
      <c r="AL368" s="229"/>
      <c r="AM368" s="52">
        <f t="shared" si="30"/>
        <v>1</v>
      </c>
      <c r="AN368" s="52">
        <f t="shared" si="31"/>
        <v>0</v>
      </c>
      <c r="AO368" s="52">
        <f t="shared" si="32"/>
        <v>1</v>
      </c>
      <c r="AP368" s="229"/>
      <c r="AQ368" s="3"/>
      <c r="AR368" s="3"/>
      <c r="AS368" s="3"/>
      <c r="AT368" s="3"/>
      <c r="AU368" s="229"/>
      <c r="AV368" s="318">
        <f t="shared" si="43"/>
        <v>254923.35520164308</v>
      </c>
      <c r="AW368" s="229"/>
      <c r="AX368" s="312"/>
      <c r="AY368" s="14"/>
      <c r="AZ368" s="14">
        <f t="shared" si="45"/>
        <v>8706.639347139746</v>
      </c>
      <c r="BA368" s="14">
        <f t="shared" si="44"/>
        <v>0.41317078547162067</v>
      </c>
      <c r="BB368" s="14">
        <f t="shared" si="33"/>
        <v>21072.737118142097</v>
      </c>
      <c r="BC368" s="14"/>
      <c r="BD368" s="14"/>
      <c r="BE368" s="14"/>
      <c r="BF368" s="14"/>
      <c r="BG368" s="14"/>
      <c r="BH368" s="14"/>
      <c r="BI368" s="14"/>
      <c r="BJ368" s="14"/>
      <c r="BK368" s="14"/>
      <c r="BL368" s="14"/>
      <c r="BM368" s="14"/>
      <c r="BN368" s="14"/>
      <c r="BO368" s="14"/>
      <c r="BP368" s="14"/>
      <c r="BQ368" s="14"/>
      <c r="BR368" s="14"/>
      <c r="BS368" s="14"/>
      <c r="BT368" s="14"/>
      <c r="BU368" s="14"/>
      <c r="BV368" s="14"/>
      <c r="BW368" s="14"/>
      <c r="BX368" s="14"/>
      <c r="BY368" s="14"/>
      <c r="BZ368" s="14"/>
      <c r="CA368" s="14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</row>
    <row r="369" spans="1:101" ht="14.25" customHeight="1" x14ac:dyDescent="0.2">
      <c r="A369" s="286"/>
      <c r="B369" s="52">
        <v>0.1408453290867126</v>
      </c>
      <c r="C369" s="288">
        <v>0.42099926005987565</v>
      </c>
      <c r="D369" s="288">
        <v>1.5692497860249621E-2</v>
      </c>
      <c r="E369" s="288">
        <v>9.2919159615976119E-3</v>
      </c>
      <c r="F369" s="289">
        <v>0.79753653772669397</v>
      </c>
      <c r="G369" s="92">
        <v>0.38028283723266793</v>
      </c>
      <c r="H369" s="288">
        <v>0.23731566618920988</v>
      </c>
      <c r="I369" s="288">
        <v>1.2812461795250715E-2</v>
      </c>
      <c r="J369" s="288">
        <v>0.99364848331337685</v>
      </c>
      <c r="K369" s="288">
        <v>0.82045901515673147</v>
      </c>
      <c r="L369" s="290">
        <v>13941.579605444009</v>
      </c>
      <c r="M369" s="288">
        <v>0</v>
      </c>
      <c r="N369" s="288">
        <v>22974.619952299763</v>
      </c>
      <c r="O369" s="288">
        <v>1203.5021643706514</v>
      </c>
      <c r="P369" s="288">
        <v>27158.553386167783</v>
      </c>
      <c r="Q369" s="291">
        <v>70174.750468475409</v>
      </c>
      <c r="R369" s="288">
        <v>35524.997591789535</v>
      </c>
      <c r="S369" s="288">
        <v>10677.09678508204</v>
      </c>
      <c r="T369" s="290">
        <v>0.751</v>
      </c>
      <c r="U369" s="288">
        <v>0.75800000000000001</v>
      </c>
      <c r="V369" s="288">
        <v>0.723923076923077</v>
      </c>
      <c r="W369" s="288">
        <v>0.72750000000000004</v>
      </c>
      <c r="X369" s="288">
        <v>0.76</v>
      </c>
      <c r="Y369" s="288">
        <v>0</v>
      </c>
      <c r="Z369" s="289">
        <v>0</v>
      </c>
      <c r="AA369" s="229"/>
      <c r="AB369" s="52">
        <v>100695.3745033392</v>
      </c>
      <c r="AC369" s="288">
        <v>3.2239702234699257</v>
      </c>
      <c r="AD369" s="288">
        <v>91632.055795666587</v>
      </c>
      <c r="AE369" s="288">
        <v>3.3364221684942756</v>
      </c>
      <c r="AF369" s="288">
        <v>9063.3187076726172</v>
      </c>
      <c r="AG369" s="289">
        <v>-0.11245194502434996</v>
      </c>
      <c r="AH369" s="229"/>
      <c r="AI369" s="205">
        <f t="shared" si="40"/>
        <v>221701.64784365337</v>
      </c>
      <c r="AJ369" s="205">
        <f t="shared" si="41"/>
        <v>242010.16105376097</v>
      </c>
      <c r="AK369" s="205">
        <f t="shared" si="42"/>
        <v>-20308.513210107616</v>
      </c>
      <c r="AL369" s="229"/>
      <c r="AM369" s="52">
        <f t="shared" si="30"/>
        <v>0</v>
      </c>
      <c r="AN369" s="52">
        <f t="shared" si="31"/>
        <v>1</v>
      </c>
      <c r="AO369" s="52">
        <f t="shared" si="32"/>
        <v>0</v>
      </c>
      <c r="AP369" s="229"/>
      <c r="AQ369" s="3"/>
      <c r="AR369" s="3"/>
      <c r="AS369" s="3"/>
      <c r="AT369" s="3"/>
      <c r="AU369" s="229"/>
      <c r="AV369" s="318">
        <f t="shared" si="43"/>
        <v>242010.16105376097</v>
      </c>
      <c r="AW369" s="229"/>
      <c r="AX369" s="312"/>
      <c r="AY369" s="14"/>
      <c r="AZ369" s="14">
        <f t="shared" si="45"/>
        <v>9063.3187076726172</v>
      </c>
      <c r="BA369" s="14">
        <f t="shared" si="44"/>
        <v>-0.11245194502434996</v>
      </c>
      <c r="BB369" s="14">
        <f t="shared" si="33"/>
        <v>-80597.260507233354</v>
      </c>
      <c r="BC369" s="14"/>
      <c r="BD369" s="14"/>
      <c r="BE369" s="14"/>
      <c r="BF369" s="14"/>
      <c r="BG369" s="14"/>
      <c r="BH369" s="14"/>
      <c r="BI369" s="14"/>
      <c r="BJ369" s="14"/>
      <c r="BK369" s="14"/>
      <c r="BL369" s="14"/>
      <c r="BM369" s="14"/>
      <c r="BN369" s="14"/>
      <c r="BO369" s="14"/>
      <c r="BP369" s="14"/>
      <c r="BQ369" s="14"/>
      <c r="BR369" s="14"/>
      <c r="BS369" s="14"/>
      <c r="BT369" s="14"/>
      <c r="BU369" s="14"/>
      <c r="BV369" s="14"/>
      <c r="BW369" s="14"/>
      <c r="BX369" s="14"/>
      <c r="BY369" s="14"/>
      <c r="BZ369" s="14"/>
      <c r="CA369" s="14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</row>
    <row r="370" spans="1:101" ht="14.25" customHeight="1" x14ac:dyDescent="0.2">
      <c r="A370" s="286"/>
      <c r="B370" s="52">
        <v>0.17098464062634477</v>
      </c>
      <c r="C370" s="288">
        <v>0.80964840000515037</v>
      </c>
      <c r="D370" s="288">
        <v>2.0353788280681018E-2</v>
      </c>
      <c r="E370" s="288">
        <v>5.4359803826547889E-3</v>
      </c>
      <c r="F370" s="289">
        <v>0.80427120344864877</v>
      </c>
      <c r="G370" s="92">
        <v>0.42488632761821898</v>
      </c>
      <c r="H370" s="288">
        <v>9.904733044035377E-2</v>
      </c>
      <c r="I370" s="288">
        <v>8.6353829014577388E-3</v>
      </c>
      <c r="J370" s="288">
        <v>1</v>
      </c>
      <c r="K370" s="288">
        <v>0.77450844149668796</v>
      </c>
      <c r="L370" s="290">
        <v>11917.45066356632</v>
      </c>
      <c r="M370" s="288">
        <v>0</v>
      </c>
      <c r="N370" s="288">
        <v>24764.600983064156</v>
      </c>
      <c r="O370" s="288">
        <v>1229.0478622920295</v>
      </c>
      <c r="P370" s="288">
        <v>39032.416338812334</v>
      </c>
      <c r="Q370" s="291">
        <v>102016.35138522577</v>
      </c>
      <c r="R370" s="288">
        <v>29762.710260041884</v>
      </c>
      <c r="S370" s="288">
        <v>7010.9499240843443</v>
      </c>
      <c r="T370" s="290">
        <v>0.751</v>
      </c>
      <c r="U370" s="288">
        <v>0.75800000000000001</v>
      </c>
      <c r="V370" s="288">
        <v>0.723923076923077</v>
      </c>
      <c r="W370" s="288">
        <v>0.72750000000000004</v>
      </c>
      <c r="X370" s="288">
        <v>0.76</v>
      </c>
      <c r="Y370" s="288">
        <v>0</v>
      </c>
      <c r="Z370" s="289">
        <v>0</v>
      </c>
      <c r="AA370" s="229"/>
      <c r="AB370" s="52">
        <v>72440.184197871116</v>
      </c>
      <c r="AC370" s="288">
        <v>3.2554423964836552</v>
      </c>
      <c r="AD370" s="288">
        <v>56606.597976765348</v>
      </c>
      <c r="AE370" s="288">
        <v>3.1215140627806051</v>
      </c>
      <c r="AF370" s="288">
        <v>15833.586221105768</v>
      </c>
      <c r="AG370" s="289">
        <v>0.13392833370305013</v>
      </c>
      <c r="AH370" s="229"/>
      <c r="AI370" s="205">
        <f t="shared" si="40"/>
        <v>253104.0554504944</v>
      </c>
      <c r="AJ370" s="205">
        <f t="shared" si="41"/>
        <v>255544.80830129515</v>
      </c>
      <c r="AK370" s="205">
        <f t="shared" si="42"/>
        <v>-2440.7528508007563</v>
      </c>
      <c r="AL370" s="229"/>
      <c r="AM370" s="52">
        <f t="shared" si="30"/>
        <v>0</v>
      </c>
      <c r="AN370" s="52">
        <f t="shared" si="31"/>
        <v>1</v>
      </c>
      <c r="AO370" s="52">
        <f t="shared" si="32"/>
        <v>0</v>
      </c>
      <c r="AP370" s="229"/>
      <c r="AQ370" s="3"/>
      <c r="AR370" s="3"/>
      <c r="AS370" s="3"/>
      <c r="AT370" s="3"/>
      <c r="AU370" s="229"/>
      <c r="AV370" s="318">
        <f t="shared" si="43"/>
        <v>255544.80830129515</v>
      </c>
      <c r="AW370" s="229"/>
      <c r="AX370" s="312"/>
      <c r="AY370" s="14"/>
      <c r="AZ370" s="14">
        <f t="shared" si="45"/>
        <v>15833.586221105768</v>
      </c>
      <c r="BA370" s="14">
        <f t="shared" si="44"/>
        <v>0.13392833370305013</v>
      </c>
      <c r="BB370" s="14">
        <f t="shared" si="33"/>
        <v>118224.3203011281</v>
      </c>
      <c r="BC370" s="14"/>
      <c r="BD370" s="14"/>
      <c r="BE370" s="14"/>
      <c r="BF370" s="14"/>
      <c r="BG370" s="14"/>
      <c r="BH370" s="14"/>
      <c r="BI370" s="14"/>
      <c r="BJ370" s="14"/>
      <c r="BK370" s="14"/>
      <c r="BL370" s="14"/>
      <c r="BM370" s="14"/>
      <c r="BN370" s="14"/>
      <c r="BO370" s="14"/>
      <c r="BP370" s="14"/>
      <c r="BQ370" s="14"/>
      <c r="BR370" s="14"/>
      <c r="BS370" s="14"/>
      <c r="BT370" s="14"/>
      <c r="BU370" s="14"/>
      <c r="BV370" s="14"/>
      <c r="BW370" s="14"/>
      <c r="BX370" s="14"/>
      <c r="BY370" s="14"/>
      <c r="BZ370" s="14"/>
      <c r="CA370" s="14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</row>
    <row r="371" spans="1:101" ht="14.25" customHeight="1" x14ac:dyDescent="0.2">
      <c r="A371" s="286"/>
      <c r="B371" s="52">
        <v>0.16922112724799299</v>
      </c>
      <c r="C371" s="288">
        <v>2.1014653376858372E-2</v>
      </c>
      <c r="D371" s="288">
        <v>1.5801834714509799E-2</v>
      </c>
      <c r="E371" s="288">
        <v>1.2995746883117594E-2</v>
      </c>
      <c r="F371" s="289">
        <v>0.75084830151882531</v>
      </c>
      <c r="G371" s="92">
        <v>0.31625402487105259</v>
      </c>
      <c r="H371" s="288">
        <v>0.42480388412640119</v>
      </c>
      <c r="I371" s="288">
        <v>1.8477570926033415E-2</v>
      </c>
      <c r="J371" s="288">
        <v>0.99999998985935146</v>
      </c>
      <c r="K371" s="288">
        <v>0.72860396850570563</v>
      </c>
      <c r="L371" s="290">
        <v>8935.9083147803376</v>
      </c>
      <c r="M371" s="288">
        <v>0</v>
      </c>
      <c r="N371" s="288">
        <v>16923.643613014912</v>
      </c>
      <c r="O371" s="288">
        <v>1232.7963997620607</v>
      </c>
      <c r="P371" s="288">
        <v>54639.648302691261</v>
      </c>
      <c r="Q371" s="291">
        <v>92816.446268935892</v>
      </c>
      <c r="R371" s="288">
        <v>34049.921607116194</v>
      </c>
      <c r="S371" s="288">
        <v>6993.29510167229</v>
      </c>
      <c r="T371" s="290">
        <v>0.751</v>
      </c>
      <c r="U371" s="288">
        <v>0.75800000000000001</v>
      </c>
      <c r="V371" s="288">
        <v>0.723923076923077</v>
      </c>
      <c r="W371" s="288">
        <v>0.72750000000000004</v>
      </c>
      <c r="X371" s="288">
        <v>0.76</v>
      </c>
      <c r="Y371" s="288">
        <v>0</v>
      </c>
      <c r="Z371" s="289">
        <v>0</v>
      </c>
      <c r="AA371" s="229"/>
      <c r="AB371" s="52">
        <v>61512.236664103533</v>
      </c>
      <c r="AC371" s="288">
        <v>3.0077447007546914</v>
      </c>
      <c r="AD371" s="288">
        <v>56653.008565235032</v>
      </c>
      <c r="AE371" s="288">
        <v>2.9101447415459831</v>
      </c>
      <c r="AF371" s="288">
        <v>4859.2280988685015</v>
      </c>
      <c r="AG371" s="289">
        <v>9.7599959208708231E-2</v>
      </c>
      <c r="AH371" s="229"/>
      <c r="AI371" s="205">
        <f t="shared" si="40"/>
        <v>239262.2334113656</v>
      </c>
      <c r="AJ371" s="205">
        <f t="shared" si="41"/>
        <v>234361.46558936327</v>
      </c>
      <c r="AK371" s="205">
        <f t="shared" si="42"/>
        <v>4900.7678220023208</v>
      </c>
      <c r="AL371" s="229"/>
      <c r="AM371" s="52">
        <f t="shared" si="30"/>
        <v>1</v>
      </c>
      <c r="AN371" s="52">
        <f t="shared" si="31"/>
        <v>0</v>
      </c>
      <c r="AO371" s="52">
        <f t="shared" si="32"/>
        <v>1</v>
      </c>
      <c r="AP371" s="229"/>
      <c r="AQ371" s="3"/>
      <c r="AR371" s="3"/>
      <c r="AS371" s="3"/>
      <c r="AT371" s="3"/>
      <c r="AU371" s="229"/>
      <c r="AV371" s="318">
        <f t="shared" si="43"/>
        <v>239262.2334113656</v>
      </c>
      <c r="AW371" s="229"/>
      <c r="AX371" s="312"/>
      <c r="AY371" s="14"/>
      <c r="AZ371" s="14">
        <f t="shared" si="45"/>
        <v>4859.2280988685015</v>
      </c>
      <c r="BA371" s="14">
        <f t="shared" si="44"/>
        <v>9.7599959208708231E-2</v>
      </c>
      <c r="BB371" s="14">
        <f t="shared" si="33"/>
        <v>49787.193952381727</v>
      </c>
      <c r="BC371" s="14"/>
      <c r="BD371" s="14"/>
      <c r="BE371" s="14"/>
      <c r="BF371" s="14"/>
      <c r="BG371" s="14"/>
      <c r="BH371" s="14"/>
      <c r="BI371" s="14"/>
      <c r="BJ371" s="14"/>
      <c r="BK371" s="14"/>
      <c r="BL371" s="14"/>
      <c r="BM371" s="14"/>
      <c r="BN371" s="14"/>
      <c r="BO371" s="14"/>
      <c r="BP371" s="14"/>
      <c r="BQ371" s="14"/>
      <c r="BR371" s="14"/>
      <c r="BS371" s="14"/>
      <c r="BT371" s="14"/>
      <c r="BU371" s="14"/>
      <c r="BV371" s="14"/>
      <c r="BW371" s="14"/>
      <c r="BX371" s="14"/>
      <c r="BY371" s="14"/>
      <c r="BZ371" s="14"/>
      <c r="CA371" s="14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</row>
    <row r="372" spans="1:101" ht="14.25" customHeight="1" x14ac:dyDescent="0.2">
      <c r="A372" s="286"/>
      <c r="B372" s="52">
        <v>0.18538252632738161</v>
      </c>
      <c r="C372" s="288">
        <v>0.10192976762661721</v>
      </c>
      <c r="D372" s="288">
        <v>1.189545888414531E-2</v>
      </c>
      <c r="E372" s="288">
        <v>9.3695298897541763E-3</v>
      </c>
      <c r="F372" s="289">
        <v>0.75394935424580511</v>
      </c>
      <c r="G372" s="92">
        <v>0.35725507603123824</v>
      </c>
      <c r="H372" s="288">
        <v>0.8695694884556322</v>
      </c>
      <c r="I372" s="288">
        <v>6.346493315802281E-3</v>
      </c>
      <c r="J372" s="288">
        <v>0.96829172250995521</v>
      </c>
      <c r="K372" s="288">
        <v>0.70943572048017367</v>
      </c>
      <c r="L372" s="290">
        <v>16121.000249422321</v>
      </c>
      <c r="M372" s="288">
        <v>0</v>
      </c>
      <c r="N372" s="288">
        <v>22729.661363042189</v>
      </c>
      <c r="O372" s="288">
        <v>1381.4334028939552</v>
      </c>
      <c r="P372" s="288">
        <v>51001.26164947381</v>
      </c>
      <c r="Q372" s="291">
        <v>118162.20338603038</v>
      </c>
      <c r="R372" s="288">
        <v>33383.985681443992</v>
      </c>
      <c r="S372" s="288">
        <v>5375.9797762048802</v>
      </c>
      <c r="T372" s="290">
        <v>0.751</v>
      </c>
      <c r="U372" s="288">
        <v>0.75800000000000001</v>
      </c>
      <c r="V372" s="288">
        <v>0.723923076923077</v>
      </c>
      <c r="W372" s="288">
        <v>0.72750000000000004</v>
      </c>
      <c r="X372" s="288">
        <v>0.76</v>
      </c>
      <c r="Y372" s="288">
        <v>0</v>
      </c>
      <c r="Z372" s="289">
        <v>0</v>
      </c>
      <c r="AA372" s="229"/>
      <c r="AB372" s="52">
        <v>57406.120996551515</v>
      </c>
      <c r="AC372" s="288">
        <v>3.0220004889037662</v>
      </c>
      <c r="AD372" s="288">
        <v>49266.802677106265</v>
      </c>
      <c r="AE372" s="288">
        <v>2.8228666871569232</v>
      </c>
      <c r="AF372" s="288">
        <v>8139.3183194452504</v>
      </c>
      <c r="AG372" s="289">
        <v>0.19913380174684292</v>
      </c>
      <c r="AH372" s="229"/>
      <c r="AI372" s="205">
        <f t="shared" si="40"/>
        <v>244793.92789382511</v>
      </c>
      <c r="AJ372" s="205">
        <f t="shared" si="41"/>
        <v>233019.86603858604</v>
      </c>
      <c r="AK372" s="205">
        <f t="shared" si="42"/>
        <v>11774.061855239041</v>
      </c>
      <c r="AL372" s="229"/>
      <c r="AM372" s="52">
        <f t="shared" si="30"/>
        <v>1</v>
      </c>
      <c r="AN372" s="52">
        <f t="shared" si="31"/>
        <v>0</v>
      </c>
      <c r="AO372" s="52">
        <f t="shared" si="32"/>
        <v>1</v>
      </c>
      <c r="AP372" s="229"/>
      <c r="AQ372" s="3"/>
      <c r="AR372" s="3"/>
      <c r="AS372" s="3"/>
      <c r="AT372" s="3"/>
      <c r="AU372" s="229"/>
      <c r="AV372" s="318">
        <f t="shared" si="43"/>
        <v>244793.92789382511</v>
      </c>
      <c r="AW372" s="229"/>
      <c r="AX372" s="312"/>
      <c r="AY372" s="14"/>
      <c r="AZ372" s="14">
        <f t="shared" si="45"/>
        <v>8139.3183194452504</v>
      </c>
      <c r="BA372" s="14">
        <f t="shared" si="44"/>
        <v>0.19913380174684292</v>
      </c>
      <c r="BB372" s="14">
        <f t="shared" si="33"/>
        <v>40873.614866212898</v>
      </c>
      <c r="BC372" s="14"/>
      <c r="BD372" s="14"/>
      <c r="BE372" s="14"/>
      <c r="BF372" s="14"/>
      <c r="BG372" s="14"/>
      <c r="BH372" s="14"/>
      <c r="BI372" s="14"/>
      <c r="BJ372" s="14"/>
      <c r="BK372" s="14"/>
      <c r="BL372" s="14"/>
      <c r="BM372" s="14"/>
      <c r="BN372" s="14"/>
      <c r="BO372" s="14"/>
      <c r="BP372" s="14"/>
      <c r="BQ372" s="14"/>
      <c r="BR372" s="14"/>
      <c r="BS372" s="14"/>
      <c r="BT372" s="14"/>
      <c r="BU372" s="14"/>
      <c r="BV372" s="14"/>
      <c r="BW372" s="14"/>
      <c r="BX372" s="14"/>
      <c r="BY372" s="14"/>
      <c r="BZ372" s="14"/>
      <c r="CA372" s="14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</row>
    <row r="373" spans="1:101" ht="14.25" customHeight="1" x14ac:dyDescent="0.2">
      <c r="A373" s="286"/>
      <c r="B373" s="52">
        <v>0.1625707437906333</v>
      </c>
      <c r="C373" s="288">
        <v>0.33569143192387119</v>
      </c>
      <c r="D373" s="288">
        <v>2.4245431039824128E-2</v>
      </c>
      <c r="E373" s="288">
        <v>2.1316630702602257E-2</v>
      </c>
      <c r="F373" s="289">
        <v>0.76052861073120936</v>
      </c>
      <c r="G373" s="92">
        <v>0.38010136470011696</v>
      </c>
      <c r="H373" s="288">
        <v>0.80779447058128118</v>
      </c>
      <c r="I373" s="288">
        <v>8.5730786411593943E-3</v>
      </c>
      <c r="J373" s="288">
        <v>0.99693914605422296</v>
      </c>
      <c r="K373" s="288">
        <v>0.72831640439266909</v>
      </c>
      <c r="L373" s="290">
        <v>11029.491073274965</v>
      </c>
      <c r="M373" s="288">
        <v>0</v>
      </c>
      <c r="N373" s="288">
        <v>19419.731081095157</v>
      </c>
      <c r="O373" s="288">
        <v>1498.3929961314127</v>
      </c>
      <c r="P373" s="288">
        <v>33898.957980225699</v>
      </c>
      <c r="Q373" s="291">
        <v>100561.68735253991</v>
      </c>
      <c r="R373" s="288">
        <v>22550.14864978589</v>
      </c>
      <c r="S373" s="288">
        <v>7955.9989511240756</v>
      </c>
      <c r="T373" s="290">
        <v>0.751</v>
      </c>
      <c r="U373" s="288">
        <v>0.75800000000000001</v>
      </c>
      <c r="V373" s="288">
        <v>0.723923076923077</v>
      </c>
      <c r="W373" s="288">
        <v>0.72750000000000004</v>
      </c>
      <c r="X373" s="288">
        <v>0.76</v>
      </c>
      <c r="Y373" s="288">
        <v>0</v>
      </c>
      <c r="Z373" s="289">
        <v>0</v>
      </c>
      <c r="AA373" s="229"/>
      <c r="AB373" s="52">
        <v>72820.984403202703</v>
      </c>
      <c r="AC373" s="288">
        <v>3.0522958070323631</v>
      </c>
      <c r="AD373" s="288">
        <v>65739.60334506174</v>
      </c>
      <c r="AE373" s="288">
        <v>2.9088311077603244</v>
      </c>
      <c r="AF373" s="288">
        <v>7081.3810581409634</v>
      </c>
      <c r="AG373" s="289">
        <v>0.14346469927203875</v>
      </c>
      <c r="AH373" s="229"/>
      <c r="AI373" s="205">
        <f t="shared" si="40"/>
        <v>232408.59630003362</v>
      </c>
      <c r="AJ373" s="205">
        <f t="shared" si="41"/>
        <v>225143.5074309707</v>
      </c>
      <c r="AK373" s="205">
        <f t="shared" si="42"/>
        <v>7265.0888690629126</v>
      </c>
      <c r="AL373" s="229"/>
      <c r="AM373" s="52">
        <f t="shared" si="30"/>
        <v>1</v>
      </c>
      <c r="AN373" s="52">
        <f t="shared" si="31"/>
        <v>0</v>
      </c>
      <c r="AO373" s="52">
        <f t="shared" si="32"/>
        <v>1</v>
      </c>
      <c r="AP373" s="229"/>
      <c r="AQ373" s="3"/>
      <c r="AR373" s="3"/>
      <c r="AS373" s="3"/>
      <c r="AT373" s="3"/>
      <c r="AU373" s="229"/>
      <c r="AV373" s="318">
        <f t="shared" si="43"/>
        <v>232408.59630003362</v>
      </c>
      <c r="AW373" s="229"/>
      <c r="AX373" s="312"/>
      <c r="AY373" s="14"/>
      <c r="AZ373" s="14">
        <f t="shared" si="45"/>
        <v>7081.3810581409634</v>
      </c>
      <c r="BA373" s="14">
        <f t="shared" si="44"/>
        <v>0.14346469927203875</v>
      </c>
      <c r="BB373" s="14">
        <f t="shared" si="33"/>
        <v>49359.745596463421</v>
      </c>
      <c r="BC373" s="14"/>
      <c r="BD373" s="14"/>
      <c r="BE373" s="14"/>
      <c r="BF373" s="14"/>
      <c r="BG373" s="14"/>
      <c r="BH373" s="14"/>
      <c r="BI373" s="14"/>
      <c r="BJ373" s="14"/>
      <c r="BK373" s="14"/>
      <c r="BL373" s="14"/>
      <c r="BM373" s="14"/>
      <c r="BN373" s="14"/>
      <c r="BO373" s="14"/>
      <c r="BP373" s="14"/>
      <c r="BQ373" s="14"/>
      <c r="BR373" s="14"/>
      <c r="BS373" s="14"/>
      <c r="BT373" s="14"/>
      <c r="BU373" s="14"/>
      <c r="BV373" s="14"/>
      <c r="BW373" s="14"/>
      <c r="BX373" s="14"/>
      <c r="BY373" s="14"/>
      <c r="BZ373" s="14"/>
      <c r="CA373" s="14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</row>
    <row r="374" spans="1:101" ht="14.25" customHeight="1" x14ac:dyDescent="0.2">
      <c r="A374" s="286"/>
      <c r="B374" s="52">
        <v>0.17145322387713868</v>
      </c>
      <c r="C374" s="288">
        <v>0.93099137041109259</v>
      </c>
      <c r="D374" s="288">
        <v>9.394925636036713E-3</v>
      </c>
      <c r="E374" s="288">
        <v>9.7070109744523264E-3</v>
      </c>
      <c r="F374" s="289">
        <v>0.77027051824000847</v>
      </c>
      <c r="G374" s="92">
        <v>0.42643470615664791</v>
      </c>
      <c r="H374" s="288">
        <v>0.32168141497698216</v>
      </c>
      <c r="I374" s="288">
        <v>2.3771909054021489E-2</v>
      </c>
      <c r="J374" s="288">
        <v>0.91137165660078712</v>
      </c>
      <c r="K374" s="288">
        <v>0.7189117790489824</v>
      </c>
      <c r="L374" s="290">
        <v>13670.769973635302</v>
      </c>
      <c r="M374" s="288">
        <v>0</v>
      </c>
      <c r="N374" s="288">
        <v>15879.635576700874</v>
      </c>
      <c r="O374" s="288">
        <v>936.00514252768255</v>
      </c>
      <c r="P374" s="288">
        <v>56280.153379829746</v>
      </c>
      <c r="Q374" s="291">
        <v>107528.20784122069</v>
      </c>
      <c r="R374" s="288">
        <v>32131.600052999587</v>
      </c>
      <c r="S374" s="288">
        <v>8090.008672641482</v>
      </c>
      <c r="T374" s="290">
        <v>0.751</v>
      </c>
      <c r="U374" s="288">
        <v>0.75800000000000001</v>
      </c>
      <c r="V374" s="288">
        <v>0.723923076923077</v>
      </c>
      <c r="W374" s="288">
        <v>0.72750000000000004</v>
      </c>
      <c r="X374" s="288">
        <v>0.76</v>
      </c>
      <c r="Y374" s="288">
        <v>0</v>
      </c>
      <c r="Z374" s="289">
        <v>0</v>
      </c>
      <c r="AA374" s="229"/>
      <c r="AB374" s="52">
        <v>80840.523440816571</v>
      </c>
      <c r="AC374" s="288">
        <v>3.0972787909562438</v>
      </c>
      <c r="AD374" s="288">
        <v>64756.52516568212</v>
      </c>
      <c r="AE374" s="288">
        <v>2.8659412797179664</v>
      </c>
      <c r="AF374" s="288">
        <v>16083.998275134451</v>
      </c>
      <c r="AG374" s="289">
        <v>0.23133751123827739</v>
      </c>
      <c r="AH374" s="229"/>
      <c r="AI374" s="205">
        <f t="shared" si="40"/>
        <v>228887.35565480782</v>
      </c>
      <c r="AJ374" s="205">
        <f t="shared" si="41"/>
        <v>221837.60280611453</v>
      </c>
      <c r="AK374" s="205">
        <f t="shared" si="42"/>
        <v>7049.7528486932897</v>
      </c>
      <c r="AL374" s="229"/>
      <c r="AM374" s="52">
        <f t="shared" si="30"/>
        <v>1</v>
      </c>
      <c r="AN374" s="52">
        <f t="shared" si="31"/>
        <v>0</v>
      </c>
      <c r="AO374" s="52">
        <f t="shared" si="32"/>
        <v>1</v>
      </c>
      <c r="AP374" s="229"/>
      <c r="AQ374" s="3"/>
      <c r="AR374" s="3"/>
      <c r="AS374" s="3"/>
      <c r="AT374" s="3"/>
      <c r="AU374" s="229"/>
      <c r="AV374" s="318">
        <f t="shared" si="43"/>
        <v>228887.35565480782</v>
      </c>
      <c r="AW374" s="229"/>
      <c r="AX374" s="312"/>
      <c r="AY374" s="14"/>
      <c r="AZ374" s="14">
        <f t="shared" si="45"/>
        <v>16083.998275134451</v>
      </c>
      <c r="BA374" s="14">
        <f t="shared" si="44"/>
        <v>0.23133751123827739</v>
      </c>
      <c r="BB374" s="14">
        <f t="shared" si="33"/>
        <v>69526.114416299519</v>
      </c>
      <c r="BC374" s="14"/>
      <c r="BD374" s="14"/>
      <c r="BE374" s="14"/>
      <c r="BF374" s="14"/>
      <c r="BG374" s="14"/>
      <c r="BH374" s="14"/>
      <c r="BI374" s="14"/>
      <c r="BJ374" s="14"/>
      <c r="BK374" s="14"/>
      <c r="BL374" s="14"/>
      <c r="BM374" s="14"/>
      <c r="BN374" s="14"/>
      <c r="BO374" s="14"/>
      <c r="BP374" s="14"/>
      <c r="BQ374" s="14"/>
      <c r="BR374" s="14"/>
      <c r="BS374" s="14"/>
      <c r="BT374" s="14"/>
      <c r="BU374" s="14"/>
      <c r="BV374" s="14"/>
      <c r="BW374" s="14"/>
      <c r="BX374" s="14"/>
      <c r="BY374" s="14"/>
      <c r="BZ374" s="14"/>
      <c r="CA374" s="14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</row>
    <row r="375" spans="1:101" ht="14.25" customHeight="1" x14ac:dyDescent="0.2">
      <c r="A375" s="286"/>
      <c r="B375" s="52">
        <v>0.19162971820795127</v>
      </c>
      <c r="C375" s="288">
        <v>0.6578419515373104</v>
      </c>
      <c r="D375" s="288">
        <v>6.3999402728912675E-3</v>
      </c>
      <c r="E375" s="288">
        <v>2.5476972622326288E-2</v>
      </c>
      <c r="F375" s="289">
        <v>0.80400841628334829</v>
      </c>
      <c r="G375" s="92">
        <v>0.41304139276875007</v>
      </c>
      <c r="H375" s="288">
        <v>0.71998741143312284</v>
      </c>
      <c r="I375" s="288">
        <v>7.5973568591656522E-3</v>
      </c>
      <c r="J375" s="288">
        <v>0.49395229315411993</v>
      </c>
      <c r="K375" s="288">
        <v>0.78442388940551744</v>
      </c>
      <c r="L375" s="290">
        <v>11286.365599552082</v>
      </c>
      <c r="M375" s="288">
        <v>0</v>
      </c>
      <c r="N375" s="288">
        <v>22558.515931027028</v>
      </c>
      <c r="O375" s="288">
        <v>1108.0134376365195</v>
      </c>
      <c r="P375" s="288">
        <v>37234.027713494623</v>
      </c>
      <c r="Q375" s="291">
        <v>75286.226491722729</v>
      </c>
      <c r="R375" s="288">
        <v>28062.455626412804</v>
      </c>
      <c r="S375" s="288">
        <v>9531.8058791903914</v>
      </c>
      <c r="T375" s="290">
        <v>0.751</v>
      </c>
      <c r="U375" s="288">
        <v>0.75800000000000001</v>
      </c>
      <c r="V375" s="288">
        <v>0.723923076923077</v>
      </c>
      <c r="W375" s="288">
        <v>0.72750000000000004</v>
      </c>
      <c r="X375" s="288">
        <v>0.76</v>
      </c>
      <c r="Y375" s="288">
        <v>0</v>
      </c>
      <c r="Z375" s="289">
        <v>0</v>
      </c>
      <c r="AA375" s="229"/>
      <c r="AB375" s="52">
        <v>91018.178678155324</v>
      </c>
      <c r="AC375" s="288">
        <v>3.2542130161199618</v>
      </c>
      <c r="AD375" s="288">
        <v>83683.458504558075</v>
      </c>
      <c r="AE375" s="288">
        <v>3.1676064236008648</v>
      </c>
      <c r="AF375" s="288">
        <v>7334.7201735972485</v>
      </c>
      <c r="AG375" s="289">
        <v>8.6606592519097081E-2</v>
      </c>
      <c r="AH375" s="229"/>
      <c r="AI375" s="205">
        <f t="shared" si="40"/>
        <v>234403.12293384087</v>
      </c>
      <c r="AJ375" s="205">
        <f t="shared" si="41"/>
        <v>233077.18385552842</v>
      </c>
      <c r="AK375" s="205">
        <f t="shared" si="42"/>
        <v>1325.93907831246</v>
      </c>
      <c r="AL375" s="229"/>
      <c r="AM375" s="52">
        <f t="shared" si="30"/>
        <v>1</v>
      </c>
      <c r="AN375" s="52">
        <f t="shared" si="31"/>
        <v>0</v>
      </c>
      <c r="AO375" s="52">
        <f t="shared" si="32"/>
        <v>1</v>
      </c>
      <c r="AP375" s="229"/>
      <c r="AQ375" s="3"/>
      <c r="AR375" s="3"/>
      <c r="AS375" s="3"/>
      <c r="AT375" s="3"/>
      <c r="AU375" s="229"/>
      <c r="AV375" s="318">
        <f t="shared" si="43"/>
        <v>234403.12293384087</v>
      </c>
      <c r="AW375" s="229"/>
      <c r="AX375" s="312"/>
      <c r="AY375" s="14"/>
      <c r="AZ375" s="14">
        <f t="shared" si="45"/>
        <v>7334.7201735972485</v>
      </c>
      <c r="BA375" s="14">
        <f t="shared" si="44"/>
        <v>8.6606592519097081E-2</v>
      </c>
      <c r="BB375" s="14">
        <f t="shared" si="33"/>
        <v>84690.090676179359</v>
      </c>
      <c r="BC375" s="14"/>
      <c r="BD375" s="14"/>
      <c r="BE375" s="14"/>
      <c r="BF375" s="14"/>
      <c r="BG375" s="14"/>
      <c r="BH375" s="14"/>
      <c r="BI375" s="14"/>
      <c r="BJ375" s="14"/>
      <c r="BK375" s="14"/>
      <c r="BL375" s="14"/>
      <c r="BM375" s="14"/>
      <c r="BN375" s="14"/>
      <c r="BO375" s="14"/>
      <c r="BP375" s="14"/>
      <c r="BQ375" s="14"/>
      <c r="BR375" s="14"/>
      <c r="BS375" s="14"/>
      <c r="BT375" s="14"/>
      <c r="BU375" s="14"/>
      <c r="BV375" s="14"/>
      <c r="BW375" s="14"/>
      <c r="BX375" s="14"/>
      <c r="BY375" s="14"/>
      <c r="BZ375" s="14"/>
      <c r="CA375" s="14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</row>
    <row r="376" spans="1:101" ht="14.25" customHeight="1" x14ac:dyDescent="0.2">
      <c r="A376" s="286"/>
      <c r="B376" s="52">
        <v>0.16280135171952603</v>
      </c>
      <c r="C376" s="288">
        <v>0.22648839634858478</v>
      </c>
      <c r="D376" s="288">
        <v>1.2052797492806891E-2</v>
      </c>
      <c r="E376" s="288">
        <v>7.892430600887854E-3</v>
      </c>
      <c r="F376" s="289">
        <v>0.80695466418437722</v>
      </c>
      <c r="G376" s="92">
        <v>0.40774529311804852</v>
      </c>
      <c r="H376" s="288">
        <v>0.18182678707036951</v>
      </c>
      <c r="I376" s="288">
        <v>2.216322859483999E-2</v>
      </c>
      <c r="J376" s="288">
        <v>0.99041114492019233</v>
      </c>
      <c r="K376" s="288">
        <v>0.72731222360853343</v>
      </c>
      <c r="L376" s="290">
        <v>13490.55091883187</v>
      </c>
      <c r="M376" s="288">
        <v>0</v>
      </c>
      <c r="N376" s="288">
        <v>17462.41129732925</v>
      </c>
      <c r="O376" s="288">
        <v>1218.4954383939953</v>
      </c>
      <c r="P376" s="288">
        <v>36479.658282733661</v>
      </c>
      <c r="Q376" s="291">
        <v>113946.54938751967</v>
      </c>
      <c r="R376" s="288">
        <v>20493.160839793087</v>
      </c>
      <c r="S376" s="288">
        <v>7278.2700579434322</v>
      </c>
      <c r="T376" s="290">
        <v>0.751</v>
      </c>
      <c r="U376" s="288">
        <v>0.75800000000000001</v>
      </c>
      <c r="V376" s="288">
        <v>0.723923076923077</v>
      </c>
      <c r="W376" s="288">
        <v>0.72750000000000004</v>
      </c>
      <c r="X376" s="288">
        <v>0.76</v>
      </c>
      <c r="Y376" s="288">
        <v>0</v>
      </c>
      <c r="Z376" s="289">
        <v>0</v>
      </c>
      <c r="AA376" s="229"/>
      <c r="AB376" s="52">
        <v>72827.423351933016</v>
      </c>
      <c r="AC376" s="288">
        <v>3.2680024593564774</v>
      </c>
      <c r="AD376" s="288">
        <v>56322.094559238903</v>
      </c>
      <c r="AE376" s="288">
        <v>2.9042448893668995</v>
      </c>
      <c r="AF376" s="288">
        <v>16505.328792694112</v>
      </c>
      <c r="AG376" s="289">
        <v>0.36375756998957787</v>
      </c>
      <c r="AH376" s="229"/>
      <c r="AI376" s="205">
        <f t="shared" si="40"/>
        <v>253972.82258371473</v>
      </c>
      <c r="AJ376" s="205">
        <f t="shared" si="41"/>
        <v>234102.39437745107</v>
      </c>
      <c r="AK376" s="205">
        <f t="shared" si="42"/>
        <v>19870.428206263678</v>
      </c>
      <c r="AL376" s="229"/>
      <c r="AM376" s="52">
        <f t="shared" si="30"/>
        <v>1</v>
      </c>
      <c r="AN376" s="52">
        <f t="shared" si="31"/>
        <v>0</v>
      </c>
      <c r="AO376" s="52">
        <f t="shared" si="32"/>
        <v>1</v>
      </c>
      <c r="AP376" s="229"/>
      <c r="AQ376" s="3"/>
      <c r="AR376" s="3"/>
      <c r="AS376" s="3"/>
      <c r="AT376" s="3"/>
      <c r="AU376" s="229"/>
      <c r="AV376" s="318">
        <f t="shared" si="43"/>
        <v>253972.82258371473</v>
      </c>
      <c r="AW376" s="229"/>
      <c r="AX376" s="312"/>
      <c r="AY376" s="14"/>
      <c r="AZ376" s="14">
        <f t="shared" si="45"/>
        <v>16505.328792694112</v>
      </c>
      <c r="BA376" s="14">
        <f t="shared" si="44"/>
        <v>0.36375756998957787</v>
      </c>
      <c r="BB376" s="14">
        <f t="shared" si="33"/>
        <v>45374.530056287243</v>
      </c>
      <c r="BC376" s="14"/>
      <c r="BD376" s="14"/>
      <c r="BE376" s="14"/>
      <c r="BF376" s="14"/>
      <c r="BG376" s="14"/>
      <c r="BH376" s="14"/>
      <c r="BI376" s="14"/>
      <c r="BJ376" s="14"/>
      <c r="BK376" s="14"/>
      <c r="BL376" s="14"/>
      <c r="BM376" s="14"/>
      <c r="BN376" s="14"/>
      <c r="BO376" s="14"/>
      <c r="BP376" s="14"/>
      <c r="BQ376" s="14"/>
      <c r="BR376" s="14"/>
      <c r="BS376" s="14"/>
      <c r="BT376" s="14"/>
      <c r="BU376" s="14"/>
      <c r="BV376" s="14"/>
      <c r="BW376" s="14"/>
      <c r="BX376" s="14"/>
      <c r="BY376" s="14"/>
      <c r="BZ376" s="14"/>
      <c r="CA376" s="14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</row>
    <row r="377" spans="1:101" ht="14.25" customHeight="1" x14ac:dyDescent="0.2">
      <c r="A377" s="286"/>
      <c r="B377" s="52">
        <v>0.13467554902485931</v>
      </c>
      <c r="C377" s="288">
        <v>0.21815300325589723</v>
      </c>
      <c r="D377" s="288">
        <v>2.5225543693549901E-2</v>
      </c>
      <c r="E377" s="288">
        <v>1.3059864662196656E-2</v>
      </c>
      <c r="F377" s="289">
        <v>0.76931955362582183</v>
      </c>
      <c r="G377" s="92">
        <v>0.32460543026183736</v>
      </c>
      <c r="H377" s="288">
        <v>0.76673810372273288</v>
      </c>
      <c r="I377" s="288">
        <v>8.0299641431082602E-3</v>
      </c>
      <c r="J377" s="288">
        <v>0.9999999890905924</v>
      </c>
      <c r="K377" s="288">
        <v>0.75094811513674764</v>
      </c>
      <c r="L377" s="290">
        <v>13960.768604986253</v>
      </c>
      <c r="M377" s="288">
        <v>0</v>
      </c>
      <c r="N377" s="288">
        <v>17440.103867365862</v>
      </c>
      <c r="O377" s="288">
        <v>1260.7256148274541</v>
      </c>
      <c r="P377" s="288">
        <v>44276.765766192329</v>
      </c>
      <c r="Q377" s="291">
        <v>121912.44893430332</v>
      </c>
      <c r="R377" s="288">
        <v>21471.970468382457</v>
      </c>
      <c r="S377" s="288">
        <v>8216.437774838314</v>
      </c>
      <c r="T377" s="290">
        <v>0.751</v>
      </c>
      <c r="U377" s="288">
        <v>0.75800000000000001</v>
      </c>
      <c r="V377" s="288">
        <v>0.723923076923077</v>
      </c>
      <c r="W377" s="288">
        <v>0.72750000000000004</v>
      </c>
      <c r="X377" s="288">
        <v>0.76</v>
      </c>
      <c r="Y377" s="288">
        <v>0</v>
      </c>
      <c r="Z377" s="289">
        <v>0</v>
      </c>
      <c r="AA377" s="229"/>
      <c r="AB377" s="52">
        <v>77771.312050102701</v>
      </c>
      <c r="AC377" s="288">
        <v>3.0928811823643336</v>
      </c>
      <c r="AD377" s="288">
        <v>67726.891855580485</v>
      </c>
      <c r="AE377" s="288">
        <v>3.0126145266766535</v>
      </c>
      <c r="AF377" s="288">
        <v>10044.420194522216</v>
      </c>
      <c r="AG377" s="289">
        <v>8.02666556876801E-2</v>
      </c>
      <c r="AH377" s="229"/>
      <c r="AI377" s="205">
        <f t="shared" si="40"/>
        <v>231516.80618633068</v>
      </c>
      <c r="AJ377" s="205">
        <f t="shared" si="41"/>
        <v>233534.56081208488</v>
      </c>
      <c r="AK377" s="205">
        <f t="shared" si="42"/>
        <v>-2017.7546257542053</v>
      </c>
      <c r="AL377" s="229"/>
      <c r="AM377" s="52">
        <f t="shared" si="30"/>
        <v>0</v>
      </c>
      <c r="AN377" s="52">
        <f t="shared" si="31"/>
        <v>1</v>
      </c>
      <c r="AO377" s="52">
        <f t="shared" si="32"/>
        <v>0</v>
      </c>
      <c r="AP377" s="229"/>
      <c r="AQ377" s="3"/>
      <c r="AR377" s="3"/>
      <c r="AS377" s="3"/>
      <c r="AT377" s="3"/>
      <c r="AU377" s="229"/>
      <c r="AV377" s="318">
        <f t="shared" si="43"/>
        <v>233534.56081208488</v>
      </c>
      <c r="AW377" s="229"/>
      <c r="AX377" s="312"/>
      <c r="AY377" s="14"/>
      <c r="AZ377" s="14">
        <f t="shared" si="45"/>
        <v>10044.420194522216</v>
      </c>
      <c r="BA377" s="14">
        <f t="shared" si="44"/>
        <v>8.02666556876801E-2</v>
      </c>
      <c r="BB377" s="14">
        <f t="shared" si="33"/>
        <v>125138.14246360716</v>
      </c>
      <c r="BC377" s="14"/>
      <c r="BD377" s="14"/>
      <c r="BE377" s="14"/>
      <c r="BF377" s="14"/>
      <c r="BG377" s="14"/>
      <c r="BH377" s="14"/>
      <c r="BI377" s="14"/>
      <c r="BJ377" s="14"/>
      <c r="BK377" s="14"/>
      <c r="BL377" s="14"/>
      <c r="BM377" s="14"/>
      <c r="BN377" s="14"/>
      <c r="BO377" s="14"/>
      <c r="BP377" s="14"/>
      <c r="BQ377" s="14"/>
      <c r="BR377" s="14"/>
      <c r="BS377" s="14"/>
      <c r="BT377" s="14"/>
      <c r="BU377" s="14"/>
      <c r="BV377" s="14"/>
      <c r="BW377" s="14"/>
      <c r="BX377" s="14"/>
      <c r="BY377" s="14"/>
      <c r="BZ377" s="14"/>
      <c r="CA377" s="14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</row>
    <row r="378" spans="1:101" ht="14.25" customHeight="1" x14ac:dyDescent="0.2">
      <c r="A378" s="286"/>
      <c r="B378" s="52">
        <v>0.15272529204398691</v>
      </c>
      <c r="C378" s="288">
        <v>0.14351880859145383</v>
      </c>
      <c r="D378" s="288">
        <v>3.0678361048803615E-2</v>
      </c>
      <c r="E378" s="288">
        <v>2.0551450396807946E-2</v>
      </c>
      <c r="F378" s="289">
        <v>0.76933606967618828</v>
      </c>
      <c r="G378" s="92">
        <v>0.48658753285957357</v>
      </c>
      <c r="H378" s="288">
        <v>0.6443840405074166</v>
      </c>
      <c r="I378" s="288">
        <v>1.0631126689076509E-2</v>
      </c>
      <c r="J378" s="288">
        <v>0.99846141625131146</v>
      </c>
      <c r="K378" s="288">
        <v>0.73756775833060284</v>
      </c>
      <c r="L378" s="290">
        <v>12896.871786956808</v>
      </c>
      <c r="M378" s="288">
        <v>0</v>
      </c>
      <c r="N378" s="288">
        <v>12655.016851271515</v>
      </c>
      <c r="O378" s="288">
        <v>1253.7854893830151</v>
      </c>
      <c r="P378" s="288">
        <v>44197.447272658625</v>
      </c>
      <c r="Q378" s="291">
        <v>91129.947387702035</v>
      </c>
      <c r="R378" s="288">
        <v>17287.364034305097</v>
      </c>
      <c r="S378" s="288">
        <v>8285.7209631985606</v>
      </c>
      <c r="T378" s="290">
        <v>0.751</v>
      </c>
      <c r="U378" s="288">
        <v>0.75800000000000001</v>
      </c>
      <c r="V378" s="288">
        <v>0.723923076923077</v>
      </c>
      <c r="W378" s="288">
        <v>0.72750000000000004</v>
      </c>
      <c r="X378" s="288">
        <v>0.76</v>
      </c>
      <c r="Y378" s="288">
        <v>0</v>
      </c>
      <c r="Z378" s="289">
        <v>0</v>
      </c>
      <c r="AA378" s="229"/>
      <c r="AB378" s="52">
        <v>77021.888241007182</v>
      </c>
      <c r="AC378" s="288">
        <v>3.0929575465252874</v>
      </c>
      <c r="AD378" s="288">
        <v>67689.690235828166</v>
      </c>
      <c r="AE378" s="288">
        <v>2.9511579659112281</v>
      </c>
      <c r="AF378" s="288">
        <v>9332.198005179016</v>
      </c>
      <c r="AG378" s="289">
        <v>0.14179958061405928</v>
      </c>
      <c r="AH378" s="229"/>
      <c r="AI378" s="205">
        <f t="shared" si="40"/>
        <v>232273.86641152157</v>
      </c>
      <c r="AJ378" s="205">
        <f t="shared" si="41"/>
        <v>227426.10635529464</v>
      </c>
      <c r="AK378" s="205">
        <f t="shared" si="42"/>
        <v>4847.7600562269126</v>
      </c>
      <c r="AL378" s="229"/>
      <c r="AM378" s="52">
        <f t="shared" si="30"/>
        <v>1</v>
      </c>
      <c r="AN378" s="52">
        <f t="shared" si="31"/>
        <v>0</v>
      </c>
      <c r="AO378" s="52">
        <f t="shared" si="32"/>
        <v>1</v>
      </c>
      <c r="AP378" s="229"/>
      <c r="AQ378" s="3"/>
      <c r="AR378" s="3"/>
      <c r="AS378" s="3"/>
      <c r="AT378" s="3"/>
      <c r="AU378" s="229"/>
      <c r="AV378" s="318">
        <f t="shared" si="43"/>
        <v>232273.86641152157</v>
      </c>
      <c r="AW378" s="229"/>
      <c r="AX378" s="312"/>
      <c r="AY378" s="14"/>
      <c r="AZ378" s="14">
        <f t="shared" si="45"/>
        <v>9332.198005179016</v>
      </c>
      <c r="BA378" s="14">
        <f t="shared" si="44"/>
        <v>0.14179958061405928</v>
      </c>
      <c r="BB378" s="14">
        <f t="shared" si="33"/>
        <v>65812.592426339921</v>
      </c>
      <c r="BC378" s="14"/>
      <c r="BD378" s="14"/>
      <c r="BE378" s="14"/>
      <c r="BF378" s="14"/>
      <c r="BG378" s="14"/>
      <c r="BH378" s="14"/>
      <c r="BI378" s="14"/>
      <c r="BJ378" s="14"/>
      <c r="BK378" s="14"/>
      <c r="BL378" s="14"/>
      <c r="BM378" s="14"/>
      <c r="BN378" s="14"/>
      <c r="BO378" s="14"/>
      <c r="BP378" s="14"/>
      <c r="BQ378" s="14"/>
      <c r="BR378" s="14"/>
      <c r="BS378" s="14"/>
      <c r="BT378" s="14"/>
      <c r="BU378" s="14"/>
      <c r="BV378" s="14"/>
      <c r="BW378" s="14"/>
      <c r="BX378" s="14"/>
      <c r="BY378" s="14"/>
      <c r="BZ378" s="14"/>
      <c r="CA378" s="14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</row>
    <row r="379" spans="1:101" ht="14.25" customHeight="1" x14ac:dyDescent="0.2">
      <c r="A379" s="286"/>
      <c r="B379" s="52">
        <v>0.17849291344601192</v>
      </c>
      <c r="C379" s="288">
        <v>4.3658809993546141E-2</v>
      </c>
      <c r="D379" s="288">
        <v>2.2112741734594432E-2</v>
      </c>
      <c r="E379" s="288">
        <v>9.9573274060272086E-3</v>
      </c>
      <c r="F379" s="289">
        <v>0.7707414994021341</v>
      </c>
      <c r="G379" s="92">
        <v>0.39127397408332726</v>
      </c>
      <c r="H379" s="288">
        <v>0.49285987660899555</v>
      </c>
      <c r="I379" s="288">
        <v>1.2502723253090054E-2</v>
      </c>
      <c r="J379" s="288">
        <v>0.99999999969107234</v>
      </c>
      <c r="K379" s="288">
        <v>0.7624605909473432</v>
      </c>
      <c r="L379" s="290">
        <v>10794.394899956729</v>
      </c>
      <c r="M379" s="288">
        <v>0</v>
      </c>
      <c r="N379" s="288">
        <v>17017.987852951188</v>
      </c>
      <c r="O379" s="288">
        <v>1256.422113546256</v>
      </c>
      <c r="P379" s="288">
        <v>49033.454581260783</v>
      </c>
      <c r="Q379" s="291">
        <v>111947.00770892424</v>
      </c>
      <c r="R379" s="288">
        <v>18595.796128042013</v>
      </c>
      <c r="S379" s="288">
        <v>9675.5730555621776</v>
      </c>
      <c r="T379" s="290">
        <v>0.751</v>
      </c>
      <c r="U379" s="288">
        <v>0.75800000000000001</v>
      </c>
      <c r="V379" s="288">
        <v>0.723923076923077</v>
      </c>
      <c r="W379" s="288">
        <v>0.72750000000000004</v>
      </c>
      <c r="X379" s="288">
        <v>0.76</v>
      </c>
      <c r="Y379" s="288">
        <v>0</v>
      </c>
      <c r="Z379" s="289">
        <v>0</v>
      </c>
      <c r="AA379" s="229"/>
      <c r="AB379" s="52">
        <v>85452.98297344234</v>
      </c>
      <c r="AC379" s="288">
        <v>3.0994573055294921</v>
      </c>
      <c r="AD379" s="288">
        <v>78470.091646895322</v>
      </c>
      <c r="AE379" s="288">
        <v>3.0657176881807149</v>
      </c>
      <c r="AF379" s="288">
        <v>6982.8913265470183</v>
      </c>
      <c r="AG379" s="289">
        <v>3.3739617348777173E-2</v>
      </c>
      <c r="AH379" s="229"/>
      <c r="AI379" s="205">
        <f t="shared" si="40"/>
        <v>224492.74757950683</v>
      </c>
      <c r="AJ379" s="205">
        <f t="shared" si="41"/>
        <v>228101.67717117612</v>
      </c>
      <c r="AK379" s="205">
        <f t="shared" si="42"/>
        <v>-3608.9295916693009</v>
      </c>
      <c r="AL379" s="229"/>
      <c r="AM379" s="52">
        <f t="shared" si="30"/>
        <v>0</v>
      </c>
      <c r="AN379" s="52">
        <f t="shared" si="31"/>
        <v>1</v>
      </c>
      <c r="AO379" s="52">
        <f t="shared" si="32"/>
        <v>0</v>
      </c>
      <c r="AP379" s="229"/>
      <c r="AQ379" s="3"/>
      <c r="AR379" s="3"/>
      <c r="AS379" s="3"/>
      <c r="AT379" s="3"/>
      <c r="AU379" s="229"/>
      <c r="AV379" s="318">
        <f t="shared" si="43"/>
        <v>228101.67717117612</v>
      </c>
      <c r="AW379" s="229"/>
      <c r="AX379" s="312"/>
      <c r="AY379" s="14"/>
      <c r="AZ379" s="14">
        <f t="shared" si="45"/>
        <v>6982.8913265470183</v>
      </c>
      <c r="BA379" s="14">
        <f t="shared" si="44"/>
        <v>3.3739617348777173E-2</v>
      </c>
      <c r="BB379" s="14">
        <f t="shared" si="33"/>
        <v>206964.15298260932</v>
      </c>
      <c r="BC379" s="14"/>
      <c r="BD379" s="14"/>
      <c r="BE379" s="14"/>
      <c r="BF379" s="14"/>
      <c r="BG379" s="14"/>
      <c r="BH379" s="14"/>
      <c r="BI379" s="14"/>
      <c r="BJ379" s="14"/>
      <c r="BK379" s="14"/>
      <c r="BL379" s="14"/>
      <c r="BM379" s="14"/>
      <c r="BN379" s="14"/>
      <c r="BO379" s="14"/>
      <c r="BP379" s="14"/>
      <c r="BQ379" s="14"/>
      <c r="BR379" s="14"/>
      <c r="BS379" s="14"/>
      <c r="BT379" s="14"/>
      <c r="BU379" s="14"/>
      <c r="BV379" s="14"/>
      <c r="BW379" s="14"/>
      <c r="BX379" s="14"/>
      <c r="BY379" s="14"/>
      <c r="BZ379" s="14"/>
      <c r="CA379" s="14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</row>
    <row r="380" spans="1:101" ht="14.25" customHeight="1" x14ac:dyDescent="0.2">
      <c r="A380" s="286"/>
      <c r="B380" s="52">
        <v>0.13879237883882173</v>
      </c>
      <c r="C380" s="288">
        <v>1.0766835690613138E-2</v>
      </c>
      <c r="D380" s="288">
        <v>1.7525403772160497E-2</v>
      </c>
      <c r="E380" s="288">
        <v>1.0059902110851848E-2</v>
      </c>
      <c r="F380" s="289">
        <v>0.74412116468096134</v>
      </c>
      <c r="G380" s="92">
        <v>0.35801004332816133</v>
      </c>
      <c r="H380" s="288">
        <v>0.18050914317573435</v>
      </c>
      <c r="I380" s="288">
        <v>1.3025382313638314E-2</v>
      </c>
      <c r="J380" s="288">
        <v>0.23640939690696125</v>
      </c>
      <c r="K380" s="288">
        <v>0.79145921258043905</v>
      </c>
      <c r="L380" s="290">
        <v>16995.324150126053</v>
      </c>
      <c r="M380" s="288">
        <v>0</v>
      </c>
      <c r="N380" s="288">
        <v>23055.873847554914</v>
      </c>
      <c r="O380" s="288">
        <v>1454.2875757338459</v>
      </c>
      <c r="P380" s="288">
        <v>51913.644683954946</v>
      </c>
      <c r="Q380" s="291">
        <v>86755.304339412818</v>
      </c>
      <c r="R380" s="288">
        <v>19886.585034162796</v>
      </c>
      <c r="S380" s="288">
        <v>9287.9967581261171</v>
      </c>
      <c r="T380" s="290">
        <v>0.751</v>
      </c>
      <c r="U380" s="288">
        <v>0.75800000000000001</v>
      </c>
      <c r="V380" s="288">
        <v>0.723923076923077</v>
      </c>
      <c r="W380" s="288">
        <v>0.72750000000000004</v>
      </c>
      <c r="X380" s="288">
        <v>0.76</v>
      </c>
      <c r="Y380" s="288">
        <v>0</v>
      </c>
      <c r="Z380" s="289">
        <v>0</v>
      </c>
      <c r="AA380" s="229"/>
      <c r="AB380" s="52">
        <v>85878.350590456248</v>
      </c>
      <c r="AC380" s="288">
        <v>2.976871364207816</v>
      </c>
      <c r="AD380" s="288">
        <v>75578.797565360728</v>
      </c>
      <c r="AE380" s="288">
        <v>3.2004043952339951</v>
      </c>
      <c r="AF380" s="288">
        <v>10299.55302509552</v>
      </c>
      <c r="AG380" s="289">
        <v>-0.22353303102617916</v>
      </c>
      <c r="AH380" s="229"/>
      <c r="AI380" s="205">
        <f t="shared" si="40"/>
        <v>211808.78583032536</v>
      </c>
      <c r="AJ380" s="205">
        <f t="shared" si="41"/>
        <v>244461.64195803879</v>
      </c>
      <c r="AK380" s="205">
        <f t="shared" si="42"/>
        <v>-32652.856127713436</v>
      </c>
      <c r="AL380" s="229"/>
      <c r="AM380" s="52">
        <f t="shared" si="30"/>
        <v>0</v>
      </c>
      <c r="AN380" s="52">
        <f t="shared" si="31"/>
        <v>1</v>
      </c>
      <c r="AO380" s="52">
        <f t="shared" si="32"/>
        <v>0</v>
      </c>
      <c r="AP380" s="229"/>
      <c r="AQ380" s="3"/>
      <c r="AR380" s="3"/>
      <c r="AS380" s="3"/>
      <c r="AT380" s="3"/>
      <c r="AU380" s="229"/>
      <c r="AV380" s="318">
        <f t="shared" si="43"/>
        <v>244461.64195803879</v>
      </c>
      <c r="AW380" s="229"/>
      <c r="AX380" s="312"/>
      <c r="AY380" s="14"/>
      <c r="AZ380" s="14">
        <f t="shared" si="45"/>
        <v>10299.55302509552</v>
      </c>
      <c r="BA380" s="14">
        <f t="shared" si="44"/>
        <v>-0.22353303102617916</v>
      </c>
      <c r="BB380" s="14">
        <f t="shared" si="33"/>
        <v>-46076.201704119885</v>
      </c>
      <c r="BC380" s="14"/>
      <c r="BD380" s="14"/>
      <c r="BE380" s="14"/>
      <c r="BF380" s="14"/>
      <c r="BG380" s="14"/>
      <c r="BH380" s="14"/>
      <c r="BI380" s="14"/>
      <c r="BJ380" s="14"/>
      <c r="BK380" s="14"/>
      <c r="BL380" s="14"/>
      <c r="BM380" s="14"/>
      <c r="BN380" s="14"/>
      <c r="BO380" s="14"/>
      <c r="BP380" s="14"/>
      <c r="BQ380" s="14"/>
      <c r="BR380" s="14"/>
      <c r="BS380" s="14"/>
      <c r="BT380" s="14"/>
      <c r="BU380" s="14"/>
      <c r="BV380" s="14"/>
      <c r="BW380" s="14"/>
      <c r="BX380" s="14"/>
      <c r="BY380" s="14"/>
      <c r="BZ380" s="14"/>
      <c r="CA380" s="14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</row>
    <row r="381" spans="1:101" ht="14.25" customHeight="1" x14ac:dyDescent="0.2">
      <c r="A381" s="286"/>
      <c r="B381" s="52">
        <v>0.1587829601605327</v>
      </c>
      <c r="C381" s="288">
        <v>0.23294546172056521</v>
      </c>
      <c r="D381" s="288">
        <v>1.8717224201828975E-2</v>
      </c>
      <c r="E381" s="288">
        <v>1.3843119486717773E-2</v>
      </c>
      <c r="F381" s="289">
        <v>0.80049715152753054</v>
      </c>
      <c r="G381" s="92">
        <v>0.39096088492665615</v>
      </c>
      <c r="H381" s="288">
        <v>0.17288080214369136</v>
      </c>
      <c r="I381" s="288">
        <v>2.3168259155713411E-2</v>
      </c>
      <c r="J381" s="288">
        <v>1</v>
      </c>
      <c r="K381" s="288">
        <v>0.7464225959884071</v>
      </c>
      <c r="L381" s="290">
        <v>9316.1563587487126</v>
      </c>
      <c r="M381" s="288">
        <v>0</v>
      </c>
      <c r="N381" s="288">
        <v>19293.854078091612</v>
      </c>
      <c r="O381" s="288">
        <v>1309.5284276998061</v>
      </c>
      <c r="P381" s="288">
        <v>40772.611656417139</v>
      </c>
      <c r="Q381" s="291">
        <v>109921.67230996409</v>
      </c>
      <c r="R381" s="288">
        <v>38010.636657575829</v>
      </c>
      <c r="S381" s="288">
        <v>9401.7432094304677</v>
      </c>
      <c r="T381" s="290">
        <v>0.751</v>
      </c>
      <c r="U381" s="288">
        <v>0.75800000000000001</v>
      </c>
      <c r="V381" s="288">
        <v>0.723923076923077</v>
      </c>
      <c r="W381" s="288">
        <v>0.72750000000000004</v>
      </c>
      <c r="X381" s="288">
        <v>0.76</v>
      </c>
      <c r="Y381" s="288">
        <v>0</v>
      </c>
      <c r="Z381" s="289">
        <v>0</v>
      </c>
      <c r="AA381" s="229"/>
      <c r="AB381" s="52">
        <v>85784.453543514013</v>
      </c>
      <c r="AC381" s="288">
        <v>3.2377968837544167</v>
      </c>
      <c r="AD381" s="288">
        <v>74618.557992910108</v>
      </c>
      <c r="AE381" s="288">
        <v>2.9917970380727827</v>
      </c>
      <c r="AF381" s="288">
        <v>11165.895550603906</v>
      </c>
      <c r="AG381" s="289">
        <v>0.24599984568163391</v>
      </c>
      <c r="AH381" s="229"/>
      <c r="AI381" s="205">
        <f t="shared" si="40"/>
        <v>237995.23483192764</v>
      </c>
      <c r="AJ381" s="205">
        <f t="shared" si="41"/>
        <v>224561.14581436821</v>
      </c>
      <c r="AK381" s="205">
        <f t="shared" si="42"/>
        <v>13434.089017559487</v>
      </c>
      <c r="AL381" s="229"/>
      <c r="AM381" s="52">
        <f t="shared" si="30"/>
        <v>1</v>
      </c>
      <c r="AN381" s="52">
        <f t="shared" si="31"/>
        <v>0</v>
      </c>
      <c r="AO381" s="52">
        <f t="shared" si="32"/>
        <v>1</v>
      </c>
      <c r="AP381" s="229"/>
      <c r="AQ381" s="3"/>
      <c r="AR381" s="3"/>
      <c r="AS381" s="3"/>
      <c r="AT381" s="3"/>
      <c r="AU381" s="229"/>
      <c r="AV381" s="318">
        <f t="shared" si="43"/>
        <v>237995.23483192764</v>
      </c>
      <c r="AW381" s="229"/>
      <c r="AX381" s="312"/>
      <c r="AY381" s="14"/>
      <c r="AZ381" s="14">
        <f t="shared" si="45"/>
        <v>11165.895550603906</v>
      </c>
      <c r="BA381" s="14">
        <f t="shared" si="44"/>
        <v>0.24599984568163391</v>
      </c>
      <c r="BB381" s="14">
        <f t="shared" si="33"/>
        <v>45389.847784922982</v>
      </c>
      <c r="BC381" s="14"/>
      <c r="BD381" s="14"/>
      <c r="BE381" s="14"/>
      <c r="BF381" s="14"/>
      <c r="BG381" s="14"/>
      <c r="BH381" s="14"/>
      <c r="BI381" s="14"/>
      <c r="BJ381" s="14"/>
      <c r="BK381" s="14"/>
      <c r="BL381" s="14"/>
      <c r="BM381" s="14"/>
      <c r="BN381" s="14"/>
      <c r="BO381" s="14"/>
      <c r="BP381" s="14"/>
      <c r="BQ381" s="14"/>
      <c r="BR381" s="14"/>
      <c r="BS381" s="14"/>
      <c r="BT381" s="14"/>
      <c r="BU381" s="14"/>
      <c r="BV381" s="14"/>
      <c r="BW381" s="14"/>
      <c r="BX381" s="14"/>
      <c r="BY381" s="14"/>
      <c r="BZ381" s="14"/>
      <c r="CA381" s="14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</row>
    <row r="382" spans="1:101" ht="14.25" customHeight="1" x14ac:dyDescent="0.2">
      <c r="A382" s="286"/>
      <c r="B382" s="52">
        <v>0.15049034352171048</v>
      </c>
      <c r="C382" s="288">
        <v>6.9771885977979745E-2</v>
      </c>
      <c r="D382" s="288">
        <v>2.5165329567363615E-2</v>
      </c>
      <c r="E382" s="288">
        <v>9.344145915842629E-3</v>
      </c>
      <c r="F382" s="289">
        <v>0.79950090455972833</v>
      </c>
      <c r="G382" s="92">
        <v>0.42861770947139421</v>
      </c>
      <c r="H382" s="288">
        <v>2.2570824906986676E-3</v>
      </c>
      <c r="I382" s="288">
        <v>2.9384439355707892E-2</v>
      </c>
      <c r="J382" s="288">
        <v>0.1058300448567613</v>
      </c>
      <c r="K382" s="288">
        <v>0.82507226670835254</v>
      </c>
      <c r="L382" s="290">
        <v>14251.604857527347</v>
      </c>
      <c r="M382" s="288">
        <v>0</v>
      </c>
      <c r="N382" s="288">
        <v>21837.80461033959</v>
      </c>
      <c r="O382" s="288">
        <v>1316.098524576814</v>
      </c>
      <c r="P382" s="288">
        <v>47771.330392693235</v>
      </c>
      <c r="Q382" s="291">
        <v>96698.170460943642</v>
      </c>
      <c r="R382" s="288">
        <v>24703.542048222549</v>
      </c>
      <c r="S382" s="288">
        <v>7020.9069836549706</v>
      </c>
      <c r="T382" s="290">
        <v>0.751</v>
      </c>
      <c r="U382" s="288">
        <v>0.75800000000000001</v>
      </c>
      <c r="V382" s="288">
        <v>0.723923076923077</v>
      </c>
      <c r="W382" s="288">
        <v>0.72750000000000004</v>
      </c>
      <c r="X382" s="288">
        <v>0.76</v>
      </c>
      <c r="Y382" s="288">
        <v>0</v>
      </c>
      <c r="Z382" s="289">
        <v>0</v>
      </c>
      <c r="AA382" s="229"/>
      <c r="AB382" s="52">
        <v>70661.447470286294</v>
      </c>
      <c r="AC382" s="288">
        <v>3.2331426758164197</v>
      </c>
      <c r="AD382" s="288">
        <v>59682.395466299509</v>
      </c>
      <c r="AE382" s="288">
        <v>3.3581819131022019</v>
      </c>
      <c r="AF382" s="288">
        <v>10979.052003986784</v>
      </c>
      <c r="AG382" s="289">
        <v>-0.12503923728578226</v>
      </c>
      <c r="AH382" s="229"/>
      <c r="AI382" s="205">
        <f t="shared" si="40"/>
        <v>252652.82011135569</v>
      </c>
      <c r="AJ382" s="205">
        <f t="shared" si="41"/>
        <v>276135.79584392067</v>
      </c>
      <c r="AK382" s="205">
        <f t="shared" si="42"/>
        <v>-23482.97573256501</v>
      </c>
      <c r="AL382" s="229"/>
      <c r="AM382" s="52">
        <f t="shared" si="30"/>
        <v>0</v>
      </c>
      <c r="AN382" s="52">
        <f t="shared" si="31"/>
        <v>1</v>
      </c>
      <c r="AO382" s="52">
        <f t="shared" si="32"/>
        <v>0</v>
      </c>
      <c r="AP382" s="229"/>
      <c r="AQ382" s="3"/>
      <c r="AR382" s="3"/>
      <c r="AS382" s="3"/>
      <c r="AT382" s="3"/>
      <c r="AU382" s="229"/>
      <c r="AV382" s="318">
        <f t="shared" si="43"/>
        <v>276135.79584392067</v>
      </c>
      <c r="AW382" s="229"/>
      <c r="AX382" s="312"/>
      <c r="AY382" s="14"/>
      <c r="AZ382" s="14">
        <f t="shared" si="45"/>
        <v>10979.052003986784</v>
      </c>
      <c r="BA382" s="14">
        <f t="shared" si="44"/>
        <v>-0.12503923728578226</v>
      </c>
      <c r="BB382" s="14">
        <f t="shared" si="33"/>
        <v>-87804.854238623637</v>
      </c>
      <c r="BC382" s="14"/>
      <c r="BD382" s="14"/>
      <c r="BE382" s="14"/>
      <c r="BF382" s="14"/>
      <c r="BG382" s="14"/>
      <c r="BH382" s="14"/>
      <c r="BI382" s="14"/>
      <c r="BJ382" s="14"/>
      <c r="BK382" s="14"/>
      <c r="BL382" s="14"/>
      <c r="BM382" s="14"/>
      <c r="BN382" s="14"/>
      <c r="BO382" s="14"/>
      <c r="BP382" s="14"/>
      <c r="BQ382" s="14"/>
      <c r="BR382" s="14"/>
      <c r="BS382" s="14"/>
      <c r="BT382" s="14"/>
      <c r="BU382" s="14"/>
      <c r="BV382" s="14"/>
      <c r="BW382" s="14"/>
      <c r="BX382" s="14"/>
      <c r="BY382" s="14"/>
      <c r="BZ382" s="14"/>
      <c r="CA382" s="14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</row>
    <row r="383" spans="1:101" ht="14.25" customHeight="1" x14ac:dyDescent="0.2">
      <c r="A383" s="286"/>
      <c r="B383" s="52">
        <v>0.15359990975408805</v>
      </c>
      <c r="C383" s="288">
        <v>0.1378778791686234</v>
      </c>
      <c r="D383" s="288">
        <v>1.2391462160535837E-2</v>
      </c>
      <c r="E383" s="288">
        <v>8.9856656792909138E-3</v>
      </c>
      <c r="F383" s="289">
        <v>0.80092135932327246</v>
      </c>
      <c r="G383" s="92">
        <v>0.40483925784186836</v>
      </c>
      <c r="H383" s="288">
        <v>0.34248045710574304</v>
      </c>
      <c r="I383" s="288">
        <v>6.0462394062249479E-3</v>
      </c>
      <c r="J383" s="288">
        <v>0.9984419167006876</v>
      </c>
      <c r="K383" s="288">
        <v>0.72997929121391725</v>
      </c>
      <c r="L383" s="290">
        <v>10803.699476154885</v>
      </c>
      <c r="M383" s="288">
        <v>0</v>
      </c>
      <c r="N383" s="288">
        <v>19961.677741844451</v>
      </c>
      <c r="O383" s="288">
        <v>1317.669078024124</v>
      </c>
      <c r="P383" s="288">
        <v>42462.366228046194</v>
      </c>
      <c r="Q383" s="291">
        <v>120509.71374487811</v>
      </c>
      <c r="R383" s="288">
        <v>21119.044496369894</v>
      </c>
      <c r="S383" s="288">
        <v>4591.3896888108129</v>
      </c>
      <c r="T383" s="290">
        <v>0.751</v>
      </c>
      <c r="U383" s="288">
        <v>0.75800000000000001</v>
      </c>
      <c r="V383" s="288">
        <v>0.723923076923077</v>
      </c>
      <c r="W383" s="288">
        <v>0.72750000000000004</v>
      </c>
      <c r="X383" s="288">
        <v>0.76</v>
      </c>
      <c r="Y383" s="288">
        <v>0</v>
      </c>
      <c r="Z383" s="289">
        <v>0</v>
      </c>
      <c r="AA383" s="229"/>
      <c r="AB383" s="52">
        <v>48097.881862374961</v>
      </c>
      <c r="AC383" s="288">
        <v>3.2397791453266169</v>
      </c>
      <c r="AD383" s="288">
        <v>37319.374728915122</v>
      </c>
      <c r="AE383" s="288">
        <v>2.9164292138174535</v>
      </c>
      <c r="AF383" s="288">
        <v>10778.50713345984</v>
      </c>
      <c r="AG383" s="289">
        <v>0.32334993150916347</v>
      </c>
      <c r="AH383" s="229"/>
      <c r="AI383" s="205">
        <f t="shared" si="40"/>
        <v>275880.03267028672</v>
      </c>
      <c r="AJ383" s="205">
        <f t="shared" si="41"/>
        <v>254323.54665283026</v>
      </c>
      <c r="AK383" s="205">
        <f t="shared" si="42"/>
        <v>21556.486017456507</v>
      </c>
      <c r="AL383" s="229"/>
      <c r="AM383" s="52">
        <f t="shared" si="30"/>
        <v>1</v>
      </c>
      <c r="AN383" s="52">
        <f t="shared" si="31"/>
        <v>0</v>
      </c>
      <c r="AO383" s="52">
        <f t="shared" si="32"/>
        <v>1</v>
      </c>
      <c r="AP383" s="229"/>
      <c r="AQ383" s="3"/>
      <c r="AR383" s="3"/>
      <c r="AS383" s="3"/>
      <c r="AT383" s="3"/>
      <c r="AU383" s="229"/>
      <c r="AV383" s="318">
        <f t="shared" si="43"/>
        <v>275880.03267028672</v>
      </c>
      <c r="AW383" s="229"/>
      <c r="AX383" s="312"/>
      <c r="AY383" s="14"/>
      <c r="AZ383" s="14">
        <f t="shared" si="45"/>
        <v>10778.50713345984</v>
      </c>
      <c r="BA383" s="14">
        <f t="shared" si="44"/>
        <v>0.32334993150916347</v>
      </c>
      <c r="BB383" s="14">
        <f t="shared" si="33"/>
        <v>33333.87789245406</v>
      </c>
      <c r="BC383" s="14"/>
      <c r="BD383" s="14"/>
      <c r="BE383" s="14"/>
      <c r="BF383" s="14"/>
      <c r="BG383" s="14"/>
      <c r="BH383" s="14"/>
      <c r="BI383" s="14"/>
      <c r="BJ383" s="14"/>
      <c r="BK383" s="14"/>
      <c r="BL383" s="14"/>
      <c r="BM383" s="14"/>
      <c r="BN383" s="14"/>
      <c r="BO383" s="14"/>
      <c r="BP383" s="14"/>
      <c r="BQ383" s="14"/>
      <c r="BR383" s="14"/>
      <c r="BS383" s="14"/>
      <c r="BT383" s="14"/>
      <c r="BU383" s="14"/>
      <c r="BV383" s="14"/>
      <c r="BW383" s="14"/>
      <c r="BX383" s="14"/>
      <c r="BY383" s="14"/>
      <c r="BZ383" s="14"/>
      <c r="CA383" s="14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</row>
    <row r="384" spans="1:101" ht="14.25" customHeight="1" x14ac:dyDescent="0.2">
      <c r="A384" s="286"/>
      <c r="B384" s="52">
        <v>0.16533137863360892</v>
      </c>
      <c r="C384" s="288">
        <v>0.13096854545011644</v>
      </c>
      <c r="D384" s="288">
        <v>1.4859789935585677E-2</v>
      </c>
      <c r="E384" s="288">
        <v>5.9567199314155741E-3</v>
      </c>
      <c r="F384" s="289">
        <v>0.76230507063658359</v>
      </c>
      <c r="G384" s="92">
        <v>0.42143460630081642</v>
      </c>
      <c r="H384" s="288">
        <v>0.45631989753830599</v>
      </c>
      <c r="I384" s="288">
        <v>2.1911600218371352E-2</v>
      </c>
      <c r="J384" s="288">
        <v>0.99999999999868394</v>
      </c>
      <c r="K384" s="288">
        <v>0.79025545625204996</v>
      </c>
      <c r="L384" s="290">
        <v>13374.909501282125</v>
      </c>
      <c r="M384" s="288">
        <v>0</v>
      </c>
      <c r="N384" s="288">
        <v>24485.961152870048</v>
      </c>
      <c r="O384" s="288">
        <v>1158.9246392694849</v>
      </c>
      <c r="P384" s="288">
        <v>39707.617681551848</v>
      </c>
      <c r="Q384" s="291">
        <v>103582.31295884868</v>
      </c>
      <c r="R384" s="288">
        <v>18753.415106031152</v>
      </c>
      <c r="S384" s="288">
        <v>7971.7639334038631</v>
      </c>
      <c r="T384" s="290">
        <v>0.751</v>
      </c>
      <c r="U384" s="288">
        <v>0.75800000000000001</v>
      </c>
      <c r="V384" s="288">
        <v>0.723923076923077</v>
      </c>
      <c r="W384" s="288">
        <v>0.72750000000000004</v>
      </c>
      <c r="X384" s="288">
        <v>0.76</v>
      </c>
      <c r="Y384" s="288">
        <v>0</v>
      </c>
      <c r="Z384" s="289">
        <v>0</v>
      </c>
      <c r="AA384" s="229"/>
      <c r="AB384" s="52">
        <v>74403.366069697382</v>
      </c>
      <c r="AC384" s="288">
        <v>3.0604874633098058</v>
      </c>
      <c r="AD384" s="288">
        <v>68405.851729411268</v>
      </c>
      <c r="AE384" s="288">
        <v>3.194787071390786</v>
      </c>
      <c r="AF384" s="288">
        <v>5997.514340286114</v>
      </c>
      <c r="AG384" s="289">
        <v>-0.13429960808098018</v>
      </c>
      <c r="AH384" s="229"/>
      <c r="AI384" s="205">
        <f t="shared" si="40"/>
        <v>231645.38026128319</v>
      </c>
      <c r="AJ384" s="205">
        <f t="shared" si="41"/>
        <v>251072.8554096673</v>
      </c>
      <c r="AK384" s="205">
        <f t="shared" si="42"/>
        <v>-19427.475148384132</v>
      </c>
      <c r="AL384" s="229"/>
      <c r="AM384" s="52">
        <f t="shared" si="30"/>
        <v>0</v>
      </c>
      <c r="AN384" s="52">
        <f t="shared" si="31"/>
        <v>1</v>
      </c>
      <c r="AO384" s="52">
        <f t="shared" si="32"/>
        <v>0</v>
      </c>
      <c r="AP384" s="229"/>
      <c r="AQ384" s="3"/>
      <c r="AR384" s="3"/>
      <c r="AS384" s="3"/>
      <c r="AT384" s="3"/>
      <c r="AU384" s="229"/>
      <c r="AV384" s="318">
        <f t="shared" si="43"/>
        <v>251072.8554096673</v>
      </c>
      <c r="AW384" s="229"/>
      <c r="AX384" s="312"/>
      <c r="AY384" s="14"/>
      <c r="AZ384" s="14">
        <f t="shared" si="45"/>
        <v>5997.514340286114</v>
      </c>
      <c r="BA384" s="14">
        <f t="shared" si="44"/>
        <v>-0.13429960808098018</v>
      </c>
      <c r="BB384" s="14">
        <f t="shared" si="33"/>
        <v>-44657.720346210721</v>
      </c>
      <c r="BC384" s="14"/>
      <c r="BD384" s="14"/>
      <c r="BE384" s="14"/>
      <c r="BF384" s="14"/>
      <c r="BG384" s="14"/>
      <c r="BH384" s="14"/>
      <c r="BI384" s="14"/>
      <c r="BJ384" s="14"/>
      <c r="BK384" s="14"/>
      <c r="BL384" s="14"/>
      <c r="BM384" s="14"/>
      <c r="BN384" s="14"/>
      <c r="BO384" s="14"/>
      <c r="BP384" s="14"/>
      <c r="BQ384" s="14"/>
      <c r="BR384" s="14"/>
      <c r="BS384" s="14"/>
      <c r="BT384" s="14"/>
      <c r="BU384" s="14"/>
      <c r="BV384" s="14"/>
      <c r="BW384" s="14"/>
      <c r="BX384" s="14"/>
      <c r="BY384" s="14"/>
      <c r="BZ384" s="14"/>
      <c r="CA384" s="14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</row>
    <row r="385" spans="1:101" ht="14.25" customHeight="1" x14ac:dyDescent="0.2">
      <c r="A385" s="286"/>
      <c r="B385" s="52">
        <v>0.14082755623562787</v>
      </c>
      <c r="C385" s="288">
        <v>0.44598151342416681</v>
      </c>
      <c r="D385" s="288">
        <v>1.7490315802048184E-2</v>
      </c>
      <c r="E385" s="288">
        <v>1.9582809668275525E-2</v>
      </c>
      <c r="F385" s="289">
        <v>0.80755659208183794</v>
      </c>
      <c r="G385" s="92">
        <v>0.31768095209467423</v>
      </c>
      <c r="H385" s="288">
        <v>0.43392041554860944</v>
      </c>
      <c r="I385" s="288">
        <v>2.3514262002598874E-2</v>
      </c>
      <c r="J385" s="288">
        <v>0.90178568043655882</v>
      </c>
      <c r="K385" s="288">
        <v>0.77570040377769545</v>
      </c>
      <c r="L385" s="290">
        <v>13122.344868985545</v>
      </c>
      <c r="M385" s="288">
        <v>0</v>
      </c>
      <c r="N385" s="288">
        <v>18881.640820730998</v>
      </c>
      <c r="O385" s="288">
        <v>1114.795638744796</v>
      </c>
      <c r="P385" s="288">
        <v>35188.098785162496</v>
      </c>
      <c r="Q385" s="291">
        <v>93465.637775939191</v>
      </c>
      <c r="R385" s="288">
        <v>28528.751464140943</v>
      </c>
      <c r="S385" s="288">
        <v>8492.5581883603845</v>
      </c>
      <c r="T385" s="290">
        <v>0.751</v>
      </c>
      <c r="U385" s="288">
        <v>0.75800000000000001</v>
      </c>
      <c r="V385" s="288">
        <v>0.723923076923077</v>
      </c>
      <c r="W385" s="288">
        <v>0.72750000000000004</v>
      </c>
      <c r="X385" s="288">
        <v>0.76</v>
      </c>
      <c r="Y385" s="288">
        <v>0</v>
      </c>
      <c r="Z385" s="289">
        <v>0</v>
      </c>
      <c r="AA385" s="229"/>
      <c r="AB385" s="52">
        <v>83216.021467672239</v>
      </c>
      <c r="AC385" s="288">
        <v>3.2708213618037068</v>
      </c>
      <c r="AD385" s="288">
        <v>71041.137262879784</v>
      </c>
      <c r="AE385" s="288">
        <v>3.1270467526994867</v>
      </c>
      <c r="AF385" s="288">
        <v>12174.884204792455</v>
      </c>
      <c r="AG385" s="289">
        <v>0.14377460910422002</v>
      </c>
      <c r="AH385" s="229"/>
      <c r="AI385" s="205">
        <f t="shared" si="40"/>
        <v>243866.11471269844</v>
      </c>
      <c r="AJ385" s="205">
        <f t="shared" si="41"/>
        <v>241663.53800706888</v>
      </c>
      <c r="AK385" s="205">
        <f t="shared" si="42"/>
        <v>2202.5767056295463</v>
      </c>
      <c r="AL385" s="229"/>
      <c r="AM385" s="52">
        <f t="shared" si="30"/>
        <v>1</v>
      </c>
      <c r="AN385" s="52">
        <f t="shared" si="31"/>
        <v>0</v>
      </c>
      <c r="AO385" s="52">
        <f t="shared" si="32"/>
        <v>1</v>
      </c>
      <c r="AP385" s="229"/>
      <c r="AQ385" s="3"/>
      <c r="AR385" s="3"/>
      <c r="AS385" s="3"/>
      <c r="AT385" s="3"/>
      <c r="AU385" s="229"/>
      <c r="AV385" s="318">
        <f t="shared" si="43"/>
        <v>243866.11471269844</v>
      </c>
      <c r="AW385" s="229"/>
      <c r="AX385" s="312"/>
      <c r="AY385" s="14"/>
      <c r="AZ385" s="14">
        <f t="shared" si="45"/>
        <v>12174.884204792455</v>
      </c>
      <c r="BA385" s="14">
        <f t="shared" si="44"/>
        <v>0.14377460910422002</v>
      </c>
      <c r="BB385" s="14">
        <f t="shared" si="33"/>
        <v>84680.349893819337</v>
      </c>
      <c r="BC385" s="14"/>
      <c r="BD385" s="14"/>
      <c r="BE385" s="14"/>
      <c r="BF385" s="14"/>
      <c r="BG385" s="14"/>
      <c r="BH385" s="14"/>
      <c r="BI385" s="14"/>
      <c r="BJ385" s="14"/>
      <c r="BK385" s="14"/>
      <c r="BL385" s="14"/>
      <c r="BM385" s="14"/>
      <c r="BN385" s="14"/>
      <c r="BO385" s="14"/>
      <c r="BP385" s="14"/>
      <c r="BQ385" s="14"/>
      <c r="BR385" s="14"/>
      <c r="BS385" s="14"/>
      <c r="BT385" s="14"/>
      <c r="BU385" s="14"/>
      <c r="BV385" s="14"/>
      <c r="BW385" s="14"/>
      <c r="BX385" s="14"/>
      <c r="BY385" s="14"/>
      <c r="BZ385" s="14"/>
      <c r="CA385" s="14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</row>
    <row r="386" spans="1:101" ht="14.25" customHeight="1" x14ac:dyDescent="0.2">
      <c r="A386" s="286"/>
      <c r="B386" s="52">
        <v>0.1137509098869868</v>
      </c>
      <c r="C386" s="288">
        <v>0.20687738252961113</v>
      </c>
      <c r="D386" s="288">
        <v>2.3902517810598933E-2</v>
      </c>
      <c r="E386" s="288">
        <v>1.641085204775794E-2</v>
      </c>
      <c r="F386" s="289">
        <v>0.8170504491485161</v>
      </c>
      <c r="G386" s="92">
        <v>0.400427708385659</v>
      </c>
      <c r="H386" s="288">
        <v>0.98863032452324728</v>
      </c>
      <c r="I386" s="288">
        <v>3.5294908472401909E-2</v>
      </c>
      <c r="J386" s="288">
        <v>0.35477454409984266</v>
      </c>
      <c r="K386" s="288">
        <v>0.71037113452206202</v>
      </c>
      <c r="L386" s="290">
        <v>11093.067236205772</v>
      </c>
      <c r="M386" s="288">
        <v>0</v>
      </c>
      <c r="N386" s="288">
        <v>15478.535927903113</v>
      </c>
      <c r="O386" s="288">
        <v>1248.6527938080062</v>
      </c>
      <c r="P386" s="288">
        <v>44257.743612199105</v>
      </c>
      <c r="Q386" s="291">
        <v>132961.42963932303</v>
      </c>
      <c r="R386" s="288">
        <v>19609.324652929212</v>
      </c>
      <c r="S386" s="288">
        <v>7254.2748126798388</v>
      </c>
      <c r="T386" s="290">
        <v>0.751</v>
      </c>
      <c r="U386" s="288">
        <v>0.75800000000000001</v>
      </c>
      <c r="V386" s="288">
        <v>0.723923076923077</v>
      </c>
      <c r="W386" s="288">
        <v>0.72750000000000004</v>
      </c>
      <c r="X386" s="288">
        <v>0.76</v>
      </c>
      <c r="Y386" s="288">
        <v>0</v>
      </c>
      <c r="Z386" s="289">
        <v>0</v>
      </c>
      <c r="AA386" s="229"/>
      <c r="AB386" s="52">
        <v>70752.659089025154</v>
      </c>
      <c r="AC386" s="288">
        <v>3.3153574319834163</v>
      </c>
      <c r="AD386" s="288">
        <v>61610.491563393633</v>
      </c>
      <c r="AE386" s="288">
        <v>2.8271124306535875</v>
      </c>
      <c r="AF386" s="288">
        <v>9142.1675256315211</v>
      </c>
      <c r="AG386" s="289">
        <v>0.48824500132982873</v>
      </c>
      <c r="AH386" s="229"/>
      <c r="AI386" s="205">
        <f t="shared" si="40"/>
        <v>260783.08410931646</v>
      </c>
      <c r="AJ386" s="205">
        <f t="shared" si="41"/>
        <v>221100.75150196516</v>
      </c>
      <c r="AK386" s="205">
        <f t="shared" si="42"/>
        <v>39682.332607351353</v>
      </c>
      <c r="AL386" s="229"/>
      <c r="AM386" s="52">
        <f t="shared" si="30"/>
        <v>1</v>
      </c>
      <c r="AN386" s="52">
        <f t="shared" si="31"/>
        <v>0</v>
      </c>
      <c r="AO386" s="52">
        <f t="shared" si="32"/>
        <v>1</v>
      </c>
      <c r="AP386" s="229"/>
      <c r="AQ386" s="3"/>
      <c r="AR386" s="3"/>
      <c r="AS386" s="3"/>
      <c r="AT386" s="3"/>
      <c r="AU386" s="229"/>
      <c r="AV386" s="318">
        <f t="shared" si="43"/>
        <v>260783.08410931646</v>
      </c>
      <c r="AW386" s="229"/>
      <c r="AX386" s="312"/>
      <c r="AY386" s="14"/>
      <c r="AZ386" s="14">
        <f t="shared" si="45"/>
        <v>9142.1675256315211</v>
      </c>
      <c r="BA386" s="14">
        <f t="shared" si="44"/>
        <v>0.48824500132982873</v>
      </c>
      <c r="BB386" s="14">
        <f t="shared" si="33"/>
        <v>18724.549152026295</v>
      </c>
      <c r="BC386" s="14"/>
      <c r="BD386" s="14"/>
      <c r="BE386" s="14"/>
      <c r="BF386" s="14"/>
      <c r="BG386" s="14"/>
      <c r="BH386" s="14"/>
      <c r="BI386" s="14"/>
      <c r="BJ386" s="14"/>
      <c r="BK386" s="14"/>
      <c r="BL386" s="14"/>
      <c r="BM386" s="14"/>
      <c r="BN386" s="14"/>
      <c r="BO386" s="14"/>
      <c r="BP386" s="14"/>
      <c r="BQ386" s="14"/>
      <c r="BR386" s="14"/>
      <c r="BS386" s="14"/>
      <c r="BT386" s="14"/>
      <c r="BU386" s="14"/>
      <c r="BV386" s="14"/>
      <c r="BW386" s="14"/>
      <c r="BX386" s="14"/>
      <c r="BY386" s="14"/>
      <c r="BZ386" s="14"/>
      <c r="CA386" s="14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</row>
    <row r="387" spans="1:101" ht="14.25" customHeight="1" x14ac:dyDescent="0.2">
      <c r="A387" s="286"/>
      <c r="B387" s="52">
        <v>0.1732617030186373</v>
      </c>
      <c r="C387" s="288">
        <v>0.78859035910342457</v>
      </c>
      <c r="D387" s="288">
        <v>1.1153158493932992E-2</v>
      </c>
      <c r="E387" s="288">
        <v>1.7648046935365591E-2</v>
      </c>
      <c r="F387" s="289">
        <v>0.80807325929738494</v>
      </c>
      <c r="G387" s="92">
        <v>0.39385025196317891</v>
      </c>
      <c r="H387" s="288">
        <v>0.24097769616917572</v>
      </c>
      <c r="I387" s="288">
        <v>1.7662503002731755E-2</v>
      </c>
      <c r="J387" s="288">
        <v>0.99996568252358875</v>
      </c>
      <c r="K387" s="288">
        <v>0.78152776913131061</v>
      </c>
      <c r="L387" s="290">
        <v>11200.214271721767</v>
      </c>
      <c r="M387" s="288">
        <v>0</v>
      </c>
      <c r="N387" s="288">
        <v>13828.208048734536</v>
      </c>
      <c r="O387" s="288">
        <v>1313.0528944569237</v>
      </c>
      <c r="P387" s="288">
        <v>34816.530518440908</v>
      </c>
      <c r="Q387" s="291">
        <v>81849.656157672813</v>
      </c>
      <c r="R387" s="288">
        <v>18325.558244276057</v>
      </c>
      <c r="S387" s="288">
        <v>7016.4298059253351</v>
      </c>
      <c r="T387" s="290">
        <v>0.751</v>
      </c>
      <c r="U387" s="288">
        <v>0.75800000000000001</v>
      </c>
      <c r="V387" s="288">
        <v>0.723923076923077</v>
      </c>
      <c r="W387" s="288">
        <v>0.72750000000000004</v>
      </c>
      <c r="X387" s="288">
        <v>0.76</v>
      </c>
      <c r="Y387" s="288">
        <v>0</v>
      </c>
      <c r="Z387" s="289">
        <v>0</v>
      </c>
      <c r="AA387" s="229"/>
      <c r="AB387" s="52">
        <v>70235.282911746443</v>
      </c>
      <c r="AC387" s="288">
        <v>3.2732414312316411</v>
      </c>
      <c r="AD387" s="288">
        <v>57913.287420075882</v>
      </c>
      <c r="AE387" s="288">
        <v>3.1541276696694096</v>
      </c>
      <c r="AF387" s="288">
        <v>12321.995491670561</v>
      </c>
      <c r="AG387" s="289">
        <v>0.11911376156223152</v>
      </c>
      <c r="AH387" s="229"/>
      <c r="AI387" s="205">
        <f t="shared" si="40"/>
        <v>257088.86021141769</v>
      </c>
      <c r="AJ387" s="205">
        <f t="shared" si="41"/>
        <v>257499.47954686507</v>
      </c>
      <c r="AK387" s="205">
        <f t="shared" si="42"/>
        <v>-410.61933544740896</v>
      </c>
      <c r="AL387" s="229"/>
      <c r="AM387" s="52">
        <f t="shared" si="30"/>
        <v>0</v>
      </c>
      <c r="AN387" s="52">
        <f t="shared" si="31"/>
        <v>1</v>
      </c>
      <c r="AO387" s="52">
        <f t="shared" si="32"/>
        <v>0</v>
      </c>
      <c r="AP387" s="229"/>
      <c r="AQ387" s="3"/>
      <c r="AR387" s="3"/>
      <c r="AS387" s="3"/>
      <c r="AT387" s="3"/>
      <c r="AU387" s="229"/>
      <c r="AV387" s="318">
        <f t="shared" si="43"/>
        <v>257499.47954686507</v>
      </c>
      <c r="AW387" s="229"/>
      <c r="AX387" s="312"/>
      <c r="AY387" s="14"/>
      <c r="AZ387" s="14">
        <f t="shared" si="45"/>
        <v>12321.995491670561</v>
      </c>
      <c r="BA387" s="14">
        <f t="shared" si="44"/>
        <v>0.11911376156223152</v>
      </c>
      <c r="BB387" s="14">
        <f t="shared" si="33"/>
        <v>103447.28711495589</v>
      </c>
      <c r="BC387" s="14"/>
      <c r="BD387" s="14"/>
      <c r="BE387" s="14"/>
      <c r="BF387" s="14"/>
      <c r="BG387" s="14"/>
      <c r="BH387" s="14"/>
      <c r="BI387" s="14"/>
      <c r="BJ387" s="14"/>
      <c r="BK387" s="14"/>
      <c r="BL387" s="14"/>
      <c r="BM387" s="14"/>
      <c r="BN387" s="14"/>
      <c r="BO387" s="14"/>
      <c r="BP387" s="14"/>
      <c r="BQ387" s="14"/>
      <c r="BR387" s="14"/>
      <c r="BS387" s="14"/>
      <c r="BT387" s="14"/>
      <c r="BU387" s="14"/>
      <c r="BV387" s="14"/>
      <c r="BW387" s="14"/>
      <c r="BX387" s="14"/>
      <c r="BY387" s="14"/>
      <c r="BZ387" s="14"/>
      <c r="CA387" s="14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</row>
    <row r="388" spans="1:101" ht="14.25" customHeight="1" x14ac:dyDescent="0.2">
      <c r="A388" s="286"/>
      <c r="B388" s="52">
        <v>0.14937385775693196</v>
      </c>
      <c r="C388" s="288">
        <v>0.18377001922701877</v>
      </c>
      <c r="D388" s="288">
        <v>8.9558642794113057E-3</v>
      </c>
      <c r="E388" s="288">
        <v>9.0425637859017517E-3</v>
      </c>
      <c r="F388" s="289">
        <v>0.76927200461262468</v>
      </c>
      <c r="G388" s="92">
        <v>0.43857272869627617</v>
      </c>
      <c r="H388" s="288">
        <v>0.53282601659549289</v>
      </c>
      <c r="I388" s="288">
        <v>1.1867110506556677E-2</v>
      </c>
      <c r="J388" s="288">
        <v>0.9744865249936896</v>
      </c>
      <c r="K388" s="288">
        <v>0.7457611525137855</v>
      </c>
      <c r="L388" s="290">
        <v>11442.479924156363</v>
      </c>
      <c r="M388" s="288">
        <v>0</v>
      </c>
      <c r="N388" s="288">
        <v>21351.108342985641</v>
      </c>
      <c r="O388" s="288">
        <v>1364.0721192584583</v>
      </c>
      <c r="P388" s="288">
        <v>52867.354136469381</v>
      </c>
      <c r="Q388" s="291">
        <v>119114.280564695</v>
      </c>
      <c r="R388" s="288">
        <v>26778.001429449399</v>
      </c>
      <c r="S388" s="288">
        <v>8604.3443688028601</v>
      </c>
      <c r="T388" s="290">
        <v>0.751</v>
      </c>
      <c r="U388" s="288">
        <v>0.75800000000000001</v>
      </c>
      <c r="V388" s="288">
        <v>0.723923076923077</v>
      </c>
      <c r="W388" s="288">
        <v>0.72750000000000004</v>
      </c>
      <c r="X388" s="288">
        <v>0.76</v>
      </c>
      <c r="Y388" s="288">
        <v>0</v>
      </c>
      <c r="Z388" s="289">
        <v>0</v>
      </c>
      <c r="AA388" s="229"/>
      <c r="AB388" s="52">
        <v>78085.583398547635</v>
      </c>
      <c r="AC388" s="288">
        <v>3.0926613355511141</v>
      </c>
      <c r="AD388" s="288">
        <v>71788.789041265351</v>
      </c>
      <c r="AE388" s="288">
        <v>2.988757087361773</v>
      </c>
      <c r="AF388" s="288">
        <v>6296.7943572822842</v>
      </c>
      <c r="AG388" s="289">
        <v>0.10390424818934108</v>
      </c>
      <c r="AH388" s="229"/>
      <c r="AI388" s="205">
        <f t="shared" si="40"/>
        <v>231180.55015656378</v>
      </c>
      <c r="AJ388" s="205">
        <f t="shared" si="41"/>
        <v>227086.91969491195</v>
      </c>
      <c r="AK388" s="205">
        <f t="shared" si="42"/>
        <v>4093.6304616518228</v>
      </c>
      <c r="AL388" s="229"/>
      <c r="AM388" s="52">
        <f t="shared" si="30"/>
        <v>1</v>
      </c>
      <c r="AN388" s="52">
        <f t="shared" si="31"/>
        <v>0</v>
      </c>
      <c r="AO388" s="52">
        <f t="shared" si="32"/>
        <v>1</v>
      </c>
      <c r="AP388" s="229"/>
      <c r="AQ388" s="3"/>
      <c r="AR388" s="3"/>
      <c r="AS388" s="3"/>
      <c r="AT388" s="3"/>
      <c r="AU388" s="229"/>
      <c r="AV388" s="318">
        <f t="shared" si="43"/>
        <v>231180.55015656378</v>
      </c>
      <c r="AW388" s="229"/>
      <c r="AX388" s="312"/>
      <c r="AY388" s="14"/>
      <c r="AZ388" s="14">
        <f t="shared" si="45"/>
        <v>6296.7943572822842</v>
      </c>
      <c r="BA388" s="14">
        <f t="shared" si="44"/>
        <v>0.10390424818934108</v>
      </c>
      <c r="BB388" s="14">
        <f t="shared" si="33"/>
        <v>60601.895177643324</v>
      </c>
      <c r="BC388" s="14"/>
      <c r="BD388" s="14"/>
      <c r="BE388" s="14"/>
      <c r="BF388" s="14"/>
      <c r="BG388" s="14"/>
      <c r="BH388" s="14"/>
      <c r="BI388" s="14"/>
      <c r="BJ388" s="14"/>
      <c r="BK388" s="14"/>
      <c r="BL388" s="14"/>
      <c r="BM388" s="14"/>
      <c r="BN388" s="14"/>
      <c r="BO388" s="14"/>
      <c r="BP388" s="14"/>
      <c r="BQ388" s="14"/>
      <c r="BR388" s="14"/>
      <c r="BS388" s="14"/>
      <c r="BT388" s="14"/>
      <c r="BU388" s="14"/>
      <c r="BV388" s="14"/>
      <c r="BW388" s="14"/>
      <c r="BX388" s="14"/>
      <c r="BY388" s="14"/>
      <c r="BZ388" s="14"/>
      <c r="CA388" s="14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</row>
    <row r="389" spans="1:101" ht="14.25" customHeight="1" x14ac:dyDescent="0.2">
      <c r="A389" s="286"/>
      <c r="B389" s="52">
        <v>0.18014723227584295</v>
      </c>
      <c r="C389" s="288">
        <v>0.32399264185949639</v>
      </c>
      <c r="D389" s="288">
        <v>1.5126849489132232E-2</v>
      </c>
      <c r="E389" s="288">
        <v>3.4486437225291322E-2</v>
      </c>
      <c r="F389" s="289">
        <v>0.77740161682892739</v>
      </c>
      <c r="G389" s="92">
        <v>0.44607295838271255</v>
      </c>
      <c r="H389" s="288">
        <v>0.96701773052951423</v>
      </c>
      <c r="I389" s="288">
        <v>8.0252862860671972E-3</v>
      </c>
      <c r="J389" s="288">
        <v>0.99999984261842767</v>
      </c>
      <c r="K389" s="288">
        <v>0.77740582424141502</v>
      </c>
      <c r="L389" s="290">
        <v>12648.974754309262</v>
      </c>
      <c r="M389" s="288">
        <v>0</v>
      </c>
      <c r="N389" s="288">
        <v>12110.932216308203</v>
      </c>
      <c r="O389" s="288">
        <v>958.79566199111366</v>
      </c>
      <c r="P389" s="288">
        <v>41034.224220997756</v>
      </c>
      <c r="Q389" s="291">
        <v>116424.34162361456</v>
      </c>
      <c r="R389" s="288">
        <v>23716.519045201389</v>
      </c>
      <c r="S389" s="288">
        <v>8993.452708779525</v>
      </c>
      <c r="T389" s="290">
        <v>0.751</v>
      </c>
      <c r="U389" s="288">
        <v>0.75800000000000001</v>
      </c>
      <c r="V389" s="288">
        <v>0.723923076923077</v>
      </c>
      <c r="W389" s="288">
        <v>0.72750000000000004</v>
      </c>
      <c r="X389" s="288">
        <v>0.76</v>
      </c>
      <c r="Y389" s="288">
        <v>0</v>
      </c>
      <c r="Z389" s="289">
        <v>0</v>
      </c>
      <c r="AA389" s="229"/>
      <c r="AB389" s="52">
        <v>83760.278890494548</v>
      </c>
      <c r="AC389" s="288">
        <v>3.1303008014910447</v>
      </c>
      <c r="AD389" s="288">
        <v>80927.181310170723</v>
      </c>
      <c r="AE389" s="288">
        <v>3.1349666379581715</v>
      </c>
      <c r="AF389" s="288">
        <v>2833.0975803238252</v>
      </c>
      <c r="AG389" s="289">
        <v>-4.665836467126816E-3</v>
      </c>
      <c r="AH389" s="229"/>
      <c r="AI389" s="205">
        <f t="shared" si="40"/>
        <v>229269.80125860992</v>
      </c>
      <c r="AJ389" s="205">
        <f t="shared" si="41"/>
        <v>232569.48248564644</v>
      </c>
      <c r="AK389" s="205">
        <f t="shared" si="42"/>
        <v>-3299.6812270365067</v>
      </c>
      <c r="AL389" s="229"/>
      <c r="AM389" s="52">
        <f t="shared" si="30"/>
        <v>0</v>
      </c>
      <c r="AN389" s="52">
        <f t="shared" si="31"/>
        <v>1</v>
      </c>
      <c r="AO389" s="52">
        <f t="shared" si="32"/>
        <v>0</v>
      </c>
      <c r="AP389" s="229"/>
      <c r="AQ389" s="3"/>
      <c r="AR389" s="3"/>
      <c r="AS389" s="3"/>
      <c r="AT389" s="3"/>
      <c r="AU389" s="229"/>
      <c r="AV389" s="318">
        <f t="shared" si="43"/>
        <v>232569.48248564644</v>
      </c>
      <c r="AW389" s="229"/>
      <c r="AX389" s="312"/>
      <c r="AY389" s="14"/>
      <c r="AZ389" s="14">
        <f t="shared" si="45"/>
        <v>2833.0975803238252</v>
      </c>
      <c r="BA389" s="14">
        <f t="shared" si="44"/>
        <v>-4.665836467126816E-3</v>
      </c>
      <c r="BB389" s="14">
        <f t="shared" si="33"/>
        <v>-607200.3595249072</v>
      </c>
      <c r="BC389" s="14"/>
      <c r="BD389" s="14"/>
      <c r="BE389" s="14"/>
      <c r="BF389" s="14"/>
      <c r="BG389" s="14"/>
      <c r="BH389" s="14"/>
      <c r="BI389" s="14"/>
      <c r="BJ389" s="14"/>
      <c r="BK389" s="14"/>
      <c r="BL389" s="14"/>
      <c r="BM389" s="14"/>
      <c r="BN389" s="14"/>
      <c r="BO389" s="14"/>
      <c r="BP389" s="14"/>
      <c r="BQ389" s="14"/>
      <c r="BR389" s="14"/>
      <c r="BS389" s="14"/>
      <c r="BT389" s="14"/>
      <c r="BU389" s="14"/>
      <c r="BV389" s="14"/>
      <c r="BW389" s="14"/>
      <c r="BX389" s="14"/>
      <c r="BY389" s="14"/>
      <c r="BZ389" s="14"/>
      <c r="CA389" s="14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</row>
    <row r="390" spans="1:101" ht="14.25" customHeight="1" x14ac:dyDescent="0.2">
      <c r="A390" s="286"/>
      <c r="B390" s="52">
        <v>0.13167590207351054</v>
      </c>
      <c r="C390" s="288">
        <v>5.4593446163508572E-2</v>
      </c>
      <c r="D390" s="288">
        <v>2.2590203053692304E-2</v>
      </c>
      <c r="E390" s="288">
        <v>2.2651276814704024E-2</v>
      </c>
      <c r="F390" s="289">
        <v>0.75508077299719534</v>
      </c>
      <c r="G390" s="92">
        <v>0.37780067640205878</v>
      </c>
      <c r="H390" s="288">
        <v>0.40074694547776435</v>
      </c>
      <c r="I390" s="288">
        <v>1.7770679671099243E-2</v>
      </c>
      <c r="J390" s="288">
        <v>0.99959865022628835</v>
      </c>
      <c r="K390" s="288">
        <v>0.78147895594569716</v>
      </c>
      <c r="L390" s="290">
        <v>13626.99235120839</v>
      </c>
      <c r="M390" s="288">
        <v>0</v>
      </c>
      <c r="N390" s="288">
        <v>21949.905055145944</v>
      </c>
      <c r="O390" s="288">
        <v>1387.2700375133788</v>
      </c>
      <c r="P390" s="288">
        <v>42893.323463196262</v>
      </c>
      <c r="Q390" s="291">
        <v>95287.108273858175</v>
      </c>
      <c r="R390" s="288">
        <v>33803.700588374311</v>
      </c>
      <c r="S390" s="288">
        <v>10515.150707707626</v>
      </c>
      <c r="T390" s="290">
        <v>0.751</v>
      </c>
      <c r="U390" s="288">
        <v>0.75800000000000001</v>
      </c>
      <c r="V390" s="288">
        <v>0.723923076923077</v>
      </c>
      <c r="W390" s="288">
        <v>0.72750000000000004</v>
      </c>
      <c r="X390" s="288">
        <v>0.76</v>
      </c>
      <c r="Y390" s="288">
        <v>0</v>
      </c>
      <c r="Z390" s="289">
        <v>0</v>
      </c>
      <c r="AA390" s="229"/>
      <c r="AB390" s="52">
        <v>92962.523938029888</v>
      </c>
      <c r="AC390" s="288">
        <v>3.0272054672012021</v>
      </c>
      <c r="AD390" s="288">
        <v>88578.282397164105</v>
      </c>
      <c r="AE390" s="288">
        <v>3.1539006028553445</v>
      </c>
      <c r="AF390" s="288">
        <v>4384.2415408657835</v>
      </c>
      <c r="AG390" s="289">
        <v>-0.12669513565414237</v>
      </c>
      <c r="AH390" s="229"/>
      <c r="AI390" s="205">
        <f t="shared" si="40"/>
        <v>209758.02278209029</v>
      </c>
      <c r="AJ390" s="205">
        <f t="shared" si="41"/>
        <v>226811.77788837033</v>
      </c>
      <c r="AK390" s="205">
        <f t="shared" si="42"/>
        <v>-17053.755106280019</v>
      </c>
      <c r="AL390" s="229"/>
      <c r="AM390" s="52">
        <f t="shared" si="30"/>
        <v>0</v>
      </c>
      <c r="AN390" s="52">
        <f t="shared" si="31"/>
        <v>1</v>
      </c>
      <c r="AO390" s="52">
        <f t="shared" si="32"/>
        <v>0</v>
      </c>
      <c r="AP390" s="229"/>
      <c r="AQ390" s="3"/>
      <c r="AR390" s="3"/>
      <c r="AS390" s="3"/>
      <c r="AT390" s="3"/>
      <c r="AU390" s="229"/>
      <c r="AV390" s="318">
        <f t="shared" si="43"/>
        <v>226811.77788837033</v>
      </c>
      <c r="AW390" s="229"/>
      <c r="AX390" s="312"/>
      <c r="AY390" s="14"/>
      <c r="AZ390" s="14">
        <f t="shared" si="45"/>
        <v>4384.2415408657835</v>
      </c>
      <c r="BA390" s="14">
        <f t="shared" si="44"/>
        <v>-0.12669513565414237</v>
      </c>
      <c r="BB390" s="14">
        <f t="shared" si="33"/>
        <v>-34604.65564229765</v>
      </c>
      <c r="BC390" s="14"/>
      <c r="BD390" s="14"/>
      <c r="BE390" s="14"/>
      <c r="BF390" s="14"/>
      <c r="BG390" s="14"/>
      <c r="BH390" s="14"/>
      <c r="BI390" s="14"/>
      <c r="BJ390" s="14"/>
      <c r="BK390" s="14"/>
      <c r="BL390" s="14"/>
      <c r="BM390" s="14"/>
      <c r="BN390" s="14"/>
      <c r="BO390" s="14"/>
      <c r="BP390" s="14"/>
      <c r="BQ390" s="14"/>
      <c r="BR390" s="14"/>
      <c r="BS390" s="14"/>
      <c r="BT390" s="14"/>
      <c r="BU390" s="14"/>
      <c r="BV390" s="14"/>
      <c r="BW390" s="14"/>
      <c r="BX390" s="14"/>
      <c r="BY390" s="14"/>
      <c r="BZ390" s="14"/>
      <c r="CA390" s="14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</row>
    <row r="391" spans="1:101" ht="14.25" customHeight="1" x14ac:dyDescent="0.2">
      <c r="A391" s="286"/>
      <c r="B391" s="52">
        <v>0.181993315721802</v>
      </c>
      <c r="C391" s="288">
        <v>0.10243679969907139</v>
      </c>
      <c r="D391" s="288">
        <v>2.3414524371188072E-2</v>
      </c>
      <c r="E391" s="288">
        <v>3.5154405678607392E-2</v>
      </c>
      <c r="F391" s="289">
        <v>0.78940763568393635</v>
      </c>
      <c r="G391" s="92">
        <v>0.44099222616509781</v>
      </c>
      <c r="H391" s="288">
        <v>0.623765083863004</v>
      </c>
      <c r="I391" s="288">
        <v>8.2556519639707272E-3</v>
      </c>
      <c r="J391" s="288">
        <v>2.2322474048351538E-5</v>
      </c>
      <c r="K391" s="288">
        <v>0.73324250071623998</v>
      </c>
      <c r="L391" s="290">
        <v>11718.480090179773</v>
      </c>
      <c r="M391" s="288">
        <v>0</v>
      </c>
      <c r="N391" s="288">
        <v>18774.495673154339</v>
      </c>
      <c r="O391" s="288">
        <v>1251.2788100603916</v>
      </c>
      <c r="P391" s="288">
        <v>30812.813011702889</v>
      </c>
      <c r="Q391" s="291">
        <v>77492.951545097327</v>
      </c>
      <c r="R391" s="288">
        <v>26487.780052347596</v>
      </c>
      <c r="S391" s="288">
        <v>7474.1702536256853</v>
      </c>
      <c r="T391" s="290">
        <v>0.751</v>
      </c>
      <c r="U391" s="288">
        <v>0.75800000000000001</v>
      </c>
      <c r="V391" s="288">
        <v>0.723923076923077</v>
      </c>
      <c r="W391" s="288">
        <v>0.72750000000000004</v>
      </c>
      <c r="X391" s="288">
        <v>0.76</v>
      </c>
      <c r="Y391" s="288">
        <v>0</v>
      </c>
      <c r="Z391" s="289">
        <v>0</v>
      </c>
      <c r="AA391" s="229"/>
      <c r="AB391" s="52">
        <v>71202.799077979784</v>
      </c>
      <c r="AC391" s="288">
        <v>3.1860773171270984</v>
      </c>
      <c r="AD391" s="288">
        <v>62717.64964528643</v>
      </c>
      <c r="AE391" s="288">
        <v>2.9313522252404938</v>
      </c>
      <c r="AF391" s="288">
        <v>8485.1494326933534</v>
      </c>
      <c r="AG391" s="289">
        <v>0.25472509188660464</v>
      </c>
      <c r="AH391" s="229"/>
      <c r="AI391" s="205">
        <f t="shared" si="40"/>
        <v>247404.93263473004</v>
      </c>
      <c r="AJ391" s="205">
        <f t="shared" si="41"/>
        <v>230417.57287876296</v>
      </c>
      <c r="AK391" s="205">
        <f t="shared" si="42"/>
        <v>16987.359755967111</v>
      </c>
      <c r="AL391" s="229"/>
      <c r="AM391" s="52">
        <f t="shared" si="30"/>
        <v>1</v>
      </c>
      <c r="AN391" s="52">
        <f t="shared" si="31"/>
        <v>0</v>
      </c>
      <c r="AO391" s="52">
        <f t="shared" si="32"/>
        <v>1</v>
      </c>
      <c r="AP391" s="229"/>
      <c r="AQ391" s="3"/>
      <c r="AR391" s="3"/>
      <c r="AS391" s="3"/>
      <c r="AT391" s="3"/>
      <c r="AU391" s="229"/>
      <c r="AV391" s="318">
        <f t="shared" si="43"/>
        <v>247404.93263473004</v>
      </c>
      <c r="AW391" s="229"/>
      <c r="AX391" s="312"/>
      <c r="AY391" s="14"/>
      <c r="AZ391" s="14">
        <f t="shared" si="45"/>
        <v>8485.1494326933534</v>
      </c>
      <c r="BA391" s="14">
        <f t="shared" si="44"/>
        <v>0.25472509188660464</v>
      </c>
      <c r="BB391" s="14">
        <f t="shared" si="33"/>
        <v>33311.007446689495</v>
      </c>
      <c r="BC391" s="14"/>
      <c r="BD391" s="14"/>
      <c r="BE391" s="14"/>
      <c r="BF391" s="14"/>
      <c r="BG391" s="14"/>
      <c r="BH391" s="14"/>
      <c r="BI391" s="14"/>
      <c r="BJ391" s="14"/>
      <c r="BK391" s="14"/>
      <c r="BL391" s="14"/>
      <c r="BM391" s="14"/>
      <c r="BN391" s="14"/>
      <c r="BO391" s="14"/>
      <c r="BP391" s="14"/>
      <c r="BQ391" s="14"/>
      <c r="BR391" s="14"/>
      <c r="BS391" s="14"/>
      <c r="BT391" s="14"/>
      <c r="BU391" s="14"/>
      <c r="BV391" s="14"/>
      <c r="BW391" s="14"/>
      <c r="BX391" s="14"/>
      <c r="BY391" s="14"/>
      <c r="BZ391" s="14"/>
      <c r="CA391" s="14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</row>
    <row r="392" spans="1:101" ht="14.25" customHeight="1" x14ac:dyDescent="0.2">
      <c r="A392" s="286"/>
      <c r="B392" s="52">
        <v>0.14175834057024372</v>
      </c>
      <c r="C392" s="288">
        <v>9.1874576460276552E-2</v>
      </c>
      <c r="D392" s="288">
        <v>1.3214051799270658E-2</v>
      </c>
      <c r="E392" s="288">
        <v>2.2251545695943786E-2</v>
      </c>
      <c r="F392" s="289">
        <v>0.82367632318149098</v>
      </c>
      <c r="G392" s="92">
        <v>0.46829055644387219</v>
      </c>
      <c r="H392" s="288">
        <v>9.3310535411795556E-2</v>
      </c>
      <c r="I392" s="288">
        <v>5.3233329233575823E-3</v>
      </c>
      <c r="J392" s="288">
        <v>0.235269624220042</v>
      </c>
      <c r="K392" s="288">
        <v>0.78539012576546785</v>
      </c>
      <c r="L392" s="290">
        <v>9464.2938335626914</v>
      </c>
      <c r="M392" s="288">
        <v>0</v>
      </c>
      <c r="N392" s="288">
        <v>21394.430954468669</v>
      </c>
      <c r="O392" s="288">
        <v>1567.3409170634088</v>
      </c>
      <c r="P392" s="288">
        <v>52589.01977539956</v>
      </c>
      <c r="Q392" s="291">
        <v>131743.88413416414</v>
      </c>
      <c r="R392" s="288">
        <v>20914.974021553997</v>
      </c>
      <c r="S392" s="288">
        <v>10109.53421652406</v>
      </c>
      <c r="T392" s="290">
        <v>0.751</v>
      </c>
      <c r="U392" s="288">
        <v>0.75800000000000001</v>
      </c>
      <c r="V392" s="288">
        <v>0.723923076923077</v>
      </c>
      <c r="W392" s="288">
        <v>0.72750000000000004</v>
      </c>
      <c r="X392" s="288">
        <v>0.76</v>
      </c>
      <c r="Y392" s="288">
        <v>0</v>
      </c>
      <c r="Z392" s="289">
        <v>0</v>
      </c>
      <c r="AA392" s="229"/>
      <c r="AB392" s="52">
        <v>92664.914628110346</v>
      </c>
      <c r="AC392" s="288">
        <v>3.3465234405716204</v>
      </c>
      <c r="AD392" s="288">
        <v>81192.967686495424</v>
      </c>
      <c r="AE392" s="288">
        <v>3.1721062989837625</v>
      </c>
      <c r="AF392" s="288">
        <v>11471.946941614922</v>
      </c>
      <c r="AG392" s="289">
        <v>0.17441714158785793</v>
      </c>
      <c r="AH392" s="229"/>
      <c r="AI392" s="205">
        <f t="shared" si="40"/>
        <v>241987.4294290517</v>
      </c>
      <c r="AJ392" s="205">
        <f t="shared" si="41"/>
        <v>236017.66221188082</v>
      </c>
      <c r="AK392" s="205">
        <f t="shared" si="42"/>
        <v>5969.7672171708691</v>
      </c>
      <c r="AL392" s="229"/>
      <c r="AM392" s="52">
        <f t="shared" si="30"/>
        <v>1</v>
      </c>
      <c r="AN392" s="52">
        <f t="shared" si="31"/>
        <v>0</v>
      </c>
      <c r="AO392" s="52">
        <f t="shared" si="32"/>
        <v>1</v>
      </c>
      <c r="AP392" s="229"/>
      <c r="AQ392" s="3"/>
      <c r="AR392" s="3"/>
      <c r="AS392" s="3"/>
      <c r="AT392" s="3"/>
      <c r="AU392" s="229"/>
      <c r="AV392" s="318">
        <f t="shared" si="43"/>
        <v>241987.4294290517</v>
      </c>
      <c r="AW392" s="229"/>
      <c r="AX392" s="312"/>
      <c r="AY392" s="14"/>
      <c r="AZ392" s="14">
        <f t="shared" si="45"/>
        <v>11471.946941614922</v>
      </c>
      <c r="BA392" s="14">
        <f t="shared" si="44"/>
        <v>0.17441714158785793</v>
      </c>
      <c r="BB392" s="14">
        <f t="shared" si="33"/>
        <v>65773.047518017251</v>
      </c>
      <c r="BC392" s="14"/>
      <c r="BD392" s="14"/>
      <c r="BE392" s="14"/>
      <c r="BF392" s="14"/>
      <c r="BG392" s="14"/>
      <c r="BH392" s="14"/>
      <c r="BI392" s="14"/>
      <c r="BJ392" s="14"/>
      <c r="BK392" s="14"/>
      <c r="BL392" s="14"/>
      <c r="BM392" s="14"/>
      <c r="BN392" s="14"/>
      <c r="BO392" s="14"/>
      <c r="BP392" s="14"/>
      <c r="BQ392" s="14"/>
      <c r="BR392" s="14"/>
      <c r="BS392" s="14"/>
      <c r="BT392" s="14"/>
      <c r="BU392" s="14"/>
      <c r="BV392" s="14"/>
      <c r="BW392" s="14"/>
      <c r="BX392" s="14"/>
      <c r="BY392" s="14"/>
      <c r="BZ392" s="14"/>
      <c r="CA392" s="14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</row>
    <row r="393" spans="1:101" ht="14.25" customHeight="1" x14ac:dyDescent="0.2">
      <c r="A393" s="286"/>
      <c r="B393" s="52">
        <v>0.1462877066827441</v>
      </c>
      <c r="C393" s="288">
        <v>0.37588800617485374</v>
      </c>
      <c r="D393" s="288">
        <v>2.1447941451730346E-2</v>
      </c>
      <c r="E393" s="288">
        <v>2.3479723339732472E-2</v>
      </c>
      <c r="F393" s="289">
        <v>0.74531339769123228</v>
      </c>
      <c r="G393" s="92">
        <v>0.39552936933497951</v>
      </c>
      <c r="H393" s="288">
        <v>0.15445213879925093</v>
      </c>
      <c r="I393" s="288">
        <v>1.0627876068021251E-2</v>
      </c>
      <c r="J393" s="288">
        <v>0.99999437154662263</v>
      </c>
      <c r="K393" s="288">
        <v>0.75012200184708677</v>
      </c>
      <c r="L393" s="290">
        <v>12013.127171942127</v>
      </c>
      <c r="M393" s="288">
        <v>0</v>
      </c>
      <c r="N393" s="288">
        <v>22584.381489231113</v>
      </c>
      <c r="O393" s="288">
        <v>995.38918037410053</v>
      </c>
      <c r="P393" s="288">
        <v>25809.166084803175</v>
      </c>
      <c r="Q393" s="291">
        <v>89171.934454103321</v>
      </c>
      <c r="R393" s="288">
        <v>20667.910545742285</v>
      </c>
      <c r="S393" s="288">
        <v>9945.7440595358821</v>
      </c>
      <c r="T393" s="290">
        <v>0.751</v>
      </c>
      <c r="U393" s="288">
        <v>0.75800000000000001</v>
      </c>
      <c r="V393" s="288">
        <v>0.723923076923077</v>
      </c>
      <c r="W393" s="288">
        <v>0.72750000000000004</v>
      </c>
      <c r="X393" s="288">
        <v>0.76</v>
      </c>
      <c r="Y393" s="288">
        <v>0</v>
      </c>
      <c r="Z393" s="289">
        <v>0</v>
      </c>
      <c r="AA393" s="229"/>
      <c r="AB393" s="52">
        <v>86981.207879727168</v>
      </c>
      <c r="AC393" s="288">
        <v>2.9823377903691219</v>
      </c>
      <c r="AD393" s="288">
        <v>76646.75167984626</v>
      </c>
      <c r="AE393" s="288">
        <v>3.008811978583311</v>
      </c>
      <c r="AF393" s="288">
        <v>10334.456199880908</v>
      </c>
      <c r="AG393" s="289">
        <v>-2.6474188214189009E-2</v>
      </c>
      <c r="AH393" s="229"/>
      <c r="AI393" s="205">
        <f t="shared" si="40"/>
        <v>211252.57115718501</v>
      </c>
      <c r="AJ393" s="205">
        <f t="shared" si="41"/>
        <v>224234.44617848482</v>
      </c>
      <c r="AK393" s="205">
        <f t="shared" si="42"/>
        <v>-12981.875021299809</v>
      </c>
      <c r="AL393" s="229"/>
      <c r="AM393" s="52">
        <f t="shared" si="30"/>
        <v>0</v>
      </c>
      <c r="AN393" s="52">
        <f t="shared" si="31"/>
        <v>1</v>
      </c>
      <c r="AO393" s="52">
        <f t="shared" si="32"/>
        <v>0</v>
      </c>
      <c r="AP393" s="229"/>
      <c r="AQ393" s="3"/>
      <c r="AR393" s="3"/>
      <c r="AS393" s="3"/>
      <c r="AT393" s="3"/>
      <c r="AU393" s="229"/>
      <c r="AV393" s="318">
        <f t="shared" si="43"/>
        <v>224234.44617848482</v>
      </c>
      <c r="AW393" s="229"/>
      <c r="AX393" s="312"/>
      <c r="AY393" s="14"/>
      <c r="AZ393" s="14">
        <f t="shared" si="45"/>
        <v>10334.456199880908</v>
      </c>
      <c r="BA393" s="14">
        <f t="shared" si="44"/>
        <v>-2.6474188214189009E-2</v>
      </c>
      <c r="BB393" s="14">
        <f t="shared" si="33"/>
        <v>-390359.70116515568</v>
      </c>
      <c r="BC393" s="14"/>
      <c r="BD393" s="14"/>
      <c r="BE393" s="14"/>
      <c r="BF393" s="14"/>
      <c r="BG393" s="14"/>
      <c r="BH393" s="14"/>
      <c r="BI393" s="14"/>
      <c r="BJ393" s="14"/>
      <c r="BK393" s="14"/>
      <c r="BL393" s="14"/>
      <c r="BM393" s="14"/>
      <c r="BN393" s="14"/>
      <c r="BO393" s="14"/>
      <c r="BP393" s="14"/>
      <c r="BQ393" s="14"/>
      <c r="BR393" s="14"/>
      <c r="BS393" s="14"/>
      <c r="BT393" s="14"/>
      <c r="BU393" s="14"/>
      <c r="BV393" s="14"/>
      <c r="BW393" s="14"/>
      <c r="BX393" s="14"/>
      <c r="BY393" s="14"/>
      <c r="BZ393" s="14"/>
      <c r="CA393" s="14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</row>
    <row r="394" spans="1:101" ht="14.25" customHeight="1" x14ac:dyDescent="0.2">
      <c r="A394" s="286"/>
      <c r="B394" s="52">
        <v>0.17551694934721562</v>
      </c>
      <c r="C394" s="288">
        <v>0.46743196558093025</v>
      </c>
      <c r="D394" s="288">
        <v>2.6479419559684803E-2</v>
      </c>
      <c r="E394" s="288">
        <v>1.4284915689847239E-2</v>
      </c>
      <c r="F394" s="289">
        <v>0.80037504246112134</v>
      </c>
      <c r="G394" s="92">
        <v>0.37501287693947261</v>
      </c>
      <c r="H394" s="288">
        <v>0.58515320402014981</v>
      </c>
      <c r="I394" s="288">
        <v>2.1809897939846112E-2</v>
      </c>
      <c r="J394" s="288">
        <v>0.36755957045527343</v>
      </c>
      <c r="K394" s="288">
        <v>0.72660592822405357</v>
      </c>
      <c r="L394" s="290">
        <v>10581.852415840011</v>
      </c>
      <c r="M394" s="288">
        <v>0</v>
      </c>
      <c r="N394" s="288">
        <v>15941.516989713271</v>
      </c>
      <c r="O394" s="288">
        <v>1382.7836646743963</v>
      </c>
      <c r="P394" s="288">
        <v>55867.534513669561</v>
      </c>
      <c r="Q394" s="291">
        <v>101096.61311331787</v>
      </c>
      <c r="R394" s="288">
        <v>21472.959046884407</v>
      </c>
      <c r="S394" s="288">
        <v>7374.6570284904001</v>
      </c>
      <c r="T394" s="290">
        <v>0.751</v>
      </c>
      <c r="U394" s="288">
        <v>0.75800000000000001</v>
      </c>
      <c r="V394" s="288">
        <v>0.723923076923077</v>
      </c>
      <c r="W394" s="288">
        <v>0.72750000000000004</v>
      </c>
      <c r="X394" s="288">
        <v>0.76</v>
      </c>
      <c r="Y394" s="288">
        <v>0</v>
      </c>
      <c r="Z394" s="289">
        <v>0</v>
      </c>
      <c r="AA394" s="229"/>
      <c r="AB394" s="52">
        <v>71509.022983772898</v>
      </c>
      <c r="AC394" s="288">
        <v>3.2372263380952027</v>
      </c>
      <c r="AD394" s="288">
        <v>59684.876596633723</v>
      </c>
      <c r="AE394" s="288">
        <v>2.9010201027357976</v>
      </c>
      <c r="AF394" s="288">
        <v>11824.146387139175</v>
      </c>
      <c r="AG394" s="289">
        <v>0.33620623535940508</v>
      </c>
      <c r="AH394" s="229"/>
      <c r="AI394" s="205">
        <f t="shared" si="40"/>
        <v>252213.61082574737</v>
      </c>
      <c r="AJ394" s="205">
        <f t="shared" si="41"/>
        <v>230417.13367694602</v>
      </c>
      <c r="AK394" s="205">
        <f t="shared" si="42"/>
        <v>21796.477148801336</v>
      </c>
      <c r="AL394" s="229"/>
      <c r="AM394" s="52">
        <f t="shared" si="30"/>
        <v>1</v>
      </c>
      <c r="AN394" s="52">
        <f t="shared" si="31"/>
        <v>0</v>
      </c>
      <c r="AO394" s="52">
        <f t="shared" si="32"/>
        <v>1</v>
      </c>
      <c r="AP394" s="229"/>
      <c r="AQ394" s="3"/>
      <c r="AR394" s="3"/>
      <c r="AS394" s="3"/>
      <c r="AT394" s="3"/>
      <c r="AU394" s="229"/>
      <c r="AV394" s="318">
        <f t="shared" si="43"/>
        <v>252213.61082574737</v>
      </c>
      <c r="AW394" s="229"/>
      <c r="AX394" s="312"/>
      <c r="AY394" s="14"/>
      <c r="AZ394" s="14">
        <f t="shared" si="45"/>
        <v>11824.146387139175</v>
      </c>
      <c r="BA394" s="14">
        <f t="shared" si="44"/>
        <v>0.33620623535940508</v>
      </c>
      <c r="BB394" s="14">
        <f t="shared" si="33"/>
        <v>35169.325085536089</v>
      </c>
      <c r="BC394" s="14"/>
      <c r="BD394" s="14"/>
      <c r="BE394" s="14"/>
      <c r="BF394" s="14"/>
      <c r="BG394" s="14"/>
      <c r="BH394" s="14"/>
      <c r="BI394" s="14"/>
      <c r="BJ394" s="14"/>
      <c r="BK394" s="14"/>
      <c r="BL394" s="14"/>
      <c r="BM394" s="14"/>
      <c r="BN394" s="14"/>
      <c r="BO394" s="14"/>
      <c r="BP394" s="14"/>
      <c r="BQ394" s="14"/>
      <c r="BR394" s="14"/>
      <c r="BS394" s="14"/>
      <c r="BT394" s="14"/>
      <c r="BU394" s="14"/>
      <c r="BV394" s="14"/>
      <c r="BW394" s="14"/>
      <c r="BX394" s="14"/>
      <c r="BY394" s="14"/>
      <c r="BZ394" s="14"/>
      <c r="CA394" s="14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</row>
    <row r="395" spans="1:101" ht="14.25" customHeight="1" x14ac:dyDescent="0.2">
      <c r="A395" s="286"/>
      <c r="B395" s="52">
        <v>0.11847570654591126</v>
      </c>
      <c r="C395" s="288">
        <v>0.47300481707190511</v>
      </c>
      <c r="D395" s="288">
        <v>1.0507793498018361E-2</v>
      </c>
      <c r="E395" s="288">
        <v>1.2062013669775697E-2</v>
      </c>
      <c r="F395" s="289">
        <v>0.74442705580066082</v>
      </c>
      <c r="G395" s="92">
        <v>0.40640967276014306</v>
      </c>
      <c r="H395" s="288">
        <v>1.1152234104720705E-2</v>
      </c>
      <c r="I395" s="288">
        <v>9.3286990878230381E-3</v>
      </c>
      <c r="J395" s="288">
        <v>5.4441960806699656E-2</v>
      </c>
      <c r="K395" s="288">
        <v>0.74747282001229243</v>
      </c>
      <c r="L395" s="290">
        <v>10165.926164280329</v>
      </c>
      <c r="M395" s="288">
        <v>0</v>
      </c>
      <c r="N395" s="288">
        <v>20732.175590768882</v>
      </c>
      <c r="O395" s="288">
        <v>1465.2931958844781</v>
      </c>
      <c r="P395" s="288">
        <v>57200.612636741505</v>
      </c>
      <c r="Q395" s="291">
        <v>81473.388411191845</v>
      </c>
      <c r="R395" s="288">
        <v>26520.653512234054</v>
      </c>
      <c r="S395" s="288">
        <v>6914.1321352141431</v>
      </c>
      <c r="T395" s="290">
        <v>0.751</v>
      </c>
      <c r="U395" s="288">
        <v>0.75800000000000001</v>
      </c>
      <c r="V395" s="288">
        <v>0.723923076923077</v>
      </c>
      <c r="W395" s="288">
        <v>0.72750000000000004</v>
      </c>
      <c r="X395" s="288">
        <v>0.76</v>
      </c>
      <c r="Y395" s="288">
        <v>0</v>
      </c>
      <c r="Z395" s="289">
        <v>0</v>
      </c>
      <c r="AA395" s="229"/>
      <c r="AB395" s="52">
        <v>62896.060173499369</v>
      </c>
      <c r="AC395" s="288">
        <v>2.9782736720632581</v>
      </c>
      <c r="AD395" s="288">
        <v>52621.320448897291</v>
      </c>
      <c r="AE395" s="288">
        <v>2.9966252153814725</v>
      </c>
      <c r="AF395" s="288">
        <v>10274.739724602077</v>
      </c>
      <c r="AG395" s="289">
        <v>-1.8351543318214425E-2</v>
      </c>
      <c r="AH395" s="229"/>
      <c r="AI395" s="205">
        <f t="shared" si="40"/>
        <v>234931.30703282644</v>
      </c>
      <c r="AJ395" s="205">
        <f t="shared" si="41"/>
        <v>247041.20108924995</v>
      </c>
      <c r="AK395" s="205">
        <f t="shared" si="42"/>
        <v>-12109.89405642352</v>
      </c>
      <c r="AL395" s="229"/>
      <c r="AM395" s="52">
        <f t="shared" si="30"/>
        <v>0</v>
      </c>
      <c r="AN395" s="52">
        <f t="shared" si="31"/>
        <v>1</v>
      </c>
      <c r="AO395" s="52">
        <f t="shared" si="32"/>
        <v>0</v>
      </c>
      <c r="AP395" s="229"/>
      <c r="AQ395" s="3"/>
      <c r="AR395" s="3"/>
      <c r="AS395" s="3"/>
      <c r="AT395" s="3"/>
      <c r="AU395" s="229"/>
      <c r="AV395" s="318">
        <f t="shared" si="43"/>
        <v>247041.20108924995</v>
      </c>
      <c r="AW395" s="229"/>
      <c r="AX395" s="312"/>
      <c r="AY395" s="14"/>
      <c r="AZ395" s="14">
        <f t="shared" si="45"/>
        <v>10274.739724602077</v>
      </c>
      <c r="BA395" s="14">
        <f t="shared" si="44"/>
        <v>-1.8351543318214425E-2</v>
      </c>
      <c r="BB395" s="14">
        <f t="shared" si="33"/>
        <v>-559884.23133895814</v>
      </c>
      <c r="BC395" s="14"/>
      <c r="BD395" s="14"/>
      <c r="BE395" s="14"/>
      <c r="BF395" s="14"/>
      <c r="BG395" s="14"/>
      <c r="BH395" s="14"/>
      <c r="BI395" s="14"/>
      <c r="BJ395" s="14"/>
      <c r="BK395" s="14"/>
      <c r="BL395" s="14"/>
      <c r="BM395" s="14"/>
      <c r="BN395" s="14"/>
      <c r="BO395" s="14"/>
      <c r="BP395" s="14"/>
      <c r="BQ395" s="14"/>
      <c r="BR395" s="14"/>
      <c r="BS395" s="14"/>
      <c r="BT395" s="14"/>
      <c r="BU395" s="14"/>
      <c r="BV395" s="14"/>
      <c r="BW395" s="14"/>
      <c r="BX395" s="14"/>
      <c r="BY395" s="14"/>
      <c r="BZ395" s="14"/>
      <c r="CA395" s="14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</row>
    <row r="396" spans="1:101" ht="14.25" customHeight="1" x14ac:dyDescent="0.2">
      <c r="A396" s="286"/>
      <c r="B396" s="52">
        <v>0.19345368578862243</v>
      </c>
      <c r="C396" s="288">
        <v>0.43954516808916655</v>
      </c>
      <c r="D396" s="288">
        <v>9.2908736889655962E-3</v>
      </c>
      <c r="E396" s="288">
        <v>1.1133143424948491E-2</v>
      </c>
      <c r="F396" s="289">
        <v>0.7892669089018558</v>
      </c>
      <c r="G396" s="92">
        <v>0.4387758787977597</v>
      </c>
      <c r="H396" s="288">
        <v>0.36152791900094272</v>
      </c>
      <c r="I396" s="288">
        <v>3.4338169460479454E-3</v>
      </c>
      <c r="J396" s="288">
        <v>0.21225802962603074</v>
      </c>
      <c r="K396" s="288">
        <v>0.75356103720072731</v>
      </c>
      <c r="L396" s="290">
        <v>18032.602895712338</v>
      </c>
      <c r="M396" s="288">
        <v>0</v>
      </c>
      <c r="N396" s="288">
        <v>21022.753667571411</v>
      </c>
      <c r="O396" s="288">
        <v>1054.2802367966474</v>
      </c>
      <c r="P396" s="288">
        <v>31632.939411697131</v>
      </c>
      <c r="Q396" s="291">
        <v>109894.73128559499</v>
      </c>
      <c r="R396" s="288">
        <v>24399.53532106907</v>
      </c>
      <c r="S396" s="288">
        <v>9086.0262123873872</v>
      </c>
      <c r="T396" s="290">
        <v>0.751</v>
      </c>
      <c r="U396" s="288">
        <v>0.75800000000000001</v>
      </c>
      <c r="V396" s="288">
        <v>0.723923076923077</v>
      </c>
      <c r="W396" s="288">
        <v>0.72750000000000004</v>
      </c>
      <c r="X396" s="288">
        <v>0.76</v>
      </c>
      <c r="Y396" s="288">
        <v>0</v>
      </c>
      <c r="Z396" s="289">
        <v>0</v>
      </c>
      <c r="AA396" s="229"/>
      <c r="AB396" s="52">
        <v>91522.12249988674</v>
      </c>
      <c r="AC396" s="288">
        <v>3.185422231399651</v>
      </c>
      <c r="AD396" s="288">
        <v>72792.291520519269</v>
      </c>
      <c r="AE396" s="288">
        <v>3.0246487264672486</v>
      </c>
      <c r="AF396" s="288">
        <v>18729.830979367471</v>
      </c>
      <c r="AG396" s="289">
        <v>0.16077350493240239</v>
      </c>
      <c r="AH396" s="229"/>
      <c r="AI396" s="205">
        <f t="shared" si="40"/>
        <v>227020.10064007837</v>
      </c>
      <c r="AJ396" s="205">
        <f t="shared" si="41"/>
        <v>229672.58112620559</v>
      </c>
      <c r="AK396" s="205">
        <f t="shared" si="42"/>
        <v>-2652.4804861272314</v>
      </c>
      <c r="AL396" s="229"/>
      <c r="AM396" s="52">
        <f t="shared" si="30"/>
        <v>0</v>
      </c>
      <c r="AN396" s="52">
        <f t="shared" si="31"/>
        <v>1</v>
      </c>
      <c r="AO396" s="52">
        <f t="shared" si="32"/>
        <v>0</v>
      </c>
      <c r="AP396" s="229"/>
      <c r="AQ396" s="3"/>
      <c r="AR396" s="3"/>
      <c r="AS396" s="3"/>
      <c r="AT396" s="3"/>
      <c r="AU396" s="229"/>
      <c r="AV396" s="318">
        <f t="shared" si="43"/>
        <v>229672.58112620559</v>
      </c>
      <c r="AW396" s="229"/>
      <c r="AX396" s="312"/>
      <c r="AY396" s="14"/>
      <c r="AZ396" s="14">
        <f t="shared" si="45"/>
        <v>18729.830979367471</v>
      </c>
      <c r="BA396" s="14">
        <f t="shared" si="44"/>
        <v>0.16077350493240239</v>
      </c>
      <c r="BB396" s="14">
        <f t="shared" si="33"/>
        <v>116498.2438321692</v>
      </c>
      <c r="BC396" s="14"/>
      <c r="BD396" s="14"/>
      <c r="BE396" s="14"/>
      <c r="BF396" s="14"/>
      <c r="BG396" s="14"/>
      <c r="BH396" s="14"/>
      <c r="BI396" s="14"/>
      <c r="BJ396" s="14"/>
      <c r="BK396" s="14"/>
      <c r="BL396" s="14"/>
      <c r="BM396" s="14"/>
      <c r="BN396" s="14"/>
      <c r="BO396" s="14"/>
      <c r="BP396" s="14"/>
      <c r="BQ396" s="14"/>
      <c r="BR396" s="14"/>
      <c r="BS396" s="14"/>
      <c r="BT396" s="14"/>
      <c r="BU396" s="14"/>
      <c r="BV396" s="14"/>
      <c r="BW396" s="14"/>
      <c r="BX396" s="14"/>
      <c r="BY396" s="14"/>
      <c r="BZ396" s="14"/>
      <c r="CA396" s="14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</row>
    <row r="397" spans="1:101" ht="14.25" customHeight="1" x14ac:dyDescent="0.2">
      <c r="A397" s="286"/>
      <c r="B397" s="52">
        <v>0.17382187976881125</v>
      </c>
      <c r="C397" s="288">
        <v>0.46319671958066244</v>
      </c>
      <c r="D397" s="288">
        <v>2.5701868513143267E-2</v>
      </c>
      <c r="E397" s="288">
        <v>1.097293786917955E-2</v>
      </c>
      <c r="F397" s="289">
        <v>0.79971076678616215</v>
      </c>
      <c r="G397" s="92">
        <v>0.44471942697333</v>
      </c>
      <c r="H397" s="288">
        <v>0.45441197088059615</v>
      </c>
      <c r="I397" s="288">
        <v>6.928473298508004E-3</v>
      </c>
      <c r="J397" s="288">
        <v>0.99999945110310073</v>
      </c>
      <c r="K397" s="288">
        <v>0.80285277327228799</v>
      </c>
      <c r="L397" s="290">
        <v>16318.017064323414</v>
      </c>
      <c r="M397" s="288">
        <v>0</v>
      </c>
      <c r="N397" s="288">
        <v>22042.545668120987</v>
      </c>
      <c r="O397" s="288">
        <v>1674.5714094238497</v>
      </c>
      <c r="P397" s="288">
        <v>46876.890375840376</v>
      </c>
      <c r="Q397" s="291">
        <v>96621.541960126066</v>
      </c>
      <c r="R397" s="288">
        <v>14703.480811450316</v>
      </c>
      <c r="S397" s="288">
        <v>7107.4545884293557</v>
      </c>
      <c r="T397" s="290">
        <v>0.751</v>
      </c>
      <c r="U397" s="288">
        <v>0.75800000000000001</v>
      </c>
      <c r="V397" s="288">
        <v>0.723923076923077</v>
      </c>
      <c r="W397" s="288">
        <v>0.72750000000000004</v>
      </c>
      <c r="X397" s="288">
        <v>0.76</v>
      </c>
      <c r="Y397" s="288">
        <v>0</v>
      </c>
      <c r="Z397" s="289">
        <v>0</v>
      </c>
      <c r="AA397" s="229"/>
      <c r="AB397" s="52">
        <v>74511.646451522378</v>
      </c>
      <c r="AC397" s="288">
        <v>3.2341229683851909</v>
      </c>
      <c r="AD397" s="288">
        <v>61126.570450992578</v>
      </c>
      <c r="AE397" s="288">
        <v>3.2536855165174114</v>
      </c>
      <c r="AF397" s="288">
        <v>13385.0760005298</v>
      </c>
      <c r="AG397" s="289">
        <v>-1.9562548132220581E-2</v>
      </c>
      <c r="AH397" s="229"/>
      <c r="AI397" s="205">
        <f t="shared" si="40"/>
        <v>248900.65038699674</v>
      </c>
      <c r="AJ397" s="205">
        <f t="shared" si="41"/>
        <v>264241.98120074859</v>
      </c>
      <c r="AK397" s="205">
        <f t="shared" si="42"/>
        <v>-15341.330813751858</v>
      </c>
      <c r="AL397" s="229"/>
      <c r="AM397" s="52">
        <f t="shared" si="30"/>
        <v>0</v>
      </c>
      <c r="AN397" s="52">
        <f t="shared" si="31"/>
        <v>1</v>
      </c>
      <c r="AO397" s="52">
        <f t="shared" si="32"/>
        <v>0</v>
      </c>
      <c r="AP397" s="229"/>
      <c r="AQ397" s="3"/>
      <c r="AR397" s="3"/>
      <c r="AS397" s="3"/>
      <c r="AT397" s="3"/>
      <c r="AU397" s="229"/>
      <c r="AV397" s="318">
        <f t="shared" si="43"/>
        <v>264241.98120074859</v>
      </c>
      <c r="AW397" s="229"/>
      <c r="AX397" s="312"/>
      <c r="AY397" s="14"/>
      <c r="AZ397" s="14">
        <f t="shared" si="45"/>
        <v>13385.0760005298</v>
      </c>
      <c r="BA397" s="14">
        <f t="shared" si="44"/>
        <v>-1.9562548132220581E-2</v>
      </c>
      <c r="BB397" s="14">
        <f t="shared" si="33"/>
        <v>-684219.45393114979</v>
      </c>
      <c r="BC397" s="14"/>
      <c r="BD397" s="14"/>
      <c r="BE397" s="14"/>
      <c r="BF397" s="14"/>
      <c r="BG397" s="14"/>
      <c r="BH397" s="14"/>
      <c r="BI397" s="14"/>
      <c r="BJ397" s="14"/>
      <c r="BK397" s="14"/>
      <c r="BL397" s="14"/>
      <c r="BM397" s="14"/>
      <c r="BN397" s="14"/>
      <c r="BO397" s="14"/>
      <c r="BP397" s="14"/>
      <c r="BQ397" s="14"/>
      <c r="BR397" s="14"/>
      <c r="BS397" s="14"/>
      <c r="BT397" s="14"/>
      <c r="BU397" s="14"/>
      <c r="BV397" s="14"/>
      <c r="BW397" s="14"/>
      <c r="BX397" s="14"/>
      <c r="BY397" s="14"/>
      <c r="BZ397" s="14"/>
      <c r="CA397" s="14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</row>
    <row r="398" spans="1:101" ht="14.25" customHeight="1" x14ac:dyDescent="0.2">
      <c r="A398" s="286"/>
      <c r="B398" s="52">
        <v>0.14654877438399741</v>
      </c>
      <c r="C398" s="288">
        <v>0.75802798250978043</v>
      </c>
      <c r="D398" s="288">
        <v>6.7451624570274522E-3</v>
      </c>
      <c r="E398" s="288">
        <v>7.4689984795234957E-3</v>
      </c>
      <c r="F398" s="289">
        <v>0.7452664657740784</v>
      </c>
      <c r="G398" s="92">
        <v>0.47087900189161702</v>
      </c>
      <c r="H398" s="288">
        <v>0.56550502702134731</v>
      </c>
      <c r="I398" s="288">
        <v>1.4856055820816904E-2</v>
      </c>
      <c r="J398" s="288">
        <v>0.9137004569651529</v>
      </c>
      <c r="K398" s="288">
        <v>0.79215882516365288</v>
      </c>
      <c r="L398" s="290">
        <v>14202.702788286369</v>
      </c>
      <c r="M398" s="288">
        <v>0</v>
      </c>
      <c r="N398" s="288">
        <v>29639.549179277215</v>
      </c>
      <c r="O398" s="288">
        <v>1345.1220078652502</v>
      </c>
      <c r="P398" s="288">
        <v>44865.017586064772</v>
      </c>
      <c r="Q398" s="291">
        <v>97683.229233035658</v>
      </c>
      <c r="R398" s="288">
        <v>16954.045049407167</v>
      </c>
      <c r="S398" s="288">
        <v>7324.2335958606354</v>
      </c>
      <c r="T398" s="290">
        <v>0.751</v>
      </c>
      <c r="U398" s="288">
        <v>0.75800000000000001</v>
      </c>
      <c r="V398" s="288">
        <v>0.723923076923077</v>
      </c>
      <c r="W398" s="288">
        <v>0.72750000000000004</v>
      </c>
      <c r="X398" s="288">
        <v>0.76</v>
      </c>
      <c r="Y398" s="288">
        <v>0</v>
      </c>
      <c r="Z398" s="289">
        <v>0</v>
      </c>
      <c r="AA398" s="229"/>
      <c r="AB398" s="52">
        <v>70432.013102987607</v>
      </c>
      <c r="AC398" s="288">
        <v>2.9821225638862621</v>
      </c>
      <c r="AD398" s="288">
        <v>64184.832955507445</v>
      </c>
      <c r="AE398" s="288">
        <v>3.2036701838945398</v>
      </c>
      <c r="AF398" s="288">
        <v>6247.1801474801614</v>
      </c>
      <c r="AG398" s="289">
        <v>-0.22154762000827777</v>
      </c>
      <c r="AH398" s="229"/>
      <c r="AI398" s="205">
        <f t="shared" ref="AI398:AI461" si="46">AC398*cRatio-AB398</f>
        <v>227780.24328563857</v>
      </c>
      <c r="AJ398" s="205">
        <f t="shared" ref="AJ398:AJ461" si="47">AE398*cRatio-AD398</f>
        <v>256182.18543394655</v>
      </c>
      <c r="AK398" s="205">
        <f t="shared" ref="AK398:AK461" si="48">AG398*cRatio-AF398</f>
        <v>-28401.942148307939</v>
      </c>
      <c r="AL398" s="229"/>
      <c r="AM398" s="52">
        <f t="shared" si="30"/>
        <v>0</v>
      </c>
      <c r="AN398" s="52">
        <f t="shared" si="31"/>
        <v>1</v>
      </c>
      <c r="AO398" s="52">
        <f t="shared" si="32"/>
        <v>0</v>
      </c>
      <c r="AP398" s="229"/>
      <c r="AQ398" s="3"/>
      <c r="AR398" s="3"/>
      <c r="AS398" s="3"/>
      <c r="AT398" s="3"/>
      <c r="AU398" s="229"/>
      <c r="AV398" s="318">
        <f t="shared" si="43"/>
        <v>256182.18543394655</v>
      </c>
      <c r="AW398" s="229"/>
      <c r="AX398" s="312"/>
      <c r="AY398" s="14"/>
      <c r="AZ398" s="14">
        <f t="shared" si="45"/>
        <v>6247.1801474801614</v>
      </c>
      <c r="BA398" s="14">
        <f t="shared" si="44"/>
        <v>-0.22154762000827777</v>
      </c>
      <c r="BB398" s="14">
        <f t="shared" si="33"/>
        <v>-28197.911344056622</v>
      </c>
      <c r="BC398" s="14"/>
      <c r="BD398" s="14"/>
      <c r="BE398" s="14"/>
      <c r="BF398" s="14"/>
      <c r="BG398" s="14"/>
      <c r="BH398" s="14"/>
      <c r="BI398" s="14"/>
      <c r="BJ398" s="14"/>
      <c r="BK398" s="14"/>
      <c r="BL398" s="14"/>
      <c r="BM398" s="14"/>
      <c r="BN398" s="14"/>
      <c r="BO398" s="14"/>
      <c r="BP398" s="14"/>
      <c r="BQ398" s="14"/>
      <c r="BR398" s="14"/>
      <c r="BS398" s="14"/>
      <c r="BT398" s="14"/>
      <c r="BU398" s="14"/>
      <c r="BV398" s="14"/>
      <c r="BW398" s="14"/>
      <c r="BX398" s="14"/>
      <c r="BY398" s="14"/>
      <c r="BZ398" s="14"/>
      <c r="CA398" s="14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</row>
    <row r="399" spans="1:101" ht="14.25" customHeight="1" x14ac:dyDescent="0.2">
      <c r="A399" s="286"/>
      <c r="B399" s="52">
        <v>0.16751298329057263</v>
      </c>
      <c r="C399" s="288">
        <v>0.30155751114881191</v>
      </c>
      <c r="D399" s="288">
        <v>1.499510973889584E-2</v>
      </c>
      <c r="E399" s="288">
        <v>8.1067327225206025E-3</v>
      </c>
      <c r="F399" s="289">
        <v>0.8298888082246243</v>
      </c>
      <c r="G399" s="92">
        <v>0.38988284474788931</v>
      </c>
      <c r="H399" s="288">
        <v>3.359523695675902E-2</v>
      </c>
      <c r="I399" s="288">
        <v>3.030209297353037E-2</v>
      </c>
      <c r="J399" s="288">
        <v>0.99999999969549713</v>
      </c>
      <c r="K399" s="288">
        <v>0.71732072024798899</v>
      </c>
      <c r="L399" s="290">
        <v>9730.455420943259</v>
      </c>
      <c r="M399" s="288">
        <v>0</v>
      </c>
      <c r="N399" s="288">
        <v>18379.921094111938</v>
      </c>
      <c r="O399" s="288">
        <v>861.23178050817592</v>
      </c>
      <c r="P399" s="288">
        <v>50090.799654475588</v>
      </c>
      <c r="Q399" s="291">
        <v>108963.00725311904</v>
      </c>
      <c r="R399" s="288">
        <v>32778.006228866121</v>
      </c>
      <c r="S399" s="288">
        <v>7161.743280239918</v>
      </c>
      <c r="T399" s="290">
        <v>0.751</v>
      </c>
      <c r="U399" s="288">
        <v>0.75800000000000001</v>
      </c>
      <c r="V399" s="288">
        <v>0.723923076923077</v>
      </c>
      <c r="W399" s="288">
        <v>0.72750000000000004</v>
      </c>
      <c r="X399" s="288">
        <v>0.76</v>
      </c>
      <c r="Y399" s="288">
        <v>0</v>
      </c>
      <c r="Z399" s="289">
        <v>0</v>
      </c>
      <c r="AA399" s="229"/>
      <c r="AB399" s="52">
        <v>70659.338794937954</v>
      </c>
      <c r="AC399" s="288">
        <v>3.3758075488501516</v>
      </c>
      <c r="AD399" s="288">
        <v>54191.615966232646</v>
      </c>
      <c r="AE399" s="288">
        <v>2.8586990383499984</v>
      </c>
      <c r="AF399" s="288">
        <v>16467.722828705308</v>
      </c>
      <c r="AG399" s="289">
        <v>0.51710851050015316</v>
      </c>
      <c r="AH399" s="229"/>
      <c r="AI399" s="205">
        <f t="shared" si="46"/>
        <v>266921.4160900772</v>
      </c>
      <c r="AJ399" s="205">
        <f t="shared" si="47"/>
        <v>231678.28786876719</v>
      </c>
      <c r="AK399" s="205">
        <f t="shared" si="48"/>
        <v>35243.128221310006</v>
      </c>
      <c r="AL399" s="229"/>
      <c r="AM399" s="52">
        <f t="shared" si="30"/>
        <v>1</v>
      </c>
      <c r="AN399" s="52">
        <f t="shared" si="31"/>
        <v>0</v>
      </c>
      <c r="AO399" s="52">
        <f t="shared" si="32"/>
        <v>1</v>
      </c>
      <c r="AP399" s="229"/>
      <c r="AQ399" s="3"/>
      <c r="AR399" s="3"/>
      <c r="AS399" s="3"/>
      <c r="AT399" s="3"/>
      <c r="AU399" s="229"/>
      <c r="AV399" s="318">
        <f t="shared" ref="AV399:AV462" si="49">MAX(AI399:AJ399)</f>
        <v>266921.4160900772</v>
      </c>
      <c r="AW399" s="229"/>
      <c r="AX399" s="312"/>
      <c r="AY399" s="14"/>
      <c r="AZ399" s="14">
        <f t="shared" si="45"/>
        <v>16467.722828705308</v>
      </c>
      <c r="BA399" s="14">
        <f t="shared" ref="BA399:BA462" si="50">AG399</f>
        <v>0.51710851050015316</v>
      </c>
      <c r="BB399" s="14">
        <f t="shared" si="33"/>
        <v>31845.778002720435</v>
      </c>
      <c r="BC399" s="14"/>
      <c r="BD399" s="14"/>
      <c r="BE399" s="14"/>
      <c r="BF399" s="14"/>
      <c r="BG399" s="14"/>
      <c r="BH399" s="14"/>
      <c r="BI399" s="14"/>
      <c r="BJ399" s="14"/>
      <c r="BK399" s="14"/>
      <c r="BL399" s="14"/>
      <c r="BM399" s="14"/>
      <c r="BN399" s="14"/>
      <c r="BO399" s="14"/>
      <c r="BP399" s="14"/>
      <c r="BQ399" s="14"/>
      <c r="BR399" s="14"/>
      <c r="BS399" s="14"/>
      <c r="BT399" s="14"/>
      <c r="BU399" s="14"/>
      <c r="BV399" s="14"/>
      <c r="BW399" s="14"/>
      <c r="BX399" s="14"/>
      <c r="BY399" s="14"/>
      <c r="BZ399" s="14"/>
      <c r="CA399" s="14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</row>
    <row r="400" spans="1:101" ht="14.25" customHeight="1" x14ac:dyDescent="0.2">
      <c r="A400" s="286"/>
      <c r="B400" s="52">
        <v>0.18343036100638399</v>
      </c>
      <c r="C400" s="288">
        <v>0.14822282008905879</v>
      </c>
      <c r="D400" s="288">
        <v>3.104708309725143E-3</v>
      </c>
      <c r="E400" s="288">
        <v>2.0181338672329963E-2</v>
      </c>
      <c r="F400" s="289">
        <v>0.79005490821625701</v>
      </c>
      <c r="G400" s="92">
        <v>0.40062858758342346</v>
      </c>
      <c r="H400" s="288">
        <v>1.766394749111215E-2</v>
      </c>
      <c r="I400" s="288">
        <v>4.5749695698402704E-2</v>
      </c>
      <c r="J400" s="288">
        <v>0.91172124940083454</v>
      </c>
      <c r="K400" s="288">
        <v>0.73650795308688721</v>
      </c>
      <c r="L400" s="290">
        <v>11510.444773233756</v>
      </c>
      <c r="M400" s="288">
        <v>0</v>
      </c>
      <c r="N400" s="288">
        <v>21128.937047555166</v>
      </c>
      <c r="O400" s="288">
        <v>1840.1915512466685</v>
      </c>
      <c r="P400" s="288">
        <v>55767.969500146115</v>
      </c>
      <c r="Q400" s="291">
        <v>116590.06027180179</v>
      </c>
      <c r="R400" s="288">
        <v>26254.562909035234</v>
      </c>
      <c r="S400" s="288">
        <v>6213.6250264452774</v>
      </c>
      <c r="T400" s="290">
        <v>0.751</v>
      </c>
      <c r="U400" s="288">
        <v>0.75800000000000001</v>
      </c>
      <c r="V400" s="288">
        <v>0.723923076923077</v>
      </c>
      <c r="W400" s="288">
        <v>0.72750000000000004</v>
      </c>
      <c r="X400" s="288">
        <v>0.76</v>
      </c>
      <c r="Y400" s="288">
        <v>0</v>
      </c>
      <c r="Z400" s="289">
        <v>0</v>
      </c>
      <c r="AA400" s="229"/>
      <c r="AB400" s="52">
        <v>61240.456877883145</v>
      </c>
      <c r="AC400" s="288">
        <v>3.1890907825322996</v>
      </c>
      <c r="AD400" s="288">
        <v>50041.405843990637</v>
      </c>
      <c r="AE400" s="288">
        <v>2.9463022956079223</v>
      </c>
      <c r="AF400" s="288">
        <v>11199.051033892509</v>
      </c>
      <c r="AG400" s="289">
        <v>0.24278848692437727</v>
      </c>
      <c r="AH400" s="229"/>
      <c r="AI400" s="205">
        <f t="shared" si="46"/>
        <v>257668.62137534682</v>
      </c>
      <c r="AJ400" s="205">
        <f t="shared" si="47"/>
        <v>244588.82371680159</v>
      </c>
      <c r="AK400" s="205">
        <f t="shared" si="48"/>
        <v>13079.79765854522</v>
      </c>
      <c r="AL400" s="229"/>
      <c r="AM400" s="52">
        <f t="shared" si="30"/>
        <v>1</v>
      </c>
      <c r="AN400" s="52">
        <f t="shared" si="31"/>
        <v>0</v>
      </c>
      <c r="AO400" s="52">
        <f t="shared" si="32"/>
        <v>1</v>
      </c>
      <c r="AP400" s="229"/>
      <c r="AQ400" s="3"/>
      <c r="AR400" s="3"/>
      <c r="AS400" s="3"/>
      <c r="AT400" s="3"/>
      <c r="AU400" s="229"/>
      <c r="AV400" s="318">
        <f t="shared" si="49"/>
        <v>257668.62137534682</v>
      </c>
      <c r="AW400" s="229"/>
      <c r="AX400" s="312"/>
      <c r="AY400" s="14"/>
      <c r="AZ400" s="14">
        <f t="shared" ref="AZ400:AZ463" si="51">AF400</f>
        <v>11199.051033892509</v>
      </c>
      <c r="BA400" s="14">
        <f t="shared" si="50"/>
        <v>0.24278848692437727</v>
      </c>
      <c r="BB400" s="14">
        <f t="shared" si="33"/>
        <v>46126.779633421174</v>
      </c>
      <c r="BC400" s="14"/>
      <c r="BD400" s="14"/>
      <c r="BE400" s="14"/>
      <c r="BF400" s="14"/>
      <c r="BG400" s="14"/>
      <c r="BH400" s="14"/>
      <c r="BI400" s="14"/>
      <c r="BJ400" s="14"/>
      <c r="BK400" s="14"/>
      <c r="BL400" s="14"/>
      <c r="BM400" s="14"/>
      <c r="BN400" s="14"/>
      <c r="BO400" s="14"/>
      <c r="BP400" s="14"/>
      <c r="BQ400" s="14"/>
      <c r="BR400" s="14"/>
      <c r="BS400" s="14"/>
      <c r="BT400" s="14"/>
      <c r="BU400" s="14"/>
      <c r="BV400" s="14"/>
      <c r="BW400" s="14"/>
      <c r="BX400" s="14"/>
      <c r="BY400" s="14"/>
      <c r="BZ400" s="14"/>
      <c r="CA400" s="14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</row>
    <row r="401" spans="1:101" ht="14.25" customHeight="1" x14ac:dyDescent="0.2">
      <c r="A401" s="286"/>
      <c r="B401" s="52">
        <v>0.14215935037023678</v>
      </c>
      <c r="C401" s="288">
        <v>0.2493848148365643</v>
      </c>
      <c r="D401" s="288">
        <v>3.1930464146453397E-2</v>
      </c>
      <c r="E401" s="288">
        <v>1.3452816472746189E-2</v>
      </c>
      <c r="F401" s="289">
        <v>0.79833840322681748</v>
      </c>
      <c r="G401" s="92">
        <v>0.4439907871995723</v>
      </c>
      <c r="H401" s="288">
        <v>0.51322045648924508</v>
      </c>
      <c r="I401" s="288">
        <v>1.8342533510936621E-2</v>
      </c>
      <c r="J401" s="288">
        <v>0.99994112530947588</v>
      </c>
      <c r="K401" s="288">
        <v>0.69925775396798251</v>
      </c>
      <c r="L401" s="290">
        <v>11133.507376115036</v>
      </c>
      <c r="M401" s="288">
        <v>0</v>
      </c>
      <c r="N401" s="288">
        <v>16800.582506037699</v>
      </c>
      <c r="O401" s="288">
        <v>1450.6078314528445</v>
      </c>
      <c r="P401" s="288">
        <v>50465.502361642248</v>
      </c>
      <c r="Q401" s="291">
        <v>121545.63607238984</v>
      </c>
      <c r="R401" s="288">
        <v>14211.996773223864</v>
      </c>
      <c r="S401" s="288">
        <v>9853.4489756264029</v>
      </c>
      <c r="T401" s="290">
        <v>0.751</v>
      </c>
      <c r="U401" s="288">
        <v>0.75800000000000001</v>
      </c>
      <c r="V401" s="288">
        <v>0.723923076923077</v>
      </c>
      <c r="W401" s="288">
        <v>0.72750000000000004</v>
      </c>
      <c r="X401" s="288">
        <v>0.76</v>
      </c>
      <c r="Y401" s="288">
        <v>0</v>
      </c>
      <c r="Z401" s="289">
        <v>0</v>
      </c>
      <c r="AA401" s="229"/>
      <c r="AB401" s="52">
        <v>90294.611834044394</v>
      </c>
      <c r="AC401" s="288">
        <v>3.2277137386352677</v>
      </c>
      <c r="AD401" s="288">
        <v>74094.519560134271</v>
      </c>
      <c r="AE401" s="288">
        <v>2.7767591404544683</v>
      </c>
      <c r="AF401" s="288">
        <v>16200.092273910122</v>
      </c>
      <c r="AG401" s="289">
        <v>0.45095459818079942</v>
      </c>
      <c r="AH401" s="229"/>
      <c r="AI401" s="205">
        <f t="shared" si="46"/>
        <v>232476.7620294824</v>
      </c>
      <c r="AJ401" s="205">
        <f t="shared" si="47"/>
        <v>203581.39448531257</v>
      </c>
      <c r="AK401" s="205">
        <f t="shared" si="48"/>
        <v>28895.367544169821</v>
      </c>
      <c r="AL401" s="229"/>
      <c r="AM401" s="52">
        <f t="shared" si="30"/>
        <v>1</v>
      </c>
      <c r="AN401" s="52">
        <f t="shared" si="31"/>
        <v>0</v>
      </c>
      <c r="AO401" s="52">
        <f t="shared" si="32"/>
        <v>1</v>
      </c>
      <c r="AP401" s="229"/>
      <c r="AQ401" s="3"/>
      <c r="AR401" s="3"/>
      <c r="AS401" s="3"/>
      <c r="AT401" s="3"/>
      <c r="AU401" s="229"/>
      <c r="AV401" s="318">
        <f t="shared" si="49"/>
        <v>232476.7620294824</v>
      </c>
      <c r="AW401" s="229"/>
      <c r="AX401" s="312"/>
      <c r="AY401" s="14"/>
      <c r="AZ401" s="14">
        <f t="shared" si="51"/>
        <v>16200.092273910122</v>
      </c>
      <c r="BA401" s="14">
        <f t="shared" si="50"/>
        <v>0.45095459818079942</v>
      </c>
      <c r="BB401" s="14">
        <f t="shared" si="33"/>
        <v>35923.99842304099</v>
      </c>
      <c r="BC401" s="14"/>
      <c r="BD401" s="14"/>
      <c r="BE401" s="14"/>
      <c r="BF401" s="14"/>
      <c r="BG401" s="14"/>
      <c r="BH401" s="14"/>
      <c r="BI401" s="14"/>
      <c r="BJ401" s="14"/>
      <c r="BK401" s="14"/>
      <c r="BL401" s="14"/>
      <c r="BM401" s="14"/>
      <c r="BN401" s="14"/>
      <c r="BO401" s="14"/>
      <c r="BP401" s="14"/>
      <c r="BQ401" s="14"/>
      <c r="BR401" s="14"/>
      <c r="BS401" s="14"/>
      <c r="BT401" s="14"/>
      <c r="BU401" s="14"/>
      <c r="BV401" s="14"/>
      <c r="BW401" s="14"/>
      <c r="BX401" s="14"/>
      <c r="BY401" s="14"/>
      <c r="BZ401" s="14"/>
      <c r="CA401" s="14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</row>
    <row r="402" spans="1:101" ht="14.25" customHeight="1" x14ac:dyDescent="0.2">
      <c r="A402" s="286"/>
      <c r="B402" s="52">
        <v>0.13070192146287912</v>
      </c>
      <c r="C402" s="288">
        <v>0.26808685519027237</v>
      </c>
      <c r="D402" s="288">
        <v>2.3468101908330152E-2</v>
      </c>
      <c r="E402" s="288">
        <v>9.9507349842289771E-3</v>
      </c>
      <c r="F402" s="289">
        <v>0.8020906455357717</v>
      </c>
      <c r="G402" s="92">
        <v>0.35816799516148823</v>
      </c>
      <c r="H402" s="288">
        <v>0.70921282713218758</v>
      </c>
      <c r="I402" s="288">
        <v>2.495706519638885E-2</v>
      </c>
      <c r="J402" s="288">
        <v>1</v>
      </c>
      <c r="K402" s="288">
        <v>0.74570125795282116</v>
      </c>
      <c r="L402" s="290">
        <v>12951.567562684231</v>
      </c>
      <c r="M402" s="288">
        <v>0</v>
      </c>
      <c r="N402" s="288">
        <v>17702.730812794183</v>
      </c>
      <c r="O402" s="288">
        <v>1314.0911186148849</v>
      </c>
      <c r="P402" s="288">
        <v>47722.156736444253</v>
      </c>
      <c r="Q402" s="291">
        <v>131482.46757973105</v>
      </c>
      <c r="R402" s="288">
        <v>15994.219987274104</v>
      </c>
      <c r="S402" s="288">
        <v>9549.4864065788188</v>
      </c>
      <c r="T402" s="290">
        <v>0.751</v>
      </c>
      <c r="U402" s="288">
        <v>0.75800000000000001</v>
      </c>
      <c r="V402" s="288">
        <v>0.723923076923077</v>
      </c>
      <c r="W402" s="288">
        <v>0.72750000000000004</v>
      </c>
      <c r="X402" s="288">
        <v>0.76</v>
      </c>
      <c r="Y402" s="288">
        <v>0</v>
      </c>
      <c r="Z402" s="289">
        <v>0</v>
      </c>
      <c r="AA402" s="229"/>
      <c r="AB402" s="52">
        <v>89936.136297873527</v>
      </c>
      <c r="AC402" s="288">
        <v>3.2452445116510069</v>
      </c>
      <c r="AD402" s="288">
        <v>77238.535294196568</v>
      </c>
      <c r="AE402" s="288">
        <v>2.988481849948744</v>
      </c>
      <c r="AF402" s="288">
        <v>12697.601003676958</v>
      </c>
      <c r="AG402" s="289">
        <v>0.25676266170226292</v>
      </c>
      <c r="AH402" s="229"/>
      <c r="AI402" s="205">
        <f t="shared" si="46"/>
        <v>234588.31486722716</v>
      </c>
      <c r="AJ402" s="205">
        <f t="shared" si="47"/>
        <v>221609.64970067784</v>
      </c>
      <c r="AK402" s="205">
        <f t="shared" si="48"/>
        <v>12978.665166549334</v>
      </c>
      <c r="AL402" s="229"/>
      <c r="AM402" s="52">
        <f t="shared" si="30"/>
        <v>1</v>
      </c>
      <c r="AN402" s="52">
        <f t="shared" si="31"/>
        <v>0</v>
      </c>
      <c r="AO402" s="52">
        <f t="shared" si="32"/>
        <v>1</v>
      </c>
      <c r="AP402" s="229"/>
      <c r="AQ402" s="3"/>
      <c r="AR402" s="3"/>
      <c r="AS402" s="3"/>
      <c r="AT402" s="3"/>
      <c r="AU402" s="229"/>
      <c r="AV402" s="318">
        <f t="shared" si="49"/>
        <v>234588.31486722716</v>
      </c>
      <c r="AW402" s="229"/>
      <c r="AX402" s="312"/>
      <c r="AY402" s="14"/>
      <c r="AZ402" s="14">
        <f t="shared" si="51"/>
        <v>12697.601003676958</v>
      </c>
      <c r="BA402" s="14">
        <f t="shared" si="50"/>
        <v>0.25676266170226292</v>
      </c>
      <c r="BB402" s="14">
        <f t="shared" si="33"/>
        <v>49452.677112378798</v>
      </c>
      <c r="BC402" s="14"/>
      <c r="BD402" s="14"/>
      <c r="BE402" s="14"/>
      <c r="BF402" s="14"/>
      <c r="BG402" s="14"/>
      <c r="BH402" s="14"/>
      <c r="BI402" s="14"/>
      <c r="BJ402" s="14"/>
      <c r="BK402" s="14"/>
      <c r="BL402" s="14"/>
      <c r="BM402" s="14"/>
      <c r="BN402" s="14"/>
      <c r="BO402" s="14"/>
      <c r="BP402" s="14"/>
      <c r="BQ402" s="14"/>
      <c r="BR402" s="14"/>
      <c r="BS402" s="14"/>
      <c r="BT402" s="14"/>
      <c r="BU402" s="14"/>
      <c r="BV402" s="14"/>
      <c r="BW402" s="14"/>
      <c r="BX402" s="14"/>
      <c r="BY402" s="14"/>
      <c r="BZ402" s="14"/>
      <c r="CA402" s="14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</row>
    <row r="403" spans="1:101" ht="14.25" customHeight="1" x14ac:dyDescent="0.2">
      <c r="A403" s="286"/>
      <c r="B403" s="52">
        <v>0.15191934689449679</v>
      </c>
      <c r="C403" s="288">
        <v>0.25359729297135813</v>
      </c>
      <c r="D403" s="288">
        <v>1.1462385775299459E-2</v>
      </c>
      <c r="E403" s="288">
        <v>2.015739932921079E-2</v>
      </c>
      <c r="F403" s="289">
        <v>0.73695566398383583</v>
      </c>
      <c r="G403" s="92">
        <v>0.3470880607406307</v>
      </c>
      <c r="H403" s="288">
        <v>8.0281637233344583E-2</v>
      </c>
      <c r="I403" s="288">
        <v>1.2536556183535993E-2</v>
      </c>
      <c r="J403" s="288">
        <v>0.98560832658755704</v>
      </c>
      <c r="K403" s="288">
        <v>0.80291008453111801</v>
      </c>
      <c r="L403" s="290">
        <v>9716.3514306819525</v>
      </c>
      <c r="M403" s="288">
        <v>0</v>
      </c>
      <c r="N403" s="288">
        <v>20873.397796183304</v>
      </c>
      <c r="O403" s="288">
        <v>1438.9531800488617</v>
      </c>
      <c r="P403" s="288">
        <v>32114.509582096132</v>
      </c>
      <c r="Q403" s="291">
        <v>83173.08304049485</v>
      </c>
      <c r="R403" s="288">
        <v>24691.945773296877</v>
      </c>
      <c r="S403" s="288">
        <v>11031.778339355247</v>
      </c>
      <c r="T403" s="290">
        <v>0.751</v>
      </c>
      <c r="U403" s="288">
        <v>0.75800000000000001</v>
      </c>
      <c r="V403" s="288">
        <v>0.723923076923077</v>
      </c>
      <c r="W403" s="288">
        <v>0.72750000000000004</v>
      </c>
      <c r="X403" s="288">
        <v>0.76</v>
      </c>
      <c r="Y403" s="288">
        <v>0</v>
      </c>
      <c r="Z403" s="289">
        <v>0</v>
      </c>
      <c r="AA403" s="229"/>
      <c r="AB403" s="52">
        <v>91537.845055719881</v>
      </c>
      <c r="AC403" s="288">
        <v>2.9440642829240429</v>
      </c>
      <c r="AD403" s="288">
        <v>90118.476028728051</v>
      </c>
      <c r="AE403" s="288">
        <v>3.2539540454847633</v>
      </c>
      <c r="AF403" s="288">
        <v>1419.3690269918297</v>
      </c>
      <c r="AG403" s="289">
        <v>-0.30988976256072043</v>
      </c>
      <c r="AH403" s="229"/>
      <c r="AI403" s="205">
        <f t="shared" si="46"/>
        <v>202868.58323668438</v>
      </c>
      <c r="AJ403" s="205">
        <f t="shared" si="47"/>
        <v>235276.92851974827</v>
      </c>
      <c r="AK403" s="205">
        <f t="shared" si="48"/>
        <v>-32408.345283063871</v>
      </c>
      <c r="AL403" s="229"/>
      <c r="AM403" s="52">
        <f t="shared" si="30"/>
        <v>0</v>
      </c>
      <c r="AN403" s="52">
        <f t="shared" si="31"/>
        <v>1</v>
      </c>
      <c r="AO403" s="52">
        <f t="shared" si="32"/>
        <v>0</v>
      </c>
      <c r="AP403" s="229"/>
      <c r="AQ403" s="3"/>
      <c r="AR403" s="3"/>
      <c r="AS403" s="3"/>
      <c r="AT403" s="3"/>
      <c r="AU403" s="229"/>
      <c r="AV403" s="318">
        <f t="shared" si="49"/>
        <v>235276.92851974827</v>
      </c>
      <c r="AW403" s="229"/>
      <c r="AX403" s="312"/>
      <c r="AY403" s="14"/>
      <c r="AZ403" s="14">
        <f t="shared" si="51"/>
        <v>1419.3690269918297</v>
      </c>
      <c r="BA403" s="14">
        <f t="shared" si="50"/>
        <v>-0.30988976256072043</v>
      </c>
      <c r="BB403" s="14">
        <f t="shared" si="33"/>
        <v>-4580.2385185722796</v>
      </c>
      <c r="BC403" s="14"/>
      <c r="BD403" s="14"/>
      <c r="BE403" s="14"/>
      <c r="BF403" s="14"/>
      <c r="BG403" s="14"/>
      <c r="BH403" s="14"/>
      <c r="BI403" s="14"/>
      <c r="BJ403" s="14"/>
      <c r="BK403" s="14"/>
      <c r="BL403" s="14"/>
      <c r="BM403" s="14"/>
      <c r="BN403" s="14"/>
      <c r="BO403" s="14"/>
      <c r="BP403" s="14"/>
      <c r="BQ403" s="14"/>
      <c r="BR403" s="14"/>
      <c r="BS403" s="14"/>
      <c r="BT403" s="14"/>
      <c r="BU403" s="14"/>
      <c r="BV403" s="14"/>
      <c r="BW403" s="14"/>
      <c r="BX403" s="14"/>
      <c r="BY403" s="14"/>
      <c r="BZ403" s="14"/>
      <c r="CA403" s="14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</row>
    <row r="404" spans="1:101" ht="14.25" customHeight="1" x14ac:dyDescent="0.2">
      <c r="A404" s="286"/>
      <c r="B404" s="52">
        <v>0.15446303669393982</v>
      </c>
      <c r="C404" s="288">
        <v>1.6380802999631079E-2</v>
      </c>
      <c r="D404" s="288">
        <v>5.3982919077335519E-3</v>
      </c>
      <c r="E404" s="288">
        <v>1.1588457910686072E-2</v>
      </c>
      <c r="F404" s="289">
        <v>0.81943180465955245</v>
      </c>
      <c r="G404" s="92">
        <v>0.39595098830032022</v>
      </c>
      <c r="H404" s="288">
        <v>0.62687200785182029</v>
      </c>
      <c r="I404" s="288">
        <v>7.4336508408770997E-3</v>
      </c>
      <c r="J404" s="288">
        <v>0.79834605876805775</v>
      </c>
      <c r="K404" s="288">
        <v>0.76163994893309894</v>
      </c>
      <c r="L404" s="290">
        <v>10934.288978311773</v>
      </c>
      <c r="M404" s="288">
        <v>0</v>
      </c>
      <c r="N404" s="288">
        <v>22850.890790002595</v>
      </c>
      <c r="O404" s="288">
        <v>996.27976206119934</v>
      </c>
      <c r="P404" s="288">
        <v>47584.447705313025</v>
      </c>
      <c r="Q404" s="291">
        <v>83397.804994346719</v>
      </c>
      <c r="R404" s="288">
        <v>25470.20437833438</v>
      </c>
      <c r="S404" s="288">
        <v>10548.058353750903</v>
      </c>
      <c r="T404" s="290">
        <v>0.751</v>
      </c>
      <c r="U404" s="288">
        <v>0.75800000000000001</v>
      </c>
      <c r="V404" s="288">
        <v>0.723923076923077</v>
      </c>
      <c r="W404" s="288">
        <v>0.72750000000000004</v>
      </c>
      <c r="X404" s="288">
        <v>0.76</v>
      </c>
      <c r="Y404" s="288">
        <v>0</v>
      </c>
      <c r="Z404" s="289">
        <v>0</v>
      </c>
      <c r="AA404" s="229"/>
      <c r="AB404" s="52">
        <v>96812.403087551516</v>
      </c>
      <c r="AC404" s="288">
        <v>3.3265506455635352</v>
      </c>
      <c r="AD404" s="288">
        <v>87191.287157594852</v>
      </c>
      <c r="AE404" s="288">
        <v>3.0619254286760551</v>
      </c>
      <c r="AF404" s="288">
        <v>9621.1159299566643</v>
      </c>
      <c r="AG404" s="289">
        <v>0.26462521688748009</v>
      </c>
      <c r="AH404" s="229"/>
      <c r="AI404" s="205">
        <f t="shared" si="46"/>
        <v>235842.66146880196</v>
      </c>
      <c r="AJ404" s="205">
        <f t="shared" si="47"/>
        <v>219001.25571001065</v>
      </c>
      <c r="AK404" s="205">
        <f t="shared" si="48"/>
        <v>16841.405758791345</v>
      </c>
      <c r="AL404" s="229"/>
      <c r="AM404" s="52">
        <f t="shared" si="30"/>
        <v>1</v>
      </c>
      <c r="AN404" s="52">
        <f t="shared" si="31"/>
        <v>0</v>
      </c>
      <c r="AO404" s="52">
        <f t="shared" si="32"/>
        <v>1</v>
      </c>
      <c r="AP404" s="229"/>
      <c r="AQ404" s="3"/>
      <c r="AR404" s="3"/>
      <c r="AS404" s="3"/>
      <c r="AT404" s="3"/>
      <c r="AU404" s="229"/>
      <c r="AV404" s="318">
        <f t="shared" si="49"/>
        <v>235842.66146880196</v>
      </c>
      <c r="AW404" s="229"/>
      <c r="AX404" s="312"/>
      <c r="AY404" s="14"/>
      <c r="AZ404" s="14">
        <f t="shared" si="51"/>
        <v>9621.1159299566643</v>
      </c>
      <c r="BA404" s="14">
        <f t="shared" si="50"/>
        <v>0.26462521688748009</v>
      </c>
      <c r="BB404" s="14">
        <f t="shared" si="33"/>
        <v>36357.51740941457</v>
      </c>
      <c r="BC404" s="14"/>
      <c r="BD404" s="14"/>
      <c r="BE404" s="14"/>
      <c r="BF404" s="14"/>
      <c r="BG404" s="14"/>
      <c r="BH404" s="14"/>
      <c r="BI404" s="14"/>
      <c r="BJ404" s="14"/>
      <c r="BK404" s="14"/>
      <c r="BL404" s="14"/>
      <c r="BM404" s="14"/>
      <c r="BN404" s="14"/>
      <c r="BO404" s="14"/>
      <c r="BP404" s="14"/>
      <c r="BQ404" s="14"/>
      <c r="BR404" s="14"/>
      <c r="BS404" s="14"/>
      <c r="BT404" s="14"/>
      <c r="BU404" s="14"/>
      <c r="BV404" s="14"/>
      <c r="BW404" s="14"/>
      <c r="BX404" s="14"/>
      <c r="BY404" s="14"/>
      <c r="BZ404" s="14"/>
      <c r="CA404" s="14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</row>
    <row r="405" spans="1:101" ht="14.25" customHeight="1" x14ac:dyDescent="0.2">
      <c r="A405" s="286"/>
      <c r="B405" s="52">
        <v>0.16612673122710664</v>
      </c>
      <c r="C405" s="288">
        <v>0.59067844591806284</v>
      </c>
      <c r="D405" s="288">
        <v>2.7119595994711809E-2</v>
      </c>
      <c r="E405" s="288">
        <v>2.0542172207931531E-2</v>
      </c>
      <c r="F405" s="289">
        <v>0.78763890932639968</v>
      </c>
      <c r="G405" s="92">
        <v>0.43363563177301645</v>
      </c>
      <c r="H405" s="288">
        <v>0.99595480004302051</v>
      </c>
      <c r="I405" s="288">
        <v>1.6559652804454927E-2</v>
      </c>
      <c r="J405" s="288">
        <v>0.99999999923150895</v>
      </c>
      <c r="K405" s="288">
        <v>0.76276385517190926</v>
      </c>
      <c r="L405" s="290">
        <v>10386.7081679617</v>
      </c>
      <c r="M405" s="288">
        <v>0</v>
      </c>
      <c r="N405" s="288">
        <v>22508.036485993664</v>
      </c>
      <c r="O405" s="288">
        <v>1006.1679329740839</v>
      </c>
      <c r="P405" s="288">
        <v>45334.866958075167</v>
      </c>
      <c r="Q405" s="291">
        <v>92282.63467374703</v>
      </c>
      <c r="R405" s="288">
        <v>17761.917701431503</v>
      </c>
      <c r="S405" s="288">
        <v>8358.3727623666528</v>
      </c>
      <c r="T405" s="290">
        <v>0.751</v>
      </c>
      <c r="U405" s="288">
        <v>0.75800000000000001</v>
      </c>
      <c r="V405" s="288">
        <v>0.723923076923077</v>
      </c>
      <c r="W405" s="288">
        <v>0.72750000000000004</v>
      </c>
      <c r="X405" s="288">
        <v>0.76</v>
      </c>
      <c r="Y405" s="288">
        <v>0</v>
      </c>
      <c r="Z405" s="289">
        <v>0</v>
      </c>
      <c r="AA405" s="229"/>
      <c r="AB405" s="52">
        <v>77909.336121402695</v>
      </c>
      <c r="AC405" s="288">
        <v>3.1778461220334959</v>
      </c>
      <c r="AD405" s="288">
        <v>72778.731584336419</v>
      </c>
      <c r="AE405" s="288">
        <v>3.06711936767433</v>
      </c>
      <c r="AF405" s="288">
        <v>5130.604537066276</v>
      </c>
      <c r="AG405" s="289">
        <v>0.1107267543591659</v>
      </c>
      <c r="AH405" s="229"/>
      <c r="AI405" s="205">
        <f t="shared" si="46"/>
        <v>239875.27608194691</v>
      </c>
      <c r="AJ405" s="205">
        <f t="shared" si="47"/>
        <v>233933.20518309658</v>
      </c>
      <c r="AK405" s="205">
        <f t="shared" si="48"/>
        <v>5942.0708988503138</v>
      </c>
      <c r="AL405" s="229"/>
      <c r="AM405" s="52">
        <f t="shared" si="30"/>
        <v>1</v>
      </c>
      <c r="AN405" s="52">
        <f t="shared" si="31"/>
        <v>0</v>
      </c>
      <c r="AO405" s="52">
        <f t="shared" si="32"/>
        <v>1</v>
      </c>
      <c r="AP405" s="229"/>
      <c r="AQ405" s="3"/>
      <c r="AR405" s="3"/>
      <c r="AS405" s="3"/>
      <c r="AT405" s="3"/>
      <c r="AU405" s="229"/>
      <c r="AV405" s="318">
        <f t="shared" si="49"/>
        <v>239875.27608194691</v>
      </c>
      <c r="AW405" s="229"/>
      <c r="AX405" s="312"/>
      <c r="AY405" s="14"/>
      <c r="AZ405" s="14">
        <f t="shared" si="51"/>
        <v>5130.604537066276</v>
      </c>
      <c r="BA405" s="14">
        <f t="shared" si="50"/>
        <v>0.1107267543591659</v>
      </c>
      <c r="BB405" s="14">
        <f t="shared" si="33"/>
        <v>46335.725875465141</v>
      </c>
      <c r="BC405" s="14"/>
      <c r="BD405" s="14"/>
      <c r="BE405" s="14"/>
      <c r="BF405" s="14"/>
      <c r="BG405" s="14"/>
      <c r="BH405" s="14"/>
      <c r="BI405" s="14"/>
      <c r="BJ405" s="14"/>
      <c r="BK405" s="14"/>
      <c r="BL405" s="14"/>
      <c r="BM405" s="14"/>
      <c r="BN405" s="14"/>
      <c r="BO405" s="14"/>
      <c r="BP405" s="14"/>
      <c r="BQ405" s="14"/>
      <c r="BR405" s="14"/>
      <c r="BS405" s="14"/>
      <c r="BT405" s="14"/>
      <c r="BU405" s="14"/>
      <c r="BV405" s="14"/>
      <c r="BW405" s="14"/>
      <c r="BX405" s="14"/>
      <c r="BY405" s="14"/>
      <c r="BZ405" s="14"/>
      <c r="CA405" s="14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</row>
    <row r="406" spans="1:101" ht="14.25" customHeight="1" x14ac:dyDescent="0.2">
      <c r="A406" s="286"/>
      <c r="B406" s="52">
        <v>0.13394060848336795</v>
      </c>
      <c r="C406" s="288">
        <v>0.30820422829179051</v>
      </c>
      <c r="D406" s="288">
        <v>2.0391249875330253E-2</v>
      </c>
      <c r="E406" s="288">
        <v>1.1409563182913956E-2</v>
      </c>
      <c r="F406" s="289">
        <v>0.79920674062334651</v>
      </c>
      <c r="G406" s="92">
        <v>0.39874464175652352</v>
      </c>
      <c r="H406" s="288">
        <v>0.94773461881606391</v>
      </c>
      <c r="I406" s="288">
        <v>2.2124480243426059E-2</v>
      </c>
      <c r="J406" s="288">
        <v>0.99999999981192134</v>
      </c>
      <c r="K406" s="288">
        <v>0.81381715559952716</v>
      </c>
      <c r="L406" s="290">
        <v>11142.731450112118</v>
      </c>
      <c r="M406" s="288">
        <v>0</v>
      </c>
      <c r="N406" s="288">
        <v>12171.924684994918</v>
      </c>
      <c r="O406" s="288">
        <v>906.1881365405909</v>
      </c>
      <c r="P406" s="288">
        <v>45891.110035869984</v>
      </c>
      <c r="Q406" s="291">
        <v>74468.374796727963</v>
      </c>
      <c r="R406" s="288">
        <v>21108.621307461995</v>
      </c>
      <c r="S406" s="288">
        <v>11416.871949171415</v>
      </c>
      <c r="T406" s="290">
        <v>0.751</v>
      </c>
      <c r="U406" s="288">
        <v>0.75800000000000001</v>
      </c>
      <c r="V406" s="288">
        <v>0.723923076923077</v>
      </c>
      <c r="W406" s="288">
        <v>0.72750000000000004</v>
      </c>
      <c r="X406" s="288">
        <v>0.76</v>
      </c>
      <c r="Y406" s="288">
        <v>0</v>
      </c>
      <c r="Z406" s="289">
        <v>0</v>
      </c>
      <c r="AA406" s="229"/>
      <c r="AB406" s="52">
        <v>102693.51335564624</v>
      </c>
      <c r="AC406" s="288">
        <v>3.2317687157503143</v>
      </c>
      <c r="AD406" s="288">
        <v>102036.55063397832</v>
      </c>
      <c r="AE406" s="288">
        <v>3.3051528195514459</v>
      </c>
      <c r="AF406" s="288">
        <v>656.96272166792187</v>
      </c>
      <c r="AG406" s="289">
        <v>-7.3384103801131584E-2</v>
      </c>
      <c r="AH406" s="229"/>
      <c r="AI406" s="205">
        <f t="shared" si="46"/>
        <v>220483.35821938521</v>
      </c>
      <c r="AJ406" s="205">
        <f t="shared" si="47"/>
        <v>228478.73132116627</v>
      </c>
      <c r="AK406" s="205">
        <f t="shared" si="48"/>
        <v>-7995.3731017810805</v>
      </c>
      <c r="AL406" s="229"/>
      <c r="AM406" s="52">
        <f t="shared" si="30"/>
        <v>0</v>
      </c>
      <c r="AN406" s="52">
        <f t="shared" si="31"/>
        <v>1</v>
      </c>
      <c r="AO406" s="52">
        <f t="shared" si="32"/>
        <v>0</v>
      </c>
      <c r="AP406" s="229"/>
      <c r="AQ406" s="3"/>
      <c r="AR406" s="3"/>
      <c r="AS406" s="3"/>
      <c r="AT406" s="3"/>
      <c r="AU406" s="229"/>
      <c r="AV406" s="318">
        <f t="shared" si="49"/>
        <v>228478.73132116627</v>
      </c>
      <c r="AW406" s="229"/>
      <c r="AX406" s="312"/>
      <c r="AY406" s="14"/>
      <c r="AZ406" s="14">
        <f t="shared" si="51"/>
        <v>656.96272166792187</v>
      </c>
      <c r="BA406" s="14">
        <f t="shared" si="50"/>
        <v>-7.3384103801131584E-2</v>
      </c>
      <c r="BB406" s="14">
        <f t="shared" si="33"/>
        <v>-8952.3846124532429</v>
      </c>
      <c r="BC406" s="14"/>
      <c r="BD406" s="14"/>
      <c r="BE406" s="14"/>
      <c r="BF406" s="14"/>
      <c r="BG406" s="14"/>
      <c r="BH406" s="14"/>
      <c r="BI406" s="14"/>
      <c r="BJ406" s="14"/>
      <c r="BK406" s="14"/>
      <c r="BL406" s="14"/>
      <c r="BM406" s="14"/>
      <c r="BN406" s="14"/>
      <c r="BO406" s="14"/>
      <c r="BP406" s="14"/>
      <c r="BQ406" s="14"/>
      <c r="BR406" s="14"/>
      <c r="BS406" s="14"/>
      <c r="BT406" s="14"/>
      <c r="BU406" s="14"/>
      <c r="BV406" s="14"/>
      <c r="BW406" s="14"/>
      <c r="BX406" s="14"/>
      <c r="BY406" s="14"/>
      <c r="BZ406" s="14"/>
      <c r="CA406" s="14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</row>
    <row r="407" spans="1:101" ht="14.25" customHeight="1" x14ac:dyDescent="0.2">
      <c r="A407" s="286"/>
      <c r="B407" s="52">
        <v>0.14613693659684648</v>
      </c>
      <c r="C407" s="288">
        <v>0.34041082274229018</v>
      </c>
      <c r="D407" s="288">
        <v>1.4761642448909318E-2</v>
      </c>
      <c r="E407" s="288">
        <v>1.4143719604654095E-2</v>
      </c>
      <c r="F407" s="289">
        <v>0.81350120484889632</v>
      </c>
      <c r="G407" s="92">
        <v>0.36257370931410782</v>
      </c>
      <c r="H407" s="288">
        <v>0.14073748437864175</v>
      </c>
      <c r="I407" s="288">
        <v>9.4270262071106531E-3</v>
      </c>
      <c r="J407" s="288">
        <v>0.83394637505888447</v>
      </c>
      <c r="K407" s="288">
        <v>0.71126857349342432</v>
      </c>
      <c r="L407" s="290">
        <v>11628.603506008927</v>
      </c>
      <c r="M407" s="288">
        <v>0</v>
      </c>
      <c r="N407" s="288">
        <v>21774.147298533098</v>
      </c>
      <c r="O407" s="288">
        <v>1384.2255867685965</v>
      </c>
      <c r="P407" s="288">
        <v>36263.862153247188</v>
      </c>
      <c r="Q407" s="291">
        <v>91590.668482289271</v>
      </c>
      <c r="R407" s="288">
        <v>24710.388799931443</v>
      </c>
      <c r="S407" s="288">
        <v>7853.8146388073555</v>
      </c>
      <c r="T407" s="290">
        <v>0.751</v>
      </c>
      <c r="U407" s="288">
        <v>0.75800000000000001</v>
      </c>
      <c r="V407" s="288">
        <v>0.723923076923077</v>
      </c>
      <c r="W407" s="288">
        <v>0.72750000000000004</v>
      </c>
      <c r="X407" s="288">
        <v>0.76</v>
      </c>
      <c r="Y407" s="288">
        <v>0</v>
      </c>
      <c r="Z407" s="289">
        <v>0</v>
      </c>
      <c r="AA407" s="229"/>
      <c r="AB407" s="52">
        <v>76526.071164420835</v>
      </c>
      <c r="AC407" s="288">
        <v>3.2986912356160274</v>
      </c>
      <c r="AD407" s="288">
        <v>57960.911130121545</v>
      </c>
      <c r="AE407" s="288">
        <v>2.8311871057650286</v>
      </c>
      <c r="AF407" s="288">
        <v>18565.16003429929</v>
      </c>
      <c r="AG407" s="289">
        <v>0.46750412985099876</v>
      </c>
      <c r="AH407" s="229"/>
      <c r="AI407" s="205">
        <f t="shared" si="46"/>
        <v>253343.05239718189</v>
      </c>
      <c r="AJ407" s="205">
        <f t="shared" si="47"/>
        <v>225157.79944638128</v>
      </c>
      <c r="AK407" s="205">
        <f t="shared" si="48"/>
        <v>28185.25295080059</v>
      </c>
      <c r="AL407" s="229"/>
      <c r="AM407" s="52">
        <f t="shared" si="30"/>
        <v>1</v>
      </c>
      <c r="AN407" s="52">
        <f t="shared" si="31"/>
        <v>0</v>
      </c>
      <c r="AO407" s="52">
        <f t="shared" si="32"/>
        <v>1</v>
      </c>
      <c r="AP407" s="229"/>
      <c r="AQ407" s="3"/>
      <c r="AR407" s="3"/>
      <c r="AS407" s="3"/>
      <c r="AT407" s="3"/>
      <c r="AU407" s="229"/>
      <c r="AV407" s="318">
        <f t="shared" si="49"/>
        <v>253343.05239718189</v>
      </c>
      <c r="AW407" s="229"/>
      <c r="AX407" s="312"/>
      <c r="AY407" s="14"/>
      <c r="AZ407" s="14">
        <f t="shared" si="51"/>
        <v>18565.16003429929</v>
      </c>
      <c r="BA407" s="14">
        <f t="shared" si="50"/>
        <v>0.46750412985099876</v>
      </c>
      <c r="BB407" s="14">
        <f t="shared" si="33"/>
        <v>39711.221460688081</v>
      </c>
      <c r="BC407" s="14"/>
      <c r="BD407" s="14"/>
      <c r="BE407" s="14"/>
      <c r="BF407" s="14"/>
      <c r="BG407" s="14"/>
      <c r="BH407" s="14"/>
      <c r="BI407" s="14"/>
      <c r="BJ407" s="14"/>
      <c r="BK407" s="14"/>
      <c r="BL407" s="14"/>
      <c r="BM407" s="14"/>
      <c r="BN407" s="14"/>
      <c r="BO407" s="14"/>
      <c r="BP407" s="14"/>
      <c r="BQ407" s="14"/>
      <c r="BR407" s="14"/>
      <c r="BS407" s="14"/>
      <c r="BT407" s="14"/>
      <c r="BU407" s="14"/>
      <c r="BV407" s="14"/>
      <c r="BW407" s="14"/>
      <c r="BX407" s="14"/>
      <c r="BY407" s="14"/>
      <c r="BZ407" s="14"/>
      <c r="CA407" s="14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</row>
    <row r="408" spans="1:101" ht="14.25" customHeight="1" x14ac:dyDescent="0.2">
      <c r="A408" s="286"/>
      <c r="B408" s="52">
        <v>0.16503394820139416</v>
      </c>
      <c r="C408" s="288">
        <v>1.0392128043563436E-2</v>
      </c>
      <c r="D408" s="288">
        <v>6.544834942659155E-3</v>
      </c>
      <c r="E408" s="288">
        <v>9.1567211251608726E-3</v>
      </c>
      <c r="F408" s="289">
        <v>0.755710409585587</v>
      </c>
      <c r="G408" s="92">
        <v>0.34736477585752329</v>
      </c>
      <c r="H408" s="288">
        <v>0.71350051884405985</v>
      </c>
      <c r="I408" s="288">
        <v>1.1662263711423791E-2</v>
      </c>
      <c r="J408" s="288">
        <v>3.1312732830350853E-2</v>
      </c>
      <c r="K408" s="288">
        <v>0.75757302778683677</v>
      </c>
      <c r="L408" s="290">
        <v>15442.932953585429</v>
      </c>
      <c r="M408" s="288">
        <v>0</v>
      </c>
      <c r="N408" s="288">
        <v>14282.555925319626</v>
      </c>
      <c r="O408" s="288">
        <v>1161.4493608380837</v>
      </c>
      <c r="P408" s="288">
        <v>56017.420557131329</v>
      </c>
      <c r="Q408" s="291">
        <v>131501.89707209563</v>
      </c>
      <c r="R408" s="288">
        <v>31051.191232598932</v>
      </c>
      <c r="S408" s="288">
        <v>9099.5884399736751</v>
      </c>
      <c r="T408" s="290">
        <v>0.751</v>
      </c>
      <c r="U408" s="288">
        <v>0.75800000000000001</v>
      </c>
      <c r="V408" s="288">
        <v>0.723923076923077</v>
      </c>
      <c r="W408" s="288">
        <v>0.72750000000000004</v>
      </c>
      <c r="X408" s="288">
        <v>0.76</v>
      </c>
      <c r="Y408" s="288">
        <v>0</v>
      </c>
      <c r="Z408" s="289">
        <v>0</v>
      </c>
      <c r="AA408" s="229"/>
      <c r="AB408" s="52">
        <v>83925.188615142761</v>
      </c>
      <c r="AC408" s="288">
        <v>3.0301029166653715</v>
      </c>
      <c r="AD408" s="288">
        <v>77292.391238907105</v>
      </c>
      <c r="AE408" s="288">
        <v>3.04314749131614</v>
      </c>
      <c r="AF408" s="288">
        <v>6632.797376235656</v>
      </c>
      <c r="AG408" s="289">
        <v>-1.3044574650768581E-2</v>
      </c>
      <c r="AH408" s="229"/>
      <c r="AI408" s="205">
        <f t="shared" si="46"/>
        <v>219085.1030513944</v>
      </c>
      <c r="AJ408" s="205">
        <f t="shared" si="47"/>
        <v>227022.35789270687</v>
      </c>
      <c r="AK408" s="205">
        <f t="shared" si="48"/>
        <v>-7937.2548413125141</v>
      </c>
      <c r="AL408" s="229"/>
      <c r="AM408" s="52">
        <f t="shared" si="30"/>
        <v>0</v>
      </c>
      <c r="AN408" s="52">
        <f t="shared" si="31"/>
        <v>1</v>
      </c>
      <c r="AO408" s="52">
        <f t="shared" si="32"/>
        <v>0</v>
      </c>
      <c r="AP408" s="229"/>
      <c r="AQ408" s="3"/>
      <c r="AR408" s="3"/>
      <c r="AS408" s="3"/>
      <c r="AT408" s="3"/>
      <c r="AU408" s="229"/>
      <c r="AV408" s="318">
        <f t="shared" si="49"/>
        <v>227022.35789270687</v>
      </c>
      <c r="AW408" s="229"/>
      <c r="AX408" s="312"/>
      <c r="AY408" s="14"/>
      <c r="AZ408" s="14">
        <f t="shared" si="51"/>
        <v>6632.797376235656</v>
      </c>
      <c r="BA408" s="14">
        <f t="shared" si="50"/>
        <v>-1.3044574650768581E-2</v>
      </c>
      <c r="BB408" s="14">
        <f t="shared" si="33"/>
        <v>-508471.72512787563</v>
      </c>
      <c r="BC408" s="14"/>
      <c r="BD408" s="14"/>
      <c r="BE408" s="14"/>
      <c r="BF408" s="14"/>
      <c r="BG408" s="14"/>
      <c r="BH408" s="14"/>
      <c r="BI408" s="14"/>
      <c r="BJ408" s="14"/>
      <c r="BK408" s="14"/>
      <c r="BL408" s="14"/>
      <c r="BM408" s="14"/>
      <c r="BN408" s="14"/>
      <c r="BO408" s="14"/>
      <c r="BP408" s="14"/>
      <c r="BQ408" s="14"/>
      <c r="BR408" s="14"/>
      <c r="BS408" s="14"/>
      <c r="BT408" s="14"/>
      <c r="BU408" s="14"/>
      <c r="BV408" s="14"/>
      <c r="BW408" s="14"/>
      <c r="BX408" s="14"/>
      <c r="BY408" s="14"/>
      <c r="BZ408" s="14"/>
      <c r="CA408" s="14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</row>
    <row r="409" spans="1:101" ht="14.25" customHeight="1" x14ac:dyDescent="0.2">
      <c r="A409" s="286"/>
      <c r="B409" s="52">
        <v>0.1359570558761195</v>
      </c>
      <c r="C409" s="288">
        <v>0.14963606449121683</v>
      </c>
      <c r="D409" s="288">
        <v>1.2817924464684025E-2</v>
      </c>
      <c r="E409" s="288">
        <v>1.2776971939741302E-2</v>
      </c>
      <c r="F409" s="289">
        <v>0.78838252156133004</v>
      </c>
      <c r="G409" s="92">
        <v>0.32486282759293283</v>
      </c>
      <c r="H409" s="288">
        <v>0.90946104799305472</v>
      </c>
      <c r="I409" s="288">
        <v>1.8856880516367913E-2</v>
      </c>
      <c r="J409" s="288">
        <v>0.91428824124978769</v>
      </c>
      <c r="K409" s="288">
        <v>0.79517610691228036</v>
      </c>
      <c r="L409" s="290">
        <v>14799.74905663668</v>
      </c>
      <c r="M409" s="288">
        <v>0</v>
      </c>
      <c r="N409" s="288">
        <v>20420.632496160008</v>
      </c>
      <c r="O409" s="288">
        <v>1171.591669484566</v>
      </c>
      <c r="P409" s="288">
        <v>39888.923701707812</v>
      </c>
      <c r="Q409" s="291">
        <v>90837.008639815831</v>
      </c>
      <c r="R409" s="288">
        <v>26527.287654661075</v>
      </c>
      <c r="S409" s="288">
        <v>11064.474700681854</v>
      </c>
      <c r="T409" s="290">
        <v>0.751</v>
      </c>
      <c r="U409" s="288">
        <v>0.75800000000000001</v>
      </c>
      <c r="V409" s="288">
        <v>0.723923076923077</v>
      </c>
      <c r="W409" s="288">
        <v>0.72750000000000004</v>
      </c>
      <c r="X409" s="288">
        <v>0.76</v>
      </c>
      <c r="Y409" s="288">
        <v>0</v>
      </c>
      <c r="Z409" s="289">
        <v>0</v>
      </c>
      <c r="AA409" s="229"/>
      <c r="AB409" s="52">
        <v>102036.37064936865</v>
      </c>
      <c r="AC409" s="288">
        <v>3.1813061032605185</v>
      </c>
      <c r="AD409" s="288">
        <v>96720.568168532773</v>
      </c>
      <c r="AE409" s="288">
        <v>3.2177636814421637</v>
      </c>
      <c r="AF409" s="288">
        <v>5315.802480835875</v>
      </c>
      <c r="AG409" s="289">
        <v>-3.6457578181645189E-2</v>
      </c>
      <c r="AH409" s="229"/>
      <c r="AI409" s="205">
        <f t="shared" si="46"/>
        <v>216094.23967668318</v>
      </c>
      <c r="AJ409" s="205">
        <f t="shared" si="47"/>
        <v>225055.79997568359</v>
      </c>
      <c r="AK409" s="205">
        <f t="shared" si="48"/>
        <v>-8961.5602990003936</v>
      </c>
      <c r="AL409" s="229"/>
      <c r="AM409" s="52">
        <f t="shared" si="30"/>
        <v>0</v>
      </c>
      <c r="AN409" s="52">
        <f t="shared" si="31"/>
        <v>1</v>
      </c>
      <c r="AO409" s="52">
        <f t="shared" si="32"/>
        <v>0</v>
      </c>
      <c r="AP409" s="229"/>
      <c r="AQ409" s="3"/>
      <c r="AR409" s="3"/>
      <c r="AS409" s="3"/>
      <c r="AT409" s="3"/>
      <c r="AU409" s="229"/>
      <c r="AV409" s="318">
        <f t="shared" si="49"/>
        <v>225055.79997568359</v>
      </c>
      <c r="AW409" s="229"/>
      <c r="AX409" s="312"/>
      <c r="AY409" s="14"/>
      <c r="AZ409" s="14">
        <f t="shared" si="51"/>
        <v>5315.802480835875</v>
      </c>
      <c r="BA409" s="14">
        <f t="shared" si="50"/>
        <v>-3.6457578181645189E-2</v>
      </c>
      <c r="BB409" s="14">
        <f t="shared" si="33"/>
        <v>-145807.8881254968</v>
      </c>
      <c r="BC409" s="14"/>
      <c r="BD409" s="14"/>
      <c r="BE409" s="14"/>
      <c r="BF409" s="14"/>
      <c r="BG409" s="14"/>
      <c r="BH409" s="14"/>
      <c r="BI409" s="14"/>
      <c r="BJ409" s="14"/>
      <c r="BK409" s="14"/>
      <c r="BL409" s="14"/>
      <c r="BM409" s="14"/>
      <c r="BN409" s="14"/>
      <c r="BO409" s="14"/>
      <c r="BP409" s="14"/>
      <c r="BQ409" s="14"/>
      <c r="BR409" s="14"/>
      <c r="BS409" s="14"/>
      <c r="BT409" s="14"/>
      <c r="BU409" s="14"/>
      <c r="BV409" s="14"/>
      <c r="BW409" s="14"/>
      <c r="BX409" s="14"/>
      <c r="BY409" s="14"/>
      <c r="BZ409" s="14"/>
      <c r="CA409" s="14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</row>
    <row r="410" spans="1:101" ht="14.25" customHeight="1" x14ac:dyDescent="0.2">
      <c r="A410" s="286"/>
      <c r="B410" s="52">
        <v>0.182701463705088</v>
      </c>
      <c r="C410" s="288">
        <v>0.10202182797478597</v>
      </c>
      <c r="D410" s="288">
        <v>2.6781684778745762E-2</v>
      </c>
      <c r="E410" s="288">
        <v>1.7474235501029334E-2</v>
      </c>
      <c r="F410" s="289">
        <v>0.80757137213303753</v>
      </c>
      <c r="G410" s="92">
        <v>0.41163832933376687</v>
      </c>
      <c r="H410" s="288">
        <v>0.57221548963582358</v>
      </c>
      <c r="I410" s="288">
        <v>3.0474213105698977E-2</v>
      </c>
      <c r="J410" s="288">
        <v>0.99999999999971201</v>
      </c>
      <c r="K410" s="288">
        <v>0.74471146228831031</v>
      </c>
      <c r="L410" s="290">
        <v>15553.335458581814</v>
      </c>
      <c r="M410" s="288">
        <v>0</v>
      </c>
      <c r="N410" s="288">
        <v>17732.771318847321</v>
      </c>
      <c r="O410" s="288">
        <v>1328.4936801461879</v>
      </c>
      <c r="P410" s="288">
        <v>40626.856652307768</v>
      </c>
      <c r="Q410" s="291">
        <v>97772.943660865087</v>
      </c>
      <c r="R410" s="288">
        <v>27207.594584295854</v>
      </c>
      <c r="S410" s="288">
        <v>7109.6508071597327</v>
      </c>
      <c r="T410" s="290">
        <v>0.751</v>
      </c>
      <c r="U410" s="288">
        <v>0.75800000000000001</v>
      </c>
      <c r="V410" s="288">
        <v>0.723923076923077</v>
      </c>
      <c r="W410" s="288">
        <v>0.72750000000000004</v>
      </c>
      <c r="X410" s="288">
        <v>0.76</v>
      </c>
      <c r="Y410" s="288">
        <v>0</v>
      </c>
      <c r="Z410" s="289">
        <v>0</v>
      </c>
      <c r="AA410" s="229"/>
      <c r="AB410" s="52">
        <v>73641.061113817879</v>
      </c>
      <c r="AC410" s="288">
        <v>3.2708905857514656</v>
      </c>
      <c r="AD410" s="288">
        <v>61549.322853180827</v>
      </c>
      <c r="AE410" s="288">
        <v>2.9839341957148737</v>
      </c>
      <c r="AF410" s="288">
        <v>12091.738260637052</v>
      </c>
      <c r="AG410" s="289">
        <v>0.2869563900365919</v>
      </c>
      <c r="AH410" s="229"/>
      <c r="AI410" s="205">
        <f t="shared" si="46"/>
        <v>253447.99746132866</v>
      </c>
      <c r="AJ410" s="205">
        <f t="shared" si="47"/>
        <v>236844.09671830654</v>
      </c>
      <c r="AK410" s="205">
        <f t="shared" si="48"/>
        <v>16603.900743022139</v>
      </c>
      <c r="AL410" s="229"/>
      <c r="AM410" s="52">
        <f t="shared" si="30"/>
        <v>1</v>
      </c>
      <c r="AN410" s="52">
        <f t="shared" si="31"/>
        <v>0</v>
      </c>
      <c r="AO410" s="52">
        <f t="shared" si="32"/>
        <v>1</v>
      </c>
      <c r="AP410" s="229"/>
      <c r="AQ410" s="3"/>
      <c r="AR410" s="3"/>
      <c r="AS410" s="3"/>
      <c r="AT410" s="3"/>
      <c r="AU410" s="229"/>
      <c r="AV410" s="318">
        <f t="shared" si="49"/>
        <v>253447.99746132866</v>
      </c>
      <c r="AW410" s="229"/>
      <c r="AX410" s="312"/>
      <c r="AY410" s="14"/>
      <c r="AZ410" s="14">
        <f t="shared" si="51"/>
        <v>12091.738260637052</v>
      </c>
      <c r="BA410" s="14">
        <f t="shared" si="50"/>
        <v>0.2869563900365919</v>
      </c>
      <c r="BB410" s="14">
        <f t="shared" si="33"/>
        <v>42137.895096516746</v>
      </c>
      <c r="BC410" s="14"/>
      <c r="BD410" s="14"/>
      <c r="BE410" s="14"/>
      <c r="BF410" s="14"/>
      <c r="BG410" s="14"/>
      <c r="BH410" s="14"/>
      <c r="BI410" s="14"/>
      <c r="BJ410" s="14"/>
      <c r="BK410" s="14"/>
      <c r="BL410" s="14"/>
      <c r="BM410" s="14"/>
      <c r="BN410" s="14"/>
      <c r="BO410" s="14"/>
      <c r="BP410" s="14"/>
      <c r="BQ410" s="14"/>
      <c r="BR410" s="14"/>
      <c r="BS410" s="14"/>
      <c r="BT410" s="14"/>
      <c r="BU410" s="14"/>
      <c r="BV410" s="14"/>
      <c r="BW410" s="14"/>
      <c r="BX410" s="14"/>
      <c r="BY410" s="14"/>
      <c r="BZ410" s="14"/>
      <c r="CA410" s="14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</row>
    <row r="411" spans="1:101" ht="14.25" customHeight="1" x14ac:dyDescent="0.2">
      <c r="A411" s="286"/>
      <c r="B411" s="52">
        <v>0.13132690055330168</v>
      </c>
      <c r="C411" s="288">
        <v>5.6482975362630299E-2</v>
      </c>
      <c r="D411" s="288">
        <v>6.6475395929555684E-3</v>
      </c>
      <c r="E411" s="288">
        <v>1.4098497553509292E-2</v>
      </c>
      <c r="F411" s="289">
        <v>0.77214014505719564</v>
      </c>
      <c r="G411" s="92">
        <v>0.43856499060069132</v>
      </c>
      <c r="H411" s="288">
        <v>0.8580648080020068</v>
      </c>
      <c r="I411" s="288">
        <v>7.2958829206761769E-3</v>
      </c>
      <c r="J411" s="288">
        <v>0.99999788760504749</v>
      </c>
      <c r="K411" s="288">
        <v>0.7554209464296362</v>
      </c>
      <c r="L411" s="290">
        <v>10918.810802710675</v>
      </c>
      <c r="M411" s="288">
        <v>0</v>
      </c>
      <c r="N411" s="288">
        <v>22711.235611425443</v>
      </c>
      <c r="O411" s="288">
        <v>1570.3649652280176</v>
      </c>
      <c r="P411" s="288">
        <v>51089.064024237188</v>
      </c>
      <c r="Q411" s="291">
        <v>102897.77927216435</v>
      </c>
      <c r="R411" s="288">
        <v>20830.368338281438</v>
      </c>
      <c r="S411" s="288">
        <v>12258.452909883363</v>
      </c>
      <c r="T411" s="290">
        <v>0.751</v>
      </c>
      <c r="U411" s="288">
        <v>0.75800000000000001</v>
      </c>
      <c r="V411" s="288">
        <v>0.723923076923077</v>
      </c>
      <c r="W411" s="288">
        <v>0.72750000000000004</v>
      </c>
      <c r="X411" s="288">
        <v>0.76</v>
      </c>
      <c r="Y411" s="288">
        <v>0</v>
      </c>
      <c r="Z411" s="289">
        <v>0</v>
      </c>
      <c r="AA411" s="229"/>
      <c r="AB411" s="52">
        <v>105097.84047953147</v>
      </c>
      <c r="AC411" s="288">
        <v>3.1059287656683452</v>
      </c>
      <c r="AD411" s="288">
        <v>101378.90677831617</v>
      </c>
      <c r="AE411" s="288">
        <v>3.0332213705116589</v>
      </c>
      <c r="AF411" s="288">
        <v>3718.9337012152973</v>
      </c>
      <c r="AG411" s="289">
        <v>7.2707395156686339E-2</v>
      </c>
      <c r="AH411" s="229"/>
      <c r="AI411" s="205">
        <f t="shared" si="46"/>
        <v>205495.03608730304</v>
      </c>
      <c r="AJ411" s="205">
        <f t="shared" si="47"/>
        <v>201943.23027284967</v>
      </c>
      <c r="AK411" s="205">
        <f t="shared" si="48"/>
        <v>3551.8058144533361</v>
      </c>
      <c r="AL411" s="229"/>
      <c r="AM411" s="52">
        <f t="shared" si="30"/>
        <v>1</v>
      </c>
      <c r="AN411" s="52">
        <f t="shared" si="31"/>
        <v>0</v>
      </c>
      <c r="AO411" s="52">
        <f t="shared" si="32"/>
        <v>1</v>
      </c>
      <c r="AP411" s="229"/>
      <c r="AQ411" s="3"/>
      <c r="AR411" s="3"/>
      <c r="AS411" s="3"/>
      <c r="AT411" s="3"/>
      <c r="AU411" s="229"/>
      <c r="AV411" s="318">
        <f t="shared" si="49"/>
        <v>205495.03608730304</v>
      </c>
      <c r="AW411" s="229"/>
      <c r="AX411" s="312"/>
      <c r="AY411" s="14"/>
      <c r="AZ411" s="14">
        <f t="shared" si="51"/>
        <v>3718.9337012152973</v>
      </c>
      <c r="BA411" s="14">
        <f t="shared" si="50"/>
        <v>7.2707395156686339E-2</v>
      </c>
      <c r="BB411" s="14">
        <f t="shared" si="33"/>
        <v>51149.31834926692</v>
      </c>
      <c r="BC411" s="14"/>
      <c r="BD411" s="14"/>
      <c r="BE411" s="14"/>
      <c r="BF411" s="14"/>
      <c r="BG411" s="14"/>
      <c r="BH411" s="14"/>
      <c r="BI411" s="14"/>
      <c r="BJ411" s="14"/>
      <c r="BK411" s="14"/>
      <c r="BL411" s="14"/>
      <c r="BM411" s="14"/>
      <c r="BN411" s="14"/>
      <c r="BO411" s="14"/>
      <c r="BP411" s="14"/>
      <c r="BQ411" s="14"/>
      <c r="BR411" s="14"/>
      <c r="BS411" s="14"/>
      <c r="BT411" s="14"/>
      <c r="BU411" s="14"/>
      <c r="BV411" s="14"/>
      <c r="BW411" s="14"/>
      <c r="BX411" s="14"/>
      <c r="BY411" s="14"/>
      <c r="BZ411" s="14"/>
      <c r="CA411" s="14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</row>
    <row r="412" spans="1:101" ht="14.25" customHeight="1" x14ac:dyDescent="0.2">
      <c r="A412" s="286"/>
      <c r="B412" s="52">
        <v>0.18489675174932385</v>
      </c>
      <c r="C412" s="288">
        <v>7.0174163730915853E-2</v>
      </c>
      <c r="D412" s="288">
        <v>1.9999869344559884E-2</v>
      </c>
      <c r="E412" s="288">
        <v>2.0148007053628847E-2</v>
      </c>
      <c r="F412" s="289">
        <v>0.80939238037631478</v>
      </c>
      <c r="G412" s="92">
        <v>0.44625968086337264</v>
      </c>
      <c r="H412" s="288">
        <v>0.9967602064566814</v>
      </c>
      <c r="I412" s="288">
        <v>1.9530929437948985E-2</v>
      </c>
      <c r="J412" s="288">
        <v>0.99999998557872027</v>
      </c>
      <c r="K412" s="288">
        <v>0.7380654153715791</v>
      </c>
      <c r="L412" s="290">
        <v>10782.152452246613</v>
      </c>
      <c r="M412" s="288">
        <v>0</v>
      </c>
      <c r="N412" s="288">
        <v>16126.619099113079</v>
      </c>
      <c r="O412" s="288">
        <v>1457.3196412513857</v>
      </c>
      <c r="P412" s="288">
        <v>51298.413468964405</v>
      </c>
      <c r="Q412" s="291">
        <v>106554.76276285386</v>
      </c>
      <c r="R412" s="288">
        <v>22204.396803600579</v>
      </c>
      <c r="S412" s="288">
        <v>9892.208754504305</v>
      </c>
      <c r="T412" s="290">
        <v>0.751</v>
      </c>
      <c r="U412" s="288">
        <v>0.75800000000000001</v>
      </c>
      <c r="V412" s="288">
        <v>0.723923076923077</v>
      </c>
      <c r="W412" s="288">
        <v>0.72750000000000004</v>
      </c>
      <c r="X412" s="288">
        <v>0.76</v>
      </c>
      <c r="Y412" s="288">
        <v>0</v>
      </c>
      <c r="Z412" s="289">
        <v>0</v>
      </c>
      <c r="AA412" s="229"/>
      <c r="AB412" s="52">
        <v>91023.177914646323</v>
      </c>
      <c r="AC412" s="288">
        <v>3.2794220940122418</v>
      </c>
      <c r="AD412" s="288">
        <v>84667.446062218602</v>
      </c>
      <c r="AE412" s="288">
        <v>2.9534386735447411</v>
      </c>
      <c r="AF412" s="288">
        <v>6355.7318524277216</v>
      </c>
      <c r="AG412" s="289">
        <v>0.32598342046750073</v>
      </c>
      <c r="AH412" s="229"/>
      <c r="AI412" s="205">
        <f t="shared" si="46"/>
        <v>236919.03148657782</v>
      </c>
      <c r="AJ412" s="205">
        <f t="shared" si="47"/>
        <v>210676.42129225549</v>
      </c>
      <c r="AK412" s="205">
        <f t="shared" si="48"/>
        <v>26242.610194322351</v>
      </c>
      <c r="AL412" s="229"/>
      <c r="AM412" s="52">
        <f t="shared" si="30"/>
        <v>1</v>
      </c>
      <c r="AN412" s="52">
        <f t="shared" si="31"/>
        <v>0</v>
      </c>
      <c r="AO412" s="52">
        <f t="shared" si="32"/>
        <v>1</v>
      </c>
      <c r="AP412" s="229"/>
      <c r="AQ412" s="3"/>
      <c r="AR412" s="3"/>
      <c r="AS412" s="3"/>
      <c r="AT412" s="3"/>
      <c r="AU412" s="229"/>
      <c r="AV412" s="318">
        <f t="shared" si="49"/>
        <v>236919.03148657782</v>
      </c>
      <c r="AW412" s="229"/>
      <c r="AX412" s="312"/>
      <c r="AY412" s="14"/>
      <c r="AZ412" s="14">
        <f t="shared" si="51"/>
        <v>6355.7318524277216</v>
      </c>
      <c r="BA412" s="14">
        <f t="shared" si="50"/>
        <v>0.32598342046750073</v>
      </c>
      <c r="BB412" s="14">
        <f t="shared" si="33"/>
        <v>19497.101549866591</v>
      </c>
      <c r="BC412" s="14"/>
      <c r="BD412" s="14"/>
      <c r="BE412" s="14"/>
      <c r="BF412" s="14"/>
      <c r="BG412" s="14"/>
      <c r="BH412" s="14"/>
      <c r="BI412" s="14"/>
      <c r="BJ412" s="14"/>
      <c r="BK412" s="14"/>
      <c r="BL412" s="14"/>
      <c r="BM412" s="14"/>
      <c r="BN412" s="14"/>
      <c r="BO412" s="14"/>
      <c r="BP412" s="14"/>
      <c r="BQ412" s="14"/>
      <c r="BR412" s="14"/>
      <c r="BS412" s="14"/>
      <c r="BT412" s="14"/>
      <c r="BU412" s="14"/>
      <c r="BV412" s="14"/>
      <c r="BW412" s="14"/>
      <c r="BX412" s="14"/>
      <c r="BY412" s="14"/>
      <c r="BZ412" s="14"/>
      <c r="CA412" s="14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</row>
    <row r="413" spans="1:101" ht="14.25" customHeight="1" x14ac:dyDescent="0.2">
      <c r="A413" s="286"/>
      <c r="B413" s="52">
        <v>0.20990252235884221</v>
      </c>
      <c r="C413" s="288">
        <v>6.9405043036888294E-3</v>
      </c>
      <c r="D413" s="288">
        <v>7.1013126458082561E-3</v>
      </c>
      <c r="E413" s="288">
        <v>1.7228925046161914E-2</v>
      </c>
      <c r="F413" s="289">
        <v>0.84095557897455919</v>
      </c>
      <c r="G413" s="92">
        <v>0.39421294338451895</v>
      </c>
      <c r="H413" s="288">
        <v>0.15828057042148666</v>
      </c>
      <c r="I413" s="288">
        <v>1.786765005855373E-2</v>
      </c>
      <c r="J413" s="288">
        <v>7.8967045740529984E-2</v>
      </c>
      <c r="K413" s="288">
        <v>0.78348674489620496</v>
      </c>
      <c r="L413" s="290">
        <v>12144.812893833168</v>
      </c>
      <c r="M413" s="288">
        <v>0</v>
      </c>
      <c r="N413" s="288">
        <v>19435.55015700993</v>
      </c>
      <c r="O413" s="288">
        <v>1198.7603631290817</v>
      </c>
      <c r="P413" s="288">
        <v>39769.348045523162</v>
      </c>
      <c r="Q413" s="291">
        <v>151368.19893066605</v>
      </c>
      <c r="R413" s="288">
        <v>24658.240051655961</v>
      </c>
      <c r="S413" s="288">
        <v>10989.389177477482</v>
      </c>
      <c r="T413" s="290">
        <v>0.751</v>
      </c>
      <c r="U413" s="288">
        <v>0.75800000000000001</v>
      </c>
      <c r="V413" s="288">
        <v>0.723923076923077</v>
      </c>
      <c r="W413" s="288">
        <v>0.72750000000000004</v>
      </c>
      <c r="X413" s="288">
        <v>0.76</v>
      </c>
      <c r="Y413" s="288">
        <v>0</v>
      </c>
      <c r="Z413" s="289">
        <v>0</v>
      </c>
      <c r="AA413" s="229"/>
      <c r="AB413" s="52">
        <v>104172.35179704477</v>
      </c>
      <c r="AC413" s="288">
        <v>3.4281235204231217</v>
      </c>
      <c r="AD413" s="288">
        <v>88939.386469905454</v>
      </c>
      <c r="AE413" s="288">
        <v>3.1632434381706385</v>
      </c>
      <c r="AF413" s="288">
        <v>15232.965327139318</v>
      </c>
      <c r="AG413" s="289">
        <v>0.26488008225248327</v>
      </c>
      <c r="AH413" s="229"/>
      <c r="AI413" s="205">
        <f t="shared" si="46"/>
        <v>238640.00024526738</v>
      </c>
      <c r="AJ413" s="205">
        <f t="shared" si="47"/>
        <v>227384.9573471584</v>
      </c>
      <c r="AK413" s="205">
        <f t="shared" si="48"/>
        <v>11255.042898109008</v>
      </c>
      <c r="AL413" s="229"/>
      <c r="AM413" s="52">
        <f t="shared" si="30"/>
        <v>1</v>
      </c>
      <c r="AN413" s="52">
        <f t="shared" si="31"/>
        <v>0</v>
      </c>
      <c r="AO413" s="52">
        <f t="shared" si="32"/>
        <v>1</v>
      </c>
      <c r="AP413" s="229"/>
      <c r="AQ413" s="3"/>
      <c r="AR413" s="3"/>
      <c r="AS413" s="3"/>
      <c r="AT413" s="3"/>
      <c r="AU413" s="229"/>
      <c r="AV413" s="318">
        <f t="shared" si="49"/>
        <v>238640.00024526738</v>
      </c>
      <c r="AW413" s="229"/>
      <c r="AX413" s="312"/>
      <c r="AY413" s="14"/>
      <c r="AZ413" s="14">
        <f t="shared" si="51"/>
        <v>15232.965327139318</v>
      </c>
      <c r="BA413" s="14">
        <f t="shared" si="50"/>
        <v>0.26488008225248327</v>
      </c>
      <c r="BB413" s="14">
        <f t="shared" si="33"/>
        <v>57508.911948386063</v>
      </c>
      <c r="BC413" s="14"/>
      <c r="BD413" s="14"/>
      <c r="BE413" s="14"/>
      <c r="BF413" s="14"/>
      <c r="BG413" s="14"/>
      <c r="BH413" s="14"/>
      <c r="BI413" s="14"/>
      <c r="BJ413" s="14"/>
      <c r="BK413" s="14"/>
      <c r="BL413" s="14"/>
      <c r="BM413" s="14"/>
      <c r="BN413" s="14"/>
      <c r="BO413" s="14"/>
      <c r="BP413" s="14"/>
      <c r="BQ413" s="14"/>
      <c r="BR413" s="14"/>
      <c r="BS413" s="14"/>
      <c r="BT413" s="14"/>
      <c r="BU413" s="14"/>
      <c r="BV413" s="14"/>
      <c r="BW413" s="14"/>
      <c r="BX413" s="14"/>
      <c r="BY413" s="14"/>
      <c r="BZ413" s="14"/>
      <c r="CA413" s="14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</row>
    <row r="414" spans="1:101" ht="14.25" customHeight="1" x14ac:dyDescent="0.2">
      <c r="A414" s="286"/>
      <c r="B414" s="52">
        <v>0.15167958746273799</v>
      </c>
      <c r="C414" s="288">
        <v>0.21055920390533781</v>
      </c>
      <c r="D414" s="288">
        <v>1.4711379093898524E-2</v>
      </c>
      <c r="E414" s="288">
        <v>9.9492392333508407E-3</v>
      </c>
      <c r="F414" s="289">
        <v>0.77038320823653872</v>
      </c>
      <c r="G414" s="92">
        <v>0.38524161995283457</v>
      </c>
      <c r="H414" s="288">
        <v>0.4271332635919477</v>
      </c>
      <c r="I414" s="288">
        <v>2.4717110688136645E-2</v>
      </c>
      <c r="J414" s="288">
        <v>6.0862806809256514E-2</v>
      </c>
      <c r="K414" s="288">
        <v>0.76613616409097651</v>
      </c>
      <c r="L414" s="290">
        <v>11949.63475194087</v>
      </c>
      <c r="M414" s="288">
        <v>0</v>
      </c>
      <c r="N414" s="288">
        <v>23428.296402039723</v>
      </c>
      <c r="O414" s="288">
        <v>835.02669670486455</v>
      </c>
      <c r="P414" s="288">
        <v>56538.660360731323</v>
      </c>
      <c r="Q414" s="291">
        <v>101754.98543441262</v>
      </c>
      <c r="R414" s="288">
        <v>26107.927531067395</v>
      </c>
      <c r="S414" s="288">
        <v>8716.6053288060884</v>
      </c>
      <c r="T414" s="290">
        <v>0.751</v>
      </c>
      <c r="U414" s="288">
        <v>0.75800000000000001</v>
      </c>
      <c r="V414" s="288">
        <v>0.723923076923077</v>
      </c>
      <c r="W414" s="288">
        <v>0.72750000000000004</v>
      </c>
      <c r="X414" s="288">
        <v>0.76</v>
      </c>
      <c r="Y414" s="288">
        <v>0</v>
      </c>
      <c r="Z414" s="289">
        <v>0</v>
      </c>
      <c r="AA414" s="229"/>
      <c r="AB414" s="52">
        <v>79634.046840849376</v>
      </c>
      <c r="AC414" s="288">
        <v>3.0978000047667806</v>
      </c>
      <c r="AD414" s="288">
        <v>72170.192615923355</v>
      </c>
      <c r="AE414" s="288">
        <v>3.0827158622339192</v>
      </c>
      <c r="AF414" s="288">
        <v>7463.8542249260208</v>
      </c>
      <c r="AG414" s="289">
        <v>1.5084142532861389E-2</v>
      </c>
      <c r="AH414" s="229"/>
      <c r="AI414" s="205">
        <f t="shared" si="46"/>
        <v>230145.95363582869</v>
      </c>
      <c r="AJ414" s="205">
        <f t="shared" si="47"/>
        <v>236101.39360746858</v>
      </c>
      <c r="AK414" s="205">
        <f t="shared" si="48"/>
        <v>-5955.4399716398821</v>
      </c>
      <c r="AL414" s="229"/>
      <c r="AM414" s="52">
        <f t="shared" si="30"/>
        <v>0</v>
      </c>
      <c r="AN414" s="52">
        <f t="shared" si="31"/>
        <v>1</v>
      </c>
      <c r="AO414" s="52">
        <f t="shared" si="32"/>
        <v>0</v>
      </c>
      <c r="AP414" s="229"/>
      <c r="AQ414" s="3"/>
      <c r="AR414" s="3"/>
      <c r="AS414" s="3"/>
      <c r="AT414" s="3"/>
      <c r="AU414" s="229"/>
      <c r="AV414" s="318">
        <f t="shared" si="49"/>
        <v>236101.39360746858</v>
      </c>
      <c r="AW414" s="229"/>
      <c r="AX414" s="312"/>
      <c r="AY414" s="14"/>
      <c r="AZ414" s="14">
        <f t="shared" si="51"/>
        <v>7463.8542249260208</v>
      </c>
      <c r="BA414" s="14">
        <f t="shared" si="50"/>
        <v>1.5084142532861389E-2</v>
      </c>
      <c r="BB414" s="14">
        <f t="shared" si="33"/>
        <v>494814.6179781665</v>
      </c>
      <c r="BC414" s="14"/>
      <c r="BD414" s="14"/>
      <c r="BE414" s="14"/>
      <c r="BF414" s="14"/>
      <c r="BG414" s="14"/>
      <c r="BH414" s="14"/>
      <c r="BI414" s="14"/>
      <c r="BJ414" s="14"/>
      <c r="BK414" s="14"/>
      <c r="BL414" s="14"/>
      <c r="BM414" s="14"/>
      <c r="BN414" s="14"/>
      <c r="BO414" s="14"/>
      <c r="BP414" s="14"/>
      <c r="BQ414" s="14"/>
      <c r="BR414" s="14"/>
      <c r="BS414" s="14"/>
      <c r="BT414" s="14"/>
      <c r="BU414" s="14"/>
      <c r="BV414" s="14"/>
      <c r="BW414" s="14"/>
      <c r="BX414" s="14"/>
      <c r="BY414" s="14"/>
      <c r="BZ414" s="14"/>
      <c r="CA414" s="14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</row>
    <row r="415" spans="1:101" ht="14.25" customHeight="1" x14ac:dyDescent="0.2">
      <c r="A415" s="286"/>
      <c r="B415" s="52">
        <v>0.18737775258796041</v>
      </c>
      <c r="C415" s="288">
        <v>0.48180187858309409</v>
      </c>
      <c r="D415" s="288">
        <v>9.2428857322995415E-3</v>
      </c>
      <c r="E415" s="288">
        <v>1.0402318236730866E-2</v>
      </c>
      <c r="F415" s="289">
        <v>0.77512189214648497</v>
      </c>
      <c r="G415" s="92">
        <v>0.38498761193971975</v>
      </c>
      <c r="H415" s="288">
        <v>0.78640906492453522</v>
      </c>
      <c r="I415" s="288">
        <v>1.6030054999944032E-2</v>
      </c>
      <c r="J415" s="288">
        <v>0.99999999999999967</v>
      </c>
      <c r="K415" s="288">
        <v>0.78855966566573277</v>
      </c>
      <c r="L415" s="290">
        <v>13369.181374719828</v>
      </c>
      <c r="M415" s="288">
        <v>0</v>
      </c>
      <c r="N415" s="288">
        <v>15320.58798568963</v>
      </c>
      <c r="O415" s="288">
        <v>1462.738595858965</v>
      </c>
      <c r="P415" s="288">
        <v>50958.872857360911</v>
      </c>
      <c r="Q415" s="291">
        <v>101066.49112908945</v>
      </c>
      <c r="R415" s="288">
        <v>22038.319077151842</v>
      </c>
      <c r="S415" s="288">
        <v>9665.6681208983427</v>
      </c>
      <c r="T415" s="290">
        <v>0.751</v>
      </c>
      <c r="U415" s="288">
        <v>0.75800000000000001</v>
      </c>
      <c r="V415" s="288">
        <v>0.723923076923077</v>
      </c>
      <c r="W415" s="288">
        <v>0.72750000000000004</v>
      </c>
      <c r="X415" s="288">
        <v>0.76</v>
      </c>
      <c r="Y415" s="288">
        <v>0</v>
      </c>
      <c r="Z415" s="289">
        <v>0</v>
      </c>
      <c r="AA415" s="229"/>
      <c r="AB415" s="52">
        <v>89997.721671429754</v>
      </c>
      <c r="AC415" s="288">
        <v>3.1197353964327652</v>
      </c>
      <c r="AD415" s="288">
        <v>84229.40915060605</v>
      </c>
      <c r="AE415" s="288">
        <v>3.1868775469823678</v>
      </c>
      <c r="AF415" s="288">
        <v>5768.3125208237034</v>
      </c>
      <c r="AG415" s="289">
        <v>-6.7142150549602597E-2</v>
      </c>
      <c r="AH415" s="229"/>
      <c r="AI415" s="205">
        <f t="shared" si="46"/>
        <v>221975.81797184679</v>
      </c>
      <c r="AJ415" s="205">
        <f t="shared" si="47"/>
        <v>234458.34554763071</v>
      </c>
      <c r="AK415" s="205">
        <f t="shared" si="48"/>
        <v>-12482.527575783963</v>
      </c>
      <c r="AL415" s="229"/>
      <c r="AM415" s="52">
        <f t="shared" si="30"/>
        <v>0</v>
      </c>
      <c r="AN415" s="52">
        <f t="shared" si="31"/>
        <v>1</v>
      </c>
      <c r="AO415" s="52">
        <f t="shared" si="32"/>
        <v>0</v>
      </c>
      <c r="AP415" s="229"/>
      <c r="AQ415" s="3"/>
      <c r="AR415" s="3"/>
      <c r="AS415" s="3"/>
      <c r="AT415" s="3"/>
      <c r="AU415" s="229"/>
      <c r="AV415" s="318">
        <f t="shared" si="49"/>
        <v>234458.34554763071</v>
      </c>
      <c r="AW415" s="229"/>
      <c r="AX415" s="312"/>
      <c r="AY415" s="14"/>
      <c r="AZ415" s="14">
        <f t="shared" si="51"/>
        <v>5768.3125208237034</v>
      </c>
      <c r="BA415" s="14">
        <f t="shared" si="50"/>
        <v>-6.7142150549602597E-2</v>
      </c>
      <c r="BB415" s="14">
        <f t="shared" si="33"/>
        <v>-85911.941658202442</v>
      </c>
      <c r="BC415" s="14"/>
      <c r="BD415" s="14"/>
      <c r="BE415" s="14"/>
      <c r="BF415" s="14"/>
      <c r="BG415" s="14"/>
      <c r="BH415" s="14"/>
      <c r="BI415" s="14"/>
      <c r="BJ415" s="14"/>
      <c r="BK415" s="14"/>
      <c r="BL415" s="14"/>
      <c r="BM415" s="14"/>
      <c r="BN415" s="14"/>
      <c r="BO415" s="14"/>
      <c r="BP415" s="14"/>
      <c r="BQ415" s="14"/>
      <c r="BR415" s="14"/>
      <c r="BS415" s="14"/>
      <c r="BT415" s="14"/>
      <c r="BU415" s="14"/>
      <c r="BV415" s="14"/>
      <c r="BW415" s="14"/>
      <c r="BX415" s="14"/>
      <c r="BY415" s="14"/>
      <c r="BZ415" s="14"/>
      <c r="CA415" s="14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</row>
    <row r="416" spans="1:101" ht="14.25" customHeight="1" x14ac:dyDescent="0.2">
      <c r="A416" s="286"/>
      <c r="B416" s="52">
        <v>0.18284334809033975</v>
      </c>
      <c r="C416" s="288">
        <v>0.64230715022523177</v>
      </c>
      <c r="D416" s="288">
        <v>1.4674459726331301E-2</v>
      </c>
      <c r="E416" s="288">
        <v>2.3917686523497794E-2</v>
      </c>
      <c r="F416" s="289">
        <v>0.77867350799980239</v>
      </c>
      <c r="G416" s="92">
        <v>0.39182497258685195</v>
      </c>
      <c r="H416" s="288">
        <v>0.8922401302275107</v>
      </c>
      <c r="I416" s="288">
        <v>4.2092264190059315E-3</v>
      </c>
      <c r="J416" s="288">
        <v>0.99999999999619527</v>
      </c>
      <c r="K416" s="288">
        <v>0.83184272630790601</v>
      </c>
      <c r="L416" s="290">
        <v>14964.912770041135</v>
      </c>
      <c r="M416" s="288">
        <v>0</v>
      </c>
      <c r="N416" s="288">
        <v>16739.512576443707</v>
      </c>
      <c r="O416" s="288">
        <v>1216.3133851259759</v>
      </c>
      <c r="P416" s="288">
        <v>38458.557895008562</v>
      </c>
      <c r="Q416" s="291">
        <v>97383.585089180182</v>
      </c>
      <c r="R416" s="288">
        <v>31445.472944504028</v>
      </c>
      <c r="S416" s="288">
        <v>11501.257569531144</v>
      </c>
      <c r="T416" s="290">
        <v>0.751</v>
      </c>
      <c r="U416" s="288">
        <v>0.75800000000000001</v>
      </c>
      <c r="V416" s="288">
        <v>0.723923076923077</v>
      </c>
      <c r="W416" s="288">
        <v>0.72750000000000004</v>
      </c>
      <c r="X416" s="288">
        <v>0.76</v>
      </c>
      <c r="Y416" s="288">
        <v>0</v>
      </c>
      <c r="Z416" s="289">
        <v>0</v>
      </c>
      <c r="AA416" s="229"/>
      <c r="AB416" s="52">
        <v>107827.29198331787</v>
      </c>
      <c r="AC416" s="288">
        <v>3.1361989355165236</v>
      </c>
      <c r="AD416" s="288">
        <v>107108.80509358218</v>
      </c>
      <c r="AE416" s="288">
        <v>3.3901775009046498</v>
      </c>
      <c r="AF416" s="288">
        <v>718.48688973569369</v>
      </c>
      <c r="AG416" s="289">
        <v>-0.25397856538812613</v>
      </c>
      <c r="AH416" s="229"/>
      <c r="AI416" s="205">
        <f t="shared" si="46"/>
        <v>205792.6015683345</v>
      </c>
      <c r="AJ416" s="205">
        <f t="shared" si="47"/>
        <v>231908.94499688275</v>
      </c>
      <c r="AK416" s="205">
        <f t="shared" si="48"/>
        <v>-26116.343428548305</v>
      </c>
      <c r="AL416" s="229"/>
      <c r="AM416" s="52">
        <f t="shared" si="30"/>
        <v>0</v>
      </c>
      <c r="AN416" s="52">
        <f t="shared" si="31"/>
        <v>1</v>
      </c>
      <c r="AO416" s="52">
        <f t="shared" si="32"/>
        <v>0</v>
      </c>
      <c r="AP416" s="229"/>
      <c r="AQ416" s="3"/>
      <c r="AR416" s="3"/>
      <c r="AS416" s="3"/>
      <c r="AT416" s="3"/>
      <c r="AU416" s="229"/>
      <c r="AV416" s="318">
        <f t="shared" si="49"/>
        <v>231908.94499688275</v>
      </c>
      <c r="AW416" s="229"/>
      <c r="AX416" s="312"/>
      <c r="AY416" s="14"/>
      <c r="AZ416" s="14">
        <f t="shared" si="51"/>
        <v>718.48688973569369</v>
      </c>
      <c r="BA416" s="14">
        <f t="shared" si="50"/>
        <v>-0.25397856538812613</v>
      </c>
      <c r="BB416" s="14">
        <f t="shared" si="33"/>
        <v>-2828.9272704478549</v>
      </c>
      <c r="BC416" s="14"/>
      <c r="BD416" s="14"/>
      <c r="BE416" s="14"/>
      <c r="BF416" s="14"/>
      <c r="BG416" s="14"/>
      <c r="BH416" s="14"/>
      <c r="BI416" s="14"/>
      <c r="BJ416" s="14"/>
      <c r="BK416" s="14"/>
      <c r="BL416" s="14"/>
      <c r="BM416" s="14"/>
      <c r="BN416" s="14"/>
      <c r="BO416" s="14"/>
      <c r="BP416" s="14"/>
      <c r="BQ416" s="14"/>
      <c r="BR416" s="14"/>
      <c r="BS416" s="14"/>
      <c r="BT416" s="14"/>
      <c r="BU416" s="14"/>
      <c r="BV416" s="14"/>
      <c r="BW416" s="14"/>
      <c r="BX416" s="14"/>
      <c r="BY416" s="14"/>
      <c r="BZ416" s="14"/>
      <c r="CA416" s="14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</row>
    <row r="417" spans="1:101" ht="14.25" customHeight="1" x14ac:dyDescent="0.2">
      <c r="A417" s="286"/>
      <c r="B417" s="52">
        <v>0.16888360622133003</v>
      </c>
      <c r="C417" s="288">
        <v>0.20311665008553981</v>
      </c>
      <c r="D417" s="288">
        <v>1.2848963388617452E-2</v>
      </c>
      <c r="E417" s="288">
        <v>3.0178244607257598E-2</v>
      </c>
      <c r="F417" s="289">
        <v>0.78310817182522041</v>
      </c>
      <c r="G417" s="92">
        <v>0.39449259330134512</v>
      </c>
      <c r="H417" s="288">
        <v>1.4052717031039658E-2</v>
      </c>
      <c r="I417" s="288">
        <v>1.2457251602260541E-2</v>
      </c>
      <c r="J417" s="288">
        <v>4.1451933065846666E-5</v>
      </c>
      <c r="K417" s="288">
        <v>0.76674308473380992</v>
      </c>
      <c r="L417" s="290">
        <v>11840.852795059358</v>
      </c>
      <c r="M417" s="288">
        <v>0</v>
      </c>
      <c r="N417" s="288">
        <v>16997.551392778561</v>
      </c>
      <c r="O417" s="288">
        <v>888.07010733515858</v>
      </c>
      <c r="P417" s="288">
        <v>51546.456645432219</v>
      </c>
      <c r="Q417" s="291">
        <v>129046.87249492541</v>
      </c>
      <c r="R417" s="288">
        <v>18458.594740653069</v>
      </c>
      <c r="S417" s="288">
        <v>7696.3793729840363</v>
      </c>
      <c r="T417" s="290">
        <v>0.751</v>
      </c>
      <c r="U417" s="288">
        <v>0.75800000000000001</v>
      </c>
      <c r="V417" s="288">
        <v>0.723923076923077</v>
      </c>
      <c r="W417" s="288">
        <v>0.72750000000000004</v>
      </c>
      <c r="X417" s="288">
        <v>0.76</v>
      </c>
      <c r="Y417" s="288">
        <v>0</v>
      </c>
      <c r="Z417" s="289">
        <v>0</v>
      </c>
      <c r="AA417" s="229"/>
      <c r="AB417" s="52">
        <v>72590.579553475196</v>
      </c>
      <c r="AC417" s="288">
        <v>3.1567836247544854</v>
      </c>
      <c r="AD417" s="288">
        <v>59947.542157140626</v>
      </c>
      <c r="AE417" s="288">
        <v>3.0855246954470701</v>
      </c>
      <c r="AF417" s="288">
        <v>12643.03739633457</v>
      </c>
      <c r="AG417" s="289">
        <v>7.1258929307415286E-2</v>
      </c>
      <c r="AH417" s="229"/>
      <c r="AI417" s="205">
        <f t="shared" si="46"/>
        <v>243087.78292197332</v>
      </c>
      <c r="AJ417" s="205">
        <f t="shared" si="47"/>
        <v>248604.92738756636</v>
      </c>
      <c r="AK417" s="205">
        <f t="shared" si="48"/>
        <v>-5517.1444655930418</v>
      </c>
      <c r="AL417" s="229"/>
      <c r="AM417" s="52">
        <f t="shared" si="30"/>
        <v>0</v>
      </c>
      <c r="AN417" s="52">
        <f t="shared" si="31"/>
        <v>1</v>
      </c>
      <c r="AO417" s="52">
        <f t="shared" si="32"/>
        <v>0</v>
      </c>
      <c r="AP417" s="229"/>
      <c r="AQ417" s="3"/>
      <c r="AR417" s="3"/>
      <c r="AS417" s="3"/>
      <c r="AT417" s="3"/>
      <c r="AU417" s="229"/>
      <c r="AV417" s="318">
        <f t="shared" si="49"/>
        <v>248604.92738756636</v>
      </c>
      <c r="AW417" s="229"/>
      <c r="AX417" s="312"/>
      <c r="AY417" s="14"/>
      <c r="AZ417" s="14">
        <f t="shared" si="51"/>
        <v>12643.03739633457</v>
      </c>
      <c r="BA417" s="14">
        <f t="shared" si="50"/>
        <v>7.1258929307415286E-2</v>
      </c>
      <c r="BB417" s="14">
        <f t="shared" si="33"/>
        <v>177423.90349133298</v>
      </c>
      <c r="BC417" s="14"/>
      <c r="BD417" s="14"/>
      <c r="BE417" s="14"/>
      <c r="BF417" s="14"/>
      <c r="BG417" s="14"/>
      <c r="BH417" s="14"/>
      <c r="BI417" s="14"/>
      <c r="BJ417" s="14"/>
      <c r="BK417" s="14"/>
      <c r="BL417" s="14"/>
      <c r="BM417" s="14"/>
      <c r="BN417" s="14"/>
      <c r="BO417" s="14"/>
      <c r="BP417" s="14"/>
      <c r="BQ417" s="14"/>
      <c r="BR417" s="14"/>
      <c r="BS417" s="14"/>
      <c r="BT417" s="14"/>
      <c r="BU417" s="14"/>
      <c r="BV417" s="14"/>
      <c r="BW417" s="14"/>
      <c r="BX417" s="14"/>
      <c r="BY417" s="14"/>
      <c r="BZ417" s="14"/>
      <c r="CA417" s="14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</row>
    <row r="418" spans="1:101" ht="14.25" customHeight="1" x14ac:dyDescent="0.2">
      <c r="A418" s="286"/>
      <c r="B418" s="52">
        <v>0.15249690388776971</v>
      </c>
      <c r="C418" s="288">
        <v>9.1034417610058281E-3</v>
      </c>
      <c r="D418" s="288">
        <v>3.0763687324327771E-2</v>
      </c>
      <c r="E418" s="288">
        <v>2.3264841769278788E-2</v>
      </c>
      <c r="F418" s="289">
        <v>0.80529815689223461</v>
      </c>
      <c r="G418" s="92">
        <v>0.42916960194587539</v>
      </c>
      <c r="H418" s="288">
        <v>0.89095732456341714</v>
      </c>
      <c r="I418" s="288">
        <v>1.5725902571268238E-2</v>
      </c>
      <c r="J418" s="288">
        <v>0.99796062695504784</v>
      </c>
      <c r="K418" s="288">
        <v>0.73143189043944423</v>
      </c>
      <c r="L418" s="290">
        <v>11876.526114213977</v>
      </c>
      <c r="M418" s="288">
        <v>0</v>
      </c>
      <c r="N418" s="288">
        <v>23446.50810177231</v>
      </c>
      <c r="O418" s="288">
        <v>1073.8955057544326</v>
      </c>
      <c r="P418" s="288">
        <v>35964.429691117235</v>
      </c>
      <c r="Q418" s="291">
        <v>90140.95203970022</v>
      </c>
      <c r="R418" s="288">
        <v>30775.869504364851</v>
      </c>
      <c r="S418" s="288">
        <v>8265.4690957395323</v>
      </c>
      <c r="T418" s="290">
        <v>0.751</v>
      </c>
      <c r="U418" s="288">
        <v>0.75800000000000001</v>
      </c>
      <c r="V418" s="288">
        <v>0.723923076923077</v>
      </c>
      <c r="W418" s="288">
        <v>0.72750000000000004</v>
      </c>
      <c r="X418" s="288">
        <v>0.76</v>
      </c>
      <c r="Y418" s="288">
        <v>0</v>
      </c>
      <c r="Z418" s="289">
        <v>0</v>
      </c>
      <c r="AA418" s="229"/>
      <c r="AB418" s="52">
        <v>78423.65241777066</v>
      </c>
      <c r="AC418" s="288">
        <v>3.2602477657434861</v>
      </c>
      <c r="AD418" s="288">
        <v>73338.305913144752</v>
      </c>
      <c r="AE418" s="288">
        <v>2.9230700349805701</v>
      </c>
      <c r="AF418" s="288">
        <v>5085.346504625908</v>
      </c>
      <c r="AG418" s="289">
        <v>0.33717773076291602</v>
      </c>
      <c r="AH418" s="229"/>
      <c r="AI418" s="205">
        <f t="shared" si="46"/>
        <v>247601.12415657798</v>
      </c>
      <c r="AJ418" s="205">
        <f t="shared" si="47"/>
        <v>218968.69758491227</v>
      </c>
      <c r="AK418" s="205">
        <f t="shared" si="48"/>
        <v>28632.426571665696</v>
      </c>
      <c r="AL418" s="229"/>
      <c r="AM418" s="52">
        <f t="shared" si="30"/>
        <v>1</v>
      </c>
      <c r="AN418" s="52">
        <f t="shared" si="31"/>
        <v>0</v>
      </c>
      <c r="AO418" s="52">
        <f t="shared" si="32"/>
        <v>1</v>
      </c>
      <c r="AP418" s="229"/>
      <c r="AQ418" s="3"/>
      <c r="AR418" s="3"/>
      <c r="AS418" s="3"/>
      <c r="AT418" s="3"/>
      <c r="AU418" s="229"/>
      <c r="AV418" s="318">
        <f t="shared" si="49"/>
        <v>247601.12415657798</v>
      </c>
      <c r="AW418" s="229"/>
      <c r="AX418" s="312"/>
      <c r="AY418" s="14"/>
      <c r="AZ418" s="14">
        <f t="shared" si="51"/>
        <v>5085.346504625908</v>
      </c>
      <c r="BA418" s="14">
        <f t="shared" si="50"/>
        <v>0.33717773076291602</v>
      </c>
      <c r="BB418" s="14">
        <f t="shared" si="33"/>
        <v>15082.094814267646</v>
      </c>
      <c r="BC418" s="14"/>
      <c r="BD418" s="14"/>
      <c r="BE418" s="14"/>
      <c r="BF418" s="14"/>
      <c r="BG418" s="14"/>
      <c r="BH418" s="14"/>
      <c r="BI418" s="14"/>
      <c r="BJ418" s="14"/>
      <c r="BK418" s="14"/>
      <c r="BL418" s="14"/>
      <c r="BM418" s="14"/>
      <c r="BN418" s="14"/>
      <c r="BO418" s="14"/>
      <c r="BP418" s="14"/>
      <c r="BQ418" s="14"/>
      <c r="BR418" s="14"/>
      <c r="BS418" s="14"/>
      <c r="BT418" s="14"/>
      <c r="BU418" s="14"/>
      <c r="BV418" s="14"/>
      <c r="BW418" s="14"/>
      <c r="BX418" s="14"/>
      <c r="BY418" s="14"/>
      <c r="BZ418" s="14"/>
      <c r="CA418" s="14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</row>
    <row r="419" spans="1:101" ht="14.25" customHeight="1" x14ac:dyDescent="0.2">
      <c r="A419" s="286"/>
      <c r="B419" s="52">
        <v>0.16597760869531253</v>
      </c>
      <c r="C419" s="288">
        <v>0.30516552388446616</v>
      </c>
      <c r="D419" s="288">
        <v>1.7735518687908569E-2</v>
      </c>
      <c r="E419" s="288">
        <v>2.3110496121446333E-2</v>
      </c>
      <c r="F419" s="289">
        <v>0.75770880329299484</v>
      </c>
      <c r="G419" s="92">
        <v>0.42282197836300284</v>
      </c>
      <c r="H419" s="288">
        <v>0.43391208957909666</v>
      </c>
      <c r="I419" s="288">
        <v>9.8471640777012086E-3</v>
      </c>
      <c r="J419" s="288">
        <v>0.99999998218215014</v>
      </c>
      <c r="K419" s="288">
        <v>0.75554247378803852</v>
      </c>
      <c r="L419" s="290">
        <v>12018.245834078536</v>
      </c>
      <c r="M419" s="288">
        <v>0</v>
      </c>
      <c r="N419" s="288">
        <v>20812.844341378041</v>
      </c>
      <c r="O419" s="288">
        <v>1189.437308351213</v>
      </c>
      <c r="P419" s="288">
        <v>55377.081873564086</v>
      </c>
      <c r="Q419" s="291">
        <v>81992.639131768679</v>
      </c>
      <c r="R419" s="288">
        <v>25438.272043230052</v>
      </c>
      <c r="S419" s="288">
        <v>9428.5996727878046</v>
      </c>
      <c r="T419" s="290">
        <v>0.751</v>
      </c>
      <c r="U419" s="288">
        <v>0.75800000000000001</v>
      </c>
      <c r="V419" s="288">
        <v>0.723923076923077</v>
      </c>
      <c r="W419" s="288">
        <v>0.72750000000000004</v>
      </c>
      <c r="X419" s="288">
        <v>0.76</v>
      </c>
      <c r="Y419" s="288">
        <v>0</v>
      </c>
      <c r="Z419" s="289">
        <v>0</v>
      </c>
      <c r="AA419" s="229"/>
      <c r="AB419" s="52">
        <v>84493.921156399971</v>
      </c>
      <c r="AC419" s="288">
        <v>3.0393032048987982</v>
      </c>
      <c r="AD419" s="288">
        <v>76849.358735709378</v>
      </c>
      <c r="AE419" s="288">
        <v>3.0337817009523698</v>
      </c>
      <c r="AF419" s="288">
        <v>7644.5624206905923</v>
      </c>
      <c r="AG419" s="289">
        <v>5.5215039464284743E-3</v>
      </c>
      <c r="AH419" s="229"/>
      <c r="AI419" s="205">
        <f t="shared" si="46"/>
        <v>219436.39933347984</v>
      </c>
      <c r="AJ419" s="205">
        <f t="shared" si="47"/>
        <v>226528.81135952758</v>
      </c>
      <c r="AK419" s="205">
        <f t="shared" si="48"/>
        <v>-7092.4120260477448</v>
      </c>
      <c r="AL419" s="229"/>
      <c r="AM419" s="52">
        <f t="shared" si="30"/>
        <v>0</v>
      </c>
      <c r="AN419" s="52">
        <f t="shared" si="31"/>
        <v>1</v>
      </c>
      <c r="AO419" s="52">
        <f t="shared" si="32"/>
        <v>0</v>
      </c>
      <c r="AP419" s="229"/>
      <c r="AQ419" s="3"/>
      <c r="AR419" s="3"/>
      <c r="AS419" s="3"/>
      <c r="AT419" s="3"/>
      <c r="AU419" s="229"/>
      <c r="AV419" s="318">
        <f t="shared" si="49"/>
        <v>226528.81135952758</v>
      </c>
      <c r="AW419" s="229"/>
      <c r="AX419" s="312"/>
      <c r="AY419" s="14"/>
      <c r="AZ419" s="14">
        <f t="shared" si="51"/>
        <v>7644.5624206905923</v>
      </c>
      <c r="BA419" s="14">
        <f t="shared" si="50"/>
        <v>5.5215039464284743E-3</v>
      </c>
      <c r="BB419" s="14">
        <f t="shared" si="33"/>
        <v>1384507.2818675418</v>
      </c>
      <c r="BC419" s="14"/>
      <c r="BD419" s="14"/>
      <c r="BE419" s="14"/>
      <c r="BF419" s="14"/>
      <c r="BG419" s="14"/>
      <c r="BH419" s="14"/>
      <c r="BI419" s="14"/>
      <c r="BJ419" s="14"/>
      <c r="BK419" s="14"/>
      <c r="BL419" s="14"/>
      <c r="BM419" s="14"/>
      <c r="BN419" s="14"/>
      <c r="BO419" s="14"/>
      <c r="BP419" s="14"/>
      <c r="BQ419" s="14"/>
      <c r="BR419" s="14"/>
      <c r="BS419" s="14"/>
      <c r="BT419" s="14"/>
      <c r="BU419" s="14"/>
      <c r="BV419" s="14"/>
      <c r="BW419" s="14"/>
      <c r="BX419" s="14"/>
      <c r="BY419" s="14"/>
      <c r="BZ419" s="14"/>
      <c r="CA419" s="14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</row>
    <row r="420" spans="1:101" ht="14.25" customHeight="1" x14ac:dyDescent="0.2">
      <c r="A420" s="286"/>
      <c r="B420" s="52">
        <v>0.20624293218727929</v>
      </c>
      <c r="C420" s="288">
        <v>0.14732380374983692</v>
      </c>
      <c r="D420" s="288">
        <v>5.2081982698521934E-3</v>
      </c>
      <c r="E420" s="288">
        <v>1.3115995888864548E-2</v>
      </c>
      <c r="F420" s="289">
        <v>0.78479818878043706</v>
      </c>
      <c r="G420" s="92">
        <v>0.38750646839128305</v>
      </c>
      <c r="H420" s="288">
        <v>6.7381515520382532E-2</v>
      </c>
      <c r="I420" s="288">
        <v>1.882811459026279E-2</v>
      </c>
      <c r="J420" s="288">
        <v>0.99999999957196684</v>
      </c>
      <c r="K420" s="288">
        <v>0.76170382401169978</v>
      </c>
      <c r="L420" s="290">
        <v>16871.371809634766</v>
      </c>
      <c r="M420" s="288">
        <v>0</v>
      </c>
      <c r="N420" s="288">
        <v>13073.148732940015</v>
      </c>
      <c r="O420" s="288">
        <v>1228.8087075693729</v>
      </c>
      <c r="P420" s="288">
        <v>60141.811934034602</v>
      </c>
      <c r="Q420" s="291">
        <v>85309.358031444135</v>
      </c>
      <c r="R420" s="288">
        <v>27242.064236333463</v>
      </c>
      <c r="S420" s="288">
        <v>8448.1766498700435</v>
      </c>
      <c r="T420" s="290">
        <v>0.751</v>
      </c>
      <c r="U420" s="288">
        <v>0.75800000000000001</v>
      </c>
      <c r="V420" s="288">
        <v>0.723923076923077</v>
      </c>
      <c r="W420" s="288">
        <v>0.72750000000000004</v>
      </c>
      <c r="X420" s="288">
        <v>0.76</v>
      </c>
      <c r="Y420" s="288">
        <v>0</v>
      </c>
      <c r="Z420" s="289">
        <v>0</v>
      </c>
      <c r="AA420" s="229"/>
      <c r="AB420" s="52">
        <v>83698.48838515536</v>
      </c>
      <c r="AC420" s="288">
        <v>3.1646364122811357</v>
      </c>
      <c r="AD420" s="288">
        <v>66526.942628110788</v>
      </c>
      <c r="AE420" s="288">
        <v>3.0622205629805173</v>
      </c>
      <c r="AF420" s="288">
        <v>17171.545757044572</v>
      </c>
      <c r="AG420" s="289">
        <v>0.10241584930061842</v>
      </c>
      <c r="AH420" s="229"/>
      <c r="AI420" s="205">
        <f t="shared" si="46"/>
        <v>232765.1528429582</v>
      </c>
      <c r="AJ420" s="205">
        <f t="shared" si="47"/>
        <v>239695.11366994094</v>
      </c>
      <c r="AK420" s="205">
        <f t="shared" si="48"/>
        <v>-6929.9608269827295</v>
      </c>
      <c r="AL420" s="229"/>
      <c r="AM420" s="52">
        <f t="shared" si="30"/>
        <v>0</v>
      </c>
      <c r="AN420" s="52">
        <f t="shared" si="31"/>
        <v>1</v>
      </c>
      <c r="AO420" s="52">
        <f t="shared" si="32"/>
        <v>0</v>
      </c>
      <c r="AP420" s="229"/>
      <c r="AQ420" s="3"/>
      <c r="AR420" s="3"/>
      <c r="AS420" s="3"/>
      <c r="AT420" s="3"/>
      <c r="AU420" s="229"/>
      <c r="AV420" s="318">
        <f t="shared" si="49"/>
        <v>239695.11366994094</v>
      </c>
      <c r="AW420" s="229"/>
      <c r="AX420" s="312"/>
      <c r="AY420" s="14"/>
      <c r="AZ420" s="14">
        <f t="shared" si="51"/>
        <v>17171.545757044572</v>
      </c>
      <c r="BA420" s="14">
        <f t="shared" si="50"/>
        <v>0.10241584930061842</v>
      </c>
      <c r="BB420" s="14">
        <f t="shared" si="33"/>
        <v>167664.9256370604</v>
      </c>
      <c r="BC420" s="14"/>
      <c r="BD420" s="14"/>
      <c r="BE420" s="14"/>
      <c r="BF420" s="14"/>
      <c r="BG420" s="14"/>
      <c r="BH420" s="14"/>
      <c r="BI420" s="14"/>
      <c r="BJ420" s="14"/>
      <c r="BK420" s="14"/>
      <c r="BL420" s="14"/>
      <c r="BM420" s="14"/>
      <c r="BN420" s="14"/>
      <c r="BO420" s="14"/>
      <c r="BP420" s="14"/>
      <c r="BQ420" s="14"/>
      <c r="BR420" s="14"/>
      <c r="BS420" s="14"/>
      <c r="BT420" s="14"/>
      <c r="BU420" s="14"/>
      <c r="BV420" s="14"/>
      <c r="BW420" s="14"/>
      <c r="BX420" s="14"/>
      <c r="BY420" s="14"/>
      <c r="BZ420" s="14"/>
      <c r="CA420" s="14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</row>
    <row r="421" spans="1:101" ht="14.25" customHeight="1" x14ac:dyDescent="0.2">
      <c r="A421" s="286"/>
      <c r="B421" s="52">
        <v>0.16040819782351412</v>
      </c>
      <c r="C421" s="288">
        <v>0.36217919562134748</v>
      </c>
      <c r="D421" s="288">
        <v>8.8495343595728013E-3</v>
      </c>
      <c r="E421" s="288">
        <v>1.7551873343329749E-2</v>
      </c>
      <c r="F421" s="289">
        <v>0.79975437694035545</v>
      </c>
      <c r="G421" s="92">
        <v>0.41158350867669602</v>
      </c>
      <c r="H421" s="288">
        <v>0.92060101734017785</v>
      </c>
      <c r="I421" s="288">
        <v>4.1312839376630439E-2</v>
      </c>
      <c r="J421" s="288">
        <v>0.99999820488702995</v>
      </c>
      <c r="K421" s="288">
        <v>0.79571976982767478</v>
      </c>
      <c r="L421" s="290">
        <v>13158.90786978884</v>
      </c>
      <c r="M421" s="288">
        <v>0</v>
      </c>
      <c r="N421" s="288">
        <v>22020.909196835993</v>
      </c>
      <c r="O421" s="288">
        <v>970.39658271871679</v>
      </c>
      <c r="P421" s="288">
        <v>47058.79965534553</v>
      </c>
      <c r="Q421" s="291">
        <v>70426.765635768534</v>
      </c>
      <c r="R421" s="288">
        <v>29923.232225749511</v>
      </c>
      <c r="S421" s="288">
        <v>8348.5525442001326</v>
      </c>
      <c r="T421" s="290">
        <v>0.751</v>
      </c>
      <c r="U421" s="288">
        <v>0.75800000000000001</v>
      </c>
      <c r="V421" s="288">
        <v>0.723923076923077</v>
      </c>
      <c r="W421" s="288">
        <v>0.72750000000000004</v>
      </c>
      <c r="X421" s="288">
        <v>0.76</v>
      </c>
      <c r="Y421" s="288">
        <v>0</v>
      </c>
      <c r="Z421" s="289">
        <v>0</v>
      </c>
      <c r="AA421" s="229"/>
      <c r="AB421" s="52">
        <v>81270.193703105702</v>
      </c>
      <c r="AC421" s="288">
        <v>3.2343266855100703</v>
      </c>
      <c r="AD421" s="288">
        <v>80067.483098340948</v>
      </c>
      <c r="AE421" s="288">
        <v>3.2203046160620588</v>
      </c>
      <c r="AF421" s="288">
        <v>1202.710604764754</v>
      </c>
      <c r="AG421" s="289">
        <v>1.4022069448011543E-2</v>
      </c>
      <c r="AH421" s="229"/>
      <c r="AI421" s="205">
        <f t="shared" si="46"/>
        <v>242162.47484790135</v>
      </c>
      <c r="AJ421" s="205">
        <f t="shared" si="47"/>
        <v>241962.9785078649</v>
      </c>
      <c r="AK421" s="205">
        <f t="shared" si="48"/>
        <v>199.4963400364004</v>
      </c>
      <c r="AL421" s="229"/>
      <c r="AM421" s="52">
        <f t="shared" si="30"/>
        <v>1</v>
      </c>
      <c r="AN421" s="52">
        <f t="shared" si="31"/>
        <v>0</v>
      </c>
      <c r="AO421" s="52">
        <f t="shared" si="32"/>
        <v>1</v>
      </c>
      <c r="AP421" s="229"/>
      <c r="AQ421" s="3"/>
      <c r="AR421" s="3"/>
      <c r="AS421" s="3"/>
      <c r="AT421" s="3"/>
      <c r="AU421" s="229"/>
      <c r="AV421" s="318">
        <f t="shared" si="49"/>
        <v>242162.47484790135</v>
      </c>
      <c r="AW421" s="229"/>
      <c r="AX421" s="312"/>
      <c r="AY421" s="14"/>
      <c r="AZ421" s="14">
        <f t="shared" si="51"/>
        <v>1202.710604764754</v>
      </c>
      <c r="BA421" s="14">
        <f t="shared" si="50"/>
        <v>1.4022069448011543E-2</v>
      </c>
      <c r="BB421" s="14">
        <f t="shared" si="33"/>
        <v>85772.689204253606</v>
      </c>
      <c r="BC421" s="14"/>
      <c r="BD421" s="14"/>
      <c r="BE421" s="14"/>
      <c r="BF421" s="14"/>
      <c r="BG421" s="14"/>
      <c r="BH421" s="14"/>
      <c r="BI421" s="14"/>
      <c r="BJ421" s="14"/>
      <c r="BK421" s="14"/>
      <c r="BL421" s="14"/>
      <c r="BM421" s="14"/>
      <c r="BN421" s="14"/>
      <c r="BO421" s="14"/>
      <c r="BP421" s="14"/>
      <c r="BQ421" s="14"/>
      <c r="BR421" s="14"/>
      <c r="BS421" s="14"/>
      <c r="BT421" s="14"/>
      <c r="BU421" s="14"/>
      <c r="BV421" s="14"/>
      <c r="BW421" s="14"/>
      <c r="BX421" s="14"/>
      <c r="BY421" s="14"/>
      <c r="BZ421" s="14"/>
      <c r="CA421" s="14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</row>
    <row r="422" spans="1:101" ht="14.25" customHeight="1" x14ac:dyDescent="0.2">
      <c r="A422" s="286"/>
      <c r="B422" s="52">
        <v>0.14239526664107618</v>
      </c>
      <c r="C422" s="288">
        <v>0.27332720598513083</v>
      </c>
      <c r="D422" s="288">
        <v>1.5978705500879653E-2</v>
      </c>
      <c r="E422" s="288">
        <v>1.6829406389894386E-2</v>
      </c>
      <c r="F422" s="289">
        <v>0.79135358366907704</v>
      </c>
      <c r="G422" s="92">
        <v>0.41338875058812241</v>
      </c>
      <c r="H422" s="288">
        <v>0.80311242894454038</v>
      </c>
      <c r="I422" s="288">
        <v>1.4727754991657663E-2</v>
      </c>
      <c r="J422" s="288">
        <v>0.99603545367170909</v>
      </c>
      <c r="K422" s="288">
        <v>0.73039066011329268</v>
      </c>
      <c r="L422" s="290">
        <v>8722.8816245625658</v>
      </c>
      <c r="M422" s="288">
        <v>0</v>
      </c>
      <c r="N422" s="288">
        <v>17682.590015926457</v>
      </c>
      <c r="O422" s="288">
        <v>1172.0401585615277</v>
      </c>
      <c r="P422" s="288">
        <v>51657.348392533342</v>
      </c>
      <c r="Q422" s="291">
        <v>92453.187965896112</v>
      </c>
      <c r="R422" s="288">
        <v>21899.241136682438</v>
      </c>
      <c r="S422" s="288">
        <v>9903.0665086452682</v>
      </c>
      <c r="T422" s="290">
        <v>0.751</v>
      </c>
      <c r="U422" s="288">
        <v>0.75800000000000001</v>
      </c>
      <c r="V422" s="288">
        <v>0.723923076923077</v>
      </c>
      <c r="W422" s="288">
        <v>0.72750000000000004</v>
      </c>
      <c r="X422" s="288">
        <v>0.76</v>
      </c>
      <c r="Y422" s="288">
        <v>0</v>
      </c>
      <c r="Z422" s="289">
        <v>0</v>
      </c>
      <c r="AA422" s="229"/>
      <c r="AB422" s="52">
        <v>87557.618616898704</v>
      </c>
      <c r="AC422" s="288">
        <v>3.1951389248484632</v>
      </c>
      <c r="AD422" s="288">
        <v>80792.991371275624</v>
      </c>
      <c r="AE422" s="288">
        <v>2.9183095238714243</v>
      </c>
      <c r="AF422" s="288">
        <v>6764.6272456230799</v>
      </c>
      <c r="AG422" s="289">
        <v>0.2768294009770389</v>
      </c>
      <c r="AH422" s="229"/>
      <c r="AI422" s="205">
        <f t="shared" si="46"/>
        <v>231956.27386794757</v>
      </c>
      <c r="AJ422" s="205">
        <f t="shared" si="47"/>
        <v>211037.96101586678</v>
      </c>
      <c r="AK422" s="205">
        <f t="shared" si="48"/>
        <v>20918.31285208081</v>
      </c>
      <c r="AL422" s="229"/>
      <c r="AM422" s="52">
        <f t="shared" si="30"/>
        <v>1</v>
      </c>
      <c r="AN422" s="52">
        <f t="shared" si="31"/>
        <v>0</v>
      </c>
      <c r="AO422" s="52">
        <f t="shared" si="32"/>
        <v>1</v>
      </c>
      <c r="AP422" s="229"/>
      <c r="AQ422" s="3"/>
      <c r="AR422" s="3"/>
      <c r="AS422" s="3"/>
      <c r="AT422" s="3"/>
      <c r="AU422" s="229"/>
      <c r="AV422" s="318">
        <f t="shared" si="49"/>
        <v>231956.27386794757</v>
      </c>
      <c r="AW422" s="229"/>
      <c r="AX422" s="312"/>
      <c r="AY422" s="14"/>
      <c r="AZ422" s="14">
        <f t="shared" si="51"/>
        <v>6764.6272456230799</v>
      </c>
      <c r="BA422" s="14">
        <f t="shared" si="50"/>
        <v>0.2768294009770389</v>
      </c>
      <c r="BB422" s="14">
        <f t="shared" si="33"/>
        <v>24436.086708088347</v>
      </c>
      <c r="BC422" s="14"/>
      <c r="BD422" s="14"/>
      <c r="BE422" s="14"/>
      <c r="BF422" s="14"/>
      <c r="BG422" s="14"/>
      <c r="BH422" s="14"/>
      <c r="BI422" s="14"/>
      <c r="BJ422" s="14"/>
      <c r="BK422" s="14"/>
      <c r="BL422" s="14"/>
      <c r="BM422" s="14"/>
      <c r="BN422" s="14"/>
      <c r="BO422" s="14"/>
      <c r="BP422" s="14"/>
      <c r="BQ422" s="14"/>
      <c r="BR422" s="14"/>
      <c r="BS422" s="14"/>
      <c r="BT422" s="14"/>
      <c r="BU422" s="14"/>
      <c r="BV422" s="14"/>
      <c r="BW422" s="14"/>
      <c r="BX422" s="14"/>
      <c r="BY422" s="14"/>
      <c r="BZ422" s="14"/>
      <c r="CA422" s="14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</row>
    <row r="423" spans="1:101" ht="14.25" customHeight="1" x14ac:dyDescent="0.2">
      <c r="A423" s="286"/>
      <c r="B423" s="52">
        <v>0.15925173578067611</v>
      </c>
      <c r="C423" s="288">
        <v>0.45912259281052892</v>
      </c>
      <c r="D423" s="288">
        <v>1.3124401248248114E-2</v>
      </c>
      <c r="E423" s="288">
        <v>7.2744088343539856E-3</v>
      </c>
      <c r="F423" s="289">
        <v>0.82150536660907592</v>
      </c>
      <c r="G423" s="92">
        <v>0.34709102491934102</v>
      </c>
      <c r="H423" s="288">
        <v>0.20507632497224282</v>
      </c>
      <c r="I423" s="288">
        <v>8.645803837830094E-3</v>
      </c>
      <c r="J423" s="288">
        <v>0.99999999983419507</v>
      </c>
      <c r="K423" s="288">
        <v>0.79516779594870446</v>
      </c>
      <c r="L423" s="290">
        <v>19222.727613902407</v>
      </c>
      <c r="M423" s="288">
        <v>0</v>
      </c>
      <c r="N423" s="288">
        <v>16165.369877933148</v>
      </c>
      <c r="O423" s="288">
        <v>967.80152432659168</v>
      </c>
      <c r="P423" s="288">
        <v>55737.727067249514</v>
      </c>
      <c r="Q423" s="291">
        <v>48027.546740310041</v>
      </c>
      <c r="R423" s="288">
        <v>25490.588808737597</v>
      </c>
      <c r="S423" s="288">
        <v>9201.469168909638</v>
      </c>
      <c r="T423" s="290">
        <v>0.751</v>
      </c>
      <c r="U423" s="288">
        <v>0.75800000000000001</v>
      </c>
      <c r="V423" s="288">
        <v>0.723923076923077</v>
      </c>
      <c r="W423" s="288">
        <v>0.72750000000000004</v>
      </c>
      <c r="X423" s="288">
        <v>0.76</v>
      </c>
      <c r="Y423" s="288">
        <v>0</v>
      </c>
      <c r="Z423" s="289">
        <v>0</v>
      </c>
      <c r="AA423" s="229"/>
      <c r="AB423" s="52">
        <v>96194.033130679774</v>
      </c>
      <c r="AC423" s="288">
        <v>3.336304365033691</v>
      </c>
      <c r="AD423" s="288">
        <v>75488.590472833472</v>
      </c>
      <c r="AE423" s="288">
        <v>3.2177248418434381</v>
      </c>
      <c r="AF423" s="288">
        <v>20705.442657846303</v>
      </c>
      <c r="AG423" s="289">
        <v>0.11857952319025289</v>
      </c>
      <c r="AH423" s="229"/>
      <c r="AI423" s="205">
        <f t="shared" si="46"/>
        <v>237436.4033726893</v>
      </c>
      <c r="AJ423" s="205">
        <f t="shared" si="47"/>
        <v>246283.89371151035</v>
      </c>
      <c r="AK423" s="205">
        <f t="shared" si="48"/>
        <v>-8847.4903388210132</v>
      </c>
      <c r="AL423" s="229"/>
      <c r="AM423" s="52">
        <f t="shared" si="30"/>
        <v>0</v>
      </c>
      <c r="AN423" s="52">
        <f t="shared" si="31"/>
        <v>1</v>
      </c>
      <c r="AO423" s="52">
        <f t="shared" si="32"/>
        <v>0</v>
      </c>
      <c r="AP423" s="229"/>
      <c r="AQ423" s="3"/>
      <c r="AR423" s="3"/>
      <c r="AS423" s="3"/>
      <c r="AT423" s="3"/>
      <c r="AU423" s="229"/>
      <c r="AV423" s="318">
        <f t="shared" si="49"/>
        <v>246283.89371151035</v>
      </c>
      <c r="AW423" s="229"/>
      <c r="AX423" s="312"/>
      <c r="AY423" s="14"/>
      <c r="AZ423" s="14">
        <f t="shared" si="51"/>
        <v>20705.442657846303</v>
      </c>
      <c r="BA423" s="14">
        <f t="shared" si="50"/>
        <v>0.11857952319025289</v>
      </c>
      <c r="BB423" s="14">
        <f t="shared" si="33"/>
        <v>174612.2947772847</v>
      </c>
      <c r="BC423" s="14"/>
      <c r="BD423" s="14"/>
      <c r="BE423" s="14"/>
      <c r="BF423" s="14"/>
      <c r="BG423" s="14"/>
      <c r="BH423" s="14"/>
      <c r="BI423" s="14"/>
      <c r="BJ423" s="14"/>
      <c r="BK423" s="14"/>
      <c r="BL423" s="14"/>
      <c r="BM423" s="14"/>
      <c r="BN423" s="14"/>
      <c r="BO423" s="14"/>
      <c r="BP423" s="14"/>
      <c r="BQ423" s="14"/>
      <c r="BR423" s="14"/>
      <c r="BS423" s="14"/>
      <c r="BT423" s="14"/>
      <c r="BU423" s="14"/>
      <c r="BV423" s="14"/>
      <c r="BW423" s="14"/>
      <c r="BX423" s="14"/>
      <c r="BY423" s="14"/>
      <c r="BZ423" s="14"/>
      <c r="CA423" s="14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</row>
    <row r="424" spans="1:101" ht="14.25" customHeight="1" x14ac:dyDescent="0.2">
      <c r="A424" s="286"/>
      <c r="B424" s="52">
        <v>0.18563210144284525</v>
      </c>
      <c r="C424" s="288">
        <v>0.61722138847629004</v>
      </c>
      <c r="D424" s="288">
        <v>3.0088970809155069E-2</v>
      </c>
      <c r="E424" s="288">
        <v>6.0295977614229414E-3</v>
      </c>
      <c r="F424" s="289">
        <v>0.80516267026372756</v>
      </c>
      <c r="G424" s="92">
        <v>0.40733906025293509</v>
      </c>
      <c r="H424" s="288">
        <v>0.39518865997168828</v>
      </c>
      <c r="I424" s="288">
        <v>2.7894508352716674E-2</v>
      </c>
      <c r="J424" s="288">
        <v>1</v>
      </c>
      <c r="K424" s="288">
        <v>0.76861493427692673</v>
      </c>
      <c r="L424" s="290">
        <v>11703.0397649184</v>
      </c>
      <c r="M424" s="288">
        <v>0</v>
      </c>
      <c r="N424" s="288">
        <v>19266.598533778397</v>
      </c>
      <c r="O424" s="288">
        <v>1120.9746761823603</v>
      </c>
      <c r="P424" s="288">
        <v>38057.843855962026</v>
      </c>
      <c r="Q424" s="291">
        <v>96186.73794013093</v>
      </c>
      <c r="R424" s="288">
        <v>22476.792269926133</v>
      </c>
      <c r="S424" s="288">
        <v>9044.2001122348775</v>
      </c>
      <c r="T424" s="290">
        <v>0.751</v>
      </c>
      <c r="U424" s="288">
        <v>0.75800000000000001</v>
      </c>
      <c r="V424" s="288">
        <v>0.723923076923077</v>
      </c>
      <c r="W424" s="288">
        <v>0.72750000000000004</v>
      </c>
      <c r="X424" s="288">
        <v>0.76</v>
      </c>
      <c r="Y424" s="288">
        <v>0</v>
      </c>
      <c r="Z424" s="289">
        <v>0</v>
      </c>
      <c r="AA424" s="229"/>
      <c r="AB424" s="52">
        <v>87134.573814877847</v>
      </c>
      <c r="AC424" s="288">
        <v>3.2596136955623289</v>
      </c>
      <c r="AD424" s="288">
        <v>75193.081564169566</v>
      </c>
      <c r="AE424" s="288">
        <v>3.0941912857531531</v>
      </c>
      <c r="AF424" s="288">
        <v>11941.492250708281</v>
      </c>
      <c r="AG424" s="289">
        <v>0.16542240980917589</v>
      </c>
      <c r="AH424" s="229"/>
      <c r="AI424" s="205">
        <f t="shared" si="46"/>
        <v>238826.79574135505</v>
      </c>
      <c r="AJ424" s="205">
        <f t="shared" si="47"/>
        <v>234226.04701114574</v>
      </c>
      <c r="AK424" s="205">
        <f t="shared" si="48"/>
        <v>4600.7487302093068</v>
      </c>
      <c r="AL424" s="229"/>
      <c r="AM424" s="52">
        <f t="shared" si="30"/>
        <v>1</v>
      </c>
      <c r="AN424" s="52">
        <f t="shared" si="31"/>
        <v>0</v>
      </c>
      <c r="AO424" s="52">
        <f t="shared" si="32"/>
        <v>1</v>
      </c>
      <c r="AP424" s="229"/>
      <c r="AQ424" s="3"/>
      <c r="AR424" s="3"/>
      <c r="AS424" s="3"/>
      <c r="AT424" s="3"/>
      <c r="AU424" s="229"/>
      <c r="AV424" s="318">
        <f t="shared" si="49"/>
        <v>238826.79574135505</v>
      </c>
      <c r="AW424" s="229"/>
      <c r="AX424" s="312"/>
      <c r="AY424" s="14"/>
      <c r="AZ424" s="14">
        <f t="shared" si="51"/>
        <v>11941.492250708281</v>
      </c>
      <c r="BA424" s="14">
        <f t="shared" si="50"/>
        <v>0.16542240980917589</v>
      </c>
      <c r="BB424" s="14">
        <f t="shared" si="33"/>
        <v>72187.875055643715</v>
      </c>
      <c r="BC424" s="14"/>
      <c r="BD424" s="14"/>
      <c r="BE424" s="14"/>
      <c r="BF424" s="14"/>
      <c r="BG424" s="14"/>
      <c r="BH424" s="14"/>
      <c r="BI424" s="14"/>
      <c r="BJ424" s="14"/>
      <c r="BK424" s="14"/>
      <c r="BL424" s="14"/>
      <c r="BM424" s="14"/>
      <c r="BN424" s="14"/>
      <c r="BO424" s="14"/>
      <c r="BP424" s="14"/>
      <c r="BQ424" s="14"/>
      <c r="BR424" s="14"/>
      <c r="BS424" s="14"/>
      <c r="BT424" s="14"/>
      <c r="BU424" s="14"/>
      <c r="BV424" s="14"/>
      <c r="BW424" s="14"/>
      <c r="BX424" s="14"/>
      <c r="BY424" s="14"/>
      <c r="BZ424" s="14"/>
      <c r="CA424" s="14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</row>
    <row r="425" spans="1:101" ht="14.25" customHeight="1" x14ac:dyDescent="0.2">
      <c r="A425" s="286"/>
      <c r="B425" s="52">
        <v>0.20304341783161417</v>
      </c>
      <c r="C425" s="288">
        <v>0.60920000388115669</v>
      </c>
      <c r="D425" s="288">
        <v>1.8950168547571145E-2</v>
      </c>
      <c r="E425" s="288">
        <v>2.8954873163928085E-2</v>
      </c>
      <c r="F425" s="289">
        <v>0.80441815651021642</v>
      </c>
      <c r="G425" s="92">
        <v>0.45938317776344906</v>
      </c>
      <c r="H425" s="288">
        <v>0.26692133416888442</v>
      </c>
      <c r="I425" s="288">
        <v>2.9181854011155917E-2</v>
      </c>
      <c r="J425" s="288">
        <v>0.99999999999999756</v>
      </c>
      <c r="K425" s="288">
        <v>0.7783134582059229</v>
      </c>
      <c r="L425" s="290">
        <v>12938.450872133037</v>
      </c>
      <c r="M425" s="288">
        <v>0</v>
      </c>
      <c r="N425" s="288">
        <v>16825.373937473225</v>
      </c>
      <c r="O425" s="288">
        <v>1563.6951923520814</v>
      </c>
      <c r="P425" s="288">
        <v>35441.174726323799</v>
      </c>
      <c r="Q425" s="291">
        <v>105430.16328209032</v>
      </c>
      <c r="R425" s="288">
        <v>21767.120663571361</v>
      </c>
      <c r="S425" s="288">
        <v>9345.4737219455783</v>
      </c>
      <c r="T425" s="290">
        <v>0.751</v>
      </c>
      <c r="U425" s="288">
        <v>0.75800000000000001</v>
      </c>
      <c r="V425" s="288">
        <v>0.723923076923077</v>
      </c>
      <c r="W425" s="288">
        <v>0.72750000000000004</v>
      </c>
      <c r="X425" s="288">
        <v>0.76</v>
      </c>
      <c r="Y425" s="288">
        <v>0</v>
      </c>
      <c r="Z425" s="289">
        <v>0</v>
      </c>
      <c r="AA425" s="229"/>
      <c r="AB425" s="52">
        <v>90802.003122445603</v>
      </c>
      <c r="AC425" s="288">
        <v>3.2561299248008373</v>
      </c>
      <c r="AD425" s="288">
        <v>78131.411114863848</v>
      </c>
      <c r="AE425" s="288">
        <v>3.1391835127816496</v>
      </c>
      <c r="AF425" s="288">
        <v>12670.592007581756</v>
      </c>
      <c r="AG425" s="289">
        <v>0.11694641201918765</v>
      </c>
      <c r="AH425" s="229"/>
      <c r="AI425" s="205">
        <f t="shared" si="46"/>
        <v>234810.98935763811</v>
      </c>
      <c r="AJ425" s="205">
        <f t="shared" si="47"/>
        <v>235786.9401633011</v>
      </c>
      <c r="AK425" s="205">
        <f t="shared" si="48"/>
        <v>-975.95080566299112</v>
      </c>
      <c r="AL425" s="229"/>
      <c r="AM425" s="52">
        <f t="shared" si="30"/>
        <v>0</v>
      </c>
      <c r="AN425" s="52">
        <f t="shared" si="31"/>
        <v>1</v>
      </c>
      <c r="AO425" s="52">
        <f t="shared" si="32"/>
        <v>0</v>
      </c>
      <c r="AP425" s="229"/>
      <c r="AQ425" s="3"/>
      <c r="AR425" s="3"/>
      <c r="AS425" s="3"/>
      <c r="AT425" s="3"/>
      <c r="AU425" s="229"/>
      <c r="AV425" s="318">
        <f t="shared" si="49"/>
        <v>235786.9401633011</v>
      </c>
      <c r="AW425" s="229"/>
      <c r="AX425" s="312"/>
      <c r="AY425" s="14"/>
      <c r="AZ425" s="14">
        <f t="shared" si="51"/>
        <v>12670.592007581756</v>
      </c>
      <c r="BA425" s="14">
        <f t="shared" si="50"/>
        <v>0.11694641201918765</v>
      </c>
      <c r="BB425" s="14">
        <f t="shared" si="33"/>
        <v>108345.28215797561</v>
      </c>
      <c r="BC425" s="14"/>
      <c r="BD425" s="14"/>
      <c r="BE425" s="14"/>
      <c r="BF425" s="14"/>
      <c r="BG425" s="14"/>
      <c r="BH425" s="14"/>
      <c r="BI425" s="14"/>
      <c r="BJ425" s="14"/>
      <c r="BK425" s="14"/>
      <c r="BL425" s="14"/>
      <c r="BM425" s="14"/>
      <c r="BN425" s="14"/>
      <c r="BO425" s="14"/>
      <c r="BP425" s="14"/>
      <c r="BQ425" s="14"/>
      <c r="BR425" s="14"/>
      <c r="BS425" s="14"/>
      <c r="BT425" s="14"/>
      <c r="BU425" s="14"/>
      <c r="BV425" s="14"/>
      <c r="BW425" s="14"/>
      <c r="BX425" s="14"/>
      <c r="BY425" s="14"/>
      <c r="BZ425" s="14"/>
      <c r="CA425" s="14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</row>
    <row r="426" spans="1:101" ht="14.25" customHeight="1" x14ac:dyDescent="0.2">
      <c r="A426" s="286"/>
      <c r="B426" s="52">
        <v>0.16909658031496178</v>
      </c>
      <c r="C426" s="288">
        <v>2.8909380334318304E-2</v>
      </c>
      <c r="D426" s="288">
        <v>1.275864347049499E-2</v>
      </c>
      <c r="E426" s="288">
        <v>1.635687039561895E-2</v>
      </c>
      <c r="F426" s="289">
        <v>0.81227947684118207</v>
      </c>
      <c r="G426" s="92">
        <v>0.44682039699524145</v>
      </c>
      <c r="H426" s="288">
        <v>0.47198160213728635</v>
      </c>
      <c r="I426" s="288">
        <v>6.3083542818945012E-3</v>
      </c>
      <c r="J426" s="288">
        <v>0.97385883480699376</v>
      </c>
      <c r="K426" s="288">
        <v>0.76202880011163054</v>
      </c>
      <c r="L426" s="290">
        <v>11610.806466704706</v>
      </c>
      <c r="M426" s="288">
        <v>0</v>
      </c>
      <c r="N426" s="288">
        <v>16117.109523146413</v>
      </c>
      <c r="O426" s="288">
        <v>1453.0585192563419</v>
      </c>
      <c r="P426" s="288">
        <v>44225.957640979737</v>
      </c>
      <c r="Q426" s="291">
        <v>75318.37706247883</v>
      </c>
      <c r="R426" s="288">
        <v>21110.767377663786</v>
      </c>
      <c r="S426" s="288">
        <v>9451.2196263925198</v>
      </c>
      <c r="T426" s="290">
        <v>0.751</v>
      </c>
      <c r="U426" s="288">
        <v>0.75800000000000001</v>
      </c>
      <c r="V426" s="288">
        <v>0.723923076923077</v>
      </c>
      <c r="W426" s="288">
        <v>0.72750000000000004</v>
      </c>
      <c r="X426" s="288">
        <v>0.76</v>
      </c>
      <c r="Y426" s="288">
        <v>0</v>
      </c>
      <c r="Z426" s="289">
        <v>0</v>
      </c>
      <c r="AA426" s="229"/>
      <c r="AB426" s="52">
        <v>88144.499127696108</v>
      </c>
      <c r="AC426" s="288">
        <v>3.2929589352593926</v>
      </c>
      <c r="AD426" s="288">
        <v>77268.982769227878</v>
      </c>
      <c r="AE426" s="288">
        <v>3.0637222121189289</v>
      </c>
      <c r="AF426" s="288">
        <v>10875.51635846823</v>
      </c>
      <c r="AG426" s="289">
        <v>0.22923672314046373</v>
      </c>
      <c r="AH426" s="229"/>
      <c r="AI426" s="205">
        <f t="shared" si="46"/>
        <v>241151.39439824317</v>
      </c>
      <c r="AJ426" s="205">
        <f t="shared" si="47"/>
        <v>229103.23844266502</v>
      </c>
      <c r="AK426" s="205">
        <f t="shared" si="48"/>
        <v>12048.155955578142</v>
      </c>
      <c r="AL426" s="229"/>
      <c r="AM426" s="52">
        <f t="shared" si="30"/>
        <v>1</v>
      </c>
      <c r="AN426" s="52">
        <f t="shared" si="31"/>
        <v>0</v>
      </c>
      <c r="AO426" s="52">
        <f t="shared" si="32"/>
        <v>1</v>
      </c>
      <c r="AP426" s="229"/>
      <c r="AQ426" s="3"/>
      <c r="AR426" s="3"/>
      <c r="AS426" s="3"/>
      <c r="AT426" s="3"/>
      <c r="AU426" s="229"/>
      <c r="AV426" s="318">
        <f t="shared" si="49"/>
        <v>241151.39439824317</v>
      </c>
      <c r="AW426" s="229"/>
      <c r="AX426" s="312"/>
      <c r="AY426" s="14"/>
      <c r="AZ426" s="14">
        <f t="shared" si="51"/>
        <v>10875.51635846823</v>
      </c>
      <c r="BA426" s="14">
        <f t="shared" si="50"/>
        <v>0.22923672314046373</v>
      </c>
      <c r="BB426" s="14">
        <f t="shared" si="33"/>
        <v>47442.295499069354</v>
      </c>
      <c r="BC426" s="14"/>
      <c r="BD426" s="14"/>
      <c r="BE426" s="14"/>
      <c r="BF426" s="14"/>
      <c r="BG426" s="14"/>
      <c r="BH426" s="14"/>
      <c r="BI426" s="14"/>
      <c r="BJ426" s="14"/>
      <c r="BK426" s="14"/>
      <c r="BL426" s="14"/>
      <c r="BM426" s="14"/>
      <c r="BN426" s="14"/>
      <c r="BO426" s="14"/>
      <c r="BP426" s="14"/>
      <c r="BQ426" s="14"/>
      <c r="BR426" s="14"/>
      <c r="BS426" s="14"/>
      <c r="BT426" s="14"/>
      <c r="BU426" s="14"/>
      <c r="BV426" s="14"/>
      <c r="BW426" s="14"/>
      <c r="BX426" s="14"/>
      <c r="BY426" s="14"/>
      <c r="BZ426" s="14"/>
      <c r="CA426" s="14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</row>
    <row r="427" spans="1:101" ht="14.25" customHeight="1" x14ac:dyDescent="0.2">
      <c r="A427" s="286"/>
      <c r="B427" s="52">
        <v>0.16533102074561934</v>
      </c>
      <c r="C427" s="288">
        <v>0.21623335359497742</v>
      </c>
      <c r="D427" s="288">
        <v>1.1860590110135585E-2</v>
      </c>
      <c r="E427" s="288">
        <v>5.608770474300584E-3</v>
      </c>
      <c r="F427" s="289">
        <v>0.73235880464894165</v>
      </c>
      <c r="G427" s="92">
        <v>0.39214104534221944</v>
      </c>
      <c r="H427" s="288">
        <v>0.72666631168237816</v>
      </c>
      <c r="I427" s="288">
        <v>2.4630492445868346E-2</v>
      </c>
      <c r="J427" s="288">
        <v>0.9845361405831301</v>
      </c>
      <c r="K427" s="288">
        <v>0.76907528220565879</v>
      </c>
      <c r="L427" s="290">
        <v>15523.514503929173</v>
      </c>
      <c r="M427" s="288">
        <v>0</v>
      </c>
      <c r="N427" s="288">
        <v>19961.393512505208</v>
      </c>
      <c r="O427" s="288">
        <v>1339.0307293753087</v>
      </c>
      <c r="P427" s="288">
        <v>42881.193097967393</v>
      </c>
      <c r="Q427" s="291">
        <v>72389.592978579327</v>
      </c>
      <c r="R427" s="288">
        <v>23602.134075574693</v>
      </c>
      <c r="S427" s="288">
        <v>10178.875067869092</v>
      </c>
      <c r="T427" s="290">
        <v>0.751</v>
      </c>
      <c r="U427" s="288">
        <v>0.75800000000000001</v>
      </c>
      <c r="V427" s="288">
        <v>0.723923076923077</v>
      </c>
      <c r="W427" s="288">
        <v>0.72750000000000004</v>
      </c>
      <c r="X427" s="288">
        <v>0.76</v>
      </c>
      <c r="Y427" s="288">
        <v>0</v>
      </c>
      <c r="Z427" s="289">
        <v>0</v>
      </c>
      <c r="AA427" s="229"/>
      <c r="AB427" s="52">
        <v>90548.785320849012</v>
      </c>
      <c r="AC427" s="288">
        <v>2.9230600717806583</v>
      </c>
      <c r="AD427" s="288">
        <v>86491.517046362555</v>
      </c>
      <c r="AE427" s="288">
        <v>3.0963235248393759</v>
      </c>
      <c r="AF427" s="288">
        <v>4057.2682744864578</v>
      </c>
      <c r="AG427" s="289">
        <v>-0.1732634530587176</v>
      </c>
      <c r="AH427" s="229"/>
      <c r="AI427" s="205">
        <f t="shared" si="46"/>
        <v>201757.22185721682</v>
      </c>
      <c r="AJ427" s="205">
        <f t="shared" si="47"/>
        <v>223140.83543757501</v>
      </c>
      <c r="AK427" s="205">
        <f t="shared" si="48"/>
        <v>-21383.613580358218</v>
      </c>
      <c r="AL427" s="229"/>
      <c r="AM427" s="52">
        <f t="shared" si="30"/>
        <v>0</v>
      </c>
      <c r="AN427" s="52">
        <f t="shared" si="31"/>
        <v>1</v>
      </c>
      <c r="AO427" s="52">
        <f t="shared" si="32"/>
        <v>0</v>
      </c>
      <c r="AP427" s="229"/>
      <c r="AQ427" s="3"/>
      <c r="AR427" s="3"/>
      <c r="AS427" s="3"/>
      <c r="AT427" s="3"/>
      <c r="AU427" s="229"/>
      <c r="AV427" s="318">
        <f t="shared" si="49"/>
        <v>223140.83543757501</v>
      </c>
      <c r="AW427" s="229"/>
      <c r="AX427" s="312"/>
      <c r="AY427" s="14"/>
      <c r="AZ427" s="14">
        <f t="shared" si="51"/>
        <v>4057.2682744864578</v>
      </c>
      <c r="BA427" s="14">
        <f t="shared" si="50"/>
        <v>-0.1732634530587176</v>
      </c>
      <c r="BB427" s="14">
        <f t="shared" si="33"/>
        <v>-23416.757561166014</v>
      </c>
      <c r="BC427" s="14"/>
      <c r="BD427" s="14"/>
      <c r="BE427" s="14"/>
      <c r="BF427" s="14"/>
      <c r="BG427" s="14"/>
      <c r="BH427" s="14"/>
      <c r="BI427" s="14"/>
      <c r="BJ427" s="14"/>
      <c r="BK427" s="14"/>
      <c r="BL427" s="14"/>
      <c r="BM427" s="14"/>
      <c r="BN427" s="14"/>
      <c r="BO427" s="14"/>
      <c r="BP427" s="14"/>
      <c r="BQ427" s="14"/>
      <c r="BR427" s="14"/>
      <c r="BS427" s="14"/>
      <c r="BT427" s="14"/>
      <c r="BU427" s="14"/>
      <c r="BV427" s="14"/>
      <c r="BW427" s="14"/>
      <c r="BX427" s="14"/>
      <c r="BY427" s="14"/>
      <c r="BZ427" s="14"/>
      <c r="CA427" s="14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</row>
    <row r="428" spans="1:101" ht="14.25" customHeight="1" x14ac:dyDescent="0.2">
      <c r="A428" s="286"/>
      <c r="B428" s="52">
        <v>0.14027053123134609</v>
      </c>
      <c r="C428" s="288">
        <v>2.8583982408007615E-2</v>
      </c>
      <c r="D428" s="288">
        <v>1.5024193228943994E-2</v>
      </c>
      <c r="E428" s="288">
        <v>9.3297238895120194E-3</v>
      </c>
      <c r="F428" s="289">
        <v>0.77287445673424193</v>
      </c>
      <c r="G428" s="92">
        <v>0.46566212242867489</v>
      </c>
      <c r="H428" s="288">
        <v>0.82091543956947621</v>
      </c>
      <c r="I428" s="288">
        <v>1.1667494824828928E-2</v>
      </c>
      <c r="J428" s="288">
        <v>0.98446182717686193</v>
      </c>
      <c r="K428" s="288">
        <v>0.78276017818700017</v>
      </c>
      <c r="L428" s="290">
        <v>14603.956492287862</v>
      </c>
      <c r="M428" s="288">
        <v>0</v>
      </c>
      <c r="N428" s="288">
        <v>13252.253176421458</v>
      </c>
      <c r="O428" s="288">
        <v>1330.4443738577306</v>
      </c>
      <c r="P428" s="288">
        <v>49627.083140987823</v>
      </c>
      <c r="Q428" s="291">
        <v>107401.57803119624</v>
      </c>
      <c r="R428" s="288">
        <v>26016.522500839237</v>
      </c>
      <c r="S428" s="288">
        <v>8891.9556453451332</v>
      </c>
      <c r="T428" s="290">
        <v>0.751</v>
      </c>
      <c r="U428" s="288">
        <v>0.75800000000000001</v>
      </c>
      <c r="V428" s="288">
        <v>0.723923076923077</v>
      </c>
      <c r="W428" s="288">
        <v>0.72750000000000004</v>
      </c>
      <c r="X428" s="288">
        <v>0.76</v>
      </c>
      <c r="Y428" s="288">
        <v>0</v>
      </c>
      <c r="Z428" s="289">
        <v>0</v>
      </c>
      <c r="AA428" s="229"/>
      <c r="AB428" s="52">
        <v>83174.596935033362</v>
      </c>
      <c r="AC428" s="288">
        <v>3.109327615646468</v>
      </c>
      <c r="AD428" s="288">
        <v>80777.335176323482</v>
      </c>
      <c r="AE428" s="288">
        <v>3.1598617749021121</v>
      </c>
      <c r="AF428" s="288">
        <v>2397.2617587098794</v>
      </c>
      <c r="AG428" s="289">
        <v>-5.0534159255644084E-2</v>
      </c>
      <c r="AH428" s="229"/>
      <c r="AI428" s="205">
        <f t="shared" si="46"/>
        <v>227758.16462961343</v>
      </c>
      <c r="AJ428" s="205">
        <f t="shared" si="47"/>
        <v>235208.84231388773</v>
      </c>
      <c r="AK428" s="205">
        <f t="shared" si="48"/>
        <v>-7450.6776842742875</v>
      </c>
      <c r="AL428" s="229"/>
      <c r="AM428" s="52">
        <f t="shared" si="30"/>
        <v>0</v>
      </c>
      <c r="AN428" s="52">
        <f t="shared" si="31"/>
        <v>1</v>
      </c>
      <c r="AO428" s="52">
        <f t="shared" si="32"/>
        <v>0</v>
      </c>
      <c r="AP428" s="229"/>
      <c r="AQ428" s="3"/>
      <c r="AR428" s="3"/>
      <c r="AS428" s="3"/>
      <c r="AT428" s="3"/>
      <c r="AU428" s="229"/>
      <c r="AV428" s="318">
        <f t="shared" si="49"/>
        <v>235208.84231388773</v>
      </c>
      <c r="AW428" s="229"/>
      <c r="AX428" s="312"/>
      <c r="AY428" s="14"/>
      <c r="AZ428" s="14">
        <f t="shared" si="51"/>
        <v>2397.2617587098794</v>
      </c>
      <c r="BA428" s="14">
        <f t="shared" si="50"/>
        <v>-5.0534159255644084E-2</v>
      </c>
      <c r="BB428" s="14">
        <f t="shared" si="33"/>
        <v>-47438.441521951958</v>
      </c>
      <c r="BC428" s="14"/>
      <c r="BD428" s="14"/>
      <c r="BE428" s="14"/>
      <c r="BF428" s="14"/>
      <c r="BG428" s="14"/>
      <c r="BH428" s="14"/>
      <c r="BI428" s="14"/>
      <c r="BJ428" s="14"/>
      <c r="BK428" s="14"/>
      <c r="BL428" s="14"/>
      <c r="BM428" s="14"/>
      <c r="BN428" s="14"/>
      <c r="BO428" s="14"/>
      <c r="BP428" s="14"/>
      <c r="BQ428" s="14"/>
      <c r="BR428" s="14"/>
      <c r="BS428" s="14"/>
      <c r="BT428" s="14"/>
      <c r="BU428" s="14"/>
      <c r="BV428" s="14"/>
      <c r="BW428" s="14"/>
      <c r="BX428" s="14"/>
      <c r="BY428" s="14"/>
      <c r="BZ428" s="14"/>
      <c r="CA428" s="14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</row>
    <row r="429" spans="1:101" ht="14.25" customHeight="1" x14ac:dyDescent="0.2">
      <c r="A429" s="286"/>
      <c r="B429" s="52">
        <v>0.16579843867396482</v>
      </c>
      <c r="C429" s="288">
        <v>0.4282965909704568</v>
      </c>
      <c r="D429" s="288">
        <v>1.6704214283021379E-2</v>
      </c>
      <c r="E429" s="288">
        <v>1.9165236850826051E-2</v>
      </c>
      <c r="F429" s="289">
        <v>0.76614933680588093</v>
      </c>
      <c r="G429" s="92">
        <v>0.36653015920983595</v>
      </c>
      <c r="H429" s="288">
        <v>0.52571051395359047</v>
      </c>
      <c r="I429" s="288">
        <v>2.647893380597266E-2</v>
      </c>
      <c r="J429" s="288">
        <v>0.99999999999999811</v>
      </c>
      <c r="K429" s="288">
        <v>0.75031347562340689</v>
      </c>
      <c r="L429" s="290">
        <v>10577.987022152625</v>
      </c>
      <c r="M429" s="288">
        <v>0</v>
      </c>
      <c r="N429" s="288">
        <v>14925.589953037603</v>
      </c>
      <c r="O429" s="288">
        <v>997.68315213069661</v>
      </c>
      <c r="P429" s="288">
        <v>43773.477268158204</v>
      </c>
      <c r="Q429" s="291">
        <v>82902.808165647541</v>
      </c>
      <c r="R429" s="288">
        <v>25225.694638676334</v>
      </c>
      <c r="S429" s="288">
        <v>11294.497714953703</v>
      </c>
      <c r="T429" s="290">
        <v>0.751</v>
      </c>
      <c r="U429" s="288">
        <v>0.75800000000000001</v>
      </c>
      <c r="V429" s="288">
        <v>0.723923076923077</v>
      </c>
      <c r="W429" s="288">
        <v>0.72750000000000004</v>
      </c>
      <c r="X429" s="288">
        <v>0.76</v>
      </c>
      <c r="Y429" s="288">
        <v>0</v>
      </c>
      <c r="Z429" s="289">
        <v>0</v>
      </c>
      <c r="AA429" s="229"/>
      <c r="AB429" s="52">
        <v>98454.589197016569</v>
      </c>
      <c r="AC429" s="288">
        <v>3.0782311852032351</v>
      </c>
      <c r="AD429" s="288">
        <v>91079.828812908367</v>
      </c>
      <c r="AE429" s="288">
        <v>3.0096932246968207</v>
      </c>
      <c r="AF429" s="288">
        <v>7374.7603841082018</v>
      </c>
      <c r="AG429" s="289">
        <v>6.8537960506414475E-2</v>
      </c>
      <c r="AH429" s="229"/>
      <c r="AI429" s="205">
        <f t="shared" si="46"/>
        <v>209368.52932330698</v>
      </c>
      <c r="AJ429" s="205">
        <f t="shared" si="47"/>
        <v>209889.4936567737</v>
      </c>
      <c r="AK429" s="205">
        <f t="shared" si="48"/>
        <v>-520.9643334667544</v>
      </c>
      <c r="AL429" s="229"/>
      <c r="AM429" s="52">
        <f t="shared" si="30"/>
        <v>0</v>
      </c>
      <c r="AN429" s="52">
        <f t="shared" si="31"/>
        <v>1</v>
      </c>
      <c r="AO429" s="52">
        <f t="shared" si="32"/>
        <v>0</v>
      </c>
      <c r="AP429" s="229"/>
      <c r="AQ429" s="3"/>
      <c r="AR429" s="3"/>
      <c r="AS429" s="3"/>
      <c r="AT429" s="3"/>
      <c r="AU429" s="229"/>
      <c r="AV429" s="318">
        <f t="shared" si="49"/>
        <v>209889.4936567737</v>
      </c>
      <c r="AW429" s="229"/>
      <c r="AX429" s="312"/>
      <c r="AY429" s="14"/>
      <c r="AZ429" s="14">
        <f t="shared" si="51"/>
        <v>7374.7603841082018</v>
      </c>
      <c r="BA429" s="14">
        <f t="shared" si="50"/>
        <v>6.8537960506414475E-2</v>
      </c>
      <c r="BB429" s="14">
        <f t="shared" si="33"/>
        <v>107601.10644695938</v>
      </c>
      <c r="BC429" s="14"/>
      <c r="BD429" s="14"/>
      <c r="BE429" s="14"/>
      <c r="BF429" s="14"/>
      <c r="BG429" s="14"/>
      <c r="BH429" s="14"/>
      <c r="BI429" s="14"/>
      <c r="BJ429" s="14"/>
      <c r="BK429" s="14"/>
      <c r="BL429" s="14"/>
      <c r="BM429" s="14"/>
      <c r="BN429" s="14"/>
      <c r="BO429" s="14"/>
      <c r="BP429" s="14"/>
      <c r="BQ429" s="14"/>
      <c r="BR429" s="14"/>
      <c r="BS429" s="14"/>
      <c r="BT429" s="14"/>
      <c r="BU429" s="14"/>
      <c r="BV429" s="14"/>
      <c r="BW429" s="14"/>
      <c r="BX429" s="14"/>
      <c r="BY429" s="14"/>
      <c r="BZ429" s="14"/>
      <c r="CA429" s="14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</row>
    <row r="430" spans="1:101" ht="14.25" customHeight="1" x14ac:dyDescent="0.2">
      <c r="A430" s="286"/>
      <c r="B430" s="52">
        <v>0.14761537046481624</v>
      </c>
      <c r="C430" s="288">
        <v>0.20901052936775177</v>
      </c>
      <c r="D430" s="288">
        <v>2.008368252038828E-2</v>
      </c>
      <c r="E430" s="288">
        <v>9.0149516409877804E-3</v>
      </c>
      <c r="F430" s="289">
        <v>0.77060686414178547</v>
      </c>
      <c r="G430" s="92">
        <v>0.38492690676192143</v>
      </c>
      <c r="H430" s="288">
        <v>0.37563248869574389</v>
      </c>
      <c r="I430" s="288">
        <v>1.0139126153236628E-2</v>
      </c>
      <c r="J430" s="288">
        <v>0.99999488907013723</v>
      </c>
      <c r="K430" s="288">
        <v>0.69733418942045788</v>
      </c>
      <c r="L430" s="290">
        <v>10890.520248023222</v>
      </c>
      <c r="M430" s="288">
        <v>0</v>
      </c>
      <c r="N430" s="288">
        <v>22957.419872727973</v>
      </c>
      <c r="O430" s="288">
        <v>1580.9771452926996</v>
      </c>
      <c r="P430" s="288">
        <v>52002.920560903003</v>
      </c>
      <c r="Q430" s="291">
        <v>100055.6598022057</v>
      </c>
      <c r="R430" s="288">
        <v>22221.104741740361</v>
      </c>
      <c r="S430" s="288">
        <v>7745.2157232634054</v>
      </c>
      <c r="T430" s="290">
        <v>0.751</v>
      </c>
      <c r="U430" s="288">
        <v>0.75800000000000001</v>
      </c>
      <c r="V430" s="288">
        <v>0.723923076923077</v>
      </c>
      <c r="W430" s="288">
        <v>0.72750000000000004</v>
      </c>
      <c r="X430" s="288">
        <v>0.76</v>
      </c>
      <c r="Y430" s="288">
        <v>0</v>
      </c>
      <c r="Z430" s="289">
        <v>0</v>
      </c>
      <c r="AA430" s="229"/>
      <c r="AB430" s="52">
        <v>71210.077134864026</v>
      </c>
      <c r="AC430" s="288">
        <v>3.0988345171320981</v>
      </c>
      <c r="AD430" s="288">
        <v>58346.488438504683</v>
      </c>
      <c r="AE430" s="288">
        <v>2.7680634823593926</v>
      </c>
      <c r="AF430" s="288">
        <v>12863.588696359344</v>
      </c>
      <c r="AG430" s="289">
        <v>0.33077103477270553</v>
      </c>
      <c r="AH430" s="229"/>
      <c r="AI430" s="205">
        <f t="shared" si="46"/>
        <v>238673.37457834577</v>
      </c>
      <c r="AJ430" s="205">
        <f t="shared" si="47"/>
        <v>218459.85979743459</v>
      </c>
      <c r="AK430" s="205">
        <f t="shared" si="48"/>
        <v>20213.51478091121</v>
      </c>
      <c r="AL430" s="229"/>
      <c r="AM430" s="52">
        <f t="shared" si="30"/>
        <v>1</v>
      </c>
      <c r="AN430" s="52">
        <f t="shared" si="31"/>
        <v>0</v>
      </c>
      <c r="AO430" s="52">
        <f t="shared" si="32"/>
        <v>1</v>
      </c>
      <c r="AP430" s="229"/>
      <c r="AQ430" s="3"/>
      <c r="AR430" s="3"/>
      <c r="AS430" s="3"/>
      <c r="AT430" s="3"/>
      <c r="AU430" s="229"/>
      <c r="AV430" s="318">
        <f t="shared" si="49"/>
        <v>238673.37457834577</v>
      </c>
      <c r="AW430" s="229"/>
      <c r="AX430" s="312"/>
      <c r="AY430" s="14"/>
      <c r="AZ430" s="14">
        <f t="shared" si="51"/>
        <v>12863.588696359344</v>
      </c>
      <c r="BA430" s="14">
        <f t="shared" si="50"/>
        <v>0.33077103477270553</v>
      </c>
      <c r="BB430" s="14">
        <f t="shared" si="33"/>
        <v>38889.707211511915</v>
      </c>
      <c r="BC430" s="14"/>
      <c r="BD430" s="14"/>
      <c r="BE430" s="14"/>
      <c r="BF430" s="14"/>
      <c r="BG430" s="14"/>
      <c r="BH430" s="14"/>
      <c r="BI430" s="14"/>
      <c r="BJ430" s="14"/>
      <c r="BK430" s="14"/>
      <c r="BL430" s="14"/>
      <c r="BM430" s="14"/>
      <c r="BN430" s="14"/>
      <c r="BO430" s="14"/>
      <c r="BP430" s="14"/>
      <c r="BQ430" s="14"/>
      <c r="BR430" s="14"/>
      <c r="BS430" s="14"/>
      <c r="BT430" s="14"/>
      <c r="BU430" s="14"/>
      <c r="BV430" s="14"/>
      <c r="BW430" s="14"/>
      <c r="BX430" s="14"/>
      <c r="BY430" s="14"/>
      <c r="BZ430" s="14"/>
      <c r="CA430" s="14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</row>
    <row r="431" spans="1:101" ht="14.25" customHeight="1" x14ac:dyDescent="0.2">
      <c r="A431" s="286"/>
      <c r="B431" s="52">
        <v>0.15041230654836571</v>
      </c>
      <c r="C431" s="288">
        <v>7.4726619602762487E-2</v>
      </c>
      <c r="D431" s="288">
        <v>2.4159917799449371E-2</v>
      </c>
      <c r="E431" s="288">
        <v>2.0169803714015E-2</v>
      </c>
      <c r="F431" s="289">
        <v>0.78608907724011101</v>
      </c>
      <c r="G431" s="92">
        <v>0.37077562909504264</v>
      </c>
      <c r="H431" s="288">
        <v>0.52862332880432716</v>
      </c>
      <c r="I431" s="288">
        <v>2.4008956366916245E-2</v>
      </c>
      <c r="J431" s="288">
        <v>0.99999999994962163</v>
      </c>
      <c r="K431" s="288">
        <v>0.80710587215432938</v>
      </c>
      <c r="L431" s="290">
        <v>8663.2322121252728</v>
      </c>
      <c r="M431" s="288">
        <v>0</v>
      </c>
      <c r="N431" s="288">
        <v>18098.543276799526</v>
      </c>
      <c r="O431" s="288">
        <v>995.39224584521787</v>
      </c>
      <c r="P431" s="288">
        <v>46666.064858759026</v>
      </c>
      <c r="Q431" s="291">
        <v>75819.30223351196</v>
      </c>
      <c r="R431" s="288">
        <v>21111.454442204984</v>
      </c>
      <c r="S431" s="288">
        <v>7964.7048098708619</v>
      </c>
      <c r="T431" s="290">
        <v>0.751</v>
      </c>
      <c r="U431" s="288">
        <v>0.75800000000000001</v>
      </c>
      <c r="V431" s="288">
        <v>0.723923076923077</v>
      </c>
      <c r="W431" s="288">
        <v>0.72750000000000004</v>
      </c>
      <c r="X431" s="288">
        <v>0.76</v>
      </c>
      <c r="Y431" s="288">
        <v>0</v>
      </c>
      <c r="Z431" s="289">
        <v>0</v>
      </c>
      <c r="AA431" s="229"/>
      <c r="AB431" s="52">
        <v>71328.398859265129</v>
      </c>
      <c r="AC431" s="288">
        <v>3.1706376378356369</v>
      </c>
      <c r="AD431" s="288">
        <v>69773.772335624599</v>
      </c>
      <c r="AE431" s="288">
        <v>3.2736272576238203</v>
      </c>
      <c r="AF431" s="288">
        <v>1554.6265236405306</v>
      </c>
      <c r="AG431" s="289">
        <v>-0.10298961978818344</v>
      </c>
      <c r="AH431" s="229"/>
      <c r="AI431" s="205">
        <f t="shared" si="46"/>
        <v>245735.36492429854</v>
      </c>
      <c r="AJ431" s="205">
        <f t="shared" si="47"/>
        <v>257588.95342675742</v>
      </c>
      <c r="AK431" s="205">
        <f t="shared" si="48"/>
        <v>-11853.588502458875</v>
      </c>
      <c r="AL431" s="229"/>
      <c r="AM431" s="52">
        <f t="shared" si="30"/>
        <v>0</v>
      </c>
      <c r="AN431" s="52">
        <f t="shared" si="31"/>
        <v>1</v>
      </c>
      <c r="AO431" s="52">
        <f t="shared" si="32"/>
        <v>0</v>
      </c>
      <c r="AP431" s="229"/>
      <c r="AQ431" s="3"/>
      <c r="AR431" s="3"/>
      <c r="AS431" s="3"/>
      <c r="AT431" s="3"/>
      <c r="AU431" s="229"/>
      <c r="AV431" s="318">
        <f t="shared" si="49"/>
        <v>257588.95342675742</v>
      </c>
      <c r="AW431" s="229"/>
      <c r="AX431" s="312"/>
      <c r="AY431" s="14"/>
      <c r="AZ431" s="14">
        <f t="shared" si="51"/>
        <v>1554.6265236405306</v>
      </c>
      <c r="BA431" s="14">
        <f t="shared" si="50"/>
        <v>-0.10298961978818344</v>
      </c>
      <c r="BB431" s="14">
        <f t="shared" si="33"/>
        <v>-15094.98264813384</v>
      </c>
      <c r="BC431" s="14"/>
      <c r="BD431" s="14"/>
      <c r="BE431" s="14"/>
      <c r="BF431" s="14"/>
      <c r="BG431" s="14"/>
      <c r="BH431" s="14"/>
      <c r="BI431" s="14"/>
      <c r="BJ431" s="14"/>
      <c r="BK431" s="14"/>
      <c r="BL431" s="14"/>
      <c r="BM431" s="14"/>
      <c r="BN431" s="14"/>
      <c r="BO431" s="14"/>
      <c r="BP431" s="14"/>
      <c r="BQ431" s="14"/>
      <c r="BR431" s="14"/>
      <c r="BS431" s="14"/>
      <c r="BT431" s="14"/>
      <c r="BU431" s="14"/>
      <c r="BV431" s="14"/>
      <c r="BW431" s="14"/>
      <c r="BX431" s="14"/>
      <c r="BY431" s="14"/>
      <c r="BZ431" s="14"/>
      <c r="CA431" s="14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</row>
    <row r="432" spans="1:101" ht="14.25" customHeight="1" x14ac:dyDescent="0.2">
      <c r="A432" s="286"/>
      <c r="B432" s="52">
        <v>0.12441262186704706</v>
      </c>
      <c r="C432" s="288">
        <v>0.81554592243955981</v>
      </c>
      <c r="D432" s="288">
        <v>2.4232996047398814E-2</v>
      </c>
      <c r="E432" s="288">
        <v>1.8323457106591556E-2</v>
      </c>
      <c r="F432" s="289">
        <v>0.75728625449181974</v>
      </c>
      <c r="G432" s="92">
        <v>0.39556255332020684</v>
      </c>
      <c r="H432" s="288">
        <v>0.55477733003309582</v>
      </c>
      <c r="I432" s="288">
        <v>9.4067213865674723E-3</v>
      </c>
      <c r="J432" s="288">
        <v>0.99994954596287267</v>
      </c>
      <c r="K432" s="288">
        <v>0.67416565405222406</v>
      </c>
      <c r="L432" s="290">
        <v>11302.841083408941</v>
      </c>
      <c r="M432" s="288">
        <v>0</v>
      </c>
      <c r="N432" s="288">
        <v>18642.347661420798</v>
      </c>
      <c r="O432" s="288">
        <v>1232.3923736769364</v>
      </c>
      <c r="P432" s="288">
        <v>49064.145181236301</v>
      </c>
      <c r="Q432" s="291">
        <v>78519.245657308231</v>
      </c>
      <c r="R432" s="288">
        <v>17570.748501786729</v>
      </c>
      <c r="S432" s="288">
        <v>9270.6882209421656</v>
      </c>
      <c r="T432" s="290">
        <v>0.751</v>
      </c>
      <c r="U432" s="288">
        <v>0.75800000000000001</v>
      </c>
      <c r="V432" s="288">
        <v>0.723923076923077</v>
      </c>
      <c r="W432" s="288">
        <v>0.72750000000000004</v>
      </c>
      <c r="X432" s="288">
        <v>0.76</v>
      </c>
      <c r="Y432" s="288">
        <v>0</v>
      </c>
      <c r="Z432" s="289">
        <v>0</v>
      </c>
      <c r="AA432" s="229"/>
      <c r="AB432" s="52">
        <v>82999.073420332497</v>
      </c>
      <c r="AC432" s="288">
        <v>3.0373573349085579</v>
      </c>
      <c r="AD432" s="288">
        <v>67226.459411108153</v>
      </c>
      <c r="AE432" s="288">
        <v>2.6637860695684497</v>
      </c>
      <c r="AF432" s="288">
        <v>15772.614009224344</v>
      </c>
      <c r="AG432" s="289">
        <v>0.37357126534010821</v>
      </c>
      <c r="AH432" s="229"/>
      <c r="AI432" s="205">
        <f t="shared" si="46"/>
        <v>220736.66007052327</v>
      </c>
      <c r="AJ432" s="205">
        <f t="shared" si="47"/>
        <v>199152.14754573681</v>
      </c>
      <c r="AK432" s="205">
        <f t="shared" si="48"/>
        <v>21584.512524786478</v>
      </c>
      <c r="AL432" s="229"/>
      <c r="AM432" s="52">
        <f t="shared" si="30"/>
        <v>1</v>
      </c>
      <c r="AN432" s="52">
        <f t="shared" si="31"/>
        <v>0</v>
      </c>
      <c r="AO432" s="52">
        <f t="shared" si="32"/>
        <v>1</v>
      </c>
      <c r="AP432" s="229"/>
      <c r="AQ432" s="3"/>
      <c r="AR432" s="3"/>
      <c r="AS432" s="3"/>
      <c r="AT432" s="3"/>
      <c r="AU432" s="229"/>
      <c r="AV432" s="318">
        <f t="shared" si="49"/>
        <v>220736.66007052327</v>
      </c>
      <c r="AW432" s="229"/>
      <c r="AX432" s="312"/>
      <c r="AY432" s="14"/>
      <c r="AZ432" s="14">
        <f t="shared" si="51"/>
        <v>15772.614009224344</v>
      </c>
      <c r="BA432" s="14">
        <f t="shared" si="50"/>
        <v>0.37357126534010821</v>
      </c>
      <c r="BB432" s="14">
        <f t="shared" si="33"/>
        <v>42221.164935864588</v>
      </c>
      <c r="BC432" s="14"/>
      <c r="BD432" s="14"/>
      <c r="BE432" s="14"/>
      <c r="BF432" s="14"/>
      <c r="BG432" s="14"/>
      <c r="BH432" s="14"/>
      <c r="BI432" s="14"/>
      <c r="BJ432" s="14"/>
      <c r="BK432" s="14"/>
      <c r="BL432" s="14"/>
      <c r="BM432" s="14"/>
      <c r="BN432" s="14"/>
      <c r="BO432" s="14"/>
      <c r="BP432" s="14"/>
      <c r="BQ432" s="14"/>
      <c r="BR432" s="14"/>
      <c r="BS432" s="14"/>
      <c r="BT432" s="14"/>
      <c r="BU432" s="14"/>
      <c r="BV432" s="14"/>
      <c r="BW432" s="14"/>
      <c r="BX432" s="14"/>
      <c r="BY432" s="14"/>
      <c r="BZ432" s="14"/>
      <c r="CA432" s="14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</row>
    <row r="433" spans="1:101" ht="14.25" customHeight="1" x14ac:dyDescent="0.2">
      <c r="A433" s="286"/>
      <c r="B433" s="52">
        <v>0.15579060215321766</v>
      </c>
      <c r="C433" s="288">
        <v>0.31450527510088377</v>
      </c>
      <c r="D433" s="288">
        <v>1.7987879912541138E-2</v>
      </c>
      <c r="E433" s="288">
        <v>1.8803705560654138E-2</v>
      </c>
      <c r="F433" s="289">
        <v>0.78618872937638518</v>
      </c>
      <c r="G433" s="92">
        <v>0.40773696463182107</v>
      </c>
      <c r="H433" s="288">
        <v>0.61392668286618046</v>
      </c>
      <c r="I433" s="288">
        <v>2.8417627187737771E-2</v>
      </c>
      <c r="J433" s="288">
        <v>0.99999999999998801</v>
      </c>
      <c r="K433" s="288">
        <v>0.707380007329792</v>
      </c>
      <c r="L433" s="290">
        <v>8280.9904055723237</v>
      </c>
      <c r="M433" s="288">
        <v>0</v>
      </c>
      <c r="N433" s="288">
        <v>19329.854488265006</v>
      </c>
      <c r="O433" s="288">
        <v>1125.4870050484571</v>
      </c>
      <c r="P433" s="288">
        <v>47850.592228652284</v>
      </c>
      <c r="Q433" s="291">
        <v>77983.101764719875</v>
      </c>
      <c r="R433" s="288">
        <v>30843.685473385151</v>
      </c>
      <c r="S433" s="288">
        <v>7204.5418263723759</v>
      </c>
      <c r="T433" s="290">
        <v>0.751</v>
      </c>
      <c r="U433" s="288">
        <v>0.75800000000000001</v>
      </c>
      <c r="V433" s="288">
        <v>0.723923076923077</v>
      </c>
      <c r="W433" s="288">
        <v>0.72750000000000004</v>
      </c>
      <c r="X433" s="288">
        <v>0.76</v>
      </c>
      <c r="Y433" s="288">
        <v>0</v>
      </c>
      <c r="Z433" s="289">
        <v>0</v>
      </c>
      <c r="AA433" s="229"/>
      <c r="AB433" s="52">
        <v>66277.482376864325</v>
      </c>
      <c r="AC433" s="288">
        <v>3.1711010204215042</v>
      </c>
      <c r="AD433" s="288">
        <v>60573.172932127913</v>
      </c>
      <c r="AE433" s="288">
        <v>2.8135408728786655</v>
      </c>
      <c r="AF433" s="288">
        <v>5704.3094447364128</v>
      </c>
      <c r="AG433" s="289">
        <v>0.35756014754283871</v>
      </c>
      <c r="AH433" s="229"/>
      <c r="AI433" s="205">
        <f t="shared" si="46"/>
        <v>250832.61966528607</v>
      </c>
      <c r="AJ433" s="205">
        <f t="shared" si="47"/>
        <v>220780.91435573867</v>
      </c>
      <c r="AK433" s="205">
        <f t="shared" si="48"/>
        <v>30051.705309547462</v>
      </c>
      <c r="AL433" s="229"/>
      <c r="AM433" s="52">
        <f t="shared" si="30"/>
        <v>1</v>
      </c>
      <c r="AN433" s="52">
        <f t="shared" si="31"/>
        <v>0</v>
      </c>
      <c r="AO433" s="52">
        <f t="shared" si="32"/>
        <v>1</v>
      </c>
      <c r="AP433" s="229"/>
      <c r="AQ433" s="3"/>
      <c r="AR433" s="3"/>
      <c r="AS433" s="3"/>
      <c r="AT433" s="3"/>
      <c r="AU433" s="229"/>
      <c r="AV433" s="318">
        <f t="shared" si="49"/>
        <v>250832.61966528607</v>
      </c>
      <c r="AW433" s="229"/>
      <c r="AX433" s="312"/>
      <c r="AY433" s="14"/>
      <c r="AZ433" s="14">
        <f t="shared" si="51"/>
        <v>5704.3094447364128</v>
      </c>
      <c r="BA433" s="14">
        <f t="shared" si="50"/>
        <v>0.35756014754283871</v>
      </c>
      <c r="BB433" s="14">
        <f t="shared" si="33"/>
        <v>15953.426252720148</v>
      </c>
      <c r="BC433" s="14"/>
      <c r="BD433" s="14"/>
      <c r="BE433" s="14"/>
      <c r="BF433" s="14"/>
      <c r="BG433" s="14"/>
      <c r="BH433" s="14"/>
      <c r="BI433" s="14"/>
      <c r="BJ433" s="14"/>
      <c r="BK433" s="14"/>
      <c r="BL433" s="14"/>
      <c r="BM433" s="14"/>
      <c r="BN433" s="14"/>
      <c r="BO433" s="14"/>
      <c r="BP433" s="14"/>
      <c r="BQ433" s="14"/>
      <c r="BR433" s="14"/>
      <c r="BS433" s="14"/>
      <c r="BT433" s="14"/>
      <c r="BU433" s="14"/>
      <c r="BV433" s="14"/>
      <c r="BW433" s="14"/>
      <c r="BX433" s="14"/>
      <c r="BY433" s="14"/>
      <c r="BZ433" s="14"/>
      <c r="CA433" s="14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</row>
    <row r="434" spans="1:101" ht="14.25" customHeight="1" x14ac:dyDescent="0.2">
      <c r="A434" s="286"/>
      <c r="B434" s="52">
        <v>0.14335769609131938</v>
      </c>
      <c r="C434" s="288">
        <v>0.38900719982187537</v>
      </c>
      <c r="D434" s="288">
        <v>1.8967871980297368E-2</v>
      </c>
      <c r="E434" s="288">
        <v>7.2368734990474366E-3</v>
      </c>
      <c r="F434" s="289">
        <v>0.79549830170548197</v>
      </c>
      <c r="G434" s="92">
        <v>0.38367801741784485</v>
      </c>
      <c r="H434" s="288">
        <v>0.60407377103307502</v>
      </c>
      <c r="I434" s="288">
        <v>1.7775223956461916E-2</v>
      </c>
      <c r="J434" s="288">
        <v>0.9907252702433994</v>
      </c>
      <c r="K434" s="288">
        <v>0.76490389558345928</v>
      </c>
      <c r="L434" s="290">
        <v>13400.275607749176</v>
      </c>
      <c r="M434" s="288">
        <v>0</v>
      </c>
      <c r="N434" s="288">
        <v>16498.416481796026</v>
      </c>
      <c r="O434" s="288">
        <v>1129.4409400318427</v>
      </c>
      <c r="P434" s="288">
        <v>47020.758309693752</v>
      </c>
      <c r="Q434" s="291">
        <v>106091.21384654107</v>
      </c>
      <c r="R434" s="288">
        <v>30812.282657519452</v>
      </c>
      <c r="S434" s="288">
        <v>9375.3724195749583</v>
      </c>
      <c r="T434" s="290">
        <v>0.751</v>
      </c>
      <c r="U434" s="288">
        <v>0.75800000000000001</v>
      </c>
      <c r="V434" s="288">
        <v>0.723923076923077</v>
      </c>
      <c r="W434" s="288">
        <v>0.72750000000000004</v>
      </c>
      <c r="X434" s="288">
        <v>0.76</v>
      </c>
      <c r="Y434" s="288">
        <v>0</v>
      </c>
      <c r="Z434" s="289">
        <v>0</v>
      </c>
      <c r="AA434" s="229"/>
      <c r="AB434" s="52">
        <v>89422.401698531088</v>
      </c>
      <c r="AC434" s="288">
        <v>3.2144592430196086</v>
      </c>
      <c r="AD434" s="288">
        <v>80190.752808671066</v>
      </c>
      <c r="AE434" s="288">
        <v>3.0770147006756252</v>
      </c>
      <c r="AF434" s="288">
        <v>9231.6488898600219</v>
      </c>
      <c r="AG434" s="289">
        <v>0.1374445423439834</v>
      </c>
      <c r="AH434" s="229"/>
      <c r="AI434" s="205">
        <f t="shared" si="46"/>
        <v>232023.52260342977</v>
      </c>
      <c r="AJ434" s="205">
        <f t="shared" si="47"/>
        <v>227510.71725889147</v>
      </c>
      <c r="AK434" s="205">
        <f t="shared" si="48"/>
        <v>4512.8053445383175</v>
      </c>
      <c r="AL434" s="229"/>
      <c r="AM434" s="52">
        <f t="shared" si="30"/>
        <v>1</v>
      </c>
      <c r="AN434" s="52">
        <f t="shared" si="31"/>
        <v>0</v>
      </c>
      <c r="AO434" s="52">
        <f t="shared" si="32"/>
        <v>1</v>
      </c>
      <c r="AP434" s="229"/>
      <c r="AQ434" s="3"/>
      <c r="AR434" s="3"/>
      <c r="AS434" s="3"/>
      <c r="AT434" s="3"/>
      <c r="AU434" s="229"/>
      <c r="AV434" s="318">
        <f t="shared" si="49"/>
        <v>232023.52260342977</v>
      </c>
      <c r="AW434" s="229"/>
      <c r="AX434" s="312"/>
      <c r="AY434" s="14"/>
      <c r="AZ434" s="14">
        <f t="shared" si="51"/>
        <v>9231.6488898600219</v>
      </c>
      <c r="BA434" s="14">
        <f t="shared" si="50"/>
        <v>0.1374445423439834</v>
      </c>
      <c r="BB434" s="14">
        <f t="shared" si="33"/>
        <v>67166.354752420142</v>
      </c>
      <c r="BC434" s="14"/>
      <c r="BD434" s="14"/>
      <c r="BE434" s="14"/>
      <c r="BF434" s="14"/>
      <c r="BG434" s="14"/>
      <c r="BH434" s="14"/>
      <c r="BI434" s="14"/>
      <c r="BJ434" s="14"/>
      <c r="BK434" s="14"/>
      <c r="BL434" s="14"/>
      <c r="BM434" s="14"/>
      <c r="BN434" s="14"/>
      <c r="BO434" s="14"/>
      <c r="BP434" s="14"/>
      <c r="BQ434" s="14"/>
      <c r="BR434" s="14"/>
      <c r="BS434" s="14"/>
      <c r="BT434" s="14"/>
      <c r="BU434" s="14"/>
      <c r="BV434" s="14"/>
      <c r="BW434" s="14"/>
      <c r="BX434" s="14"/>
      <c r="BY434" s="14"/>
      <c r="BZ434" s="14"/>
      <c r="CA434" s="14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</row>
    <row r="435" spans="1:101" ht="14.25" customHeight="1" x14ac:dyDescent="0.2">
      <c r="A435" s="286"/>
      <c r="B435" s="52">
        <v>0.16857175184152606</v>
      </c>
      <c r="C435" s="288">
        <v>0.46070172779536034</v>
      </c>
      <c r="D435" s="288">
        <v>2.540992615158888E-2</v>
      </c>
      <c r="E435" s="288">
        <v>1.6078251324781023E-2</v>
      </c>
      <c r="F435" s="289">
        <v>0.73810526394124609</v>
      </c>
      <c r="G435" s="92">
        <v>0.43453752556368985</v>
      </c>
      <c r="H435" s="288">
        <v>0.81304317956888705</v>
      </c>
      <c r="I435" s="288">
        <v>1.5978773026249504E-2</v>
      </c>
      <c r="J435" s="288">
        <v>0.99994961596170451</v>
      </c>
      <c r="K435" s="288">
        <v>0.69949296720081633</v>
      </c>
      <c r="L435" s="290">
        <v>10259.594965710763</v>
      </c>
      <c r="M435" s="288">
        <v>0</v>
      </c>
      <c r="N435" s="288">
        <v>15171.195520390789</v>
      </c>
      <c r="O435" s="288">
        <v>970.98562614018294</v>
      </c>
      <c r="P435" s="288">
        <v>39333.160184458269</v>
      </c>
      <c r="Q435" s="291">
        <v>97129.969182180314</v>
      </c>
      <c r="R435" s="288">
        <v>22951.747445318604</v>
      </c>
      <c r="S435" s="288">
        <v>8041.3647814686619</v>
      </c>
      <c r="T435" s="290">
        <v>0.751</v>
      </c>
      <c r="U435" s="288">
        <v>0.75800000000000001</v>
      </c>
      <c r="V435" s="288">
        <v>0.723923076923077</v>
      </c>
      <c r="W435" s="288">
        <v>0.72750000000000004</v>
      </c>
      <c r="X435" s="288">
        <v>0.76</v>
      </c>
      <c r="Y435" s="288">
        <v>0</v>
      </c>
      <c r="Z435" s="289">
        <v>0</v>
      </c>
      <c r="AA435" s="229"/>
      <c r="AB435" s="52">
        <v>71399.303705554528</v>
      </c>
      <c r="AC435" s="288">
        <v>2.9493222762942146</v>
      </c>
      <c r="AD435" s="288">
        <v>65616.139718675782</v>
      </c>
      <c r="AE435" s="288">
        <v>2.777822844629894</v>
      </c>
      <c r="AF435" s="288">
        <v>5783.1639868787461</v>
      </c>
      <c r="AG435" s="289">
        <v>0.17149943166432058</v>
      </c>
      <c r="AH435" s="229"/>
      <c r="AI435" s="205">
        <f t="shared" si="46"/>
        <v>223532.92392386694</v>
      </c>
      <c r="AJ435" s="205">
        <f t="shared" si="47"/>
        <v>212166.14474431364</v>
      </c>
      <c r="AK435" s="205">
        <f t="shared" si="48"/>
        <v>11366.779179553312</v>
      </c>
      <c r="AL435" s="229"/>
      <c r="AM435" s="52">
        <f t="shared" si="30"/>
        <v>1</v>
      </c>
      <c r="AN435" s="52">
        <f t="shared" si="31"/>
        <v>0</v>
      </c>
      <c r="AO435" s="52">
        <f t="shared" si="32"/>
        <v>1</v>
      </c>
      <c r="AP435" s="229"/>
      <c r="AQ435" s="3"/>
      <c r="AR435" s="3"/>
      <c r="AS435" s="3"/>
      <c r="AT435" s="3"/>
      <c r="AU435" s="229"/>
      <c r="AV435" s="318">
        <f t="shared" si="49"/>
        <v>223532.92392386694</v>
      </c>
      <c r="AW435" s="229"/>
      <c r="AX435" s="312"/>
      <c r="AY435" s="14"/>
      <c r="AZ435" s="14">
        <f t="shared" si="51"/>
        <v>5783.1639868787461</v>
      </c>
      <c r="BA435" s="14">
        <f t="shared" si="50"/>
        <v>0.17149943166432058</v>
      </c>
      <c r="BB435" s="14">
        <f t="shared" si="33"/>
        <v>33721.184558781824</v>
      </c>
      <c r="BC435" s="14"/>
      <c r="BD435" s="14"/>
      <c r="BE435" s="14"/>
      <c r="BF435" s="14"/>
      <c r="BG435" s="14"/>
      <c r="BH435" s="14"/>
      <c r="BI435" s="14"/>
      <c r="BJ435" s="14"/>
      <c r="BK435" s="14"/>
      <c r="BL435" s="14"/>
      <c r="BM435" s="14"/>
      <c r="BN435" s="14"/>
      <c r="BO435" s="14"/>
      <c r="BP435" s="14"/>
      <c r="BQ435" s="14"/>
      <c r="BR435" s="14"/>
      <c r="BS435" s="14"/>
      <c r="BT435" s="14"/>
      <c r="BU435" s="14"/>
      <c r="BV435" s="14"/>
      <c r="BW435" s="14"/>
      <c r="BX435" s="14"/>
      <c r="BY435" s="14"/>
      <c r="BZ435" s="14"/>
      <c r="CA435" s="14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</row>
    <row r="436" spans="1:101" ht="14.25" customHeight="1" x14ac:dyDescent="0.2">
      <c r="A436" s="286"/>
      <c r="B436" s="52">
        <v>0.15275807584567438</v>
      </c>
      <c r="C436" s="288">
        <v>2.0621609054543265E-2</v>
      </c>
      <c r="D436" s="288">
        <v>1.3557774419944773E-2</v>
      </c>
      <c r="E436" s="288">
        <v>2.0132076816111399E-2</v>
      </c>
      <c r="F436" s="289">
        <v>0.80122497208606891</v>
      </c>
      <c r="G436" s="92">
        <v>0.43876573791686913</v>
      </c>
      <c r="H436" s="288">
        <v>0.53157623139359034</v>
      </c>
      <c r="I436" s="288">
        <v>2.8882822178148859E-2</v>
      </c>
      <c r="J436" s="288">
        <v>0.99999999950173124</v>
      </c>
      <c r="K436" s="288">
        <v>0.76709336296863184</v>
      </c>
      <c r="L436" s="290">
        <v>11861.936803509729</v>
      </c>
      <c r="M436" s="288">
        <v>0</v>
      </c>
      <c r="N436" s="288">
        <v>20887.165131173642</v>
      </c>
      <c r="O436" s="288">
        <v>1527.5920402042227</v>
      </c>
      <c r="P436" s="288">
        <v>56481.475939522854</v>
      </c>
      <c r="Q436" s="291">
        <v>102859.88170829417</v>
      </c>
      <c r="R436" s="288">
        <v>24415.049199548139</v>
      </c>
      <c r="S436" s="288">
        <v>9868.3352529807344</v>
      </c>
      <c r="T436" s="290">
        <v>0.751</v>
      </c>
      <c r="U436" s="288">
        <v>0.75800000000000001</v>
      </c>
      <c r="V436" s="288">
        <v>0.723923076923077</v>
      </c>
      <c r="W436" s="288">
        <v>0.72750000000000004</v>
      </c>
      <c r="X436" s="288">
        <v>0.76</v>
      </c>
      <c r="Y436" s="288">
        <v>0</v>
      </c>
      <c r="Z436" s="289">
        <v>0</v>
      </c>
      <c r="AA436" s="229"/>
      <c r="AB436" s="52">
        <v>90683.41689773291</v>
      </c>
      <c r="AC436" s="288">
        <v>3.2411980570812489</v>
      </c>
      <c r="AD436" s="288">
        <v>83974.604696015987</v>
      </c>
      <c r="AE436" s="288">
        <v>3.0871460499495527</v>
      </c>
      <c r="AF436" s="288">
        <v>6708.8122017169226</v>
      </c>
      <c r="AG436" s="289">
        <v>0.1540520071316962</v>
      </c>
      <c r="AH436" s="229"/>
      <c r="AI436" s="205">
        <f t="shared" si="46"/>
        <v>233436.38881039197</v>
      </c>
      <c r="AJ436" s="205">
        <f t="shared" si="47"/>
        <v>224740.00029893924</v>
      </c>
      <c r="AK436" s="205">
        <f t="shared" si="48"/>
        <v>8696.3885114526965</v>
      </c>
      <c r="AL436" s="229"/>
      <c r="AM436" s="52">
        <f t="shared" si="30"/>
        <v>1</v>
      </c>
      <c r="AN436" s="52">
        <f t="shared" si="31"/>
        <v>0</v>
      </c>
      <c r="AO436" s="52">
        <f t="shared" si="32"/>
        <v>1</v>
      </c>
      <c r="AP436" s="229"/>
      <c r="AQ436" s="3"/>
      <c r="AR436" s="3"/>
      <c r="AS436" s="3"/>
      <c r="AT436" s="3"/>
      <c r="AU436" s="229"/>
      <c r="AV436" s="318">
        <f t="shared" si="49"/>
        <v>233436.38881039197</v>
      </c>
      <c r="AW436" s="229"/>
      <c r="AX436" s="312"/>
      <c r="AY436" s="14"/>
      <c r="AZ436" s="14">
        <f t="shared" si="51"/>
        <v>6708.8122017169226</v>
      </c>
      <c r="BA436" s="14">
        <f t="shared" si="50"/>
        <v>0.1540520071316962</v>
      </c>
      <c r="BB436" s="14">
        <f t="shared" si="33"/>
        <v>43549.008718735378</v>
      </c>
      <c r="BC436" s="14"/>
      <c r="BD436" s="14"/>
      <c r="BE436" s="14"/>
      <c r="BF436" s="14"/>
      <c r="BG436" s="14"/>
      <c r="BH436" s="14"/>
      <c r="BI436" s="14"/>
      <c r="BJ436" s="14"/>
      <c r="BK436" s="14"/>
      <c r="BL436" s="14"/>
      <c r="BM436" s="14"/>
      <c r="BN436" s="14"/>
      <c r="BO436" s="14"/>
      <c r="BP436" s="14"/>
      <c r="BQ436" s="14"/>
      <c r="BR436" s="14"/>
      <c r="BS436" s="14"/>
      <c r="BT436" s="14"/>
      <c r="BU436" s="14"/>
      <c r="BV436" s="14"/>
      <c r="BW436" s="14"/>
      <c r="BX436" s="14"/>
      <c r="BY436" s="14"/>
      <c r="BZ436" s="14"/>
      <c r="CA436" s="14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</row>
    <row r="437" spans="1:101" ht="14.25" customHeight="1" x14ac:dyDescent="0.2">
      <c r="A437" s="286"/>
      <c r="B437" s="52">
        <v>0.14424996715298979</v>
      </c>
      <c r="C437" s="288">
        <v>1.6817825153258515E-2</v>
      </c>
      <c r="D437" s="288">
        <v>1.6688334570794772E-2</v>
      </c>
      <c r="E437" s="288">
        <v>2.5225122632974273E-2</v>
      </c>
      <c r="F437" s="289">
        <v>0.79378621413141837</v>
      </c>
      <c r="G437" s="92">
        <v>0.40969106345672546</v>
      </c>
      <c r="H437" s="288">
        <v>0.77513871872075724</v>
      </c>
      <c r="I437" s="288">
        <v>1.6141264167522706E-2</v>
      </c>
      <c r="J437" s="288">
        <v>1</v>
      </c>
      <c r="K437" s="288">
        <v>0.74859996104661986</v>
      </c>
      <c r="L437" s="290">
        <v>13020.730470466846</v>
      </c>
      <c r="M437" s="288">
        <v>0</v>
      </c>
      <c r="N437" s="288">
        <v>12031.896752326804</v>
      </c>
      <c r="O437" s="288">
        <v>1122.4697676943508</v>
      </c>
      <c r="P437" s="288">
        <v>23932.495380358974</v>
      </c>
      <c r="Q437" s="291">
        <v>101291.97851824695</v>
      </c>
      <c r="R437" s="288">
        <v>33241.866318820561</v>
      </c>
      <c r="S437" s="288">
        <v>10800.012085070248</v>
      </c>
      <c r="T437" s="290">
        <v>0.751</v>
      </c>
      <c r="U437" s="288">
        <v>0.75800000000000001</v>
      </c>
      <c r="V437" s="288">
        <v>0.723923076923077</v>
      </c>
      <c r="W437" s="288">
        <v>0.72750000000000004</v>
      </c>
      <c r="X437" s="288">
        <v>0.76</v>
      </c>
      <c r="Y437" s="288">
        <v>0</v>
      </c>
      <c r="Z437" s="289">
        <v>0</v>
      </c>
      <c r="AA437" s="229"/>
      <c r="AB437" s="52">
        <v>98400.625606521018</v>
      </c>
      <c r="AC437" s="288">
        <v>3.2064751981973845</v>
      </c>
      <c r="AD437" s="288">
        <v>92376.195922868821</v>
      </c>
      <c r="AE437" s="288">
        <v>3.0018089361879481</v>
      </c>
      <c r="AF437" s="288">
        <v>6024.4296836521971</v>
      </c>
      <c r="AG437" s="289">
        <v>0.20466626200943638</v>
      </c>
      <c r="AH437" s="229"/>
      <c r="AI437" s="205">
        <f t="shared" si="46"/>
        <v>222246.89421321743</v>
      </c>
      <c r="AJ437" s="205">
        <f t="shared" si="47"/>
        <v>207804.69769592598</v>
      </c>
      <c r="AK437" s="205">
        <f t="shared" si="48"/>
        <v>14442.196517291442</v>
      </c>
      <c r="AL437" s="229"/>
      <c r="AM437" s="52">
        <f t="shared" si="30"/>
        <v>1</v>
      </c>
      <c r="AN437" s="52">
        <f t="shared" si="31"/>
        <v>0</v>
      </c>
      <c r="AO437" s="52">
        <f t="shared" si="32"/>
        <v>1</v>
      </c>
      <c r="AP437" s="229"/>
      <c r="AQ437" s="3"/>
      <c r="AR437" s="3"/>
      <c r="AS437" s="3"/>
      <c r="AT437" s="3"/>
      <c r="AU437" s="229"/>
      <c r="AV437" s="318">
        <f t="shared" si="49"/>
        <v>222246.89421321743</v>
      </c>
      <c r="AW437" s="229"/>
      <c r="AX437" s="312"/>
      <c r="AY437" s="14"/>
      <c r="AZ437" s="14">
        <f t="shared" si="51"/>
        <v>6024.4296836521971</v>
      </c>
      <c r="BA437" s="14">
        <f t="shared" si="50"/>
        <v>0.20466626200943638</v>
      </c>
      <c r="BB437" s="14">
        <f t="shared" si="33"/>
        <v>29435.382385468267</v>
      </c>
      <c r="BC437" s="14"/>
      <c r="BD437" s="14"/>
      <c r="BE437" s="14"/>
      <c r="BF437" s="14"/>
      <c r="BG437" s="14"/>
      <c r="BH437" s="14"/>
      <c r="BI437" s="14"/>
      <c r="BJ437" s="14"/>
      <c r="BK437" s="14"/>
      <c r="BL437" s="14"/>
      <c r="BM437" s="14"/>
      <c r="BN437" s="14"/>
      <c r="BO437" s="14"/>
      <c r="BP437" s="14"/>
      <c r="BQ437" s="14"/>
      <c r="BR437" s="14"/>
      <c r="BS437" s="14"/>
      <c r="BT437" s="14"/>
      <c r="BU437" s="14"/>
      <c r="BV437" s="14"/>
      <c r="BW437" s="14"/>
      <c r="BX437" s="14"/>
      <c r="BY437" s="14"/>
      <c r="BZ437" s="14"/>
      <c r="CA437" s="14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</row>
    <row r="438" spans="1:101" ht="14.25" customHeight="1" x14ac:dyDescent="0.2">
      <c r="A438" s="286"/>
      <c r="B438" s="52">
        <v>0.16435183115244123</v>
      </c>
      <c r="C438" s="288">
        <v>2.3836391013482955E-3</v>
      </c>
      <c r="D438" s="288">
        <v>7.7073426981253326E-3</v>
      </c>
      <c r="E438" s="288">
        <v>2.823344580996312E-2</v>
      </c>
      <c r="F438" s="289">
        <v>0.72523429946091644</v>
      </c>
      <c r="G438" s="92">
        <v>0.40608664119957461</v>
      </c>
      <c r="H438" s="288">
        <v>0.70537020265641304</v>
      </c>
      <c r="I438" s="288">
        <v>5.010004668021018E-3</v>
      </c>
      <c r="J438" s="288">
        <v>0.11843066945650148</v>
      </c>
      <c r="K438" s="288">
        <v>0.78018937971154045</v>
      </c>
      <c r="L438" s="290">
        <v>13858.973135696764</v>
      </c>
      <c r="M438" s="288">
        <v>0</v>
      </c>
      <c r="N438" s="288">
        <v>20240.488105272132</v>
      </c>
      <c r="O438" s="288">
        <v>1354.9609924190388</v>
      </c>
      <c r="P438" s="288">
        <v>45768.330381676453</v>
      </c>
      <c r="Q438" s="291">
        <v>61078.178526695097</v>
      </c>
      <c r="R438" s="288">
        <v>25466.307783719134</v>
      </c>
      <c r="S438" s="288">
        <v>6936.5139692756366</v>
      </c>
      <c r="T438" s="290">
        <v>0.751</v>
      </c>
      <c r="U438" s="288">
        <v>0.75800000000000001</v>
      </c>
      <c r="V438" s="288">
        <v>0.723923076923077</v>
      </c>
      <c r="W438" s="288">
        <v>0.72750000000000004</v>
      </c>
      <c r="X438" s="288">
        <v>0.76</v>
      </c>
      <c r="Y438" s="288">
        <v>0</v>
      </c>
      <c r="Z438" s="289">
        <v>0</v>
      </c>
      <c r="AA438" s="229"/>
      <c r="AB438" s="52">
        <v>63985.786469998522</v>
      </c>
      <c r="AC438" s="288">
        <v>2.8905719003017181</v>
      </c>
      <c r="AD438" s="288">
        <v>61912.533509175228</v>
      </c>
      <c r="AE438" s="288">
        <v>3.1479031748188349</v>
      </c>
      <c r="AF438" s="288">
        <v>2073.2529608232944</v>
      </c>
      <c r="AG438" s="289">
        <v>-0.25733127451711679</v>
      </c>
      <c r="AH438" s="229"/>
      <c r="AI438" s="205">
        <f t="shared" si="46"/>
        <v>225071.40356017329</v>
      </c>
      <c r="AJ438" s="205">
        <f t="shared" si="47"/>
        <v>252877.78397270828</v>
      </c>
      <c r="AK438" s="205">
        <f t="shared" si="48"/>
        <v>-27806.380412534974</v>
      </c>
      <c r="AL438" s="229"/>
      <c r="AM438" s="52">
        <f t="shared" si="30"/>
        <v>0</v>
      </c>
      <c r="AN438" s="52">
        <f t="shared" si="31"/>
        <v>1</v>
      </c>
      <c r="AO438" s="52">
        <f t="shared" si="32"/>
        <v>0</v>
      </c>
      <c r="AP438" s="229"/>
      <c r="AQ438" s="3"/>
      <c r="AR438" s="3"/>
      <c r="AS438" s="3"/>
      <c r="AT438" s="3"/>
      <c r="AU438" s="229"/>
      <c r="AV438" s="318">
        <f t="shared" si="49"/>
        <v>252877.78397270828</v>
      </c>
      <c r="AW438" s="229"/>
      <c r="AX438" s="312"/>
      <c r="AY438" s="14"/>
      <c r="AZ438" s="14">
        <f t="shared" si="51"/>
        <v>2073.2529608232944</v>
      </c>
      <c r="BA438" s="14">
        <f t="shared" si="50"/>
        <v>-0.25733127451711679</v>
      </c>
      <c r="BB438" s="14">
        <f t="shared" si="33"/>
        <v>-8056.7469489037512</v>
      </c>
      <c r="BC438" s="14"/>
      <c r="BD438" s="14"/>
      <c r="BE438" s="14"/>
      <c r="BF438" s="14"/>
      <c r="BG438" s="14"/>
      <c r="BH438" s="14"/>
      <c r="BI438" s="14"/>
      <c r="BJ438" s="14"/>
      <c r="BK438" s="14"/>
      <c r="BL438" s="14"/>
      <c r="BM438" s="14"/>
      <c r="BN438" s="14"/>
      <c r="BO438" s="14"/>
      <c r="BP438" s="14"/>
      <c r="BQ438" s="14"/>
      <c r="BR438" s="14"/>
      <c r="BS438" s="14"/>
      <c r="BT438" s="14"/>
      <c r="BU438" s="14"/>
      <c r="BV438" s="14"/>
      <c r="BW438" s="14"/>
      <c r="BX438" s="14"/>
      <c r="BY438" s="14"/>
      <c r="BZ438" s="14"/>
      <c r="CA438" s="14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</row>
    <row r="439" spans="1:101" ht="14.25" customHeight="1" x14ac:dyDescent="0.2">
      <c r="A439" s="286"/>
      <c r="B439" s="52">
        <v>0.16541464735691935</v>
      </c>
      <c r="C439" s="288">
        <v>7.2386930925738474E-2</v>
      </c>
      <c r="D439" s="288">
        <v>2.2367192506417499E-2</v>
      </c>
      <c r="E439" s="288">
        <v>1.2873016561606904E-2</v>
      </c>
      <c r="F439" s="289">
        <v>0.79298504864862918</v>
      </c>
      <c r="G439" s="92">
        <v>0.34540831821089091</v>
      </c>
      <c r="H439" s="288">
        <v>0.64505234941645462</v>
      </c>
      <c r="I439" s="288">
        <v>1.3043895062828706E-2</v>
      </c>
      <c r="J439" s="288">
        <v>0.99572198429618652</v>
      </c>
      <c r="K439" s="288">
        <v>0.79245462842424197</v>
      </c>
      <c r="L439" s="290">
        <v>11168.078383574231</v>
      </c>
      <c r="M439" s="288">
        <v>0</v>
      </c>
      <c r="N439" s="288">
        <v>26772.245273780023</v>
      </c>
      <c r="O439" s="288">
        <v>1669.1364885164696</v>
      </c>
      <c r="P439" s="288">
        <v>49387.743637933985</v>
      </c>
      <c r="Q439" s="291">
        <v>143132.09993563901</v>
      </c>
      <c r="R439" s="288">
        <v>28432.422237450846</v>
      </c>
      <c r="S439" s="288">
        <v>7281.0919539662709</v>
      </c>
      <c r="T439" s="290">
        <v>0.751</v>
      </c>
      <c r="U439" s="288">
        <v>0.75800000000000001</v>
      </c>
      <c r="V439" s="288">
        <v>0.723923076923077</v>
      </c>
      <c r="W439" s="288">
        <v>0.72750000000000004</v>
      </c>
      <c r="X439" s="288">
        <v>0.76</v>
      </c>
      <c r="Y439" s="288">
        <v>0</v>
      </c>
      <c r="Z439" s="289">
        <v>0</v>
      </c>
      <c r="AA439" s="229"/>
      <c r="AB439" s="52">
        <v>69491.608000933033</v>
      </c>
      <c r="AC439" s="288">
        <v>3.2027406710369926</v>
      </c>
      <c r="AD439" s="288">
        <v>65359.812475646497</v>
      </c>
      <c r="AE439" s="288">
        <v>3.2050512243594058</v>
      </c>
      <c r="AF439" s="288">
        <v>4131.7955252865358</v>
      </c>
      <c r="AG439" s="289">
        <v>-2.3105533224132557E-3</v>
      </c>
      <c r="AH439" s="229"/>
      <c r="AI439" s="205">
        <f t="shared" si="46"/>
        <v>250782.45910276624</v>
      </c>
      <c r="AJ439" s="205">
        <f t="shared" si="47"/>
        <v>255145.30996029411</v>
      </c>
      <c r="AK439" s="205">
        <f t="shared" si="48"/>
        <v>-4362.8508575278611</v>
      </c>
      <c r="AL439" s="229"/>
      <c r="AM439" s="52">
        <f t="shared" si="30"/>
        <v>0</v>
      </c>
      <c r="AN439" s="52">
        <f t="shared" si="31"/>
        <v>1</v>
      </c>
      <c r="AO439" s="52">
        <f t="shared" si="32"/>
        <v>0</v>
      </c>
      <c r="AP439" s="229"/>
      <c r="AQ439" s="3"/>
      <c r="AR439" s="3"/>
      <c r="AS439" s="3"/>
      <c r="AT439" s="3"/>
      <c r="AU439" s="229"/>
      <c r="AV439" s="318">
        <f t="shared" si="49"/>
        <v>255145.30996029411</v>
      </c>
      <c r="AW439" s="229"/>
      <c r="AX439" s="312"/>
      <c r="AY439" s="14"/>
      <c r="AZ439" s="14">
        <f t="shared" si="51"/>
        <v>4131.7955252865358</v>
      </c>
      <c r="BA439" s="14">
        <f t="shared" si="50"/>
        <v>-2.3105533224132557E-3</v>
      </c>
      <c r="BB439" s="14">
        <f t="shared" si="33"/>
        <v>-1788227.731083516</v>
      </c>
      <c r="BC439" s="14"/>
      <c r="BD439" s="14"/>
      <c r="BE439" s="14"/>
      <c r="BF439" s="14"/>
      <c r="BG439" s="14"/>
      <c r="BH439" s="14"/>
      <c r="BI439" s="14"/>
      <c r="BJ439" s="14"/>
      <c r="BK439" s="14"/>
      <c r="BL439" s="14"/>
      <c r="BM439" s="14"/>
      <c r="BN439" s="14"/>
      <c r="BO439" s="14"/>
      <c r="BP439" s="14"/>
      <c r="BQ439" s="14"/>
      <c r="BR439" s="14"/>
      <c r="BS439" s="14"/>
      <c r="BT439" s="14"/>
      <c r="BU439" s="14"/>
      <c r="BV439" s="14"/>
      <c r="BW439" s="14"/>
      <c r="BX439" s="14"/>
      <c r="BY439" s="14"/>
      <c r="BZ439" s="14"/>
      <c r="CA439" s="14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</row>
    <row r="440" spans="1:101" ht="14.25" customHeight="1" x14ac:dyDescent="0.2">
      <c r="A440" s="286"/>
      <c r="B440" s="52">
        <v>0.13797108014838261</v>
      </c>
      <c r="C440" s="288">
        <v>0.21251241515859087</v>
      </c>
      <c r="D440" s="288">
        <v>6.7381651367660021E-3</v>
      </c>
      <c r="E440" s="288">
        <v>1.0696910397707352E-2</v>
      </c>
      <c r="F440" s="289">
        <v>0.73833697906448525</v>
      </c>
      <c r="G440" s="92">
        <v>0.37087160017622528</v>
      </c>
      <c r="H440" s="288">
        <v>0.99665205873100005</v>
      </c>
      <c r="I440" s="288">
        <v>1.1195090062419914E-2</v>
      </c>
      <c r="J440" s="288">
        <v>0.99999999968608777</v>
      </c>
      <c r="K440" s="288">
        <v>0.78393293003620679</v>
      </c>
      <c r="L440" s="290">
        <v>12016.302667965947</v>
      </c>
      <c r="M440" s="288">
        <v>0</v>
      </c>
      <c r="N440" s="288">
        <v>17357.891928674264</v>
      </c>
      <c r="O440" s="288">
        <v>960.50214439565002</v>
      </c>
      <c r="P440" s="288">
        <v>44997.085861999898</v>
      </c>
      <c r="Q440" s="291">
        <v>99201.475423446609</v>
      </c>
      <c r="R440" s="288">
        <v>25776.606696704705</v>
      </c>
      <c r="S440" s="288">
        <v>7063.164131270647</v>
      </c>
      <c r="T440" s="290">
        <v>0.751</v>
      </c>
      <c r="U440" s="288">
        <v>0.75800000000000001</v>
      </c>
      <c r="V440" s="288">
        <v>0.723923076923077</v>
      </c>
      <c r="W440" s="288">
        <v>0.72750000000000004</v>
      </c>
      <c r="X440" s="288">
        <v>0.76</v>
      </c>
      <c r="Y440" s="288">
        <v>0</v>
      </c>
      <c r="Z440" s="289">
        <v>0</v>
      </c>
      <c r="AA440" s="229"/>
      <c r="AB440" s="52">
        <v>64637.826783832577</v>
      </c>
      <c r="AC440" s="288">
        <v>2.950382336484771</v>
      </c>
      <c r="AD440" s="288">
        <v>65683.791968338119</v>
      </c>
      <c r="AE440" s="288">
        <v>3.1653205324199267</v>
      </c>
      <c r="AF440" s="288">
        <v>-1045.9651845055414</v>
      </c>
      <c r="AG440" s="289">
        <v>-0.21493819593515573</v>
      </c>
      <c r="AH440" s="229"/>
      <c r="AI440" s="205">
        <f t="shared" si="46"/>
        <v>230400.40686464455</v>
      </c>
      <c r="AJ440" s="205">
        <f t="shared" si="47"/>
        <v>250848.26127365453</v>
      </c>
      <c r="AK440" s="205">
        <f t="shared" si="48"/>
        <v>-20447.854409010033</v>
      </c>
      <c r="AL440" s="229"/>
      <c r="AM440" s="52">
        <f t="shared" si="30"/>
        <v>0</v>
      </c>
      <c r="AN440" s="52">
        <f t="shared" si="31"/>
        <v>1</v>
      </c>
      <c r="AO440" s="52">
        <f t="shared" si="32"/>
        <v>0</v>
      </c>
      <c r="AP440" s="229"/>
      <c r="AQ440" s="3"/>
      <c r="AR440" s="3"/>
      <c r="AS440" s="3"/>
      <c r="AT440" s="3"/>
      <c r="AU440" s="229"/>
      <c r="AV440" s="318">
        <f t="shared" si="49"/>
        <v>250848.26127365453</v>
      </c>
      <c r="AW440" s="229"/>
      <c r="AX440" s="312"/>
      <c r="AY440" s="14"/>
      <c r="AZ440" s="14">
        <f t="shared" si="51"/>
        <v>-1045.9651845055414</v>
      </c>
      <c r="BA440" s="14">
        <f t="shared" si="50"/>
        <v>-0.21493819593515573</v>
      </c>
      <c r="BB440" s="14">
        <f t="shared" si="33"/>
        <v>4866.3532321686398</v>
      </c>
      <c r="BC440" s="14"/>
      <c r="BD440" s="14"/>
      <c r="BE440" s="14"/>
      <c r="BF440" s="14"/>
      <c r="BG440" s="14"/>
      <c r="BH440" s="14"/>
      <c r="BI440" s="14"/>
      <c r="BJ440" s="14"/>
      <c r="BK440" s="14"/>
      <c r="BL440" s="14"/>
      <c r="BM440" s="14"/>
      <c r="BN440" s="14"/>
      <c r="BO440" s="14"/>
      <c r="BP440" s="14"/>
      <c r="BQ440" s="14"/>
      <c r="BR440" s="14"/>
      <c r="BS440" s="14"/>
      <c r="BT440" s="14"/>
      <c r="BU440" s="14"/>
      <c r="BV440" s="14"/>
      <c r="BW440" s="14"/>
      <c r="BX440" s="14"/>
      <c r="BY440" s="14"/>
      <c r="BZ440" s="14"/>
      <c r="CA440" s="14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</row>
    <row r="441" spans="1:101" ht="14.25" customHeight="1" x14ac:dyDescent="0.2">
      <c r="A441" s="286"/>
      <c r="B441" s="52">
        <v>0.15269860048937023</v>
      </c>
      <c r="C441" s="288">
        <v>0.41831484738782843</v>
      </c>
      <c r="D441" s="288">
        <v>7.7713183909556317E-3</v>
      </c>
      <c r="E441" s="288">
        <v>1.6576764605937266E-2</v>
      </c>
      <c r="F441" s="289">
        <v>0.78319352744809823</v>
      </c>
      <c r="G441" s="92">
        <v>0.46234461904069191</v>
      </c>
      <c r="H441" s="288">
        <v>2.1415758484757113E-3</v>
      </c>
      <c r="I441" s="288">
        <v>1.060876334311984E-2</v>
      </c>
      <c r="J441" s="288">
        <v>0.92994767341657869</v>
      </c>
      <c r="K441" s="288">
        <v>0.7743673737672454</v>
      </c>
      <c r="L441" s="290">
        <v>7990.9093363482916</v>
      </c>
      <c r="M441" s="288">
        <v>0</v>
      </c>
      <c r="N441" s="288">
        <v>20727.264327885638</v>
      </c>
      <c r="O441" s="288">
        <v>1180.9761635312134</v>
      </c>
      <c r="P441" s="288">
        <v>37237.602953306799</v>
      </c>
      <c r="Q441" s="291">
        <v>80088.74971131637</v>
      </c>
      <c r="R441" s="288">
        <v>25946.250944033076</v>
      </c>
      <c r="S441" s="288">
        <v>9280.705126149549</v>
      </c>
      <c r="T441" s="290">
        <v>0.751</v>
      </c>
      <c r="U441" s="288">
        <v>0.75800000000000001</v>
      </c>
      <c r="V441" s="288">
        <v>0.723923076923077</v>
      </c>
      <c r="W441" s="288">
        <v>0.72750000000000004</v>
      </c>
      <c r="X441" s="288">
        <v>0.76</v>
      </c>
      <c r="Y441" s="288">
        <v>0</v>
      </c>
      <c r="Z441" s="289">
        <v>0</v>
      </c>
      <c r="AA441" s="229"/>
      <c r="AB441" s="52">
        <v>81900.40362985876</v>
      </c>
      <c r="AC441" s="288">
        <v>3.1571801284897218</v>
      </c>
      <c r="AD441" s="288">
        <v>72944.149294002855</v>
      </c>
      <c r="AE441" s="288">
        <v>3.1208594218055588</v>
      </c>
      <c r="AF441" s="288">
        <v>8956.2543358559051</v>
      </c>
      <c r="AG441" s="289">
        <v>3.6320706684163095E-2</v>
      </c>
      <c r="AH441" s="229"/>
      <c r="AI441" s="205">
        <f t="shared" si="46"/>
        <v>233817.60921911342</v>
      </c>
      <c r="AJ441" s="205">
        <f t="shared" si="47"/>
        <v>239141.79288655304</v>
      </c>
      <c r="AK441" s="205">
        <f t="shared" si="48"/>
        <v>-5324.1836674395954</v>
      </c>
      <c r="AL441" s="229"/>
      <c r="AM441" s="52">
        <f t="shared" si="30"/>
        <v>0</v>
      </c>
      <c r="AN441" s="52">
        <f t="shared" si="31"/>
        <v>1</v>
      </c>
      <c r="AO441" s="52">
        <f t="shared" si="32"/>
        <v>0</v>
      </c>
      <c r="AP441" s="229"/>
      <c r="AQ441" s="3"/>
      <c r="AR441" s="3"/>
      <c r="AS441" s="3"/>
      <c r="AT441" s="3"/>
      <c r="AU441" s="229"/>
      <c r="AV441" s="318">
        <f t="shared" si="49"/>
        <v>239141.79288655304</v>
      </c>
      <c r="AW441" s="229"/>
      <c r="AX441" s="312"/>
      <c r="AY441" s="14"/>
      <c r="AZ441" s="14">
        <f t="shared" si="51"/>
        <v>8956.2543358559051</v>
      </c>
      <c r="BA441" s="14">
        <f t="shared" si="50"/>
        <v>3.6320706684163095E-2</v>
      </c>
      <c r="BB441" s="14">
        <f t="shared" si="33"/>
        <v>246588.10781787726</v>
      </c>
      <c r="BC441" s="14"/>
      <c r="BD441" s="14"/>
      <c r="BE441" s="14"/>
      <c r="BF441" s="14"/>
      <c r="BG441" s="14"/>
      <c r="BH441" s="14"/>
      <c r="BI441" s="14"/>
      <c r="BJ441" s="14"/>
      <c r="BK441" s="14"/>
      <c r="BL441" s="14"/>
      <c r="BM441" s="14"/>
      <c r="BN441" s="14"/>
      <c r="BO441" s="14"/>
      <c r="BP441" s="14"/>
      <c r="BQ441" s="14"/>
      <c r="BR441" s="14"/>
      <c r="BS441" s="14"/>
      <c r="BT441" s="14"/>
      <c r="BU441" s="14"/>
      <c r="BV441" s="14"/>
      <c r="BW441" s="14"/>
      <c r="BX441" s="14"/>
      <c r="BY441" s="14"/>
      <c r="BZ441" s="14"/>
      <c r="CA441" s="14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</row>
    <row r="442" spans="1:101" ht="14.25" customHeight="1" x14ac:dyDescent="0.2">
      <c r="A442" s="286"/>
      <c r="B442" s="52">
        <v>0.2088540037334381</v>
      </c>
      <c r="C442" s="288">
        <v>0.49920320718264433</v>
      </c>
      <c r="D442" s="288">
        <v>1.2109485359727357E-2</v>
      </c>
      <c r="E442" s="288">
        <v>1.397291359657141E-2</v>
      </c>
      <c r="F442" s="289">
        <v>0.8094296067200637</v>
      </c>
      <c r="G442" s="92">
        <v>0.36881306004134545</v>
      </c>
      <c r="H442" s="288">
        <v>0.36047497230552145</v>
      </c>
      <c r="I442" s="288">
        <v>3.8501817331834887E-2</v>
      </c>
      <c r="J442" s="288">
        <v>0.21098338616607051</v>
      </c>
      <c r="K442" s="288">
        <v>0.76007447026438713</v>
      </c>
      <c r="L442" s="290">
        <v>12597.867853413009</v>
      </c>
      <c r="M442" s="288">
        <v>0</v>
      </c>
      <c r="N442" s="288">
        <v>18856.232001911489</v>
      </c>
      <c r="O442" s="288">
        <v>1211.8036951390404</v>
      </c>
      <c r="P442" s="288">
        <v>40452.441257644503</v>
      </c>
      <c r="Q442" s="291">
        <v>75228.025995085889</v>
      </c>
      <c r="R442" s="288">
        <v>27930.147132819133</v>
      </c>
      <c r="S442" s="288">
        <v>9150.5499420315027</v>
      </c>
      <c r="T442" s="290">
        <v>0.751</v>
      </c>
      <c r="U442" s="288">
        <v>0.75800000000000001</v>
      </c>
      <c r="V442" s="288">
        <v>0.723923076923077</v>
      </c>
      <c r="W442" s="288">
        <v>0.72750000000000004</v>
      </c>
      <c r="X442" s="288">
        <v>0.76</v>
      </c>
      <c r="Y442" s="288">
        <v>0</v>
      </c>
      <c r="Z442" s="289">
        <v>0</v>
      </c>
      <c r="AA442" s="229"/>
      <c r="AB442" s="52">
        <v>89298.84487504272</v>
      </c>
      <c r="AC442" s="288">
        <v>3.2795965554137121</v>
      </c>
      <c r="AD442" s="288">
        <v>74814.210518964799</v>
      </c>
      <c r="AE442" s="288">
        <v>3.0546941569337456</v>
      </c>
      <c r="AF442" s="288">
        <v>14484.634356077921</v>
      </c>
      <c r="AG442" s="289">
        <v>0.22490239847996651</v>
      </c>
      <c r="AH442" s="229"/>
      <c r="AI442" s="205">
        <f t="shared" si="46"/>
        <v>238660.81066632847</v>
      </c>
      <c r="AJ442" s="205">
        <f t="shared" si="47"/>
        <v>230655.20517440978</v>
      </c>
      <c r="AK442" s="205">
        <f t="shared" si="48"/>
        <v>8005.60549191873</v>
      </c>
      <c r="AL442" s="229"/>
      <c r="AM442" s="52">
        <f t="shared" si="30"/>
        <v>1</v>
      </c>
      <c r="AN442" s="52">
        <f t="shared" si="31"/>
        <v>0</v>
      </c>
      <c r="AO442" s="52">
        <f t="shared" si="32"/>
        <v>1</v>
      </c>
      <c r="AP442" s="229"/>
      <c r="AQ442" s="3"/>
      <c r="AR442" s="3"/>
      <c r="AS442" s="3"/>
      <c r="AT442" s="3"/>
      <c r="AU442" s="229"/>
      <c r="AV442" s="318">
        <f t="shared" si="49"/>
        <v>238660.81066632847</v>
      </c>
      <c r="AW442" s="229"/>
      <c r="AX442" s="312"/>
      <c r="AY442" s="14"/>
      <c r="AZ442" s="14">
        <f t="shared" si="51"/>
        <v>14484.634356077921</v>
      </c>
      <c r="BA442" s="14">
        <f t="shared" si="50"/>
        <v>0.22490239847996651</v>
      </c>
      <c r="BB442" s="14">
        <f t="shared" si="33"/>
        <v>64404.090191897885</v>
      </c>
      <c r="BC442" s="14"/>
      <c r="BD442" s="14"/>
      <c r="BE442" s="14"/>
      <c r="BF442" s="14"/>
      <c r="BG442" s="14"/>
      <c r="BH442" s="14"/>
      <c r="BI442" s="14"/>
      <c r="BJ442" s="14"/>
      <c r="BK442" s="14"/>
      <c r="BL442" s="14"/>
      <c r="BM442" s="14"/>
      <c r="BN442" s="14"/>
      <c r="BO442" s="14"/>
      <c r="BP442" s="14"/>
      <c r="BQ442" s="14"/>
      <c r="BR442" s="14"/>
      <c r="BS442" s="14"/>
      <c r="BT442" s="14"/>
      <c r="BU442" s="14"/>
      <c r="BV442" s="14"/>
      <c r="BW442" s="14"/>
      <c r="BX442" s="14"/>
      <c r="BY442" s="14"/>
      <c r="BZ442" s="14"/>
      <c r="CA442" s="14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</row>
    <row r="443" spans="1:101" ht="14.25" customHeight="1" x14ac:dyDescent="0.2">
      <c r="A443" s="286"/>
      <c r="B443" s="52">
        <v>0.1432922695841925</v>
      </c>
      <c r="C443" s="288">
        <v>0.33890544080736418</v>
      </c>
      <c r="D443" s="288">
        <v>7.0193178993677762E-3</v>
      </c>
      <c r="E443" s="288">
        <v>1.2353480002273308E-2</v>
      </c>
      <c r="F443" s="289">
        <v>0.79930622244265837</v>
      </c>
      <c r="G443" s="92">
        <v>0.42390010687639934</v>
      </c>
      <c r="H443" s="288">
        <v>0.79196761028386042</v>
      </c>
      <c r="I443" s="288">
        <v>1.7125583875354566E-2</v>
      </c>
      <c r="J443" s="288">
        <v>0.47136540350398193</v>
      </c>
      <c r="K443" s="288">
        <v>0.73927132845281318</v>
      </c>
      <c r="L443" s="290">
        <v>13718.663000402999</v>
      </c>
      <c r="M443" s="288">
        <v>0</v>
      </c>
      <c r="N443" s="288">
        <v>15332.466872744762</v>
      </c>
      <c r="O443" s="288">
        <v>1137.2635705059242</v>
      </c>
      <c r="P443" s="288">
        <v>39668.223488947362</v>
      </c>
      <c r="Q443" s="291">
        <v>130587.04285600447</v>
      </c>
      <c r="R443" s="288">
        <v>18955.346751779969</v>
      </c>
      <c r="S443" s="288">
        <v>9649.1783878671959</v>
      </c>
      <c r="T443" s="290">
        <v>0.751</v>
      </c>
      <c r="U443" s="288">
        <v>0.75800000000000001</v>
      </c>
      <c r="V443" s="288">
        <v>0.723923076923077</v>
      </c>
      <c r="W443" s="288">
        <v>0.72750000000000004</v>
      </c>
      <c r="X443" s="288">
        <v>0.76</v>
      </c>
      <c r="Y443" s="288">
        <v>0</v>
      </c>
      <c r="Z443" s="289">
        <v>0</v>
      </c>
      <c r="AA443" s="229"/>
      <c r="AB443" s="52">
        <v>91307.020401005706</v>
      </c>
      <c r="AC443" s="288">
        <v>3.2322333531926635</v>
      </c>
      <c r="AD443" s="288">
        <v>79050.174366785141</v>
      </c>
      <c r="AE443" s="288">
        <v>2.9589668600165271</v>
      </c>
      <c r="AF443" s="288">
        <v>12256.846034220565</v>
      </c>
      <c r="AG443" s="289">
        <v>0.27326649317613638</v>
      </c>
      <c r="AH443" s="229"/>
      <c r="AI443" s="205">
        <f t="shared" si="46"/>
        <v>231916.31491826067</v>
      </c>
      <c r="AJ443" s="205">
        <f t="shared" si="47"/>
        <v>216846.51163486758</v>
      </c>
      <c r="AK443" s="205">
        <f t="shared" si="48"/>
        <v>15069.803283393074</v>
      </c>
      <c r="AL443" s="229"/>
      <c r="AM443" s="52">
        <f t="shared" si="30"/>
        <v>1</v>
      </c>
      <c r="AN443" s="52">
        <f t="shared" si="31"/>
        <v>0</v>
      </c>
      <c r="AO443" s="52">
        <f t="shared" si="32"/>
        <v>1</v>
      </c>
      <c r="AP443" s="229"/>
      <c r="AQ443" s="3"/>
      <c r="AR443" s="3"/>
      <c r="AS443" s="3"/>
      <c r="AT443" s="3"/>
      <c r="AU443" s="229"/>
      <c r="AV443" s="318">
        <f t="shared" si="49"/>
        <v>231916.31491826067</v>
      </c>
      <c r="AW443" s="229"/>
      <c r="AX443" s="312"/>
      <c r="AY443" s="14"/>
      <c r="AZ443" s="14">
        <f t="shared" si="51"/>
        <v>12256.846034220565</v>
      </c>
      <c r="BA443" s="14">
        <f t="shared" si="50"/>
        <v>0.27326649317613638</v>
      </c>
      <c r="BB443" s="14">
        <f t="shared" si="33"/>
        <v>44853.087884142107</v>
      </c>
      <c r="BC443" s="14"/>
      <c r="BD443" s="14"/>
      <c r="BE443" s="14"/>
      <c r="BF443" s="14"/>
      <c r="BG443" s="14"/>
      <c r="BH443" s="14"/>
      <c r="BI443" s="14"/>
      <c r="BJ443" s="14"/>
      <c r="BK443" s="14"/>
      <c r="BL443" s="14"/>
      <c r="BM443" s="14"/>
      <c r="BN443" s="14"/>
      <c r="BO443" s="14"/>
      <c r="BP443" s="14"/>
      <c r="BQ443" s="14"/>
      <c r="BR443" s="14"/>
      <c r="BS443" s="14"/>
      <c r="BT443" s="14"/>
      <c r="BU443" s="14"/>
      <c r="BV443" s="14"/>
      <c r="BW443" s="14"/>
      <c r="BX443" s="14"/>
      <c r="BY443" s="14"/>
      <c r="BZ443" s="14"/>
      <c r="CA443" s="14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</row>
    <row r="444" spans="1:101" ht="14.25" customHeight="1" x14ac:dyDescent="0.2">
      <c r="A444" s="286"/>
      <c r="B444" s="52">
        <v>0.1526862155554656</v>
      </c>
      <c r="C444" s="288">
        <v>0.61329580116683091</v>
      </c>
      <c r="D444" s="288">
        <v>2.0281877235278412E-2</v>
      </c>
      <c r="E444" s="288">
        <v>9.501971394568258E-3</v>
      </c>
      <c r="F444" s="289">
        <v>0.80262539231384833</v>
      </c>
      <c r="G444" s="92">
        <v>0.38870532133284064</v>
      </c>
      <c r="H444" s="288">
        <v>0.47132741112991355</v>
      </c>
      <c r="I444" s="288">
        <v>1.5804788239438108E-2</v>
      </c>
      <c r="J444" s="288">
        <v>0.99979744642294754</v>
      </c>
      <c r="K444" s="288">
        <v>0.7412026071493778</v>
      </c>
      <c r="L444" s="290">
        <v>15853.241374923884</v>
      </c>
      <c r="M444" s="288">
        <v>0</v>
      </c>
      <c r="N444" s="288">
        <v>12568.088877442753</v>
      </c>
      <c r="O444" s="288">
        <v>1305.4160917761117</v>
      </c>
      <c r="P444" s="288">
        <v>44814.926408677464</v>
      </c>
      <c r="Q444" s="291">
        <v>116547.72164823371</v>
      </c>
      <c r="R444" s="288">
        <v>41187.791182193461</v>
      </c>
      <c r="S444" s="288">
        <v>9828.960052203598</v>
      </c>
      <c r="T444" s="290">
        <v>0.751</v>
      </c>
      <c r="U444" s="288">
        <v>0.75800000000000001</v>
      </c>
      <c r="V444" s="288">
        <v>0.723923076923077</v>
      </c>
      <c r="W444" s="288">
        <v>0.72750000000000004</v>
      </c>
      <c r="X444" s="288">
        <v>0.76</v>
      </c>
      <c r="Y444" s="288">
        <v>0</v>
      </c>
      <c r="Z444" s="289">
        <v>0</v>
      </c>
      <c r="AA444" s="229"/>
      <c r="AB444" s="52">
        <v>98390.932660932594</v>
      </c>
      <c r="AC444" s="288">
        <v>3.2477446887741843</v>
      </c>
      <c r="AD444" s="288">
        <v>81802.916076908543</v>
      </c>
      <c r="AE444" s="288">
        <v>2.9678250665220283</v>
      </c>
      <c r="AF444" s="288">
        <v>16588.016584024052</v>
      </c>
      <c r="AG444" s="289">
        <v>0.27991962225215605</v>
      </c>
      <c r="AH444" s="229"/>
      <c r="AI444" s="205">
        <f t="shared" si="46"/>
        <v>226383.53621648584</v>
      </c>
      <c r="AJ444" s="205">
        <f t="shared" si="47"/>
        <v>214979.59057529428</v>
      </c>
      <c r="AK444" s="205">
        <f t="shared" si="48"/>
        <v>11403.945641191553</v>
      </c>
      <c r="AL444" s="229"/>
      <c r="AM444" s="52">
        <f t="shared" si="30"/>
        <v>1</v>
      </c>
      <c r="AN444" s="52">
        <f t="shared" si="31"/>
        <v>0</v>
      </c>
      <c r="AO444" s="52">
        <f t="shared" si="32"/>
        <v>1</v>
      </c>
      <c r="AP444" s="229"/>
      <c r="AQ444" s="3"/>
      <c r="AR444" s="3"/>
      <c r="AS444" s="3"/>
      <c r="AT444" s="3"/>
      <c r="AU444" s="229"/>
      <c r="AV444" s="318">
        <f t="shared" si="49"/>
        <v>226383.53621648584</v>
      </c>
      <c r="AW444" s="229"/>
      <c r="AX444" s="312"/>
      <c r="AY444" s="14"/>
      <c r="AZ444" s="14">
        <f t="shared" si="51"/>
        <v>16588.016584024052</v>
      </c>
      <c r="BA444" s="14">
        <f t="shared" si="50"/>
        <v>0.27991962225215605</v>
      </c>
      <c r="BB444" s="14">
        <f t="shared" si="33"/>
        <v>59259.927726971931</v>
      </c>
      <c r="BC444" s="14"/>
      <c r="BD444" s="14"/>
      <c r="BE444" s="14"/>
      <c r="BF444" s="14"/>
      <c r="BG444" s="14"/>
      <c r="BH444" s="14"/>
      <c r="BI444" s="14"/>
      <c r="BJ444" s="14"/>
      <c r="BK444" s="14"/>
      <c r="BL444" s="14"/>
      <c r="BM444" s="14"/>
      <c r="BN444" s="14"/>
      <c r="BO444" s="14"/>
      <c r="BP444" s="14"/>
      <c r="BQ444" s="14"/>
      <c r="BR444" s="14"/>
      <c r="BS444" s="14"/>
      <c r="BT444" s="14"/>
      <c r="BU444" s="14"/>
      <c r="BV444" s="14"/>
      <c r="BW444" s="14"/>
      <c r="BX444" s="14"/>
      <c r="BY444" s="14"/>
      <c r="BZ444" s="14"/>
      <c r="CA444" s="14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</row>
    <row r="445" spans="1:101" ht="14.25" customHeight="1" x14ac:dyDescent="0.2">
      <c r="A445" s="286"/>
      <c r="B445" s="52">
        <v>0.15486657971561471</v>
      </c>
      <c r="C445" s="288">
        <v>0.2598654056223072</v>
      </c>
      <c r="D445" s="288">
        <v>1.8388968805378547E-2</v>
      </c>
      <c r="E445" s="288">
        <v>1.3038505889070398E-2</v>
      </c>
      <c r="F445" s="289">
        <v>0.78948579874383684</v>
      </c>
      <c r="G445" s="92">
        <v>0.46161427445829761</v>
      </c>
      <c r="H445" s="288">
        <v>0.67883153982797684</v>
      </c>
      <c r="I445" s="288">
        <v>8.4954882569614441E-3</v>
      </c>
      <c r="J445" s="288">
        <v>0.99999999888176694</v>
      </c>
      <c r="K445" s="288">
        <v>0.68697316489199634</v>
      </c>
      <c r="L445" s="290">
        <v>12768.242770924115</v>
      </c>
      <c r="M445" s="288">
        <v>0</v>
      </c>
      <c r="N445" s="288">
        <v>21387.376484327284</v>
      </c>
      <c r="O445" s="288">
        <v>1230.949468220336</v>
      </c>
      <c r="P445" s="288">
        <v>41668.533289579784</v>
      </c>
      <c r="Q445" s="291">
        <v>109818.32050673777</v>
      </c>
      <c r="R445" s="288">
        <v>28943.591434022699</v>
      </c>
      <c r="S445" s="288">
        <v>9449.4367077862153</v>
      </c>
      <c r="T445" s="290">
        <v>0.751</v>
      </c>
      <c r="U445" s="288">
        <v>0.75800000000000001</v>
      </c>
      <c r="V445" s="288">
        <v>0.723923076923077</v>
      </c>
      <c r="W445" s="288">
        <v>0.72750000000000004</v>
      </c>
      <c r="X445" s="288">
        <v>0.76</v>
      </c>
      <c r="Y445" s="288">
        <v>0</v>
      </c>
      <c r="Z445" s="289">
        <v>0</v>
      </c>
      <c r="AA445" s="229"/>
      <c r="AB445" s="52">
        <v>88311.773965166984</v>
      </c>
      <c r="AC445" s="288">
        <v>3.1864411810088926</v>
      </c>
      <c r="AD445" s="288">
        <v>74998.711051965001</v>
      </c>
      <c r="AE445" s="288">
        <v>2.7213257901633781</v>
      </c>
      <c r="AF445" s="288">
        <v>13313.062913201982</v>
      </c>
      <c r="AG445" s="289">
        <v>0.46511539084551456</v>
      </c>
      <c r="AH445" s="229"/>
      <c r="AI445" s="205">
        <f t="shared" si="46"/>
        <v>230332.34413572226</v>
      </c>
      <c r="AJ445" s="205">
        <f t="shared" si="47"/>
        <v>197133.8679643728</v>
      </c>
      <c r="AK445" s="205">
        <f t="shared" si="48"/>
        <v>33198.476171349474</v>
      </c>
      <c r="AL445" s="229"/>
      <c r="AM445" s="52">
        <f t="shared" si="30"/>
        <v>1</v>
      </c>
      <c r="AN445" s="52">
        <f t="shared" si="31"/>
        <v>0</v>
      </c>
      <c r="AO445" s="52">
        <f t="shared" si="32"/>
        <v>1</v>
      </c>
      <c r="AP445" s="229"/>
      <c r="AQ445" s="3"/>
      <c r="AR445" s="3"/>
      <c r="AS445" s="3"/>
      <c r="AT445" s="3"/>
      <c r="AU445" s="229"/>
      <c r="AV445" s="318">
        <f t="shared" si="49"/>
        <v>230332.34413572226</v>
      </c>
      <c r="AW445" s="229"/>
      <c r="AX445" s="312"/>
      <c r="AY445" s="14"/>
      <c r="AZ445" s="14">
        <f t="shared" si="51"/>
        <v>13313.062913201982</v>
      </c>
      <c r="BA445" s="14">
        <f t="shared" si="50"/>
        <v>0.46511539084551456</v>
      </c>
      <c r="BB445" s="14">
        <f t="shared" si="33"/>
        <v>28623.139924483472</v>
      </c>
      <c r="BC445" s="14"/>
      <c r="BD445" s="14"/>
      <c r="BE445" s="14"/>
      <c r="BF445" s="14"/>
      <c r="BG445" s="14"/>
      <c r="BH445" s="14"/>
      <c r="BI445" s="14"/>
      <c r="BJ445" s="14"/>
      <c r="BK445" s="14"/>
      <c r="BL445" s="14"/>
      <c r="BM445" s="14"/>
      <c r="BN445" s="14"/>
      <c r="BO445" s="14"/>
      <c r="BP445" s="14"/>
      <c r="BQ445" s="14"/>
      <c r="BR445" s="14"/>
      <c r="BS445" s="14"/>
      <c r="BT445" s="14"/>
      <c r="BU445" s="14"/>
      <c r="BV445" s="14"/>
      <c r="BW445" s="14"/>
      <c r="BX445" s="14"/>
      <c r="BY445" s="14"/>
      <c r="BZ445" s="14"/>
      <c r="CA445" s="14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</row>
    <row r="446" spans="1:101" ht="14.25" customHeight="1" x14ac:dyDescent="0.2">
      <c r="A446" s="286"/>
      <c r="B446" s="52">
        <v>0.17721137949810817</v>
      </c>
      <c r="C446" s="288">
        <v>0.36734589670195739</v>
      </c>
      <c r="D446" s="288">
        <v>1.3686505443944388E-2</v>
      </c>
      <c r="E446" s="288">
        <v>1.2887782095244344E-2</v>
      </c>
      <c r="F446" s="289">
        <v>0.76665827145610477</v>
      </c>
      <c r="G446" s="92">
        <v>0.36493516203798682</v>
      </c>
      <c r="H446" s="288">
        <v>0.65412120671730378</v>
      </c>
      <c r="I446" s="288">
        <v>1.5666888008123367E-2</v>
      </c>
      <c r="J446" s="288">
        <v>0.96290277543695535</v>
      </c>
      <c r="K446" s="288">
        <v>0.73500472380072102</v>
      </c>
      <c r="L446" s="290">
        <v>12121.061485867369</v>
      </c>
      <c r="M446" s="288">
        <v>0</v>
      </c>
      <c r="N446" s="288">
        <v>21749.414665923887</v>
      </c>
      <c r="O446" s="288">
        <v>1411.9926594060826</v>
      </c>
      <c r="P446" s="288">
        <v>29548.433069696101</v>
      </c>
      <c r="Q446" s="291">
        <v>102259.11564624884</v>
      </c>
      <c r="R446" s="288">
        <v>24442.676065800075</v>
      </c>
      <c r="S446" s="288">
        <v>11120.848895072419</v>
      </c>
      <c r="T446" s="290">
        <v>0.751</v>
      </c>
      <c r="U446" s="288">
        <v>0.75800000000000001</v>
      </c>
      <c r="V446" s="288">
        <v>0.723923076923077</v>
      </c>
      <c r="W446" s="288">
        <v>0.72750000000000004</v>
      </c>
      <c r="X446" s="288">
        <v>0.76</v>
      </c>
      <c r="Y446" s="288">
        <v>0</v>
      </c>
      <c r="Z446" s="289">
        <v>0</v>
      </c>
      <c r="AA446" s="229"/>
      <c r="AB446" s="52">
        <v>98637.878330832231</v>
      </c>
      <c r="AC446" s="288">
        <v>3.0805819782848527</v>
      </c>
      <c r="AD446" s="288">
        <v>88683.206210205622</v>
      </c>
      <c r="AE446" s="288">
        <v>2.93941804235725</v>
      </c>
      <c r="AF446" s="288">
        <v>9954.6721206266084</v>
      </c>
      <c r="AG446" s="289">
        <v>0.14116393592760268</v>
      </c>
      <c r="AH446" s="229"/>
      <c r="AI446" s="205">
        <f t="shared" si="46"/>
        <v>209420.31949765305</v>
      </c>
      <c r="AJ446" s="205">
        <f t="shared" si="47"/>
        <v>205258.5980255194</v>
      </c>
      <c r="AK446" s="205">
        <f t="shared" si="48"/>
        <v>4161.7214721336604</v>
      </c>
      <c r="AL446" s="229"/>
      <c r="AM446" s="52">
        <f t="shared" si="30"/>
        <v>1</v>
      </c>
      <c r="AN446" s="52">
        <f t="shared" si="31"/>
        <v>0</v>
      </c>
      <c r="AO446" s="52">
        <f t="shared" si="32"/>
        <v>1</v>
      </c>
      <c r="AP446" s="229"/>
      <c r="AQ446" s="3"/>
      <c r="AR446" s="3"/>
      <c r="AS446" s="3"/>
      <c r="AT446" s="3"/>
      <c r="AU446" s="229"/>
      <c r="AV446" s="318">
        <f t="shared" si="49"/>
        <v>209420.31949765305</v>
      </c>
      <c r="AW446" s="229"/>
      <c r="AX446" s="312"/>
      <c r="AY446" s="14"/>
      <c r="AZ446" s="14">
        <f t="shared" si="51"/>
        <v>9954.6721206266084</v>
      </c>
      <c r="BA446" s="14">
        <f t="shared" si="50"/>
        <v>0.14116393592760268</v>
      </c>
      <c r="BB446" s="14">
        <f t="shared" si="33"/>
        <v>70518.521995107585</v>
      </c>
      <c r="BC446" s="14"/>
      <c r="BD446" s="14"/>
      <c r="BE446" s="14"/>
      <c r="BF446" s="14"/>
      <c r="BG446" s="14"/>
      <c r="BH446" s="14"/>
      <c r="BI446" s="14"/>
      <c r="BJ446" s="14"/>
      <c r="BK446" s="14"/>
      <c r="BL446" s="14"/>
      <c r="BM446" s="14"/>
      <c r="BN446" s="14"/>
      <c r="BO446" s="14"/>
      <c r="BP446" s="14"/>
      <c r="BQ446" s="14"/>
      <c r="BR446" s="14"/>
      <c r="BS446" s="14"/>
      <c r="BT446" s="14"/>
      <c r="BU446" s="14"/>
      <c r="BV446" s="14"/>
      <c r="BW446" s="14"/>
      <c r="BX446" s="14"/>
      <c r="BY446" s="14"/>
      <c r="BZ446" s="14"/>
      <c r="CA446" s="14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</row>
    <row r="447" spans="1:101" ht="14.25" customHeight="1" x14ac:dyDescent="0.2">
      <c r="A447" s="286"/>
      <c r="B447" s="52">
        <v>0.16990266752049765</v>
      </c>
      <c r="C447" s="288">
        <v>0.37001747521691808</v>
      </c>
      <c r="D447" s="288">
        <v>1.9721299109112911E-2</v>
      </c>
      <c r="E447" s="288">
        <v>1.3667906625605181E-2</v>
      </c>
      <c r="F447" s="289">
        <v>0.75969408605599609</v>
      </c>
      <c r="G447" s="92">
        <v>0.37450465515165454</v>
      </c>
      <c r="H447" s="288">
        <v>0.22431329754281651</v>
      </c>
      <c r="I447" s="288">
        <v>7.1908824889597822E-2</v>
      </c>
      <c r="J447" s="288">
        <v>0.26386377824725604</v>
      </c>
      <c r="K447" s="288">
        <v>0.72934306186402598</v>
      </c>
      <c r="L447" s="290">
        <v>15181.759164935338</v>
      </c>
      <c r="M447" s="288">
        <v>0</v>
      </c>
      <c r="N447" s="288">
        <v>18282.729785183372</v>
      </c>
      <c r="O447" s="288">
        <v>1560.6753641498603</v>
      </c>
      <c r="P447" s="288">
        <v>59585.136343469014</v>
      </c>
      <c r="Q447" s="291">
        <v>139271.33745413026</v>
      </c>
      <c r="R447" s="288">
        <v>25059.205330400229</v>
      </c>
      <c r="S447" s="288">
        <v>13438.391631322012</v>
      </c>
      <c r="T447" s="290">
        <v>0.751</v>
      </c>
      <c r="U447" s="288">
        <v>0.75800000000000001</v>
      </c>
      <c r="V447" s="288">
        <v>0.723923076923077</v>
      </c>
      <c r="W447" s="288">
        <v>0.72750000000000004</v>
      </c>
      <c r="X447" s="288">
        <v>0.76</v>
      </c>
      <c r="Y447" s="288">
        <v>0</v>
      </c>
      <c r="Z447" s="289">
        <v>0</v>
      </c>
      <c r="AA447" s="229"/>
      <c r="AB447" s="52">
        <v>118585.63525258725</v>
      </c>
      <c r="AC447" s="288">
        <v>3.0484493348369393</v>
      </c>
      <c r="AD447" s="288">
        <v>104824.94775969748</v>
      </c>
      <c r="AE447" s="288">
        <v>2.9135216231977679</v>
      </c>
      <c r="AF447" s="288">
        <v>13760.687492889774</v>
      </c>
      <c r="AG447" s="289">
        <v>0.13492771163917139</v>
      </c>
      <c r="AH447" s="229"/>
      <c r="AI447" s="205">
        <f t="shared" si="46"/>
        <v>186259.29823110666</v>
      </c>
      <c r="AJ447" s="205">
        <f t="shared" si="47"/>
        <v>186527.2145600793</v>
      </c>
      <c r="AK447" s="205">
        <f t="shared" si="48"/>
        <v>-267.9163289726348</v>
      </c>
      <c r="AL447" s="229"/>
      <c r="AM447" s="52">
        <f t="shared" si="30"/>
        <v>0</v>
      </c>
      <c r="AN447" s="52">
        <f t="shared" si="31"/>
        <v>1</v>
      </c>
      <c r="AO447" s="52">
        <f t="shared" si="32"/>
        <v>0</v>
      </c>
      <c r="AP447" s="229"/>
      <c r="AQ447" s="3"/>
      <c r="AR447" s="3"/>
      <c r="AS447" s="3"/>
      <c r="AT447" s="3"/>
      <c r="AU447" s="229"/>
      <c r="AV447" s="318">
        <f t="shared" si="49"/>
        <v>186527.2145600793</v>
      </c>
      <c r="AW447" s="229"/>
      <c r="AX447" s="312"/>
      <c r="AY447" s="14"/>
      <c r="AZ447" s="14">
        <f t="shared" si="51"/>
        <v>13760.687492889774</v>
      </c>
      <c r="BA447" s="14">
        <f t="shared" si="50"/>
        <v>0.13492771163917139</v>
      </c>
      <c r="BB447" s="14">
        <f t="shared" si="33"/>
        <v>101985.62864305523</v>
      </c>
      <c r="BC447" s="14"/>
      <c r="BD447" s="14"/>
      <c r="BE447" s="14"/>
      <c r="BF447" s="14"/>
      <c r="BG447" s="14"/>
      <c r="BH447" s="14"/>
      <c r="BI447" s="14"/>
      <c r="BJ447" s="14"/>
      <c r="BK447" s="14"/>
      <c r="BL447" s="14"/>
      <c r="BM447" s="14"/>
      <c r="BN447" s="14"/>
      <c r="BO447" s="14"/>
      <c r="BP447" s="14"/>
      <c r="BQ447" s="14"/>
      <c r="BR447" s="14"/>
      <c r="BS447" s="14"/>
      <c r="BT447" s="14"/>
      <c r="BU447" s="14"/>
      <c r="BV447" s="14"/>
      <c r="BW447" s="14"/>
      <c r="BX447" s="14"/>
      <c r="BY447" s="14"/>
      <c r="BZ447" s="14"/>
      <c r="CA447" s="14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</row>
    <row r="448" spans="1:101" ht="14.25" customHeight="1" x14ac:dyDescent="0.2">
      <c r="A448" s="286"/>
      <c r="B448" s="52">
        <v>0.15891539547964276</v>
      </c>
      <c r="C448" s="288">
        <v>1.4139281122131989E-4</v>
      </c>
      <c r="D448" s="288">
        <v>1.9330862384687064E-2</v>
      </c>
      <c r="E448" s="288">
        <v>1.3279193963984652E-2</v>
      </c>
      <c r="F448" s="289">
        <v>0.78876629971313261</v>
      </c>
      <c r="G448" s="92">
        <v>0.42579488643728336</v>
      </c>
      <c r="H448" s="288">
        <v>0.38913292629384588</v>
      </c>
      <c r="I448" s="288">
        <v>1.3889421406690951E-2</v>
      </c>
      <c r="J448" s="288">
        <v>0.9999999959998529</v>
      </c>
      <c r="K448" s="288">
        <v>0.79452862227368382</v>
      </c>
      <c r="L448" s="290">
        <v>18603.527432159608</v>
      </c>
      <c r="M448" s="288">
        <v>0</v>
      </c>
      <c r="N448" s="288">
        <v>18881.759488458632</v>
      </c>
      <c r="O448" s="288">
        <v>921.39948000440143</v>
      </c>
      <c r="P448" s="288">
        <v>56538.242726168908</v>
      </c>
      <c r="Q448" s="291">
        <v>105823.4992794124</v>
      </c>
      <c r="R448" s="288">
        <v>26515.134763965641</v>
      </c>
      <c r="S448" s="288">
        <v>8465.1786003617235</v>
      </c>
      <c r="T448" s="290">
        <v>0.751</v>
      </c>
      <c r="U448" s="288">
        <v>0.75800000000000001</v>
      </c>
      <c r="V448" s="288">
        <v>0.723923076923077</v>
      </c>
      <c r="W448" s="288">
        <v>0.72750000000000004</v>
      </c>
      <c r="X448" s="288">
        <v>0.76</v>
      </c>
      <c r="Y448" s="288">
        <v>0</v>
      </c>
      <c r="Z448" s="289">
        <v>0</v>
      </c>
      <c r="AA448" s="229"/>
      <c r="AB448" s="52">
        <v>85196.744018218407</v>
      </c>
      <c r="AC448" s="288">
        <v>3.1830921383208497</v>
      </c>
      <c r="AD448" s="288">
        <v>72863.406813651032</v>
      </c>
      <c r="AE448" s="288">
        <v>3.214738119781134</v>
      </c>
      <c r="AF448" s="288">
        <v>12333.337204567375</v>
      </c>
      <c r="AG448" s="289">
        <v>-3.16459814602843E-2</v>
      </c>
      <c r="AH448" s="229"/>
      <c r="AI448" s="205">
        <f t="shared" si="46"/>
        <v>233112.46981386654</v>
      </c>
      <c r="AJ448" s="205">
        <f t="shared" si="47"/>
        <v>248610.40516446234</v>
      </c>
      <c r="AK448" s="205">
        <f t="shared" si="48"/>
        <v>-15497.935350595806</v>
      </c>
      <c r="AL448" s="229"/>
      <c r="AM448" s="52">
        <f t="shared" si="30"/>
        <v>0</v>
      </c>
      <c r="AN448" s="52">
        <f t="shared" si="31"/>
        <v>1</v>
      </c>
      <c r="AO448" s="52">
        <f t="shared" si="32"/>
        <v>0</v>
      </c>
      <c r="AP448" s="229"/>
      <c r="AQ448" s="3"/>
      <c r="AR448" s="3"/>
      <c r="AS448" s="3"/>
      <c r="AT448" s="3"/>
      <c r="AU448" s="229"/>
      <c r="AV448" s="318">
        <f t="shared" si="49"/>
        <v>248610.40516446234</v>
      </c>
      <c r="AW448" s="229"/>
      <c r="AX448" s="312"/>
      <c r="AY448" s="14"/>
      <c r="AZ448" s="14">
        <f t="shared" si="51"/>
        <v>12333.337204567375</v>
      </c>
      <c r="BA448" s="14">
        <f t="shared" si="50"/>
        <v>-3.16459814602843E-2</v>
      </c>
      <c r="BB448" s="14">
        <f t="shared" si="33"/>
        <v>-389728.38368263945</v>
      </c>
      <c r="BC448" s="14"/>
      <c r="BD448" s="14"/>
      <c r="BE448" s="14"/>
      <c r="BF448" s="14"/>
      <c r="BG448" s="14"/>
      <c r="BH448" s="14"/>
      <c r="BI448" s="14"/>
      <c r="BJ448" s="14"/>
      <c r="BK448" s="14"/>
      <c r="BL448" s="14"/>
      <c r="BM448" s="14"/>
      <c r="BN448" s="14"/>
      <c r="BO448" s="14"/>
      <c r="BP448" s="14"/>
      <c r="BQ448" s="14"/>
      <c r="BR448" s="14"/>
      <c r="BS448" s="14"/>
      <c r="BT448" s="14"/>
      <c r="BU448" s="14"/>
      <c r="BV448" s="14"/>
      <c r="BW448" s="14"/>
      <c r="BX448" s="14"/>
      <c r="BY448" s="14"/>
      <c r="BZ448" s="14"/>
      <c r="CA448" s="14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</row>
    <row r="449" spans="1:101" ht="14.25" customHeight="1" x14ac:dyDescent="0.2">
      <c r="A449" s="286"/>
      <c r="B449" s="52">
        <v>0.12094065238284388</v>
      </c>
      <c r="C449" s="288">
        <v>0.54856028915641419</v>
      </c>
      <c r="D449" s="288">
        <v>3.1027280966001158E-2</v>
      </c>
      <c r="E449" s="288">
        <v>1.1526320255368325E-2</v>
      </c>
      <c r="F449" s="289">
        <v>0.77676597495945576</v>
      </c>
      <c r="G449" s="92">
        <v>0.36372803840205109</v>
      </c>
      <c r="H449" s="288">
        <v>0.95993466735794986</v>
      </c>
      <c r="I449" s="288">
        <v>6.8062484425788251E-3</v>
      </c>
      <c r="J449" s="288">
        <v>0.31698142605122193</v>
      </c>
      <c r="K449" s="288">
        <v>0.80035705578552929</v>
      </c>
      <c r="L449" s="290">
        <v>15989.547317611477</v>
      </c>
      <c r="M449" s="288">
        <v>0</v>
      </c>
      <c r="N449" s="288">
        <v>18369.077034708189</v>
      </c>
      <c r="O449" s="288">
        <v>1275.4071905891692</v>
      </c>
      <c r="P449" s="288">
        <v>51323.487778420793</v>
      </c>
      <c r="Q449" s="291">
        <v>85167.939510655662</v>
      </c>
      <c r="R449" s="288">
        <v>25968.7494901264</v>
      </c>
      <c r="S449" s="288">
        <v>7459.4309267730969</v>
      </c>
      <c r="T449" s="290">
        <v>0.751</v>
      </c>
      <c r="U449" s="288">
        <v>0.75800000000000001</v>
      </c>
      <c r="V449" s="288">
        <v>0.723923076923077</v>
      </c>
      <c r="W449" s="288">
        <v>0.72750000000000004</v>
      </c>
      <c r="X449" s="288">
        <v>0.76</v>
      </c>
      <c r="Y449" s="288">
        <v>0</v>
      </c>
      <c r="Z449" s="289">
        <v>0</v>
      </c>
      <c r="AA449" s="229"/>
      <c r="AB449" s="52">
        <v>75565.392346254623</v>
      </c>
      <c r="AC449" s="288">
        <v>3.1273540938080027</v>
      </c>
      <c r="AD449" s="288">
        <v>69302.308539577454</v>
      </c>
      <c r="AE449" s="288">
        <v>3.2419969817295309</v>
      </c>
      <c r="AF449" s="288">
        <v>6263.0838066771685</v>
      </c>
      <c r="AG449" s="289">
        <v>-0.11464288792152821</v>
      </c>
      <c r="AH449" s="229"/>
      <c r="AI449" s="205">
        <f t="shared" si="46"/>
        <v>237170.01703454566</v>
      </c>
      <c r="AJ449" s="205">
        <f t="shared" si="47"/>
        <v>254897.38963337563</v>
      </c>
      <c r="AK449" s="205">
        <f t="shared" si="48"/>
        <v>-17727.372598829992</v>
      </c>
      <c r="AL449" s="229"/>
      <c r="AM449" s="52">
        <f t="shared" si="30"/>
        <v>0</v>
      </c>
      <c r="AN449" s="52">
        <f t="shared" si="31"/>
        <v>1</v>
      </c>
      <c r="AO449" s="52">
        <f t="shared" si="32"/>
        <v>0</v>
      </c>
      <c r="AP449" s="229"/>
      <c r="AQ449" s="3"/>
      <c r="AR449" s="3"/>
      <c r="AS449" s="3"/>
      <c r="AT449" s="3"/>
      <c r="AU449" s="229"/>
      <c r="AV449" s="318">
        <f t="shared" si="49"/>
        <v>254897.38963337563</v>
      </c>
      <c r="AW449" s="229"/>
      <c r="AX449" s="312"/>
      <c r="AY449" s="14"/>
      <c r="AZ449" s="14">
        <f t="shared" si="51"/>
        <v>6263.0838066771685</v>
      </c>
      <c r="BA449" s="14">
        <f t="shared" si="50"/>
        <v>-0.11464288792152821</v>
      </c>
      <c r="BB449" s="14">
        <f t="shared" si="33"/>
        <v>-54631.245951900477</v>
      </c>
      <c r="BC449" s="14"/>
      <c r="BD449" s="14"/>
      <c r="BE449" s="14"/>
      <c r="BF449" s="14"/>
      <c r="BG449" s="14"/>
      <c r="BH449" s="14"/>
      <c r="BI449" s="14"/>
      <c r="BJ449" s="14"/>
      <c r="BK449" s="14"/>
      <c r="BL449" s="14"/>
      <c r="BM449" s="14"/>
      <c r="BN449" s="14"/>
      <c r="BO449" s="14"/>
      <c r="BP449" s="14"/>
      <c r="BQ449" s="14"/>
      <c r="BR449" s="14"/>
      <c r="BS449" s="14"/>
      <c r="BT449" s="14"/>
      <c r="BU449" s="14"/>
      <c r="BV449" s="14"/>
      <c r="BW449" s="14"/>
      <c r="BX449" s="14"/>
      <c r="BY449" s="14"/>
      <c r="BZ449" s="14"/>
      <c r="CA449" s="14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</row>
    <row r="450" spans="1:101" ht="14.25" customHeight="1" x14ac:dyDescent="0.2">
      <c r="A450" s="286"/>
      <c r="B450" s="52">
        <v>0.17097540246662479</v>
      </c>
      <c r="C450" s="288">
        <v>0.26784314041279245</v>
      </c>
      <c r="D450" s="288">
        <v>1.1005352453597768E-2</v>
      </c>
      <c r="E450" s="288">
        <v>2.4358603667133272E-2</v>
      </c>
      <c r="F450" s="289">
        <v>0.78571040190371122</v>
      </c>
      <c r="G450" s="92">
        <v>0.4408352219334164</v>
      </c>
      <c r="H450" s="288">
        <v>5.2946923921966461E-2</v>
      </c>
      <c r="I450" s="288">
        <v>2.0814860443745142E-2</v>
      </c>
      <c r="J450" s="288">
        <v>0.99993319629914967</v>
      </c>
      <c r="K450" s="288">
        <v>0.7445150931588792</v>
      </c>
      <c r="L450" s="290">
        <v>8263.6820502818973</v>
      </c>
      <c r="M450" s="288">
        <v>0</v>
      </c>
      <c r="N450" s="288">
        <v>14744.943204994317</v>
      </c>
      <c r="O450" s="288">
        <v>1490.8501656853521</v>
      </c>
      <c r="P450" s="288">
        <v>29204.307238286565</v>
      </c>
      <c r="Q450" s="291">
        <v>100480.68309103079</v>
      </c>
      <c r="R450" s="288">
        <v>25060.728910205686</v>
      </c>
      <c r="S450" s="288">
        <v>7842.4298008114283</v>
      </c>
      <c r="T450" s="290">
        <v>0.751</v>
      </c>
      <c r="U450" s="288">
        <v>0.75800000000000001</v>
      </c>
      <c r="V450" s="288">
        <v>0.723923076923077</v>
      </c>
      <c r="W450" s="288">
        <v>0.72750000000000004</v>
      </c>
      <c r="X450" s="288">
        <v>0.76</v>
      </c>
      <c r="Y450" s="288">
        <v>0</v>
      </c>
      <c r="Z450" s="289">
        <v>0</v>
      </c>
      <c r="AA450" s="229"/>
      <c r="AB450" s="52">
        <v>70873.992744392672</v>
      </c>
      <c r="AC450" s="288">
        <v>3.1688769389948916</v>
      </c>
      <c r="AD450" s="288">
        <v>60838.754817758971</v>
      </c>
      <c r="AE450" s="288">
        <v>2.9830321537751017</v>
      </c>
      <c r="AF450" s="288">
        <v>10035.237926633701</v>
      </c>
      <c r="AG450" s="289">
        <v>0.18584478521978998</v>
      </c>
      <c r="AH450" s="229"/>
      <c r="AI450" s="205">
        <f t="shared" si="46"/>
        <v>246013.70115509653</v>
      </c>
      <c r="AJ450" s="205">
        <f t="shared" si="47"/>
        <v>237464.4605597512</v>
      </c>
      <c r="AK450" s="205">
        <f t="shared" si="48"/>
        <v>8549.2405953452981</v>
      </c>
      <c r="AL450" s="229"/>
      <c r="AM450" s="52">
        <f t="shared" si="30"/>
        <v>1</v>
      </c>
      <c r="AN450" s="52">
        <f t="shared" si="31"/>
        <v>0</v>
      </c>
      <c r="AO450" s="52">
        <f t="shared" si="32"/>
        <v>1</v>
      </c>
      <c r="AP450" s="229"/>
      <c r="AQ450" s="3"/>
      <c r="AR450" s="3"/>
      <c r="AS450" s="3"/>
      <c r="AT450" s="3"/>
      <c r="AU450" s="229"/>
      <c r="AV450" s="318">
        <f t="shared" si="49"/>
        <v>246013.70115509653</v>
      </c>
      <c r="AW450" s="229"/>
      <c r="AX450" s="312"/>
      <c r="AY450" s="14"/>
      <c r="AZ450" s="14">
        <f t="shared" si="51"/>
        <v>10035.237926633701</v>
      </c>
      <c r="BA450" s="14">
        <f t="shared" si="50"/>
        <v>0.18584478521978998</v>
      </c>
      <c r="BB450" s="14">
        <f t="shared" si="33"/>
        <v>53997.95272579477</v>
      </c>
      <c r="BC450" s="14"/>
      <c r="BD450" s="14"/>
      <c r="BE450" s="14"/>
      <c r="BF450" s="14"/>
      <c r="BG450" s="14"/>
      <c r="BH450" s="14"/>
      <c r="BI450" s="14"/>
      <c r="BJ450" s="14"/>
      <c r="BK450" s="14"/>
      <c r="BL450" s="14"/>
      <c r="BM450" s="14"/>
      <c r="BN450" s="14"/>
      <c r="BO450" s="14"/>
      <c r="BP450" s="14"/>
      <c r="BQ450" s="14"/>
      <c r="BR450" s="14"/>
      <c r="BS450" s="14"/>
      <c r="BT450" s="14"/>
      <c r="BU450" s="14"/>
      <c r="BV450" s="14"/>
      <c r="BW450" s="14"/>
      <c r="BX450" s="14"/>
      <c r="BY450" s="14"/>
      <c r="BZ450" s="14"/>
      <c r="CA450" s="14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</row>
    <row r="451" spans="1:101" ht="14.25" customHeight="1" x14ac:dyDescent="0.2">
      <c r="A451" s="286"/>
      <c r="B451" s="52">
        <v>0.14840126887424235</v>
      </c>
      <c r="C451" s="288">
        <v>0.23325192950409598</v>
      </c>
      <c r="D451" s="288">
        <v>1.5405680197087768E-2</v>
      </c>
      <c r="E451" s="288">
        <v>1.7161806240038602E-2</v>
      </c>
      <c r="F451" s="289">
        <v>0.77261959185583651</v>
      </c>
      <c r="G451" s="92">
        <v>0.38198694083261031</v>
      </c>
      <c r="H451" s="288">
        <v>3.0290560868993743E-2</v>
      </c>
      <c r="I451" s="288">
        <v>2.3201431328690902E-2</v>
      </c>
      <c r="J451" s="288">
        <v>1</v>
      </c>
      <c r="K451" s="288">
        <v>0.67774657640874225</v>
      </c>
      <c r="L451" s="290">
        <v>11365.446612167179</v>
      </c>
      <c r="M451" s="288">
        <v>0</v>
      </c>
      <c r="N451" s="288">
        <v>18479.576821987848</v>
      </c>
      <c r="O451" s="288">
        <v>780.84445445028905</v>
      </c>
      <c r="P451" s="288">
        <v>48435.993287543053</v>
      </c>
      <c r="Q451" s="291">
        <v>85232.212485588519</v>
      </c>
      <c r="R451" s="288">
        <v>29002.500565568767</v>
      </c>
      <c r="S451" s="288">
        <v>9111.4121692035023</v>
      </c>
      <c r="T451" s="290">
        <v>0.751</v>
      </c>
      <c r="U451" s="288">
        <v>0.75800000000000001</v>
      </c>
      <c r="V451" s="288">
        <v>0.723923076923077</v>
      </c>
      <c r="W451" s="288">
        <v>0.72750000000000004</v>
      </c>
      <c r="X451" s="288">
        <v>0.76</v>
      </c>
      <c r="Y451" s="288">
        <v>0</v>
      </c>
      <c r="Z451" s="289">
        <v>0</v>
      </c>
      <c r="AA451" s="229"/>
      <c r="AB451" s="52">
        <v>82391.408679234533</v>
      </c>
      <c r="AC451" s="288">
        <v>3.1081478470507591</v>
      </c>
      <c r="AD451" s="288">
        <v>63611.015517359992</v>
      </c>
      <c r="AE451" s="288">
        <v>2.6798478769249945</v>
      </c>
      <c r="AF451" s="288">
        <v>18780.393161874541</v>
      </c>
      <c r="AG451" s="289">
        <v>0.4282999701257646</v>
      </c>
      <c r="AH451" s="229"/>
      <c r="AI451" s="205">
        <f t="shared" si="46"/>
        <v>228423.37602584137</v>
      </c>
      <c r="AJ451" s="205">
        <f t="shared" si="47"/>
        <v>204373.77217513946</v>
      </c>
      <c r="AK451" s="205">
        <f t="shared" si="48"/>
        <v>24049.603850701918</v>
      </c>
      <c r="AL451" s="229"/>
      <c r="AM451" s="52">
        <f t="shared" si="30"/>
        <v>1</v>
      </c>
      <c r="AN451" s="52">
        <f t="shared" si="31"/>
        <v>0</v>
      </c>
      <c r="AO451" s="52">
        <f t="shared" si="32"/>
        <v>1</v>
      </c>
      <c r="AP451" s="229"/>
      <c r="AQ451" s="3"/>
      <c r="AR451" s="3"/>
      <c r="AS451" s="3"/>
      <c r="AT451" s="3"/>
      <c r="AU451" s="229"/>
      <c r="AV451" s="318">
        <f t="shared" si="49"/>
        <v>228423.37602584137</v>
      </c>
      <c r="AW451" s="229"/>
      <c r="AX451" s="312"/>
      <c r="AY451" s="14"/>
      <c r="AZ451" s="14">
        <f t="shared" si="51"/>
        <v>18780.393161874541</v>
      </c>
      <c r="BA451" s="14">
        <f t="shared" si="50"/>
        <v>0.4282999701257646</v>
      </c>
      <c r="BB451" s="14">
        <f t="shared" si="33"/>
        <v>43848.691272053853</v>
      </c>
      <c r="BC451" s="14"/>
      <c r="BD451" s="14"/>
      <c r="BE451" s="14"/>
      <c r="BF451" s="14"/>
      <c r="BG451" s="14"/>
      <c r="BH451" s="14"/>
      <c r="BI451" s="14"/>
      <c r="BJ451" s="14"/>
      <c r="BK451" s="14"/>
      <c r="BL451" s="14"/>
      <c r="BM451" s="14"/>
      <c r="BN451" s="14"/>
      <c r="BO451" s="14"/>
      <c r="BP451" s="14"/>
      <c r="BQ451" s="14"/>
      <c r="BR451" s="14"/>
      <c r="BS451" s="14"/>
      <c r="BT451" s="14"/>
      <c r="BU451" s="14"/>
      <c r="BV451" s="14"/>
      <c r="BW451" s="14"/>
      <c r="BX451" s="14"/>
      <c r="BY451" s="14"/>
      <c r="BZ451" s="14"/>
      <c r="CA451" s="14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</row>
    <row r="452" spans="1:101" ht="14.25" customHeight="1" x14ac:dyDescent="0.2">
      <c r="A452" s="286"/>
      <c r="B452" s="52">
        <v>0.1479767945074171</v>
      </c>
      <c r="C452" s="288">
        <v>0.75730939424771004</v>
      </c>
      <c r="D452" s="288">
        <v>1.9500131469667892E-2</v>
      </c>
      <c r="E452" s="288">
        <v>1.4382245482531237E-2</v>
      </c>
      <c r="F452" s="289">
        <v>0.83643600939900842</v>
      </c>
      <c r="G452" s="92">
        <v>0.45565455917696818</v>
      </c>
      <c r="H452" s="288">
        <v>0.14606921081862007</v>
      </c>
      <c r="I452" s="288">
        <v>4.2876781939928856E-3</v>
      </c>
      <c r="J452" s="288">
        <v>0.99999994376369095</v>
      </c>
      <c r="K452" s="288">
        <v>0.79477407632069708</v>
      </c>
      <c r="L452" s="290">
        <v>9212.5443912555493</v>
      </c>
      <c r="M452" s="288">
        <v>0</v>
      </c>
      <c r="N452" s="288">
        <v>18087.534977307623</v>
      </c>
      <c r="O452" s="288">
        <v>1052.8772752494583</v>
      </c>
      <c r="P452" s="288">
        <v>44631.72748384688</v>
      </c>
      <c r="Q452" s="291">
        <v>92615.71181758953</v>
      </c>
      <c r="R452" s="288">
        <v>21222.931325747988</v>
      </c>
      <c r="S452" s="288">
        <v>7752.500138032492</v>
      </c>
      <c r="T452" s="290">
        <v>0.751</v>
      </c>
      <c r="U452" s="288">
        <v>0.75800000000000001</v>
      </c>
      <c r="V452" s="288">
        <v>0.723923076923077</v>
      </c>
      <c r="W452" s="288">
        <v>0.72750000000000004</v>
      </c>
      <c r="X452" s="288">
        <v>0.76</v>
      </c>
      <c r="Y452" s="288">
        <v>0</v>
      </c>
      <c r="Z452" s="289">
        <v>0</v>
      </c>
      <c r="AA452" s="229"/>
      <c r="AB452" s="52">
        <v>76227.605870752508</v>
      </c>
      <c r="AC452" s="288">
        <v>3.4067349420918758</v>
      </c>
      <c r="AD452" s="288">
        <v>63660.641735005636</v>
      </c>
      <c r="AE452" s="288">
        <v>3.21588499795185</v>
      </c>
      <c r="AF452" s="288">
        <v>12566.964135746872</v>
      </c>
      <c r="AG452" s="289">
        <v>0.19084994414002576</v>
      </c>
      <c r="AH452" s="229"/>
      <c r="AI452" s="205">
        <f t="shared" si="46"/>
        <v>264445.88833843509</v>
      </c>
      <c r="AJ452" s="205">
        <f t="shared" si="47"/>
        <v>257927.85806017937</v>
      </c>
      <c r="AK452" s="205">
        <f t="shared" si="48"/>
        <v>6518.0302782557046</v>
      </c>
      <c r="AL452" s="229"/>
      <c r="AM452" s="52">
        <f t="shared" si="30"/>
        <v>1</v>
      </c>
      <c r="AN452" s="52">
        <f t="shared" si="31"/>
        <v>0</v>
      </c>
      <c r="AO452" s="52">
        <f t="shared" si="32"/>
        <v>1</v>
      </c>
      <c r="AP452" s="229"/>
      <c r="AQ452" s="3"/>
      <c r="AR452" s="3"/>
      <c r="AS452" s="3"/>
      <c r="AT452" s="3"/>
      <c r="AU452" s="229"/>
      <c r="AV452" s="318">
        <f t="shared" si="49"/>
        <v>264445.88833843509</v>
      </c>
      <c r="AW452" s="229"/>
      <c r="AX452" s="312"/>
      <c r="AY452" s="14"/>
      <c r="AZ452" s="14">
        <f t="shared" si="51"/>
        <v>12566.964135746872</v>
      </c>
      <c r="BA452" s="14">
        <f t="shared" si="50"/>
        <v>0.19084994414002576</v>
      </c>
      <c r="BB452" s="14">
        <f t="shared" si="33"/>
        <v>65847.355588045364</v>
      </c>
      <c r="BC452" s="14"/>
      <c r="BD452" s="14"/>
      <c r="BE452" s="14"/>
      <c r="BF452" s="14"/>
      <c r="BG452" s="14"/>
      <c r="BH452" s="14"/>
      <c r="BI452" s="14"/>
      <c r="BJ452" s="14"/>
      <c r="BK452" s="14"/>
      <c r="BL452" s="14"/>
      <c r="BM452" s="14"/>
      <c r="BN452" s="14"/>
      <c r="BO452" s="14"/>
      <c r="BP452" s="14"/>
      <c r="BQ452" s="14"/>
      <c r="BR452" s="14"/>
      <c r="BS452" s="14"/>
      <c r="BT452" s="14"/>
      <c r="BU452" s="14"/>
      <c r="BV452" s="14"/>
      <c r="BW452" s="14"/>
      <c r="BX452" s="14"/>
      <c r="BY452" s="14"/>
      <c r="BZ452" s="14"/>
      <c r="CA452" s="14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</row>
    <row r="453" spans="1:101" ht="14.25" customHeight="1" x14ac:dyDescent="0.2">
      <c r="A453" s="286"/>
      <c r="B453" s="52">
        <v>0.14854151481624978</v>
      </c>
      <c r="C453" s="288">
        <v>6.8963457560142064E-2</v>
      </c>
      <c r="D453" s="288">
        <v>2.5059905522986869E-2</v>
      </c>
      <c r="E453" s="288">
        <v>8.3877667579963372E-3</v>
      </c>
      <c r="F453" s="289">
        <v>0.83715987052242224</v>
      </c>
      <c r="G453" s="92">
        <v>0.43664694683413474</v>
      </c>
      <c r="H453" s="288">
        <v>0.96075258825366272</v>
      </c>
      <c r="I453" s="288">
        <v>1.2162618653844035E-2</v>
      </c>
      <c r="J453" s="288">
        <v>0.99875125493549</v>
      </c>
      <c r="K453" s="288">
        <v>0.7803298365505611</v>
      </c>
      <c r="L453" s="290">
        <v>14715.054787272262</v>
      </c>
      <c r="M453" s="288">
        <v>0</v>
      </c>
      <c r="N453" s="288">
        <v>21324.7197380285</v>
      </c>
      <c r="O453" s="288">
        <v>1170.8875303067086</v>
      </c>
      <c r="P453" s="288">
        <v>44880.999326540805</v>
      </c>
      <c r="Q453" s="291">
        <v>90569.26739753838</v>
      </c>
      <c r="R453" s="288">
        <v>25123.947322307002</v>
      </c>
      <c r="S453" s="288">
        <v>10327.227216204286</v>
      </c>
      <c r="T453" s="290">
        <v>0.751</v>
      </c>
      <c r="U453" s="288">
        <v>0.75800000000000001</v>
      </c>
      <c r="V453" s="288">
        <v>0.723923076923077</v>
      </c>
      <c r="W453" s="288">
        <v>0.72750000000000004</v>
      </c>
      <c r="X453" s="288">
        <v>0.76</v>
      </c>
      <c r="Y453" s="288">
        <v>0</v>
      </c>
      <c r="Z453" s="289">
        <v>0</v>
      </c>
      <c r="AA453" s="229"/>
      <c r="AB453" s="52">
        <v>101096.16266281519</v>
      </c>
      <c r="AC453" s="288">
        <v>3.4101584144843771</v>
      </c>
      <c r="AD453" s="288">
        <v>92121.295778186555</v>
      </c>
      <c r="AE453" s="288">
        <v>3.1485562697827456</v>
      </c>
      <c r="AF453" s="288">
        <v>8974.8668846286309</v>
      </c>
      <c r="AG453" s="289">
        <v>0.26160214470163146</v>
      </c>
      <c r="AH453" s="229"/>
      <c r="AI453" s="205">
        <f t="shared" si="46"/>
        <v>239919.67878562253</v>
      </c>
      <c r="AJ453" s="205">
        <f t="shared" si="47"/>
        <v>222734.331200088</v>
      </c>
      <c r="AK453" s="205">
        <f t="shared" si="48"/>
        <v>17185.347585534513</v>
      </c>
      <c r="AL453" s="229"/>
      <c r="AM453" s="52">
        <f t="shared" si="30"/>
        <v>1</v>
      </c>
      <c r="AN453" s="52">
        <f t="shared" si="31"/>
        <v>0</v>
      </c>
      <c r="AO453" s="52">
        <f t="shared" si="32"/>
        <v>1</v>
      </c>
      <c r="AP453" s="229"/>
      <c r="AQ453" s="3"/>
      <c r="AR453" s="3"/>
      <c r="AS453" s="3"/>
      <c r="AT453" s="3"/>
      <c r="AU453" s="229"/>
      <c r="AV453" s="318">
        <f t="shared" si="49"/>
        <v>239919.67878562253</v>
      </c>
      <c r="AW453" s="229"/>
      <c r="AX453" s="312"/>
      <c r="AY453" s="14"/>
      <c r="AZ453" s="14">
        <f t="shared" si="51"/>
        <v>8974.8668846286309</v>
      </c>
      <c r="BA453" s="14">
        <f t="shared" si="50"/>
        <v>0.26160214470163146</v>
      </c>
      <c r="BB453" s="14">
        <f t="shared" si="33"/>
        <v>34307.313859620124</v>
      </c>
      <c r="BC453" s="14"/>
      <c r="BD453" s="14"/>
      <c r="BE453" s="14"/>
      <c r="BF453" s="14"/>
      <c r="BG453" s="14"/>
      <c r="BH453" s="14"/>
      <c r="BI453" s="14"/>
      <c r="BJ453" s="14"/>
      <c r="BK453" s="14"/>
      <c r="BL453" s="14"/>
      <c r="BM453" s="14"/>
      <c r="BN453" s="14"/>
      <c r="BO453" s="14"/>
      <c r="BP453" s="14"/>
      <c r="BQ453" s="14"/>
      <c r="BR453" s="14"/>
      <c r="BS453" s="14"/>
      <c r="BT453" s="14"/>
      <c r="BU453" s="14"/>
      <c r="BV453" s="14"/>
      <c r="BW453" s="14"/>
      <c r="BX453" s="14"/>
      <c r="BY453" s="14"/>
      <c r="BZ453" s="14"/>
      <c r="CA453" s="14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</row>
    <row r="454" spans="1:101" ht="14.25" customHeight="1" x14ac:dyDescent="0.2">
      <c r="A454" s="286"/>
      <c r="B454" s="52">
        <v>0.13596604490792832</v>
      </c>
      <c r="C454" s="288">
        <v>0.39258611122555231</v>
      </c>
      <c r="D454" s="288">
        <v>2.3304161616605756E-2</v>
      </c>
      <c r="E454" s="288">
        <v>3.1441615376235021E-2</v>
      </c>
      <c r="F454" s="289">
        <v>0.78700515753349243</v>
      </c>
      <c r="G454" s="92">
        <v>0.38505900816942223</v>
      </c>
      <c r="H454" s="288">
        <v>0.78249723943226623</v>
      </c>
      <c r="I454" s="288">
        <v>4.4888554592420471E-2</v>
      </c>
      <c r="J454" s="288">
        <v>8.5417043828285036E-2</v>
      </c>
      <c r="K454" s="288">
        <v>0.81680991878859732</v>
      </c>
      <c r="L454" s="290">
        <v>13491.464068325075</v>
      </c>
      <c r="M454" s="288">
        <v>0</v>
      </c>
      <c r="N454" s="288">
        <v>11419.923006222618</v>
      </c>
      <c r="O454" s="288">
        <v>1015.2775667738475</v>
      </c>
      <c r="P454" s="288">
        <v>46822.780237990242</v>
      </c>
      <c r="Q454" s="291">
        <v>131471.2147447741</v>
      </c>
      <c r="R454" s="288">
        <v>18222.770698776589</v>
      </c>
      <c r="S454" s="288">
        <v>10429.976362758096</v>
      </c>
      <c r="T454" s="290">
        <v>0.751</v>
      </c>
      <c r="U454" s="288">
        <v>0.75800000000000001</v>
      </c>
      <c r="V454" s="288">
        <v>0.723923076923077</v>
      </c>
      <c r="W454" s="288">
        <v>0.72750000000000004</v>
      </c>
      <c r="X454" s="288">
        <v>0.76</v>
      </c>
      <c r="Y454" s="288">
        <v>0</v>
      </c>
      <c r="Z454" s="289">
        <v>0</v>
      </c>
      <c r="AA454" s="229"/>
      <c r="AB454" s="52">
        <v>96306.957372565681</v>
      </c>
      <c r="AC454" s="288">
        <v>3.1748979991502919</v>
      </c>
      <c r="AD454" s="288">
        <v>93067.887238174197</v>
      </c>
      <c r="AE454" s="288">
        <v>3.3192339046815436</v>
      </c>
      <c r="AF454" s="288">
        <v>3239.0701343914843</v>
      </c>
      <c r="AG454" s="289">
        <v>-0.14433590553125164</v>
      </c>
      <c r="AH454" s="229"/>
      <c r="AI454" s="205">
        <f t="shared" si="46"/>
        <v>221182.84254246351</v>
      </c>
      <c r="AJ454" s="205">
        <f t="shared" si="47"/>
        <v>238855.50322998012</v>
      </c>
      <c r="AK454" s="205">
        <f t="shared" si="48"/>
        <v>-17672.660687516647</v>
      </c>
      <c r="AL454" s="229"/>
      <c r="AM454" s="52">
        <f t="shared" si="30"/>
        <v>0</v>
      </c>
      <c r="AN454" s="52">
        <f t="shared" si="31"/>
        <v>1</v>
      </c>
      <c r="AO454" s="52">
        <f t="shared" si="32"/>
        <v>0</v>
      </c>
      <c r="AP454" s="229"/>
      <c r="AQ454" s="3"/>
      <c r="AR454" s="3"/>
      <c r="AS454" s="3"/>
      <c r="AT454" s="3"/>
      <c r="AU454" s="229"/>
      <c r="AV454" s="318">
        <f t="shared" si="49"/>
        <v>238855.50322998012</v>
      </c>
      <c r="AW454" s="229"/>
      <c r="AX454" s="312"/>
      <c r="AY454" s="14"/>
      <c r="AZ454" s="14">
        <f t="shared" si="51"/>
        <v>3239.0701343914843</v>
      </c>
      <c r="BA454" s="14">
        <f t="shared" si="50"/>
        <v>-0.14433590553125164</v>
      </c>
      <c r="BB454" s="14">
        <f t="shared" si="33"/>
        <v>-22441.194534856473</v>
      </c>
      <c r="BC454" s="14"/>
      <c r="BD454" s="14"/>
      <c r="BE454" s="14"/>
      <c r="BF454" s="14"/>
      <c r="BG454" s="14"/>
      <c r="BH454" s="14"/>
      <c r="BI454" s="14"/>
      <c r="BJ454" s="14"/>
      <c r="BK454" s="14"/>
      <c r="BL454" s="14"/>
      <c r="BM454" s="14"/>
      <c r="BN454" s="14"/>
      <c r="BO454" s="14"/>
      <c r="BP454" s="14"/>
      <c r="BQ454" s="14"/>
      <c r="BR454" s="14"/>
      <c r="BS454" s="14"/>
      <c r="BT454" s="14"/>
      <c r="BU454" s="14"/>
      <c r="BV454" s="14"/>
      <c r="BW454" s="14"/>
      <c r="BX454" s="14"/>
      <c r="BY454" s="14"/>
      <c r="BZ454" s="14"/>
      <c r="CA454" s="14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</row>
    <row r="455" spans="1:101" ht="14.25" customHeight="1" x14ac:dyDescent="0.2">
      <c r="A455" s="286"/>
      <c r="B455" s="52">
        <v>0.13162516906310551</v>
      </c>
      <c r="C455" s="288">
        <v>1.8149402554922058E-2</v>
      </c>
      <c r="D455" s="288">
        <v>1.3379334711825522E-2</v>
      </c>
      <c r="E455" s="288">
        <v>1.5998602274789664E-2</v>
      </c>
      <c r="F455" s="289">
        <v>0.78039328963558441</v>
      </c>
      <c r="G455" s="92">
        <v>0.40084543717374999</v>
      </c>
      <c r="H455" s="288">
        <v>0.13400673094347204</v>
      </c>
      <c r="I455" s="288">
        <v>1.0396502656252769E-2</v>
      </c>
      <c r="J455" s="288">
        <v>1</v>
      </c>
      <c r="K455" s="288">
        <v>0.76456838198950416</v>
      </c>
      <c r="L455" s="290">
        <v>13395.908080486695</v>
      </c>
      <c r="M455" s="288">
        <v>0</v>
      </c>
      <c r="N455" s="288">
        <v>20390.155719273749</v>
      </c>
      <c r="O455" s="288">
        <v>1191.9467177235965</v>
      </c>
      <c r="P455" s="288">
        <v>47342.171326655938</v>
      </c>
      <c r="Q455" s="291">
        <v>96772.264927970173</v>
      </c>
      <c r="R455" s="288">
        <v>35485.024380482879</v>
      </c>
      <c r="S455" s="288">
        <v>5976.8239261212984</v>
      </c>
      <c r="T455" s="290">
        <v>0.751</v>
      </c>
      <c r="U455" s="288">
        <v>0.75800000000000001</v>
      </c>
      <c r="V455" s="288">
        <v>0.723923076923077</v>
      </c>
      <c r="W455" s="288">
        <v>0.72750000000000004</v>
      </c>
      <c r="X455" s="288">
        <v>0.76</v>
      </c>
      <c r="Y455" s="288">
        <v>0</v>
      </c>
      <c r="Z455" s="289">
        <v>0</v>
      </c>
      <c r="AA455" s="229"/>
      <c r="AB455" s="52">
        <v>59996.865447740405</v>
      </c>
      <c r="AC455" s="288">
        <v>3.1441781045497175</v>
      </c>
      <c r="AD455" s="288">
        <v>48619.195656250289</v>
      </c>
      <c r="AE455" s="288">
        <v>3.0754628421812376</v>
      </c>
      <c r="AF455" s="288">
        <v>11377.669791490116</v>
      </c>
      <c r="AG455" s="289">
        <v>6.8715262368479912E-2</v>
      </c>
      <c r="AH455" s="229"/>
      <c r="AI455" s="205">
        <f t="shared" si="46"/>
        <v>254420.94500723132</v>
      </c>
      <c r="AJ455" s="205">
        <f t="shared" si="47"/>
        <v>258927.08856187348</v>
      </c>
      <c r="AK455" s="205">
        <f t="shared" si="48"/>
        <v>-4506.1435546421244</v>
      </c>
      <c r="AL455" s="229"/>
      <c r="AM455" s="52">
        <f t="shared" si="30"/>
        <v>0</v>
      </c>
      <c r="AN455" s="52">
        <f t="shared" si="31"/>
        <v>1</v>
      </c>
      <c r="AO455" s="52">
        <f t="shared" si="32"/>
        <v>0</v>
      </c>
      <c r="AP455" s="229"/>
      <c r="AQ455" s="3"/>
      <c r="AR455" s="3"/>
      <c r="AS455" s="3"/>
      <c r="AT455" s="3"/>
      <c r="AU455" s="229"/>
      <c r="AV455" s="318">
        <f t="shared" si="49"/>
        <v>258927.08856187348</v>
      </c>
      <c r="AW455" s="229"/>
      <c r="AX455" s="312"/>
      <c r="AY455" s="14"/>
      <c r="AZ455" s="14">
        <f t="shared" si="51"/>
        <v>11377.669791490116</v>
      </c>
      <c r="BA455" s="14">
        <f t="shared" si="50"/>
        <v>6.8715262368479912E-2</v>
      </c>
      <c r="BB455" s="14">
        <f t="shared" si="33"/>
        <v>165577.04066497341</v>
      </c>
      <c r="BC455" s="14"/>
      <c r="BD455" s="14"/>
      <c r="BE455" s="14"/>
      <c r="BF455" s="14"/>
      <c r="BG455" s="14"/>
      <c r="BH455" s="14"/>
      <c r="BI455" s="14"/>
      <c r="BJ455" s="14"/>
      <c r="BK455" s="14"/>
      <c r="BL455" s="14"/>
      <c r="BM455" s="14"/>
      <c r="BN455" s="14"/>
      <c r="BO455" s="14"/>
      <c r="BP455" s="14"/>
      <c r="BQ455" s="14"/>
      <c r="BR455" s="14"/>
      <c r="BS455" s="14"/>
      <c r="BT455" s="14"/>
      <c r="BU455" s="14"/>
      <c r="BV455" s="14"/>
      <c r="BW455" s="14"/>
      <c r="BX455" s="14"/>
      <c r="BY455" s="14"/>
      <c r="BZ455" s="14"/>
      <c r="CA455" s="14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</row>
    <row r="456" spans="1:101" ht="14.25" customHeight="1" x14ac:dyDescent="0.2">
      <c r="A456" s="286"/>
      <c r="B456" s="52">
        <v>0.16742210523382584</v>
      </c>
      <c r="C456" s="288">
        <v>0.19576814949639174</v>
      </c>
      <c r="D456" s="288">
        <v>1.5414793058310061E-2</v>
      </c>
      <c r="E456" s="288">
        <v>2.3407162230130618E-2</v>
      </c>
      <c r="F456" s="289">
        <v>0.79606914097366066</v>
      </c>
      <c r="G456" s="92">
        <v>0.39894580531087276</v>
      </c>
      <c r="H456" s="288">
        <v>0.75627868003485699</v>
      </c>
      <c r="I456" s="288">
        <v>6.3620917100807393E-3</v>
      </c>
      <c r="J456" s="288">
        <v>0.99385711431986534</v>
      </c>
      <c r="K456" s="288">
        <v>0.72480933114156054</v>
      </c>
      <c r="L456" s="290">
        <v>12028.668232509872</v>
      </c>
      <c r="M456" s="288">
        <v>0</v>
      </c>
      <c r="N456" s="288">
        <v>16491.040895986698</v>
      </c>
      <c r="O456" s="288">
        <v>1370.7432160048918</v>
      </c>
      <c r="P456" s="288">
        <v>47108.462987264145</v>
      </c>
      <c r="Q456" s="291">
        <v>77021.431944355762</v>
      </c>
      <c r="R456" s="288">
        <v>26507.345259003072</v>
      </c>
      <c r="S456" s="288">
        <v>10141.224584032683</v>
      </c>
      <c r="T456" s="290">
        <v>0.751</v>
      </c>
      <c r="U456" s="288">
        <v>0.75800000000000001</v>
      </c>
      <c r="V456" s="288">
        <v>0.723923076923077</v>
      </c>
      <c r="W456" s="288">
        <v>0.72750000000000004</v>
      </c>
      <c r="X456" s="288">
        <v>0.76</v>
      </c>
      <c r="Y456" s="288">
        <v>0</v>
      </c>
      <c r="Z456" s="289">
        <v>0</v>
      </c>
      <c r="AA456" s="229"/>
      <c r="AB456" s="52">
        <v>93271.880939614726</v>
      </c>
      <c r="AC456" s="288">
        <v>3.2171222820861489</v>
      </c>
      <c r="AD456" s="288">
        <v>82158.089821680798</v>
      </c>
      <c r="AE456" s="288">
        <v>2.8928207865537563</v>
      </c>
      <c r="AF456" s="288">
        <v>11113.791117933928</v>
      </c>
      <c r="AG456" s="289">
        <v>0.32430149553239263</v>
      </c>
      <c r="AH456" s="229"/>
      <c r="AI456" s="205">
        <f t="shared" si="46"/>
        <v>228440.34726900019</v>
      </c>
      <c r="AJ456" s="205">
        <f t="shared" si="47"/>
        <v>207123.98883369484</v>
      </c>
      <c r="AK456" s="205">
        <f t="shared" si="48"/>
        <v>21316.358435305334</v>
      </c>
      <c r="AL456" s="229"/>
      <c r="AM456" s="52">
        <f t="shared" si="30"/>
        <v>1</v>
      </c>
      <c r="AN456" s="52">
        <f t="shared" si="31"/>
        <v>0</v>
      </c>
      <c r="AO456" s="52">
        <f t="shared" si="32"/>
        <v>1</v>
      </c>
      <c r="AP456" s="229"/>
      <c r="AQ456" s="28"/>
      <c r="AR456" s="28"/>
      <c r="AS456" s="28"/>
      <c r="AT456" s="28"/>
      <c r="AU456" s="229"/>
      <c r="AV456" s="318">
        <f t="shared" si="49"/>
        <v>228440.34726900019</v>
      </c>
      <c r="AW456" s="229"/>
      <c r="AX456" s="313"/>
      <c r="AY456" s="302"/>
      <c r="AZ456" s="14">
        <f t="shared" si="51"/>
        <v>11113.791117933928</v>
      </c>
      <c r="BA456" s="14">
        <f t="shared" si="50"/>
        <v>0.32430149553239263</v>
      </c>
      <c r="BB456" s="14">
        <f t="shared" si="33"/>
        <v>34269.934832365994</v>
      </c>
      <c r="BC456" s="302"/>
      <c r="BD456" s="302"/>
      <c r="BE456" s="302"/>
      <c r="BF456" s="302"/>
      <c r="BG456" s="302"/>
      <c r="BH456" s="302"/>
      <c r="BI456" s="302"/>
      <c r="BJ456" s="302"/>
      <c r="BK456" s="302"/>
      <c r="BL456" s="302"/>
      <c r="BM456" s="302"/>
      <c r="BN456" s="302"/>
      <c r="BO456" s="302"/>
      <c r="BP456" s="14"/>
      <c r="BQ456" s="14"/>
      <c r="BR456" s="14"/>
      <c r="BS456" s="14"/>
      <c r="BT456" s="14"/>
      <c r="BU456" s="14"/>
      <c r="BV456" s="14"/>
      <c r="BW456" s="14"/>
      <c r="BX456" s="14"/>
      <c r="BY456" s="14"/>
      <c r="BZ456" s="14"/>
      <c r="CA456" s="14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</row>
    <row r="457" spans="1:101" ht="14.25" customHeight="1" x14ac:dyDescent="0.2">
      <c r="A457" s="286"/>
      <c r="B457" s="52">
        <v>0.14927932499506419</v>
      </c>
      <c r="C457" s="288">
        <v>0.43605854349659912</v>
      </c>
      <c r="D457" s="288">
        <v>1.3530698264318792E-2</v>
      </c>
      <c r="E457" s="288">
        <v>3.2911425319352094E-2</v>
      </c>
      <c r="F457" s="289">
        <v>0.80747394259505012</v>
      </c>
      <c r="G457" s="92">
        <v>0.38982548451424837</v>
      </c>
      <c r="H457" s="288">
        <v>0.49297384350619877</v>
      </c>
      <c r="I457" s="288">
        <v>1.4102714420834448E-2</v>
      </c>
      <c r="J457" s="288">
        <v>0.99999999960667729</v>
      </c>
      <c r="K457" s="288">
        <v>0.82651089817535106</v>
      </c>
      <c r="L457" s="290">
        <v>12336.046876569846</v>
      </c>
      <c r="M457" s="288">
        <v>0</v>
      </c>
      <c r="N457" s="288">
        <v>19051.279060551176</v>
      </c>
      <c r="O457" s="288">
        <v>1222.3822171008992</v>
      </c>
      <c r="P457" s="288">
        <v>55196.509481199078</v>
      </c>
      <c r="Q457" s="291">
        <v>98921.342371375315</v>
      </c>
      <c r="R457" s="288">
        <v>21580.051820513629</v>
      </c>
      <c r="S457" s="288">
        <v>10847.981976895564</v>
      </c>
      <c r="T457" s="290">
        <v>0.751</v>
      </c>
      <c r="U457" s="288">
        <v>0.75800000000000001</v>
      </c>
      <c r="V457" s="288">
        <v>0.723923076923077</v>
      </c>
      <c r="W457" s="288">
        <v>0.72750000000000004</v>
      </c>
      <c r="X457" s="288">
        <v>0.76</v>
      </c>
      <c r="Y457" s="288">
        <v>0</v>
      </c>
      <c r="Z457" s="289">
        <v>0</v>
      </c>
      <c r="AA457" s="229"/>
      <c r="AB457" s="52">
        <v>100866.71160971628</v>
      </c>
      <c r="AC457" s="288">
        <v>3.2704342704235758</v>
      </c>
      <c r="AD457" s="288">
        <v>94973.521513570304</v>
      </c>
      <c r="AE457" s="288">
        <v>3.3649744991895543</v>
      </c>
      <c r="AF457" s="288">
        <v>5893.190096145976</v>
      </c>
      <c r="AG457" s="289">
        <v>-9.4540228765978451E-2</v>
      </c>
      <c r="AH457" s="229"/>
      <c r="AI457" s="205">
        <f t="shared" si="46"/>
        <v>226176.71543264127</v>
      </c>
      <c r="AJ457" s="205">
        <f t="shared" si="47"/>
        <v>241523.92840538514</v>
      </c>
      <c r="AK457" s="205">
        <f t="shared" si="48"/>
        <v>-15347.212972743821</v>
      </c>
      <c r="AL457" s="229"/>
      <c r="AM457" s="52">
        <f t="shared" si="30"/>
        <v>0</v>
      </c>
      <c r="AN457" s="52">
        <f t="shared" si="31"/>
        <v>1</v>
      </c>
      <c r="AO457" s="52">
        <f t="shared" si="32"/>
        <v>0</v>
      </c>
      <c r="AP457" s="229"/>
      <c r="AQ457" s="28"/>
      <c r="AR457" s="28"/>
      <c r="AS457" s="28"/>
      <c r="AT457" s="28"/>
      <c r="AU457" s="229"/>
      <c r="AV457" s="318">
        <f t="shared" si="49"/>
        <v>241523.92840538514</v>
      </c>
      <c r="AW457" s="229"/>
      <c r="AX457" s="313"/>
      <c r="AY457" s="302"/>
      <c r="AZ457" s="14">
        <f t="shared" si="51"/>
        <v>5893.190096145976</v>
      </c>
      <c r="BA457" s="14">
        <f t="shared" si="50"/>
        <v>-9.4540228765978451E-2</v>
      </c>
      <c r="BB457" s="14">
        <f t="shared" si="33"/>
        <v>-62335.263760930502</v>
      </c>
      <c r="BC457" s="302"/>
      <c r="BD457" s="302"/>
      <c r="BE457" s="302"/>
      <c r="BF457" s="302"/>
      <c r="BG457" s="302"/>
      <c r="BH457" s="302"/>
      <c r="BI457" s="302"/>
      <c r="BJ457" s="302"/>
      <c r="BK457" s="302"/>
      <c r="BL457" s="302"/>
      <c r="BM457" s="302"/>
      <c r="BN457" s="302"/>
      <c r="BO457" s="302"/>
      <c r="BP457" s="14"/>
      <c r="BQ457" s="14"/>
      <c r="BR457" s="14"/>
      <c r="BS457" s="14"/>
      <c r="BT457" s="14"/>
      <c r="BU457" s="14"/>
      <c r="BV457" s="14"/>
      <c r="BW457" s="14"/>
      <c r="BX457" s="14"/>
      <c r="BY457" s="14"/>
      <c r="BZ457" s="14"/>
      <c r="CA457" s="14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</row>
    <row r="458" spans="1:101" ht="14.25" customHeight="1" x14ac:dyDescent="0.2">
      <c r="A458" s="286"/>
      <c r="B458" s="52">
        <v>0.11264367510829189</v>
      </c>
      <c r="C458" s="288">
        <v>0.20398804590716288</v>
      </c>
      <c r="D458" s="288">
        <v>1.0596144767478454E-2</v>
      </c>
      <c r="E458" s="288">
        <v>6.0182928197923969E-3</v>
      </c>
      <c r="F458" s="289">
        <v>0.76748575037770361</v>
      </c>
      <c r="G458" s="92">
        <v>0.41279994271070886</v>
      </c>
      <c r="H458" s="288">
        <v>0.69217141521952952</v>
      </c>
      <c r="I458" s="288">
        <v>1.3882398878741306E-2</v>
      </c>
      <c r="J458" s="288">
        <v>0.99999999996511113</v>
      </c>
      <c r="K458" s="288">
        <v>0.71538671716012292</v>
      </c>
      <c r="L458" s="290">
        <v>10859.975325100813</v>
      </c>
      <c r="M458" s="288">
        <v>0</v>
      </c>
      <c r="N458" s="288">
        <v>17567.782280349438</v>
      </c>
      <c r="O458" s="288">
        <v>940.11395425723663</v>
      </c>
      <c r="P458" s="288">
        <v>57434.59369243429</v>
      </c>
      <c r="Q458" s="291">
        <v>85079.546293772073</v>
      </c>
      <c r="R458" s="288">
        <v>20334.647809487356</v>
      </c>
      <c r="S458" s="288">
        <v>12814.864181509793</v>
      </c>
      <c r="T458" s="290">
        <v>0.751</v>
      </c>
      <c r="U458" s="288">
        <v>0.75800000000000001</v>
      </c>
      <c r="V458" s="288">
        <v>0.723923076923077</v>
      </c>
      <c r="W458" s="288">
        <v>0.72750000000000004</v>
      </c>
      <c r="X458" s="288">
        <v>0.76</v>
      </c>
      <c r="Y458" s="288">
        <v>0</v>
      </c>
      <c r="Z458" s="289">
        <v>0</v>
      </c>
      <c r="AA458" s="229"/>
      <c r="AB458" s="52">
        <v>108926.42486127617</v>
      </c>
      <c r="AC458" s="288">
        <v>3.0844050096012849</v>
      </c>
      <c r="AD458" s="288">
        <v>98473.719535107099</v>
      </c>
      <c r="AE458" s="288">
        <v>2.8499011432889998</v>
      </c>
      <c r="AF458" s="288">
        <v>10452.705326169074</v>
      </c>
      <c r="AG458" s="289">
        <v>0.23450386631228515</v>
      </c>
      <c r="AH458" s="229"/>
      <c r="AI458" s="205">
        <f t="shared" si="46"/>
        <v>199514.07609885233</v>
      </c>
      <c r="AJ458" s="205">
        <f t="shared" si="47"/>
        <v>186516.39479379292</v>
      </c>
      <c r="AK458" s="205">
        <f t="shared" si="48"/>
        <v>12997.681305059439</v>
      </c>
      <c r="AL458" s="229"/>
      <c r="AM458" s="52">
        <f t="shared" si="30"/>
        <v>1</v>
      </c>
      <c r="AN458" s="52">
        <f t="shared" si="31"/>
        <v>0</v>
      </c>
      <c r="AO458" s="52">
        <f t="shared" si="32"/>
        <v>1</v>
      </c>
      <c r="AP458" s="229"/>
      <c r="AQ458" s="28"/>
      <c r="AR458" s="28"/>
      <c r="AS458" s="28"/>
      <c r="AT458" s="28"/>
      <c r="AU458" s="229"/>
      <c r="AV458" s="318">
        <f t="shared" si="49"/>
        <v>199514.07609885233</v>
      </c>
      <c r="AW458" s="229"/>
      <c r="AX458" s="313"/>
      <c r="AY458" s="302"/>
      <c r="AZ458" s="14">
        <f t="shared" si="51"/>
        <v>10452.705326169074</v>
      </c>
      <c r="BA458" s="14">
        <f t="shared" si="50"/>
        <v>0.23450386631228515</v>
      </c>
      <c r="BB458" s="14">
        <f t="shared" si="33"/>
        <v>44573.701451256115</v>
      </c>
      <c r="BC458" s="302"/>
      <c r="BD458" s="302"/>
      <c r="BE458" s="302"/>
      <c r="BF458" s="302"/>
      <c r="BG458" s="302"/>
      <c r="BH458" s="302"/>
      <c r="BI458" s="302"/>
      <c r="BJ458" s="302"/>
      <c r="BK458" s="302"/>
      <c r="BL458" s="302"/>
      <c r="BM458" s="302"/>
      <c r="BN458" s="302"/>
      <c r="BO458" s="302"/>
      <c r="BP458" s="14"/>
      <c r="BQ458" s="14"/>
      <c r="BR458" s="14"/>
      <c r="BS458" s="14"/>
      <c r="BT458" s="14"/>
      <c r="BU458" s="14"/>
      <c r="BV458" s="14"/>
      <c r="BW458" s="14"/>
      <c r="BX458" s="14"/>
      <c r="BY458" s="14"/>
      <c r="BZ458" s="14"/>
      <c r="CA458" s="14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</row>
    <row r="459" spans="1:101" ht="14.25" customHeight="1" x14ac:dyDescent="0.2">
      <c r="A459" s="286"/>
      <c r="B459" s="52">
        <v>0.14627382533704505</v>
      </c>
      <c r="C459" s="288">
        <v>0.66092666089638452</v>
      </c>
      <c r="D459" s="288">
        <v>1.4672692529006381E-2</v>
      </c>
      <c r="E459" s="288">
        <v>1.9603948531664694E-2</v>
      </c>
      <c r="F459" s="289">
        <v>0.78006823543685844</v>
      </c>
      <c r="G459" s="92">
        <v>0.40599984884538276</v>
      </c>
      <c r="H459" s="288">
        <v>0.16602462386203595</v>
      </c>
      <c r="I459" s="288">
        <v>1.9567767215347587E-2</v>
      </c>
      <c r="J459" s="288">
        <v>0.99999999979067944</v>
      </c>
      <c r="K459" s="288">
        <v>0.73626681427867524</v>
      </c>
      <c r="L459" s="290">
        <v>10245.307224832877</v>
      </c>
      <c r="M459" s="288">
        <v>0</v>
      </c>
      <c r="N459" s="288">
        <v>21230.141840291333</v>
      </c>
      <c r="O459" s="288">
        <v>1501.366496076969</v>
      </c>
      <c r="P459" s="288">
        <v>42275.115953007982</v>
      </c>
      <c r="Q459" s="291">
        <v>78975.437289605936</v>
      </c>
      <c r="R459" s="288">
        <v>23067.654405695965</v>
      </c>
      <c r="S459" s="288">
        <v>5939.1439661433878</v>
      </c>
      <c r="T459" s="290">
        <v>0.751</v>
      </c>
      <c r="U459" s="288">
        <v>0.75800000000000001</v>
      </c>
      <c r="V459" s="288">
        <v>0.723923076923077</v>
      </c>
      <c r="W459" s="288">
        <v>0.72750000000000004</v>
      </c>
      <c r="X459" s="288">
        <v>0.76</v>
      </c>
      <c r="Y459" s="288">
        <v>0</v>
      </c>
      <c r="Z459" s="289">
        <v>0</v>
      </c>
      <c r="AA459" s="229"/>
      <c r="AB459" s="52">
        <v>58743.855310777923</v>
      </c>
      <c r="AC459" s="288">
        <v>3.1426696142800727</v>
      </c>
      <c r="AD459" s="288">
        <v>46990.605028500526</v>
      </c>
      <c r="AE459" s="288">
        <v>2.945197726132128</v>
      </c>
      <c r="AF459" s="288">
        <v>11753.250282277397</v>
      </c>
      <c r="AG459" s="289">
        <v>0.1974718881479447</v>
      </c>
      <c r="AH459" s="229"/>
      <c r="AI459" s="205">
        <f t="shared" si="46"/>
        <v>255523.10611722936</v>
      </c>
      <c r="AJ459" s="205">
        <f t="shared" si="47"/>
        <v>247529.1675847123</v>
      </c>
      <c r="AK459" s="205">
        <f t="shared" si="48"/>
        <v>7993.9385325170733</v>
      </c>
      <c r="AL459" s="229"/>
      <c r="AM459" s="52">
        <f t="shared" si="30"/>
        <v>1</v>
      </c>
      <c r="AN459" s="52">
        <f t="shared" si="31"/>
        <v>0</v>
      </c>
      <c r="AO459" s="52">
        <f t="shared" si="32"/>
        <v>1</v>
      </c>
      <c r="AP459" s="229"/>
      <c r="AQ459" s="28"/>
      <c r="AR459" s="28"/>
      <c r="AS459" s="28"/>
      <c r="AT459" s="28"/>
      <c r="AU459" s="229"/>
      <c r="AV459" s="318">
        <f t="shared" si="49"/>
        <v>255523.10611722936</v>
      </c>
      <c r="AW459" s="229"/>
      <c r="AX459" s="313"/>
      <c r="AY459" s="302"/>
      <c r="AZ459" s="14">
        <f t="shared" si="51"/>
        <v>11753.250282277397</v>
      </c>
      <c r="BA459" s="14">
        <f t="shared" si="50"/>
        <v>0.1974718881479447</v>
      </c>
      <c r="BB459" s="14">
        <f t="shared" si="33"/>
        <v>59518.599799237934</v>
      </c>
      <c r="BC459" s="302"/>
      <c r="BD459" s="302"/>
      <c r="BE459" s="302"/>
      <c r="BF459" s="302"/>
      <c r="BG459" s="302"/>
      <c r="BH459" s="302"/>
      <c r="BI459" s="302"/>
      <c r="BJ459" s="302"/>
      <c r="BK459" s="302"/>
      <c r="BL459" s="302"/>
      <c r="BM459" s="302"/>
      <c r="BN459" s="302"/>
      <c r="BO459" s="302"/>
      <c r="BP459" s="14"/>
      <c r="BQ459" s="14"/>
      <c r="BR459" s="14"/>
      <c r="BS459" s="14"/>
      <c r="BT459" s="14"/>
      <c r="BU459" s="14"/>
      <c r="BV459" s="14"/>
      <c r="BW459" s="14"/>
      <c r="BX459" s="14"/>
      <c r="BY459" s="14"/>
      <c r="BZ459" s="14"/>
      <c r="CA459" s="14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</row>
    <row r="460" spans="1:101" ht="14.25" customHeight="1" x14ac:dyDescent="0.2">
      <c r="A460" s="286"/>
      <c r="B460" s="52">
        <v>0.17257439651085194</v>
      </c>
      <c r="C460" s="288">
        <v>0.44694323295289784</v>
      </c>
      <c r="D460" s="288">
        <v>2.3261020759588691E-2</v>
      </c>
      <c r="E460" s="288">
        <v>1.7289640016776353E-2</v>
      </c>
      <c r="F460" s="289">
        <v>0.81652153462315746</v>
      </c>
      <c r="G460" s="92">
        <v>0.34185121748371772</v>
      </c>
      <c r="H460" s="288">
        <v>1.4226298594358371E-3</v>
      </c>
      <c r="I460" s="288">
        <v>8.7429466395339862E-3</v>
      </c>
      <c r="J460" s="288">
        <v>0.99999999999999789</v>
      </c>
      <c r="K460" s="288">
        <v>0.73775906718884976</v>
      </c>
      <c r="L460" s="290">
        <v>11267.388016205761</v>
      </c>
      <c r="M460" s="288">
        <v>0</v>
      </c>
      <c r="N460" s="288">
        <v>15594.261807524876</v>
      </c>
      <c r="O460" s="288">
        <v>1170.1038380390032</v>
      </c>
      <c r="P460" s="288">
        <v>40923.035622669748</v>
      </c>
      <c r="Q460" s="291">
        <v>66183.374804915016</v>
      </c>
      <c r="R460" s="288">
        <v>25360.623390393201</v>
      </c>
      <c r="S460" s="288">
        <v>12370.583767976521</v>
      </c>
      <c r="T460" s="290">
        <v>0.751</v>
      </c>
      <c r="U460" s="288">
        <v>0.75800000000000001</v>
      </c>
      <c r="V460" s="288">
        <v>0.723923076923077</v>
      </c>
      <c r="W460" s="288">
        <v>0.72750000000000004</v>
      </c>
      <c r="X460" s="288">
        <v>0.76</v>
      </c>
      <c r="Y460" s="288">
        <v>0</v>
      </c>
      <c r="Z460" s="289">
        <v>0</v>
      </c>
      <c r="AA460" s="229"/>
      <c r="AB460" s="52">
        <v>113716.4897036293</v>
      </c>
      <c r="AC460" s="288">
        <v>3.3128725537334689</v>
      </c>
      <c r="AD460" s="288">
        <v>91818.236666968456</v>
      </c>
      <c r="AE460" s="288">
        <v>2.9520346672352105</v>
      </c>
      <c r="AF460" s="288">
        <v>21898.253036660841</v>
      </c>
      <c r="AG460" s="289">
        <v>0.36083788649825843</v>
      </c>
      <c r="AH460" s="229"/>
      <c r="AI460" s="205">
        <f t="shared" si="46"/>
        <v>217570.76566971763</v>
      </c>
      <c r="AJ460" s="205">
        <f t="shared" si="47"/>
        <v>203385.23005655262</v>
      </c>
      <c r="AK460" s="205">
        <f t="shared" si="48"/>
        <v>14185.535613165004</v>
      </c>
      <c r="AL460" s="229"/>
      <c r="AM460" s="52">
        <f t="shared" si="30"/>
        <v>1</v>
      </c>
      <c r="AN460" s="52">
        <f t="shared" si="31"/>
        <v>0</v>
      </c>
      <c r="AO460" s="52">
        <f t="shared" si="32"/>
        <v>1</v>
      </c>
      <c r="AP460" s="229"/>
      <c r="AQ460" s="28"/>
      <c r="AR460" s="28"/>
      <c r="AS460" s="28"/>
      <c r="AT460" s="28"/>
      <c r="AU460" s="229"/>
      <c r="AV460" s="318">
        <f t="shared" si="49"/>
        <v>217570.76566971763</v>
      </c>
      <c r="AW460" s="229"/>
      <c r="AX460" s="313"/>
      <c r="AY460" s="302"/>
      <c r="AZ460" s="14">
        <f t="shared" si="51"/>
        <v>21898.253036660841</v>
      </c>
      <c r="BA460" s="14">
        <f t="shared" si="50"/>
        <v>0.36083788649825843</v>
      </c>
      <c r="BB460" s="14">
        <f t="shared" si="33"/>
        <v>60687.233397722863</v>
      </c>
      <c r="BC460" s="302"/>
      <c r="BD460" s="302"/>
      <c r="BE460" s="302"/>
      <c r="BF460" s="302"/>
      <c r="BG460" s="302"/>
      <c r="BH460" s="302"/>
      <c r="BI460" s="302"/>
      <c r="BJ460" s="302"/>
      <c r="BK460" s="302"/>
      <c r="BL460" s="302"/>
      <c r="BM460" s="302"/>
      <c r="BN460" s="302"/>
      <c r="BO460" s="302"/>
      <c r="BP460" s="14"/>
      <c r="BQ460" s="14"/>
      <c r="BR460" s="14"/>
      <c r="BS460" s="14"/>
      <c r="BT460" s="14"/>
      <c r="BU460" s="14"/>
      <c r="BV460" s="14"/>
      <c r="BW460" s="14"/>
      <c r="BX460" s="14"/>
      <c r="BY460" s="14"/>
      <c r="BZ460" s="14"/>
      <c r="CA460" s="14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</row>
    <row r="461" spans="1:101" ht="14.25" customHeight="1" x14ac:dyDescent="0.2">
      <c r="A461" s="286"/>
      <c r="B461" s="52">
        <v>0.18075424883549784</v>
      </c>
      <c r="C461" s="288">
        <v>0.40237927172864363</v>
      </c>
      <c r="D461" s="288">
        <v>1.6511917018846023E-2</v>
      </c>
      <c r="E461" s="288">
        <v>6.1742230758231311E-3</v>
      </c>
      <c r="F461" s="289">
        <v>0.79148517260840068</v>
      </c>
      <c r="G461" s="92">
        <v>0.36468641871617563</v>
      </c>
      <c r="H461" s="288">
        <v>0.82383059648526391</v>
      </c>
      <c r="I461" s="288">
        <v>3.0747868155479141E-2</v>
      </c>
      <c r="J461" s="288">
        <v>1</v>
      </c>
      <c r="K461" s="288">
        <v>0.70773165812450023</v>
      </c>
      <c r="L461" s="290">
        <v>17132.298717545262</v>
      </c>
      <c r="M461" s="288">
        <v>0</v>
      </c>
      <c r="N461" s="288">
        <v>17779.694209101337</v>
      </c>
      <c r="O461" s="288">
        <v>1256.9379216938075</v>
      </c>
      <c r="P461" s="288">
        <v>63712.365224059322</v>
      </c>
      <c r="Q461" s="291">
        <v>89736.696348678845</v>
      </c>
      <c r="R461" s="288">
        <v>18398.357766646212</v>
      </c>
      <c r="S461" s="288">
        <v>8007.6979099446517</v>
      </c>
      <c r="T461" s="290">
        <v>0.751</v>
      </c>
      <c r="U461" s="288">
        <v>0.75800000000000001</v>
      </c>
      <c r="V461" s="288">
        <v>0.723923076923077</v>
      </c>
      <c r="W461" s="288">
        <v>0.72750000000000004</v>
      </c>
      <c r="X461" s="288">
        <v>0.76</v>
      </c>
      <c r="Y461" s="288">
        <v>0</v>
      </c>
      <c r="Z461" s="289">
        <v>0</v>
      </c>
      <c r="AA461" s="229"/>
      <c r="AB461" s="52">
        <v>81727.401121604795</v>
      </c>
      <c r="AC461" s="288">
        <v>3.1957519034927762</v>
      </c>
      <c r="AD461" s="288">
        <v>64330.832541414755</v>
      </c>
      <c r="AE461" s="288">
        <v>2.8151356766799136</v>
      </c>
      <c r="AF461" s="288">
        <v>17396.56858019004</v>
      </c>
      <c r="AG461" s="289">
        <v>0.38061622681286256</v>
      </c>
      <c r="AH461" s="229"/>
      <c r="AI461" s="205">
        <f t="shared" si="46"/>
        <v>237847.78922767285</v>
      </c>
      <c r="AJ461" s="205">
        <f t="shared" si="47"/>
        <v>217182.73512657662</v>
      </c>
      <c r="AK461" s="205">
        <f t="shared" si="48"/>
        <v>20665.054101096219</v>
      </c>
      <c r="AL461" s="229"/>
      <c r="AM461" s="52">
        <f t="shared" si="30"/>
        <v>1</v>
      </c>
      <c r="AN461" s="52">
        <f t="shared" si="31"/>
        <v>0</v>
      </c>
      <c r="AO461" s="52">
        <f t="shared" si="32"/>
        <v>1</v>
      </c>
      <c r="AP461" s="229"/>
      <c r="AQ461" s="28"/>
      <c r="AR461" s="28"/>
      <c r="AS461" s="28"/>
      <c r="AT461" s="28"/>
      <c r="AU461" s="229"/>
      <c r="AV461" s="318">
        <f t="shared" si="49"/>
        <v>237847.78922767285</v>
      </c>
      <c r="AW461" s="229"/>
      <c r="AX461" s="313"/>
      <c r="AY461" s="302"/>
      <c r="AZ461" s="14">
        <f t="shared" si="51"/>
        <v>17396.56858019004</v>
      </c>
      <c r="BA461" s="14">
        <f t="shared" si="50"/>
        <v>0.38061622681286256</v>
      </c>
      <c r="BB461" s="14">
        <f t="shared" si="33"/>
        <v>45706.323994282575</v>
      </c>
      <c r="BC461" s="302"/>
      <c r="BD461" s="302"/>
      <c r="BE461" s="302"/>
      <c r="BF461" s="302"/>
      <c r="BG461" s="302"/>
      <c r="BH461" s="302"/>
      <c r="BI461" s="302"/>
      <c r="BJ461" s="302"/>
      <c r="BK461" s="302"/>
      <c r="BL461" s="302"/>
      <c r="BM461" s="302"/>
      <c r="BN461" s="302"/>
      <c r="BO461" s="302"/>
      <c r="BP461" s="14"/>
      <c r="BQ461" s="14"/>
      <c r="BR461" s="14"/>
      <c r="BS461" s="14"/>
      <c r="BT461" s="14"/>
      <c r="BU461" s="14"/>
      <c r="BV461" s="14"/>
      <c r="BW461" s="14"/>
      <c r="BX461" s="14"/>
      <c r="BY461" s="14"/>
      <c r="BZ461" s="14"/>
      <c r="CA461" s="14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</row>
    <row r="462" spans="1:101" ht="14.25" customHeight="1" x14ac:dyDescent="0.2">
      <c r="A462" s="286"/>
      <c r="B462" s="52">
        <v>0.11961740116941529</v>
      </c>
      <c r="C462" s="288">
        <v>0.43222037700557669</v>
      </c>
      <c r="D462" s="288">
        <v>1.9698616149087966E-2</v>
      </c>
      <c r="E462" s="288">
        <v>1.7530089099590307E-2</v>
      </c>
      <c r="F462" s="289">
        <v>0.81653209573113095</v>
      </c>
      <c r="G462" s="92">
        <v>0.38231296204416154</v>
      </c>
      <c r="H462" s="288">
        <v>0.20735749590185679</v>
      </c>
      <c r="I462" s="288">
        <v>1.1415111543698099E-2</v>
      </c>
      <c r="J462" s="288">
        <v>0.99183809693982894</v>
      </c>
      <c r="K462" s="288">
        <v>0.75258842744706966</v>
      </c>
      <c r="L462" s="290">
        <v>9266.0603152433032</v>
      </c>
      <c r="M462" s="288">
        <v>0</v>
      </c>
      <c r="N462" s="288">
        <v>25926.683018189826</v>
      </c>
      <c r="O462" s="288">
        <v>961.91808210981162</v>
      </c>
      <c r="P462" s="288">
        <v>48959.294434286508</v>
      </c>
      <c r="Q462" s="291">
        <v>77586.946126571944</v>
      </c>
      <c r="R462" s="288">
        <v>22631.805335957837</v>
      </c>
      <c r="S462" s="288">
        <v>10290.837173346381</v>
      </c>
      <c r="T462" s="290">
        <v>0.751</v>
      </c>
      <c r="U462" s="288">
        <v>0.75800000000000001</v>
      </c>
      <c r="V462" s="288">
        <v>0.723923076923077</v>
      </c>
      <c r="W462" s="288">
        <v>0.72750000000000004</v>
      </c>
      <c r="X462" s="288">
        <v>0.76</v>
      </c>
      <c r="Y462" s="288">
        <v>0</v>
      </c>
      <c r="Z462" s="289">
        <v>0</v>
      </c>
      <c r="AA462" s="229"/>
      <c r="AB462" s="293">
        <v>93944.036987802392</v>
      </c>
      <c r="AC462" s="294">
        <v>3.3129221662804103</v>
      </c>
      <c r="AD462" s="295">
        <v>80074.12673028573</v>
      </c>
      <c r="AE462" s="294">
        <v>3.0201679707479583</v>
      </c>
      <c r="AF462" s="295">
        <v>13869.910257516662</v>
      </c>
      <c r="AG462" s="296">
        <v>0.29275419553245197</v>
      </c>
      <c r="AH462" s="229"/>
      <c r="AI462" s="205">
        <f t="shared" ref="AI462:AI525" si="52">AC462*cRatio-AB462</f>
        <v>237348.17964023861</v>
      </c>
      <c r="AJ462" s="205">
        <f t="shared" ref="AJ462:AJ525" si="53">AE462*cRatio-AD462</f>
        <v>221942.67034451009</v>
      </c>
      <c r="AK462" s="205">
        <f t="shared" ref="AK462:AK525" si="54">AG462*cRatio-AF462</f>
        <v>15405.509295728534</v>
      </c>
      <c r="AL462" s="229"/>
      <c r="AM462" s="52">
        <f t="shared" si="30"/>
        <v>1</v>
      </c>
      <c r="AN462" s="52">
        <f t="shared" si="31"/>
        <v>0</v>
      </c>
      <c r="AO462" s="52">
        <f t="shared" si="32"/>
        <v>1</v>
      </c>
      <c r="AP462" s="229"/>
      <c r="AQ462" s="28"/>
      <c r="AR462" s="28"/>
      <c r="AS462" s="28"/>
      <c r="AT462" s="28"/>
      <c r="AU462" s="229"/>
      <c r="AV462" s="318">
        <f t="shared" si="49"/>
        <v>237348.17964023861</v>
      </c>
      <c r="AW462" s="229"/>
      <c r="AX462" s="313"/>
      <c r="AY462" s="302"/>
      <c r="AZ462" s="14">
        <f t="shared" si="51"/>
        <v>13869.910257516662</v>
      </c>
      <c r="BA462" s="14">
        <f t="shared" si="50"/>
        <v>0.29275419553245197</v>
      </c>
      <c r="BB462" s="14">
        <f t="shared" si="33"/>
        <v>47377.323601769436</v>
      </c>
      <c r="BC462" s="302"/>
      <c r="BD462" s="302"/>
      <c r="BE462" s="302"/>
      <c r="BF462" s="302"/>
      <c r="BG462" s="302"/>
      <c r="BH462" s="302"/>
      <c r="BI462" s="302"/>
      <c r="BJ462" s="302"/>
      <c r="BK462" s="302"/>
      <c r="BL462" s="302"/>
      <c r="BM462" s="302"/>
      <c r="BN462" s="302"/>
      <c r="BO462" s="302"/>
      <c r="BP462" s="14"/>
      <c r="BQ462" s="14"/>
      <c r="BR462" s="14"/>
      <c r="BS462" s="14"/>
      <c r="BT462" s="14"/>
      <c r="BU462" s="14"/>
      <c r="BV462" s="14"/>
      <c r="BW462" s="14"/>
      <c r="BX462" s="14"/>
      <c r="BY462" s="14"/>
      <c r="BZ462" s="14"/>
      <c r="CA462" s="14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</row>
    <row r="463" spans="1:101" ht="14.25" customHeight="1" x14ac:dyDescent="0.2">
      <c r="A463" s="286"/>
      <c r="B463" s="52">
        <v>0.109179017265937</v>
      </c>
      <c r="C463" s="288">
        <v>0.22173905833603491</v>
      </c>
      <c r="D463" s="288">
        <v>1.1294867023976285E-2</v>
      </c>
      <c r="E463" s="288">
        <v>2.9691120639029567E-2</v>
      </c>
      <c r="F463" s="289">
        <v>0.79847758478483399</v>
      </c>
      <c r="G463" s="92">
        <v>0.45963760167875778</v>
      </c>
      <c r="H463" s="288">
        <v>0.37644469069707598</v>
      </c>
      <c r="I463" s="288">
        <v>2.5204506757206091E-2</v>
      </c>
      <c r="J463" s="288">
        <v>0.96422719433095938</v>
      </c>
      <c r="K463" s="288">
        <v>0.78936099905845625</v>
      </c>
      <c r="L463" s="290">
        <v>8830.0610832425245</v>
      </c>
      <c r="M463" s="288">
        <v>0</v>
      </c>
      <c r="N463" s="288">
        <v>16589.693041136903</v>
      </c>
      <c r="O463" s="288">
        <v>1726.9086308456363</v>
      </c>
      <c r="P463" s="288">
        <v>59013.477073407274</v>
      </c>
      <c r="Q463" s="291">
        <v>68763.687301435042</v>
      </c>
      <c r="R463" s="288">
        <v>28328.540807204758</v>
      </c>
      <c r="S463" s="288">
        <v>8975.227371279525</v>
      </c>
      <c r="T463" s="290">
        <v>0.751</v>
      </c>
      <c r="U463" s="288">
        <v>0.75800000000000001</v>
      </c>
      <c r="V463" s="288">
        <v>0.723923076923077</v>
      </c>
      <c r="W463" s="288">
        <v>0.72750000000000004</v>
      </c>
      <c r="X463" s="288">
        <v>0.76</v>
      </c>
      <c r="Y463" s="288">
        <v>0</v>
      </c>
      <c r="Z463" s="289">
        <v>0</v>
      </c>
      <c r="AA463" s="229"/>
      <c r="AB463" s="293">
        <v>80756.888297130528</v>
      </c>
      <c r="AC463" s="294">
        <v>3.2283636115120786</v>
      </c>
      <c r="AD463" s="295">
        <v>77931.111677898487</v>
      </c>
      <c r="AE463" s="294">
        <v>3.1906145697823249</v>
      </c>
      <c r="AF463" s="295">
        <v>2825.7766192320414</v>
      </c>
      <c r="AG463" s="296">
        <v>3.7749041729753685E-2</v>
      </c>
      <c r="AH463" s="229"/>
      <c r="AI463" s="205">
        <f t="shared" si="52"/>
        <v>242079.47285407735</v>
      </c>
      <c r="AJ463" s="205">
        <f t="shared" si="53"/>
        <v>241130.34530033398</v>
      </c>
      <c r="AK463" s="205">
        <f t="shared" si="54"/>
        <v>949.1275537433271</v>
      </c>
      <c r="AL463" s="229"/>
      <c r="AM463" s="52">
        <f t="shared" si="30"/>
        <v>1</v>
      </c>
      <c r="AN463" s="52">
        <f t="shared" si="31"/>
        <v>0</v>
      </c>
      <c r="AO463" s="52">
        <f t="shared" si="32"/>
        <v>1</v>
      </c>
      <c r="AP463" s="229"/>
      <c r="AQ463" s="28"/>
      <c r="AR463" s="28"/>
      <c r="AS463" s="28"/>
      <c r="AT463" s="28"/>
      <c r="AU463" s="229"/>
      <c r="AV463" s="318">
        <f t="shared" ref="AV463:AV526" si="55">MAX(AI463:AJ463)</f>
        <v>242079.47285407735</v>
      </c>
      <c r="AW463" s="229"/>
      <c r="AX463" s="313"/>
      <c r="AY463" s="302"/>
      <c r="AZ463" s="14">
        <f t="shared" si="51"/>
        <v>2825.7766192320414</v>
      </c>
      <c r="BA463" s="14">
        <f t="shared" ref="BA463:BA526" si="56">AG463</f>
        <v>3.7749041729753685E-2</v>
      </c>
      <c r="BB463" s="14">
        <f t="shared" si="33"/>
        <v>74856.909996864168</v>
      </c>
      <c r="BC463" s="302"/>
      <c r="BD463" s="302"/>
      <c r="BE463" s="302"/>
      <c r="BF463" s="302"/>
      <c r="BG463" s="302"/>
      <c r="BH463" s="302"/>
      <c r="BI463" s="302"/>
      <c r="BJ463" s="302"/>
      <c r="BK463" s="302"/>
      <c r="BL463" s="302"/>
      <c r="BM463" s="302"/>
      <c r="BN463" s="302"/>
      <c r="BO463" s="302"/>
      <c r="BP463" s="14"/>
      <c r="BQ463" s="14"/>
      <c r="BR463" s="14"/>
      <c r="BS463" s="14"/>
      <c r="BT463" s="14"/>
      <c r="BU463" s="14"/>
      <c r="BV463" s="14"/>
      <c r="BW463" s="14"/>
      <c r="BX463" s="14"/>
      <c r="BY463" s="14"/>
      <c r="BZ463" s="14"/>
      <c r="CA463" s="14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</row>
    <row r="464" spans="1:101" ht="14.25" customHeight="1" x14ac:dyDescent="0.2">
      <c r="A464" s="286"/>
      <c r="B464" s="52">
        <v>0.19326737762626067</v>
      </c>
      <c r="C464" s="288">
        <v>0.14736996542891287</v>
      </c>
      <c r="D464" s="288">
        <v>2.1704688617942836E-2</v>
      </c>
      <c r="E464" s="288">
        <v>1.1417147207811175E-2</v>
      </c>
      <c r="F464" s="289">
        <v>0.8205186332196418</v>
      </c>
      <c r="G464" s="92">
        <v>0.39375694710486797</v>
      </c>
      <c r="H464" s="288">
        <v>0.43515139198514274</v>
      </c>
      <c r="I464" s="288">
        <v>3.2082701942263037E-2</v>
      </c>
      <c r="J464" s="288">
        <v>1</v>
      </c>
      <c r="K464" s="288">
        <v>0.7409027077075292</v>
      </c>
      <c r="L464" s="290">
        <v>8887.5516406289444</v>
      </c>
      <c r="M464" s="288">
        <v>0</v>
      </c>
      <c r="N464" s="288">
        <v>18580.582356535528</v>
      </c>
      <c r="O464" s="288">
        <v>1463.0515177137843</v>
      </c>
      <c r="P464" s="288">
        <v>39020.681305992468</v>
      </c>
      <c r="Q464" s="291">
        <v>105452.11342115742</v>
      </c>
      <c r="R464" s="288">
        <v>23620.648378616301</v>
      </c>
      <c r="S464" s="288">
        <v>7120.4551941129439</v>
      </c>
      <c r="T464" s="290">
        <v>0.751</v>
      </c>
      <c r="U464" s="288">
        <v>0.75800000000000001</v>
      </c>
      <c r="V464" s="288">
        <v>0.723923076923077</v>
      </c>
      <c r="W464" s="288">
        <v>0.72750000000000004</v>
      </c>
      <c r="X464" s="288">
        <v>0.76</v>
      </c>
      <c r="Y464" s="288">
        <v>0</v>
      </c>
      <c r="Z464" s="289">
        <v>0</v>
      </c>
      <c r="AA464" s="229"/>
      <c r="AB464" s="293">
        <v>68141.949601088025</v>
      </c>
      <c r="AC464" s="294">
        <v>3.3316620804768764</v>
      </c>
      <c r="AD464" s="295">
        <v>59202.814197930886</v>
      </c>
      <c r="AE464" s="294">
        <v>2.9664491305304264</v>
      </c>
      <c r="AF464" s="295">
        <v>8939.1354031571391</v>
      </c>
      <c r="AG464" s="296">
        <v>0.36521294994645004</v>
      </c>
      <c r="AH464" s="229"/>
      <c r="AI464" s="205">
        <f t="shared" si="52"/>
        <v>265024.25844659965</v>
      </c>
      <c r="AJ464" s="205">
        <f t="shared" si="53"/>
        <v>237442.09885511178</v>
      </c>
      <c r="AK464" s="205">
        <f t="shared" si="54"/>
        <v>27582.159591487864</v>
      </c>
      <c r="AL464" s="229"/>
      <c r="AM464" s="52">
        <f t="shared" si="30"/>
        <v>1</v>
      </c>
      <c r="AN464" s="52">
        <f t="shared" si="31"/>
        <v>0</v>
      </c>
      <c r="AO464" s="52">
        <f t="shared" si="32"/>
        <v>1</v>
      </c>
      <c r="AP464" s="229"/>
      <c r="AQ464" s="28"/>
      <c r="AR464" s="28"/>
      <c r="AS464" s="28"/>
      <c r="AT464" s="28"/>
      <c r="AU464" s="229"/>
      <c r="AV464" s="318">
        <f t="shared" si="55"/>
        <v>265024.25844659965</v>
      </c>
      <c r="AW464" s="229"/>
      <c r="AX464" s="313"/>
      <c r="AY464" s="302"/>
      <c r="AZ464" s="14">
        <f t="shared" ref="AZ464:AZ527" si="57">AF464</f>
        <v>8939.1354031571391</v>
      </c>
      <c r="BA464" s="14">
        <f t="shared" si="56"/>
        <v>0.36521294994645004</v>
      </c>
      <c r="BB464" s="14">
        <f t="shared" si="33"/>
        <v>24476.501735406302</v>
      </c>
      <c r="BC464" s="302"/>
      <c r="BD464" s="302"/>
      <c r="BE464" s="302"/>
      <c r="BF464" s="302"/>
      <c r="BG464" s="302"/>
      <c r="BH464" s="302"/>
      <c r="BI464" s="302"/>
      <c r="BJ464" s="302"/>
      <c r="BK464" s="302"/>
      <c r="BL464" s="302"/>
      <c r="BM464" s="302"/>
      <c r="BN464" s="302"/>
      <c r="BO464" s="302"/>
      <c r="BP464" s="14"/>
      <c r="BQ464" s="14"/>
      <c r="BR464" s="14"/>
      <c r="BS464" s="14"/>
      <c r="BT464" s="14"/>
      <c r="BU464" s="14"/>
      <c r="BV464" s="14"/>
      <c r="BW464" s="14"/>
      <c r="BX464" s="14"/>
      <c r="BY464" s="14"/>
      <c r="BZ464" s="14"/>
      <c r="CA464" s="14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</row>
    <row r="465" spans="1:101" ht="14.25" customHeight="1" x14ac:dyDescent="0.2">
      <c r="A465" s="286"/>
      <c r="B465" s="52">
        <v>0.15580546494026812</v>
      </c>
      <c r="C465" s="288">
        <v>1.8723400453218467E-2</v>
      </c>
      <c r="D465" s="288">
        <v>1.2316595557669008E-2</v>
      </c>
      <c r="E465" s="288">
        <v>2.0187791458389448E-2</v>
      </c>
      <c r="F465" s="289">
        <v>0.78730938396564909</v>
      </c>
      <c r="G465" s="92">
        <v>0.43956561027723207</v>
      </c>
      <c r="H465" s="288">
        <v>0.3868331537043172</v>
      </c>
      <c r="I465" s="288">
        <v>9.5293095378148757E-3</v>
      </c>
      <c r="J465" s="288">
        <v>0.99999999984755594</v>
      </c>
      <c r="K465" s="288">
        <v>0.79680763769126739</v>
      </c>
      <c r="L465" s="290">
        <v>13207.522573614975</v>
      </c>
      <c r="M465" s="288">
        <v>0</v>
      </c>
      <c r="N465" s="288">
        <v>16208.228820260425</v>
      </c>
      <c r="O465" s="288">
        <v>1411.9406624525927</v>
      </c>
      <c r="P465" s="288">
        <v>42685.539343333869</v>
      </c>
      <c r="Q465" s="291">
        <v>96476.206985220357</v>
      </c>
      <c r="R465" s="288">
        <v>23836.029631870922</v>
      </c>
      <c r="S465" s="288">
        <v>7265.4432642621259</v>
      </c>
      <c r="T465" s="290">
        <v>0.751</v>
      </c>
      <c r="U465" s="288">
        <v>0.75800000000000001</v>
      </c>
      <c r="V465" s="288">
        <v>0.723923076923077</v>
      </c>
      <c r="W465" s="288">
        <v>0.72750000000000004</v>
      </c>
      <c r="X465" s="288">
        <v>0.76</v>
      </c>
      <c r="Y465" s="288">
        <v>0</v>
      </c>
      <c r="Z465" s="289">
        <v>0</v>
      </c>
      <c r="AA465" s="229"/>
      <c r="AB465" s="293">
        <v>70327.039875024668</v>
      </c>
      <c r="AC465" s="294">
        <v>3.1763131384681658</v>
      </c>
      <c r="AD465" s="295">
        <v>63014.612984233143</v>
      </c>
      <c r="AE465" s="294">
        <v>3.2253904174528736</v>
      </c>
      <c r="AF465" s="295">
        <v>7312.4268907915248</v>
      </c>
      <c r="AG465" s="296">
        <v>-4.9077278984707817E-2</v>
      </c>
      <c r="AH465" s="229"/>
      <c r="AI465" s="205">
        <f t="shared" si="52"/>
        <v>247304.27397179193</v>
      </c>
      <c r="AJ465" s="205">
        <f t="shared" si="53"/>
        <v>259524.42876105424</v>
      </c>
      <c r="AK465" s="205">
        <f t="shared" si="54"/>
        <v>-12220.154789262306</v>
      </c>
      <c r="AL465" s="229"/>
      <c r="AM465" s="52">
        <f t="shared" si="30"/>
        <v>0</v>
      </c>
      <c r="AN465" s="52">
        <f t="shared" si="31"/>
        <v>1</v>
      </c>
      <c r="AO465" s="52">
        <f t="shared" si="32"/>
        <v>0</v>
      </c>
      <c r="AP465" s="229"/>
      <c r="AQ465" s="28"/>
      <c r="AR465" s="28"/>
      <c r="AS465" s="28"/>
      <c r="AT465" s="28"/>
      <c r="AU465" s="229"/>
      <c r="AV465" s="318">
        <f t="shared" si="55"/>
        <v>259524.42876105424</v>
      </c>
      <c r="AW465" s="229"/>
      <c r="AX465" s="313"/>
      <c r="AY465" s="302"/>
      <c r="AZ465" s="14">
        <f t="shared" si="57"/>
        <v>7312.4268907915248</v>
      </c>
      <c r="BA465" s="14">
        <f t="shared" si="56"/>
        <v>-4.9077278984707817E-2</v>
      </c>
      <c r="BB465" s="14">
        <f t="shared" si="33"/>
        <v>-148998.21347206377</v>
      </c>
      <c r="BC465" s="302"/>
      <c r="BD465" s="302"/>
      <c r="BE465" s="302"/>
      <c r="BF465" s="302"/>
      <c r="BG465" s="302"/>
      <c r="BH465" s="302"/>
      <c r="BI465" s="302"/>
      <c r="BJ465" s="302"/>
      <c r="BK465" s="302"/>
      <c r="BL465" s="302"/>
      <c r="BM465" s="302"/>
      <c r="BN465" s="302"/>
      <c r="BO465" s="302"/>
      <c r="BP465" s="14"/>
      <c r="BQ465" s="14"/>
      <c r="BR465" s="14"/>
      <c r="BS465" s="14"/>
      <c r="BT465" s="14"/>
      <c r="BU465" s="14"/>
      <c r="BV465" s="14"/>
      <c r="BW465" s="14"/>
      <c r="BX465" s="14"/>
      <c r="BY465" s="14"/>
      <c r="BZ465" s="14"/>
      <c r="CA465" s="14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</row>
    <row r="466" spans="1:101" ht="14.25" customHeight="1" x14ac:dyDescent="0.2">
      <c r="A466" s="286"/>
      <c r="B466" s="52">
        <v>0.1715211527572964</v>
      </c>
      <c r="C466" s="288">
        <v>0.35844808818903107</v>
      </c>
      <c r="D466" s="288">
        <v>2.2921706333623004E-2</v>
      </c>
      <c r="E466" s="288">
        <v>3.8624914315349597E-3</v>
      </c>
      <c r="F466" s="289">
        <v>0.79956380975026564</v>
      </c>
      <c r="G466" s="92">
        <v>0.42573342515106238</v>
      </c>
      <c r="H466" s="288">
        <v>0.56144466339455057</v>
      </c>
      <c r="I466" s="288">
        <v>6.3953145622707569E-3</v>
      </c>
      <c r="J466" s="288">
        <v>0.99633986400254182</v>
      </c>
      <c r="K466" s="288">
        <v>0.80784320257699127</v>
      </c>
      <c r="L466" s="290">
        <v>12801.59489882022</v>
      </c>
      <c r="M466" s="288">
        <v>0</v>
      </c>
      <c r="N466" s="288">
        <v>21914.594126161668</v>
      </c>
      <c r="O466" s="288">
        <v>1116.9230919262461</v>
      </c>
      <c r="P466" s="288">
        <v>49319.588413525773</v>
      </c>
      <c r="Q466" s="291">
        <v>96699.035732330551</v>
      </c>
      <c r="R466" s="288">
        <v>24776.14078819412</v>
      </c>
      <c r="S466" s="288">
        <v>11448.210178689013</v>
      </c>
      <c r="T466" s="290">
        <v>0.751</v>
      </c>
      <c r="U466" s="288">
        <v>0.75800000000000001</v>
      </c>
      <c r="V466" s="288">
        <v>0.723923076923077</v>
      </c>
      <c r="W466" s="288">
        <v>0.72750000000000004</v>
      </c>
      <c r="X466" s="288">
        <v>0.76</v>
      </c>
      <c r="Y466" s="288">
        <v>0</v>
      </c>
      <c r="Z466" s="289">
        <v>0</v>
      </c>
      <c r="AA466" s="229"/>
      <c r="AB466" s="293">
        <v>105539.01304550802</v>
      </c>
      <c r="AC466" s="294">
        <v>3.2334365065376063</v>
      </c>
      <c r="AD466" s="295">
        <v>99060.898637972801</v>
      </c>
      <c r="AE466" s="294">
        <v>3.2770873197368946</v>
      </c>
      <c r="AF466" s="295">
        <v>6478.1144075352204</v>
      </c>
      <c r="AG466" s="296">
        <v>-4.3650813199288319E-2</v>
      </c>
      <c r="AH466" s="229"/>
      <c r="AI466" s="205">
        <f t="shared" si="52"/>
        <v>217804.63760825264</v>
      </c>
      <c r="AJ466" s="205">
        <f t="shared" si="53"/>
        <v>228647.83333571666</v>
      </c>
      <c r="AK466" s="205">
        <f t="shared" si="54"/>
        <v>-10843.195727464052</v>
      </c>
      <c r="AL466" s="229"/>
      <c r="AM466" s="52">
        <f t="shared" si="30"/>
        <v>0</v>
      </c>
      <c r="AN466" s="52">
        <f t="shared" si="31"/>
        <v>1</v>
      </c>
      <c r="AO466" s="52">
        <f t="shared" si="32"/>
        <v>0</v>
      </c>
      <c r="AP466" s="229"/>
      <c r="AQ466" s="28"/>
      <c r="AR466" s="28"/>
      <c r="AS466" s="28"/>
      <c r="AT466" s="28"/>
      <c r="AU466" s="229"/>
      <c r="AV466" s="318">
        <f t="shared" si="55"/>
        <v>228647.83333571666</v>
      </c>
      <c r="AW466" s="229"/>
      <c r="AX466" s="313"/>
      <c r="AY466" s="302"/>
      <c r="AZ466" s="14">
        <f t="shared" si="57"/>
        <v>6478.1144075352204</v>
      </c>
      <c r="BA466" s="14">
        <f t="shared" si="56"/>
        <v>-4.3650813199288319E-2</v>
      </c>
      <c r="BB466" s="14">
        <f t="shared" si="33"/>
        <v>-148407.64541909701</v>
      </c>
      <c r="BC466" s="302"/>
      <c r="BD466" s="302"/>
      <c r="BE466" s="302"/>
      <c r="BF466" s="302"/>
      <c r="BG466" s="302"/>
      <c r="BH466" s="302"/>
      <c r="BI466" s="302"/>
      <c r="BJ466" s="302"/>
      <c r="BK466" s="302"/>
      <c r="BL466" s="302"/>
      <c r="BM466" s="302"/>
      <c r="BN466" s="302"/>
      <c r="BO466" s="302"/>
      <c r="BP466" s="14"/>
      <c r="BQ466" s="14"/>
      <c r="BR466" s="14"/>
      <c r="BS466" s="14"/>
      <c r="BT466" s="14"/>
      <c r="BU466" s="14"/>
      <c r="BV466" s="14"/>
      <c r="BW466" s="14"/>
      <c r="BX466" s="14"/>
      <c r="BY466" s="14"/>
      <c r="BZ466" s="14"/>
      <c r="CA466" s="14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</row>
    <row r="467" spans="1:101" ht="14.25" customHeight="1" x14ac:dyDescent="0.2">
      <c r="A467" s="286"/>
      <c r="B467" s="52">
        <v>0.16107129353934602</v>
      </c>
      <c r="C467" s="288">
        <v>0.11822731172465924</v>
      </c>
      <c r="D467" s="288">
        <v>1.1215850003667489E-2</v>
      </c>
      <c r="E467" s="288">
        <v>9.4468443342264515E-3</v>
      </c>
      <c r="F467" s="289">
        <v>0.80278978909604137</v>
      </c>
      <c r="G467" s="92">
        <v>0.30218613301573549</v>
      </c>
      <c r="H467" s="288">
        <v>0.88867698567560272</v>
      </c>
      <c r="I467" s="288">
        <v>1.541095273175404E-2</v>
      </c>
      <c r="J467" s="288">
        <v>0.99999682808804435</v>
      </c>
      <c r="K467" s="288">
        <v>0.77177386567202411</v>
      </c>
      <c r="L467" s="290">
        <v>14189.773056049456</v>
      </c>
      <c r="M467" s="288">
        <v>0</v>
      </c>
      <c r="N467" s="288">
        <v>14181.207219111351</v>
      </c>
      <c r="O467" s="288">
        <v>1717.877203367148</v>
      </c>
      <c r="P467" s="288">
        <v>36830.772064676181</v>
      </c>
      <c r="Q467" s="291">
        <v>104522.24919901915</v>
      </c>
      <c r="R467" s="288">
        <v>18788.473059031861</v>
      </c>
      <c r="S467" s="288">
        <v>8212.1825302801881</v>
      </c>
      <c r="T467" s="290">
        <v>0.751</v>
      </c>
      <c r="U467" s="288">
        <v>0.75800000000000001</v>
      </c>
      <c r="V467" s="288">
        <v>0.723923076923077</v>
      </c>
      <c r="W467" s="288">
        <v>0.72750000000000004</v>
      </c>
      <c r="X467" s="288">
        <v>0.76</v>
      </c>
      <c r="Y467" s="288">
        <v>0</v>
      </c>
      <c r="Z467" s="289">
        <v>0</v>
      </c>
      <c r="AA467" s="229"/>
      <c r="AB467" s="293">
        <v>80296.324411920985</v>
      </c>
      <c r="AC467" s="294">
        <v>3.2485134064037622</v>
      </c>
      <c r="AD467" s="295">
        <v>69420.722000934897</v>
      </c>
      <c r="AE467" s="294">
        <v>3.1088295395824352</v>
      </c>
      <c r="AF467" s="295">
        <v>10875.602410986088</v>
      </c>
      <c r="AG467" s="296">
        <v>0.13968386682132694</v>
      </c>
      <c r="AH467" s="229"/>
      <c r="AI467" s="205">
        <f t="shared" si="52"/>
        <v>244555.01622845524</v>
      </c>
      <c r="AJ467" s="205">
        <f t="shared" si="53"/>
        <v>241462.23195730866</v>
      </c>
      <c r="AK467" s="205">
        <f t="shared" si="54"/>
        <v>3092.7842711466055</v>
      </c>
      <c r="AL467" s="229"/>
      <c r="AM467" s="52">
        <f t="shared" si="30"/>
        <v>1</v>
      </c>
      <c r="AN467" s="52">
        <f t="shared" si="31"/>
        <v>0</v>
      </c>
      <c r="AO467" s="52">
        <f t="shared" si="32"/>
        <v>1</v>
      </c>
      <c r="AP467" s="229"/>
      <c r="AQ467" s="28"/>
      <c r="AR467" s="28"/>
      <c r="AS467" s="28"/>
      <c r="AT467" s="28"/>
      <c r="AU467" s="229"/>
      <c r="AV467" s="318">
        <f t="shared" si="55"/>
        <v>244555.01622845524</v>
      </c>
      <c r="AW467" s="229"/>
      <c r="AX467" s="313"/>
      <c r="AY467" s="302"/>
      <c r="AZ467" s="14">
        <f t="shared" si="57"/>
        <v>10875.602410986088</v>
      </c>
      <c r="BA467" s="14">
        <f t="shared" si="56"/>
        <v>0.13968386682132694</v>
      </c>
      <c r="BB467" s="14">
        <f t="shared" si="33"/>
        <v>77858.686607647673</v>
      </c>
      <c r="BC467" s="302"/>
      <c r="BD467" s="302"/>
      <c r="BE467" s="302"/>
      <c r="BF467" s="302"/>
      <c r="BG467" s="302"/>
      <c r="BH467" s="302"/>
      <c r="BI467" s="302"/>
      <c r="BJ467" s="302"/>
      <c r="BK467" s="302"/>
      <c r="BL467" s="302"/>
      <c r="BM467" s="302"/>
      <c r="BN467" s="302"/>
      <c r="BO467" s="302"/>
      <c r="BP467" s="14"/>
      <c r="BQ467" s="14"/>
      <c r="BR467" s="14"/>
      <c r="BS467" s="14"/>
      <c r="BT467" s="14"/>
      <c r="BU467" s="14"/>
      <c r="BV467" s="14"/>
      <c r="BW467" s="14"/>
      <c r="BX467" s="14"/>
      <c r="BY467" s="14"/>
      <c r="BZ467" s="14"/>
      <c r="CA467" s="14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</row>
    <row r="468" spans="1:101" ht="14.25" customHeight="1" x14ac:dyDescent="0.2">
      <c r="A468" s="286"/>
      <c r="B468" s="52">
        <v>0.17996968934562096</v>
      </c>
      <c r="C468" s="288">
        <v>0.20683620379443915</v>
      </c>
      <c r="D468" s="288">
        <v>6.4738267691771389E-3</v>
      </c>
      <c r="E468" s="288">
        <v>8.9765788751872827E-3</v>
      </c>
      <c r="F468" s="289">
        <v>0.81993760572961083</v>
      </c>
      <c r="G468" s="92">
        <v>0.45509481825546128</v>
      </c>
      <c r="H468" s="288">
        <v>0.77757942266234548</v>
      </c>
      <c r="I468" s="288">
        <v>1.2016360380062902E-2</v>
      </c>
      <c r="J468" s="288">
        <v>0.99999999999213385</v>
      </c>
      <c r="K468" s="288">
        <v>0.681440386138779</v>
      </c>
      <c r="L468" s="290">
        <v>11818.930953338531</v>
      </c>
      <c r="M468" s="288">
        <v>0</v>
      </c>
      <c r="N468" s="288">
        <v>16781.981408107618</v>
      </c>
      <c r="O468" s="288">
        <v>1131.0011779311089</v>
      </c>
      <c r="P468" s="288">
        <v>48708.952648602193</v>
      </c>
      <c r="Q468" s="291">
        <v>97248.74002366577</v>
      </c>
      <c r="R468" s="288">
        <v>30948.503882981553</v>
      </c>
      <c r="S468" s="288">
        <v>8199.1436843900301</v>
      </c>
      <c r="T468" s="290">
        <v>0.751</v>
      </c>
      <c r="U468" s="288">
        <v>0.75800000000000001</v>
      </c>
      <c r="V468" s="288">
        <v>0.723923076923077</v>
      </c>
      <c r="W468" s="288">
        <v>0.72750000000000004</v>
      </c>
      <c r="X468" s="288">
        <v>0.76</v>
      </c>
      <c r="Y468" s="288">
        <v>0</v>
      </c>
      <c r="Z468" s="289">
        <v>0</v>
      </c>
      <c r="AA468" s="229"/>
      <c r="AB468" s="293">
        <v>79859.450281144891</v>
      </c>
      <c r="AC468" s="294">
        <v>3.3289292348394421</v>
      </c>
      <c r="AD468" s="295">
        <v>67973.183752835801</v>
      </c>
      <c r="AE468" s="294">
        <v>2.6964372054412338</v>
      </c>
      <c r="AF468" s="295">
        <v>11886.26652830909</v>
      </c>
      <c r="AG468" s="296">
        <v>0.63249202939820837</v>
      </c>
      <c r="AH468" s="229"/>
      <c r="AI468" s="205">
        <f t="shared" si="52"/>
        <v>253033.47320279933</v>
      </c>
      <c r="AJ468" s="205">
        <f t="shared" si="53"/>
        <v>201670.5367912876</v>
      </c>
      <c r="AK468" s="205">
        <f t="shared" si="54"/>
        <v>51362.93641151175</v>
      </c>
      <c r="AL468" s="229"/>
      <c r="AM468" s="52">
        <f t="shared" si="30"/>
        <v>1</v>
      </c>
      <c r="AN468" s="52">
        <f t="shared" si="31"/>
        <v>0</v>
      </c>
      <c r="AO468" s="52">
        <f t="shared" si="32"/>
        <v>1</v>
      </c>
      <c r="AP468" s="229"/>
      <c r="AQ468" s="28"/>
      <c r="AR468" s="28"/>
      <c r="AS468" s="28"/>
      <c r="AT468" s="28"/>
      <c r="AU468" s="229"/>
      <c r="AV468" s="318">
        <f t="shared" si="55"/>
        <v>253033.47320279933</v>
      </c>
      <c r="AW468" s="229"/>
      <c r="AX468" s="313"/>
      <c r="AY468" s="302"/>
      <c r="AZ468" s="14">
        <f t="shared" si="57"/>
        <v>11886.26652830909</v>
      </c>
      <c r="BA468" s="14">
        <f t="shared" si="56"/>
        <v>0.63249202939820837</v>
      </c>
      <c r="BB468" s="14">
        <f t="shared" si="33"/>
        <v>18792.753071716037</v>
      </c>
      <c r="BC468" s="302"/>
      <c r="BD468" s="302"/>
      <c r="BE468" s="302"/>
      <c r="BF468" s="302"/>
      <c r="BG468" s="302"/>
      <c r="BH468" s="302"/>
      <c r="BI468" s="302"/>
      <c r="BJ468" s="302"/>
      <c r="BK468" s="302"/>
      <c r="BL468" s="302"/>
      <c r="BM468" s="302"/>
      <c r="BN468" s="302"/>
      <c r="BO468" s="302"/>
      <c r="BP468" s="14"/>
      <c r="BQ468" s="14"/>
      <c r="BR468" s="14"/>
      <c r="BS468" s="14"/>
      <c r="BT468" s="14"/>
      <c r="BU468" s="14"/>
      <c r="BV468" s="14"/>
      <c r="BW468" s="14"/>
      <c r="BX468" s="14"/>
      <c r="BY468" s="14"/>
      <c r="BZ468" s="14"/>
      <c r="CA468" s="14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</row>
    <row r="469" spans="1:101" ht="14.25" customHeight="1" x14ac:dyDescent="0.2">
      <c r="A469" s="286"/>
      <c r="B469" s="52">
        <v>0.15543244373651097</v>
      </c>
      <c r="C469" s="288">
        <v>0.19631584926344772</v>
      </c>
      <c r="D469" s="288">
        <v>1.4948857799384041E-2</v>
      </c>
      <c r="E469" s="288">
        <v>9.5944077894702627E-3</v>
      </c>
      <c r="F469" s="289">
        <v>0.75692670422716191</v>
      </c>
      <c r="G469" s="92">
        <v>0.43397666446866934</v>
      </c>
      <c r="H469" s="288">
        <v>0.53547697107682868</v>
      </c>
      <c r="I469" s="288">
        <v>1.52884665611514E-2</v>
      </c>
      <c r="J469" s="288">
        <v>0.19537106395517198</v>
      </c>
      <c r="K469" s="288">
        <v>0.78682453872692248</v>
      </c>
      <c r="L469" s="290">
        <v>10576.699712941312</v>
      </c>
      <c r="M469" s="288">
        <v>0</v>
      </c>
      <c r="N469" s="288">
        <v>14488.825915529935</v>
      </c>
      <c r="O469" s="288">
        <v>1072.4223285166918</v>
      </c>
      <c r="P469" s="288">
        <v>38532.509334888244</v>
      </c>
      <c r="Q469" s="291">
        <v>129994.72650538065</v>
      </c>
      <c r="R469" s="288">
        <v>24090.190892446259</v>
      </c>
      <c r="S469" s="288">
        <v>7732.496636827429</v>
      </c>
      <c r="T469" s="290">
        <v>0.751</v>
      </c>
      <c r="U469" s="288">
        <v>0.75800000000000001</v>
      </c>
      <c r="V469" s="288">
        <v>0.723923076923077</v>
      </c>
      <c r="W469" s="288">
        <v>0.72750000000000004</v>
      </c>
      <c r="X469" s="288">
        <v>0.76</v>
      </c>
      <c r="Y469" s="288">
        <v>0</v>
      </c>
      <c r="Z469" s="289">
        <v>0</v>
      </c>
      <c r="AA469" s="229"/>
      <c r="AB469" s="293">
        <v>69739.119625570413</v>
      </c>
      <c r="AC469" s="294">
        <v>3.0357017985975263</v>
      </c>
      <c r="AD469" s="295">
        <v>67608.662728203635</v>
      </c>
      <c r="AE469" s="294">
        <v>3.178789241311287</v>
      </c>
      <c r="AF469" s="295">
        <v>2130.4568973667774</v>
      </c>
      <c r="AG469" s="296">
        <v>-0.14308744271376073</v>
      </c>
      <c r="AH469" s="229"/>
      <c r="AI469" s="205">
        <f t="shared" si="52"/>
        <v>233831.06023418222</v>
      </c>
      <c r="AJ469" s="205">
        <f t="shared" si="53"/>
        <v>250270.26140292507</v>
      </c>
      <c r="AK469" s="205">
        <f t="shared" si="54"/>
        <v>-16439.201168742849</v>
      </c>
      <c r="AL469" s="229"/>
      <c r="AM469" s="52">
        <f t="shared" si="30"/>
        <v>0</v>
      </c>
      <c r="AN469" s="52">
        <f t="shared" si="31"/>
        <v>1</v>
      </c>
      <c r="AO469" s="52">
        <f t="shared" si="32"/>
        <v>0</v>
      </c>
      <c r="AP469" s="229"/>
      <c r="AQ469" s="28"/>
      <c r="AR469" s="28"/>
      <c r="AS469" s="28"/>
      <c r="AT469" s="28"/>
      <c r="AU469" s="229"/>
      <c r="AV469" s="318">
        <f t="shared" si="55"/>
        <v>250270.26140292507</v>
      </c>
      <c r="AW469" s="229"/>
      <c r="AX469" s="313"/>
      <c r="AY469" s="302"/>
      <c r="AZ469" s="14">
        <f t="shared" si="57"/>
        <v>2130.4568973667774</v>
      </c>
      <c r="BA469" s="14">
        <f t="shared" si="56"/>
        <v>-0.14308744271376073</v>
      </c>
      <c r="BB469" s="14">
        <f t="shared" si="33"/>
        <v>-14889.195424567408</v>
      </c>
      <c r="BC469" s="302"/>
      <c r="BD469" s="302"/>
      <c r="BE469" s="302"/>
      <c r="BF469" s="302"/>
      <c r="BG469" s="302"/>
      <c r="BH469" s="302"/>
      <c r="BI469" s="302"/>
      <c r="BJ469" s="302"/>
      <c r="BK469" s="302"/>
      <c r="BL469" s="302"/>
      <c r="BM469" s="302"/>
      <c r="BN469" s="302"/>
      <c r="BO469" s="302"/>
      <c r="BP469" s="14"/>
      <c r="BQ469" s="14"/>
      <c r="BR469" s="14"/>
      <c r="BS469" s="14"/>
      <c r="BT469" s="14"/>
      <c r="BU469" s="14"/>
      <c r="BV469" s="14"/>
      <c r="BW469" s="14"/>
      <c r="BX469" s="14"/>
      <c r="BY469" s="14"/>
      <c r="BZ469" s="14"/>
      <c r="CA469" s="14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</row>
    <row r="470" spans="1:101" ht="14.25" customHeight="1" x14ac:dyDescent="0.2">
      <c r="A470" s="286"/>
      <c r="B470" s="52">
        <v>0.17310615989060252</v>
      </c>
      <c r="C470" s="288">
        <v>0.78775411970073628</v>
      </c>
      <c r="D470" s="288">
        <v>1.1361773274166476E-2</v>
      </c>
      <c r="E470" s="288">
        <v>7.6001259171065705E-3</v>
      </c>
      <c r="F470" s="289">
        <v>0.80511387341721463</v>
      </c>
      <c r="G470" s="92">
        <v>0.44143371903890394</v>
      </c>
      <c r="H470" s="288">
        <v>9.373455473486754E-2</v>
      </c>
      <c r="I470" s="288">
        <v>9.2794403931374548E-3</v>
      </c>
      <c r="J470" s="288">
        <v>6.3112775374683067E-4</v>
      </c>
      <c r="K470" s="288">
        <v>0.78241899800848946</v>
      </c>
      <c r="L470" s="290">
        <v>13983.427646965012</v>
      </c>
      <c r="M470" s="288">
        <v>0</v>
      </c>
      <c r="N470" s="288">
        <v>13150.948117444967</v>
      </c>
      <c r="O470" s="288">
        <v>1401.2015873936912</v>
      </c>
      <c r="P470" s="288">
        <v>33695.101083709378</v>
      </c>
      <c r="Q470" s="291">
        <v>81587.636030113092</v>
      </c>
      <c r="R470" s="288">
        <v>23594.138177044897</v>
      </c>
      <c r="S470" s="288">
        <v>11823.632183955933</v>
      </c>
      <c r="T470" s="290">
        <v>0.751</v>
      </c>
      <c r="U470" s="288">
        <v>0.75800000000000001</v>
      </c>
      <c r="V470" s="288">
        <v>0.723923076923077</v>
      </c>
      <c r="W470" s="288">
        <v>0.72750000000000004</v>
      </c>
      <c r="X470" s="288">
        <v>0.76</v>
      </c>
      <c r="Y470" s="288">
        <v>0</v>
      </c>
      <c r="Z470" s="289">
        <v>0</v>
      </c>
      <c r="AA470" s="229"/>
      <c r="AB470" s="293">
        <v>111868.09152489742</v>
      </c>
      <c r="AC470" s="294">
        <v>3.2593853359806304</v>
      </c>
      <c r="AD470" s="295">
        <v>94243.310597783217</v>
      </c>
      <c r="AE470" s="294">
        <v>3.1582741053062309</v>
      </c>
      <c r="AF470" s="295">
        <v>17624.780927114203</v>
      </c>
      <c r="AG470" s="296">
        <v>0.10111123067439953</v>
      </c>
      <c r="AH470" s="229"/>
      <c r="AI470" s="205">
        <f t="shared" si="52"/>
        <v>214070.44207316561</v>
      </c>
      <c r="AJ470" s="205">
        <f t="shared" si="53"/>
        <v>221584.09993283989</v>
      </c>
      <c r="AK470" s="205">
        <f t="shared" si="54"/>
        <v>-7513.6578596742493</v>
      </c>
      <c r="AL470" s="229"/>
      <c r="AM470" s="52">
        <f t="shared" si="30"/>
        <v>0</v>
      </c>
      <c r="AN470" s="52">
        <f t="shared" si="31"/>
        <v>1</v>
      </c>
      <c r="AO470" s="52">
        <f t="shared" si="32"/>
        <v>0</v>
      </c>
      <c r="AP470" s="229"/>
      <c r="AQ470" s="28"/>
      <c r="AR470" s="28"/>
      <c r="AS470" s="28"/>
      <c r="AT470" s="28"/>
      <c r="AU470" s="229"/>
      <c r="AV470" s="318">
        <f t="shared" si="55"/>
        <v>221584.09993283989</v>
      </c>
      <c r="AW470" s="229"/>
      <c r="AX470" s="313"/>
      <c r="AY470" s="302"/>
      <c r="AZ470" s="14">
        <f t="shared" si="57"/>
        <v>17624.780927114203</v>
      </c>
      <c r="BA470" s="14">
        <f t="shared" si="56"/>
        <v>0.10111123067439953</v>
      </c>
      <c r="BB470" s="14">
        <f t="shared" si="33"/>
        <v>174310.81403676991</v>
      </c>
      <c r="BC470" s="302"/>
      <c r="BD470" s="302"/>
      <c r="BE470" s="302"/>
      <c r="BF470" s="302"/>
      <c r="BG470" s="302"/>
      <c r="BH470" s="302"/>
      <c r="BI470" s="302"/>
      <c r="BJ470" s="302"/>
      <c r="BK470" s="302"/>
      <c r="BL470" s="302"/>
      <c r="BM470" s="302"/>
      <c r="BN470" s="302"/>
      <c r="BO470" s="302"/>
      <c r="BP470" s="14"/>
      <c r="BQ470" s="14"/>
      <c r="BR470" s="14"/>
      <c r="BS470" s="14"/>
      <c r="BT470" s="14"/>
      <c r="BU470" s="14"/>
      <c r="BV470" s="14"/>
      <c r="BW470" s="14"/>
      <c r="BX470" s="14"/>
      <c r="BY470" s="14"/>
      <c r="BZ470" s="14"/>
      <c r="CA470" s="14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</row>
    <row r="471" spans="1:101" ht="14.25" customHeight="1" x14ac:dyDescent="0.2">
      <c r="A471" s="286"/>
      <c r="B471" s="52">
        <v>0.15628752560990819</v>
      </c>
      <c r="C471" s="288">
        <v>0.27476732432236617</v>
      </c>
      <c r="D471" s="288">
        <v>7.2104590736667964E-3</v>
      </c>
      <c r="E471" s="288">
        <v>8.9757681540437173E-3</v>
      </c>
      <c r="F471" s="289">
        <v>0.82297395526202344</v>
      </c>
      <c r="G471" s="92">
        <v>0.4336082933911235</v>
      </c>
      <c r="H471" s="288">
        <v>5.3490178424817304E-3</v>
      </c>
      <c r="I471" s="288">
        <v>1.5264422634373848E-2</v>
      </c>
      <c r="J471" s="288">
        <v>0.99992885019742195</v>
      </c>
      <c r="K471" s="288">
        <v>0.71510562962234847</v>
      </c>
      <c r="L471" s="290">
        <v>9105.7189402094573</v>
      </c>
      <c r="M471" s="288">
        <v>0</v>
      </c>
      <c r="N471" s="288">
        <v>12282.832143126674</v>
      </c>
      <c r="O471" s="288">
        <v>942.75842634163314</v>
      </c>
      <c r="P471" s="288">
        <v>45192.375514252337</v>
      </c>
      <c r="Q471" s="291">
        <v>109767.1061673673</v>
      </c>
      <c r="R471" s="288">
        <v>29540.511640867295</v>
      </c>
      <c r="S471" s="288">
        <v>9375.7486870324574</v>
      </c>
      <c r="T471" s="290">
        <v>0.751</v>
      </c>
      <c r="U471" s="288">
        <v>0.75800000000000001</v>
      </c>
      <c r="V471" s="288">
        <v>0.723923076923077</v>
      </c>
      <c r="W471" s="288">
        <v>0.72750000000000004</v>
      </c>
      <c r="X471" s="288">
        <v>0.76</v>
      </c>
      <c r="Y471" s="288">
        <v>0</v>
      </c>
      <c r="Z471" s="289">
        <v>0</v>
      </c>
      <c r="AA471" s="229"/>
      <c r="AB471" s="293">
        <v>87051.89461860912</v>
      </c>
      <c r="AC471" s="294">
        <v>3.3432164619329701</v>
      </c>
      <c r="AD471" s="295">
        <v>68492.617882085586</v>
      </c>
      <c r="AE471" s="294">
        <v>2.8486229500772264</v>
      </c>
      <c r="AF471" s="295">
        <v>18559.276736523534</v>
      </c>
      <c r="AG471" s="296">
        <v>0.49459351185574363</v>
      </c>
      <c r="AH471" s="229"/>
      <c r="AI471" s="205">
        <f t="shared" si="52"/>
        <v>247269.75157468789</v>
      </c>
      <c r="AJ471" s="205">
        <f t="shared" si="53"/>
        <v>216369.67712563704</v>
      </c>
      <c r="AK471" s="205">
        <f t="shared" si="54"/>
        <v>30900.07444905083</v>
      </c>
      <c r="AL471" s="229"/>
      <c r="AM471" s="52">
        <f t="shared" si="30"/>
        <v>1</v>
      </c>
      <c r="AN471" s="52">
        <f t="shared" si="31"/>
        <v>0</v>
      </c>
      <c r="AO471" s="52">
        <f t="shared" si="32"/>
        <v>1</v>
      </c>
      <c r="AP471" s="229"/>
      <c r="AQ471" s="28"/>
      <c r="AR471" s="28"/>
      <c r="AS471" s="28"/>
      <c r="AT471" s="28"/>
      <c r="AU471" s="229"/>
      <c r="AV471" s="318">
        <f t="shared" si="55"/>
        <v>247269.75157468789</v>
      </c>
      <c r="AW471" s="229"/>
      <c r="AX471" s="313"/>
      <c r="AY471" s="302"/>
      <c r="AZ471" s="14">
        <f t="shared" si="57"/>
        <v>18559.276736523534</v>
      </c>
      <c r="BA471" s="14">
        <f t="shared" si="56"/>
        <v>0.49459351185574363</v>
      </c>
      <c r="BB471" s="14">
        <f t="shared" si="33"/>
        <v>37524.302870225787</v>
      </c>
      <c r="BC471" s="302"/>
      <c r="BD471" s="302"/>
      <c r="BE471" s="302"/>
      <c r="BF471" s="302"/>
      <c r="BG471" s="302"/>
      <c r="BH471" s="302"/>
      <c r="BI471" s="302"/>
      <c r="BJ471" s="302"/>
      <c r="BK471" s="302"/>
      <c r="BL471" s="302"/>
      <c r="BM471" s="302"/>
      <c r="BN471" s="302"/>
      <c r="BO471" s="302"/>
      <c r="BP471" s="14"/>
      <c r="BQ471" s="14"/>
      <c r="BR471" s="14"/>
      <c r="BS471" s="14"/>
      <c r="BT471" s="14"/>
      <c r="BU471" s="14"/>
      <c r="BV471" s="14"/>
      <c r="BW471" s="14"/>
      <c r="BX471" s="14"/>
      <c r="BY471" s="14"/>
      <c r="BZ471" s="14"/>
      <c r="CA471" s="14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</row>
    <row r="472" spans="1:101" ht="14.25" customHeight="1" x14ac:dyDescent="0.2">
      <c r="A472" s="286"/>
      <c r="B472" s="52">
        <v>0.18444377022056846</v>
      </c>
      <c r="C472" s="288">
        <v>1.1388197783120051E-2</v>
      </c>
      <c r="D472" s="288">
        <v>1.8327537022479468E-2</v>
      </c>
      <c r="E472" s="288">
        <v>9.9053186416812166E-3</v>
      </c>
      <c r="F472" s="289">
        <v>0.84063040814648426</v>
      </c>
      <c r="G472" s="92">
        <v>0.48413201615679979</v>
      </c>
      <c r="H472" s="288">
        <v>0.96680319211713472</v>
      </c>
      <c r="I472" s="288">
        <v>2.1111367591633901E-2</v>
      </c>
      <c r="J472" s="288">
        <v>0.99999927285917245</v>
      </c>
      <c r="K472" s="288">
        <v>0.76370530500693878</v>
      </c>
      <c r="L472" s="290">
        <v>10552.944753515474</v>
      </c>
      <c r="M472" s="288">
        <v>0</v>
      </c>
      <c r="N472" s="288">
        <v>18563.085103644404</v>
      </c>
      <c r="O472" s="288">
        <v>1059.8911727755335</v>
      </c>
      <c r="P472" s="288">
        <v>42120.930369251051</v>
      </c>
      <c r="Q472" s="291">
        <v>79725.642408148196</v>
      </c>
      <c r="R472" s="288">
        <v>30585.210177499026</v>
      </c>
      <c r="S472" s="288">
        <v>5863.4980791621874</v>
      </c>
      <c r="T472" s="290">
        <v>0.751</v>
      </c>
      <c r="U472" s="288">
        <v>0.75800000000000001</v>
      </c>
      <c r="V472" s="288">
        <v>0.723923076923077</v>
      </c>
      <c r="W472" s="288">
        <v>0.72750000000000004</v>
      </c>
      <c r="X472" s="288">
        <v>0.76</v>
      </c>
      <c r="Y472" s="288">
        <v>0</v>
      </c>
      <c r="Z472" s="289">
        <v>0</v>
      </c>
      <c r="AA472" s="229"/>
      <c r="AB472" s="293">
        <v>59892.925804364961</v>
      </c>
      <c r="AC472" s="294">
        <v>3.4265836003260475</v>
      </c>
      <c r="AD472" s="295">
        <v>60617.69439079686</v>
      </c>
      <c r="AE472" s="294">
        <v>3.0714716482987199</v>
      </c>
      <c r="AF472" s="295">
        <v>-724.76858643189917</v>
      </c>
      <c r="AG472" s="296">
        <v>0.35511195202732759</v>
      </c>
      <c r="AH472" s="229"/>
      <c r="AI472" s="205">
        <f t="shared" si="52"/>
        <v>282765.43422823981</v>
      </c>
      <c r="AJ472" s="205">
        <f t="shared" si="53"/>
        <v>246529.47043907511</v>
      </c>
      <c r="AK472" s="205">
        <f t="shared" si="54"/>
        <v>36235.963789164656</v>
      </c>
      <c r="AL472" s="229"/>
      <c r="AM472" s="52">
        <f t="shared" si="30"/>
        <v>1</v>
      </c>
      <c r="AN472" s="52">
        <f t="shared" si="31"/>
        <v>0</v>
      </c>
      <c r="AO472" s="52">
        <f t="shared" si="32"/>
        <v>1</v>
      </c>
      <c r="AP472" s="229"/>
      <c r="AQ472" s="28"/>
      <c r="AR472" s="28"/>
      <c r="AS472" s="28"/>
      <c r="AT472" s="28"/>
      <c r="AU472" s="229"/>
      <c r="AV472" s="318">
        <f t="shared" si="55"/>
        <v>282765.43422823981</v>
      </c>
      <c r="AW472" s="229"/>
      <c r="AX472" s="313"/>
      <c r="AY472" s="302"/>
      <c r="AZ472" s="14">
        <f t="shared" si="57"/>
        <v>-724.76858643189917</v>
      </c>
      <c r="BA472" s="14">
        <f t="shared" si="56"/>
        <v>0.35511195202732759</v>
      </c>
      <c r="BB472" s="14">
        <f t="shared" si="33"/>
        <v>-2040.9580198419362</v>
      </c>
      <c r="BC472" s="302"/>
      <c r="BD472" s="302"/>
      <c r="BE472" s="302"/>
      <c r="BF472" s="302"/>
      <c r="BG472" s="302"/>
      <c r="BH472" s="302"/>
      <c r="BI472" s="302"/>
      <c r="BJ472" s="302"/>
      <c r="BK472" s="302"/>
      <c r="BL472" s="302"/>
      <c r="BM472" s="302"/>
      <c r="BN472" s="302"/>
      <c r="BO472" s="302"/>
      <c r="BP472" s="14"/>
      <c r="BQ472" s="14"/>
      <c r="BR472" s="14"/>
      <c r="BS472" s="14"/>
      <c r="BT472" s="14"/>
      <c r="BU472" s="14"/>
      <c r="BV472" s="14"/>
      <c r="BW472" s="14"/>
      <c r="BX472" s="14"/>
      <c r="BY472" s="14"/>
      <c r="BZ472" s="14"/>
      <c r="CA472" s="14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</row>
    <row r="473" spans="1:101" ht="14.25" customHeight="1" x14ac:dyDescent="0.2">
      <c r="A473" s="286"/>
      <c r="B473" s="52">
        <v>0.14437123123527199</v>
      </c>
      <c r="C473" s="288">
        <v>0.4681980800121528</v>
      </c>
      <c r="D473" s="288">
        <v>1.2801048005720983E-2</v>
      </c>
      <c r="E473" s="288">
        <v>3.7705752796738379E-2</v>
      </c>
      <c r="F473" s="289">
        <v>0.7527468669072942</v>
      </c>
      <c r="G473" s="92">
        <v>0.34198012208052148</v>
      </c>
      <c r="H473" s="288">
        <v>0.78254258208196625</v>
      </c>
      <c r="I473" s="288">
        <v>5.9051648513601491E-3</v>
      </c>
      <c r="J473" s="288">
        <v>0.9745438574592471</v>
      </c>
      <c r="K473" s="288">
        <v>0.73345785879265257</v>
      </c>
      <c r="L473" s="290">
        <v>11739.372259918629</v>
      </c>
      <c r="M473" s="288">
        <v>0</v>
      </c>
      <c r="N473" s="288">
        <v>13536.273827438099</v>
      </c>
      <c r="O473" s="288">
        <v>1123.4250620185874</v>
      </c>
      <c r="P473" s="288">
        <v>37856.357679394743</v>
      </c>
      <c r="Q473" s="291">
        <v>95436.068720567724</v>
      </c>
      <c r="R473" s="288">
        <v>25632.532604296855</v>
      </c>
      <c r="S473" s="288">
        <v>15098.863156726871</v>
      </c>
      <c r="T473" s="290">
        <v>0.751</v>
      </c>
      <c r="U473" s="288">
        <v>0.75800000000000001</v>
      </c>
      <c r="V473" s="288">
        <v>0.723923076923077</v>
      </c>
      <c r="W473" s="288">
        <v>0.72750000000000004</v>
      </c>
      <c r="X473" s="288">
        <v>0.76</v>
      </c>
      <c r="Y473" s="288">
        <v>0</v>
      </c>
      <c r="Z473" s="289">
        <v>0</v>
      </c>
      <c r="AA473" s="229"/>
      <c r="AB473" s="293">
        <v>126359.76870531756</v>
      </c>
      <c r="AC473" s="294">
        <v>3.0164707677029678</v>
      </c>
      <c r="AD473" s="295">
        <v>117950.08734184396</v>
      </c>
      <c r="AE473" s="294">
        <v>2.932337671524873</v>
      </c>
      <c r="AF473" s="295">
        <v>8409.6813634736027</v>
      </c>
      <c r="AG473" s="296">
        <v>8.4133096178094835E-2</v>
      </c>
      <c r="AH473" s="229"/>
      <c r="AI473" s="205">
        <f t="shared" si="52"/>
        <v>175287.30806497921</v>
      </c>
      <c r="AJ473" s="205">
        <f t="shared" si="53"/>
        <v>175283.67981064334</v>
      </c>
      <c r="AK473" s="205">
        <f t="shared" si="54"/>
        <v>3.6282543358811381</v>
      </c>
      <c r="AL473" s="229"/>
      <c r="AM473" s="52">
        <f t="shared" si="30"/>
        <v>1</v>
      </c>
      <c r="AN473" s="52">
        <f t="shared" si="31"/>
        <v>0</v>
      </c>
      <c r="AO473" s="52">
        <f t="shared" si="32"/>
        <v>1</v>
      </c>
      <c r="AP473" s="229"/>
      <c r="AQ473" s="28"/>
      <c r="AR473" s="28"/>
      <c r="AS473" s="28"/>
      <c r="AT473" s="28"/>
      <c r="AU473" s="229"/>
      <c r="AV473" s="318">
        <f t="shared" si="55"/>
        <v>175287.30806497921</v>
      </c>
      <c r="AW473" s="229"/>
      <c r="AX473" s="313"/>
      <c r="AY473" s="302"/>
      <c r="AZ473" s="14">
        <f t="shared" si="57"/>
        <v>8409.6813634736027</v>
      </c>
      <c r="BA473" s="14">
        <f t="shared" si="56"/>
        <v>8.4133096178094835E-2</v>
      </c>
      <c r="BB473" s="14">
        <f t="shared" si="33"/>
        <v>99956.874826902829</v>
      </c>
      <c r="BC473" s="302"/>
      <c r="BD473" s="302"/>
      <c r="BE473" s="302"/>
      <c r="BF473" s="302"/>
      <c r="BG473" s="302"/>
      <c r="BH473" s="302"/>
      <c r="BI473" s="302"/>
      <c r="BJ473" s="302"/>
      <c r="BK473" s="302"/>
      <c r="BL473" s="302"/>
      <c r="BM473" s="302"/>
      <c r="BN473" s="302"/>
      <c r="BO473" s="302"/>
      <c r="BP473" s="14"/>
      <c r="BQ473" s="14"/>
      <c r="BR473" s="14"/>
      <c r="BS473" s="14"/>
      <c r="BT473" s="14"/>
      <c r="BU473" s="14"/>
      <c r="BV473" s="14"/>
      <c r="BW473" s="14"/>
      <c r="BX473" s="14"/>
      <c r="BY473" s="14"/>
      <c r="BZ473" s="14"/>
      <c r="CA473" s="14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</row>
    <row r="474" spans="1:101" ht="14.25" customHeight="1" x14ac:dyDescent="0.2">
      <c r="A474" s="286"/>
      <c r="B474" s="52">
        <v>0.17821541914113759</v>
      </c>
      <c r="C474" s="288">
        <v>0.21297074105809854</v>
      </c>
      <c r="D474" s="288">
        <v>3.0143001182614704E-2</v>
      </c>
      <c r="E474" s="288">
        <v>1.160982024415021E-2</v>
      </c>
      <c r="F474" s="289">
        <v>0.81425235908061933</v>
      </c>
      <c r="G474" s="92">
        <v>0.43632401754984462</v>
      </c>
      <c r="H474" s="288">
        <v>4.4219092419821679E-2</v>
      </c>
      <c r="I474" s="288">
        <v>2.3127446248261019E-2</v>
      </c>
      <c r="J474" s="288">
        <v>0.99999999999999423</v>
      </c>
      <c r="K474" s="288">
        <v>0.80539015514797863</v>
      </c>
      <c r="L474" s="290">
        <v>12423.10581633929</v>
      </c>
      <c r="M474" s="288">
        <v>0</v>
      </c>
      <c r="N474" s="288">
        <v>19501.261700029048</v>
      </c>
      <c r="O474" s="288">
        <v>1247.8554458244266</v>
      </c>
      <c r="P474" s="288">
        <v>28494.190293102442</v>
      </c>
      <c r="Q474" s="291">
        <v>118541.79508873788</v>
      </c>
      <c r="R474" s="288">
        <v>16135.833812951658</v>
      </c>
      <c r="S474" s="288">
        <v>7317.5870462286448</v>
      </c>
      <c r="T474" s="290">
        <v>0.751</v>
      </c>
      <c r="U474" s="288">
        <v>0.75800000000000001</v>
      </c>
      <c r="V474" s="288">
        <v>0.723923076923077</v>
      </c>
      <c r="W474" s="288">
        <v>0.72750000000000004</v>
      </c>
      <c r="X474" s="288">
        <v>0.76</v>
      </c>
      <c r="Y474" s="288">
        <v>0</v>
      </c>
      <c r="Z474" s="289">
        <v>0</v>
      </c>
      <c r="AA474" s="229"/>
      <c r="AB474" s="293">
        <v>72899.124592672029</v>
      </c>
      <c r="AC474" s="294">
        <v>3.3022167843047372</v>
      </c>
      <c r="AD474" s="295">
        <v>61331.230736683341</v>
      </c>
      <c r="AE474" s="294">
        <v>3.2655792488938311</v>
      </c>
      <c r="AF474" s="295">
        <v>11567.893855988688</v>
      </c>
      <c r="AG474" s="296">
        <v>3.6637535410906086E-2</v>
      </c>
      <c r="AH474" s="229"/>
      <c r="AI474" s="205">
        <f t="shared" si="52"/>
        <v>257322.55383780168</v>
      </c>
      <c r="AJ474" s="205">
        <f t="shared" si="53"/>
        <v>265226.69415269978</v>
      </c>
      <c r="AK474" s="205">
        <f t="shared" si="54"/>
        <v>-7904.1403148980799</v>
      </c>
      <c r="AL474" s="229"/>
      <c r="AM474" s="52">
        <f t="shared" si="30"/>
        <v>0</v>
      </c>
      <c r="AN474" s="52">
        <f t="shared" si="31"/>
        <v>1</v>
      </c>
      <c r="AO474" s="52">
        <f t="shared" si="32"/>
        <v>0</v>
      </c>
      <c r="AP474" s="229"/>
      <c r="AQ474" s="28"/>
      <c r="AR474" s="28"/>
      <c r="AS474" s="28"/>
      <c r="AT474" s="28"/>
      <c r="AU474" s="229"/>
      <c r="AV474" s="318">
        <f t="shared" si="55"/>
        <v>265226.69415269978</v>
      </c>
      <c r="AW474" s="229"/>
      <c r="AX474" s="313"/>
      <c r="AY474" s="302"/>
      <c r="AZ474" s="14">
        <f t="shared" si="57"/>
        <v>11567.893855988688</v>
      </c>
      <c r="BA474" s="14">
        <f t="shared" si="56"/>
        <v>3.6637535410906086E-2</v>
      </c>
      <c r="BB474" s="14">
        <f t="shared" si="33"/>
        <v>315738.86524433666</v>
      </c>
      <c r="BC474" s="302"/>
      <c r="BD474" s="302"/>
      <c r="BE474" s="302"/>
      <c r="BF474" s="302"/>
      <c r="BG474" s="302"/>
      <c r="BH474" s="302"/>
      <c r="BI474" s="302"/>
      <c r="BJ474" s="302"/>
      <c r="BK474" s="302"/>
      <c r="BL474" s="302"/>
      <c r="BM474" s="302"/>
      <c r="BN474" s="302"/>
      <c r="BO474" s="302"/>
      <c r="BP474" s="14"/>
      <c r="BQ474" s="14"/>
      <c r="BR474" s="14"/>
      <c r="BS474" s="14"/>
      <c r="BT474" s="14"/>
      <c r="BU474" s="14"/>
      <c r="BV474" s="14"/>
      <c r="BW474" s="14"/>
      <c r="BX474" s="14"/>
      <c r="BY474" s="14"/>
      <c r="BZ474" s="14"/>
      <c r="CA474" s="14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</row>
    <row r="475" spans="1:101" ht="14.25" customHeight="1" x14ac:dyDescent="0.2">
      <c r="A475" s="286"/>
      <c r="B475" s="52">
        <v>0.13977664792083647</v>
      </c>
      <c r="C475" s="288">
        <v>2.0196967538218386E-2</v>
      </c>
      <c r="D475" s="288">
        <v>1.4937867793410664E-2</v>
      </c>
      <c r="E475" s="288">
        <v>2.3758992950484226E-2</v>
      </c>
      <c r="F475" s="289">
        <v>0.80071085397088293</v>
      </c>
      <c r="G475" s="92">
        <v>0.40644058878352574</v>
      </c>
      <c r="H475" s="288">
        <v>0.97483312762884777</v>
      </c>
      <c r="I475" s="288">
        <v>1.2698160471799603E-2</v>
      </c>
      <c r="J475" s="288">
        <v>0.13232682804880586</v>
      </c>
      <c r="K475" s="288">
        <v>0.72555733969324809</v>
      </c>
      <c r="L475" s="290">
        <v>10520.067251030334</v>
      </c>
      <c r="M475" s="288">
        <v>0</v>
      </c>
      <c r="N475" s="288">
        <v>19731.154293452622</v>
      </c>
      <c r="O475" s="288">
        <v>916.52574988022138</v>
      </c>
      <c r="P475" s="288">
        <v>55440.316975335962</v>
      </c>
      <c r="Q475" s="291">
        <v>90037.785063936812</v>
      </c>
      <c r="R475" s="288">
        <v>19935.823580549975</v>
      </c>
      <c r="S475" s="288">
        <v>8598.8314286622517</v>
      </c>
      <c r="T475" s="290">
        <v>0.751</v>
      </c>
      <c r="U475" s="288">
        <v>0.75800000000000001</v>
      </c>
      <c r="V475" s="288">
        <v>0.723923076923077</v>
      </c>
      <c r="W475" s="288">
        <v>0.72750000000000004</v>
      </c>
      <c r="X475" s="288">
        <v>0.76</v>
      </c>
      <c r="Y475" s="288">
        <v>0</v>
      </c>
      <c r="Z475" s="289">
        <v>0</v>
      </c>
      <c r="AA475" s="229"/>
      <c r="AB475" s="293">
        <v>79075.177204315085</v>
      </c>
      <c r="AC475" s="294">
        <v>3.2387954490320761</v>
      </c>
      <c r="AD475" s="295">
        <v>70901.047583246691</v>
      </c>
      <c r="AE475" s="294">
        <v>2.8962339324852748</v>
      </c>
      <c r="AF475" s="295">
        <v>8174.129621068394</v>
      </c>
      <c r="AG475" s="296">
        <v>0.34256151654680123</v>
      </c>
      <c r="AH475" s="229"/>
      <c r="AI475" s="205">
        <f t="shared" si="52"/>
        <v>244804.36769889254</v>
      </c>
      <c r="AJ475" s="205">
        <f t="shared" si="53"/>
        <v>218722.34566528079</v>
      </c>
      <c r="AK475" s="205">
        <f t="shared" si="54"/>
        <v>26082.022033611727</v>
      </c>
      <c r="AL475" s="229"/>
      <c r="AM475" s="52">
        <f t="shared" si="30"/>
        <v>1</v>
      </c>
      <c r="AN475" s="52">
        <f t="shared" si="31"/>
        <v>0</v>
      </c>
      <c r="AO475" s="52">
        <f t="shared" si="32"/>
        <v>1</v>
      </c>
      <c r="AP475" s="229"/>
      <c r="AQ475" s="28"/>
      <c r="AR475" s="28"/>
      <c r="AS475" s="28"/>
      <c r="AT475" s="28"/>
      <c r="AU475" s="229"/>
      <c r="AV475" s="318">
        <f t="shared" si="55"/>
        <v>244804.36769889254</v>
      </c>
      <c r="AW475" s="229"/>
      <c r="AX475" s="313"/>
      <c r="AY475" s="302"/>
      <c r="AZ475" s="14">
        <f t="shared" si="57"/>
        <v>8174.129621068394</v>
      </c>
      <c r="BA475" s="14">
        <f t="shared" si="56"/>
        <v>0.34256151654680123</v>
      </c>
      <c r="BB475" s="14">
        <f t="shared" si="33"/>
        <v>23861.786062450577</v>
      </c>
      <c r="BC475" s="302"/>
      <c r="BD475" s="302"/>
      <c r="BE475" s="302"/>
      <c r="BF475" s="302"/>
      <c r="BG475" s="302"/>
      <c r="BH475" s="302"/>
      <c r="BI475" s="302"/>
      <c r="BJ475" s="302"/>
      <c r="BK475" s="302"/>
      <c r="BL475" s="302"/>
      <c r="BM475" s="302"/>
      <c r="BN475" s="302"/>
      <c r="BO475" s="302"/>
      <c r="BP475" s="14"/>
      <c r="BQ475" s="14"/>
      <c r="BR475" s="14"/>
      <c r="BS475" s="14"/>
      <c r="BT475" s="14"/>
      <c r="BU475" s="14"/>
      <c r="BV475" s="14"/>
      <c r="BW475" s="14"/>
      <c r="BX475" s="14"/>
      <c r="BY475" s="14"/>
      <c r="BZ475" s="14"/>
      <c r="CA475" s="14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</row>
    <row r="476" spans="1:101" ht="14.25" customHeight="1" x14ac:dyDescent="0.2">
      <c r="A476" s="286"/>
      <c r="B476" s="52">
        <v>0.15411819556333131</v>
      </c>
      <c r="C476" s="288">
        <v>6.7202650488550425E-2</v>
      </c>
      <c r="D476" s="288">
        <v>4.3868042158116812E-3</v>
      </c>
      <c r="E476" s="288">
        <v>1.6314461084883103E-2</v>
      </c>
      <c r="F476" s="289">
        <v>0.83106854522993279</v>
      </c>
      <c r="G476" s="92">
        <v>0.42586566711548568</v>
      </c>
      <c r="H476" s="288">
        <v>0.57067566195392372</v>
      </c>
      <c r="I476" s="288">
        <v>2.4030761895346142E-2</v>
      </c>
      <c r="J476" s="288">
        <v>0.99999999999649503</v>
      </c>
      <c r="K476" s="288">
        <v>0.76669955851881677</v>
      </c>
      <c r="L476" s="290">
        <v>14699.624612777639</v>
      </c>
      <c r="M476" s="288">
        <v>0</v>
      </c>
      <c r="N476" s="288">
        <v>22155.079050298154</v>
      </c>
      <c r="O476" s="288">
        <v>1376.2050816200222</v>
      </c>
      <c r="P476" s="288">
        <v>45176.892030443531</v>
      </c>
      <c r="Q476" s="291">
        <v>106252.41898177897</v>
      </c>
      <c r="R476" s="288">
        <v>22750.366528942734</v>
      </c>
      <c r="S476" s="288">
        <v>8903.4456037655636</v>
      </c>
      <c r="T476" s="290">
        <v>0.751</v>
      </c>
      <c r="U476" s="288">
        <v>0.75800000000000001</v>
      </c>
      <c r="V476" s="288">
        <v>0.723923076923077</v>
      </c>
      <c r="W476" s="288">
        <v>0.72750000000000004</v>
      </c>
      <c r="X476" s="288">
        <v>0.76</v>
      </c>
      <c r="Y476" s="288">
        <v>0</v>
      </c>
      <c r="Z476" s="289">
        <v>0</v>
      </c>
      <c r="AA476" s="229"/>
      <c r="AB476" s="293">
        <v>88490.641395206665</v>
      </c>
      <c r="AC476" s="294">
        <v>3.381375374818937</v>
      </c>
      <c r="AD476" s="295">
        <v>75842.781989562136</v>
      </c>
      <c r="AE476" s="294">
        <v>3.08532323647619</v>
      </c>
      <c r="AF476" s="295">
        <v>12647.859405644529</v>
      </c>
      <c r="AG476" s="296">
        <v>0.29605213834274702</v>
      </c>
      <c r="AH476" s="229"/>
      <c r="AI476" s="205">
        <f t="shared" si="52"/>
        <v>249646.89608668705</v>
      </c>
      <c r="AJ476" s="205">
        <f t="shared" si="53"/>
        <v>232689.54165805684</v>
      </c>
      <c r="AK476" s="205">
        <f t="shared" si="54"/>
        <v>16957.354428630173</v>
      </c>
      <c r="AL476" s="229"/>
      <c r="AM476" s="52">
        <f t="shared" si="30"/>
        <v>1</v>
      </c>
      <c r="AN476" s="52">
        <f t="shared" si="31"/>
        <v>0</v>
      </c>
      <c r="AO476" s="52">
        <f t="shared" si="32"/>
        <v>1</v>
      </c>
      <c r="AP476" s="229"/>
      <c r="AQ476" s="28"/>
      <c r="AR476" s="28"/>
      <c r="AS476" s="28"/>
      <c r="AT476" s="28"/>
      <c r="AU476" s="229"/>
      <c r="AV476" s="318">
        <f t="shared" si="55"/>
        <v>249646.89608668705</v>
      </c>
      <c r="AW476" s="229"/>
      <c r="AX476" s="313"/>
      <c r="AY476" s="302"/>
      <c r="AZ476" s="14">
        <f t="shared" si="57"/>
        <v>12647.859405644529</v>
      </c>
      <c r="BA476" s="14">
        <f t="shared" si="56"/>
        <v>0.29605213834274702</v>
      </c>
      <c r="BB476" s="14">
        <f t="shared" si="33"/>
        <v>42721.729613051415</v>
      </c>
      <c r="BC476" s="302"/>
      <c r="BD476" s="302"/>
      <c r="BE476" s="302"/>
      <c r="BF476" s="302"/>
      <c r="BG476" s="302"/>
      <c r="BH476" s="302"/>
      <c r="BI476" s="302"/>
      <c r="BJ476" s="302"/>
      <c r="BK476" s="302"/>
      <c r="BL476" s="302"/>
      <c r="BM476" s="302"/>
      <c r="BN476" s="302"/>
      <c r="BO476" s="302"/>
      <c r="BP476" s="14"/>
      <c r="BQ476" s="14"/>
      <c r="BR476" s="14"/>
      <c r="BS476" s="14"/>
      <c r="BT476" s="14"/>
      <c r="BU476" s="14"/>
      <c r="BV476" s="14"/>
      <c r="BW476" s="14"/>
      <c r="BX476" s="14"/>
      <c r="BY476" s="14"/>
      <c r="BZ476" s="14"/>
      <c r="CA476" s="14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</row>
    <row r="477" spans="1:101" ht="14.25" customHeight="1" x14ac:dyDescent="0.2">
      <c r="A477" s="286"/>
      <c r="B477" s="52">
        <v>0.15620826849316555</v>
      </c>
      <c r="C477" s="288">
        <v>0.51654228371059574</v>
      </c>
      <c r="D477" s="288">
        <v>2.3280843963932707E-2</v>
      </c>
      <c r="E477" s="288">
        <v>1.3592757151980845E-2</v>
      </c>
      <c r="F477" s="289">
        <v>0.77126534102931454</v>
      </c>
      <c r="G477" s="92">
        <v>0.39330499047411166</v>
      </c>
      <c r="H477" s="288">
        <v>0.29344898325219815</v>
      </c>
      <c r="I477" s="288">
        <v>9.6302157362827753E-3</v>
      </c>
      <c r="J477" s="288">
        <v>1</v>
      </c>
      <c r="K477" s="288">
        <v>0.73151711192581592</v>
      </c>
      <c r="L477" s="290">
        <v>14916.423230793045</v>
      </c>
      <c r="M477" s="288">
        <v>0</v>
      </c>
      <c r="N477" s="288">
        <v>20921.209396933351</v>
      </c>
      <c r="O477" s="288">
        <v>1468.8437549243672</v>
      </c>
      <c r="P477" s="288">
        <v>33157.550446542802</v>
      </c>
      <c r="Q477" s="291">
        <v>98347.022825649998</v>
      </c>
      <c r="R477" s="288">
        <v>26787.167286698979</v>
      </c>
      <c r="S477" s="288">
        <v>11307.519218947975</v>
      </c>
      <c r="T477" s="290">
        <v>0.751</v>
      </c>
      <c r="U477" s="288">
        <v>0.75800000000000001</v>
      </c>
      <c r="V477" s="288">
        <v>0.723923076923077</v>
      </c>
      <c r="W477" s="288">
        <v>0.72750000000000004</v>
      </c>
      <c r="X477" s="288">
        <v>0.76</v>
      </c>
      <c r="Y477" s="288">
        <v>0</v>
      </c>
      <c r="Z477" s="289">
        <v>0</v>
      </c>
      <c r="AA477" s="229"/>
      <c r="AB477" s="293">
        <v>104026.40489055609</v>
      </c>
      <c r="AC477" s="294">
        <v>3.1018807338929451</v>
      </c>
      <c r="AD477" s="295">
        <v>86750.373976319999</v>
      </c>
      <c r="AE477" s="294">
        <v>2.9234597437704317</v>
      </c>
      <c r="AF477" s="295">
        <v>17276.030914236093</v>
      </c>
      <c r="AG477" s="296">
        <v>0.17842099012251333</v>
      </c>
      <c r="AH477" s="229"/>
      <c r="AI477" s="205">
        <f t="shared" si="52"/>
        <v>206161.66849873841</v>
      </c>
      <c r="AJ477" s="205">
        <f t="shared" si="53"/>
        <v>205595.6004007232</v>
      </c>
      <c r="AK477" s="205">
        <f t="shared" si="54"/>
        <v>566.06809801523923</v>
      </c>
      <c r="AL477" s="229"/>
      <c r="AM477" s="52">
        <f t="shared" si="30"/>
        <v>1</v>
      </c>
      <c r="AN477" s="52">
        <f t="shared" si="31"/>
        <v>0</v>
      </c>
      <c r="AO477" s="52">
        <f t="shared" si="32"/>
        <v>1</v>
      </c>
      <c r="AP477" s="229"/>
      <c r="AQ477" s="28"/>
      <c r="AR477" s="28"/>
      <c r="AS477" s="28"/>
      <c r="AT477" s="28"/>
      <c r="AU477" s="229"/>
      <c r="AV477" s="318">
        <f t="shared" si="55"/>
        <v>206161.66849873841</v>
      </c>
      <c r="AW477" s="229"/>
      <c r="AX477" s="313"/>
      <c r="AY477" s="302"/>
      <c r="AZ477" s="14">
        <f t="shared" si="57"/>
        <v>17276.030914236093</v>
      </c>
      <c r="BA477" s="14">
        <f t="shared" si="56"/>
        <v>0.17842099012251333</v>
      </c>
      <c r="BB477" s="14">
        <f t="shared" si="33"/>
        <v>96827.345831751358</v>
      </c>
      <c r="BC477" s="302"/>
      <c r="BD477" s="302"/>
      <c r="BE477" s="302"/>
      <c r="BF477" s="302"/>
      <c r="BG477" s="302"/>
      <c r="BH477" s="302"/>
      <c r="BI477" s="302"/>
      <c r="BJ477" s="302"/>
      <c r="BK477" s="302"/>
      <c r="BL477" s="302"/>
      <c r="BM477" s="302"/>
      <c r="BN477" s="302"/>
      <c r="BO477" s="302"/>
      <c r="BP477" s="14"/>
      <c r="BQ477" s="14"/>
      <c r="BR477" s="14"/>
      <c r="BS477" s="14"/>
      <c r="BT477" s="14"/>
      <c r="BU477" s="14"/>
      <c r="BV477" s="14"/>
      <c r="BW477" s="14"/>
      <c r="BX477" s="14"/>
      <c r="BY477" s="14"/>
      <c r="BZ477" s="14"/>
      <c r="CA477" s="14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</row>
    <row r="478" spans="1:101" ht="14.25" customHeight="1" x14ac:dyDescent="0.2">
      <c r="A478" s="286"/>
      <c r="B478" s="52">
        <v>0.15910996878662334</v>
      </c>
      <c r="C478" s="288">
        <v>2.5781536728189336E-2</v>
      </c>
      <c r="D478" s="288">
        <v>1.8897892674707206E-2</v>
      </c>
      <c r="E478" s="288">
        <v>1.6942150669615352E-2</v>
      </c>
      <c r="F478" s="289">
        <v>0.75569331300674292</v>
      </c>
      <c r="G478" s="92">
        <v>0.35034832115962938</v>
      </c>
      <c r="H478" s="288">
        <v>0.45523147133775577</v>
      </c>
      <c r="I478" s="288">
        <v>2.5359606582918246E-3</v>
      </c>
      <c r="J478" s="288">
        <v>0.99999999976316145</v>
      </c>
      <c r="K478" s="288">
        <v>0.74937535120151699</v>
      </c>
      <c r="L478" s="290">
        <v>10911.149035470187</v>
      </c>
      <c r="M478" s="288">
        <v>0</v>
      </c>
      <c r="N478" s="288">
        <v>14801.095727102398</v>
      </c>
      <c r="O478" s="288">
        <v>1273.2070447671017</v>
      </c>
      <c r="P478" s="288">
        <v>30715.494467386743</v>
      </c>
      <c r="Q478" s="291">
        <v>65880.59012842027</v>
      </c>
      <c r="R478" s="288">
        <v>28644.829447414155</v>
      </c>
      <c r="S478" s="288">
        <v>8805.9679374784009</v>
      </c>
      <c r="T478" s="290">
        <v>0.751</v>
      </c>
      <c r="U478" s="288">
        <v>0.75800000000000001</v>
      </c>
      <c r="V478" s="288">
        <v>0.723923076923077</v>
      </c>
      <c r="W478" s="288">
        <v>0.72750000000000004</v>
      </c>
      <c r="X478" s="288">
        <v>0.76</v>
      </c>
      <c r="Y478" s="288">
        <v>0</v>
      </c>
      <c r="Z478" s="289">
        <v>0</v>
      </c>
      <c r="AA478" s="229"/>
      <c r="AB478" s="293">
        <v>77327.50426132034</v>
      </c>
      <c r="AC478" s="294">
        <v>3.0300242337468659</v>
      </c>
      <c r="AD478" s="295">
        <v>70904.638870668539</v>
      </c>
      <c r="AE478" s="294">
        <v>3.005376117597943</v>
      </c>
      <c r="AF478" s="295">
        <v>6422.8653906518011</v>
      </c>
      <c r="AG478" s="296">
        <v>2.4648116148922927E-2</v>
      </c>
      <c r="AH478" s="229"/>
      <c r="AI478" s="205">
        <f t="shared" si="52"/>
        <v>225674.91911336622</v>
      </c>
      <c r="AJ478" s="205">
        <f t="shared" si="53"/>
        <v>229632.97288912575</v>
      </c>
      <c r="AK478" s="205">
        <f t="shared" si="54"/>
        <v>-3958.0537757595084</v>
      </c>
      <c r="AL478" s="229"/>
      <c r="AM478" s="52">
        <f t="shared" si="30"/>
        <v>0</v>
      </c>
      <c r="AN478" s="52">
        <f t="shared" si="31"/>
        <v>1</v>
      </c>
      <c r="AO478" s="52">
        <f t="shared" si="32"/>
        <v>0</v>
      </c>
      <c r="AP478" s="229"/>
      <c r="AQ478" s="28"/>
      <c r="AR478" s="28"/>
      <c r="AS478" s="28"/>
      <c r="AT478" s="28"/>
      <c r="AU478" s="229"/>
      <c r="AV478" s="318">
        <f t="shared" si="55"/>
        <v>229632.97288912575</v>
      </c>
      <c r="AW478" s="229"/>
      <c r="AX478" s="313"/>
      <c r="AY478" s="302"/>
      <c r="AZ478" s="14">
        <f t="shared" si="57"/>
        <v>6422.8653906518011</v>
      </c>
      <c r="BA478" s="14">
        <f t="shared" si="56"/>
        <v>2.4648116148922927E-2</v>
      </c>
      <c r="BB478" s="14">
        <f t="shared" si="33"/>
        <v>260582.4052371835</v>
      </c>
      <c r="BC478" s="302"/>
      <c r="BD478" s="302"/>
      <c r="BE478" s="302"/>
      <c r="BF478" s="302"/>
      <c r="BG478" s="302"/>
      <c r="BH478" s="302"/>
      <c r="BI478" s="302"/>
      <c r="BJ478" s="302"/>
      <c r="BK478" s="302"/>
      <c r="BL478" s="302"/>
      <c r="BM478" s="302"/>
      <c r="BN478" s="302"/>
      <c r="BO478" s="302"/>
      <c r="BP478" s="14"/>
      <c r="BQ478" s="14"/>
      <c r="BR478" s="14"/>
      <c r="BS478" s="14"/>
      <c r="BT478" s="14"/>
      <c r="BU478" s="14"/>
      <c r="BV478" s="14"/>
      <c r="BW478" s="14"/>
      <c r="BX478" s="14"/>
      <c r="BY478" s="14"/>
      <c r="BZ478" s="14"/>
      <c r="CA478" s="14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</row>
    <row r="479" spans="1:101" ht="14.25" customHeight="1" x14ac:dyDescent="0.2">
      <c r="A479" s="286"/>
      <c r="B479" s="52">
        <v>0.1547277489462793</v>
      </c>
      <c r="C479" s="288">
        <v>0.69295855792642114</v>
      </c>
      <c r="D479" s="288">
        <v>1.7991205446551861E-2</v>
      </c>
      <c r="E479" s="288">
        <v>9.6893506024509912E-3</v>
      </c>
      <c r="F479" s="289">
        <v>0.78375855819617701</v>
      </c>
      <c r="G479" s="92">
        <v>0.41484847644271949</v>
      </c>
      <c r="H479" s="288">
        <v>0.13809519985239002</v>
      </c>
      <c r="I479" s="288">
        <v>1.0418510991751206E-2</v>
      </c>
      <c r="J479" s="288">
        <v>0.99999992379664371</v>
      </c>
      <c r="K479" s="288">
        <v>0.77849221975231042</v>
      </c>
      <c r="L479" s="290">
        <v>15036.463710783295</v>
      </c>
      <c r="M479" s="288">
        <v>0</v>
      </c>
      <c r="N479" s="288">
        <v>18418.886216766386</v>
      </c>
      <c r="O479" s="288">
        <v>1326.8664923871308</v>
      </c>
      <c r="P479" s="288">
        <v>41649.885692822958</v>
      </c>
      <c r="Q479" s="291">
        <v>100762.14156410976</v>
      </c>
      <c r="R479" s="288">
        <v>27775.001408146229</v>
      </c>
      <c r="S479" s="288">
        <v>8251.2323081350733</v>
      </c>
      <c r="T479" s="290">
        <v>0.751</v>
      </c>
      <c r="U479" s="288">
        <v>0.75800000000000001</v>
      </c>
      <c r="V479" s="288">
        <v>0.723923076923077</v>
      </c>
      <c r="W479" s="288">
        <v>0.72750000000000004</v>
      </c>
      <c r="X479" s="288">
        <v>0.76</v>
      </c>
      <c r="Y479" s="288">
        <v>0</v>
      </c>
      <c r="Z479" s="289">
        <v>0</v>
      </c>
      <c r="AA479" s="229"/>
      <c r="AB479" s="293">
        <v>82539.739219757685</v>
      </c>
      <c r="AC479" s="294">
        <v>3.1598051623691799</v>
      </c>
      <c r="AD479" s="295">
        <v>66955.794800683245</v>
      </c>
      <c r="AE479" s="294">
        <v>3.1400141934468198</v>
      </c>
      <c r="AF479" s="295">
        <v>15583.94441907444</v>
      </c>
      <c r="AG479" s="296">
        <v>1.9790968922360097E-2</v>
      </c>
      <c r="AH479" s="229"/>
      <c r="AI479" s="205">
        <f t="shared" si="52"/>
        <v>233440.77701716032</v>
      </c>
      <c r="AJ479" s="205">
        <f t="shared" si="53"/>
        <v>247045.62454399871</v>
      </c>
      <c r="AK479" s="205">
        <f t="shared" si="54"/>
        <v>-13604.84752683843</v>
      </c>
      <c r="AL479" s="229"/>
      <c r="AM479" s="52">
        <f t="shared" si="30"/>
        <v>0</v>
      </c>
      <c r="AN479" s="52">
        <f t="shared" si="31"/>
        <v>1</v>
      </c>
      <c r="AO479" s="52">
        <f t="shared" si="32"/>
        <v>0</v>
      </c>
      <c r="AP479" s="229"/>
      <c r="AQ479" s="28"/>
      <c r="AR479" s="28"/>
      <c r="AS479" s="28"/>
      <c r="AT479" s="28"/>
      <c r="AU479" s="229"/>
      <c r="AV479" s="318">
        <f t="shared" si="55"/>
        <v>247045.62454399871</v>
      </c>
      <c r="AW479" s="229"/>
      <c r="AX479" s="313"/>
      <c r="AY479" s="302"/>
      <c r="AZ479" s="14">
        <f t="shared" si="57"/>
        <v>15583.94441907444</v>
      </c>
      <c r="BA479" s="14">
        <f t="shared" si="56"/>
        <v>1.9790968922360097E-2</v>
      </c>
      <c r="BB479" s="14">
        <f t="shared" si="33"/>
        <v>787427.05727093003</v>
      </c>
      <c r="BC479" s="302"/>
      <c r="BD479" s="302"/>
      <c r="BE479" s="302"/>
      <c r="BF479" s="302"/>
      <c r="BG479" s="302"/>
      <c r="BH479" s="302"/>
      <c r="BI479" s="302"/>
      <c r="BJ479" s="302"/>
      <c r="BK479" s="302"/>
      <c r="BL479" s="302"/>
      <c r="BM479" s="302"/>
      <c r="BN479" s="302"/>
      <c r="BO479" s="302"/>
      <c r="BP479" s="14"/>
      <c r="BQ479" s="14"/>
      <c r="BR479" s="14"/>
      <c r="BS479" s="14"/>
      <c r="BT479" s="14"/>
      <c r="BU479" s="14"/>
      <c r="BV479" s="14"/>
      <c r="BW479" s="14"/>
      <c r="BX479" s="14"/>
      <c r="BY479" s="14"/>
      <c r="BZ479" s="14"/>
      <c r="CA479" s="14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</row>
    <row r="480" spans="1:101" ht="14.25" customHeight="1" x14ac:dyDescent="0.2">
      <c r="A480" s="286"/>
      <c r="B480" s="52">
        <v>0.14803787470747554</v>
      </c>
      <c r="C480" s="288">
        <v>3.2394154715430362E-2</v>
      </c>
      <c r="D480" s="288">
        <v>1.406094049499571E-2</v>
      </c>
      <c r="E480" s="288">
        <v>1.5765913708902013E-2</v>
      </c>
      <c r="F480" s="289">
        <v>0.7561986457522788</v>
      </c>
      <c r="G480" s="92">
        <v>0.37561836533285797</v>
      </c>
      <c r="H480" s="288">
        <v>0.34252653464704752</v>
      </c>
      <c r="I480" s="288">
        <v>1.4995245745368046E-2</v>
      </c>
      <c r="J480" s="288">
        <v>0.99999999999939193</v>
      </c>
      <c r="K480" s="288">
        <v>0.7464739370076735</v>
      </c>
      <c r="L480" s="290">
        <v>8924.8699434532336</v>
      </c>
      <c r="M480" s="288">
        <v>0</v>
      </c>
      <c r="N480" s="288">
        <v>22653.240177812855</v>
      </c>
      <c r="O480" s="288">
        <v>1537.051396762512</v>
      </c>
      <c r="P480" s="288">
        <v>30281.165082280047</v>
      </c>
      <c r="Q480" s="291">
        <v>88856.482434198129</v>
      </c>
      <c r="R480" s="288">
        <v>18575.278981770356</v>
      </c>
      <c r="S480" s="288">
        <v>10589.972279543144</v>
      </c>
      <c r="T480" s="290">
        <v>0.751</v>
      </c>
      <c r="U480" s="288">
        <v>0.75800000000000001</v>
      </c>
      <c r="V480" s="288">
        <v>0.723923076923077</v>
      </c>
      <c r="W480" s="288">
        <v>0.72750000000000004</v>
      </c>
      <c r="X480" s="288">
        <v>0.76</v>
      </c>
      <c r="Y480" s="288">
        <v>0</v>
      </c>
      <c r="Z480" s="289">
        <v>0</v>
      </c>
      <c r="AA480" s="229"/>
      <c r="AB480" s="293">
        <v>88726.905881255909</v>
      </c>
      <c r="AC480" s="294">
        <v>3.0323501004387445</v>
      </c>
      <c r="AD480" s="295">
        <v>82559.854626784887</v>
      </c>
      <c r="AE480" s="294">
        <v>2.9920330268625017</v>
      </c>
      <c r="AF480" s="295">
        <v>6167.0512544710218</v>
      </c>
      <c r="AG480" s="296">
        <v>4.0317073576242812E-2</v>
      </c>
      <c r="AH480" s="229"/>
      <c r="AI480" s="205">
        <f t="shared" si="52"/>
        <v>214508.10416261852</v>
      </c>
      <c r="AJ480" s="205">
        <f t="shared" si="53"/>
        <v>216643.4480594653</v>
      </c>
      <c r="AK480" s="205">
        <f t="shared" si="54"/>
        <v>-2135.3438968467408</v>
      </c>
      <c r="AL480" s="229"/>
      <c r="AM480" s="52">
        <f t="shared" si="30"/>
        <v>0</v>
      </c>
      <c r="AN480" s="52">
        <f t="shared" si="31"/>
        <v>1</v>
      </c>
      <c r="AO480" s="52">
        <f t="shared" si="32"/>
        <v>0</v>
      </c>
      <c r="AP480" s="229"/>
      <c r="AQ480" s="28"/>
      <c r="AR480" s="28"/>
      <c r="AS480" s="28"/>
      <c r="AT480" s="28"/>
      <c r="AU480" s="229"/>
      <c r="AV480" s="318">
        <f t="shared" si="55"/>
        <v>216643.4480594653</v>
      </c>
      <c r="AW480" s="229"/>
      <c r="AX480" s="313"/>
      <c r="AY480" s="302"/>
      <c r="AZ480" s="14">
        <f t="shared" si="57"/>
        <v>6167.0512544710218</v>
      </c>
      <c r="BA480" s="14">
        <f t="shared" si="56"/>
        <v>4.0317073576242812E-2</v>
      </c>
      <c r="BB480" s="14">
        <f t="shared" si="33"/>
        <v>152963.7621839947</v>
      </c>
      <c r="BC480" s="302"/>
      <c r="BD480" s="302"/>
      <c r="BE480" s="302"/>
      <c r="BF480" s="302"/>
      <c r="BG480" s="302"/>
      <c r="BH480" s="302"/>
      <c r="BI480" s="302"/>
      <c r="BJ480" s="302"/>
      <c r="BK480" s="302"/>
      <c r="BL480" s="302"/>
      <c r="BM480" s="302"/>
      <c r="BN480" s="302"/>
      <c r="BO480" s="302"/>
      <c r="BP480" s="14"/>
      <c r="BQ480" s="14"/>
      <c r="BR480" s="14"/>
      <c r="BS480" s="14"/>
      <c r="BT480" s="14"/>
      <c r="BU480" s="14"/>
      <c r="BV480" s="14"/>
      <c r="BW480" s="14"/>
      <c r="BX480" s="14"/>
      <c r="BY480" s="14"/>
      <c r="BZ480" s="14"/>
      <c r="CA480" s="14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</row>
    <row r="481" spans="1:101" ht="14.25" customHeight="1" x14ac:dyDescent="0.2">
      <c r="A481" s="286"/>
      <c r="B481" s="52">
        <v>0.1252529731171412</v>
      </c>
      <c r="C481" s="288">
        <v>0.32840028295696055</v>
      </c>
      <c r="D481" s="288">
        <v>1.0296625909915199E-2</v>
      </c>
      <c r="E481" s="288">
        <v>1.7293142010841756E-2</v>
      </c>
      <c r="F481" s="289">
        <v>0.79619671955899807</v>
      </c>
      <c r="G481" s="92">
        <v>0.41384016293978088</v>
      </c>
      <c r="H481" s="288">
        <v>0.16364906292305931</v>
      </c>
      <c r="I481" s="288">
        <v>2.902175079149294E-2</v>
      </c>
      <c r="J481" s="288">
        <v>0.99999142339845926</v>
      </c>
      <c r="K481" s="288">
        <v>0.75613488042169796</v>
      </c>
      <c r="L481" s="290">
        <v>10500.361795970703</v>
      </c>
      <c r="M481" s="288">
        <v>0</v>
      </c>
      <c r="N481" s="288">
        <v>20526.454119336453</v>
      </c>
      <c r="O481" s="288">
        <v>1209.5969512970496</v>
      </c>
      <c r="P481" s="288">
        <v>44088.775239275681</v>
      </c>
      <c r="Q481" s="291">
        <v>71665.345377141784</v>
      </c>
      <c r="R481" s="288">
        <v>27641.031259291478</v>
      </c>
      <c r="S481" s="288">
        <v>9345.2984358605572</v>
      </c>
      <c r="T481" s="290">
        <v>0.751</v>
      </c>
      <c r="U481" s="288">
        <v>0.75800000000000001</v>
      </c>
      <c r="V481" s="288">
        <v>0.723923076923077</v>
      </c>
      <c r="W481" s="288">
        <v>0.72750000000000004</v>
      </c>
      <c r="X481" s="288">
        <v>0.76</v>
      </c>
      <c r="Y481" s="288">
        <v>0</v>
      </c>
      <c r="Z481" s="289">
        <v>0</v>
      </c>
      <c r="AA481" s="229"/>
      <c r="AB481" s="293">
        <v>85562.592718462969</v>
      </c>
      <c r="AC481" s="294">
        <v>3.2177175225776744</v>
      </c>
      <c r="AD481" s="295">
        <v>74526.010751926529</v>
      </c>
      <c r="AE481" s="294">
        <v>3.0365134642612581</v>
      </c>
      <c r="AF481" s="295">
        <v>11036.58196653644</v>
      </c>
      <c r="AG481" s="296">
        <v>0.18120405831641628</v>
      </c>
      <c r="AH481" s="229"/>
      <c r="AI481" s="205">
        <f t="shared" si="52"/>
        <v>236209.15953930444</v>
      </c>
      <c r="AJ481" s="205">
        <f t="shared" si="53"/>
        <v>229125.33567419928</v>
      </c>
      <c r="AK481" s="205">
        <f t="shared" si="54"/>
        <v>7083.823865105187</v>
      </c>
      <c r="AL481" s="229"/>
      <c r="AM481" s="52">
        <f t="shared" si="30"/>
        <v>1</v>
      </c>
      <c r="AN481" s="52">
        <f t="shared" si="31"/>
        <v>0</v>
      </c>
      <c r="AO481" s="52">
        <f t="shared" si="32"/>
        <v>1</v>
      </c>
      <c r="AP481" s="229"/>
      <c r="AQ481" s="28"/>
      <c r="AR481" s="28"/>
      <c r="AS481" s="28"/>
      <c r="AT481" s="28"/>
      <c r="AU481" s="229"/>
      <c r="AV481" s="318">
        <f t="shared" si="55"/>
        <v>236209.15953930444</v>
      </c>
      <c r="AW481" s="229"/>
      <c r="AX481" s="313"/>
      <c r="AY481" s="302"/>
      <c r="AZ481" s="14">
        <f t="shared" si="57"/>
        <v>11036.58196653644</v>
      </c>
      <c r="BA481" s="14">
        <f t="shared" si="56"/>
        <v>0.18120405831641628</v>
      </c>
      <c r="BB481" s="14">
        <f t="shared" si="33"/>
        <v>60906.924872866242</v>
      </c>
      <c r="BC481" s="302"/>
      <c r="BD481" s="302"/>
      <c r="BE481" s="302"/>
      <c r="BF481" s="302"/>
      <c r="BG481" s="302"/>
      <c r="BH481" s="302"/>
      <c r="BI481" s="302"/>
      <c r="BJ481" s="302"/>
      <c r="BK481" s="302"/>
      <c r="BL481" s="302"/>
      <c r="BM481" s="302"/>
      <c r="BN481" s="302"/>
      <c r="BO481" s="302"/>
      <c r="BP481" s="14"/>
      <c r="BQ481" s="14"/>
      <c r="BR481" s="14"/>
      <c r="BS481" s="14"/>
      <c r="BT481" s="14"/>
      <c r="BU481" s="14"/>
      <c r="BV481" s="14"/>
      <c r="BW481" s="14"/>
      <c r="BX481" s="14"/>
      <c r="BY481" s="14"/>
      <c r="BZ481" s="14"/>
      <c r="CA481" s="14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</row>
    <row r="482" spans="1:101" ht="14.25" customHeight="1" x14ac:dyDescent="0.2">
      <c r="A482" s="286"/>
      <c r="B482" s="52">
        <v>0.15688868112568885</v>
      </c>
      <c r="C482" s="288">
        <v>0.19256013046307588</v>
      </c>
      <c r="D482" s="288">
        <v>1.8080670106837338E-2</v>
      </c>
      <c r="E482" s="288">
        <v>1.5634927102348151E-2</v>
      </c>
      <c r="F482" s="289">
        <v>0.76367283291019117</v>
      </c>
      <c r="G482" s="92">
        <v>0.45701678904590093</v>
      </c>
      <c r="H482" s="288">
        <v>0.76550006345739896</v>
      </c>
      <c r="I482" s="288">
        <v>1.3005244300898014E-2</v>
      </c>
      <c r="J482" s="288">
        <v>0.99999999999999822</v>
      </c>
      <c r="K482" s="288">
        <v>0.76066844373761655</v>
      </c>
      <c r="L482" s="290">
        <v>12359.039386976528</v>
      </c>
      <c r="M482" s="288">
        <v>0</v>
      </c>
      <c r="N482" s="288">
        <v>15685.353726619844</v>
      </c>
      <c r="O482" s="288">
        <v>956.39657748228251</v>
      </c>
      <c r="P482" s="288">
        <v>45115.705246769183</v>
      </c>
      <c r="Q482" s="291">
        <v>158261.13307606595</v>
      </c>
      <c r="R482" s="288">
        <v>22099.797282966811</v>
      </c>
      <c r="S482" s="288">
        <v>9203.5309880988025</v>
      </c>
      <c r="T482" s="290">
        <v>0.751</v>
      </c>
      <c r="U482" s="288">
        <v>0.75800000000000001</v>
      </c>
      <c r="V482" s="288">
        <v>0.723923076923077</v>
      </c>
      <c r="W482" s="288">
        <v>0.72750000000000004</v>
      </c>
      <c r="X482" s="288">
        <v>0.76</v>
      </c>
      <c r="Y482" s="288">
        <v>0</v>
      </c>
      <c r="Z482" s="289">
        <v>0</v>
      </c>
      <c r="AA482" s="229"/>
      <c r="AB482" s="293">
        <v>83226.443648244487</v>
      </c>
      <c r="AC482" s="294">
        <v>3.0667978955667858</v>
      </c>
      <c r="AD482" s="295">
        <v>79204.53283601602</v>
      </c>
      <c r="AE482" s="294">
        <v>3.0574373892245315</v>
      </c>
      <c r="AF482" s="295">
        <v>4021.910812228467</v>
      </c>
      <c r="AG482" s="296">
        <v>9.3605063422543822E-3</v>
      </c>
      <c r="AH482" s="229"/>
      <c r="AI482" s="205">
        <f t="shared" si="52"/>
        <v>223453.34590843407</v>
      </c>
      <c r="AJ482" s="205">
        <f t="shared" si="53"/>
        <v>226539.2060864371</v>
      </c>
      <c r="AK482" s="205">
        <f t="shared" si="54"/>
        <v>-3085.8601780030285</v>
      </c>
      <c r="AL482" s="229"/>
      <c r="AM482" s="52">
        <f t="shared" si="30"/>
        <v>0</v>
      </c>
      <c r="AN482" s="52">
        <f t="shared" si="31"/>
        <v>1</v>
      </c>
      <c r="AO482" s="52">
        <f t="shared" si="32"/>
        <v>0</v>
      </c>
      <c r="AP482" s="229"/>
      <c r="AQ482" s="28"/>
      <c r="AR482" s="28"/>
      <c r="AS482" s="28"/>
      <c r="AT482" s="28"/>
      <c r="AU482" s="229"/>
      <c r="AV482" s="318">
        <f t="shared" si="55"/>
        <v>226539.2060864371</v>
      </c>
      <c r="AW482" s="229"/>
      <c r="AX482" s="313"/>
      <c r="AY482" s="302"/>
      <c r="AZ482" s="14">
        <f t="shared" si="57"/>
        <v>4021.910812228467</v>
      </c>
      <c r="BA482" s="14">
        <f t="shared" si="56"/>
        <v>9.3605063422543822E-3</v>
      </c>
      <c r="BB482" s="14">
        <f t="shared" si="33"/>
        <v>429668.08259859914</v>
      </c>
      <c r="BC482" s="302"/>
      <c r="BD482" s="302"/>
      <c r="BE482" s="302"/>
      <c r="BF482" s="302"/>
      <c r="BG482" s="302"/>
      <c r="BH482" s="302"/>
      <c r="BI482" s="302"/>
      <c r="BJ482" s="302"/>
      <c r="BK482" s="302"/>
      <c r="BL482" s="302"/>
      <c r="BM482" s="302"/>
      <c r="BN482" s="302"/>
      <c r="BO482" s="302"/>
      <c r="BP482" s="14"/>
      <c r="BQ482" s="14"/>
      <c r="BR482" s="14"/>
      <c r="BS482" s="14"/>
      <c r="BT482" s="14"/>
      <c r="BU482" s="14"/>
      <c r="BV482" s="14"/>
      <c r="BW482" s="14"/>
      <c r="BX482" s="14"/>
      <c r="BY482" s="14"/>
      <c r="BZ482" s="14"/>
      <c r="CA482" s="14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</row>
    <row r="483" spans="1:101" ht="14.25" customHeight="1" x14ac:dyDescent="0.2">
      <c r="A483" s="286"/>
      <c r="B483" s="52">
        <v>0.14735929851629853</v>
      </c>
      <c r="C483" s="288">
        <v>0.66263510493022104</v>
      </c>
      <c r="D483" s="288">
        <v>9.2836573083049378E-3</v>
      </c>
      <c r="E483" s="288">
        <v>2.3030738885457147E-2</v>
      </c>
      <c r="F483" s="289">
        <v>0.74364070874084043</v>
      </c>
      <c r="G483" s="92">
        <v>0.37889236406608856</v>
      </c>
      <c r="H483" s="288">
        <v>0.72672855681959114</v>
      </c>
      <c r="I483" s="288">
        <v>2.104937579702848E-2</v>
      </c>
      <c r="J483" s="288">
        <v>0.57058555351634743</v>
      </c>
      <c r="K483" s="288">
        <v>0.7234046768127218</v>
      </c>
      <c r="L483" s="290">
        <v>9782.8071638319943</v>
      </c>
      <c r="M483" s="288">
        <v>0</v>
      </c>
      <c r="N483" s="288">
        <v>20428.863076578848</v>
      </c>
      <c r="O483" s="288">
        <v>1099.4070691112101</v>
      </c>
      <c r="P483" s="288">
        <v>40199.57038728951</v>
      </c>
      <c r="Q483" s="291">
        <v>94225.829885688509</v>
      </c>
      <c r="R483" s="288">
        <v>32174.836792707451</v>
      </c>
      <c r="S483" s="288">
        <v>8356.5131716890319</v>
      </c>
      <c r="T483" s="290">
        <v>0.751</v>
      </c>
      <c r="U483" s="288">
        <v>0.75800000000000001</v>
      </c>
      <c r="V483" s="288">
        <v>0.723923076923077</v>
      </c>
      <c r="W483" s="288">
        <v>0.72750000000000004</v>
      </c>
      <c r="X483" s="288">
        <v>0.76</v>
      </c>
      <c r="Y483" s="288">
        <v>0</v>
      </c>
      <c r="Z483" s="289">
        <v>0</v>
      </c>
      <c r="AA483" s="229"/>
      <c r="AB483" s="293">
        <v>74752.568714230001</v>
      </c>
      <c r="AC483" s="294">
        <v>2.9746690887508214</v>
      </c>
      <c r="AD483" s="295">
        <v>70566.297003336396</v>
      </c>
      <c r="AE483" s="294">
        <v>2.8864137640343372</v>
      </c>
      <c r="AF483" s="295">
        <v>4186.2717108936049</v>
      </c>
      <c r="AG483" s="296">
        <v>8.8255324716484118E-2</v>
      </c>
      <c r="AH483" s="229"/>
      <c r="AI483" s="205">
        <f t="shared" si="52"/>
        <v>222714.34016085215</v>
      </c>
      <c r="AJ483" s="205">
        <f t="shared" si="53"/>
        <v>218075.07940009734</v>
      </c>
      <c r="AK483" s="205">
        <f t="shared" si="54"/>
        <v>4639.2607607548071</v>
      </c>
      <c r="AL483" s="229"/>
      <c r="AM483" s="52">
        <f t="shared" si="30"/>
        <v>1</v>
      </c>
      <c r="AN483" s="52">
        <f t="shared" si="31"/>
        <v>0</v>
      </c>
      <c r="AO483" s="52">
        <f t="shared" si="32"/>
        <v>1</v>
      </c>
      <c r="AP483" s="229"/>
      <c r="AQ483" s="28"/>
      <c r="AR483" s="28"/>
      <c r="AS483" s="28"/>
      <c r="AT483" s="28"/>
      <c r="AU483" s="229"/>
      <c r="AV483" s="318">
        <f t="shared" si="55"/>
        <v>222714.34016085215</v>
      </c>
      <c r="AW483" s="229"/>
      <c r="AX483" s="313"/>
      <c r="AY483" s="302"/>
      <c r="AZ483" s="14">
        <f t="shared" si="57"/>
        <v>4186.2717108936049</v>
      </c>
      <c r="BA483" s="14">
        <f t="shared" si="56"/>
        <v>8.8255324716484118E-2</v>
      </c>
      <c r="BB483" s="14">
        <f t="shared" si="33"/>
        <v>47433.644647977861</v>
      </c>
      <c r="BC483" s="302"/>
      <c r="BD483" s="302"/>
      <c r="BE483" s="302"/>
      <c r="BF483" s="302"/>
      <c r="BG483" s="302"/>
      <c r="BH483" s="302"/>
      <c r="BI483" s="302"/>
      <c r="BJ483" s="302"/>
      <c r="BK483" s="302"/>
      <c r="BL483" s="302"/>
      <c r="BM483" s="302"/>
      <c r="BN483" s="302"/>
      <c r="BO483" s="302"/>
      <c r="BP483" s="14"/>
      <c r="BQ483" s="14"/>
      <c r="BR483" s="14"/>
      <c r="BS483" s="14"/>
      <c r="BT483" s="14"/>
      <c r="BU483" s="14"/>
      <c r="BV483" s="14"/>
      <c r="BW483" s="14"/>
      <c r="BX483" s="14"/>
      <c r="BY483" s="14"/>
      <c r="BZ483" s="14"/>
      <c r="CA483" s="14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</row>
    <row r="484" spans="1:101" ht="14.25" customHeight="1" x14ac:dyDescent="0.2">
      <c r="A484" s="286"/>
      <c r="B484" s="52">
        <v>0.1616835351018967</v>
      </c>
      <c r="C484" s="288">
        <v>2.9515339927077507E-2</v>
      </c>
      <c r="D484" s="288">
        <v>1.3107878448746632E-2</v>
      </c>
      <c r="E484" s="288">
        <v>1.6399701141549095E-2</v>
      </c>
      <c r="F484" s="289">
        <v>0.81256375727405405</v>
      </c>
      <c r="G484" s="92">
        <v>0.40197386144381553</v>
      </c>
      <c r="H484" s="288">
        <v>0.31617758056829559</v>
      </c>
      <c r="I484" s="288">
        <v>1.8585466364206549E-2</v>
      </c>
      <c r="J484" s="288">
        <v>0.93760683851464555</v>
      </c>
      <c r="K484" s="288">
        <v>0.8045387442047498</v>
      </c>
      <c r="L484" s="290">
        <v>16043.857151468501</v>
      </c>
      <c r="M484" s="288">
        <v>0</v>
      </c>
      <c r="N484" s="288">
        <v>15583.027331734582</v>
      </c>
      <c r="O484" s="288">
        <v>1460.8234381271343</v>
      </c>
      <c r="P484" s="288">
        <v>43424.42058328283</v>
      </c>
      <c r="Q484" s="291">
        <v>113851.66441364946</v>
      </c>
      <c r="R484" s="288">
        <v>26873.437979348029</v>
      </c>
      <c r="S484" s="288">
        <v>8994.2681516658922</v>
      </c>
      <c r="T484" s="290">
        <v>0.751</v>
      </c>
      <c r="U484" s="288">
        <v>0.75800000000000001</v>
      </c>
      <c r="V484" s="288">
        <v>0.723923076923077</v>
      </c>
      <c r="W484" s="288">
        <v>0.72750000000000004</v>
      </c>
      <c r="X484" s="288">
        <v>0.76</v>
      </c>
      <c r="Y484" s="288">
        <v>0</v>
      </c>
      <c r="Z484" s="289">
        <v>0</v>
      </c>
      <c r="AA484" s="229"/>
      <c r="AB484" s="293">
        <v>89021.658372593927</v>
      </c>
      <c r="AC484" s="294">
        <v>3.2942925590070673</v>
      </c>
      <c r="AD484" s="295">
        <v>77365.50916463777</v>
      </c>
      <c r="AE484" s="294">
        <v>3.2615872110448638</v>
      </c>
      <c r="AF484" s="295">
        <v>11656.149207956158</v>
      </c>
      <c r="AG484" s="296">
        <v>3.2705347962203479E-2</v>
      </c>
      <c r="AH484" s="229"/>
      <c r="AI484" s="205">
        <f t="shared" si="52"/>
        <v>240407.59752811282</v>
      </c>
      <c r="AJ484" s="205">
        <f t="shared" si="53"/>
        <v>248793.21193984861</v>
      </c>
      <c r="AK484" s="205">
        <f t="shared" si="54"/>
        <v>-8385.614411735809</v>
      </c>
      <c r="AL484" s="229"/>
      <c r="AM484" s="52">
        <f t="shared" si="30"/>
        <v>0</v>
      </c>
      <c r="AN484" s="52">
        <f t="shared" si="31"/>
        <v>1</v>
      </c>
      <c r="AO484" s="52">
        <f t="shared" si="32"/>
        <v>0</v>
      </c>
      <c r="AP484" s="229"/>
      <c r="AQ484" s="28"/>
      <c r="AR484" s="28"/>
      <c r="AS484" s="28"/>
      <c r="AT484" s="28"/>
      <c r="AU484" s="229"/>
      <c r="AV484" s="318">
        <f t="shared" si="55"/>
        <v>248793.21193984861</v>
      </c>
      <c r="AW484" s="229"/>
      <c r="AX484" s="313"/>
      <c r="AY484" s="302"/>
      <c r="AZ484" s="14">
        <f t="shared" si="57"/>
        <v>11656.149207956158</v>
      </c>
      <c r="BA484" s="14">
        <f t="shared" si="56"/>
        <v>3.2705347962203479E-2</v>
      </c>
      <c r="BB484" s="14">
        <f t="shared" si="33"/>
        <v>356398.87462523853</v>
      </c>
      <c r="BC484" s="302"/>
      <c r="BD484" s="302"/>
      <c r="BE484" s="302"/>
      <c r="BF484" s="302"/>
      <c r="BG484" s="302"/>
      <c r="BH484" s="302"/>
      <c r="BI484" s="302"/>
      <c r="BJ484" s="302"/>
      <c r="BK484" s="302"/>
      <c r="BL484" s="302"/>
      <c r="BM484" s="302"/>
      <c r="BN484" s="302"/>
      <c r="BO484" s="302"/>
      <c r="BP484" s="14"/>
      <c r="BQ484" s="14"/>
      <c r="BR484" s="14"/>
      <c r="BS484" s="14"/>
      <c r="BT484" s="14"/>
      <c r="BU484" s="14"/>
      <c r="BV484" s="14"/>
      <c r="BW484" s="14"/>
      <c r="BX484" s="14"/>
      <c r="BY484" s="14"/>
      <c r="BZ484" s="14"/>
      <c r="CA484" s="14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</row>
    <row r="485" spans="1:101" ht="14.25" customHeight="1" x14ac:dyDescent="0.2">
      <c r="A485" s="286"/>
      <c r="B485" s="52">
        <v>0.14796908717577151</v>
      </c>
      <c r="C485" s="288">
        <v>0.7369909614030774</v>
      </c>
      <c r="D485" s="288">
        <v>7.8437794740549831E-3</v>
      </c>
      <c r="E485" s="288">
        <v>4.1854482003036092E-3</v>
      </c>
      <c r="F485" s="289">
        <v>0.80594679884186371</v>
      </c>
      <c r="G485" s="92">
        <v>0.34628863854053471</v>
      </c>
      <c r="H485" s="288">
        <v>0.54185135770579373</v>
      </c>
      <c r="I485" s="288">
        <v>1.4588622313269038E-2</v>
      </c>
      <c r="J485" s="288">
        <v>0.99999999278848106</v>
      </c>
      <c r="K485" s="288">
        <v>0.81012110545824301</v>
      </c>
      <c r="L485" s="290">
        <v>13357.368697379579</v>
      </c>
      <c r="M485" s="288">
        <v>0</v>
      </c>
      <c r="N485" s="288">
        <v>19683.919267172303</v>
      </c>
      <c r="O485" s="288">
        <v>1068.968411795591</v>
      </c>
      <c r="P485" s="288">
        <v>38909.872812704118</v>
      </c>
      <c r="Q485" s="291">
        <v>100832.61014583186</v>
      </c>
      <c r="R485" s="288">
        <v>29582.812255183151</v>
      </c>
      <c r="S485" s="288">
        <v>10996.475154892376</v>
      </c>
      <c r="T485" s="290">
        <v>0.751</v>
      </c>
      <c r="U485" s="288">
        <v>0.75800000000000001</v>
      </c>
      <c r="V485" s="288">
        <v>0.723923076923077</v>
      </c>
      <c r="W485" s="288">
        <v>0.72750000000000004</v>
      </c>
      <c r="X485" s="288">
        <v>0.76</v>
      </c>
      <c r="Y485" s="288">
        <v>0</v>
      </c>
      <c r="Z485" s="289">
        <v>0</v>
      </c>
      <c r="AA485" s="229"/>
      <c r="AB485" s="293">
        <v>104618.65802643966</v>
      </c>
      <c r="AC485" s="294">
        <v>3.263283774289242</v>
      </c>
      <c r="AD485" s="295">
        <v>95586.839344693915</v>
      </c>
      <c r="AE485" s="294">
        <v>3.2877822219208008</v>
      </c>
      <c r="AF485" s="295">
        <v>9031.8186817457463</v>
      </c>
      <c r="AG485" s="296">
        <v>-2.449844763155884E-2</v>
      </c>
      <c r="AH485" s="229"/>
      <c r="AI485" s="205">
        <f t="shared" si="52"/>
        <v>221709.71940248454</v>
      </c>
      <c r="AJ485" s="205">
        <f t="shared" si="53"/>
        <v>233191.38284738618</v>
      </c>
      <c r="AK485" s="205">
        <f t="shared" si="54"/>
        <v>-11481.663444901631</v>
      </c>
      <c r="AL485" s="229"/>
      <c r="AM485" s="52">
        <f t="shared" si="30"/>
        <v>0</v>
      </c>
      <c r="AN485" s="52">
        <f t="shared" si="31"/>
        <v>1</v>
      </c>
      <c r="AO485" s="52">
        <f t="shared" si="32"/>
        <v>0</v>
      </c>
      <c r="AP485" s="229"/>
      <c r="AQ485" s="28"/>
      <c r="AR485" s="28"/>
      <c r="AS485" s="28"/>
      <c r="AT485" s="28"/>
      <c r="AU485" s="229"/>
      <c r="AV485" s="318">
        <f t="shared" si="55"/>
        <v>233191.38284738618</v>
      </c>
      <c r="AW485" s="229"/>
      <c r="AX485" s="313"/>
      <c r="AY485" s="302"/>
      <c r="AZ485" s="14">
        <f t="shared" si="57"/>
        <v>9031.8186817457463</v>
      </c>
      <c r="BA485" s="14">
        <f t="shared" si="56"/>
        <v>-2.449844763155884E-2</v>
      </c>
      <c r="BB485" s="14">
        <f t="shared" si="33"/>
        <v>-368669.02007745911</v>
      </c>
      <c r="BC485" s="302"/>
      <c r="BD485" s="302"/>
      <c r="BE485" s="302"/>
      <c r="BF485" s="302"/>
      <c r="BG485" s="302"/>
      <c r="BH485" s="302"/>
      <c r="BI485" s="302"/>
      <c r="BJ485" s="302"/>
      <c r="BK485" s="302"/>
      <c r="BL485" s="302"/>
      <c r="BM485" s="302"/>
      <c r="BN485" s="302"/>
      <c r="BO485" s="302"/>
      <c r="BP485" s="14"/>
      <c r="BQ485" s="14"/>
      <c r="BR485" s="14"/>
      <c r="BS485" s="14"/>
      <c r="BT485" s="14"/>
      <c r="BU485" s="14"/>
      <c r="BV485" s="14"/>
      <c r="BW485" s="14"/>
      <c r="BX485" s="14"/>
      <c r="BY485" s="14"/>
      <c r="BZ485" s="14"/>
      <c r="CA485" s="14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</row>
    <row r="486" spans="1:101" ht="14.25" customHeight="1" x14ac:dyDescent="0.2">
      <c r="A486" s="286"/>
      <c r="B486" s="52">
        <v>0.15022951636004417</v>
      </c>
      <c r="C486" s="288">
        <v>4.5735560633194963E-2</v>
      </c>
      <c r="D486" s="288">
        <v>2.0173610695779942E-2</v>
      </c>
      <c r="E486" s="288">
        <v>2.1850637335943612E-2</v>
      </c>
      <c r="F486" s="289">
        <v>0.75676421826040652</v>
      </c>
      <c r="G486" s="92">
        <v>0.43025684856843061</v>
      </c>
      <c r="H486" s="288">
        <v>0.281502812546016</v>
      </c>
      <c r="I486" s="288">
        <v>3.3597124806911238E-2</v>
      </c>
      <c r="J486" s="288">
        <v>4.4853617914993315E-4</v>
      </c>
      <c r="K486" s="288">
        <v>0.76665597636419902</v>
      </c>
      <c r="L486" s="290">
        <v>14860.92888039581</v>
      </c>
      <c r="M486" s="288">
        <v>0</v>
      </c>
      <c r="N486" s="288">
        <v>18703.508926842682</v>
      </c>
      <c r="O486" s="288">
        <v>1520.2868973449199</v>
      </c>
      <c r="P486" s="288">
        <v>52676.513349432018</v>
      </c>
      <c r="Q486" s="291">
        <v>123312.31993592784</v>
      </c>
      <c r="R486" s="288">
        <v>31745.465968072171</v>
      </c>
      <c r="S486" s="288">
        <v>9630.0884369608011</v>
      </c>
      <c r="T486" s="290">
        <v>0.751</v>
      </c>
      <c r="U486" s="288">
        <v>0.75800000000000001</v>
      </c>
      <c r="V486" s="288">
        <v>0.723923076923077</v>
      </c>
      <c r="W486" s="288">
        <v>0.72750000000000004</v>
      </c>
      <c r="X486" s="288">
        <v>0.76</v>
      </c>
      <c r="Y486" s="288">
        <v>0</v>
      </c>
      <c r="Z486" s="289">
        <v>0</v>
      </c>
      <c r="AA486" s="229"/>
      <c r="AB486" s="293">
        <v>87850.834868781225</v>
      </c>
      <c r="AC486" s="294">
        <v>3.0349537043083061</v>
      </c>
      <c r="AD486" s="295">
        <v>79793.440677961</v>
      </c>
      <c r="AE486" s="294">
        <v>3.0851215215834884</v>
      </c>
      <c r="AF486" s="295">
        <v>8057.394190820225</v>
      </c>
      <c r="AG486" s="296">
        <v>-5.0167817275182269E-2</v>
      </c>
      <c r="AH486" s="229"/>
      <c r="AI486" s="205">
        <f t="shared" si="52"/>
        <v>215644.53556204942</v>
      </c>
      <c r="AJ486" s="205">
        <f t="shared" si="53"/>
        <v>228718.71148038784</v>
      </c>
      <c r="AK486" s="205">
        <f t="shared" si="54"/>
        <v>-13074.175918338453</v>
      </c>
      <c r="AL486" s="229"/>
      <c r="AM486" s="52">
        <f t="shared" si="30"/>
        <v>0</v>
      </c>
      <c r="AN486" s="52">
        <f t="shared" si="31"/>
        <v>1</v>
      </c>
      <c r="AO486" s="52">
        <f t="shared" si="32"/>
        <v>0</v>
      </c>
      <c r="AP486" s="229"/>
      <c r="AQ486" s="28"/>
      <c r="AR486" s="28"/>
      <c r="AS486" s="28"/>
      <c r="AT486" s="28"/>
      <c r="AU486" s="229"/>
      <c r="AV486" s="318">
        <f t="shared" si="55"/>
        <v>228718.71148038784</v>
      </c>
      <c r="AW486" s="229"/>
      <c r="AX486" s="313"/>
      <c r="AY486" s="302"/>
      <c r="AZ486" s="14">
        <f t="shared" si="57"/>
        <v>8057.394190820225</v>
      </c>
      <c r="BA486" s="14">
        <f t="shared" si="56"/>
        <v>-5.0167817275182269E-2</v>
      </c>
      <c r="BB486" s="14">
        <f t="shared" si="33"/>
        <v>-160608.82510840613</v>
      </c>
      <c r="BC486" s="302"/>
      <c r="BD486" s="302"/>
      <c r="BE486" s="302"/>
      <c r="BF486" s="302"/>
      <c r="BG486" s="302"/>
      <c r="BH486" s="302"/>
      <c r="BI486" s="302"/>
      <c r="BJ486" s="302"/>
      <c r="BK486" s="302"/>
      <c r="BL486" s="302"/>
      <c r="BM486" s="302"/>
      <c r="BN486" s="302"/>
      <c r="BO486" s="302"/>
      <c r="BP486" s="14"/>
      <c r="BQ486" s="14"/>
      <c r="BR486" s="14"/>
      <c r="BS486" s="14"/>
      <c r="BT486" s="14"/>
      <c r="BU486" s="14"/>
      <c r="BV486" s="14"/>
      <c r="BW486" s="14"/>
      <c r="BX486" s="14"/>
      <c r="BY486" s="14"/>
      <c r="BZ486" s="14"/>
      <c r="CA486" s="14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</row>
    <row r="487" spans="1:101" ht="14.25" customHeight="1" x14ac:dyDescent="0.2">
      <c r="A487" s="286"/>
      <c r="B487" s="52">
        <v>0.16097232372723547</v>
      </c>
      <c r="C487" s="288">
        <v>0.66149225837863201</v>
      </c>
      <c r="D487" s="288">
        <v>5.3354885181794596E-3</v>
      </c>
      <c r="E487" s="288">
        <v>1.0539975873605785E-2</v>
      </c>
      <c r="F487" s="289">
        <v>0.8029665411500696</v>
      </c>
      <c r="G487" s="92">
        <v>0.39229962736292795</v>
      </c>
      <c r="H487" s="288">
        <v>0.98482790239565987</v>
      </c>
      <c r="I487" s="288">
        <v>2.4221844695769601E-2</v>
      </c>
      <c r="J487" s="288">
        <v>1</v>
      </c>
      <c r="K487" s="288">
        <v>0.74945799473489461</v>
      </c>
      <c r="L487" s="290">
        <v>11442.477604721433</v>
      </c>
      <c r="M487" s="288">
        <v>0</v>
      </c>
      <c r="N487" s="288">
        <v>18499.372472175055</v>
      </c>
      <c r="O487" s="288">
        <v>1513.9996987296215</v>
      </c>
      <c r="P487" s="288">
        <v>42773.345867170581</v>
      </c>
      <c r="Q487" s="291">
        <v>125678.90068470477</v>
      </c>
      <c r="R487" s="288">
        <v>19555.277115663161</v>
      </c>
      <c r="S487" s="288">
        <v>6848.0715341285586</v>
      </c>
      <c r="T487" s="290">
        <v>0.751</v>
      </c>
      <c r="U487" s="288">
        <v>0.75800000000000001</v>
      </c>
      <c r="V487" s="288">
        <v>0.723923076923077</v>
      </c>
      <c r="W487" s="288">
        <v>0.72750000000000004</v>
      </c>
      <c r="X487" s="288">
        <v>0.76</v>
      </c>
      <c r="Y487" s="288">
        <v>0</v>
      </c>
      <c r="Z487" s="289">
        <v>0</v>
      </c>
      <c r="AA487" s="229"/>
      <c r="AB487" s="293">
        <v>68327.383931995544</v>
      </c>
      <c r="AC487" s="294">
        <v>3.2493399444441726</v>
      </c>
      <c r="AD487" s="295">
        <v>61042.827497884486</v>
      </c>
      <c r="AE487" s="294">
        <v>3.0057563749535987</v>
      </c>
      <c r="AF487" s="295">
        <v>7284.5564341110585</v>
      </c>
      <c r="AG487" s="296">
        <v>0.24358356949057391</v>
      </c>
      <c r="AH487" s="229"/>
      <c r="AI487" s="205">
        <f t="shared" si="52"/>
        <v>256606.6105124217</v>
      </c>
      <c r="AJ487" s="205">
        <f t="shared" si="53"/>
        <v>239532.80999747539</v>
      </c>
      <c r="AK487" s="205">
        <f t="shared" si="54"/>
        <v>17073.800514946332</v>
      </c>
      <c r="AL487" s="229"/>
      <c r="AM487" s="52">
        <f t="shared" si="30"/>
        <v>1</v>
      </c>
      <c r="AN487" s="52">
        <f t="shared" si="31"/>
        <v>0</v>
      </c>
      <c r="AO487" s="52">
        <f t="shared" si="32"/>
        <v>1</v>
      </c>
      <c r="AP487" s="229"/>
      <c r="AQ487" s="28"/>
      <c r="AR487" s="28"/>
      <c r="AS487" s="28"/>
      <c r="AT487" s="28"/>
      <c r="AU487" s="229"/>
      <c r="AV487" s="318">
        <f t="shared" si="55"/>
        <v>256606.6105124217</v>
      </c>
      <c r="AW487" s="229"/>
      <c r="AX487" s="313"/>
      <c r="AY487" s="302"/>
      <c r="AZ487" s="14">
        <f t="shared" si="57"/>
        <v>7284.5564341110585</v>
      </c>
      <c r="BA487" s="14">
        <f t="shared" si="56"/>
        <v>0.24358356949057391</v>
      </c>
      <c r="BB487" s="14">
        <f t="shared" si="33"/>
        <v>29905.779151466752</v>
      </c>
      <c r="BC487" s="302"/>
      <c r="BD487" s="302"/>
      <c r="BE487" s="302"/>
      <c r="BF487" s="302"/>
      <c r="BG487" s="302"/>
      <c r="BH487" s="302"/>
      <c r="BI487" s="302"/>
      <c r="BJ487" s="302"/>
      <c r="BK487" s="302"/>
      <c r="BL487" s="302"/>
      <c r="BM487" s="302"/>
      <c r="BN487" s="302"/>
      <c r="BO487" s="302"/>
      <c r="BP487" s="14"/>
      <c r="BQ487" s="14"/>
      <c r="BR487" s="14"/>
      <c r="BS487" s="14"/>
      <c r="BT487" s="14"/>
      <c r="BU487" s="14"/>
      <c r="BV487" s="14"/>
      <c r="BW487" s="14"/>
      <c r="BX487" s="14"/>
      <c r="BY487" s="14"/>
      <c r="BZ487" s="14"/>
      <c r="CA487" s="14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</row>
    <row r="488" spans="1:101" ht="14.25" customHeight="1" x14ac:dyDescent="0.2">
      <c r="A488" s="286"/>
      <c r="B488" s="52">
        <v>0.15569362765917802</v>
      </c>
      <c r="C488" s="288">
        <v>3.2558456730412043E-2</v>
      </c>
      <c r="D488" s="288">
        <v>1.1626279429382351E-2</v>
      </c>
      <c r="E488" s="288">
        <v>1.6408098916627978E-2</v>
      </c>
      <c r="F488" s="289">
        <v>0.81209573192937545</v>
      </c>
      <c r="G488" s="92">
        <v>0.46597729520016018</v>
      </c>
      <c r="H488" s="288">
        <v>0.96429925189804444</v>
      </c>
      <c r="I488" s="288">
        <v>1.4045765263726338E-2</v>
      </c>
      <c r="J488" s="288">
        <v>0.9999999999999889</v>
      </c>
      <c r="K488" s="288">
        <v>0.74227625755671667</v>
      </c>
      <c r="L488" s="290">
        <v>10420.639109651758</v>
      </c>
      <c r="M488" s="288">
        <v>0</v>
      </c>
      <c r="N488" s="288">
        <v>27028.692991642532</v>
      </c>
      <c r="O488" s="288">
        <v>1322.3464143511708</v>
      </c>
      <c r="P488" s="288">
        <v>52351.670085953236</v>
      </c>
      <c r="Q488" s="291">
        <v>85398.626848743646</v>
      </c>
      <c r="R488" s="288">
        <v>30641.770617907525</v>
      </c>
      <c r="S488" s="288">
        <v>9634.693185261347</v>
      </c>
      <c r="T488" s="290">
        <v>0.751</v>
      </c>
      <c r="U488" s="288">
        <v>0.75800000000000001</v>
      </c>
      <c r="V488" s="288">
        <v>0.723923076923077</v>
      </c>
      <c r="W488" s="288">
        <v>0.72750000000000004</v>
      </c>
      <c r="X488" s="288">
        <v>0.76</v>
      </c>
      <c r="Y488" s="288">
        <v>0</v>
      </c>
      <c r="Z488" s="289">
        <v>0</v>
      </c>
      <c r="AA488" s="229"/>
      <c r="AB488" s="293">
        <v>88417.175136260514</v>
      </c>
      <c r="AC488" s="294">
        <v>3.2920970138017811</v>
      </c>
      <c r="AD488" s="295">
        <v>86588.962114433336</v>
      </c>
      <c r="AE488" s="294">
        <v>2.972752127370085</v>
      </c>
      <c r="AF488" s="295">
        <v>1828.2130218271777</v>
      </c>
      <c r="AG488" s="296">
        <v>0.31934488643169612</v>
      </c>
      <c r="AH488" s="229"/>
      <c r="AI488" s="205">
        <f t="shared" si="52"/>
        <v>240792.52624391759</v>
      </c>
      <c r="AJ488" s="205">
        <f t="shared" si="53"/>
        <v>210686.25062257517</v>
      </c>
      <c r="AK488" s="205">
        <f t="shared" si="54"/>
        <v>30106.275621342433</v>
      </c>
      <c r="AL488" s="229"/>
      <c r="AM488" s="52">
        <f t="shared" si="30"/>
        <v>1</v>
      </c>
      <c r="AN488" s="52">
        <f t="shared" si="31"/>
        <v>0</v>
      </c>
      <c r="AO488" s="52">
        <f t="shared" si="32"/>
        <v>1</v>
      </c>
      <c r="AP488" s="229"/>
      <c r="AQ488" s="28"/>
      <c r="AR488" s="28"/>
      <c r="AS488" s="28"/>
      <c r="AT488" s="28"/>
      <c r="AU488" s="229"/>
      <c r="AV488" s="318">
        <f t="shared" si="55"/>
        <v>240792.52624391759</v>
      </c>
      <c r="AW488" s="229"/>
      <c r="AX488" s="313"/>
      <c r="AY488" s="302"/>
      <c r="AZ488" s="14">
        <f t="shared" si="57"/>
        <v>1828.2130218271777</v>
      </c>
      <c r="BA488" s="14">
        <f t="shared" si="56"/>
        <v>0.31934488643169612</v>
      </c>
      <c r="BB488" s="14">
        <f t="shared" si="33"/>
        <v>5724.8858507030127</v>
      </c>
      <c r="BC488" s="302"/>
      <c r="BD488" s="302"/>
      <c r="BE488" s="302"/>
      <c r="BF488" s="302"/>
      <c r="BG488" s="302"/>
      <c r="BH488" s="302"/>
      <c r="BI488" s="302"/>
      <c r="BJ488" s="302"/>
      <c r="BK488" s="302"/>
      <c r="BL488" s="302"/>
      <c r="BM488" s="302"/>
      <c r="BN488" s="302"/>
      <c r="BO488" s="302"/>
      <c r="BP488" s="14"/>
      <c r="BQ488" s="14"/>
      <c r="BR488" s="14"/>
      <c r="BS488" s="14"/>
      <c r="BT488" s="14"/>
      <c r="BU488" s="14"/>
      <c r="BV488" s="14"/>
      <c r="BW488" s="14"/>
      <c r="BX488" s="14"/>
      <c r="BY488" s="14"/>
      <c r="BZ488" s="14"/>
      <c r="CA488" s="14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</row>
    <row r="489" spans="1:101" ht="14.25" customHeight="1" x14ac:dyDescent="0.2">
      <c r="A489" s="286"/>
      <c r="B489" s="52">
        <v>0.1755702591329884</v>
      </c>
      <c r="C489" s="288">
        <v>0.77178372048750177</v>
      </c>
      <c r="D489" s="288">
        <v>2.6665145882015517E-2</v>
      </c>
      <c r="E489" s="288">
        <v>1.4275676469141943E-2</v>
      </c>
      <c r="F489" s="289">
        <v>0.75867260112288049</v>
      </c>
      <c r="G489" s="92">
        <v>0.41169142489115851</v>
      </c>
      <c r="H489" s="288">
        <v>1.2479985136334065E-2</v>
      </c>
      <c r="I489" s="288">
        <v>2.0795885575319417E-2</v>
      </c>
      <c r="J489" s="288">
        <v>0.99999999999953793</v>
      </c>
      <c r="K489" s="288">
        <v>0.78939541214604714</v>
      </c>
      <c r="L489" s="290">
        <v>15916.814017406376</v>
      </c>
      <c r="M489" s="288">
        <v>0</v>
      </c>
      <c r="N489" s="288">
        <v>16037.169921110766</v>
      </c>
      <c r="O489" s="288">
        <v>948.41618628128231</v>
      </c>
      <c r="P489" s="288">
        <v>47964.40197690561</v>
      </c>
      <c r="Q489" s="291">
        <v>82048.916033173271</v>
      </c>
      <c r="R489" s="288">
        <v>25077.279470205456</v>
      </c>
      <c r="S489" s="288">
        <v>11884.214881161039</v>
      </c>
      <c r="T489" s="290">
        <v>0.751</v>
      </c>
      <c r="U489" s="288">
        <v>0.75800000000000001</v>
      </c>
      <c r="V489" s="288">
        <v>0.723923076923077</v>
      </c>
      <c r="W489" s="288">
        <v>0.72750000000000004</v>
      </c>
      <c r="X489" s="288">
        <v>0.76</v>
      </c>
      <c r="Y489" s="288">
        <v>0</v>
      </c>
      <c r="Z489" s="289">
        <v>0</v>
      </c>
      <c r="AA489" s="229"/>
      <c r="AB489" s="293">
        <v>109151.02162176656</v>
      </c>
      <c r="AC489" s="294">
        <v>3.0437426165118944</v>
      </c>
      <c r="AD489" s="295">
        <v>95479.228923661271</v>
      </c>
      <c r="AE489" s="294">
        <v>3.1907750780775039</v>
      </c>
      <c r="AF489" s="295">
        <v>13671.792698105288</v>
      </c>
      <c r="AG489" s="296">
        <v>-0.14703246156560956</v>
      </c>
      <c r="AH489" s="229"/>
      <c r="AI489" s="205">
        <f t="shared" si="52"/>
        <v>195223.24002942286</v>
      </c>
      <c r="AJ489" s="205">
        <f t="shared" si="53"/>
        <v>223598.27888408909</v>
      </c>
      <c r="AK489" s="205">
        <f t="shared" si="54"/>
        <v>-28375.038854666243</v>
      </c>
      <c r="AL489" s="229"/>
      <c r="AM489" s="52">
        <f t="shared" si="30"/>
        <v>0</v>
      </c>
      <c r="AN489" s="52">
        <f t="shared" si="31"/>
        <v>1</v>
      </c>
      <c r="AO489" s="52">
        <f t="shared" si="32"/>
        <v>0</v>
      </c>
      <c r="AP489" s="229"/>
      <c r="AQ489" s="28"/>
      <c r="AR489" s="28"/>
      <c r="AS489" s="28"/>
      <c r="AT489" s="28"/>
      <c r="AU489" s="229"/>
      <c r="AV489" s="318">
        <f t="shared" si="55"/>
        <v>223598.27888408909</v>
      </c>
      <c r="AW489" s="229"/>
      <c r="AX489" s="313"/>
      <c r="AY489" s="302"/>
      <c r="AZ489" s="14">
        <f t="shared" si="57"/>
        <v>13671.792698105288</v>
      </c>
      <c r="BA489" s="14">
        <f t="shared" si="56"/>
        <v>-0.14703246156560956</v>
      </c>
      <c r="BB489" s="14">
        <f t="shared" si="33"/>
        <v>-92984.858938817342</v>
      </c>
      <c r="BC489" s="302"/>
      <c r="BD489" s="302"/>
      <c r="BE489" s="302"/>
      <c r="BF489" s="302"/>
      <c r="BG489" s="302"/>
      <c r="BH489" s="302"/>
      <c r="BI489" s="302"/>
      <c r="BJ489" s="302"/>
      <c r="BK489" s="302"/>
      <c r="BL489" s="302"/>
      <c r="BM489" s="302"/>
      <c r="BN489" s="302"/>
      <c r="BO489" s="302"/>
      <c r="BP489" s="14"/>
      <c r="BQ489" s="14"/>
      <c r="BR489" s="14"/>
      <c r="BS489" s="14"/>
      <c r="BT489" s="14"/>
      <c r="BU489" s="14"/>
      <c r="BV489" s="14"/>
      <c r="BW489" s="14"/>
      <c r="BX489" s="14"/>
      <c r="BY489" s="14"/>
      <c r="BZ489" s="14"/>
      <c r="CA489" s="14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</row>
    <row r="490" spans="1:101" ht="14.25" customHeight="1" x14ac:dyDescent="0.2">
      <c r="A490" s="286"/>
      <c r="B490" s="52">
        <v>0.14869881003756746</v>
      </c>
      <c r="C490" s="288">
        <v>0.76720053995450521</v>
      </c>
      <c r="D490" s="288">
        <v>1.4199122844365837E-2</v>
      </c>
      <c r="E490" s="288">
        <v>1.1885513725337278E-2</v>
      </c>
      <c r="F490" s="289">
        <v>0.76296396555376433</v>
      </c>
      <c r="G490" s="92">
        <v>0.42280765466645165</v>
      </c>
      <c r="H490" s="288">
        <v>0.11261479715601611</v>
      </c>
      <c r="I490" s="288">
        <v>4.3067171679101901E-2</v>
      </c>
      <c r="J490" s="288">
        <v>0.9999999999075182</v>
      </c>
      <c r="K490" s="288">
        <v>0.7793117093578652</v>
      </c>
      <c r="L490" s="290">
        <v>16430.704981654293</v>
      </c>
      <c r="M490" s="288">
        <v>0</v>
      </c>
      <c r="N490" s="288">
        <v>21110.397856540705</v>
      </c>
      <c r="O490" s="288">
        <v>1244.3189930477743</v>
      </c>
      <c r="P490" s="288">
        <v>40491.474710080933</v>
      </c>
      <c r="Q490" s="291">
        <v>80849.75956457782</v>
      </c>
      <c r="R490" s="288">
        <v>30281.689741585964</v>
      </c>
      <c r="S490" s="288">
        <v>8571.0275123563642</v>
      </c>
      <c r="T490" s="290">
        <v>0.751</v>
      </c>
      <c r="U490" s="288">
        <v>0.75800000000000001</v>
      </c>
      <c r="V490" s="288">
        <v>0.723923076923077</v>
      </c>
      <c r="W490" s="288">
        <v>0.72750000000000004</v>
      </c>
      <c r="X490" s="288">
        <v>0.76</v>
      </c>
      <c r="Y490" s="288">
        <v>0</v>
      </c>
      <c r="Z490" s="289">
        <v>0</v>
      </c>
      <c r="AA490" s="229"/>
      <c r="AB490" s="293">
        <v>84997.434921168053</v>
      </c>
      <c r="AC490" s="294">
        <v>3.0635270344470475</v>
      </c>
      <c r="AD490" s="295">
        <v>71527.767006647278</v>
      </c>
      <c r="AE490" s="294">
        <v>3.1438228952479963</v>
      </c>
      <c r="AF490" s="295">
        <v>13469.667914520775</v>
      </c>
      <c r="AG490" s="296">
        <v>-8.0295860800948748E-2</v>
      </c>
      <c r="AH490" s="229"/>
      <c r="AI490" s="205">
        <f t="shared" si="52"/>
        <v>221355.26852353671</v>
      </c>
      <c r="AJ490" s="205">
        <f t="shared" si="53"/>
        <v>242854.52251815234</v>
      </c>
      <c r="AK490" s="205">
        <f t="shared" si="54"/>
        <v>-21499.25399461565</v>
      </c>
      <c r="AL490" s="229"/>
      <c r="AM490" s="52">
        <f t="shared" si="30"/>
        <v>0</v>
      </c>
      <c r="AN490" s="52">
        <f t="shared" si="31"/>
        <v>1</v>
      </c>
      <c r="AO490" s="52">
        <f t="shared" si="32"/>
        <v>0</v>
      </c>
      <c r="AP490" s="229"/>
      <c r="AQ490" s="28"/>
      <c r="AR490" s="28"/>
      <c r="AS490" s="28"/>
      <c r="AT490" s="28"/>
      <c r="AU490" s="229"/>
      <c r="AV490" s="318">
        <f t="shared" si="55"/>
        <v>242854.52251815234</v>
      </c>
      <c r="AW490" s="229"/>
      <c r="AX490" s="313"/>
      <c r="AY490" s="302"/>
      <c r="AZ490" s="14">
        <f t="shared" si="57"/>
        <v>13469.667914520775</v>
      </c>
      <c r="BA490" s="14">
        <f t="shared" si="56"/>
        <v>-8.0295860800948748E-2</v>
      </c>
      <c r="BB490" s="14">
        <f t="shared" si="33"/>
        <v>-167750.46409816458</v>
      </c>
      <c r="BC490" s="302"/>
      <c r="BD490" s="302"/>
      <c r="BE490" s="302"/>
      <c r="BF490" s="302"/>
      <c r="BG490" s="302"/>
      <c r="BH490" s="302"/>
      <c r="BI490" s="302"/>
      <c r="BJ490" s="302"/>
      <c r="BK490" s="302"/>
      <c r="BL490" s="302"/>
      <c r="BM490" s="302"/>
      <c r="BN490" s="302"/>
      <c r="BO490" s="302"/>
      <c r="BP490" s="14"/>
      <c r="BQ490" s="14"/>
      <c r="BR490" s="14"/>
      <c r="BS490" s="14"/>
      <c r="BT490" s="14"/>
      <c r="BU490" s="14"/>
      <c r="BV490" s="14"/>
      <c r="BW490" s="14"/>
      <c r="BX490" s="14"/>
      <c r="BY490" s="14"/>
      <c r="BZ490" s="14"/>
      <c r="CA490" s="14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</row>
    <row r="491" spans="1:101" ht="14.25" customHeight="1" x14ac:dyDescent="0.2">
      <c r="A491" s="286"/>
      <c r="B491" s="52">
        <v>0.15798601939123288</v>
      </c>
      <c r="C491" s="288">
        <v>0.63941911511181115</v>
      </c>
      <c r="D491" s="288">
        <v>1.5848636735447785E-2</v>
      </c>
      <c r="E491" s="288">
        <v>1.1791683484909665E-2</v>
      </c>
      <c r="F491" s="289">
        <v>0.78434696433240048</v>
      </c>
      <c r="G491" s="92">
        <v>0.44321679521110025</v>
      </c>
      <c r="H491" s="288">
        <v>0.4495529461956918</v>
      </c>
      <c r="I491" s="288">
        <v>1.2941384012632893E-2</v>
      </c>
      <c r="J491" s="288">
        <v>0.99999863130468425</v>
      </c>
      <c r="K491" s="288">
        <v>0.73053451538614844</v>
      </c>
      <c r="L491" s="290">
        <v>12483.495567262687</v>
      </c>
      <c r="M491" s="288">
        <v>0</v>
      </c>
      <c r="N491" s="288">
        <v>17518.294166207619</v>
      </c>
      <c r="O491" s="288">
        <v>1515.3482091558387</v>
      </c>
      <c r="P491" s="288">
        <v>35116.61637886041</v>
      </c>
      <c r="Q491" s="291">
        <v>92265.354405423888</v>
      </c>
      <c r="R491" s="288">
        <v>30752.651448107139</v>
      </c>
      <c r="S491" s="288">
        <v>8731.7693229137876</v>
      </c>
      <c r="T491" s="290">
        <v>0.751</v>
      </c>
      <c r="U491" s="288">
        <v>0.75800000000000001</v>
      </c>
      <c r="V491" s="288">
        <v>0.723923076923077</v>
      </c>
      <c r="W491" s="288">
        <v>0.72750000000000004</v>
      </c>
      <c r="X491" s="288">
        <v>0.76</v>
      </c>
      <c r="Y491" s="288">
        <v>0</v>
      </c>
      <c r="Z491" s="289">
        <v>0</v>
      </c>
      <c r="AA491" s="229"/>
      <c r="AB491" s="293">
        <v>83880.231909349139</v>
      </c>
      <c r="AC491" s="294">
        <v>3.1625393264694202</v>
      </c>
      <c r="AD491" s="295">
        <v>71270.767279447435</v>
      </c>
      <c r="AE491" s="294">
        <v>2.9189671292751491</v>
      </c>
      <c r="AF491" s="295">
        <v>12609.464629901704</v>
      </c>
      <c r="AG491" s="296">
        <v>0.24357219719427103</v>
      </c>
      <c r="AH491" s="229"/>
      <c r="AI491" s="205">
        <f t="shared" si="52"/>
        <v>232373.70073759288</v>
      </c>
      <c r="AJ491" s="205">
        <f t="shared" si="53"/>
        <v>220625.94564806749</v>
      </c>
      <c r="AK491" s="205">
        <f t="shared" si="54"/>
        <v>11747.755089525399</v>
      </c>
      <c r="AL491" s="229"/>
      <c r="AM491" s="52">
        <f t="shared" si="30"/>
        <v>1</v>
      </c>
      <c r="AN491" s="52">
        <f t="shared" si="31"/>
        <v>0</v>
      </c>
      <c r="AO491" s="52">
        <f t="shared" si="32"/>
        <v>1</v>
      </c>
      <c r="AP491" s="229"/>
      <c r="AQ491" s="28"/>
      <c r="AR491" s="28"/>
      <c r="AS491" s="28"/>
      <c r="AT491" s="28"/>
      <c r="AU491" s="229"/>
      <c r="AV491" s="318">
        <f t="shared" si="55"/>
        <v>232373.70073759288</v>
      </c>
      <c r="AW491" s="229"/>
      <c r="AX491" s="313"/>
      <c r="AY491" s="302"/>
      <c r="AZ491" s="14">
        <f t="shared" si="57"/>
        <v>12609.464629901704</v>
      </c>
      <c r="BA491" s="14">
        <f t="shared" si="56"/>
        <v>0.24357219719427103</v>
      </c>
      <c r="BB491" s="14">
        <f t="shared" si="33"/>
        <v>51768.899632844819</v>
      </c>
      <c r="BC491" s="302"/>
      <c r="BD491" s="302"/>
      <c r="BE491" s="302"/>
      <c r="BF491" s="302"/>
      <c r="BG491" s="302"/>
      <c r="BH491" s="302"/>
      <c r="BI491" s="302"/>
      <c r="BJ491" s="302"/>
      <c r="BK491" s="302"/>
      <c r="BL491" s="302"/>
      <c r="BM491" s="302"/>
      <c r="BN491" s="302"/>
      <c r="BO491" s="302"/>
      <c r="BP491" s="14"/>
      <c r="BQ491" s="14"/>
      <c r="BR491" s="14"/>
      <c r="BS491" s="14"/>
      <c r="BT491" s="14"/>
      <c r="BU491" s="14"/>
      <c r="BV491" s="14"/>
      <c r="BW491" s="14"/>
      <c r="BX491" s="14"/>
      <c r="BY491" s="14"/>
      <c r="BZ491" s="14"/>
      <c r="CA491" s="14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</row>
    <row r="492" spans="1:101" ht="14.25" customHeight="1" x14ac:dyDescent="0.2">
      <c r="A492" s="286"/>
      <c r="B492" s="52">
        <v>0.18693844166420215</v>
      </c>
      <c r="C492" s="288">
        <v>0.19646670056411755</v>
      </c>
      <c r="D492" s="288">
        <v>5.1875179234323479E-3</v>
      </c>
      <c r="E492" s="288">
        <v>1.187319795274247E-2</v>
      </c>
      <c r="F492" s="289">
        <v>0.80160975331413842</v>
      </c>
      <c r="G492" s="92">
        <v>0.43430112702464141</v>
      </c>
      <c r="H492" s="288">
        <v>5.4200789509189641E-2</v>
      </c>
      <c r="I492" s="288">
        <v>1.4146510086344868E-2</v>
      </c>
      <c r="J492" s="288">
        <v>0.99999999964766917</v>
      </c>
      <c r="K492" s="288">
        <v>0.70862989183464575</v>
      </c>
      <c r="L492" s="290">
        <v>7318.8318199296973</v>
      </c>
      <c r="M492" s="288">
        <v>0</v>
      </c>
      <c r="N492" s="288">
        <v>19846.616518818766</v>
      </c>
      <c r="O492" s="288">
        <v>1240.5124875716742</v>
      </c>
      <c r="P492" s="288">
        <v>50309.783940497822</v>
      </c>
      <c r="Q492" s="291">
        <v>114224.15111412812</v>
      </c>
      <c r="R492" s="288">
        <v>22958.357546644202</v>
      </c>
      <c r="S492" s="288">
        <v>8872.5432455153241</v>
      </c>
      <c r="T492" s="290">
        <v>0.751</v>
      </c>
      <c r="U492" s="288">
        <v>0.75800000000000001</v>
      </c>
      <c r="V492" s="288">
        <v>0.723923076923077</v>
      </c>
      <c r="W492" s="288">
        <v>0.72750000000000004</v>
      </c>
      <c r="X492" s="288">
        <v>0.76</v>
      </c>
      <c r="Y492" s="288">
        <v>0</v>
      </c>
      <c r="Z492" s="289">
        <v>0</v>
      </c>
      <c r="AA492" s="229"/>
      <c r="AB492" s="293">
        <v>78933.700007570733</v>
      </c>
      <c r="AC492" s="294">
        <v>3.2429965113781871</v>
      </c>
      <c r="AD492" s="295">
        <v>64926.641377802051</v>
      </c>
      <c r="AE492" s="294">
        <v>2.81921022365704</v>
      </c>
      <c r="AF492" s="295">
        <v>14007.058629768682</v>
      </c>
      <c r="AG492" s="296">
        <v>0.42378628772114713</v>
      </c>
      <c r="AH492" s="229"/>
      <c r="AI492" s="205">
        <f t="shared" si="52"/>
        <v>245365.95113024797</v>
      </c>
      <c r="AJ492" s="205">
        <f t="shared" si="53"/>
        <v>216994.38098790194</v>
      </c>
      <c r="AK492" s="205">
        <f t="shared" si="54"/>
        <v>28371.570142346027</v>
      </c>
      <c r="AL492" s="229"/>
      <c r="AM492" s="52">
        <f t="shared" si="30"/>
        <v>1</v>
      </c>
      <c r="AN492" s="52">
        <f t="shared" si="31"/>
        <v>0</v>
      </c>
      <c r="AO492" s="52">
        <f t="shared" si="32"/>
        <v>1</v>
      </c>
      <c r="AP492" s="229"/>
      <c r="AQ492" s="28"/>
      <c r="AR492" s="28"/>
      <c r="AS492" s="28"/>
      <c r="AT492" s="28"/>
      <c r="AU492" s="229"/>
      <c r="AV492" s="318">
        <f t="shared" si="55"/>
        <v>245365.95113024797</v>
      </c>
      <c r="AW492" s="229"/>
      <c r="AX492" s="313"/>
      <c r="AY492" s="302"/>
      <c r="AZ492" s="14">
        <f t="shared" si="57"/>
        <v>14007.058629768682</v>
      </c>
      <c r="BA492" s="14">
        <f t="shared" si="56"/>
        <v>0.42378628772114713</v>
      </c>
      <c r="BB492" s="14">
        <f t="shared" si="33"/>
        <v>33052.175201537844</v>
      </c>
      <c r="BC492" s="302"/>
      <c r="BD492" s="302"/>
      <c r="BE492" s="302"/>
      <c r="BF492" s="302"/>
      <c r="BG492" s="302"/>
      <c r="BH492" s="302"/>
      <c r="BI492" s="302"/>
      <c r="BJ492" s="302"/>
      <c r="BK492" s="302"/>
      <c r="BL492" s="302"/>
      <c r="BM492" s="302"/>
      <c r="BN492" s="302"/>
      <c r="BO492" s="302"/>
      <c r="BP492" s="14"/>
      <c r="BQ492" s="14"/>
      <c r="BR492" s="14"/>
      <c r="BS492" s="14"/>
      <c r="BT492" s="14"/>
      <c r="BU492" s="14"/>
      <c r="BV492" s="14"/>
      <c r="BW492" s="14"/>
      <c r="BX492" s="14"/>
      <c r="BY492" s="14"/>
      <c r="BZ492" s="14"/>
      <c r="CA492" s="14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</row>
    <row r="493" spans="1:101" ht="14.25" customHeight="1" x14ac:dyDescent="0.2">
      <c r="A493" s="286"/>
      <c r="B493" s="52">
        <v>0.14487139702648294</v>
      </c>
      <c r="C493" s="288">
        <v>0.20661818867092197</v>
      </c>
      <c r="D493" s="288">
        <v>1.0888876188816652E-2</v>
      </c>
      <c r="E493" s="288">
        <v>1.7004411114131979E-2</v>
      </c>
      <c r="F493" s="289">
        <v>0.76535123285486706</v>
      </c>
      <c r="G493" s="92">
        <v>0.41732055106471766</v>
      </c>
      <c r="H493" s="288">
        <v>0.99988782778508878</v>
      </c>
      <c r="I493" s="288">
        <v>5.8668431914659314E-2</v>
      </c>
      <c r="J493" s="288">
        <v>0.56307737783463641</v>
      </c>
      <c r="K493" s="288">
        <v>0.71157406646510624</v>
      </c>
      <c r="L493" s="290">
        <v>15560.14101512309</v>
      </c>
      <c r="M493" s="288">
        <v>0</v>
      </c>
      <c r="N493" s="288">
        <v>22087.97821867944</v>
      </c>
      <c r="O493" s="288">
        <v>1043.9629741371698</v>
      </c>
      <c r="P493" s="288">
        <v>59468.226287827682</v>
      </c>
      <c r="Q493" s="291">
        <v>131594.38427337693</v>
      </c>
      <c r="R493" s="288">
        <v>22094.473111239866</v>
      </c>
      <c r="S493" s="288">
        <v>8646.1450114328964</v>
      </c>
      <c r="T493" s="290">
        <v>0.751</v>
      </c>
      <c r="U493" s="288">
        <v>0.75800000000000001</v>
      </c>
      <c r="V493" s="288">
        <v>0.723923076923077</v>
      </c>
      <c r="W493" s="288">
        <v>0.72750000000000004</v>
      </c>
      <c r="X493" s="288">
        <v>0.76</v>
      </c>
      <c r="Y493" s="288">
        <v>0</v>
      </c>
      <c r="Z493" s="289">
        <v>0</v>
      </c>
      <c r="AA493" s="229"/>
      <c r="AB493" s="293">
        <v>82109.281537040937</v>
      </c>
      <c r="AC493" s="294">
        <v>3.074545523615797</v>
      </c>
      <c r="AD493" s="295">
        <v>74920.889924097719</v>
      </c>
      <c r="AE493" s="294">
        <v>2.8325744363465208</v>
      </c>
      <c r="AF493" s="295">
        <v>7188.3916129432182</v>
      </c>
      <c r="AG493" s="296">
        <v>0.24197108726927619</v>
      </c>
      <c r="AH493" s="229"/>
      <c r="AI493" s="205">
        <f t="shared" si="52"/>
        <v>225345.27082453878</v>
      </c>
      <c r="AJ493" s="205">
        <f t="shared" si="53"/>
        <v>208336.55371055435</v>
      </c>
      <c r="AK493" s="205">
        <f t="shared" si="54"/>
        <v>17008.717113984399</v>
      </c>
      <c r="AL493" s="229"/>
      <c r="AM493" s="52">
        <f t="shared" si="30"/>
        <v>1</v>
      </c>
      <c r="AN493" s="52">
        <f t="shared" si="31"/>
        <v>0</v>
      </c>
      <c r="AO493" s="52">
        <f t="shared" si="32"/>
        <v>1</v>
      </c>
      <c r="AP493" s="229"/>
      <c r="AQ493" s="28"/>
      <c r="AR493" s="28"/>
      <c r="AS493" s="28"/>
      <c r="AT493" s="28"/>
      <c r="AU493" s="229"/>
      <c r="AV493" s="318">
        <f t="shared" si="55"/>
        <v>225345.27082453878</v>
      </c>
      <c r="AW493" s="229"/>
      <c r="AX493" s="313"/>
      <c r="AY493" s="302"/>
      <c r="AZ493" s="14">
        <f t="shared" si="57"/>
        <v>7188.3916129432182</v>
      </c>
      <c r="BA493" s="14">
        <f t="shared" si="56"/>
        <v>0.24197108726927619</v>
      </c>
      <c r="BB493" s="14">
        <f t="shared" si="33"/>
        <v>29707.646868337026</v>
      </c>
      <c r="BC493" s="302"/>
      <c r="BD493" s="302"/>
      <c r="BE493" s="302"/>
      <c r="BF493" s="302"/>
      <c r="BG493" s="302"/>
      <c r="BH493" s="302"/>
      <c r="BI493" s="302"/>
      <c r="BJ493" s="302"/>
      <c r="BK493" s="302"/>
      <c r="BL493" s="302"/>
      <c r="BM493" s="302"/>
      <c r="BN493" s="302"/>
      <c r="BO493" s="302"/>
      <c r="BP493" s="14"/>
      <c r="BQ493" s="14"/>
      <c r="BR493" s="14"/>
      <c r="BS493" s="14"/>
      <c r="BT493" s="14"/>
      <c r="BU493" s="14"/>
      <c r="BV493" s="14"/>
      <c r="BW493" s="14"/>
      <c r="BX493" s="14"/>
      <c r="BY493" s="14"/>
      <c r="BZ493" s="14"/>
      <c r="CA493" s="14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</row>
    <row r="494" spans="1:101" ht="14.25" customHeight="1" x14ac:dyDescent="0.2">
      <c r="A494" s="286"/>
      <c r="B494" s="52">
        <v>0.15319153469745145</v>
      </c>
      <c r="C494" s="288">
        <v>0.37144503717355459</v>
      </c>
      <c r="D494" s="288">
        <v>1.7523470293589027E-2</v>
      </c>
      <c r="E494" s="288">
        <v>1.378359276551085E-2</v>
      </c>
      <c r="F494" s="289">
        <v>0.7136601896666136</v>
      </c>
      <c r="G494" s="92">
        <v>0.41335992399946198</v>
      </c>
      <c r="H494" s="288">
        <v>0.54068795078637411</v>
      </c>
      <c r="I494" s="288">
        <v>2.6572771074045876E-2</v>
      </c>
      <c r="J494" s="288">
        <v>0.99991337232170119</v>
      </c>
      <c r="K494" s="288">
        <v>0.70566977370916728</v>
      </c>
      <c r="L494" s="290">
        <v>11653.35994028592</v>
      </c>
      <c r="M494" s="288">
        <v>0</v>
      </c>
      <c r="N494" s="288">
        <v>15640.326505855151</v>
      </c>
      <c r="O494" s="288">
        <v>1263.2600473058355</v>
      </c>
      <c r="P494" s="288">
        <v>54047.047922931168</v>
      </c>
      <c r="Q494" s="291">
        <v>79707.449313913094</v>
      </c>
      <c r="R494" s="288">
        <v>23151.883881292772</v>
      </c>
      <c r="S494" s="288">
        <v>6587.7514170123204</v>
      </c>
      <c r="T494" s="290">
        <v>0.751</v>
      </c>
      <c r="U494" s="288">
        <v>0.75800000000000001</v>
      </c>
      <c r="V494" s="288">
        <v>0.723923076923077</v>
      </c>
      <c r="W494" s="288">
        <v>0.72750000000000004</v>
      </c>
      <c r="X494" s="288">
        <v>0.76</v>
      </c>
      <c r="Y494" s="288">
        <v>0</v>
      </c>
      <c r="Z494" s="289">
        <v>0</v>
      </c>
      <c r="AA494" s="229"/>
      <c r="AB494" s="293">
        <v>59935.587184284865</v>
      </c>
      <c r="AC494" s="294">
        <v>2.8379629918685452</v>
      </c>
      <c r="AD494" s="295">
        <v>53649.951237608315</v>
      </c>
      <c r="AE494" s="294">
        <v>2.8057874145516579</v>
      </c>
      <c r="AF494" s="295">
        <v>6285.6359466765498</v>
      </c>
      <c r="AG494" s="296">
        <v>3.2175577316887249E-2</v>
      </c>
      <c r="AH494" s="229"/>
      <c r="AI494" s="205">
        <f t="shared" si="52"/>
        <v>223860.71200256963</v>
      </c>
      <c r="AJ494" s="205">
        <f t="shared" si="53"/>
        <v>226928.79021755746</v>
      </c>
      <c r="AK494" s="205">
        <f t="shared" si="54"/>
        <v>-3068.078214987825</v>
      </c>
      <c r="AL494" s="229"/>
      <c r="AM494" s="52">
        <f t="shared" si="30"/>
        <v>0</v>
      </c>
      <c r="AN494" s="52">
        <f t="shared" si="31"/>
        <v>1</v>
      </c>
      <c r="AO494" s="52">
        <f t="shared" si="32"/>
        <v>0</v>
      </c>
      <c r="AP494" s="229"/>
      <c r="AQ494" s="28"/>
      <c r="AR494" s="28"/>
      <c r="AS494" s="28"/>
      <c r="AT494" s="28"/>
      <c r="AU494" s="229"/>
      <c r="AV494" s="318">
        <f t="shared" si="55"/>
        <v>226928.79021755746</v>
      </c>
      <c r="AW494" s="229"/>
      <c r="AX494" s="313"/>
      <c r="AY494" s="302"/>
      <c r="AZ494" s="14">
        <f t="shared" si="57"/>
        <v>6285.6359466765498</v>
      </c>
      <c r="BA494" s="14">
        <f t="shared" si="56"/>
        <v>3.2175577316887249E-2</v>
      </c>
      <c r="BB494" s="14">
        <f t="shared" si="33"/>
        <v>195354.25533382906</v>
      </c>
      <c r="BC494" s="302"/>
      <c r="BD494" s="302"/>
      <c r="BE494" s="302"/>
      <c r="BF494" s="302"/>
      <c r="BG494" s="302"/>
      <c r="BH494" s="302"/>
      <c r="BI494" s="302"/>
      <c r="BJ494" s="302"/>
      <c r="BK494" s="302"/>
      <c r="BL494" s="302"/>
      <c r="BM494" s="302"/>
      <c r="BN494" s="302"/>
      <c r="BO494" s="302"/>
      <c r="BP494" s="14"/>
      <c r="BQ494" s="14"/>
      <c r="BR494" s="14"/>
      <c r="BS494" s="14"/>
      <c r="BT494" s="14"/>
      <c r="BU494" s="14"/>
      <c r="BV494" s="14"/>
      <c r="BW494" s="14"/>
      <c r="BX494" s="14"/>
      <c r="BY494" s="14"/>
      <c r="BZ494" s="14"/>
      <c r="CA494" s="14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</row>
    <row r="495" spans="1:101" ht="14.25" customHeight="1" x14ac:dyDescent="0.2">
      <c r="A495" s="286"/>
      <c r="B495" s="52">
        <v>0.18376936125192778</v>
      </c>
      <c r="C495" s="288">
        <v>0.64927628860616737</v>
      </c>
      <c r="D495" s="288">
        <v>1.798969010938356E-2</v>
      </c>
      <c r="E495" s="288">
        <v>1.8893073754029932E-2</v>
      </c>
      <c r="F495" s="289">
        <v>0.78010386053497716</v>
      </c>
      <c r="G495" s="92">
        <v>0.38339478060768784</v>
      </c>
      <c r="H495" s="288">
        <v>0.4225466979837354</v>
      </c>
      <c r="I495" s="288">
        <v>3.4324070821129093E-2</v>
      </c>
      <c r="J495" s="288">
        <v>0.99999999784297189</v>
      </c>
      <c r="K495" s="288">
        <v>0.70968572798826024</v>
      </c>
      <c r="L495" s="290">
        <v>12835.21705624561</v>
      </c>
      <c r="M495" s="288">
        <v>0</v>
      </c>
      <c r="N495" s="288">
        <v>20916.689519581902</v>
      </c>
      <c r="O495" s="288">
        <v>1309.9407771693429</v>
      </c>
      <c r="P495" s="288">
        <v>38347.633852000188</v>
      </c>
      <c r="Q495" s="291">
        <v>88041.037036924768</v>
      </c>
      <c r="R495" s="288">
        <v>17936.709622144135</v>
      </c>
      <c r="S495" s="288">
        <v>10324.775180864652</v>
      </c>
      <c r="T495" s="290">
        <v>0.751</v>
      </c>
      <c r="U495" s="288">
        <v>0.75800000000000001</v>
      </c>
      <c r="V495" s="288">
        <v>0.723923076923077</v>
      </c>
      <c r="W495" s="288">
        <v>0.72750000000000004</v>
      </c>
      <c r="X495" s="288">
        <v>0.76</v>
      </c>
      <c r="Y495" s="288">
        <v>0</v>
      </c>
      <c r="Z495" s="289">
        <v>0</v>
      </c>
      <c r="AA495" s="229"/>
      <c r="AB495" s="293">
        <v>95267.801071954906</v>
      </c>
      <c r="AC495" s="294">
        <v>3.1428349328194876</v>
      </c>
      <c r="AD495" s="295">
        <v>78464.972595579995</v>
      </c>
      <c r="AE495" s="294">
        <v>2.8240013092342684</v>
      </c>
      <c r="AF495" s="295">
        <v>16802.828476374911</v>
      </c>
      <c r="AG495" s="296">
        <v>0.31883362358521916</v>
      </c>
      <c r="AH495" s="229"/>
      <c r="AI495" s="205">
        <f t="shared" si="52"/>
        <v>219015.69220999384</v>
      </c>
      <c r="AJ495" s="205">
        <f t="shared" si="53"/>
        <v>203935.15832784685</v>
      </c>
      <c r="AK495" s="205">
        <f t="shared" si="54"/>
        <v>15080.533882147007</v>
      </c>
      <c r="AL495" s="229"/>
      <c r="AM495" s="52">
        <f t="shared" si="30"/>
        <v>1</v>
      </c>
      <c r="AN495" s="52">
        <f t="shared" si="31"/>
        <v>0</v>
      </c>
      <c r="AO495" s="52">
        <f t="shared" si="32"/>
        <v>1</v>
      </c>
      <c r="AP495" s="229"/>
      <c r="AQ495" s="28"/>
      <c r="AR495" s="28"/>
      <c r="AS495" s="28"/>
      <c r="AT495" s="28"/>
      <c r="AU495" s="229"/>
      <c r="AV495" s="318">
        <f t="shared" si="55"/>
        <v>219015.69220999384</v>
      </c>
      <c r="AW495" s="229"/>
      <c r="AX495" s="313"/>
      <c r="AY495" s="302"/>
      <c r="AZ495" s="14">
        <f t="shared" si="57"/>
        <v>16802.828476374911</v>
      </c>
      <c r="BA495" s="14">
        <f t="shared" si="56"/>
        <v>0.31883362358521916</v>
      </c>
      <c r="BB495" s="14">
        <f t="shared" si="33"/>
        <v>52700.929994241284</v>
      </c>
      <c r="BC495" s="302"/>
      <c r="BD495" s="302"/>
      <c r="BE495" s="302"/>
      <c r="BF495" s="302"/>
      <c r="BG495" s="302"/>
      <c r="BH495" s="302"/>
      <c r="BI495" s="302"/>
      <c r="BJ495" s="302"/>
      <c r="BK495" s="302"/>
      <c r="BL495" s="302"/>
      <c r="BM495" s="302"/>
      <c r="BN495" s="302"/>
      <c r="BO495" s="302"/>
      <c r="BP495" s="14"/>
      <c r="BQ495" s="14"/>
      <c r="BR495" s="14"/>
      <c r="BS495" s="14"/>
      <c r="BT495" s="14"/>
      <c r="BU495" s="14"/>
      <c r="BV495" s="14"/>
      <c r="BW495" s="14"/>
      <c r="BX495" s="14"/>
      <c r="BY495" s="14"/>
      <c r="BZ495" s="14"/>
      <c r="CA495" s="14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</row>
    <row r="496" spans="1:101" ht="14.25" customHeight="1" x14ac:dyDescent="0.2">
      <c r="A496" s="286"/>
      <c r="B496" s="52">
        <v>0.14074390276158411</v>
      </c>
      <c r="C496" s="288">
        <v>0.5371544454620909</v>
      </c>
      <c r="D496" s="288">
        <v>1.1281918217793067E-2</v>
      </c>
      <c r="E496" s="288">
        <v>1.1863028560947668E-2</v>
      </c>
      <c r="F496" s="289">
        <v>0.77863022216055544</v>
      </c>
      <c r="G496" s="92">
        <v>0.47024591134267357</v>
      </c>
      <c r="H496" s="288">
        <v>0.82470143479928049</v>
      </c>
      <c r="I496" s="288">
        <v>8.3276203413290128E-3</v>
      </c>
      <c r="J496" s="288">
        <v>1</v>
      </c>
      <c r="K496" s="288">
        <v>0.7767035898198994</v>
      </c>
      <c r="L496" s="290">
        <v>8491.3950427033669</v>
      </c>
      <c r="M496" s="288">
        <v>0</v>
      </c>
      <c r="N496" s="288">
        <v>20059.581022418923</v>
      </c>
      <c r="O496" s="288">
        <v>1514.3311808792778</v>
      </c>
      <c r="P496" s="288">
        <v>37938.680113264483</v>
      </c>
      <c r="Q496" s="291">
        <v>133614.88348068178</v>
      </c>
      <c r="R496" s="288">
        <v>28173.653412953867</v>
      </c>
      <c r="S496" s="288">
        <v>6763.8204448244869</v>
      </c>
      <c r="T496" s="290">
        <v>0.751</v>
      </c>
      <c r="U496" s="288">
        <v>0.75800000000000001</v>
      </c>
      <c r="V496" s="288">
        <v>0.723923076923077</v>
      </c>
      <c r="W496" s="288">
        <v>0.72750000000000004</v>
      </c>
      <c r="X496" s="288">
        <v>0.76</v>
      </c>
      <c r="Y496" s="288">
        <v>0</v>
      </c>
      <c r="Z496" s="289">
        <v>0</v>
      </c>
      <c r="AA496" s="229"/>
      <c r="AB496" s="293">
        <v>63198.280895077856</v>
      </c>
      <c r="AC496" s="294">
        <v>3.1359981646216846</v>
      </c>
      <c r="AD496" s="295">
        <v>64742.187307682514</v>
      </c>
      <c r="AE496" s="294">
        <v>3.1317049420708343</v>
      </c>
      <c r="AF496" s="295">
        <v>-1543.9064126046578</v>
      </c>
      <c r="AG496" s="296">
        <v>4.2932225508502952E-3</v>
      </c>
      <c r="AH496" s="229"/>
      <c r="AI496" s="205">
        <f t="shared" si="52"/>
        <v>250401.53556709061</v>
      </c>
      <c r="AJ496" s="205">
        <f t="shared" si="53"/>
        <v>248428.30689940089</v>
      </c>
      <c r="AK496" s="205">
        <f t="shared" si="54"/>
        <v>1973.2286676896874</v>
      </c>
      <c r="AL496" s="229"/>
      <c r="AM496" s="52">
        <f t="shared" si="30"/>
        <v>1</v>
      </c>
      <c r="AN496" s="52">
        <f t="shared" si="31"/>
        <v>0</v>
      </c>
      <c r="AO496" s="52">
        <f t="shared" si="32"/>
        <v>1</v>
      </c>
      <c r="AP496" s="229"/>
      <c r="AQ496" s="28"/>
      <c r="AR496" s="28"/>
      <c r="AS496" s="28"/>
      <c r="AT496" s="28"/>
      <c r="AU496" s="229"/>
      <c r="AV496" s="318">
        <f t="shared" si="55"/>
        <v>250401.53556709061</v>
      </c>
      <c r="AW496" s="229"/>
      <c r="AX496" s="313"/>
      <c r="AY496" s="302"/>
      <c r="AZ496" s="14">
        <f t="shared" si="57"/>
        <v>-1543.9064126046578</v>
      </c>
      <c r="BA496" s="14">
        <f t="shared" si="56"/>
        <v>4.2932225508502952E-3</v>
      </c>
      <c r="BB496" s="14">
        <f t="shared" si="33"/>
        <v>-359614.81016139709</v>
      </c>
      <c r="BC496" s="302"/>
      <c r="BD496" s="302"/>
      <c r="BE496" s="302"/>
      <c r="BF496" s="302"/>
      <c r="BG496" s="302"/>
      <c r="BH496" s="302"/>
      <c r="BI496" s="302"/>
      <c r="BJ496" s="302"/>
      <c r="BK496" s="302"/>
      <c r="BL496" s="302"/>
      <c r="BM496" s="302"/>
      <c r="BN496" s="302"/>
      <c r="BO496" s="302"/>
      <c r="BP496" s="14"/>
      <c r="BQ496" s="14"/>
      <c r="BR496" s="14"/>
      <c r="BS496" s="14"/>
      <c r="BT496" s="14"/>
      <c r="BU496" s="14"/>
      <c r="BV496" s="14"/>
      <c r="BW496" s="14"/>
      <c r="BX496" s="14"/>
      <c r="BY496" s="14"/>
      <c r="BZ496" s="14"/>
      <c r="CA496" s="14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</row>
    <row r="497" spans="1:101" ht="14.25" customHeight="1" x14ac:dyDescent="0.2">
      <c r="A497" s="286"/>
      <c r="B497" s="52">
        <v>0.11301898057287238</v>
      </c>
      <c r="C497" s="288">
        <v>0.38771415296023481</v>
      </c>
      <c r="D497" s="288">
        <v>1.2332720384334993E-2</v>
      </c>
      <c r="E497" s="288">
        <v>7.7578848588864303E-3</v>
      </c>
      <c r="F497" s="289">
        <v>0.77290619076108413</v>
      </c>
      <c r="G497" s="92">
        <v>0.4624818036592806</v>
      </c>
      <c r="H497" s="288">
        <v>0.99641226281603557</v>
      </c>
      <c r="I497" s="288">
        <v>1.9446970391412854E-2</v>
      </c>
      <c r="J497" s="288">
        <v>1</v>
      </c>
      <c r="K497" s="288">
        <v>0.75925462466449711</v>
      </c>
      <c r="L497" s="290">
        <v>15665.257267211429</v>
      </c>
      <c r="M497" s="288">
        <v>0</v>
      </c>
      <c r="N497" s="288">
        <v>14364.375657140963</v>
      </c>
      <c r="O497" s="288">
        <v>955.0251457315461</v>
      </c>
      <c r="P497" s="288">
        <v>46559.245516599811</v>
      </c>
      <c r="Q497" s="291">
        <v>79418.704200180917</v>
      </c>
      <c r="R497" s="288">
        <v>19075.9191413753</v>
      </c>
      <c r="S497" s="288">
        <v>11006.304489439681</v>
      </c>
      <c r="T497" s="290">
        <v>0.751</v>
      </c>
      <c r="U497" s="288">
        <v>0.75800000000000001</v>
      </c>
      <c r="V497" s="288">
        <v>0.723923076923077</v>
      </c>
      <c r="W497" s="288">
        <v>0.72750000000000004</v>
      </c>
      <c r="X497" s="288">
        <v>0.76</v>
      </c>
      <c r="Y497" s="288">
        <v>0</v>
      </c>
      <c r="Z497" s="289">
        <v>0</v>
      </c>
      <c r="AA497" s="229"/>
      <c r="AB497" s="293">
        <v>100957.6056901335</v>
      </c>
      <c r="AC497" s="294">
        <v>3.1094745194740714</v>
      </c>
      <c r="AD497" s="295">
        <v>93718.170727911667</v>
      </c>
      <c r="AE497" s="294">
        <v>3.0509086607557458</v>
      </c>
      <c r="AF497" s="295">
        <v>7239.4349622218288</v>
      </c>
      <c r="AG497" s="296">
        <v>5.8565858718325536E-2</v>
      </c>
      <c r="AH497" s="229"/>
      <c r="AI497" s="205">
        <f t="shared" si="52"/>
        <v>209989.84625727366</v>
      </c>
      <c r="AJ497" s="205">
        <f t="shared" si="53"/>
        <v>211372.69534766293</v>
      </c>
      <c r="AK497" s="205">
        <f t="shared" si="54"/>
        <v>-1382.8490903892753</v>
      </c>
      <c r="AL497" s="229"/>
      <c r="AM497" s="52">
        <f t="shared" si="30"/>
        <v>0</v>
      </c>
      <c r="AN497" s="52">
        <f t="shared" si="31"/>
        <v>1</v>
      </c>
      <c r="AO497" s="52">
        <f t="shared" si="32"/>
        <v>0</v>
      </c>
      <c r="AP497" s="229"/>
      <c r="AQ497" s="28"/>
      <c r="AR497" s="28"/>
      <c r="AS497" s="28"/>
      <c r="AT497" s="28"/>
      <c r="AU497" s="229"/>
      <c r="AV497" s="318">
        <f t="shared" si="55"/>
        <v>211372.69534766293</v>
      </c>
      <c r="AW497" s="229"/>
      <c r="AX497" s="313"/>
      <c r="AY497" s="302"/>
      <c r="AZ497" s="14">
        <f t="shared" si="57"/>
        <v>7239.4349622218288</v>
      </c>
      <c r="BA497" s="14">
        <f t="shared" si="56"/>
        <v>5.8565858718325536E-2</v>
      </c>
      <c r="BB497" s="14">
        <f t="shared" si="33"/>
        <v>123611.86398785911</v>
      </c>
      <c r="BC497" s="302"/>
      <c r="BD497" s="302"/>
      <c r="BE497" s="302"/>
      <c r="BF497" s="302"/>
      <c r="BG497" s="302"/>
      <c r="BH497" s="302"/>
      <c r="BI497" s="302"/>
      <c r="BJ497" s="302"/>
      <c r="BK497" s="302"/>
      <c r="BL497" s="302"/>
      <c r="BM497" s="302"/>
      <c r="BN497" s="302"/>
      <c r="BO497" s="302"/>
      <c r="BP497" s="14"/>
      <c r="BQ497" s="14"/>
      <c r="BR497" s="14"/>
      <c r="BS497" s="14"/>
      <c r="BT497" s="14"/>
      <c r="BU497" s="14"/>
      <c r="BV497" s="14"/>
      <c r="BW497" s="14"/>
      <c r="BX497" s="14"/>
      <c r="BY497" s="14"/>
      <c r="BZ497" s="14"/>
      <c r="CA497" s="14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</row>
    <row r="498" spans="1:101" ht="14.25" customHeight="1" x14ac:dyDescent="0.2">
      <c r="A498" s="286"/>
      <c r="B498" s="52">
        <v>0.20762014573044407</v>
      </c>
      <c r="C498" s="288">
        <v>0.18994648786405774</v>
      </c>
      <c r="D498" s="288">
        <v>1.5444236602091266E-2</v>
      </c>
      <c r="E498" s="288">
        <v>1.4471097882623574E-2</v>
      </c>
      <c r="F498" s="289">
        <v>0.75816309166535079</v>
      </c>
      <c r="G498" s="92">
        <v>0.37830707914133349</v>
      </c>
      <c r="H498" s="288">
        <v>0.87207350751681889</v>
      </c>
      <c r="I498" s="288">
        <v>8.2718676599899746E-3</v>
      </c>
      <c r="J498" s="288">
        <v>1</v>
      </c>
      <c r="K498" s="288">
        <v>0.76958846423737171</v>
      </c>
      <c r="L498" s="290">
        <v>9148.2242890233538</v>
      </c>
      <c r="M498" s="288">
        <v>0</v>
      </c>
      <c r="N498" s="288">
        <v>29512.193211107329</v>
      </c>
      <c r="O498" s="288">
        <v>1184.946193674316</v>
      </c>
      <c r="P498" s="288">
        <v>45329.452773921272</v>
      </c>
      <c r="Q498" s="291">
        <v>111118.05980956538</v>
      </c>
      <c r="R498" s="288">
        <v>17142.112520214025</v>
      </c>
      <c r="S498" s="288">
        <v>9956.1014073627775</v>
      </c>
      <c r="T498" s="290">
        <v>0.751</v>
      </c>
      <c r="U498" s="288">
        <v>0.75800000000000001</v>
      </c>
      <c r="V498" s="288">
        <v>0.723923076923077</v>
      </c>
      <c r="W498" s="288">
        <v>0.72750000000000004</v>
      </c>
      <c r="X498" s="288">
        <v>0.76</v>
      </c>
      <c r="Y498" s="288">
        <v>0</v>
      </c>
      <c r="Z498" s="289">
        <v>0</v>
      </c>
      <c r="AA498" s="229"/>
      <c r="AB498" s="293">
        <v>85175.952817247031</v>
      </c>
      <c r="AC498" s="294">
        <v>3.0413955504708814</v>
      </c>
      <c r="AD498" s="295">
        <v>83051.96936162471</v>
      </c>
      <c r="AE498" s="294">
        <v>3.0987008746178706</v>
      </c>
      <c r="AF498" s="295">
        <v>2123.9834556223213</v>
      </c>
      <c r="AG498" s="296">
        <v>-5.7305324146989189E-2</v>
      </c>
      <c r="AH498" s="229"/>
      <c r="AI498" s="205">
        <f t="shared" si="52"/>
        <v>218963.60222984111</v>
      </c>
      <c r="AJ498" s="205">
        <f t="shared" si="53"/>
        <v>226818.11810016233</v>
      </c>
      <c r="AK498" s="205">
        <f t="shared" si="54"/>
        <v>-7854.5158703212401</v>
      </c>
      <c r="AL498" s="229"/>
      <c r="AM498" s="52">
        <f t="shared" si="30"/>
        <v>0</v>
      </c>
      <c r="AN498" s="52">
        <f t="shared" si="31"/>
        <v>1</v>
      </c>
      <c r="AO498" s="52">
        <f t="shared" si="32"/>
        <v>0</v>
      </c>
      <c r="AP498" s="229"/>
      <c r="AQ498" s="28"/>
      <c r="AR498" s="28"/>
      <c r="AS498" s="28"/>
      <c r="AT498" s="28"/>
      <c r="AU498" s="229"/>
      <c r="AV498" s="318">
        <f t="shared" si="55"/>
        <v>226818.11810016233</v>
      </c>
      <c r="AW498" s="229"/>
      <c r="AX498" s="313"/>
      <c r="AY498" s="302"/>
      <c r="AZ498" s="14">
        <f t="shared" si="57"/>
        <v>2123.9834556223213</v>
      </c>
      <c r="BA498" s="14">
        <f t="shared" si="56"/>
        <v>-5.7305324146989189E-2</v>
      </c>
      <c r="BB498" s="14">
        <f t="shared" si="33"/>
        <v>-37064.330186393599</v>
      </c>
      <c r="BC498" s="302"/>
      <c r="BD498" s="302"/>
      <c r="BE498" s="302"/>
      <c r="BF498" s="302"/>
      <c r="BG498" s="302"/>
      <c r="BH498" s="302"/>
      <c r="BI498" s="302"/>
      <c r="BJ498" s="302"/>
      <c r="BK498" s="302"/>
      <c r="BL498" s="302"/>
      <c r="BM498" s="302"/>
      <c r="BN498" s="302"/>
      <c r="BO498" s="302"/>
      <c r="BP498" s="14"/>
      <c r="BQ498" s="14"/>
      <c r="BR498" s="14"/>
      <c r="BS498" s="14"/>
      <c r="BT498" s="14"/>
      <c r="BU498" s="14"/>
      <c r="BV498" s="14"/>
      <c r="BW498" s="14"/>
      <c r="BX498" s="14"/>
      <c r="BY498" s="14"/>
      <c r="BZ498" s="14"/>
      <c r="CA498" s="14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</row>
    <row r="499" spans="1:101" ht="14.25" customHeight="1" x14ac:dyDescent="0.2">
      <c r="A499" s="286"/>
      <c r="B499" s="52">
        <v>0.13602948659469688</v>
      </c>
      <c r="C499" s="288">
        <v>0.70518972870396457</v>
      </c>
      <c r="D499" s="288">
        <v>1.1502389423472615E-2</v>
      </c>
      <c r="E499" s="288">
        <v>1.7782901576553267E-2</v>
      </c>
      <c r="F499" s="289">
        <v>0.78560722481266043</v>
      </c>
      <c r="G499" s="92">
        <v>0.39102860497046527</v>
      </c>
      <c r="H499" s="288">
        <v>0.75307683639216749</v>
      </c>
      <c r="I499" s="288">
        <v>9.3008551872885755E-3</v>
      </c>
      <c r="J499" s="288">
        <v>9.2479657007849561E-2</v>
      </c>
      <c r="K499" s="288">
        <v>0.79101312569728655</v>
      </c>
      <c r="L499" s="290">
        <v>15351.653001709052</v>
      </c>
      <c r="M499" s="288">
        <v>0</v>
      </c>
      <c r="N499" s="288">
        <v>17154.77008359797</v>
      </c>
      <c r="O499" s="288">
        <v>1155.1552960075808</v>
      </c>
      <c r="P499" s="288">
        <v>31892.055750225503</v>
      </c>
      <c r="Q499" s="291">
        <v>124214.46978270855</v>
      </c>
      <c r="R499" s="288">
        <v>29888.859569366618</v>
      </c>
      <c r="S499" s="288">
        <v>9925.7533037094163</v>
      </c>
      <c r="T499" s="290">
        <v>0.751</v>
      </c>
      <c r="U499" s="288">
        <v>0.75800000000000001</v>
      </c>
      <c r="V499" s="288">
        <v>0.723923076923077</v>
      </c>
      <c r="W499" s="288">
        <v>0.72750000000000004</v>
      </c>
      <c r="X499" s="288">
        <v>0.76</v>
      </c>
      <c r="Y499" s="288">
        <v>0</v>
      </c>
      <c r="Z499" s="289">
        <v>0</v>
      </c>
      <c r="AA499" s="229"/>
      <c r="AB499" s="293">
        <v>95787.127220011695</v>
      </c>
      <c r="AC499" s="294">
        <v>3.1683972430584562</v>
      </c>
      <c r="AD499" s="295">
        <v>88006.852612298651</v>
      </c>
      <c r="AE499" s="294">
        <v>3.1983224662945546</v>
      </c>
      <c r="AF499" s="295">
        <v>7780.2746077130432</v>
      </c>
      <c r="AG499" s="296">
        <v>-2.9925223236098475E-2</v>
      </c>
      <c r="AH499" s="229"/>
      <c r="AI499" s="205">
        <f t="shared" si="52"/>
        <v>221052.59708583393</v>
      </c>
      <c r="AJ499" s="205">
        <f t="shared" si="53"/>
        <v>231825.39401715682</v>
      </c>
      <c r="AK499" s="205">
        <f t="shared" si="54"/>
        <v>-10772.79693132289</v>
      </c>
      <c r="AL499" s="229"/>
      <c r="AM499" s="52">
        <f t="shared" si="30"/>
        <v>0</v>
      </c>
      <c r="AN499" s="52">
        <f t="shared" si="31"/>
        <v>1</v>
      </c>
      <c r="AO499" s="52">
        <f t="shared" si="32"/>
        <v>0</v>
      </c>
      <c r="AP499" s="229"/>
      <c r="AQ499" s="28"/>
      <c r="AR499" s="28"/>
      <c r="AS499" s="28"/>
      <c r="AT499" s="28"/>
      <c r="AU499" s="229"/>
      <c r="AV499" s="318">
        <f t="shared" si="55"/>
        <v>231825.39401715682</v>
      </c>
      <c r="AW499" s="229"/>
      <c r="AX499" s="313"/>
      <c r="AY499" s="302"/>
      <c r="AZ499" s="14">
        <f t="shared" si="57"/>
        <v>7780.2746077130432</v>
      </c>
      <c r="BA499" s="14">
        <f t="shared" si="56"/>
        <v>-2.9925223236098475E-2</v>
      </c>
      <c r="BB499" s="14">
        <f t="shared" si="33"/>
        <v>-259990.52860290051</v>
      </c>
      <c r="BC499" s="302"/>
      <c r="BD499" s="302"/>
      <c r="BE499" s="302"/>
      <c r="BF499" s="302"/>
      <c r="BG499" s="302"/>
      <c r="BH499" s="302"/>
      <c r="BI499" s="302"/>
      <c r="BJ499" s="302"/>
      <c r="BK499" s="302"/>
      <c r="BL499" s="302"/>
      <c r="BM499" s="302"/>
      <c r="BN499" s="302"/>
      <c r="BO499" s="302"/>
      <c r="BP499" s="14"/>
      <c r="BQ499" s="14"/>
      <c r="BR499" s="14"/>
      <c r="BS499" s="14"/>
      <c r="BT499" s="14"/>
      <c r="BU499" s="14"/>
      <c r="BV499" s="14"/>
      <c r="BW499" s="14"/>
      <c r="BX499" s="14"/>
      <c r="BY499" s="14"/>
      <c r="BZ499" s="14"/>
      <c r="CA499" s="14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</row>
    <row r="500" spans="1:101" ht="14.25" customHeight="1" x14ac:dyDescent="0.2">
      <c r="A500" s="286"/>
      <c r="B500" s="52">
        <v>0.14926953300418527</v>
      </c>
      <c r="C500" s="288">
        <v>0.17291068062859191</v>
      </c>
      <c r="D500" s="288">
        <v>4.1260290397389168E-3</v>
      </c>
      <c r="E500" s="288">
        <v>2.420434969033658E-2</v>
      </c>
      <c r="F500" s="289">
        <v>0.76255667686632123</v>
      </c>
      <c r="G500" s="92">
        <v>0.40565678608933342</v>
      </c>
      <c r="H500" s="288">
        <v>0.23615461409639496</v>
      </c>
      <c r="I500" s="288">
        <v>1.4215725079658906E-2</v>
      </c>
      <c r="J500" s="288">
        <v>0.99999893400681295</v>
      </c>
      <c r="K500" s="288">
        <v>0.73230370898292796</v>
      </c>
      <c r="L500" s="290">
        <v>10663.326774009016</v>
      </c>
      <c r="M500" s="288">
        <v>0</v>
      </c>
      <c r="N500" s="288">
        <v>9741.8734733071651</v>
      </c>
      <c r="O500" s="288">
        <v>1255.2062427079959</v>
      </c>
      <c r="P500" s="288">
        <v>65325.740432676401</v>
      </c>
      <c r="Q500" s="291">
        <v>129078.89810778302</v>
      </c>
      <c r="R500" s="288">
        <v>16626.967114237461</v>
      </c>
      <c r="S500" s="288">
        <v>11481.984008906162</v>
      </c>
      <c r="T500" s="290">
        <v>0.751</v>
      </c>
      <c r="U500" s="288">
        <v>0.75800000000000001</v>
      </c>
      <c r="V500" s="288">
        <v>0.723923076923077</v>
      </c>
      <c r="W500" s="288">
        <v>0.72750000000000004</v>
      </c>
      <c r="X500" s="288">
        <v>0.76</v>
      </c>
      <c r="Y500" s="288">
        <v>0</v>
      </c>
      <c r="Z500" s="289">
        <v>0</v>
      </c>
      <c r="AA500" s="229"/>
      <c r="AB500" s="293">
        <v>98061.537238447418</v>
      </c>
      <c r="AC500" s="294">
        <v>3.0616480764219305</v>
      </c>
      <c r="AD500" s="295">
        <v>87116.931197497775</v>
      </c>
      <c r="AE500" s="294">
        <v>2.927057308893386</v>
      </c>
      <c r="AF500" s="295">
        <v>10944.606040949642</v>
      </c>
      <c r="AG500" s="296">
        <v>0.13459076752854449</v>
      </c>
      <c r="AH500" s="229"/>
      <c r="AI500" s="205">
        <f t="shared" si="52"/>
        <v>208103.27040374564</v>
      </c>
      <c r="AJ500" s="205">
        <f t="shared" si="53"/>
        <v>205588.79969184083</v>
      </c>
      <c r="AK500" s="205">
        <f t="shared" si="54"/>
        <v>2514.4707119048071</v>
      </c>
      <c r="AL500" s="229"/>
      <c r="AM500" s="52">
        <f t="shared" si="30"/>
        <v>1</v>
      </c>
      <c r="AN500" s="52">
        <f t="shared" si="31"/>
        <v>0</v>
      </c>
      <c r="AO500" s="52">
        <f t="shared" si="32"/>
        <v>1</v>
      </c>
      <c r="AP500" s="229"/>
      <c r="AQ500" s="28"/>
      <c r="AR500" s="28"/>
      <c r="AS500" s="28"/>
      <c r="AT500" s="28"/>
      <c r="AU500" s="229"/>
      <c r="AV500" s="318">
        <f t="shared" si="55"/>
        <v>208103.27040374564</v>
      </c>
      <c r="AW500" s="229"/>
      <c r="AX500" s="313"/>
      <c r="AY500" s="302"/>
      <c r="AZ500" s="14">
        <f t="shared" si="57"/>
        <v>10944.606040949642</v>
      </c>
      <c r="BA500" s="14">
        <f t="shared" si="56"/>
        <v>0.13459076752854449</v>
      </c>
      <c r="BB500" s="14">
        <f t="shared" si="33"/>
        <v>81317.658275694659</v>
      </c>
      <c r="BC500" s="302"/>
      <c r="BD500" s="302"/>
      <c r="BE500" s="302"/>
      <c r="BF500" s="302"/>
      <c r="BG500" s="302"/>
      <c r="BH500" s="302"/>
      <c r="BI500" s="302"/>
      <c r="BJ500" s="302"/>
      <c r="BK500" s="302"/>
      <c r="BL500" s="302"/>
      <c r="BM500" s="302"/>
      <c r="BN500" s="302"/>
      <c r="BO500" s="302"/>
      <c r="BP500" s="14"/>
      <c r="BQ500" s="14"/>
      <c r="BR500" s="14"/>
      <c r="BS500" s="14"/>
      <c r="BT500" s="14"/>
      <c r="BU500" s="14"/>
      <c r="BV500" s="14"/>
      <c r="BW500" s="14"/>
      <c r="BX500" s="14"/>
      <c r="BY500" s="14"/>
      <c r="BZ500" s="14"/>
      <c r="CA500" s="14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</row>
    <row r="501" spans="1:101" ht="14.25" customHeight="1" x14ac:dyDescent="0.2">
      <c r="A501" s="286"/>
      <c r="B501" s="52">
        <v>0.13795943879491893</v>
      </c>
      <c r="C501" s="288">
        <v>3.2441556145318365E-2</v>
      </c>
      <c r="D501" s="288">
        <v>1.0403221789219295E-2</v>
      </c>
      <c r="E501" s="288">
        <v>1.3991213601577299E-2</v>
      </c>
      <c r="F501" s="289">
        <v>0.78916318065275881</v>
      </c>
      <c r="G501" s="92">
        <v>0.39407646462456558</v>
      </c>
      <c r="H501" s="288">
        <v>0.62969892448379228</v>
      </c>
      <c r="I501" s="288">
        <v>2.4779838726019965E-2</v>
      </c>
      <c r="J501" s="288">
        <v>0.97303501748979104</v>
      </c>
      <c r="K501" s="288">
        <v>0.74187052669355791</v>
      </c>
      <c r="L501" s="290">
        <v>9870.07134218586</v>
      </c>
      <c r="M501" s="288">
        <v>0</v>
      </c>
      <c r="N501" s="288">
        <v>14393.167148882341</v>
      </c>
      <c r="O501" s="288">
        <v>1073.2429060945769</v>
      </c>
      <c r="P501" s="288">
        <v>47412.12112433507</v>
      </c>
      <c r="Q501" s="291">
        <v>154358.60466575561</v>
      </c>
      <c r="R501" s="288">
        <v>21535.488939500559</v>
      </c>
      <c r="S501" s="288">
        <v>9231.7168658046521</v>
      </c>
      <c r="T501" s="290">
        <v>0.751</v>
      </c>
      <c r="U501" s="288">
        <v>0.75800000000000001</v>
      </c>
      <c r="V501" s="288">
        <v>0.723923076923077</v>
      </c>
      <c r="W501" s="288">
        <v>0.72750000000000004</v>
      </c>
      <c r="X501" s="288">
        <v>0.76</v>
      </c>
      <c r="Y501" s="288">
        <v>0</v>
      </c>
      <c r="Z501" s="289">
        <v>0</v>
      </c>
      <c r="AA501" s="229"/>
      <c r="AB501" s="293">
        <v>82478.729270928539</v>
      </c>
      <c r="AC501" s="294">
        <v>3.1849393944016091</v>
      </c>
      <c r="AD501" s="295">
        <v>76028.462112024587</v>
      </c>
      <c r="AE501" s="294">
        <v>2.9708899849580184</v>
      </c>
      <c r="AF501" s="295">
        <v>6450.2671589039528</v>
      </c>
      <c r="AG501" s="296">
        <v>0.21404940944359074</v>
      </c>
      <c r="AH501" s="229"/>
      <c r="AI501" s="205">
        <f t="shared" si="52"/>
        <v>236015.21016923239</v>
      </c>
      <c r="AJ501" s="205">
        <f t="shared" si="53"/>
        <v>221060.53638377722</v>
      </c>
      <c r="AK501" s="205">
        <f t="shared" si="54"/>
        <v>14954.673785455121</v>
      </c>
      <c r="AL501" s="229"/>
      <c r="AM501" s="52">
        <f t="shared" si="30"/>
        <v>1</v>
      </c>
      <c r="AN501" s="52">
        <f t="shared" si="31"/>
        <v>0</v>
      </c>
      <c r="AO501" s="52">
        <f t="shared" si="32"/>
        <v>1</v>
      </c>
      <c r="AP501" s="229"/>
      <c r="AQ501" s="28"/>
      <c r="AR501" s="28"/>
      <c r="AS501" s="28"/>
      <c r="AT501" s="28"/>
      <c r="AU501" s="229"/>
      <c r="AV501" s="318">
        <f t="shared" si="55"/>
        <v>236015.21016923239</v>
      </c>
      <c r="AW501" s="229"/>
      <c r="AX501" s="313"/>
      <c r="AY501" s="302"/>
      <c r="AZ501" s="14">
        <f t="shared" si="57"/>
        <v>6450.2671589039528</v>
      </c>
      <c r="BA501" s="14">
        <f t="shared" si="56"/>
        <v>0.21404940944359074</v>
      </c>
      <c r="BB501" s="14">
        <f t="shared" si="33"/>
        <v>30134.477715547335</v>
      </c>
      <c r="BC501" s="302"/>
      <c r="BD501" s="302"/>
      <c r="BE501" s="302"/>
      <c r="BF501" s="302"/>
      <c r="BG501" s="302"/>
      <c r="BH501" s="302"/>
      <c r="BI501" s="302"/>
      <c r="BJ501" s="302"/>
      <c r="BK501" s="302"/>
      <c r="BL501" s="302"/>
      <c r="BM501" s="302"/>
      <c r="BN501" s="302"/>
      <c r="BO501" s="302"/>
      <c r="BP501" s="14"/>
      <c r="BQ501" s="14"/>
      <c r="BR501" s="14"/>
      <c r="BS501" s="14"/>
      <c r="BT501" s="14"/>
      <c r="BU501" s="14"/>
      <c r="BV501" s="14"/>
      <c r="BW501" s="14"/>
      <c r="BX501" s="14"/>
      <c r="BY501" s="14"/>
      <c r="BZ501" s="14"/>
      <c r="CA501" s="14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</row>
    <row r="502" spans="1:101" ht="14.25" customHeight="1" x14ac:dyDescent="0.2">
      <c r="A502" s="286"/>
      <c r="B502" s="52">
        <v>0.16086764787583407</v>
      </c>
      <c r="C502" s="288">
        <v>0.3396786009231707</v>
      </c>
      <c r="D502" s="288">
        <v>8.8889947744987402E-3</v>
      </c>
      <c r="E502" s="288">
        <v>1.7091503523062213E-2</v>
      </c>
      <c r="F502" s="289">
        <v>0.80354758108494073</v>
      </c>
      <c r="G502" s="92">
        <v>0.41151253226250417</v>
      </c>
      <c r="H502" s="288">
        <v>1.5994131295709015E-2</v>
      </c>
      <c r="I502" s="288">
        <v>7.4422267082981004E-3</v>
      </c>
      <c r="J502" s="288">
        <v>0.90342391524257903</v>
      </c>
      <c r="K502" s="288">
        <v>0.68496656131389178</v>
      </c>
      <c r="L502" s="290">
        <v>17793.990447174881</v>
      </c>
      <c r="M502" s="288">
        <v>0</v>
      </c>
      <c r="N502" s="288">
        <v>18922.240223926085</v>
      </c>
      <c r="O502" s="288">
        <v>974.36310044890661</v>
      </c>
      <c r="P502" s="288">
        <v>44404.163823458344</v>
      </c>
      <c r="Q502" s="291">
        <v>100118.03827669272</v>
      </c>
      <c r="R502" s="288">
        <v>30944.687498454507</v>
      </c>
      <c r="S502" s="288">
        <v>7464.1748085184145</v>
      </c>
      <c r="T502" s="290">
        <v>0.751</v>
      </c>
      <c r="U502" s="288">
        <v>0.75800000000000001</v>
      </c>
      <c r="V502" s="288">
        <v>0.723923076923077</v>
      </c>
      <c r="W502" s="288">
        <v>0.72750000000000004</v>
      </c>
      <c r="X502" s="288">
        <v>0.76</v>
      </c>
      <c r="Y502" s="288">
        <v>0</v>
      </c>
      <c r="Z502" s="289">
        <v>0</v>
      </c>
      <c r="AA502" s="229"/>
      <c r="AB502" s="293">
        <v>79178.488606906976</v>
      </c>
      <c r="AC502" s="294">
        <v>3.2520573818524894</v>
      </c>
      <c r="AD502" s="295">
        <v>52098.757444018716</v>
      </c>
      <c r="AE502" s="294">
        <v>2.7122937325217586</v>
      </c>
      <c r="AF502" s="295">
        <v>27079.73116288826</v>
      </c>
      <c r="AG502" s="296">
        <v>0.53976364933073073</v>
      </c>
      <c r="AH502" s="229"/>
      <c r="AI502" s="205">
        <f t="shared" si="52"/>
        <v>246027.24957834196</v>
      </c>
      <c r="AJ502" s="205">
        <f t="shared" si="53"/>
        <v>219130.61580815713</v>
      </c>
      <c r="AK502" s="205">
        <f t="shared" si="54"/>
        <v>26896.633770184817</v>
      </c>
      <c r="AL502" s="229"/>
      <c r="AM502" s="52">
        <f t="shared" si="30"/>
        <v>1</v>
      </c>
      <c r="AN502" s="52">
        <f t="shared" si="31"/>
        <v>0</v>
      </c>
      <c r="AO502" s="52">
        <f t="shared" si="32"/>
        <v>1</v>
      </c>
      <c r="AP502" s="229"/>
      <c r="AQ502" s="28"/>
      <c r="AR502" s="28"/>
      <c r="AS502" s="28"/>
      <c r="AT502" s="28"/>
      <c r="AU502" s="229"/>
      <c r="AV502" s="318">
        <f t="shared" si="55"/>
        <v>246027.24957834196</v>
      </c>
      <c r="AW502" s="229"/>
      <c r="AX502" s="313"/>
      <c r="AY502" s="302"/>
      <c r="AZ502" s="14">
        <f t="shared" si="57"/>
        <v>27079.73116288826</v>
      </c>
      <c r="BA502" s="14">
        <f t="shared" si="56"/>
        <v>0.53976364933073073</v>
      </c>
      <c r="BB502" s="14">
        <f t="shared" si="33"/>
        <v>50169.60885836836</v>
      </c>
      <c r="BC502" s="302"/>
      <c r="BD502" s="302"/>
      <c r="BE502" s="302"/>
      <c r="BF502" s="302"/>
      <c r="BG502" s="302"/>
      <c r="BH502" s="302"/>
      <c r="BI502" s="302"/>
      <c r="BJ502" s="302"/>
      <c r="BK502" s="302"/>
      <c r="BL502" s="302"/>
      <c r="BM502" s="302"/>
      <c r="BN502" s="302"/>
      <c r="BO502" s="302"/>
      <c r="BP502" s="14"/>
      <c r="BQ502" s="14"/>
      <c r="BR502" s="14"/>
      <c r="BS502" s="14"/>
      <c r="BT502" s="14"/>
      <c r="BU502" s="14"/>
      <c r="BV502" s="14"/>
      <c r="BW502" s="14"/>
      <c r="BX502" s="14"/>
      <c r="BY502" s="14"/>
      <c r="BZ502" s="14"/>
      <c r="CA502" s="14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</row>
    <row r="503" spans="1:101" ht="14.25" customHeight="1" x14ac:dyDescent="0.2">
      <c r="A503" s="286"/>
      <c r="B503" s="52">
        <v>0.13250255189430413</v>
      </c>
      <c r="C503" s="288">
        <v>0.14063436942765364</v>
      </c>
      <c r="D503" s="288">
        <v>2.097589426241564E-2</v>
      </c>
      <c r="E503" s="288">
        <v>1.7958138172974536E-2</v>
      </c>
      <c r="F503" s="289">
        <v>0.76421237192355207</v>
      </c>
      <c r="G503" s="92">
        <v>0.42437241828109495</v>
      </c>
      <c r="H503" s="288">
        <v>0.13283968603933527</v>
      </c>
      <c r="I503" s="288">
        <v>2.3881291837347551E-2</v>
      </c>
      <c r="J503" s="288">
        <v>0.99678993787414361</v>
      </c>
      <c r="K503" s="288">
        <v>0.77000323954176553</v>
      </c>
      <c r="L503" s="290">
        <v>11762.674097725623</v>
      </c>
      <c r="M503" s="288">
        <v>0</v>
      </c>
      <c r="N503" s="288">
        <v>19762.408667286189</v>
      </c>
      <c r="O503" s="288">
        <v>1237.8578983194247</v>
      </c>
      <c r="P503" s="288">
        <v>48940.310072515764</v>
      </c>
      <c r="Q503" s="291">
        <v>96390.078820646188</v>
      </c>
      <c r="R503" s="288">
        <v>23349.890989195726</v>
      </c>
      <c r="S503" s="288">
        <v>7666.9350257925116</v>
      </c>
      <c r="T503" s="290">
        <v>0.751</v>
      </c>
      <c r="U503" s="288">
        <v>0.75800000000000001</v>
      </c>
      <c r="V503" s="288">
        <v>0.723923076923077</v>
      </c>
      <c r="W503" s="288">
        <v>0.72750000000000004</v>
      </c>
      <c r="X503" s="288">
        <v>0.76</v>
      </c>
      <c r="Y503" s="288">
        <v>0</v>
      </c>
      <c r="Z503" s="289">
        <v>0</v>
      </c>
      <c r="AA503" s="229"/>
      <c r="AB503" s="293">
        <v>70652.278232285549</v>
      </c>
      <c r="AC503" s="294">
        <v>3.0692879688072332</v>
      </c>
      <c r="AD503" s="295">
        <v>62382.040966714871</v>
      </c>
      <c r="AE503" s="294">
        <v>3.1006226520535254</v>
      </c>
      <c r="AF503" s="295">
        <v>8270.2372655706786</v>
      </c>
      <c r="AG503" s="296">
        <v>-3.1334683246292183E-2</v>
      </c>
      <c r="AH503" s="229"/>
      <c r="AI503" s="205">
        <f t="shared" si="52"/>
        <v>236276.51864843778</v>
      </c>
      <c r="AJ503" s="205">
        <f t="shared" si="53"/>
        <v>247680.22423863769</v>
      </c>
      <c r="AK503" s="205">
        <f t="shared" si="54"/>
        <v>-11403.705590199897</v>
      </c>
      <c r="AL503" s="229"/>
      <c r="AM503" s="52">
        <f t="shared" si="30"/>
        <v>0</v>
      </c>
      <c r="AN503" s="52">
        <f t="shared" si="31"/>
        <v>1</v>
      </c>
      <c r="AO503" s="52">
        <f t="shared" si="32"/>
        <v>0</v>
      </c>
      <c r="AP503" s="229"/>
      <c r="AQ503" s="28"/>
      <c r="AR503" s="28"/>
      <c r="AS503" s="28"/>
      <c r="AT503" s="28"/>
      <c r="AU503" s="229"/>
      <c r="AV503" s="318">
        <f t="shared" si="55"/>
        <v>247680.22423863769</v>
      </c>
      <c r="AW503" s="229"/>
      <c r="AX503" s="313"/>
      <c r="AY503" s="302"/>
      <c r="AZ503" s="14">
        <f t="shared" si="57"/>
        <v>8270.2372655706786</v>
      </c>
      <c r="BA503" s="14">
        <f t="shared" si="56"/>
        <v>-3.1334683246292183E-2</v>
      </c>
      <c r="BB503" s="14">
        <f t="shared" si="33"/>
        <v>-263932.37169708079</v>
      </c>
      <c r="BC503" s="302"/>
      <c r="BD503" s="302"/>
      <c r="BE503" s="302"/>
      <c r="BF503" s="302"/>
      <c r="BG503" s="302"/>
      <c r="BH503" s="302"/>
      <c r="BI503" s="302"/>
      <c r="BJ503" s="302"/>
      <c r="BK503" s="302"/>
      <c r="BL503" s="302"/>
      <c r="BM503" s="302"/>
      <c r="BN503" s="302"/>
      <c r="BO503" s="302"/>
      <c r="BP503" s="14"/>
      <c r="BQ503" s="14"/>
      <c r="BR503" s="14"/>
      <c r="BS503" s="14"/>
      <c r="BT503" s="14"/>
      <c r="BU503" s="14"/>
      <c r="BV503" s="14"/>
      <c r="BW503" s="14"/>
      <c r="BX503" s="14"/>
      <c r="BY503" s="14"/>
      <c r="BZ503" s="14"/>
      <c r="CA503" s="14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</row>
    <row r="504" spans="1:101" ht="14.25" customHeight="1" x14ac:dyDescent="0.2">
      <c r="A504" s="286"/>
      <c r="B504" s="52">
        <v>0.14568509605764265</v>
      </c>
      <c r="C504" s="288">
        <v>0.59225273105754561</v>
      </c>
      <c r="D504" s="288">
        <v>9.8648298334382389E-3</v>
      </c>
      <c r="E504" s="288">
        <v>7.6917225533730729E-3</v>
      </c>
      <c r="F504" s="289">
        <v>0.79590561799454074</v>
      </c>
      <c r="G504" s="92">
        <v>0.48261771195996406</v>
      </c>
      <c r="H504" s="288">
        <v>0.9473482451861861</v>
      </c>
      <c r="I504" s="288">
        <v>1.5151545794485641E-2</v>
      </c>
      <c r="J504" s="288">
        <v>0.98176320141547047</v>
      </c>
      <c r="K504" s="288">
        <v>0.70915806218701549</v>
      </c>
      <c r="L504" s="290">
        <v>12447.39155955848</v>
      </c>
      <c r="M504" s="288">
        <v>0</v>
      </c>
      <c r="N504" s="288">
        <v>15349.97911884325</v>
      </c>
      <c r="O504" s="288">
        <v>1138.7577126661197</v>
      </c>
      <c r="P504" s="288">
        <v>37988.300520843026</v>
      </c>
      <c r="Q504" s="291">
        <v>108990.16268032033</v>
      </c>
      <c r="R504" s="288">
        <v>27928.103804513728</v>
      </c>
      <c r="S504" s="288">
        <v>9522.4315862567983</v>
      </c>
      <c r="T504" s="290">
        <v>0.751</v>
      </c>
      <c r="U504" s="288">
        <v>0.75800000000000001</v>
      </c>
      <c r="V504" s="288">
        <v>0.723923076923077</v>
      </c>
      <c r="W504" s="288">
        <v>0.72750000000000004</v>
      </c>
      <c r="X504" s="288">
        <v>0.76</v>
      </c>
      <c r="Y504" s="288">
        <v>0</v>
      </c>
      <c r="Z504" s="289">
        <v>0</v>
      </c>
      <c r="AA504" s="229"/>
      <c r="AB504" s="293">
        <v>90229.216399942219</v>
      </c>
      <c r="AC504" s="294">
        <v>3.2163593739892828</v>
      </c>
      <c r="AD504" s="295">
        <v>81762.826007755531</v>
      </c>
      <c r="AE504" s="294">
        <v>2.8216066915523288</v>
      </c>
      <c r="AF504" s="295">
        <v>8466.3903921866877</v>
      </c>
      <c r="AG504" s="296">
        <v>0.39475268243695405</v>
      </c>
      <c r="AH504" s="229"/>
      <c r="AI504" s="205">
        <f t="shared" si="52"/>
        <v>231406.72099898604</v>
      </c>
      <c r="AJ504" s="205">
        <f t="shared" si="53"/>
        <v>200397.84314747737</v>
      </c>
      <c r="AK504" s="205">
        <f t="shared" si="54"/>
        <v>31008.877851508718</v>
      </c>
      <c r="AL504" s="229"/>
      <c r="AM504" s="52">
        <f t="shared" si="30"/>
        <v>1</v>
      </c>
      <c r="AN504" s="52">
        <f t="shared" si="31"/>
        <v>0</v>
      </c>
      <c r="AO504" s="52">
        <f t="shared" si="32"/>
        <v>1</v>
      </c>
      <c r="AP504" s="229"/>
      <c r="AQ504" s="28"/>
      <c r="AR504" s="28"/>
      <c r="AS504" s="28"/>
      <c r="AT504" s="28"/>
      <c r="AU504" s="229"/>
      <c r="AV504" s="318">
        <f t="shared" si="55"/>
        <v>231406.72099898604</v>
      </c>
      <c r="AW504" s="229"/>
      <c r="AX504" s="313"/>
      <c r="AY504" s="302"/>
      <c r="AZ504" s="14">
        <f t="shared" si="57"/>
        <v>8466.3903921866877</v>
      </c>
      <c r="BA504" s="14">
        <f t="shared" si="56"/>
        <v>0.39475268243695405</v>
      </c>
      <c r="BB504" s="14">
        <f t="shared" si="33"/>
        <v>21447.328337126259</v>
      </c>
      <c r="BC504" s="302"/>
      <c r="BD504" s="302"/>
      <c r="BE504" s="302"/>
      <c r="BF504" s="302"/>
      <c r="BG504" s="302"/>
      <c r="BH504" s="302"/>
      <c r="BI504" s="302"/>
      <c r="BJ504" s="302"/>
      <c r="BK504" s="302"/>
      <c r="BL504" s="302"/>
      <c r="BM504" s="302"/>
      <c r="BN504" s="302"/>
      <c r="BO504" s="302"/>
      <c r="BP504" s="14"/>
      <c r="BQ504" s="14"/>
      <c r="BR504" s="14"/>
      <c r="BS504" s="14"/>
      <c r="BT504" s="14"/>
      <c r="BU504" s="14"/>
      <c r="BV504" s="14"/>
      <c r="BW504" s="14"/>
      <c r="BX504" s="14"/>
      <c r="BY504" s="14"/>
      <c r="BZ504" s="14"/>
      <c r="CA504" s="14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</row>
    <row r="505" spans="1:101" ht="14.25" customHeight="1" x14ac:dyDescent="0.2">
      <c r="A505" s="286"/>
      <c r="B505" s="52">
        <v>0.2069047179647574</v>
      </c>
      <c r="C505" s="288">
        <v>0.20486552291895965</v>
      </c>
      <c r="D505" s="288">
        <v>8.4882713393721262E-3</v>
      </c>
      <c r="E505" s="288">
        <v>2.0301545345849048E-2</v>
      </c>
      <c r="F505" s="289">
        <v>0.74347067557881419</v>
      </c>
      <c r="G505" s="92">
        <v>0.36759199922731634</v>
      </c>
      <c r="H505" s="288">
        <v>0.6241944691651955</v>
      </c>
      <c r="I505" s="288">
        <v>3.5402913414330217E-2</v>
      </c>
      <c r="J505" s="288">
        <v>1</v>
      </c>
      <c r="K505" s="288">
        <v>0.79136440031262101</v>
      </c>
      <c r="L505" s="290">
        <v>12843.757054029957</v>
      </c>
      <c r="M505" s="288">
        <v>0</v>
      </c>
      <c r="N505" s="288">
        <v>18933.088964740487</v>
      </c>
      <c r="O505" s="288">
        <v>1463.8965041108991</v>
      </c>
      <c r="P505" s="288">
        <v>43710.658844307669</v>
      </c>
      <c r="Q505" s="291">
        <v>99743.927990956916</v>
      </c>
      <c r="R505" s="288">
        <v>20276.213536267918</v>
      </c>
      <c r="S505" s="288">
        <v>10387.600754470464</v>
      </c>
      <c r="T505" s="290">
        <v>0.751</v>
      </c>
      <c r="U505" s="288">
        <v>0.75800000000000001</v>
      </c>
      <c r="V505" s="288">
        <v>0.723923076923077</v>
      </c>
      <c r="W505" s="288">
        <v>0.72750000000000004</v>
      </c>
      <c r="X505" s="288">
        <v>0.76</v>
      </c>
      <c r="Y505" s="288">
        <v>0</v>
      </c>
      <c r="Z505" s="289">
        <v>0</v>
      </c>
      <c r="AA505" s="229"/>
      <c r="AB505" s="293">
        <v>90657.645064842945</v>
      </c>
      <c r="AC505" s="294">
        <v>2.9738897911030047</v>
      </c>
      <c r="AD505" s="295">
        <v>89162.969224558474</v>
      </c>
      <c r="AE505" s="294">
        <v>3.1999618713203737</v>
      </c>
      <c r="AF505" s="295">
        <v>1494.6758402844716</v>
      </c>
      <c r="AG505" s="296">
        <v>-0.22607208021736902</v>
      </c>
      <c r="AH505" s="229"/>
      <c r="AI505" s="205">
        <f t="shared" si="52"/>
        <v>206731.33404545754</v>
      </c>
      <c r="AJ505" s="205">
        <f t="shared" si="53"/>
        <v>230833.21790747889</v>
      </c>
      <c r="AK505" s="205">
        <f t="shared" si="54"/>
        <v>-24101.883862021372</v>
      </c>
      <c r="AL505" s="229"/>
      <c r="AM505" s="52">
        <f t="shared" si="30"/>
        <v>0</v>
      </c>
      <c r="AN505" s="52">
        <f t="shared" si="31"/>
        <v>1</v>
      </c>
      <c r="AO505" s="52">
        <f t="shared" si="32"/>
        <v>0</v>
      </c>
      <c r="AP505" s="229"/>
      <c r="AQ505" s="28"/>
      <c r="AR505" s="28"/>
      <c r="AS505" s="28"/>
      <c r="AT505" s="28"/>
      <c r="AU505" s="229"/>
      <c r="AV505" s="318">
        <f t="shared" si="55"/>
        <v>230833.21790747889</v>
      </c>
      <c r="AW505" s="229"/>
      <c r="AX505" s="313"/>
      <c r="AY505" s="302"/>
      <c r="AZ505" s="14">
        <f t="shared" si="57"/>
        <v>1494.6758402844716</v>
      </c>
      <c r="BA505" s="14">
        <f t="shared" si="56"/>
        <v>-0.22607208021736902</v>
      </c>
      <c r="BB505" s="14">
        <f t="shared" si="33"/>
        <v>-6611.5012470683514</v>
      </c>
      <c r="BC505" s="302"/>
      <c r="BD505" s="302"/>
      <c r="BE505" s="302"/>
      <c r="BF505" s="302"/>
      <c r="BG505" s="302"/>
      <c r="BH505" s="302"/>
      <c r="BI505" s="302"/>
      <c r="BJ505" s="302"/>
      <c r="BK505" s="302"/>
      <c r="BL505" s="302"/>
      <c r="BM505" s="302"/>
      <c r="BN505" s="302"/>
      <c r="BO505" s="302"/>
      <c r="BP505" s="14"/>
      <c r="BQ505" s="14"/>
      <c r="BR505" s="14"/>
      <c r="BS505" s="14"/>
      <c r="BT505" s="14"/>
      <c r="BU505" s="14"/>
      <c r="BV505" s="14"/>
      <c r="BW505" s="14"/>
      <c r="BX505" s="14"/>
      <c r="BY505" s="14"/>
      <c r="BZ505" s="14"/>
      <c r="CA505" s="14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</row>
    <row r="506" spans="1:101" ht="14.25" customHeight="1" x14ac:dyDescent="0.2">
      <c r="A506" s="286"/>
      <c r="B506" s="52">
        <v>0.1805534254352249</v>
      </c>
      <c r="C506" s="288">
        <v>0.39238852928709478</v>
      </c>
      <c r="D506" s="288">
        <v>1.0095550656460891E-2</v>
      </c>
      <c r="E506" s="288">
        <v>1.0173804097271462E-2</v>
      </c>
      <c r="F506" s="289">
        <v>0.77581795366559503</v>
      </c>
      <c r="G506" s="92">
        <v>0.37855686931692395</v>
      </c>
      <c r="H506" s="288">
        <v>0.24171884229540971</v>
      </c>
      <c r="I506" s="288">
        <v>1.4912271681377072E-2</v>
      </c>
      <c r="J506" s="288">
        <v>0.99999999295130426</v>
      </c>
      <c r="K506" s="288">
        <v>0.73193354677412181</v>
      </c>
      <c r="L506" s="290">
        <v>15190.289592705587</v>
      </c>
      <c r="M506" s="288">
        <v>0</v>
      </c>
      <c r="N506" s="288">
        <v>19357.399013136193</v>
      </c>
      <c r="O506" s="288">
        <v>1029.8265095718712</v>
      </c>
      <c r="P506" s="288">
        <v>31824.195040052371</v>
      </c>
      <c r="Q506" s="291">
        <v>59928.942966099516</v>
      </c>
      <c r="R506" s="288">
        <v>39983.0246011278</v>
      </c>
      <c r="S506" s="288">
        <v>8548.9755123270697</v>
      </c>
      <c r="T506" s="290">
        <v>0.751</v>
      </c>
      <c r="U506" s="288">
        <v>0.75800000000000001</v>
      </c>
      <c r="V506" s="288">
        <v>0.723923076923077</v>
      </c>
      <c r="W506" s="288">
        <v>0.72750000000000004</v>
      </c>
      <c r="X506" s="288">
        <v>0.76</v>
      </c>
      <c r="Y506" s="288">
        <v>0</v>
      </c>
      <c r="Z506" s="289">
        <v>0</v>
      </c>
      <c r="AA506" s="229"/>
      <c r="AB506" s="293">
        <v>83995.497803806735</v>
      </c>
      <c r="AC506" s="294">
        <v>3.1229604354603522</v>
      </c>
      <c r="AD506" s="295">
        <v>67104.477269661758</v>
      </c>
      <c r="AE506" s="294">
        <v>2.9253642206692585</v>
      </c>
      <c r="AF506" s="295">
        <v>16891.020534144976</v>
      </c>
      <c r="AG506" s="296">
        <v>0.19759621479109368</v>
      </c>
      <c r="AH506" s="229"/>
      <c r="AI506" s="205">
        <f t="shared" si="52"/>
        <v>228300.54574222851</v>
      </c>
      <c r="AJ506" s="205">
        <f t="shared" si="53"/>
        <v>225431.94479726409</v>
      </c>
      <c r="AK506" s="205">
        <f t="shared" si="54"/>
        <v>2868.6009449643934</v>
      </c>
      <c r="AL506" s="229"/>
      <c r="AM506" s="52">
        <f t="shared" si="30"/>
        <v>1</v>
      </c>
      <c r="AN506" s="52">
        <f t="shared" si="31"/>
        <v>0</v>
      </c>
      <c r="AO506" s="52">
        <f t="shared" si="32"/>
        <v>1</v>
      </c>
      <c r="AP506" s="229"/>
      <c r="AQ506" s="28"/>
      <c r="AR506" s="28"/>
      <c r="AS506" s="28"/>
      <c r="AT506" s="28"/>
      <c r="AU506" s="229"/>
      <c r="AV506" s="318">
        <f t="shared" si="55"/>
        <v>228300.54574222851</v>
      </c>
      <c r="AW506" s="229"/>
      <c r="AX506" s="313"/>
      <c r="AY506" s="302"/>
      <c r="AZ506" s="14">
        <f t="shared" si="57"/>
        <v>16891.020534144976</v>
      </c>
      <c r="BA506" s="14">
        <f t="shared" si="56"/>
        <v>0.19759621479109368</v>
      </c>
      <c r="BB506" s="14">
        <f t="shared" si="33"/>
        <v>85482.51064425912</v>
      </c>
      <c r="BC506" s="302"/>
      <c r="BD506" s="302"/>
      <c r="BE506" s="302"/>
      <c r="BF506" s="302"/>
      <c r="BG506" s="302"/>
      <c r="BH506" s="302"/>
      <c r="BI506" s="302"/>
      <c r="BJ506" s="302"/>
      <c r="BK506" s="302"/>
      <c r="BL506" s="302"/>
      <c r="BM506" s="302"/>
      <c r="BN506" s="302"/>
      <c r="BO506" s="302"/>
      <c r="BP506" s="14"/>
      <c r="BQ506" s="14"/>
      <c r="BR506" s="14"/>
      <c r="BS506" s="14"/>
      <c r="BT506" s="14"/>
      <c r="BU506" s="14"/>
      <c r="BV506" s="14"/>
      <c r="BW506" s="14"/>
      <c r="BX506" s="14"/>
      <c r="BY506" s="14"/>
      <c r="BZ506" s="14"/>
      <c r="CA506" s="14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</row>
    <row r="507" spans="1:101" ht="14.25" customHeight="1" x14ac:dyDescent="0.2">
      <c r="A507" s="286"/>
      <c r="B507" s="52">
        <v>0.15552899669285913</v>
      </c>
      <c r="C507" s="288">
        <v>4.3820563791808409E-3</v>
      </c>
      <c r="D507" s="288">
        <v>9.1754548125290211E-3</v>
      </c>
      <c r="E507" s="288">
        <v>3.1204556540530115E-2</v>
      </c>
      <c r="F507" s="289">
        <v>0.79614333483965249</v>
      </c>
      <c r="G507" s="92">
        <v>0.36320156748972737</v>
      </c>
      <c r="H507" s="288">
        <v>8.2479020293621703E-3</v>
      </c>
      <c r="I507" s="288">
        <v>3.0036600615889641E-2</v>
      </c>
      <c r="J507" s="288">
        <v>0.99999995621140259</v>
      </c>
      <c r="K507" s="288">
        <v>0.76584870319829323</v>
      </c>
      <c r="L507" s="290">
        <v>13915.537503498965</v>
      </c>
      <c r="M507" s="288">
        <v>0</v>
      </c>
      <c r="N507" s="288">
        <v>20877.314451555296</v>
      </c>
      <c r="O507" s="288">
        <v>1707.3026760377561</v>
      </c>
      <c r="P507" s="288">
        <v>44223.362012772195</v>
      </c>
      <c r="Q507" s="291">
        <v>98576.792545714721</v>
      </c>
      <c r="R507" s="288">
        <v>29689.439601391019</v>
      </c>
      <c r="S507" s="288">
        <v>10182.074620237479</v>
      </c>
      <c r="T507" s="290">
        <v>0.751</v>
      </c>
      <c r="U507" s="288">
        <v>0.75800000000000001</v>
      </c>
      <c r="V507" s="288">
        <v>0.723923076923077</v>
      </c>
      <c r="W507" s="288">
        <v>0.72750000000000004</v>
      </c>
      <c r="X507" s="288">
        <v>0.76</v>
      </c>
      <c r="Y507" s="288">
        <v>0</v>
      </c>
      <c r="Z507" s="289">
        <v>0</v>
      </c>
      <c r="AA507" s="229"/>
      <c r="AB507" s="293">
        <v>94616.67786603728</v>
      </c>
      <c r="AC507" s="294">
        <v>3.2174684436057359</v>
      </c>
      <c r="AD507" s="295">
        <v>80250.789608979525</v>
      </c>
      <c r="AE507" s="294">
        <v>3.0813856937282855</v>
      </c>
      <c r="AF507" s="295">
        <v>14365.888257057755</v>
      </c>
      <c r="AG507" s="296">
        <v>0.13608274987745039</v>
      </c>
      <c r="AH507" s="229"/>
      <c r="AI507" s="205">
        <f t="shared" si="52"/>
        <v>227130.16649453627</v>
      </c>
      <c r="AJ507" s="205">
        <f t="shared" si="53"/>
        <v>227887.77976384899</v>
      </c>
      <c r="AK507" s="205">
        <f t="shared" si="54"/>
        <v>-757.61326931271651</v>
      </c>
      <c r="AL507" s="229"/>
      <c r="AM507" s="52">
        <f t="shared" si="30"/>
        <v>0</v>
      </c>
      <c r="AN507" s="52">
        <f t="shared" si="31"/>
        <v>1</v>
      </c>
      <c r="AO507" s="52">
        <f t="shared" si="32"/>
        <v>0</v>
      </c>
      <c r="AP507" s="229"/>
      <c r="AQ507" s="28"/>
      <c r="AR507" s="28"/>
      <c r="AS507" s="28"/>
      <c r="AT507" s="28"/>
      <c r="AU507" s="229"/>
      <c r="AV507" s="318">
        <f t="shared" si="55"/>
        <v>227887.77976384899</v>
      </c>
      <c r="AW507" s="229"/>
      <c r="AX507" s="313"/>
      <c r="AY507" s="302"/>
      <c r="AZ507" s="14">
        <f t="shared" si="57"/>
        <v>14365.888257057755</v>
      </c>
      <c r="BA507" s="14">
        <f t="shared" si="56"/>
        <v>0.13608274987745039</v>
      </c>
      <c r="BB507" s="14">
        <f t="shared" si="33"/>
        <v>105567.29835335475</v>
      </c>
      <c r="BC507" s="302"/>
      <c r="BD507" s="302"/>
      <c r="BE507" s="302"/>
      <c r="BF507" s="302"/>
      <c r="BG507" s="302"/>
      <c r="BH507" s="302"/>
      <c r="BI507" s="302"/>
      <c r="BJ507" s="302"/>
      <c r="BK507" s="302"/>
      <c r="BL507" s="302"/>
      <c r="BM507" s="302"/>
      <c r="BN507" s="302"/>
      <c r="BO507" s="302"/>
      <c r="BP507" s="14"/>
      <c r="BQ507" s="14"/>
      <c r="BR507" s="14"/>
      <c r="BS507" s="14"/>
      <c r="BT507" s="14"/>
      <c r="BU507" s="14"/>
      <c r="BV507" s="14"/>
      <c r="BW507" s="14"/>
      <c r="BX507" s="14"/>
      <c r="BY507" s="14"/>
      <c r="BZ507" s="14"/>
      <c r="CA507" s="14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</row>
    <row r="508" spans="1:101" ht="14.25" customHeight="1" x14ac:dyDescent="0.2">
      <c r="A508" s="286"/>
      <c r="B508" s="52">
        <v>0.16322105834496403</v>
      </c>
      <c r="C508" s="288">
        <v>0.20620379996120516</v>
      </c>
      <c r="D508" s="288">
        <v>6.6182912107581975E-3</v>
      </c>
      <c r="E508" s="288">
        <v>2.428045987026739E-2</v>
      </c>
      <c r="F508" s="289">
        <v>0.76274533168055059</v>
      </c>
      <c r="G508" s="92">
        <v>0.4086047870244387</v>
      </c>
      <c r="H508" s="288">
        <v>0.11975653855870962</v>
      </c>
      <c r="I508" s="288">
        <v>1.8657596564074619E-2</v>
      </c>
      <c r="J508" s="288">
        <v>0.99813417542598759</v>
      </c>
      <c r="K508" s="288">
        <v>0.69998273812790923</v>
      </c>
      <c r="L508" s="290">
        <v>14948.320736449206</v>
      </c>
      <c r="M508" s="288">
        <v>0</v>
      </c>
      <c r="N508" s="288">
        <v>17937.718396426088</v>
      </c>
      <c r="O508" s="288">
        <v>1184.275795127724</v>
      </c>
      <c r="P508" s="288">
        <v>46797.283262845907</v>
      </c>
      <c r="Q508" s="291">
        <v>97727.141334525528</v>
      </c>
      <c r="R508" s="288">
        <v>16045.026016844569</v>
      </c>
      <c r="S508" s="288">
        <v>8971.4484043236916</v>
      </c>
      <c r="T508" s="290">
        <v>0.751</v>
      </c>
      <c r="U508" s="288">
        <v>0.75800000000000001</v>
      </c>
      <c r="V508" s="288">
        <v>0.723923076923077</v>
      </c>
      <c r="W508" s="288">
        <v>0.72750000000000004</v>
      </c>
      <c r="X508" s="288">
        <v>0.76</v>
      </c>
      <c r="Y508" s="288">
        <v>0</v>
      </c>
      <c r="Z508" s="289">
        <v>0</v>
      </c>
      <c r="AA508" s="229"/>
      <c r="AB508" s="293">
        <v>83549.562461501715</v>
      </c>
      <c r="AC508" s="294">
        <v>3.0625183714076649</v>
      </c>
      <c r="AD508" s="295">
        <v>65137.125833818973</v>
      </c>
      <c r="AE508" s="294">
        <v>2.7800380142314571</v>
      </c>
      <c r="AF508" s="295">
        <v>18412.436627682742</v>
      </c>
      <c r="AG508" s="296">
        <v>0.28248035717620779</v>
      </c>
      <c r="AH508" s="229"/>
      <c r="AI508" s="205">
        <f t="shared" si="52"/>
        <v>222702.27467926478</v>
      </c>
      <c r="AJ508" s="205">
        <f t="shared" si="53"/>
        <v>212866.67558932671</v>
      </c>
      <c r="AK508" s="205">
        <f t="shared" si="54"/>
        <v>9835.5990899380377</v>
      </c>
      <c r="AL508" s="229"/>
      <c r="AM508" s="52">
        <f t="shared" si="30"/>
        <v>1</v>
      </c>
      <c r="AN508" s="52">
        <f t="shared" si="31"/>
        <v>0</v>
      </c>
      <c r="AO508" s="52">
        <f t="shared" si="32"/>
        <v>1</v>
      </c>
      <c r="AP508" s="229"/>
      <c r="AQ508" s="28"/>
      <c r="AR508" s="28"/>
      <c r="AS508" s="28"/>
      <c r="AT508" s="28"/>
      <c r="AU508" s="229"/>
      <c r="AV508" s="318">
        <f t="shared" si="55"/>
        <v>222702.27467926478</v>
      </c>
      <c r="AW508" s="229"/>
      <c r="AX508" s="313"/>
      <c r="AY508" s="302"/>
      <c r="AZ508" s="14">
        <f t="shared" si="57"/>
        <v>18412.436627682742</v>
      </c>
      <c r="BA508" s="14">
        <f t="shared" si="56"/>
        <v>0.28248035717620779</v>
      </c>
      <c r="BB508" s="14">
        <f t="shared" si="33"/>
        <v>65181.299017535901</v>
      </c>
      <c r="BC508" s="302"/>
      <c r="BD508" s="302"/>
      <c r="BE508" s="302"/>
      <c r="BF508" s="302"/>
      <c r="BG508" s="302"/>
      <c r="BH508" s="302"/>
      <c r="BI508" s="302"/>
      <c r="BJ508" s="302"/>
      <c r="BK508" s="302"/>
      <c r="BL508" s="302"/>
      <c r="BM508" s="302"/>
      <c r="BN508" s="302"/>
      <c r="BO508" s="302"/>
      <c r="BP508" s="14"/>
      <c r="BQ508" s="14"/>
      <c r="BR508" s="14"/>
      <c r="BS508" s="14"/>
      <c r="BT508" s="14"/>
      <c r="BU508" s="14"/>
      <c r="BV508" s="14"/>
      <c r="BW508" s="14"/>
      <c r="BX508" s="14"/>
      <c r="BY508" s="14"/>
      <c r="BZ508" s="14"/>
      <c r="CA508" s="14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</row>
    <row r="509" spans="1:101" ht="14.25" customHeight="1" x14ac:dyDescent="0.2">
      <c r="A509" s="286"/>
      <c r="B509" s="52">
        <v>0.16168844572608587</v>
      </c>
      <c r="C509" s="288">
        <v>0.12173626605293587</v>
      </c>
      <c r="D509" s="288">
        <v>1.5463644638049834E-2</v>
      </c>
      <c r="E509" s="288">
        <v>1.7426018750474337E-2</v>
      </c>
      <c r="F509" s="289">
        <v>0.7812187666118805</v>
      </c>
      <c r="G509" s="92">
        <v>0.39280046385169221</v>
      </c>
      <c r="H509" s="288">
        <v>8.8150797394038971E-2</v>
      </c>
      <c r="I509" s="288">
        <v>3.2746922203392148E-2</v>
      </c>
      <c r="J509" s="288">
        <v>1</v>
      </c>
      <c r="K509" s="288">
        <v>0.75039939113198972</v>
      </c>
      <c r="L509" s="290">
        <v>15871.581448377996</v>
      </c>
      <c r="M509" s="288">
        <v>0</v>
      </c>
      <c r="N509" s="288">
        <v>20587.862451040673</v>
      </c>
      <c r="O509" s="288">
        <v>1268.689802943245</v>
      </c>
      <c r="P509" s="288">
        <v>49780.949776665591</v>
      </c>
      <c r="Q509" s="291">
        <v>78540.405631106201</v>
      </c>
      <c r="R509" s="288">
        <v>22984.087326778335</v>
      </c>
      <c r="S509" s="288">
        <v>8203.8373427255974</v>
      </c>
      <c r="T509" s="290">
        <v>0.751</v>
      </c>
      <c r="U509" s="288">
        <v>0.75800000000000001</v>
      </c>
      <c r="V509" s="288">
        <v>0.723923076923077</v>
      </c>
      <c r="W509" s="288">
        <v>0.72750000000000004</v>
      </c>
      <c r="X509" s="288">
        <v>0.76</v>
      </c>
      <c r="Y509" s="288">
        <v>0</v>
      </c>
      <c r="Z509" s="289">
        <v>0</v>
      </c>
      <c r="AA509" s="229"/>
      <c r="AB509" s="293">
        <v>80192.224308674136</v>
      </c>
      <c r="AC509" s="294">
        <v>3.1480096689533257</v>
      </c>
      <c r="AD509" s="295">
        <v>64605.901483668618</v>
      </c>
      <c r="AE509" s="294">
        <v>3.0100886642492477</v>
      </c>
      <c r="AF509" s="295">
        <v>15586.322825005518</v>
      </c>
      <c r="AG509" s="296">
        <v>0.13792100470407798</v>
      </c>
      <c r="AH509" s="229"/>
      <c r="AI509" s="205">
        <f t="shared" si="52"/>
        <v>234608.74258665842</v>
      </c>
      <c r="AJ509" s="205">
        <f t="shared" si="53"/>
        <v>236402.96494125613</v>
      </c>
      <c r="AK509" s="205">
        <f t="shared" si="54"/>
        <v>-1794.2223545977213</v>
      </c>
      <c r="AL509" s="229"/>
      <c r="AM509" s="52">
        <f t="shared" si="30"/>
        <v>0</v>
      </c>
      <c r="AN509" s="52">
        <f t="shared" si="31"/>
        <v>1</v>
      </c>
      <c r="AO509" s="52">
        <f t="shared" si="32"/>
        <v>0</v>
      </c>
      <c r="AP509" s="229"/>
      <c r="AQ509" s="28"/>
      <c r="AR509" s="28"/>
      <c r="AS509" s="28"/>
      <c r="AT509" s="28"/>
      <c r="AU509" s="229"/>
      <c r="AV509" s="318">
        <f t="shared" si="55"/>
        <v>236402.96494125613</v>
      </c>
      <c r="AW509" s="229"/>
      <c r="AX509" s="313"/>
      <c r="AY509" s="302"/>
      <c r="AZ509" s="14">
        <f t="shared" si="57"/>
        <v>15586.322825005518</v>
      </c>
      <c r="BA509" s="14">
        <f t="shared" si="56"/>
        <v>0.13792100470407798</v>
      </c>
      <c r="BB509" s="14">
        <f t="shared" si="33"/>
        <v>113009.05803613733</v>
      </c>
      <c r="BC509" s="302"/>
      <c r="BD509" s="302"/>
      <c r="BE509" s="302"/>
      <c r="BF509" s="302"/>
      <c r="BG509" s="302"/>
      <c r="BH509" s="302"/>
      <c r="BI509" s="302"/>
      <c r="BJ509" s="302"/>
      <c r="BK509" s="302"/>
      <c r="BL509" s="302"/>
      <c r="BM509" s="302"/>
      <c r="BN509" s="302"/>
      <c r="BO509" s="302"/>
      <c r="BP509" s="14"/>
      <c r="BQ509" s="14"/>
      <c r="BR509" s="14"/>
      <c r="BS509" s="14"/>
      <c r="BT509" s="14"/>
      <c r="BU509" s="14"/>
      <c r="BV509" s="14"/>
      <c r="BW509" s="14"/>
      <c r="BX509" s="14"/>
      <c r="BY509" s="14"/>
      <c r="BZ509" s="14"/>
      <c r="CA509" s="14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</row>
    <row r="510" spans="1:101" ht="14.25" customHeight="1" x14ac:dyDescent="0.2">
      <c r="A510" s="286"/>
      <c r="B510" s="52">
        <v>0.14672784336945266</v>
      </c>
      <c r="C510" s="288">
        <v>0.25344576783018902</v>
      </c>
      <c r="D510" s="288">
        <v>2.0304892073103264E-2</v>
      </c>
      <c r="E510" s="288">
        <v>5.6260026408128895E-3</v>
      </c>
      <c r="F510" s="289">
        <v>0.77500251651056884</v>
      </c>
      <c r="G510" s="92">
        <v>0.39614313708079046</v>
      </c>
      <c r="H510" s="288">
        <v>0.36129173977802193</v>
      </c>
      <c r="I510" s="288">
        <v>6.3628513126020225E-3</v>
      </c>
      <c r="J510" s="288">
        <v>0.99994521896705446</v>
      </c>
      <c r="K510" s="288">
        <v>0.73190577013145319</v>
      </c>
      <c r="L510" s="290">
        <v>11093.55482307433</v>
      </c>
      <c r="M510" s="288">
        <v>0</v>
      </c>
      <c r="N510" s="288">
        <v>21627.032011809297</v>
      </c>
      <c r="O510" s="288">
        <v>1234.0116784995728</v>
      </c>
      <c r="P510" s="288">
        <v>38772.835908205197</v>
      </c>
      <c r="Q510" s="291">
        <v>92652.30729703659</v>
      </c>
      <c r="R510" s="288">
        <v>22220.014423656587</v>
      </c>
      <c r="S510" s="288">
        <v>11162.223333153759</v>
      </c>
      <c r="T510" s="290">
        <v>0.751</v>
      </c>
      <c r="U510" s="288">
        <v>0.75800000000000001</v>
      </c>
      <c r="V510" s="288">
        <v>0.723923076923077</v>
      </c>
      <c r="W510" s="288">
        <v>0.72750000000000004</v>
      </c>
      <c r="X510" s="288">
        <v>0.76</v>
      </c>
      <c r="Y510" s="288">
        <v>0</v>
      </c>
      <c r="Z510" s="289">
        <v>0</v>
      </c>
      <c r="AA510" s="229"/>
      <c r="AB510" s="293">
        <v>98040.186811812266</v>
      </c>
      <c r="AC510" s="294">
        <v>3.1191823735521447</v>
      </c>
      <c r="AD510" s="295">
        <v>85513.266334032727</v>
      </c>
      <c r="AE510" s="294">
        <v>2.9252371815473954</v>
      </c>
      <c r="AF510" s="295">
        <v>12526.920477779538</v>
      </c>
      <c r="AG510" s="296">
        <v>0.19394519200474925</v>
      </c>
      <c r="AH510" s="229"/>
      <c r="AI510" s="205">
        <f t="shared" si="52"/>
        <v>213878.05054340221</v>
      </c>
      <c r="AJ510" s="205">
        <f t="shared" si="53"/>
        <v>207010.4518207068</v>
      </c>
      <c r="AK510" s="205">
        <f t="shared" si="54"/>
        <v>6867.5987226953876</v>
      </c>
      <c r="AL510" s="229"/>
      <c r="AM510" s="52">
        <f t="shared" si="30"/>
        <v>1</v>
      </c>
      <c r="AN510" s="52">
        <f t="shared" si="31"/>
        <v>0</v>
      </c>
      <c r="AO510" s="52">
        <f t="shared" si="32"/>
        <v>1</v>
      </c>
      <c r="AP510" s="229"/>
      <c r="AQ510" s="28"/>
      <c r="AR510" s="28"/>
      <c r="AS510" s="28"/>
      <c r="AT510" s="28"/>
      <c r="AU510" s="229"/>
      <c r="AV510" s="318">
        <f t="shared" si="55"/>
        <v>213878.05054340221</v>
      </c>
      <c r="AW510" s="229"/>
      <c r="AX510" s="313"/>
      <c r="AY510" s="302"/>
      <c r="AZ510" s="14">
        <f t="shared" si="57"/>
        <v>12526.920477779538</v>
      </c>
      <c r="BA510" s="14">
        <f t="shared" si="56"/>
        <v>0.19394519200474925</v>
      </c>
      <c r="BB510" s="14">
        <f t="shared" si="33"/>
        <v>64590.002713100432</v>
      </c>
      <c r="BC510" s="302"/>
      <c r="BD510" s="302"/>
      <c r="BE510" s="302"/>
      <c r="BF510" s="302"/>
      <c r="BG510" s="302"/>
      <c r="BH510" s="302"/>
      <c r="BI510" s="302"/>
      <c r="BJ510" s="302"/>
      <c r="BK510" s="302"/>
      <c r="BL510" s="302"/>
      <c r="BM510" s="302"/>
      <c r="BN510" s="302"/>
      <c r="BO510" s="302"/>
      <c r="BP510" s="14"/>
      <c r="BQ510" s="14"/>
      <c r="BR510" s="14"/>
      <c r="BS510" s="14"/>
      <c r="BT510" s="14"/>
      <c r="BU510" s="14"/>
      <c r="BV510" s="14"/>
      <c r="BW510" s="14"/>
      <c r="BX510" s="14"/>
      <c r="BY510" s="14"/>
      <c r="BZ510" s="14"/>
      <c r="CA510" s="14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</row>
    <row r="511" spans="1:101" ht="14.25" customHeight="1" x14ac:dyDescent="0.2">
      <c r="A511" s="286"/>
      <c r="B511" s="52">
        <v>0.18565249338892209</v>
      </c>
      <c r="C511" s="288">
        <v>0.12484282826267437</v>
      </c>
      <c r="D511" s="288">
        <v>1.2984710902492624E-2</v>
      </c>
      <c r="E511" s="288">
        <v>2.3689072243942455E-2</v>
      </c>
      <c r="F511" s="289">
        <v>0.81936913954184198</v>
      </c>
      <c r="G511" s="92">
        <v>0.37960383006884574</v>
      </c>
      <c r="H511" s="288">
        <v>0.35740759751108042</v>
      </c>
      <c r="I511" s="288">
        <v>2.7472610459110869E-2</v>
      </c>
      <c r="J511" s="288">
        <v>1</v>
      </c>
      <c r="K511" s="288">
        <v>0.75274830104961532</v>
      </c>
      <c r="L511" s="290">
        <v>11547.122183846606</v>
      </c>
      <c r="M511" s="288">
        <v>0</v>
      </c>
      <c r="N511" s="288">
        <v>13863.907461364923</v>
      </c>
      <c r="O511" s="288">
        <v>1280.2860120221033</v>
      </c>
      <c r="P511" s="288">
        <v>51685.673643786336</v>
      </c>
      <c r="Q511" s="291">
        <v>87573.826597536827</v>
      </c>
      <c r="R511" s="288">
        <v>18221.682287392261</v>
      </c>
      <c r="S511" s="288">
        <v>11559.075698439663</v>
      </c>
      <c r="T511" s="290">
        <v>0.751</v>
      </c>
      <c r="U511" s="288">
        <v>0.75800000000000001</v>
      </c>
      <c r="V511" s="288">
        <v>0.723923076923077</v>
      </c>
      <c r="W511" s="288">
        <v>0.72750000000000004</v>
      </c>
      <c r="X511" s="288">
        <v>0.76</v>
      </c>
      <c r="Y511" s="288">
        <v>0</v>
      </c>
      <c r="Z511" s="289">
        <v>0</v>
      </c>
      <c r="AA511" s="229"/>
      <c r="AB511" s="293">
        <v>106208.0260405829</v>
      </c>
      <c r="AC511" s="294">
        <v>3.3262559833829926</v>
      </c>
      <c r="AD511" s="295">
        <v>91274.037048288694</v>
      </c>
      <c r="AE511" s="294">
        <v>3.0209043965920435</v>
      </c>
      <c r="AF511" s="295">
        <v>14933.988992294209</v>
      </c>
      <c r="AG511" s="296">
        <v>0.30535158679094909</v>
      </c>
      <c r="AH511" s="229"/>
      <c r="AI511" s="205">
        <f t="shared" si="52"/>
        <v>226417.57229771634</v>
      </c>
      <c r="AJ511" s="205">
        <f t="shared" si="53"/>
        <v>210816.40261091565</v>
      </c>
      <c r="AK511" s="205">
        <f t="shared" si="54"/>
        <v>15601.169686800698</v>
      </c>
      <c r="AL511" s="229"/>
      <c r="AM511" s="52">
        <f t="shared" si="30"/>
        <v>1</v>
      </c>
      <c r="AN511" s="52">
        <f t="shared" si="31"/>
        <v>0</v>
      </c>
      <c r="AO511" s="52">
        <f t="shared" si="32"/>
        <v>1</v>
      </c>
      <c r="AP511" s="229"/>
      <c r="AQ511" s="28"/>
      <c r="AR511" s="28"/>
      <c r="AS511" s="28"/>
      <c r="AT511" s="28"/>
      <c r="AU511" s="229"/>
      <c r="AV511" s="318">
        <f t="shared" si="55"/>
        <v>226417.57229771634</v>
      </c>
      <c r="AW511" s="229"/>
      <c r="AX511" s="313"/>
      <c r="AY511" s="302"/>
      <c r="AZ511" s="14">
        <f t="shared" si="57"/>
        <v>14933.988992294209</v>
      </c>
      <c r="BA511" s="14">
        <f t="shared" si="56"/>
        <v>0.30535158679094909</v>
      </c>
      <c r="BB511" s="14">
        <f t="shared" si="33"/>
        <v>48907.520505267166</v>
      </c>
      <c r="BC511" s="302"/>
      <c r="BD511" s="302"/>
      <c r="BE511" s="302"/>
      <c r="BF511" s="302"/>
      <c r="BG511" s="302"/>
      <c r="BH511" s="302"/>
      <c r="BI511" s="302"/>
      <c r="BJ511" s="302"/>
      <c r="BK511" s="302"/>
      <c r="BL511" s="302"/>
      <c r="BM511" s="302"/>
      <c r="BN511" s="302"/>
      <c r="BO511" s="302"/>
      <c r="BP511" s="14"/>
      <c r="BQ511" s="14"/>
      <c r="BR511" s="14"/>
      <c r="BS511" s="14"/>
      <c r="BT511" s="14"/>
      <c r="BU511" s="14"/>
      <c r="BV511" s="14"/>
      <c r="BW511" s="14"/>
      <c r="BX511" s="14"/>
      <c r="BY511" s="14"/>
      <c r="BZ511" s="14"/>
      <c r="CA511" s="14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</row>
    <row r="512" spans="1:101" ht="14.25" customHeight="1" x14ac:dyDescent="0.2">
      <c r="A512" s="286"/>
      <c r="B512" s="52">
        <v>0.14523584164896419</v>
      </c>
      <c r="C512" s="288">
        <v>0.46520989082729192</v>
      </c>
      <c r="D512" s="288">
        <v>1.4888928734427598E-2</v>
      </c>
      <c r="E512" s="288">
        <v>1.998797144576403E-2</v>
      </c>
      <c r="F512" s="289">
        <v>0.79976016049885901</v>
      </c>
      <c r="G512" s="92">
        <v>0.36226335438403356</v>
      </c>
      <c r="H512" s="288">
        <v>0.27718966230444103</v>
      </c>
      <c r="I512" s="288">
        <v>1.3612880826260708E-2</v>
      </c>
      <c r="J512" s="288">
        <v>1</v>
      </c>
      <c r="K512" s="288">
        <v>0.76331895131584993</v>
      </c>
      <c r="L512" s="290">
        <v>8846.9356244420032</v>
      </c>
      <c r="M512" s="288">
        <v>0</v>
      </c>
      <c r="N512" s="288">
        <v>23509.98588702401</v>
      </c>
      <c r="O512" s="288">
        <v>1216.6412223122361</v>
      </c>
      <c r="P512" s="288">
        <v>41837.726856473411</v>
      </c>
      <c r="Q512" s="291">
        <v>102789.48701562906</v>
      </c>
      <c r="R512" s="288">
        <v>21362.706924066955</v>
      </c>
      <c r="S512" s="288">
        <v>8989.4620217625688</v>
      </c>
      <c r="T512" s="290">
        <v>0.751</v>
      </c>
      <c r="U512" s="288">
        <v>0.75800000000000001</v>
      </c>
      <c r="V512" s="288">
        <v>0.723923076923077</v>
      </c>
      <c r="W512" s="288">
        <v>0.72750000000000004</v>
      </c>
      <c r="X512" s="288">
        <v>0.76</v>
      </c>
      <c r="Y512" s="288">
        <v>0</v>
      </c>
      <c r="Z512" s="289">
        <v>0</v>
      </c>
      <c r="AA512" s="229"/>
      <c r="AB512" s="293">
        <v>81883.734323080367</v>
      </c>
      <c r="AC512" s="294">
        <v>3.2343537026051026</v>
      </c>
      <c r="AD512" s="295">
        <v>71857.874516188051</v>
      </c>
      <c r="AE512" s="294">
        <v>3.0696853833816369</v>
      </c>
      <c r="AF512" s="295">
        <v>10025.859806892317</v>
      </c>
      <c r="AG512" s="296">
        <v>0.1646683192234657</v>
      </c>
      <c r="AH512" s="229"/>
      <c r="AI512" s="205">
        <f t="shared" si="52"/>
        <v>241551.63593742988</v>
      </c>
      <c r="AJ512" s="205">
        <f t="shared" si="53"/>
        <v>235110.66382197564</v>
      </c>
      <c r="AK512" s="205">
        <f t="shared" si="54"/>
        <v>6440.9721154542531</v>
      </c>
      <c r="AL512" s="229"/>
      <c r="AM512" s="52">
        <f t="shared" si="30"/>
        <v>1</v>
      </c>
      <c r="AN512" s="52">
        <f t="shared" si="31"/>
        <v>0</v>
      </c>
      <c r="AO512" s="52">
        <f t="shared" si="32"/>
        <v>1</v>
      </c>
      <c r="AP512" s="229"/>
      <c r="AQ512" s="28"/>
      <c r="AR512" s="28"/>
      <c r="AS512" s="28"/>
      <c r="AT512" s="28"/>
      <c r="AU512" s="229"/>
      <c r="AV512" s="318">
        <f t="shared" si="55"/>
        <v>241551.63593742988</v>
      </c>
      <c r="AW512" s="229"/>
      <c r="AX512" s="313"/>
      <c r="AY512" s="302"/>
      <c r="AZ512" s="14">
        <f t="shared" si="57"/>
        <v>10025.859806892317</v>
      </c>
      <c r="BA512" s="14">
        <f t="shared" si="56"/>
        <v>0.1646683192234657</v>
      </c>
      <c r="BB512" s="14">
        <f t="shared" si="33"/>
        <v>60885.177271327877</v>
      </c>
      <c r="BC512" s="302"/>
      <c r="BD512" s="302"/>
      <c r="BE512" s="302"/>
      <c r="BF512" s="302"/>
      <c r="BG512" s="302"/>
      <c r="BH512" s="302"/>
      <c r="BI512" s="302"/>
      <c r="BJ512" s="302"/>
      <c r="BK512" s="302"/>
      <c r="BL512" s="302"/>
      <c r="BM512" s="302"/>
      <c r="BN512" s="302"/>
      <c r="BO512" s="302"/>
      <c r="BP512" s="14"/>
      <c r="BQ512" s="14"/>
      <c r="BR512" s="14"/>
      <c r="BS512" s="14"/>
      <c r="BT512" s="14"/>
      <c r="BU512" s="14"/>
      <c r="BV512" s="14"/>
      <c r="BW512" s="14"/>
      <c r="BX512" s="14"/>
      <c r="BY512" s="14"/>
      <c r="BZ512" s="14"/>
      <c r="CA512" s="14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</row>
    <row r="513" spans="1:101" ht="14.25" customHeight="1" x14ac:dyDescent="0.2">
      <c r="A513" s="286"/>
      <c r="B513" s="52">
        <v>0.12792464725935487</v>
      </c>
      <c r="C513" s="288">
        <v>7.1620956545028827E-2</v>
      </c>
      <c r="D513" s="288">
        <v>7.1805232160961959E-3</v>
      </c>
      <c r="E513" s="288">
        <v>3.0228679822693949E-2</v>
      </c>
      <c r="F513" s="289">
        <v>0.81189431519037658</v>
      </c>
      <c r="G513" s="92">
        <v>0.39163029913222797</v>
      </c>
      <c r="H513" s="288">
        <v>0.33959287841556957</v>
      </c>
      <c r="I513" s="288">
        <v>2.0269334810944173E-2</v>
      </c>
      <c r="J513" s="288">
        <v>0.84198056719394521</v>
      </c>
      <c r="K513" s="288">
        <v>0.71934148318972235</v>
      </c>
      <c r="L513" s="290">
        <v>12359.405749946363</v>
      </c>
      <c r="M513" s="288">
        <v>0</v>
      </c>
      <c r="N513" s="288">
        <v>17242.906562667802</v>
      </c>
      <c r="O513" s="288">
        <v>1341.3011793818876</v>
      </c>
      <c r="P513" s="288">
        <v>36279.40229579369</v>
      </c>
      <c r="Q513" s="291">
        <v>106573.41834447498</v>
      </c>
      <c r="R513" s="288">
        <v>24489.428253407958</v>
      </c>
      <c r="S513" s="288">
        <v>11290.512060264313</v>
      </c>
      <c r="T513" s="290">
        <v>0.751</v>
      </c>
      <c r="U513" s="288">
        <v>0.75800000000000001</v>
      </c>
      <c r="V513" s="288">
        <v>0.723923076923077</v>
      </c>
      <c r="W513" s="288">
        <v>0.72750000000000004</v>
      </c>
      <c r="X513" s="288">
        <v>0.76</v>
      </c>
      <c r="Y513" s="288">
        <v>0</v>
      </c>
      <c r="Z513" s="289">
        <v>0</v>
      </c>
      <c r="AA513" s="229"/>
      <c r="AB513" s="293">
        <v>103626.05376691488</v>
      </c>
      <c r="AC513" s="294">
        <v>3.2911522571365914</v>
      </c>
      <c r="AD513" s="295">
        <v>85920.11631739694</v>
      </c>
      <c r="AE513" s="294">
        <v>2.8678979075607347</v>
      </c>
      <c r="AF513" s="295">
        <v>17705.937449517936</v>
      </c>
      <c r="AG513" s="296">
        <v>0.42325434957585673</v>
      </c>
      <c r="AH513" s="229"/>
      <c r="AI513" s="205">
        <f t="shared" si="52"/>
        <v>225489.17194674426</v>
      </c>
      <c r="AJ513" s="205">
        <f t="shared" si="53"/>
        <v>200869.67443867656</v>
      </c>
      <c r="AK513" s="205">
        <f t="shared" si="54"/>
        <v>24619.49750806774</v>
      </c>
      <c r="AL513" s="229"/>
      <c r="AM513" s="52">
        <f t="shared" si="30"/>
        <v>1</v>
      </c>
      <c r="AN513" s="52">
        <f t="shared" si="31"/>
        <v>0</v>
      </c>
      <c r="AO513" s="52">
        <f t="shared" si="32"/>
        <v>1</v>
      </c>
      <c r="AP513" s="229"/>
      <c r="AQ513" s="28"/>
      <c r="AR513" s="28"/>
      <c r="AS513" s="28"/>
      <c r="AT513" s="28"/>
      <c r="AU513" s="229"/>
      <c r="AV513" s="318">
        <f t="shared" si="55"/>
        <v>225489.17194674426</v>
      </c>
      <c r="AW513" s="229"/>
      <c r="AX513" s="313"/>
      <c r="AY513" s="302"/>
      <c r="AZ513" s="14">
        <f t="shared" si="57"/>
        <v>17705.937449517936</v>
      </c>
      <c r="BA513" s="14">
        <f t="shared" si="56"/>
        <v>0.42325434957585673</v>
      </c>
      <c r="BB513" s="14">
        <f t="shared" si="33"/>
        <v>41832.854091779707</v>
      </c>
      <c r="BC513" s="302"/>
      <c r="BD513" s="302"/>
      <c r="BE513" s="302"/>
      <c r="BF513" s="302"/>
      <c r="BG513" s="302"/>
      <c r="BH513" s="302"/>
      <c r="BI513" s="302"/>
      <c r="BJ513" s="302"/>
      <c r="BK513" s="302"/>
      <c r="BL513" s="302"/>
      <c r="BM513" s="302"/>
      <c r="BN513" s="302"/>
      <c r="BO513" s="302"/>
      <c r="BP513" s="14"/>
      <c r="BQ513" s="14"/>
      <c r="BR513" s="14"/>
      <c r="BS513" s="14"/>
      <c r="BT513" s="14"/>
      <c r="BU513" s="14"/>
      <c r="BV513" s="14"/>
      <c r="BW513" s="14"/>
      <c r="BX513" s="14"/>
      <c r="BY513" s="14"/>
      <c r="BZ513" s="14"/>
      <c r="CA513" s="14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</row>
    <row r="514" spans="1:101" ht="14.25" customHeight="1" x14ac:dyDescent="0.2">
      <c r="A514" s="286"/>
      <c r="B514" s="52">
        <v>0.16868796537175146</v>
      </c>
      <c r="C514" s="288">
        <v>0.88762786469999022</v>
      </c>
      <c r="D514" s="288">
        <v>2.6342638189177814E-2</v>
      </c>
      <c r="E514" s="288">
        <v>1.8908984083074509E-2</v>
      </c>
      <c r="F514" s="289">
        <v>0.75682303721193145</v>
      </c>
      <c r="G514" s="92">
        <v>0.41337252597238161</v>
      </c>
      <c r="H514" s="288">
        <v>0.82102835119955897</v>
      </c>
      <c r="I514" s="288">
        <v>1.0457714624570541E-2</v>
      </c>
      <c r="J514" s="288">
        <v>0.99999999999991696</v>
      </c>
      <c r="K514" s="288">
        <v>0.75240883889515131</v>
      </c>
      <c r="L514" s="290">
        <v>14851.077870990806</v>
      </c>
      <c r="M514" s="288">
        <v>0</v>
      </c>
      <c r="N514" s="288">
        <v>21243.052441496344</v>
      </c>
      <c r="O514" s="288">
        <v>977.29070121043935</v>
      </c>
      <c r="P514" s="288">
        <v>59471.718885728573</v>
      </c>
      <c r="Q514" s="291">
        <v>120051.88920439688</v>
      </c>
      <c r="R514" s="288">
        <v>26472.120338242876</v>
      </c>
      <c r="S514" s="288">
        <v>5425.2007096866637</v>
      </c>
      <c r="T514" s="290">
        <v>0.751</v>
      </c>
      <c r="U514" s="288">
        <v>0.75800000000000001</v>
      </c>
      <c r="V514" s="288">
        <v>0.723923076923077</v>
      </c>
      <c r="W514" s="288">
        <v>0.72750000000000004</v>
      </c>
      <c r="X514" s="288">
        <v>0.76</v>
      </c>
      <c r="Y514" s="288">
        <v>0</v>
      </c>
      <c r="Z514" s="289">
        <v>0</v>
      </c>
      <c r="AA514" s="229"/>
      <c r="AB514" s="293">
        <v>60177.879146253355</v>
      </c>
      <c r="AC514" s="294">
        <v>3.0352245052002202</v>
      </c>
      <c r="AD514" s="295">
        <v>50967.431190136573</v>
      </c>
      <c r="AE514" s="294">
        <v>3.0193407799709817</v>
      </c>
      <c r="AF514" s="295">
        <v>9210.4479561167827</v>
      </c>
      <c r="AG514" s="296">
        <v>1.5883725229238532E-2</v>
      </c>
      <c r="AH514" s="229"/>
      <c r="AI514" s="205">
        <f t="shared" si="52"/>
        <v>243344.57137376867</v>
      </c>
      <c r="AJ514" s="205">
        <f t="shared" si="53"/>
        <v>250966.64680696157</v>
      </c>
      <c r="AK514" s="205">
        <f t="shared" si="54"/>
        <v>-7622.0754331929293</v>
      </c>
      <c r="AL514" s="229"/>
      <c r="AM514" s="52">
        <f t="shared" si="30"/>
        <v>0</v>
      </c>
      <c r="AN514" s="52">
        <f t="shared" si="31"/>
        <v>1</v>
      </c>
      <c r="AO514" s="52">
        <f t="shared" si="32"/>
        <v>0</v>
      </c>
      <c r="AP514" s="229"/>
      <c r="AQ514" s="28"/>
      <c r="AR514" s="28"/>
      <c r="AS514" s="28"/>
      <c r="AT514" s="28"/>
      <c r="AU514" s="229"/>
      <c r="AV514" s="318">
        <f t="shared" si="55"/>
        <v>250966.64680696157</v>
      </c>
      <c r="AW514" s="229"/>
      <c r="AX514" s="313"/>
      <c r="AY514" s="302"/>
      <c r="AZ514" s="14">
        <f t="shared" si="57"/>
        <v>9210.4479561167827</v>
      </c>
      <c r="BA514" s="14">
        <f t="shared" si="56"/>
        <v>1.5883725229238532E-2</v>
      </c>
      <c r="BB514" s="14">
        <f t="shared" si="33"/>
        <v>579866.99109868275</v>
      </c>
      <c r="BC514" s="302"/>
      <c r="BD514" s="302"/>
      <c r="BE514" s="302"/>
      <c r="BF514" s="302"/>
      <c r="BG514" s="302"/>
      <c r="BH514" s="302"/>
      <c r="BI514" s="302"/>
      <c r="BJ514" s="302"/>
      <c r="BK514" s="302"/>
      <c r="BL514" s="302"/>
      <c r="BM514" s="302"/>
      <c r="BN514" s="302"/>
      <c r="BO514" s="302"/>
      <c r="BP514" s="14"/>
      <c r="BQ514" s="14"/>
      <c r="BR514" s="14"/>
      <c r="BS514" s="14"/>
      <c r="BT514" s="14"/>
      <c r="BU514" s="14"/>
      <c r="BV514" s="14"/>
      <c r="BW514" s="14"/>
      <c r="BX514" s="14"/>
      <c r="BY514" s="14"/>
      <c r="BZ514" s="14"/>
      <c r="CA514" s="14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</row>
    <row r="515" spans="1:101" ht="14.25" customHeight="1" x14ac:dyDescent="0.2">
      <c r="A515" s="286"/>
      <c r="B515" s="52">
        <v>0.15470555609719772</v>
      </c>
      <c r="C515" s="288">
        <v>9.0434883751676118E-2</v>
      </c>
      <c r="D515" s="288">
        <v>1.0252511681150617E-2</v>
      </c>
      <c r="E515" s="288">
        <v>1.24748702874344E-2</v>
      </c>
      <c r="F515" s="289">
        <v>0.7801643777743611</v>
      </c>
      <c r="G515" s="92">
        <v>0.38005350367224888</v>
      </c>
      <c r="H515" s="288">
        <v>0.38487608453921918</v>
      </c>
      <c r="I515" s="288">
        <v>2.7792826789699632E-2</v>
      </c>
      <c r="J515" s="288">
        <v>0.8053997514481388</v>
      </c>
      <c r="K515" s="288">
        <v>0.74452774135435085</v>
      </c>
      <c r="L515" s="290">
        <v>13882.853425987347</v>
      </c>
      <c r="M515" s="288">
        <v>0</v>
      </c>
      <c r="N515" s="288">
        <v>22034.034766838929</v>
      </c>
      <c r="O515" s="288">
        <v>1234.8242324262735</v>
      </c>
      <c r="P515" s="288">
        <v>32950.686613262733</v>
      </c>
      <c r="Q515" s="291">
        <v>126866.4950049961</v>
      </c>
      <c r="R515" s="288">
        <v>22048.706139234015</v>
      </c>
      <c r="S515" s="288">
        <v>7735.485606146518</v>
      </c>
      <c r="T515" s="290">
        <v>0.751</v>
      </c>
      <c r="U515" s="288">
        <v>0.75800000000000001</v>
      </c>
      <c r="V515" s="288">
        <v>0.723923076923077</v>
      </c>
      <c r="W515" s="288">
        <v>0.72750000000000004</v>
      </c>
      <c r="X515" s="288">
        <v>0.76</v>
      </c>
      <c r="Y515" s="288">
        <v>0</v>
      </c>
      <c r="Z515" s="289">
        <v>0</v>
      </c>
      <c r="AA515" s="229"/>
      <c r="AB515" s="293">
        <v>74344.481744741483</v>
      </c>
      <c r="AC515" s="294">
        <v>3.1431157680931894</v>
      </c>
      <c r="AD515" s="295">
        <v>62862.650175279312</v>
      </c>
      <c r="AE515" s="294">
        <v>2.9830902527399483</v>
      </c>
      <c r="AF515" s="295">
        <v>11481.831569462171</v>
      </c>
      <c r="AG515" s="296">
        <v>0.16002551535324105</v>
      </c>
      <c r="AH515" s="229"/>
      <c r="AI515" s="205">
        <f t="shared" si="52"/>
        <v>239967.09506457741</v>
      </c>
      <c r="AJ515" s="205">
        <f t="shared" si="53"/>
        <v>235446.37509871554</v>
      </c>
      <c r="AK515" s="205">
        <f t="shared" si="54"/>
        <v>4520.7199658619356</v>
      </c>
      <c r="AL515" s="229"/>
      <c r="AM515" s="52">
        <f t="shared" si="30"/>
        <v>1</v>
      </c>
      <c r="AN515" s="52">
        <f t="shared" si="31"/>
        <v>0</v>
      </c>
      <c r="AO515" s="52">
        <f t="shared" si="32"/>
        <v>1</v>
      </c>
      <c r="AP515" s="229"/>
      <c r="AQ515" s="28"/>
      <c r="AR515" s="28"/>
      <c r="AS515" s="28"/>
      <c r="AT515" s="28"/>
      <c r="AU515" s="229"/>
      <c r="AV515" s="318">
        <f t="shared" si="55"/>
        <v>239967.09506457741</v>
      </c>
      <c r="AW515" s="229"/>
      <c r="AX515" s="313"/>
      <c r="AY515" s="302"/>
      <c r="AZ515" s="14">
        <f t="shared" si="57"/>
        <v>11481.831569462171</v>
      </c>
      <c r="BA515" s="14">
        <f t="shared" si="56"/>
        <v>0.16002551535324105</v>
      </c>
      <c r="BB515" s="14">
        <f t="shared" si="33"/>
        <v>71750.005267079585</v>
      </c>
      <c r="BC515" s="302"/>
      <c r="BD515" s="302"/>
      <c r="BE515" s="302"/>
      <c r="BF515" s="302"/>
      <c r="BG515" s="302"/>
      <c r="BH515" s="302"/>
      <c r="BI515" s="302"/>
      <c r="BJ515" s="302"/>
      <c r="BK515" s="302"/>
      <c r="BL515" s="302"/>
      <c r="BM515" s="302"/>
      <c r="BN515" s="302"/>
      <c r="BO515" s="302"/>
      <c r="BP515" s="14"/>
      <c r="BQ515" s="14"/>
      <c r="BR515" s="14"/>
      <c r="BS515" s="14"/>
      <c r="BT515" s="14"/>
      <c r="BU515" s="14"/>
      <c r="BV515" s="14"/>
      <c r="BW515" s="14"/>
      <c r="BX515" s="14"/>
      <c r="BY515" s="14"/>
      <c r="BZ515" s="14"/>
      <c r="CA515" s="14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</row>
    <row r="516" spans="1:101" ht="14.25" customHeight="1" x14ac:dyDescent="0.2">
      <c r="A516" s="286"/>
      <c r="B516" s="52">
        <v>0.15888381242773236</v>
      </c>
      <c r="C516" s="288">
        <v>0.50708323227554075</v>
      </c>
      <c r="D516" s="288">
        <v>9.7370717119895419E-3</v>
      </c>
      <c r="E516" s="288">
        <v>2.2889518186955171E-2</v>
      </c>
      <c r="F516" s="289">
        <v>0.76729837370148579</v>
      </c>
      <c r="G516" s="92">
        <v>0.43802200131788593</v>
      </c>
      <c r="H516" s="288">
        <v>0.67100349178966479</v>
      </c>
      <c r="I516" s="288">
        <v>9.807251692688243E-3</v>
      </c>
      <c r="J516" s="288">
        <v>1</v>
      </c>
      <c r="K516" s="288">
        <v>0.79365629393025561</v>
      </c>
      <c r="L516" s="290">
        <v>13120.636382609304</v>
      </c>
      <c r="M516" s="288">
        <v>0</v>
      </c>
      <c r="N516" s="288">
        <v>16205.051991802235</v>
      </c>
      <c r="O516" s="288">
        <v>1258.2204596099059</v>
      </c>
      <c r="P516" s="288">
        <v>28679.487428576645</v>
      </c>
      <c r="Q516" s="291">
        <v>89030.0711973172</v>
      </c>
      <c r="R516" s="288">
        <v>26101.243465069183</v>
      </c>
      <c r="S516" s="288">
        <v>5187.4720423474873</v>
      </c>
      <c r="T516" s="290">
        <v>0.751</v>
      </c>
      <c r="U516" s="288">
        <v>0.75800000000000001</v>
      </c>
      <c r="V516" s="288">
        <v>0.723923076923077</v>
      </c>
      <c r="W516" s="288">
        <v>0.72750000000000004</v>
      </c>
      <c r="X516" s="288">
        <v>0.76</v>
      </c>
      <c r="Y516" s="288">
        <v>0</v>
      </c>
      <c r="Z516" s="289">
        <v>0</v>
      </c>
      <c r="AA516" s="229"/>
      <c r="AB516" s="293">
        <v>54977.231470983446</v>
      </c>
      <c r="AC516" s="294">
        <v>3.0835392174732874</v>
      </c>
      <c r="AD516" s="295">
        <v>49833.092470443175</v>
      </c>
      <c r="AE516" s="294">
        <v>3.2106629549162036</v>
      </c>
      <c r="AF516" s="295">
        <v>5144.1390005402718</v>
      </c>
      <c r="AG516" s="296">
        <v>-0.12712373744291616</v>
      </c>
      <c r="AH516" s="229"/>
      <c r="AI516" s="205">
        <f t="shared" si="52"/>
        <v>253376.69027634527</v>
      </c>
      <c r="AJ516" s="205">
        <f t="shared" si="53"/>
        <v>271233.20302117721</v>
      </c>
      <c r="AK516" s="205">
        <f t="shared" si="54"/>
        <v>-17856.512744831889</v>
      </c>
      <c r="AL516" s="229"/>
      <c r="AM516" s="52">
        <f t="shared" si="30"/>
        <v>0</v>
      </c>
      <c r="AN516" s="52">
        <f t="shared" si="31"/>
        <v>1</v>
      </c>
      <c r="AO516" s="52">
        <f t="shared" si="32"/>
        <v>0</v>
      </c>
      <c r="AP516" s="229"/>
      <c r="AQ516" s="28"/>
      <c r="AR516" s="28"/>
      <c r="AS516" s="28"/>
      <c r="AT516" s="28"/>
      <c r="AU516" s="229"/>
      <c r="AV516" s="318">
        <f t="shared" si="55"/>
        <v>271233.20302117721</v>
      </c>
      <c r="AW516" s="229"/>
      <c r="AX516" s="313"/>
      <c r="AY516" s="302"/>
      <c r="AZ516" s="14">
        <f t="shared" si="57"/>
        <v>5144.1390005402718</v>
      </c>
      <c r="BA516" s="14">
        <f t="shared" si="56"/>
        <v>-0.12712373744291616</v>
      </c>
      <c r="BB516" s="14">
        <f t="shared" si="33"/>
        <v>-40465.605433054574</v>
      </c>
      <c r="BC516" s="302"/>
      <c r="BD516" s="302"/>
      <c r="BE516" s="302"/>
      <c r="BF516" s="302"/>
      <c r="BG516" s="302"/>
      <c r="BH516" s="302"/>
      <c r="BI516" s="302"/>
      <c r="BJ516" s="302"/>
      <c r="BK516" s="302"/>
      <c r="BL516" s="302"/>
      <c r="BM516" s="302"/>
      <c r="BN516" s="302"/>
      <c r="BO516" s="302"/>
      <c r="BP516" s="14"/>
      <c r="BQ516" s="14"/>
      <c r="BR516" s="14"/>
      <c r="BS516" s="14"/>
      <c r="BT516" s="14"/>
      <c r="BU516" s="14"/>
      <c r="BV516" s="14"/>
      <c r="BW516" s="14"/>
      <c r="BX516" s="14"/>
      <c r="BY516" s="14"/>
      <c r="BZ516" s="14"/>
      <c r="CA516" s="14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</row>
    <row r="517" spans="1:101" ht="14.25" customHeight="1" x14ac:dyDescent="0.2">
      <c r="A517" s="286"/>
      <c r="B517" s="52">
        <v>0.15543482461733749</v>
      </c>
      <c r="C517" s="288">
        <v>0.25143444831523121</v>
      </c>
      <c r="D517" s="288">
        <v>2.3308039937434688E-2</v>
      </c>
      <c r="E517" s="288">
        <v>5.8621932207458035E-3</v>
      </c>
      <c r="F517" s="289">
        <v>0.76356329925348909</v>
      </c>
      <c r="G517" s="92">
        <v>0.38812127327763746</v>
      </c>
      <c r="H517" s="288">
        <v>0.71085594779083938</v>
      </c>
      <c r="I517" s="288">
        <v>2.6804793546866712E-2</v>
      </c>
      <c r="J517" s="288">
        <v>0.99994978302192639</v>
      </c>
      <c r="K517" s="288">
        <v>0.77545038785298515</v>
      </c>
      <c r="L517" s="290">
        <v>11598.295997957124</v>
      </c>
      <c r="M517" s="288">
        <v>0</v>
      </c>
      <c r="N517" s="288">
        <v>21058.05102101071</v>
      </c>
      <c r="O517" s="288">
        <v>841.84749782595975</v>
      </c>
      <c r="P517" s="288">
        <v>50102.12029572692</v>
      </c>
      <c r="Q517" s="291">
        <v>104771.49059252818</v>
      </c>
      <c r="R517" s="288">
        <v>25031.605393064907</v>
      </c>
      <c r="S517" s="288">
        <v>8123.2738836931267</v>
      </c>
      <c r="T517" s="290">
        <v>0.751</v>
      </c>
      <c r="U517" s="288">
        <v>0.75800000000000001</v>
      </c>
      <c r="V517" s="288">
        <v>0.723923076923077</v>
      </c>
      <c r="W517" s="288">
        <v>0.72750000000000004</v>
      </c>
      <c r="X517" s="288">
        <v>0.76</v>
      </c>
      <c r="Y517" s="288">
        <v>0</v>
      </c>
      <c r="Z517" s="289">
        <v>0</v>
      </c>
      <c r="AA517" s="229"/>
      <c r="AB517" s="293">
        <v>74508.763204906834</v>
      </c>
      <c r="AC517" s="294">
        <v>3.0662924330554091</v>
      </c>
      <c r="AD517" s="295">
        <v>71756.259005689819</v>
      </c>
      <c r="AE517" s="294">
        <v>3.1258860768609633</v>
      </c>
      <c r="AF517" s="295">
        <v>2752.5041992170154</v>
      </c>
      <c r="AG517" s="296">
        <v>-5.9593643805554208E-2</v>
      </c>
      <c r="AH517" s="229"/>
      <c r="AI517" s="205">
        <f t="shared" si="52"/>
        <v>232120.4801006341</v>
      </c>
      <c r="AJ517" s="205">
        <f t="shared" si="53"/>
        <v>240832.34868040652</v>
      </c>
      <c r="AK517" s="205">
        <f t="shared" si="54"/>
        <v>-8711.8685797724356</v>
      </c>
      <c r="AL517" s="229"/>
      <c r="AM517" s="52">
        <f t="shared" si="30"/>
        <v>0</v>
      </c>
      <c r="AN517" s="52">
        <f t="shared" si="31"/>
        <v>1</v>
      </c>
      <c r="AO517" s="52">
        <f t="shared" si="32"/>
        <v>0</v>
      </c>
      <c r="AP517" s="229"/>
      <c r="AQ517" s="28"/>
      <c r="AR517" s="28"/>
      <c r="AS517" s="28"/>
      <c r="AT517" s="28"/>
      <c r="AU517" s="229"/>
      <c r="AV517" s="318">
        <f t="shared" si="55"/>
        <v>240832.34868040652</v>
      </c>
      <c r="AW517" s="229"/>
      <c r="AX517" s="313"/>
      <c r="AY517" s="302"/>
      <c r="AZ517" s="14">
        <f t="shared" si="57"/>
        <v>2752.5041992170154</v>
      </c>
      <c r="BA517" s="14">
        <f t="shared" si="56"/>
        <v>-5.9593643805554208E-2</v>
      </c>
      <c r="BB517" s="14">
        <f t="shared" si="33"/>
        <v>-46187.882187537565</v>
      </c>
      <c r="BC517" s="302"/>
      <c r="BD517" s="302"/>
      <c r="BE517" s="302"/>
      <c r="BF517" s="302"/>
      <c r="BG517" s="302"/>
      <c r="BH517" s="302"/>
      <c r="BI517" s="302"/>
      <c r="BJ517" s="302"/>
      <c r="BK517" s="302"/>
      <c r="BL517" s="302"/>
      <c r="BM517" s="302"/>
      <c r="BN517" s="302"/>
      <c r="BO517" s="302"/>
      <c r="BP517" s="14"/>
      <c r="BQ517" s="14"/>
      <c r="BR517" s="14"/>
      <c r="BS517" s="14"/>
      <c r="BT517" s="14"/>
      <c r="BU517" s="14"/>
      <c r="BV517" s="14"/>
      <c r="BW517" s="14"/>
      <c r="BX517" s="14"/>
      <c r="BY517" s="14"/>
      <c r="BZ517" s="14"/>
      <c r="CA517" s="14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</row>
    <row r="518" spans="1:101" ht="14.25" customHeight="1" x14ac:dyDescent="0.2">
      <c r="A518" s="286"/>
      <c r="B518" s="52">
        <v>0.14878495604378028</v>
      </c>
      <c r="C518" s="288">
        <v>0.59095745950773759</v>
      </c>
      <c r="D518" s="288">
        <v>2.0783350957820024E-2</v>
      </c>
      <c r="E518" s="288">
        <v>2.2869345322918511E-2</v>
      </c>
      <c r="F518" s="289">
        <v>0.81216639362123144</v>
      </c>
      <c r="G518" s="92">
        <v>0.36112434003758076</v>
      </c>
      <c r="H518" s="288">
        <v>0.71944534538158145</v>
      </c>
      <c r="I518" s="288">
        <v>8.3930884033146438E-3</v>
      </c>
      <c r="J518" s="288">
        <v>0.99999999997167854</v>
      </c>
      <c r="K518" s="288">
        <v>0.71841136192023614</v>
      </c>
      <c r="L518" s="290">
        <v>14145.125996509794</v>
      </c>
      <c r="M518" s="288">
        <v>0</v>
      </c>
      <c r="N518" s="288">
        <v>21102.847541845873</v>
      </c>
      <c r="O518" s="288">
        <v>1449.2008680379017</v>
      </c>
      <c r="P518" s="288">
        <v>38103.058919417621</v>
      </c>
      <c r="Q518" s="291">
        <v>112511.85834346026</v>
      </c>
      <c r="R518" s="288">
        <v>20582.28625292172</v>
      </c>
      <c r="S518" s="288">
        <v>9220.6607070018508</v>
      </c>
      <c r="T518" s="290">
        <v>0.751</v>
      </c>
      <c r="U518" s="288">
        <v>0.75800000000000001</v>
      </c>
      <c r="V518" s="288">
        <v>0.723923076923077</v>
      </c>
      <c r="W518" s="288">
        <v>0.72750000000000004</v>
      </c>
      <c r="X518" s="288">
        <v>0.76</v>
      </c>
      <c r="Y518" s="288">
        <v>0</v>
      </c>
      <c r="Z518" s="289">
        <v>0</v>
      </c>
      <c r="AA518" s="229"/>
      <c r="AB518" s="293">
        <v>90677.909657509532</v>
      </c>
      <c r="AC518" s="294">
        <v>3.2924284715622933</v>
      </c>
      <c r="AD518" s="295">
        <v>72437.041718153647</v>
      </c>
      <c r="AE518" s="294">
        <v>2.8636630320466225</v>
      </c>
      <c r="AF518" s="295">
        <v>18240.867939355885</v>
      </c>
      <c r="AG518" s="296">
        <v>0.42876543951567081</v>
      </c>
      <c r="AH518" s="229"/>
      <c r="AI518" s="205">
        <f t="shared" si="52"/>
        <v>238564.93749871978</v>
      </c>
      <c r="AJ518" s="205">
        <f t="shared" si="53"/>
        <v>213929.26148650859</v>
      </c>
      <c r="AK518" s="205">
        <f t="shared" si="54"/>
        <v>24635.676012211195</v>
      </c>
      <c r="AL518" s="229"/>
      <c r="AM518" s="52">
        <f t="shared" si="30"/>
        <v>1</v>
      </c>
      <c r="AN518" s="52">
        <f t="shared" si="31"/>
        <v>0</v>
      </c>
      <c r="AO518" s="52">
        <f t="shared" si="32"/>
        <v>1</v>
      </c>
      <c r="AP518" s="229"/>
      <c r="AQ518" s="28"/>
      <c r="AR518" s="28"/>
      <c r="AS518" s="28"/>
      <c r="AT518" s="28"/>
      <c r="AU518" s="229"/>
      <c r="AV518" s="318">
        <f t="shared" si="55"/>
        <v>238564.93749871978</v>
      </c>
      <c r="AW518" s="229"/>
      <c r="AX518" s="313"/>
      <c r="AY518" s="302"/>
      <c r="AZ518" s="14">
        <f t="shared" si="57"/>
        <v>18240.867939355885</v>
      </c>
      <c r="BA518" s="14">
        <f t="shared" si="56"/>
        <v>0.42876543951567081</v>
      </c>
      <c r="BB518" s="14">
        <f t="shared" si="33"/>
        <v>42542.766413171237</v>
      </c>
      <c r="BC518" s="302"/>
      <c r="BD518" s="302"/>
      <c r="BE518" s="302"/>
      <c r="BF518" s="302"/>
      <c r="BG518" s="302"/>
      <c r="BH518" s="302"/>
      <c r="BI518" s="302"/>
      <c r="BJ518" s="302"/>
      <c r="BK518" s="302"/>
      <c r="BL518" s="302"/>
      <c r="BM518" s="302"/>
      <c r="BN518" s="302"/>
      <c r="BO518" s="302"/>
      <c r="BP518" s="14"/>
      <c r="BQ518" s="14"/>
      <c r="BR518" s="14"/>
      <c r="BS518" s="14"/>
      <c r="BT518" s="14"/>
      <c r="BU518" s="14"/>
      <c r="BV518" s="14"/>
      <c r="BW518" s="14"/>
      <c r="BX518" s="14"/>
      <c r="BY518" s="14"/>
      <c r="BZ518" s="14"/>
      <c r="CA518" s="14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</row>
    <row r="519" spans="1:101" ht="14.25" customHeight="1" x14ac:dyDescent="0.2">
      <c r="A519" s="286"/>
      <c r="B519" s="52">
        <v>0.1539612291123848</v>
      </c>
      <c r="C519" s="288">
        <v>8.2239939256165698E-2</v>
      </c>
      <c r="D519" s="288">
        <v>9.7653736193565478E-3</v>
      </c>
      <c r="E519" s="288">
        <v>1.2830576103647918E-2</v>
      </c>
      <c r="F519" s="289">
        <v>0.79416211447030327</v>
      </c>
      <c r="G519" s="92">
        <v>0.38819008109466818</v>
      </c>
      <c r="H519" s="288">
        <v>0.14887207272589706</v>
      </c>
      <c r="I519" s="288">
        <v>6.5104468508070997E-3</v>
      </c>
      <c r="J519" s="288">
        <v>0.38569147579682034</v>
      </c>
      <c r="K519" s="288">
        <v>0.76115512572393174</v>
      </c>
      <c r="L519" s="290">
        <v>9822.7081601936843</v>
      </c>
      <c r="M519" s="288">
        <v>0</v>
      </c>
      <c r="N519" s="288">
        <v>21203.311187778185</v>
      </c>
      <c r="O519" s="288">
        <v>1024.7421328143994</v>
      </c>
      <c r="P519" s="288">
        <v>49117.477746822937</v>
      </c>
      <c r="Q519" s="291">
        <v>107792.23558580223</v>
      </c>
      <c r="R519" s="288">
        <v>16165.317933471571</v>
      </c>
      <c r="S519" s="288">
        <v>9336.7859192945489</v>
      </c>
      <c r="T519" s="290">
        <v>0.751</v>
      </c>
      <c r="U519" s="288">
        <v>0.75800000000000001</v>
      </c>
      <c r="V519" s="288">
        <v>0.723923076923077</v>
      </c>
      <c r="W519" s="288">
        <v>0.72750000000000004</v>
      </c>
      <c r="X519" s="288">
        <v>0.76</v>
      </c>
      <c r="Y519" s="288">
        <v>0</v>
      </c>
      <c r="Z519" s="289">
        <v>0</v>
      </c>
      <c r="AA519" s="229"/>
      <c r="AB519" s="293">
        <v>83773.253521974912</v>
      </c>
      <c r="AC519" s="294">
        <v>3.2082277550146734</v>
      </c>
      <c r="AD519" s="295">
        <v>72535.445152530039</v>
      </c>
      <c r="AE519" s="294">
        <v>3.0596855164627739</v>
      </c>
      <c r="AF519" s="295">
        <v>11237.808369444872</v>
      </c>
      <c r="AG519" s="296">
        <v>0.14854223855189952</v>
      </c>
      <c r="AH519" s="229"/>
      <c r="AI519" s="205">
        <f t="shared" si="52"/>
        <v>237049.52197949245</v>
      </c>
      <c r="AJ519" s="205">
        <f t="shared" si="53"/>
        <v>233433.10649374733</v>
      </c>
      <c r="AK519" s="205">
        <f t="shared" si="54"/>
        <v>3616.4154857450794</v>
      </c>
      <c r="AL519" s="229"/>
      <c r="AM519" s="52">
        <f t="shared" si="30"/>
        <v>1</v>
      </c>
      <c r="AN519" s="52">
        <f t="shared" si="31"/>
        <v>0</v>
      </c>
      <c r="AO519" s="52">
        <f t="shared" si="32"/>
        <v>1</v>
      </c>
      <c r="AP519" s="229"/>
      <c r="AQ519" s="28"/>
      <c r="AR519" s="28"/>
      <c r="AS519" s="28"/>
      <c r="AT519" s="28"/>
      <c r="AU519" s="229"/>
      <c r="AV519" s="318">
        <f t="shared" si="55"/>
        <v>237049.52197949245</v>
      </c>
      <c r="AW519" s="229"/>
      <c r="AX519" s="313"/>
      <c r="AY519" s="302"/>
      <c r="AZ519" s="14">
        <f t="shared" si="57"/>
        <v>11237.808369444872</v>
      </c>
      <c r="BA519" s="14">
        <f t="shared" si="56"/>
        <v>0.14854223855189952</v>
      </c>
      <c r="BB519" s="14">
        <f t="shared" si="33"/>
        <v>75653.958624828912</v>
      </c>
      <c r="BC519" s="302"/>
      <c r="BD519" s="302"/>
      <c r="BE519" s="302"/>
      <c r="BF519" s="302"/>
      <c r="BG519" s="302"/>
      <c r="BH519" s="302"/>
      <c r="BI519" s="302"/>
      <c r="BJ519" s="302"/>
      <c r="BK519" s="302"/>
      <c r="BL519" s="302"/>
      <c r="BM519" s="302"/>
      <c r="BN519" s="302"/>
      <c r="BO519" s="302"/>
      <c r="BP519" s="14"/>
      <c r="BQ519" s="14"/>
      <c r="BR519" s="14"/>
      <c r="BS519" s="14"/>
      <c r="BT519" s="14"/>
      <c r="BU519" s="14"/>
      <c r="BV519" s="14"/>
      <c r="BW519" s="14"/>
      <c r="BX519" s="14"/>
      <c r="BY519" s="14"/>
      <c r="BZ519" s="14"/>
      <c r="CA519" s="14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</row>
    <row r="520" spans="1:101" ht="14.25" customHeight="1" x14ac:dyDescent="0.2">
      <c r="A520" s="286"/>
      <c r="B520" s="52">
        <v>0.1420523431963345</v>
      </c>
      <c r="C520" s="288">
        <v>0.65456784167725712</v>
      </c>
      <c r="D520" s="288">
        <v>1.2920370506731917E-2</v>
      </c>
      <c r="E520" s="288">
        <v>1.0670198651564152E-2</v>
      </c>
      <c r="F520" s="289">
        <v>0.81025730981478838</v>
      </c>
      <c r="G520" s="92">
        <v>0.42306782078326666</v>
      </c>
      <c r="H520" s="288">
        <v>9.9043768074663877E-2</v>
      </c>
      <c r="I520" s="288">
        <v>4.1961039420819191E-2</v>
      </c>
      <c r="J520" s="288">
        <v>0.99999977781197069</v>
      </c>
      <c r="K520" s="288">
        <v>0.74895119682246869</v>
      </c>
      <c r="L520" s="290">
        <v>14031.67251763196</v>
      </c>
      <c r="M520" s="288">
        <v>0</v>
      </c>
      <c r="N520" s="288">
        <v>17654.156469149875</v>
      </c>
      <c r="O520" s="288">
        <v>1334.2029904870044</v>
      </c>
      <c r="P520" s="288">
        <v>39612.57966846411</v>
      </c>
      <c r="Q520" s="291">
        <v>93486.251278850614</v>
      </c>
      <c r="R520" s="288">
        <v>15829.748218363837</v>
      </c>
      <c r="S520" s="288">
        <v>5683.3139548609779</v>
      </c>
      <c r="T520" s="290">
        <v>0.751</v>
      </c>
      <c r="U520" s="288">
        <v>0.75800000000000001</v>
      </c>
      <c r="V520" s="288">
        <v>0.723923076923077</v>
      </c>
      <c r="W520" s="288">
        <v>0.72750000000000004</v>
      </c>
      <c r="X520" s="288">
        <v>0.76</v>
      </c>
      <c r="Y520" s="288">
        <v>0</v>
      </c>
      <c r="Z520" s="289">
        <v>0</v>
      </c>
      <c r="AA520" s="229"/>
      <c r="AB520" s="293">
        <v>61465.295772596903</v>
      </c>
      <c r="AC520" s="294">
        <v>3.283476150561377</v>
      </c>
      <c r="AD520" s="295">
        <v>46504.220238845752</v>
      </c>
      <c r="AE520" s="294">
        <v>3.0034246785094063</v>
      </c>
      <c r="AF520" s="295">
        <v>14961.075533751151</v>
      </c>
      <c r="AG520" s="296">
        <v>0.28005147205197067</v>
      </c>
      <c r="AH520" s="229"/>
      <c r="AI520" s="205">
        <f t="shared" si="52"/>
        <v>266882.31928354077</v>
      </c>
      <c r="AJ520" s="205">
        <f t="shared" si="53"/>
        <v>253838.24761209491</v>
      </c>
      <c r="AK520" s="205">
        <f t="shared" si="54"/>
        <v>13044.071671445916</v>
      </c>
      <c r="AL520" s="229"/>
      <c r="AM520" s="52">
        <f t="shared" si="30"/>
        <v>1</v>
      </c>
      <c r="AN520" s="52">
        <f t="shared" si="31"/>
        <v>0</v>
      </c>
      <c r="AO520" s="52">
        <f t="shared" si="32"/>
        <v>1</v>
      </c>
      <c r="AP520" s="229"/>
      <c r="AQ520" s="28"/>
      <c r="AR520" s="28"/>
      <c r="AS520" s="28"/>
      <c r="AT520" s="28"/>
      <c r="AU520" s="229"/>
      <c r="AV520" s="318">
        <f t="shared" si="55"/>
        <v>266882.31928354077</v>
      </c>
      <c r="AW520" s="229"/>
      <c r="AX520" s="313"/>
      <c r="AY520" s="302"/>
      <c r="AZ520" s="14">
        <f t="shared" si="57"/>
        <v>14961.075533751151</v>
      </c>
      <c r="BA520" s="14">
        <f t="shared" si="56"/>
        <v>0.28005147205197067</v>
      </c>
      <c r="BB520" s="14">
        <f t="shared" si="33"/>
        <v>53422.592011852532</v>
      </c>
      <c r="BC520" s="302"/>
      <c r="BD520" s="302"/>
      <c r="BE520" s="302"/>
      <c r="BF520" s="302"/>
      <c r="BG520" s="302"/>
      <c r="BH520" s="302"/>
      <c r="BI520" s="302"/>
      <c r="BJ520" s="302"/>
      <c r="BK520" s="302"/>
      <c r="BL520" s="302"/>
      <c r="BM520" s="302"/>
      <c r="BN520" s="302"/>
      <c r="BO520" s="302"/>
      <c r="BP520" s="14"/>
      <c r="BQ520" s="14"/>
      <c r="BR520" s="14"/>
      <c r="BS520" s="14"/>
      <c r="BT520" s="14"/>
      <c r="BU520" s="14"/>
      <c r="BV520" s="14"/>
      <c r="BW520" s="14"/>
      <c r="BX520" s="14"/>
      <c r="BY520" s="14"/>
      <c r="BZ520" s="14"/>
      <c r="CA520" s="14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</row>
    <row r="521" spans="1:101" ht="14.25" customHeight="1" x14ac:dyDescent="0.2">
      <c r="A521" s="286"/>
      <c r="B521" s="52">
        <v>0.18166804513985624</v>
      </c>
      <c r="C521" s="288">
        <v>0.26233729725970162</v>
      </c>
      <c r="D521" s="288">
        <v>1.3537136142588333E-2</v>
      </c>
      <c r="E521" s="288">
        <v>2.4806041694079406E-2</v>
      </c>
      <c r="F521" s="289">
        <v>0.77205515072290987</v>
      </c>
      <c r="G521" s="92">
        <v>0.37600813125996208</v>
      </c>
      <c r="H521" s="288">
        <v>0.7618471243960383</v>
      </c>
      <c r="I521" s="288">
        <v>1.7035855592756222E-2</v>
      </c>
      <c r="J521" s="288">
        <v>0.9999993371863618</v>
      </c>
      <c r="K521" s="288">
        <v>0.74633394117492158</v>
      </c>
      <c r="L521" s="290">
        <v>9855.6015610977047</v>
      </c>
      <c r="M521" s="288">
        <v>0</v>
      </c>
      <c r="N521" s="288">
        <v>14695.045187185759</v>
      </c>
      <c r="O521" s="288">
        <v>949.53116878308606</v>
      </c>
      <c r="P521" s="288">
        <v>43002.293568104957</v>
      </c>
      <c r="Q521" s="291">
        <v>83194.292900773158</v>
      </c>
      <c r="R521" s="288">
        <v>21785.443740959312</v>
      </c>
      <c r="S521" s="288">
        <v>11100.978105443781</v>
      </c>
      <c r="T521" s="290">
        <v>0.751</v>
      </c>
      <c r="U521" s="288">
        <v>0.75800000000000001</v>
      </c>
      <c r="V521" s="288">
        <v>0.723923076923077</v>
      </c>
      <c r="W521" s="288">
        <v>0.72750000000000004</v>
      </c>
      <c r="X521" s="288">
        <v>0.76</v>
      </c>
      <c r="Y521" s="288">
        <v>0</v>
      </c>
      <c r="Z521" s="289">
        <v>0</v>
      </c>
      <c r="AA521" s="229"/>
      <c r="AB521" s="293">
        <v>96142.681011152599</v>
      </c>
      <c r="AC521" s="294">
        <v>3.1055354137746027</v>
      </c>
      <c r="AD521" s="295">
        <v>90045.11150172248</v>
      </c>
      <c r="AE521" s="294">
        <v>2.9913895463588265</v>
      </c>
      <c r="AF521" s="295">
        <v>6097.5695094301191</v>
      </c>
      <c r="AG521" s="296">
        <v>0.11414586741577626</v>
      </c>
      <c r="AH521" s="229"/>
      <c r="AI521" s="205">
        <f t="shared" si="52"/>
        <v>214410.86036630769</v>
      </c>
      <c r="AJ521" s="205">
        <f t="shared" si="53"/>
        <v>209093.84313416015</v>
      </c>
      <c r="AK521" s="205">
        <f t="shared" si="54"/>
        <v>5317.0172321475075</v>
      </c>
      <c r="AL521" s="229"/>
      <c r="AM521" s="52">
        <f t="shared" si="30"/>
        <v>1</v>
      </c>
      <c r="AN521" s="52">
        <f t="shared" si="31"/>
        <v>0</v>
      </c>
      <c r="AO521" s="52">
        <f t="shared" si="32"/>
        <v>1</v>
      </c>
      <c r="AP521" s="229"/>
      <c r="AQ521" s="28"/>
      <c r="AR521" s="28"/>
      <c r="AS521" s="28"/>
      <c r="AT521" s="28"/>
      <c r="AU521" s="229"/>
      <c r="AV521" s="318">
        <f t="shared" si="55"/>
        <v>214410.86036630769</v>
      </c>
      <c r="AW521" s="229"/>
      <c r="AX521" s="313"/>
      <c r="AY521" s="302"/>
      <c r="AZ521" s="14">
        <f t="shared" si="57"/>
        <v>6097.5695094301191</v>
      </c>
      <c r="BA521" s="14">
        <f t="shared" si="56"/>
        <v>0.11414586741577626</v>
      </c>
      <c r="BB521" s="14">
        <f t="shared" si="33"/>
        <v>53419.100029436246</v>
      </c>
      <c r="BC521" s="302"/>
      <c r="BD521" s="302"/>
      <c r="BE521" s="302"/>
      <c r="BF521" s="302"/>
      <c r="BG521" s="302"/>
      <c r="BH521" s="302"/>
      <c r="BI521" s="302"/>
      <c r="BJ521" s="302"/>
      <c r="BK521" s="302"/>
      <c r="BL521" s="302"/>
      <c r="BM521" s="302"/>
      <c r="BN521" s="302"/>
      <c r="BO521" s="302"/>
      <c r="BP521" s="14"/>
      <c r="BQ521" s="14"/>
      <c r="BR521" s="14"/>
      <c r="BS521" s="14"/>
      <c r="BT521" s="14"/>
      <c r="BU521" s="14"/>
      <c r="BV521" s="14"/>
      <c r="BW521" s="14"/>
      <c r="BX521" s="14"/>
      <c r="BY521" s="14"/>
      <c r="BZ521" s="14"/>
      <c r="CA521" s="14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</row>
    <row r="522" spans="1:101" ht="14.25" customHeight="1" x14ac:dyDescent="0.2">
      <c r="A522" s="286"/>
      <c r="B522" s="52">
        <v>0.19498718799012904</v>
      </c>
      <c r="C522" s="288">
        <v>0.10767308644670924</v>
      </c>
      <c r="D522" s="288">
        <v>1.7972698715877033E-2</v>
      </c>
      <c r="E522" s="288">
        <v>2.5556072477428748E-2</v>
      </c>
      <c r="F522" s="289">
        <v>0.81211163246563145</v>
      </c>
      <c r="G522" s="92">
        <v>0.39899824074109796</v>
      </c>
      <c r="H522" s="288">
        <v>0.66096758113582765</v>
      </c>
      <c r="I522" s="288">
        <v>1.1759471455300164E-2</v>
      </c>
      <c r="J522" s="288">
        <v>0.9999860414751649</v>
      </c>
      <c r="K522" s="288">
        <v>0.74148041937209819</v>
      </c>
      <c r="L522" s="290">
        <v>15347.134432948415</v>
      </c>
      <c r="M522" s="288">
        <v>0</v>
      </c>
      <c r="N522" s="288">
        <v>15844.764050708907</v>
      </c>
      <c r="O522" s="288">
        <v>1010.1941330431603</v>
      </c>
      <c r="P522" s="288">
        <v>43301.088099819237</v>
      </c>
      <c r="Q522" s="291">
        <v>98486.356298737475</v>
      </c>
      <c r="R522" s="288">
        <v>29497.192349453591</v>
      </c>
      <c r="S522" s="288">
        <v>7796.5366448691302</v>
      </c>
      <c r="T522" s="290">
        <v>0.751</v>
      </c>
      <c r="U522" s="288">
        <v>0.75800000000000001</v>
      </c>
      <c r="V522" s="288">
        <v>0.723923076923077</v>
      </c>
      <c r="W522" s="288">
        <v>0.72750000000000004</v>
      </c>
      <c r="X522" s="288">
        <v>0.76</v>
      </c>
      <c r="Y522" s="288">
        <v>0</v>
      </c>
      <c r="Z522" s="289">
        <v>0</v>
      </c>
      <c r="AA522" s="229"/>
      <c r="AB522" s="293">
        <v>79211.72368018514</v>
      </c>
      <c r="AC522" s="294">
        <v>3.2921715988810099</v>
      </c>
      <c r="AD522" s="295">
        <v>66490.53439013398</v>
      </c>
      <c r="AE522" s="294">
        <v>2.9690997930376732</v>
      </c>
      <c r="AF522" s="295">
        <v>12721.189290051159</v>
      </c>
      <c r="AG522" s="296">
        <v>0.32307180584333661</v>
      </c>
      <c r="AH522" s="229"/>
      <c r="AI522" s="205">
        <f t="shared" si="52"/>
        <v>250005.43620791583</v>
      </c>
      <c r="AJ522" s="205">
        <f t="shared" si="53"/>
        <v>230419.44491363334</v>
      </c>
      <c r="AK522" s="205">
        <f t="shared" si="54"/>
        <v>19585.991294282503</v>
      </c>
      <c r="AL522" s="229"/>
      <c r="AM522" s="52">
        <f t="shared" si="30"/>
        <v>1</v>
      </c>
      <c r="AN522" s="52">
        <f t="shared" si="31"/>
        <v>0</v>
      </c>
      <c r="AO522" s="52">
        <f t="shared" si="32"/>
        <v>1</v>
      </c>
      <c r="AP522" s="229"/>
      <c r="AQ522" s="28"/>
      <c r="AR522" s="28"/>
      <c r="AS522" s="28"/>
      <c r="AT522" s="28"/>
      <c r="AU522" s="229"/>
      <c r="AV522" s="318">
        <f t="shared" si="55"/>
        <v>250005.43620791583</v>
      </c>
      <c r="AW522" s="229"/>
      <c r="AX522" s="313"/>
      <c r="AY522" s="302"/>
      <c r="AZ522" s="14">
        <f t="shared" si="57"/>
        <v>12721.189290051159</v>
      </c>
      <c r="BA522" s="14">
        <f t="shared" si="56"/>
        <v>0.32307180584333661</v>
      </c>
      <c r="BB522" s="14">
        <f t="shared" si="33"/>
        <v>39375.733381760634</v>
      </c>
      <c r="BC522" s="302"/>
      <c r="BD522" s="302"/>
      <c r="BE522" s="302"/>
      <c r="BF522" s="302"/>
      <c r="BG522" s="302"/>
      <c r="BH522" s="302"/>
      <c r="BI522" s="302"/>
      <c r="BJ522" s="302"/>
      <c r="BK522" s="302"/>
      <c r="BL522" s="302"/>
      <c r="BM522" s="302"/>
      <c r="BN522" s="302"/>
      <c r="BO522" s="302"/>
      <c r="BP522" s="14"/>
      <c r="BQ522" s="14"/>
      <c r="BR522" s="14"/>
      <c r="BS522" s="14"/>
      <c r="BT522" s="14"/>
      <c r="BU522" s="14"/>
      <c r="BV522" s="14"/>
      <c r="BW522" s="14"/>
      <c r="BX522" s="14"/>
      <c r="BY522" s="14"/>
      <c r="BZ522" s="14"/>
      <c r="CA522" s="14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</row>
    <row r="523" spans="1:101" ht="14.25" customHeight="1" x14ac:dyDescent="0.2">
      <c r="A523" s="286"/>
      <c r="B523" s="52">
        <v>0.18217264676017941</v>
      </c>
      <c r="C523" s="288">
        <v>0.5271986417608181</v>
      </c>
      <c r="D523" s="288">
        <v>2.5973186435161777E-2</v>
      </c>
      <c r="E523" s="288">
        <v>6.6934203151727406E-3</v>
      </c>
      <c r="F523" s="289">
        <v>0.83612995876375551</v>
      </c>
      <c r="G523" s="92">
        <v>0.38693073116417087</v>
      </c>
      <c r="H523" s="288">
        <v>0.92026075302151145</v>
      </c>
      <c r="I523" s="288">
        <v>6.8657820528055143E-3</v>
      </c>
      <c r="J523" s="288">
        <v>0.27019760375566032</v>
      </c>
      <c r="K523" s="288">
        <v>0.72662568046621234</v>
      </c>
      <c r="L523" s="290">
        <v>12666.801560079924</v>
      </c>
      <c r="M523" s="288">
        <v>0</v>
      </c>
      <c r="N523" s="288">
        <v>17961.317873538843</v>
      </c>
      <c r="O523" s="288">
        <v>1027.3471490600923</v>
      </c>
      <c r="P523" s="288">
        <v>49942.051241435707</v>
      </c>
      <c r="Q523" s="291">
        <v>131559.23447313311</v>
      </c>
      <c r="R523" s="288">
        <v>27179.718096472159</v>
      </c>
      <c r="S523" s="288">
        <v>8982.3287632723896</v>
      </c>
      <c r="T523" s="290">
        <v>0.751</v>
      </c>
      <c r="U523" s="288">
        <v>0.75800000000000001</v>
      </c>
      <c r="V523" s="288">
        <v>0.723923076923077</v>
      </c>
      <c r="W523" s="288">
        <v>0.72750000000000004</v>
      </c>
      <c r="X523" s="288">
        <v>0.76</v>
      </c>
      <c r="Y523" s="288">
        <v>0</v>
      </c>
      <c r="Z523" s="289">
        <v>0</v>
      </c>
      <c r="AA523" s="229"/>
      <c r="AB523" s="293">
        <v>90459.033544124191</v>
      </c>
      <c r="AC523" s="294">
        <v>3.4052877349848738</v>
      </c>
      <c r="AD523" s="295">
        <v>75527.633098374616</v>
      </c>
      <c r="AE523" s="294">
        <v>2.9011102763646517</v>
      </c>
      <c r="AF523" s="295">
        <v>14931.400445749576</v>
      </c>
      <c r="AG523" s="296">
        <v>0.50417745862022212</v>
      </c>
      <c r="AH523" s="229"/>
      <c r="AI523" s="205">
        <f t="shared" si="52"/>
        <v>250069.73995436318</v>
      </c>
      <c r="AJ523" s="205">
        <f t="shared" si="53"/>
        <v>214583.39453809054</v>
      </c>
      <c r="AK523" s="205">
        <f t="shared" si="54"/>
        <v>35486.345416272634</v>
      </c>
      <c r="AL523" s="229"/>
      <c r="AM523" s="52">
        <f t="shared" si="30"/>
        <v>1</v>
      </c>
      <c r="AN523" s="52">
        <f t="shared" si="31"/>
        <v>0</v>
      </c>
      <c r="AO523" s="52">
        <f t="shared" si="32"/>
        <v>1</v>
      </c>
      <c r="AP523" s="229"/>
      <c r="AQ523" s="28"/>
      <c r="AR523" s="28"/>
      <c r="AS523" s="28"/>
      <c r="AT523" s="28"/>
      <c r="AU523" s="229"/>
      <c r="AV523" s="318">
        <f t="shared" si="55"/>
        <v>250069.73995436318</v>
      </c>
      <c r="AW523" s="229"/>
      <c r="AX523" s="313"/>
      <c r="AY523" s="302"/>
      <c r="AZ523" s="14">
        <f t="shared" si="57"/>
        <v>14931.400445749576</v>
      </c>
      <c r="BA523" s="14">
        <f t="shared" si="56"/>
        <v>0.50417745862022212</v>
      </c>
      <c r="BB523" s="14">
        <f t="shared" si="33"/>
        <v>29615.366951573367</v>
      </c>
      <c r="BC523" s="302"/>
      <c r="BD523" s="302"/>
      <c r="BE523" s="302"/>
      <c r="BF523" s="302"/>
      <c r="BG523" s="302"/>
      <c r="BH523" s="302"/>
      <c r="BI523" s="302"/>
      <c r="BJ523" s="302"/>
      <c r="BK523" s="302"/>
      <c r="BL523" s="302"/>
      <c r="BM523" s="302"/>
      <c r="BN523" s="302"/>
      <c r="BO523" s="302"/>
      <c r="BP523" s="14"/>
      <c r="BQ523" s="14"/>
      <c r="BR523" s="14"/>
      <c r="BS523" s="14"/>
      <c r="BT523" s="14"/>
      <c r="BU523" s="14"/>
      <c r="BV523" s="14"/>
      <c r="BW523" s="14"/>
      <c r="BX523" s="14"/>
      <c r="BY523" s="14"/>
      <c r="BZ523" s="14"/>
      <c r="CA523" s="14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</row>
    <row r="524" spans="1:101" ht="14.25" customHeight="1" x14ac:dyDescent="0.2">
      <c r="A524" s="286"/>
      <c r="B524" s="52">
        <v>0.16513886472550576</v>
      </c>
      <c r="C524" s="288">
        <v>0.3572536831790778</v>
      </c>
      <c r="D524" s="288">
        <v>1.9786649789039323E-2</v>
      </c>
      <c r="E524" s="288">
        <v>1.0989792141431773E-2</v>
      </c>
      <c r="F524" s="289">
        <v>0.76243661874528368</v>
      </c>
      <c r="G524" s="92">
        <v>0.40944160775701688</v>
      </c>
      <c r="H524" s="288">
        <v>3.6928769316172338E-2</v>
      </c>
      <c r="I524" s="288">
        <v>3.2185554081622936E-2</v>
      </c>
      <c r="J524" s="288">
        <v>0.99999999994306177</v>
      </c>
      <c r="K524" s="288">
        <v>0.76052108555377684</v>
      </c>
      <c r="L524" s="290">
        <v>13888.072793992744</v>
      </c>
      <c r="M524" s="288">
        <v>0</v>
      </c>
      <c r="N524" s="288">
        <v>19151.971325072289</v>
      </c>
      <c r="O524" s="288">
        <v>921.0701991846712</v>
      </c>
      <c r="P524" s="288">
        <v>71504.743850564453</v>
      </c>
      <c r="Q524" s="291">
        <v>95777.254398031844</v>
      </c>
      <c r="R524" s="288">
        <v>17936.380641587304</v>
      </c>
      <c r="S524" s="288">
        <v>10869.511757215965</v>
      </c>
      <c r="T524" s="290">
        <v>0.751</v>
      </c>
      <c r="U524" s="288">
        <v>0.75800000000000001</v>
      </c>
      <c r="V524" s="288">
        <v>0.723923076923077</v>
      </c>
      <c r="W524" s="288">
        <v>0.72750000000000004</v>
      </c>
      <c r="X524" s="288">
        <v>0.76</v>
      </c>
      <c r="Y524" s="288">
        <v>0</v>
      </c>
      <c r="Z524" s="289">
        <v>0</v>
      </c>
      <c r="AA524" s="229"/>
      <c r="AB524" s="293">
        <v>97477.92096483233</v>
      </c>
      <c r="AC524" s="294">
        <v>3.0610942580763707</v>
      </c>
      <c r="AD524" s="295">
        <v>85610.59007715754</v>
      </c>
      <c r="AE524" s="294">
        <v>3.0567567720675339</v>
      </c>
      <c r="AF524" s="295">
        <v>11867.330887674791</v>
      </c>
      <c r="AG524" s="296">
        <v>4.3374860088367662E-3</v>
      </c>
      <c r="AH524" s="229"/>
      <c r="AI524" s="205">
        <f t="shared" si="52"/>
        <v>208631.50484280472</v>
      </c>
      <c r="AJ524" s="205">
        <f t="shared" si="53"/>
        <v>220065.08712959586</v>
      </c>
      <c r="AK524" s="205">
        <f t="shared" si="54"/>
        <v>-11433.582286791114</v>
      </c>
      <c r="AL524" s="229"/>
      <c r="AM524" s="52">
        <f t="shared" ref="AM524:AM778" si="58">IF(MAX(AI524:AJ524)=AI524,1,0)</f>
        <v>0</v>
      </c>
      <c r="AN524" s="52">
        <f t="shared" ref="AN524:AN778" si="59">IF(MAX(AI524:AJ524)=AJ524,1,0)</f>
        <v>1</v>
      </c>
      <c r="AO524" s="52">
        <f t="shared" ref="AO524:AO778" si="60">IF(AK524&gt;0,1,0)</f>
        <v>0</v>
      </c>
      <c r="AP524" s="229"/>
      <c r="AQ524" s="28"/>
      <c r="AR524" s="28"/>
      <c r="AS524" s="28"/>
      <c r="AT524" s="28"/>
      <c r="AU524" s="229"/>
      <c r="AV524" s="318">
        <f t="shared" si="55"/>
        <v>220065.08712959586</v>
      </c>
      <c r="AW524" s="229"/>
      <c r="AX524" s="313"/>
      <c r="AY524" s="302"/>
      <c r="AZ524" s="14">
        <f t="shared" si="57"/>
        <v>11867.330887674791</v>
      </c>
      <c r="BA524" s="14">
        <f t="shared" si="56"/>
        <v>4.3374860088367662E-3</v>
      </c>
      <c r="BB524" s="14">
        <f t="shared" ref="BB524:BB778" si="61">AZ524/BA524</f>
        <v>2735992.8916191226</v>
      </c>
      <c r="BC524" s="302"/>
      <c r="BD524" s="302"/>
      <c r="BE524" s="302"/>
      <c r="BF524" s="302"/>
      <c r="BG524" s="302"/>
      <c r="BH524" s="302"/>
      <c r="BI524" s="302"/>
      <c r="BJ524" s="302"/>
      <c r="BK524" s="302"/>
      <c r="BL524" s="302"/>
      <c r="BM524" s="302"/>
      <c r="BN524" s="302"/>
      <c r="BO524" s="302"/>
      <c r="BP524" s="14"/>
      <c r="BQ524" s="14"/>
      <c r="BR524" s="14"/>
      <c r="BS524" s="14"/>
      <c r="BT524" s="14"/>
      <c r="BU524" s="14"/>
      <c r="BV524" s="14"/>
      <c r="BW524" s="14"/>
      <c r="BX524" s="14"/>
      <c r="BY524" s="14"/>
      <c r="BZ524" s="14"/>
      <c r="CA524" s="14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</row>
    <row r="525" spans="1:101" ht="14.25" customHeight="1" x14ac:dyDescent="0.2">
      <c r="A525" s="286"/>
      <c r="B525" s="52">
        <v>0.1553728086825194</v>
      </c>
      <c r="C525" s="288">
        <v>0.54213690920701607</v>
      </c>
      <c r="D525" s="288">
        <v>1.1240789251608417E-2</v>
      </c>
      <c r="E525" s="288">
        <v>1.986281348511143E-2</v>
      </c>
      <c r="F525" s="289">
        <v>0.75278348718843313</v>
      </c>
      <c r="G525" s="92">
        <v>0.4321605669691756</v>
      </c>
      <c r="H525" s="288">
        <v>0.99599060005008599</v>
      </c>
      <c r="I525" s="288">
        <v>1.5111901458758516E-2</v>
      </c>
      <c r="J525" s="288">
        <v>1</v>
      </c>
      <c r="K525" s="288">
        <v>0.73169102131554842</v>
      </c>
      <c r="L525" s="290">
        <v>15366.404887572389</v>
      </c>
      <c r="M525" s="288">
        <v>0</v>
      </c>
      <c r="N525" s="288">
        <v>19238.044150645532</v>
      </c>
      <c r="O525" s="288">
        <v>905.8367318123087</v>
      </c>
      <c r="P525" s="288">
        <v>37486.373135607872</v>
      </c>
      <c r="Q525" s="291">
        <v>101238.35248567135</v>
      </c>
      <c r="R525" s="288">
        <v>24915.931351345862</v>
      </c>
      <c r="S525" s="288">
        <v>10835.823998837224</v>
      </c>
      <c r="T525" s="290">
        <v>0.751</v>
      </c>
      <c r="U525" s="288">
        <v>0.75800000000000001</v>
      </c>
      <c r="V525" s="288">
        <v>0.723923076923077</v>
      </c>
      <c r="W525" s="288">
        <v>0.72750000000000004</v>
      </c>
      <c r="X525" s="288">
        <v>0.76</v>
      </c>
      <c r="Y525" s="288">
        <v>0</v>
      </c>
      <c r="Z525" s="289">
        <v>0</v>
      </c>
      <c r="AA525" s="229"/>
      <c r="AB525" s="293">
        <v>98557.916322774938</v>
      </c>
      <c r="AC525" s="294">
        <v>3.0166391351157023</v>
      </c>
      <c r="AD525" s="295">
        <v>91132.889461056213</v>
      </c>
      <c r="AE525" s="294">
        <v>2.9242550484233121</v>
      </c>
      <c r="AF525" s="295">
        <v>7425.0268617187248</v>
      </c>
      <c r="AG525" s="296">
        <v>9.2384086692390177E-2</v>
      </c>
      <c r="AH525" s="229"/>
      <c r="AI525" s="205">
        <f t="shared" si="52"/>
        <v>203105.9971887953</v>
      </c>
      <c r="AJ525" s="205">
        <f t="shared" si="53"/>
        <v>201292.61538127501</v>
      </c>
      <c r="AK525" s="205">
        <f t="shared" si="54"/>
        <v>1813.3818075202926</v>
      </c>
      <c r="AL525" s="229"/>
      <c r="AM525" s="52">
        <f t="shared" si="58"/>
        <v>1</v>
      </c>
      <c r="AN525" s="52">
        <f t="shared" si="59"/>
        <v>0</v>
      </c>
      <c r="AO525" s="52">
        <f t="shared" si="60"/>
        <v>1</v>
      </c>
      <c r="AP525" s="229"/>
      <c r="AQ525" s="28"/>
      <c r="AR525" s="28"/>
      <c r="AS525" s="28"/>
      <c r="AT525" s="28"/>
      <c r="AU525" s="229"/>
      <c r="AV525" s="318">
        <f t="shared" si="55"/>
        <v>203105.9971887953</v>
      </c>
      <c r="AW525" s="229"/>
      <c r="AX525" s="313"/>
      <c r="AY525" s="302"/>
      <c r="AZ525" s="14">
        <f t="shared" si="57"/>
        <v>7425.0268617187248</v>
      </c>
      <c r="BA525" s="14">
        <f t="shared" si="56"/>
        <v>9.2384086692390177E-2</v>
      </c>
      <c r="BB525" s="14">
        <f t="shared" si="61"/>
        <v>80371.275265638746</v>
      </c>
      <c r="BC525" s="302"/>
      <c r="BD525" s="302"/>
      <c r="BE525" s="302"/>
      <c r="BF525" s="302"/>
      <c r="BG525" s="302"/>
      <c r="BH525" s="302"/>
      <c r="BI525" s="302"/>
      <c r="BJ525" s="302"/>
      <c r="BK525" s="302"/>
      <c r="BL525" s="302"/>
      <c r="BM525" s="302"/>
      <c r="BN525" s="302"/>
      <c r="BO525" s="302"/>
      <c r="BP525" s="14"/>
      <c r="BQ525" s="14"/>
      <c r="BR525" s="14"/>
      <c r="BS525" s="14"/>
      <c r="BT525" s="14"/>
      <c r="BU525" s="14"/>
      <c r="BV525" s="14"/>
      <c r="BW525" s="14"/>
      <c r="BX525" s="14"/>
      <c r="BY525" s="14"/>
      <c r="BZ525" s="14"/>
      <c r="CA525" s="14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</row>
    <row r="526" spans="1:101" ht="14.25" customHeight="1" x14ac:dyDescent="0.2">
      <c r="A526" s="286"/>
      <c r="B526" s="52">
        <v>0.15594174865931529</v>
      </c>
      <c r="C526" s="288">
        <v>6.2678478825059572E-2</v>
      </c>
      <c r="D526" s="288">
        <v>1.6990031303760422E-2</v>
      </c>
      <c r="E526" s="288">
        <v>1.8045904822271308E-2</v>
      </c>
      <c r="F526" s="289">
        <v>0.80234352551813437</v>
      </c>
      <c r="G526" s="92">
        <v>0.41605237964488084</v>
      </c>
      <c r="H526" s="288">
        <v>8.3707879411141273E-2</v>
      </c>
      <c r="I526" s="288">
        <v>5.0781982398838653E-3</v>
      </c>
      <c r="J526" s="288">
        <v>0.99999997962254206</v>
      </c>
      <c r="K526" s="288">
        <v>0.75882867049445246</v>
      </c>
      <c r="L526" s="290">
        <v>9356.422988109256</v>
      </c>
      <c r="M526" s="288">
        <v>0</v>
      </c>
      <c r="N526" s="288">
        <v>14576.197378358813</v>
      </c>
      <c r="O526" s="288">
        <v>1430.6918241096603</v>
      </c>
      <c r="P526" s="288">
        <v>33023.126494707663</v>
      </c>
      <c r="Q526" s="291">
        <v>84150.293209135954</v>
      </c>
      <c r="R526" s="288">
        <v>25779.641770383394</v>
      </c>
      <c r="S526" s="288">
        <v>5872.9998510165096</v>
      </c>
      <c r="T526" s="290">
        <v>0.751</v>
      </c>
      <c r="U526" s="288">
        <v>0.75800000000000001</v>
      </c>
      <c r="V526" s="288">
        <v>0.723923076923077</v>
      </c>
      <c r="W526" s="288">
        <v>0.72750000000000004</v>
      </c>
      <c r="X526" s="288">
        <v>0.76</v>
      </c>
      <c r="Y526" s="288">
        <v>0</v>
      </c>
      <c r="Z526" s="289">
        <v>0</v>
      </c>
      <c r="AA526" s="229"/>
      <c r="AB526" s="293">
        <v>56717.919171487149</v>
      </c>
      <c r="AC526" s="294">
        <v>3.2464267812416079</v>
      </c>
      <c r="AD526" s="295">
        <v>46209.474427218469</v>
      </c>
      <c r="AE526" s="294">
        <v>3.0489423087914616</v>
      </c>
      <c r="AF526" s="295">
        <v>10508.44474426868</v>
      </c>
      <c r="AG526" s="296">
        <v>0.19748447245014633</v>
      </c>
      <c r="AH526" s="229"/>
      <c r="AI526" s="205">
        <f t="shared" ref="AI526:AI589" si="62">AC526*cRatio-AB526</f>
        <v>267924.75895267364</v>
      </c>
      <c r="AJ526" s="205">
        <f t="shared" ref="AJ526:AJ589" si="63">AE526*cRatio-AD526</f>
        <v>258684.75645192768</v>
      </c>
      <c r="AK526" s="205">
        <f t="shared" ref="AK526:AK589" si="64">AG526*cRatio-AF526</f>
        <v>9240.0025007459517</v>
      </c>
      <c r="AL526" s="229"/>
      <c r="AM526" s="52">
        <f t="shared" si="58"/>
        <v>1</v>
      </c>
      <c r="AN526" s="52">
        <f t="shared" si="59"/>
        <v>0</v>
      </c>
      <c r="AO526" s="52">
        <f t="shared" si="60"/>
        <v>1</v>
      </c>
      <c r="AP526" s="229"/>
      <c r="AQ526" s="28"/>
      <c r="AR526" s="28"/>
      <c r="AS526" s="28"/>
      <c r="AT526" s="28"/>
      <c r="AU526" s="229"/>
      <c r="AV526" s="318">
        <f t="shared" si="55"/>
        <v>267924.75895267364</v>
      </c>
      <c r="AW526" s="229"/>
      <c r="AX526" s="313"/>
      <c r="AY526" s="302"/>
      <c r="AZ526" s="14">
        <f t="shared" si="57"/>
        <v>10508.44474426868</v>
      </c>
      <c r="BA526" s="14">
        <f t="shared" si="56"/>
        <v>0.19748447245014633</v>
      </c>
      <c r="BB526" s="14">
        <f t="shared" si="61"/>
        <v>53211.49867578307</v>
      </c>
      <c r="BC526" s="302"/>
      <c r="BD526" s="302"/>
      <c r="BE526" s="302"/>
      <c r="BF526" s="302"/>
      <c r="BG526" s="302"/>
      <c r="BH526" s="302"/>
      <c r="BI526" s="302"/>
      <c r="BJ526" s="302"/>
      <c r="BK526" s="302"/>
      <c r="BL526" s="302"/>
      <c r="BM526" s="302"/>
      <c r="BN526" s="302"/>
      <c r="BO526" s="302"/>
      <c r="BP526" s="14"/>
      <c r="BQ526" s="14"/>
      <c r="BR526" s="14"/>
      <c r="BS526" s="14"/>
      <c r="BT526" s="14"/>
      <c r="BU526" s="14"/>
      <c r="BV526" s="14"/>
      <c r="BW526" s="14"/>
      <c r="BX526" s="14"/>
      <c r="BY526" s="14"/>
      <c r="BZ526" s="14"/>
      <c r="CA526" s="14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</row>
    <row r="527" spans="1:101" ht="14.25" customHeight="1" x14ac:dyDescent="0.2">
      <c r="A527" s="286"/>
      <c r="B527" s="52">
        <v>0.13615891178020087</v>
      </c>
      <c r="C527" s="288">
        <v>6.5337503891690837E-2</v>
      </c>
      <c r="D527" s="288">
        <v>1.1366735471601478E-2</v>
      </c>
      <c r="E527" s="288">
        <v>5.6387297783601544E-3</v>
      </c>
      <c r="F527" s="289">
        <v>0.79005908313320183</v>
      </c>
      <c r="G527" s="92">
        <v>0.39986048699458765</v>
      </c>
      <c r="H527" s="288">
        <v>0.18950235747105557</v>
      </c>
      <c r="I527" s="288">
        <v>1.717531482622825E-2</v>
      </c>
      <c r="J527" s="288">
        <v>0.99706457532162873</v>
      </c>
      <c r="K527" s="288">
        <v>0.75611633728158911</v>
      </c>
      <c r="L527" s="290">
        <v>13923.096513246972</v>
      </c>
      <c r="M527" s="288">
        <v>0</v>
      </c>
      <c r="N527" s="288">
        <v>21724.258133615618</v>
      </c>
      <c r="O527" s="288">
        <v>1160.3266714538277</v>
      </c>
      <c r="P527" s="288">
        <v>39844.436795219393</v>
      </c>
      <c r="Q527" s="291">
        <v>93075.060420311129</v>
      </c>
      <c r="R527" s="288">
        <v>21233.530528310886</v>
      </c>
      <c r="S527" s="288">
        <v>8090.9221387695443</v>
      </c>
      <c r="T527" s="290">
        <v>0.751</v>
      </c>
      <c r="U527" s="288">
        <v>0.75800000000000001</v>
      </c>
      <c r="V527" s="288">
        <v>0.723923076923077</v>
      </c>
      <c r="W527" s="288">
        <v>0.72750000000000004</v>
      </c>
      <c r="X527" s="288">
        <v>0.76</v>
      </c>
      <c r="Y527" s="288">
        <v>0</v>
      </c>
      <c r="Z527" s="289">
        <v>0</v>
      </c>
      <c r="AA527" s="229"/>
      <c r="AB527" s="293">
        <v>77713.018129591874</v>
      </c>
      <c r="AC527" s="294">
        <v>3.1891102215595346</v>
      </c>
      <c r="AD527" s="295">
        <v>64118.33685774968</v>
      </c>
      <c r="AE527" s="294">
        <v>3.0364279479365042</v>
      </c>
      <c r="AF527" s="295">
        <v>13594.681271842193</v>
      </c>
      <c r="AG527" s="296">
        <v>0.15268227362303044</v>
      </c>
      <c r="AH527" s="229"/>
      <c r="AI527" s="205">
        <f t="shared" si="62"/>
        <v>241198.00402636157</v>
      </c>
      <c r="AJ527" s="205">
        <f t="shared" si="63"/>
        <v>239524.45793590072</v>
      </c>
      <c r="AK527" s="205">
        <f t="shared" si="64"/>
        <v>1673.5460904608499</v>
      </c>
      <c r="AL527" s="229"/>
      <c r="AM527" s="52">
        <f t="shared" si="58"/>
        <v>1</v>
      </c>
      <c r="AN527" s="52">
        <f t="shared" si="59"/>
        <v>0</v>
      </c>
      <c r="AO527" s="52">
        <f t="shared" si="60"/>
        <v>1</v>
      </c>
      <c r="AP527" s="229"/>
      <c r="AQ527" s="28"/>
      <c r="AR527" s="28"/>
      <c r="AS527" s="28"/>
      <c r="AT527" s="28"/>
      <c r="AU527" s="229"/>
      <c r="AV527" s="318">
        <f t="shared" ref="AV527:AV590" si="65">MAX(AI527:AJ527)</f>
        <v>241198.00402636157</v>
      </c>
      <c r="AW527" s="229"/>
      <c r="AX527" s="313"/>
      <c r="AY527" s="302"/>
      <c r="AZ527" s="14">
        <f t="shared" si="57"/>
        <v>13594.681271842193</v>
      </c>
      <c r="BA527" s="14">
        <f t="shared" ref="BA527:BA590" si="66">AG527</f>
        <v>0.15268227362303044</v>
      </c>
      <c r="BB527" s="14">
        <f t="shared" si="61"/>
        <v>89039.028233278717</v>
      </c>
      <c r="BC527" s="302"/>
      <c r="BD527" s="302"/>
      <c r="BE527" s="302"/>
      <c r="BF527" s="302"/>
      <c r="BG527" s="302"/>
      <c r="BH527" s="302"/>
      <c r="BI527" s="302"/>
      <c r="BJ527" s="302"/>
      <c r="BK527" s="302"/>
      <c r="BL527" s="302"/>
      <c r="BM527" s="302"/>
      <c r="BN527" s="302"/>
      <c r="BO527" s="302"/>
      <c r="BP527" s="14"/>
      <c r="BQ527" s="14"/>
      <c r="BR527" s="14"/>
      <c r="BS527" s="14"/>
      <c r="BT527" s="14"/>
      <c r="BU527" s="14"/>
      <c r="BV527" s="14"/>
      <c r="BW527" s="14"/>
      <c r="BX527" s="14"/>
      <c r="BY527" s="14"/>
      <c r="BZ527" s="14"/>
      <c r="CA527" s="14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</row>
    <row r="528" spans="1:101" ht="14.25" customHeight="1" x14ac:dyDescent="0.2">
      <c r="A528" s="286"/>
      <c r="B528" s="52">
        <v>0.15092699384018046</v>
      </c>
      <c r="C528" s="288">
        <v>0.49598763981271765</v>
      </c>
      <c r="D528" s="288">
        <v>7.7894087300349321E-3</v>
      </c>
      <c r="E528" s="288">
        <v>7.2441163011672605E-3</v>
      </c>
      <c r="F528" s="289">
        <v>0.81272560619826639</v>
      </c>
      <c r="G528" s="92">
        <v>0.3989232307746628</v>
      </c>
      <c r="H528" s="288">
        <v>0.97748396786995595</v>
      </c>
      <c r="I528" s="288">
        <v>1.3968404052019533E-2</v>
      </c>
      <c r="J528" s="288">
        <v>0.98306777140222412</v>
      </c>
      <c r="K528" s="288">
        <v>0.74451470844769674</v>
      </c>
      <c r="L528" s="290">
        <v>15918.968860308663</v>
      </c>
      <c r="M528" s="288">
        <v>0</v>
      </c>
      <c r="N528" s="288">
        <v>19444.728150932347</v>
      </c>
      <c r="O528" s="288">
        <v>1264.9194572930035</v>
      </c>
      <c r="P528" s="288">
        <v>30200.553374990915</v>
      </c>
      <c r="Q528" s="291">
        <v>80687.799580290695</v>
      </c>
      <c r="R528" s="288">
        <v>21222.142395218605</v>
      </c>
      <c r="S528" s="288">
        <v>8336.8193659976914</v>
      </c>
      <c r="T528" s="290">
        <v>0.751</v>
      </c>
      <c r="U528" s="288">
        <v>0.75800000000000001</v>
      </c>
      <c r="V528" s="288">
        <v>0.723923076923077</v>
      </c>
      <c r="W528" s="288">
        <v>0.72750000000000004</v>
      </c>
      <c r="X528" s="288">
        <v>0.76</v>
      </c>
      <c r="Y528" s="288">
        <v>0</v>
      </c>
      <c r="Z528" s="289">
        <v>0</v>
      </c>
      <c r="AA528" s="229"/>
      <c r="AB528" s="293">
        <v>84887.204605989784</v>
      </c>
      <c r="AC528" s="294">
        <v>3.2950518855097486</v>
      </c>
      <c r="AD528" s="295">
        <v>71336.851881657945</v>
      </c>
      <c r="AE528" s="294">
        <v>2.9830303866240833</v>
      </c>
      <c r="AF528" s="295">
        <v>13550.352724331839</v>
      </c>
      <c r="AG528" s="296">
        <v>0.31202149888566533</v>
      </c>
      <c r="AH528" s="229"/>
      <c r="AI528" s="205">
        <f t="shared" si="62"/>
        <v>244617.98394498508</v>
      </c>
      <c r="AJ528" s="205">
        <f t="shared" si="63"/>
        <v>226966.18678075034</v>
      </c>
      <c r="AK528" s="205">
        <f t="shared" si="64"/>
        <v>17651.797164234693</v>
      </c>
      <c r="AL528" s="229"/>
      <c r="AM528" s="52">
        <f t="shared" si="58"/>
        <v>1</v>
      </c>
      <c r="AN528" s="52">
        <f t="shared" si="59"/>
        <v>0</v>
      </c>
      <c r="AO528" s="52">
        <f t="shared" si="60"/>
        <v>1</v>
      </c>
      <c r="AP528" s="229"/>
      <c r="AQ528" s="28"/>
      <c r="AR528" s="28"/>
      <c r="AS528" s="28"/>
      <c r="AT528" s="28"/>
      <c r="AU528" s="229"/>
      <c r="AV528" s="318">
        <f t="shared" si="65"/>
        <v>244617.98394498508</v>
      </c>
      <c r="AW528" s="229"/>
      <c r="AX528" s="313"/>
      <c r="AY528" s="302"/>
      <c r="AZ528" s="14">
        <f t="shared" ref="AZ528:AZ591" si="67">AF528</f>
        <v>13550.352724331839</v>
      </c>
      <c r="BA528" s="14">
        <f t="shared" si="66"/>
        <v>0.31202149888566533</v>
      </c>
      <c r="BB528" s="14">
        <f t="shared" si="61"/>
        <v>43427.62525250583</v>
      </c>
      <c r="BC528" s="302"/>
      <c r="BD528" s="302"/>
      <c r="BE528" s="302"/>
      <c r="BF528" s="302"/>
      <c r="BG528" s="302"/>
      <c r="BH528" s="302"/>
      <c r="BI528" s="302"/>
      <c r="BJ528" s="302"/>
      <c r="BK528" s="302"/>
      <c r="BL528" s="302"/>
      <c r="BM528" s="302"/>
      <c r="BN528" s="302"/>
      <c r="BO528" s="302"/>
      <c r="BP528" s="14"/>
      <c r="BQ528" s="14"/>
      <c r="BR528" s="14"/>
      <c r="BS528" s="14"/>
      <c r="BT528" s="14"/>
      <c r="BU528" s="14"/>
      <c r="BV528" s="14"/>
      <c r="BW528" s="14"/>
      <c r="BX528" s="14"/>
      <c r="BY528" s="14"/>
      <c r="BZ528" s="14"/>
      <c r="CA528" s="14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</row>
    <row r="529" spans="1:101" ht="14.25" customHeight="1" x14ac:dyDescent="0.2">
      <c r="A529" s="286"/>
      <c r="B529" s="52">
        <v>0.13438864706196377</v>
      </c>
      <c r="C529" s="288">
        <v>9.5554750343990441E-2</v>
      </c>
      <c r="D529" s="288">
        <v>1.0432348506908355E-2</v>
      </c>
      <c r="E529" s="288">
        <v>1.0871645420125673E-2</v>
      </c>
      <c r="F529" s="289">
        <v>0.77356303184471154</v>
      </c>
      <c r="G529" s="92">
        <v>0.42188469528149075</v>
      </c>
      <c r="H529" s="288">
        <v>0.89545329348482605</v>
      </c>
      <c r="I529" s="288">
        <v>1.4320529630298893E-2</v>
      </c>
      <c r="J529" s="288">
        <v>0.97835722577821882</v>
      </c>
      <c r="K529" s="288">
        <v>0.78353252530878992</v>
      </c>
      <c r="L529" s="290">
        <v>15501.747458233782</v>
      </c>
      <c r="M529" s="288">
        <v>0</v>
      </c>
      <c r="N529" s="288">
        <v>25784.194933470466</v>
      </c>
      <c r="O529" s="288">
        <v>1126.3450977376347</v>
      </c>
      <c r="P529" s="288">
        <v>54450.678475949317</v>
      </c>
      <c r="Q529" s="291">
        <v>69204.159910489645</v>
      </c>
      <c r="R529" s="288">
        <v>15266.550016860707</v>
      </c>
      <c r="S529" s="288">
        <v>8375.4729739363884</v>
      </c>
      <c r="T529" s="290">
        <v>0.751</v>
      </c>
      <c r="U529" s="288">
        <v>0.75800000000000001</v>
      </c>
      <c r="V529" s="288">
        <v>0.723923076923077</v>
      </c>
      <c r="W529" s="288">
        <v>0.72750000000000004</v>
      </c>
      <c r="X529" s="288">
        <v>0.76</v>
      </c>
      <c r="Y529" s="288">
        <v>0</v>
      </c>
      <c r="Z529" s="289">
        <v>0</v>
      </c>
      <c r="AA529" s="229"/>
      <c r="AB529" s="293">
        <v>80103.882711120823</v>
      </c>
      <c r="AC529" s="294">
        <v>3.1125155368016424</v>
      </c>
      <c r="AD529" s="295">
        <v>72498.956701220653</v>
      </c>
      <c r="AE529" s="294">
        <v>3.1634565420533183</v>
      </c>
      <c r="AF529" s="295">
        <v>7604.9260099001694</v>
      </c>
      <c r="AG529" s="296">
        <v>-5.0941005251675886E-2</v>
      </c>
      <c r="AH529" s="229"/>
      <c r="AI529" s="205">
        <f t="shared" si="62"/>
        <v>231147.67096904339</v>
      </c>
      <c r="AJ529" s="205">
        <f t="shared" si="63"/>
        <v>243846.69750411116</v>
      </c>
      <c r="AK529" s="205">
        <f t="shared" si="64"/>
        <v>-12699.026535067758</v>
      </c>
      <c r="AL529" s="229"/>
      <c r="AM529" s="52">
        <f t="shared" si="58"/>
        <v>0</v>
      </c>
      <c r="AN529" s="52">
        <f t="shared" si="59"/>
        <v>1</v>
      </c>
      <c r="AO529" s="52">
        <f t="shared" si="60"/>
        <v>0</v>
      </c>
      <c r="AP529" s="229"/>
      <c r="AQ529" s="28"/>
      <c r="AR529" s="28"/>
      <c r="AS529" s="28"/>
      <c r="AT529" s="28"/>
      <c r="AU529" s="229"/>
      <c r="AV529" s="318">
        <f t="shared" si="65"/>
        <v>243846.69750411116</v>
      </c>
      <c r="AW529" s="229"/>
      <c r="AX529" s="313"/>
      <c r="AY529" s="302"/>
      <c r="AZ529" s="14">
        <f t="shared" si="67"/>
        <v>7604.9260099001694</v>
      </c>
      <c r="BA529" s="14">
        <f t="shared" si="66"/>
        <v>-5.0941005251675886E-2</v>
      </c>
      <c r="BB529" s="14">
        <f t="shared" si="61"/>
        <v>-149288.88765205469</v>
      </c>
      <c r="BC529" s="302"/>
      <c r="BD529" s="302"/>
      <c r="BE529" s="302"/>
      <c r="BF529" s="302"/>
      <c r="BG529" s="302"/>
      <c r="BH529" s="302"/>
      <c r="BI529" s="302"/>
      <c r="BJ529" s="302"/>
      <c r="BK529" s="302"/>
      <c r="BL529" s="302"/>
      <c r="BM529" s="302"/>
      <c r="BN529" s="302"/>
      <c r="BO529" s="302"/>
      <c r="BP529" s="14"/>
      <c r="BQ529" s="14"/>
      <c r="BR529" s="14"/>
      <c r="BS529" s="14"/>
      <c r="BT529" s="14"/>
      <c r="BU529" s="14"/>
      <c r="BV529" s="14"/>
      <c r="BW529" s="14"/>
      <c r="BX529" s="14"/>
      <c r="BY529" s="14"/>
      <c r="BZ529" s="14"/>
      <c r="CA529" s="14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</row>
    <row r="530" spans="1:101" ht="14.25" customHeight="1" x14ac:dyDescent="0.2">
      <c r="A530" s="286"/>
      <c r="B530" s="52">
        <v>0.13141316789785309</v>
      </c>
      <c r="C530" s="288">
        <v>0.82085785209825768</v>
      </c>
      <c r="D530" s="288">
        <v>1.2158756914731233E-2</v>
      </c>
      <c r="E530" s="288">
        <v>1.757350376917588E-2</v>
      </c>
      <c r="F530" s="289">
        <v>0.77479552612085301</v>
      </c>
      <c r="G530" s="92">
        <v>0.36770404412053687</v>
      </c>
      <c r="H530" s="288">
        <v>0.69185948765544469</v>
      </c>
      <c r="I530" s="288">
        <v>1.5725109142923962E-2</v>
      </c>
      <c r="J530" s="288">
        <v>0.97270871311996243</v>
      </c>
      <c r="K530" s="288">
        <v>0.64588026064970194</v>
      </c>
      <c r="L530" s="290">
        <v>11212.670068074667</v>
      </c>
      <c r="M530" s="288">
        <v>0</v>
      </c>
      <c r="N530" s="288">
        <v>15658.489151735279</v>
      </c>
      <c r="O530" s="288">
        <v>1413.1537188207817</v>
      </c>
      <c r="P530" s="288">
        <v>38842.436518109906</v>
      </c>
      <c r="Q530" s="291">
        <v>92864.264019924289</v>
      </c>
      <c r="R530" s="288">
        <v>23346.303203388343</v>
      </c>
      <c r="S530" s="288">
        <v>8573.3966773606862</v>
      </c>
      <c r="T530" s="290">
        <v>0.751</v>
      </c>
      <c r="U530" s="288">
        <v>0.75800000000000001</v>
      </c>
      <c r="V530" s="288">
        <v>0.723923076923077</v>
      </c>
      <c r="W530" s="288">
        <v>0.72750000000000004</v>
      </c>
      <c r="X530" s="288">
        <v>0.76</v>
      </c>
      <c r="Y530" s="288">
        <v>0</v>
      </c>
      <c r="Z530" s="289">
        <v>0</v>
      </c>
      <c r="AA530" s="229"/>
      <c r="AB530" s="293">
        <v>79843.903192688464</v>
      </c>
      <c r="AC530" s="294">
        <v>3.1182235171136803</v>
      </c>
      <c r="AD530" s="295">
        <v>62536.1262938945</v>
      </c>
      <c r="AE530" s="294">
        <v>2.5376256314821348</v>
      </c>
      <c r="AF530" s="295">
        <v>17307.776898793963</v>
      </c>
      <c r="AG530" s="296">
        <v>0.58059788563154546</v>
      </c>
      <c r="AH530" s="229"/>
      <c r="AI530" s="205">
        <f t="shared" si="62"/>
        <v>231978.44851867954</v>
      </c>
      <c r="AJ530" s="205">
        <f t="shared" si="63"/>
        <v>191226.43685431901</v>
      </c>
      <c r="AK530" s="205">
        <f t="shared" si="64"/>
        <v>40752.01166436058</v>
      </c>
      <c r="AL530" s="229"/>
      <c r="AM530" s="52">
        <f t="shared" si="58"/>
        <v>1</v>
      </c>
      <c r="AN530" s="52">
        <f t="shared" si="59"/>
        <v>0</v>
      </c>
      <c r="AO530" s="52">
        <f t="shared" si="60"/>
        <v>1</v>
      </c>
      <c r="AP530" s="229"/>
      <c r="AQ530" s="28"/>
      <c r="AR530" s="28"/>
      <c r="AS530" s="28"/>
      <c r="AT530" s="28"/>
      <c r="AU530" s="229"/>
      <c r="AV530" s="318">
        <f t="shared" si="65"/>
        <v>231978.44851867954</v>
      </c>
      <c r="AW530" s="229"/>
      <c r="AX530" s="313"/>
      <c r="AY530" s="302"/>
      <c r="AZ530" s="14">
        <f t="shared" si="67"/>
        <v>17307.776898793963</v>
      </c>
      <c r="BA530" s="14">
        <f t="shared" si="66"/>
        <v>0.58059788563154546</v>
      </c>
      <c r="BB530" s="14">
        <f t="shared" si="61"/>
        <v>29810.265120010601</v>
      </c>
      <c r="BC530" s="302"/>
      <c r="BD530" s="302"/>
      <c r="BE530" s="302"/>
      <c r="BF530" s="302"/>
      <c r="BG530" s="302"/>
      <c r="BH530" s="302"/>
      <c r="BI530" s="302"/>
      <c r="BJ530" s="302"/>
      <c r="BK530" s="302"/>
      <c r="BL530" s="302"/>
      <c r="BM530" s="302"/>
      <c r="BN530" s="302"/>
      <c r="BO530" s="302"/>
      <c r="BP530" s="14"/>
      <c r="BQ530" s="14"/>
      <c r="BR530" s="14"/>
      <c r="BS530" s="14"/>
      <c r="BT530" s="14"/>
      <c r="BU530" s="14"/>
      <c r="BV530" s="14"/>
      <c r="BW530" s="14"/>
      <c r="BX530" s="14"/>
      <c r="BY530" s="14"/>
      <c r="BZ530" s="14"/>
      <c r="CA530" s="14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</row>
    <row r="531" spans="1:101" ht="14.25" customHeight="1" x14ac:dyDescent="0.2">
      <c r="A531" s="286"/>
      <c r="B531" s="52">
        <v>0.18712358907822613</v>
      </c>
      <c r="C531" s="288">
        <v>9.4612121337839111E-2</v>
      </c>
      <c r="D531" s="288">
        <v>3.5174537882429524E-2</v>
      </c>
      <c r="E531" s="288">
        <v>8.2614009095386375E-3</v>
      </c>
      <c r="F531" s="289">
        <v>0.79626746592988362</v>
      </c>
      <c r="G531" s="92">
        <v>0.38837985178844991</v>
      </c>
      <c r="H531" s="288">
        <v>0.41157848065973562</v>
      </c>
      <c r="I531" s="288">
        <v>1.3300008908408073E-2</v>
      </c>
      <c r="J531" s="288">
        <v>0.99999975093925408</v>
      </c>
      <c r="K531" s="288">
        <v>0.82609610604478312</v>
      </c>
      <c r="L531" s="290">
        <v>14638.830442211063</v>
      </c>
      <c r="M531" s="288">
        <v>0</v>
      </c>
      <c r="N531" s="288">
        <v>20567.878179391035</v>
      </c>
      <c r="O531" s="288">
        <v>1519.0259203357591</v>
      </c>
      <c r="P531" s="288">
        <v>37938.075751246353</v>
      </c>
      <c r="Q531" s="291">
        <v>76685.519587778312</v>
      </c>
      <c r="R531" s="288">
        <v>33174.243108199509</v>
      </c>
      <c r="S531" s="288">
        <v>9293.0056471132502</v>
      </c>
      <c r="T531" s="290">
        <v>0.751</v>
      </c>
      <c r="U531" s="288">
        <v>0.75800000000000001</v>
      </c>
      <c r="V531" s="288">
        <v>0.723923076923077</v>
      </c>
      <c r="W531" s="288">
        <v>0.72750000000000004</v>
      </c>
      <c r="X531" s="288">
        <v>0.76</v>
      </c>
      <c r="Y531" s="288">
        <v>0</v>
      </c>
      <c r="Z531" s="289">
        <v>0</v>
      </c>
      <c r="AA531" s="229"/>
      <c r="AB531" s="293">
        <v>89292.444597851936</v>
      </c>
      <c r="AC531" s="294">
        <v>3.2180476133079954</v>
      </c>
      <c r="AD531" s="295">
        <v>83087.540865853371</v>
      </c>
      <c r="AE531" s="294">
        <v>3.3630156981819783</v>
      </c>
      <c r="AF531" s="295">
        <v>6204.9037319985655</v>
      </c>
      <c r="AG531" s="296">
        <v>-0.14496808487398294</v>
      </c>
      <c r="AH531" s="229"/>
      <c r="AI531" s="205">
        <f t="shared" si="62"/>
        <v>232512.3167329476</v>
      </c>
      <c r="AJ531" s="205">
        <f t="shared" si="63"/>
        <v>253214.02895234444</v>
      </c>
      <c r="AK531" s="205">
        <f t="shared" si="64"/>
        <v>-20701.712219396861</v>
      </c>
      <c r="AL531" s="229"/>
      <c r="AM531" s="52">
        <f t="shared" si="58"/>
        <v>0</v>
      </c>
      <c r="AN531" s="52">
        <f t="shared" si="59"/>
        <v>1</v>
      </c>
      <c r="AO531" s="52">
        <f t="shared" si="60"/>
        <v>0</v>
      </c>
      <c r="AP531" s="229"/>
      <c r="AQ531" s="28"/>
      <c r="AR531" s="28"/>
      <c r="AS531" s="28"/>
      <c r="AT531" s="28"/>
      <c r="AU531" s="229"/>
      <c r="AV531" s="318">
        <f t="shared" si="65"/>
        <v>253214.02895234444</v>
      </c>
      <c r="AW531" s="229"/>
      <c r="AX531" s="313"/>
      <c r="AY531" s="302"/>
      <c r="AZ531" s="14">
        <f t="shared" si="67"/>
        <v>6204.9037319985655</v>
      </c>
      <c r="BA531" s="14">
        <f t="shared" si="66"/>
        <v>-0.14496808487398294</v>
      </c>
      <c r="BB531" s="14">
        <f t="shared" si="61"/>
        <v>-42801.86040529079</v>
      </c>
      <c r="BC531" s="302"/>
      <c r="BD531" s="302"/>
      <c r="BE531" s="302"/>
      <c r="BF531" s="302"/>
      <c r="BG531" s="302"/>
      <c r="BH531" s="302"/>
      <c r="BI531" s="302"/>
      <c r="BJ531" s="302"/>
      <c r="BK531" s="302"/>
      <c r="BL531" s="302"/>
      <c r="BM531" s="302"/>
      <c r="BN531" s="302"/>
      <c r="BO531" s="302"/>
      <c r="BP531" s="14"/>
      <c r="BQ531" s="14"/>
      <c r="BR531" s="14"/>
      <c r="BS531" s="14"/>
      <c r="BT531" s="14"/>
      <c r="BU531" s="14"/>
      <c r="BV531" s="14"/>
      <c r="BW531" s="14"/>
      <c r="BX531" s="14"/>
      <c r="BY531" s="14"/>
      <c r="BZ531" s="14"/>
      <c r="CA531" s="14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</row>
    <row r="532" spans="1:101" ht="14.25" customHeight="1" x14ac:dyDescent="0.2">
      <c r="A532" s="286"/>
      <c r="B532" s="52">
        <v>0.20524970018005873</v>
      </c>
      <c r="C532" s="288">
        <v>7.4165363561968609E-2</v>
      </c>
      <c r="D532" s="288">
        <v>1.5605145634630002E-2</v>
      </c>
      <c r="E532" s="288">
        <v>1.6578741300764865E-2</v>
      </c>
      <c r="F532" s="289">
        <v>0.77888400847544836</v>
      </c>
      <c r="G532" s="92">
        <v>0.44212993131329814</v>
      </c>
      <c r="H532" s="288">
        <v>0.55035331918140928</v>
      </c>
      <c r="I532" s="288">
        <v>1.1131891277560868E-2</v>
      </c>
      <c r="J532" s="288">
        <v>6.6712463350767234E-2</v>
      </c>
      <c r="K532" s="288">
        <v>0.7712697681248929</v>
      </c>
      <c r="L532" s="290">
        <v>15863.990294954821</v>
      </c>
      <c r="M532" s="288">
        <v>0</v>
      </c>
      <c r="N532" s="288">
        <v>19748.011715915076</v>
      </c>
      <c r="O532" s="288">
        <v>961.39471786208446</v>
      </c>
      <c r="P532" s="288">
        <v>47630.719285429703</v>
      </c>
      <c r="Q532" s="291">
        <v>113388.8986562114</v>
      </c>
      <c r="R532" s="288">
        <v>21356.264169087179</v>
      </c>
      <c r="S532" s="288">
        <v>6678.6026514299101</v>
      </c>
      <c r="T532" s="290">
        <v>0.751</v>
      </c>
      <c r="U532" s="288">
        <v>0.75800000000000001</v>
      </c>
      <c r="V532" s="288">
        <v>0.723923076923077</v>
      </c>
      <c r="W532" s="288">
        <v>0.72750000000000004</v>
      </c>
      <c r="X532" s="288">
        <v>0.76</v>
      </c>
      <c r="Y532" s="288">
        <v>0</v>
      </c>
      <c r="Z532" s="289">
        <v>0</v>
      </c>
      <c r="AA532" s="229"/>
      <c r="AB532" s="293">
        <v>68263.439400123796</v>
      </c>
      <c r="AC532" s="294">
        <v>3.1371753329506951</v>
      </c>
      <c r="AD532" s="295">
        <v>57515.243538592462</v>
      </c>
      <c r="AE532" s="294">
        <v>3.1064925341872587</v>
      </c>
      <c r="AF532" s="295">
        <v>10748.195861531334</v>
      </c>
      <c r="AG532" s="296">
        <v>3.0682798763436381E-2</v>
      </c>
      <c r="AH532" s="229"/>
      <c r="AI532" s="205">
        <f t="shared" si="62"/>
        <v>245454.09389494575</v>
      </c>
      <c r="AJ532" s="205">
        <f t="shared" si="63"/>
        <v>253134.00988013338</v>
      </c>
      <c r="AK532" s="205">
        <f t="shared" si="64"/>
        <v>-7679.9159851876957</v>
      </c>
      <c r="AL532" s="229"/>
      <c r="AM532" s="52">
        <f t="shared" si="58"/>
        <v>0</v>
      </c>
      <c r="AN532" s="52">
        <f t="shared" si="59"/>
        <v>1</v>
      </c>
      <c r="AO532" s="52">
        <f t="shared" si="60"/>
        <v>0</v>
      </c>
      <c r="AP532" s="229"/>
      <c r="AQ532" s="28"/>
      <c r="AR532" s="28"/>
      <c r="AS532" s="28"/>
      <c r="AT532" s="28"/>
      <c r="AU532" s="229"/>
      <c r="AV532" s="318">
        <f t="shared" si="65"/>
        <v>253134.00988013338</v>
      </c>
      <c r="AW532" s="229"/>
      <c r="AX532" s="313"/>
      <c r="AY532" s="302"/>
      <c r="AZ532" s="14">
        <f t="shared" si="67"/>
        <v>10748.195861531334</v>
      </c>
      <c r="BA532" s="14">
        <f t="shared" si="66"/>
        <v>3.0682798763436381E-2</v>
      </c>
      <c r="BB532" s="14">
        <f t="shared" si="61"/>
        <v>350300.37332642497</v>
      </c>
      <c r="BC532" s="302"/>
      <c r="BD532" s="302"/>
      <c r="BE532" s="302"/>
      <c r="BF532" s="302"/>
      <c r="BG532" s="302"/>
      <c r="BH532" s="302"/>
      <c r="BI532" s="302"/>
      <c r="BJ532" s="302"/>
      <c r="BK532" s="302"/>
      <c r="BL532" s="302"/>
      <c r="BM532" s="302"/>
      <c r="BN532" s="302"/>
      <c r="BO532" s="302"/>
      <c r="BP532" s="14"/>
      <c r="BQ532" s="14"/>
      <c r="BR532" s="14"/>
      <c r="BS532" s="14"/>
      <c r="BT532" s="14"/>
      <c r="BU532" s="14"/>
      <c r="BV532" s="14"/>
      <c r="BW532" s="14"/>
      <c r="BX532" s="14"/>
      <c r="BY532" s="14"/>
      <c r="BZ532" s="14"/>
      <c r="CA532" s="14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</row>
    <row r="533" spans="1:101" ht="14.25" customHeight="1" x14ac:dyDescent="0.2">
      <c r="A533" s="286"/>
      <c r="B533" s="52">
        <v>0.14304491773869188</v>
      </c>
      <c r="C533" s="288">
        <v>0.36676883112050629</v>
      </c>
      <c r="D533" s="288">
        <v>1.4451296647320477E-2</v>
      </c>
      <c r="E533" s="288">
        <v>2.1289311063568128E-2</v>
      </c>
      <c r="F533" s="289">
        <v>0.81370598955051943</v>
      </c>
      <c r="G533" s="92">
        <v>0.38693660012750042</v>
      </c>
      <c r="H533" s="288">
        <v>0.8481473564408083</v>
      </c>
      <c r="I533" s="288">
        <v>7.9052614095941661E-3</v>
      </c>
      <c r="J533" s="288">
        <v>8.8982794713185057E-2</v>
      </c>
      <c r="K533" s="288">
        <v>0.7143837242725386</v>
      </c>
      <c r="L533" s="290">
        <v>14227.951339477246</v>
      </c>
      <c r="M533" s="288">
        <v>0</v>
      </c>
      <c r="N533" s="288">
        <v>16365.850496948337</v>
      </c>
      <c r="O533" s="288">
        <v>1243.3002112357306</v>
      </c>
      <c r="P533" s="288">
        <v>38019.595474701484</v>
      </c>
      <c r="Q533" s="291">
        <v>94135.27213280146</v>
      </c>
      <c r="R533" s="288">
        <v>21274.017408991516</v>
      </c>
      <c r="S533" s="288">
        <v>7861.1594630973514</v>
      </c>
      <c r="T533" s="290">
        <v>0.751</v>
      </c>
      <c r="U533" s="288">
        <v>0.75800000000000001</v>
      </c>
      <c r="V533" s="288">
        <v>0.723923076923077</v>
      </c>
      <c r="W533" s="288">
        <v>0.72750000000000004</v>
      </c>
      <c r="X533" s="288">
        <v>0.76</v>
      </c>
      <c r="Y533" s="288">
        <v>0</v>
      </c>
      <c r="Z533" s="289">
        <v>0</v>
      </c>
      <c r="AA533" s="229"/>
      <c r="AB533" s="293">
        <v>79060.595337320658</v>
      </c>
      <c r="AC533" s="294">
        <v>3.299652306582963</v>
      </c>
      <c r="AD533" s="295">
        <v>63733.233810927632</v>
      </c>
      <c r="AE533" s="294">
        <v>2.8453407906434913</v>
      </c>
      <c r="AF533" s="295">
        <v>15327.361526393026</v>
      </c>
      <c r="AG533" s="296">
        <v>0.45431151593947172</v>
      </c>
      <c r="AH533" s="229"/>
      <c r="AI533" s="205">
        <f t="shared" si="62"/>
        <v>250904.63532097568</v>
      </c>
      <c r="AJ533" s="205">
        <f t="shared" si="63"/>
        <v>220800.84525342149</v>
      </c>
      <c r="AK533" s="205">
        <f t="shared" si="64"/>
        <v>30103.790067554146</v>
      </c>
      <c r="AL533" s="229"/>
      <c r="AM533" s="52">
        <f t="shared" si="58"/>
        <v>1</v>
      </c>
      <c r="AN533" s="52">
        <f t="shared" si="59"/>
        <v>0</v>
      </c>
      <c r="AO533" s="52">
        <f t="shared" si="60"/>
        <v>1</v>
      </c>
      <c r="AP533" s="229"/>
      <c r="AQ533" s="28"/>
      <c r="AR533" s="28"/>
      <c r="AS533" s="28"/>
      <c r="AT533" s="28"/>
      <c r="AU533" s="229"/>
      <c r="AV533" s="318">
        <f t="shared" si="65"/>
        <v>250904.63532097568</v>
      </c>
      <c r="AW533" s="229"/>
      <c r="AX533" s="313"/>
      <c r="AY533" s="302"/>
      <c r="AZ533" s="14">
        <f t="shared" si="67"/>
        <v>15327.361526393026</v>
      </c>
      <c r="BA533" s="14">
        <f t="shared" si="66"/>
        <v>0.45431151593947172</v>
      </c>
      <c r="BB533" s="14">
        <f t="shared" si="61"/>
        <v>33737.558896559211</v>
      </c>
      <c r="BC533" s="302"/>
      <c r="BD533" s="302"/>
      <c r="BE533" s="302"/>
      <c r="BF533" s="302"/>
      <c r="BG533" s="302"/>
      <c r="BH533" s="302"/>
      <c r="BI533" s="302"/>
      <c r="BJ533" s="302"/>
      <c r="BK533" s="302"/>
      <c r="BL533" s="302"/>
      <c r="BM533" s="302"/>
      <c r="BN533" s="302"/>
      <c r="BO533" s="302"/>
      <c r="BP533" s="14"/>
      <c r="BQ533" s="14"/>
      <c r="BR533" s="14"/>
      <c r="BS533" s="14"/>
      <c r="BT533" s="14"/>
      <c r="BU533" s="14"/>
      <c r="BV533" s="14"/>
      <c r="BW533" s="14"/>
      <c r="BX533" s="14"/>
      <c r="BY533" s="14"/>
      <c r="BZ533" s="14"/>
      <c r="CA533" s="14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</row>
    <row r="534" spans="1:101" ht="14.25" customHeight="1" x14ac:dyDescent="0.2">
      <c r="A534" s="286"/>
      <c r="B534" s="52">
        <v>0.13999081078667469</v>
      </c>
      <c r="C534" s="288">
        <v>0.20776326530073852</v>
      </c>
      <c r="D534" s="288">
        <v>1.9460911326529051E-2</v>
      </c>
      <c r="E534" s="288">
        <v>1.4903926203095441E-2</v>
      </c>
      <c r="F534" s="289">
        <v>0.74797858074771051</v>
      </c>
      <c r="G534" s="92">
        <v>0.385359589055496</v>
      </c>
      <c r="H534" s="288">
        <v>9.9856110176929413E-2</v>
      </c>
      <c r="I534" s="288">
        <v>1.4634590573970511E-2</v>
      </c>
      <c r="J534" s="288">
        <v>0.17087747733263595</v>
      </c>
      <c r="K534" s="288">
        <v>0.75627882568155447</v>
      </c>
      <c r="L534" s="290">
        <v>12048.030735295175</v>
      </c>
      <c r="M534" s="288">
        <v>0</v>
      </c>
      <c r="N534" s="288">
        <v>19485.543756463801</v>
      </c>
      <c r="O534" s="288">
        <v>863.73267519082356</v>
      </c>
      <c r="P534" s="288">
        <v>51679.695002903492</v>
      </c>
      <c r="Q534" s="291">
        <v>124647.41383820811</v>
      </c>
      <c r="R534" s="288">
        <v>19781.247864503923</v>
      </c>
      <c r="S534" s="288">
        <v>10231.813280714641</v>
      </c>
      <c r="T534" s="290">
        <v>0.751</v>
      </c>
      <c r="U534" s="288">
        <v>0.75800000000000001</v>
      </c>
      <c r="V534" s="288">
        <v>0.723923076923077</v>
      </c>
      <c r="W534" s="288">
        <v>0.72750000000000004</v>
      </c>
      <c r="X534" s="288">
        <v>0.76</v>
      </c>
      <c r="Y534" s="288">
        <v>0</v>
      </c>
      <c r="Z534" s="289">
        <v>0</v>
      </c>
      <c r="AA534" s="229"/>
      <c r="AB534" s="293">
        <v>88870.701253800347</v>
      </c>
      <c r="AC534" s="294">
        <v>2.9945658018584846</v>
      </c>
      <c r="AD534" s="295">
        <v>79038.464962695478</v>
      </c>
      <c r="AE534" s="294">
        <v>3.0371773222344456</v>
      </c>
      <c r="AF534" s="295">
        <v>9832.2362911048695</v>
      </c>
      <c r="AG534" s="296">
        <v>-4.2611520375960943E-2</v>
      </c>
      <c r="AH534" s="229"/>
      <c r="AI534" s="205">
        <f t="shared" si="62"/>
        <v>210585.8789320481</v>
      </c>
      <c r="AJ534" s="205">
        <f t="shared" si="63"/>
        <v>224679.26726074907</v>
      </c>
      <c r="AK534" s="205">
        <f t="shared" si="64"/>
        <v>-14093.388328700963</v>
      </c>
      <c r="AL534" s="229"/>
      <c r="AM534" s="52">
        <f t="shared" si="58"/>
        <v>0</v>
      </c>
      <c r="AN534" s="52">
        <f t="shared" si="59"/>
        <v>1</v>
      </c>
      <c r="AO534" s="52">
        <f t="shared" si="60"/>
        <v>0</v>
      </c>
      <c r="AP534" s="229"/>
      <c r="AQ534" s="28"/>
      <c r="AR534" s="28"/>
      <c r="AS534" s="28"/>
      <c r="AT534" s="28"/>
      <c r="AU534" s="229"/>
      <c r="AV534" s="318">
        <f t="shared" si="65"/>
        <v>224679.26726074907</v>
      </c>
      <c r="AW534" s="229"/>
      <c r="AX534" s="313"/>
      <c r="AY534" s="302"/>
      <c r="AZ534" s="14">
        <f t="shared" si="67"/>
        <v>9832.2362911048695</v>
      </c>
      <c r="BA534" s="14">
        <f t="shared" si="66"/>
        <v>-4.2611520375960943E-2</v>
      </c>
      <c r="BB534" s="14">
        <f t="shared" si="61"/>
        <v>-230741.26912992459</v>
      </c>
      <c r="BC534" s="302"/>
      <c r="BD534" s="302"/>
      <c r="BE534" s="302"/>
      <c r="BF534" s="302"/>
      <c r="BG534" s="302"/>
      <c r="BH534" s="302"/>
      <c r="BI534" s="302"/>
      <c r="BJ534" s="302"/>
      <c r="BK534" s="302"/>
      <c r="BL534" s="302"/>
      <c r="BM534" s="302"/>
      <c r="BN534" s="302"/>
      <c r="BO534" s="302"/>
      <c r="BP534" s="14"/>
      <c r="BQ534" s="14"/>
      <c r="BR534" s="14"/>
      <c r="BS534" s="14"/>
      <c r="BT534" s="14"/>
      <c r="BU534" s="14"/>
      <c r="BV534" s="14"/>
      <c r="BW534" s="14"/>
      <c r="BX534" s="14"/>
      <c r="BY534" s="14"/>
      <c r="BZ534" s="14"/>
      <c r="CA534" s="14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</row>
    <row r="535" spans="1:101" ht="14.25" customHeight="1" x14ac:dyDescent="0.2">
      <c r="A535" s="286"/>
      <c r="B535" s="52">
        <v>0.14475618323721812</v>
      </c>
      <c r="C535" s="288">
        <v>0.50604269202924512</v>
      </c>
      <c r="D535" s="288">
        <v>1.5567111042979365E-2</v>
      </c>
      <c r="E535" s="288">
        <v>2.5408471706846458E-2</v>
      </c>
      <c r="F535" s="289">
        <v>0.81434776180976032</v>
      </c>
      <c r="G535" s="92">
        <v>0.48261660098929227</v>
      </c>
      <c r="H535" s="288">
        <v>0.67415558071561821</v>
      </c>
      <c r="I535" s="288">
        <v>9.1264014575993622E-3</v>
      </c>
      <c r="J535" s="288">
        <v>0.99999999999999678</v>
      </c>
      <c r="K535" s="288">
        <v>0.79928298566799927</v>
      </c>
      <c r="L535" s="290">
        <v>12173.599154249119</v>
      </c>
      <c r="M535" s="288">
        <v>0</v>
      </c>
      <c r="N535" s="288">
        <v>19405.498019085277</v>
      </c>
      <c r="O535" s="288">
        <v>867.41060699152422</v>
      </c>
      <c r="P535" s="288">
        <v>39900.6296628407</v>
      </c>
      <c r="Q535" s="291">
        <v>116985.57769636236</v>
      </c>
      <c r="R535" s="288">
        <v>26215.097257674464</v>
      </c>
      <c r="S535" s="288">
        <v>5684.3179600089434</v>
      </c>
      <c r="T535" s="290">
        <v>0.751</v>
      </c>
      <c r="U535" s="288">
        <v>0.75800000000000001</v>
      </c>
      <c r="V535" s="288">
        <v>0.723923076923077</v>
      </c>
      <c r="W535" s="288">
        <v>0.72750000000000004</v>
      </c>
      <c r="X535" s="288">
        <v>0.76</v>
      </c>
      <c r="Y535" s="288">
        <v>0</v>
      </c>
      <c r="Z535" s="289">
        <v>0</v>
      </c>
      <c r="AA535" s="229"/>
      <c r="AB535" s="293">
        <v>60324.302166085297</v>
      </c>
      <c r="AC535" s="294">
        <v>3.3026646211534283</v>
      </c>
      <c r="AD535" s="295">
        <v>55009.514181086459</v>
      </c>
      <c r="AE535" s="294">
        <v>3.2369696641887957</v>
      </c>
      <c r="AF535" s="295">
        <v>5314.7879849988385</v>
      </c>
      <c r="AG535" s="296">
        <v>6.5694956964632567E-2</v>
      </c>
      <c r="AH535" s="229"/>
      <c r="AI535" s="205">
        <f t="shared" si="62"/>
        <v>269942.15994925756</v>
      </c>
      <c r="AJ535" s="205">
        <f t="shared" si="63"/>
        <v>268687.45223779313</v>
      </c>
      <c r="AK535" s="205">
        <f t="shared" si="64"/>
        <v>1254.707711464418</v>
      </c>
      <c r="AL535" s="229"/>
      <c r="AM535" s="52">
        <f t="shared" si="58"/>
        <v>1</v>
      </c>
      <c r="AN535" s="52">
        <f t="shared" si="59"/>
        <v>0</v>
      </c>
      <c r="AO535" s="52">
        <f t="shared" si="60"/>
        <v>1</v>
      </c>
      <c r="AP535" s="229"/>
      <c r="AQ535" s="28"/>
      <c r="AR535" s="28"/>
      <c r="AS535" s="28"/>
      <c r="AT535" s="28"/>
      <c r="AU535" s="229"/>
      <c r="AV535" s="318">
        <f t="shared" si="65"/>
        <v>269942.15994925756</v>
      </c>
      <c r="AW535" s="229"/>
      <c r="AX535" s="313"/>
      <c r="AY535" s="302"/>
      <c r="AZ535" s="14">
        <f t="shared" si="67"/>
        <v>5314.7879849988385</v>
      </c>
      <c r="BA535" s="14">
        <f t="shared" si="66"/>
        <v>6.5694956964632567E-2</v>
      </c>
      <c r="BB535" s="14">
        <f t="shared" si="61"/>
        <v>80901.00413430667</v>
      </c>
      <c r="BC535" s="302"/>
      <c r="BD535" s="302"/>
      <c r="BE535" s="302"/>
      <c r="BF535" s="302"/>
      <c r="BG535" s="302"/>
      <c r="BH535" s="302"/>
      <c r="BI535" s="302"/>
      <c r="BJ535" s="302"/>
      <c r="BK535" s="302"/>
      <c r="BL535" s="302"/>
      <c r="BM535" s="302"/>
      <c r="BN535" s="302"/>
      <c r="BO535" s="302"/>
      <c r="BP535" s="14"/>
      <c r="BQ535" s="14"/>
      <c r="BR535" s="14"/>
      <c r="BS535" s="14"/>
      <c r="BT535" s="14"/>
      <c r="BU535" s="14"/>
      <c r="BV535" s="14"/>
      <c r="BW535" s="14"/>
      <c r="BX535" s="14"/>
      <c r="BY535" s="14"/>
      <c r="BZ535" s="14"/>
      <c r="CA535" s="14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</row>
    <row r="536" spans="1:101" ht="14.25" customHeight="1" x14ac:dyDescent="0.2">
      <c r="A536" s="286"/>
      <c r="B536" s="52">
        <v>0.17005428894528474</v>
      </c>
      <c r="C536" s="288">
        <v>0.2479780258963836</v>
      </c>
      <c r="D536" s="288">
        <v>1.0754566332184148E-2</v>
      </c>
      <c r="E536" s="288">
        <v>9.1318520490129302E-3</v>
      </c>
      <c r="F536" s="289">
        <v>0.75805280458872604</v>
      </c>
      <c r="G536" s="92">
        <v>0.41817431050623344</v>
      </c>
      <c r="H536" s="288">
        <v>0.8614579943308317</v>
      </c>
      <c r="I536" s="288">
        <v>1.5553620326422577E-2</v>
      </c>
      <c r="J536" s="288">
        <v>0.97569878935953525</v>
      </c>
      <c r="K536" s="288">
        <v>0.75933659907014484</v>
      </c>
      <c r="L536" s="290">
        <v>12654.272426207373</v>
      </c>
      <c r="M536" s="288">
        <v>0</v>
      </c>
      <c r="N536" s="288">
        <v>17415.380685120028</v>
      </c>
      <c r="O536" s="288">
        <v>1238.4196459867596</v>
      </c>
      <c r="P536" s="288">
        <v>43756.613102667652</v>
      </c>
      <c r="Q536" s="291">
        <v>128103.76866604874</v>
      </c>
      <c r="R536" s="288">
        <v>19865.090621759879</v>
      </c>
      <c r="S536" s="288">
        <v>9009.6798167898341</v>
      </c>
      <c r="T536" s="290">
        <v>0.751</v>
      </c>
      <c r="U536" s="288">
        <v>0.75800000000000001</v>
      </c>
      <c r="V536" s="288">
        <v>0.723923076923077</v>
      </c>
      <c r="W536" s="288">
        <v>0.72750000000000004</v>
      </c>
      <c r="X536" s="288">
        <v>0.76</v>
      </c>
      <c r="Y536" s="288">
        <v>0</v>
      </c>
      <c r="Z536" s="289">
        <v>0</v>
      </c>
      <c r="AA536" s="229"/>
      <c r="AB536" s="293">
        <v>81568.641919671965</v>
      </c>
      <c r="AC536" s="294">
        <v>3.0408875643387616</v>
      </c>
      <c r="AD536" s="295">
        <v>77035.330377251448</v>
      </c>
      <c r="AE536" s="294">
        <v>3.051287115816657</v>
      </c>
      <c r="AF536" s="295">
        <v>4533.3115424205171</v>
      </c>
      <c r="AG536" s="296">
        <v>-1.0399551477895397E-2</v>
      </c>
      <c r="AH536" s="229"/>
      <c r="AI536" s="205">
        <f t="shared" si="62"/>
        <v>222520.11451420421</v>
      </c>
      <c r="AJ536" s="205">
        <f t="shared" si="63"/>
        <v>228093.38120441424</v>
      </c>
      <c r="AK536" s="205">
        <f t="shared" si="64"/>
        <v>-5573.2666902100573</v>
      </c>
      <c r="AL536" s="229"/>
      <c r="AM536" s="52">
        <f t="shared" si="58"/>
        <v>0</v>
      </c>
      <c r="AN536" s="52">
        <f t="shared" si="59"/>
        <v>1</v>
      </c>
      <c r="AO536" s="52">
        <f t="shared" si="60"/>
        <v>0</v>
      </c>
      <c r="AP536" s="229"/>
      <c r="AQ536" s="28"/>
      <c r="AR536" s="28"/>
      <c r="AS536" s="28"/>
      <c r="AT536" s="28"/>
      <c r="AU536" s="229"/>
      <c r="AV536" s="318">
        <f t="shared" si="65"/>
        <v>228093.38120441424</v>
      </c>
      <c r="AW536" s="229"/>
      <c r="AX536" s="313"/>
      <c r="AY536" s="302"/>
      <c r="AZ536" s="14">
        <f t="shared" si="67"/>
        <v>4533.3115424205171</v>
      </c>
      <c r="BA536" s="14">
        <f t="shared" si="66"/>
        <v>-1.0399551477895397E-2</v>
      </c>
      <c r="BB536" s="14">
        <f t="shared" si="61"/>
        <v>-435914.14034117013</v>
      </c>
      <c r="BC536" s="302"/>
      <c r="BD536" s="302"/>
      <c r="BE536" s="302"/>
      <c r="BF536" s="302"/>
      <c r="BG536" s="302"/>
      <c r="BH536" s="302"/>
      <c r="BI536" s="302"/>
      <c r="BJ536" s="302"/>
      <c r="BK536" s="302"/>
      <c r="BL536" s="302"/>
      <c r="BM536" s="302"/>
      <c r="BN536" s="302"/>
      <c r="BO536" s="302"/>
      <c r="BP536" s="14"/>
      <c r="BQ536" s="14"/>
      <c r="BR536" s="14"/>
      <c r="BS536" s="14"/>
      <c r="BT536" s="14"/>
      <c r="BU536" s="14"/>
      <c r="BV536" s="14"/>
      <c r="BW536" s="14"/>
      <c r="BX536" s="14"/>
      <c r="BY536" s="14"/>
      <c r="BZ536" s="14"/>
      <c r="CA536" s="14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</row>
    <row r="537" spans="1:101" ht="14.25" customHeight="1" x14ac:dyDescent="0.2">
      <c r="A537" s="286"/>
      <c r="B537" s="52">
        <v>0.15515032705573334</v>
      </c>
      <c r="C537" s="288">
        <v>0.67619003799063027</v>
      </c>
      <c r="D537" s="288">
        <v>1.349195215418332E-2</v>
      </c>
      <c r="E537" s="288">
        <v>1.1498265570191816E-2</v>
      </c>
      <c r="F537" s="289">
        <v>0.76590709607203855</v>
      </c>
      <c r="G537" s="92">
        <v>0.36218962007884892</v>
      </c>
      <c r="H537" s="288">
        <v>0.43482544255158723</v>
      </c>
      <c r="I537" s="288">
        <v>1.5445294614578144E-2</v>
      </c>
      <c r="J537" s="288">
        <v>0.99947951776317101</v>
      </c>
      <c r="K537" s="288">
        <v>0.80639806590509955</v>
      </c>
      <c r="L537" s="290">
        <v>12297.906940774175</v>
      </c>
      <c r="M537" s="288">
        <v>0</v>
      </c>
      <c r="N537" s="288">
        <v>16427.648795715231</v>
      </c>
      <c r="O537" s="288">
        <v>996.68540386974951</v>
      </c>
      <c r="P537" s="288">
        <v>47137.541781606022</v>
      </c>
      <c r="Q537" s="291">
        <v>113049.23405207855</v>
      </c>
      <c r="R537" s="288">
        <v>24228.277129676855</v>
      </c>
      <c r="S537" s="288">
        <v>8373.5097683208842</v>
      </c>
      <c r="T537" s="290">
        <v>0.751</v>
      </c>
      <c r="U537" s="288">
        <v>0.75800000000000001</v>
      </c>
      <c r="V537" s="288">
        <v>0.723923076923077</v>
      </c>
      <c r="W537" s="288">
        <v>0.72750000000000004</v>
      </c>
      <c r="X537" s="288">
        <v>0.76</v>
      </c>
      <c r="Y537" s="288">
        <v>0</v>
      </c>
      <c r="Z537" s="289">
        <v>0</v>
      </c>
      <c r="AA537" s="229"/>
      <c r="AB537" s="293">
        <v>78739.163343431399</v>
      </c>
      <c r="AC537" s="294">
        <v>3.077112406568713</v>
      </c>
      <c r="AD537" s="295">
        <v>72528.894350289469</v>
      </c>
      <c r="AE537" s="294">
        <v>3.2703065494193582</v>
      </c>
      <c r="AF537" s="295">
        <v>6210.26899314193</v>
      </c>
      <c r="AG537" s="296">
        <v>-0.19319414285064518</v>
      </c>
      <c r="AH537" s="229"/>
      <c r="AI537" s="205">
        <f t="shared" si="62"/>
        <v>228972.07731343989</v>
      </c>
      <c r="AJ537" s="205">
        <f t="shared" si="63"/>
        <v>254501.76059164631</v>
      </c>
      <c r="AK537" s="205">
        <f t="shared" si="64"/>
        <v>-25529.683278206448</v>
      </c>
      <c r="AL537" s="229"/>
      <c r="AM537" s="52">
        <f t="shared" si="58"/>
        <v>0</v>
      </c>
      <c r="AN537" s="52">
        <f t="shared" si="59"/>
        <v>1</v>
      </c>
      <c r="AO537" s="52">
        <f t="shared" si="60"/>
        <v>0</v>
      </c>
      <c r="AP537" s="229"/>
      <c r="AQ537" s="28"/>
      <c r="AR537" s="28"/>
      <c r="AS537" s="28"/>
      <c r="AT537" s="28"/>
      <c r="AU537" s="229"/>
      <c r="AV537" s="318">
        <f t="shared" si="65"/>
        <v>254501.76059164631</v>
      </c>
      <c r="AW537" s="229"/>
      <c r="AX537" s="313"/>
      <c r="AY537" s="302"/>
      <c r="AZ537" s="14">
        <f t="shared" si="67"/>
        <v>6210.26899314193</v>
      </c>
      <c r="BA537" s="14">
        <f t="shared" si="66"/>
        <v>-0.19319414285064518</v>
      </c>
      <c r="BB537" s="14">
        <f t="shared" si="61"/>
        <v>-32145.223977845821</v>
      </c>
      <c r="BC537" s="302"/>
      <c r="BD537" s="302"/>
      <c r="BE537" s="302"/>
      <c r="BF537" s="302"/>
      <c r="BG537" s="302"/>
      <c r="BH537" s="302"/>
      <c r="BI537" s="302"/>
      <c r="BJ537" s="302"/>
      <c r="BK537" s="302"/>
      <c r="BL537" s="302"/>
      <c r="BM537" s="302"/>
      <c r="BN537" s="302"/>
      <c r="BO537" s="302"/>
      <c r="BP537" s="14"/>
      <c r="BQ537" s="14"/>
      <c r="BR537" s="14"/>
      <c r="BS537" s="14"/>
      <c r="BT537" s="14"/>
      <c r="BU537" s="14"/>
      <c r="BV537" s="14"/>
      <c r="BW537" s="14"/>
      <c r="BX537" s="14"/>
      <c r="BY537" s="14"/>
      <c r="BZ537" s="14"/>
      <c r="CA537" s="14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</row>
    <row r="538" spans="1:101" ht="14.25" customHeight="1" x14ac:dyDescent="0.2">
      <c r="A538" s="286"/>
      <c r="B538" s="52">
        <v>0.1820223149330733</v>
      </c>
      <c r="C538" s="288">
        <v>0.31857188330684294</v>
      </c>
      <c r="D538" s="288">
        <v>1.9509244534172465E-2</v>
      </c>
      <c r="E538" s="288">
        <v>2.2915254655076711E-2</v>
      </c>
      <c r="F538" s="289">
        <v>0.8084833356620118</v>
      </c>
      <c r="G538" s="92">
        <v>0.3927601750125409</v>
      </c>
      <c r="H538" s="288">
        <v>0.73745403831961032</v>
      </c>
      <c r="I538" s="288">
        <v>3.4131290809684689E-2</v>
      </c>
      <c r="J538" s="288">
        <v>0.99998036560986792</v>
      </c>
      <c r="K538" s="288">
        <v>0.76718672428810963</v>
      </c>
      <c r="L538" s="290">
        <v>11249.549501549567</v>
      </c>
      <c r="M538" s="288">
        <v>0</v>
      </c>
      <c r="N538" s="288">
        <v>18648.081605458723</v>
      </c>
      <c r="O538" s="288">
        <v>1128.3305156393608</v>
      </c>
      <c r="P538" s="288">
        <v>34365.243704697357</v>
      </c>
      <c r="Q538" s="291">
        <v>94751.104015788471</v>
      </c>
      <c r="R538" s="288">
        <v>34013.281892607483</v>
      </c>
      <c r="S538" s="288">
        <v>7306.4764513331356</v>
      </c>
      <c r="T538" s="290">
        <v>0.751</v>
      </c>
      <c r="U538" s="288">
        <v>0.75800000000000001</v>
      </c>
      <c r="V538" s="288">
        <v>0.723923076923077</v>
      </c>
      <c r="W538" s="288">
        <v>0.72750000000000004</v>
      </c>
      <c r="X538" s="288">
        <v>0.76</v>
      </c>
      <c r="Y538" s="288">
        <v>0</v>
      </c>
      <c r="Z538" s="289">
        <v>0</v>
      </c>
      <c r="AA538" s="229"/>
      <c r="AB538" s="293">
        <v>72262.481770069789</v>
      </c>
      <c r="AC538" s="294">
        <v>3.2751625271175531</v>
      </c>
      <c r="AD538" s="295">
        <v>67979.505923677571</v>
      </c>
      <c r="AE538" s="294">
        <v>3.0875782298991963</v>
      </c>
      <c r="AF538" s="295">
        <v>4282.975846392219</v>
      </c>
      <c r="AG538" s="296">
        <v>0.18758429721835679</v>
      </c>
      <c r="AH538" s="229"/>
      <c r="AI538" s="205">
        <f t="shared" si="62"/>
        <v>255253.77094168548</v>
      </c>
      <c r="AJ538" s="205">
        <f t="shared" si="63"/>
        <v>240778.31706624205</v>
      </c>
      <c r="AK538" s="205">
        <f t="shared" si="64"/>
        <v>14475.453875443462</v>
      </c>
      <c r="AL538" s="229"/>
      <c r="AM538" s="52">
        <f t="shared" si="58"/>
        <v>1</v>
      </c>
      <c r="AN538" s="52">
        <f t="shared" si="59"/>
        <v>0</v>
      </c>
      <c r="AO538" s="52">
        <f t="shared" si="60"/>
        <v>1</v>
      </c>
      <c r="AP538" s="229"/>
      <c r="AQ538" s="28"/>
      <c r="AR538" s="28"/>
      <c r="AS538" s="28"/>
      <c r="AT538" s="28"/>
      <c r="AU538" s="229"/>
      <c r="AV538" s="318">
        <f t="shared" si="65"/>
        <v>255253.77094168548</v>
      </c>
      <c r="AW538" s="229"/>
      <c r="AX538" s="313"/>
      <c r="AY538" s="302"/>
      <c r="AZ538" s="14">
        <f t="shared" si="67"/>
        <v>4282.975846392219</v>
      </c>
      <c r="BA538" s="14">
        <f t="shared" si="66"/>
        <v>0.18758429721835679</v>
      </c>
      <c r="BB538" s="14">
        <f t="shared" si="61"/>
        <v>22832.272796302546</v>
      </c>
      <c r="BC538" s="302"/>
      <c r="BD538" s="302"/>
      <c r="BE538" s="302"/>
      <c r="BF538" s="302"/>
      <c r="BG538" s="302"/>
      <c r="BH538" s="302"/>
      <c r="BI538" s="302"/>
      <c r="BJ538" s="302"/>
      <c r="BK538" s="302"/>
      <c r="BL538" s="302"/>
      <c r="BM538" s="302"/>
      <c r="BN538" s="302"/>
      <c r="BO538" s="302"/>
      <c r="BP538" s="14"/>
      <c r="BQ538" s="14"/>
      <c r="BR538" s="14"/>
      <c r="BS538" s="14"/>
      <c r="BT538" s="14"/>
      <c r="BU538" s="14"/>
      <c r="BV538" s="14"/>
      <c r="BW538" s="14"/>
      <c r="BX538" s="14"/>
      <c r="BY538" s="14"/>
      <c r="BZ538" s="14"/>
      <c r="CA538" s="14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</row>
    <row r="539" spans="1:101" ht="14.25" customHeight="1" x14ac:dyDescent="0.2">
      <c r="A539" s="286"/>
      <c r="B539" s="52">
        <v>0.15443183574743505</v>
      </c>
      <c r="C539" s="288">
        <v>0.32983800387612527</v>
      </c>
      <c r="D539" s="288">
        <v>1.953309087387789E-2</v>
      </c>
      <c r="E539" s="288">
        <v>1.358130558938163E-2</v>
      </c>
      <c r="F539" s="289">
        <v>0.78722423823611776</v>
      </c>
      <c r="G539" s="92">
        <v>0.41052759055453203</v>
      </c>
      <c r="H539" s="288">
        <v>7.3059025174436451E-2</v>
      </c>
      <c r="I539" s="288">
        <v>1.0153458215715604E-2</v>
      </c>
      <c r="J539" s="288">
        <v>1</v>
      </c>
      <c r="K539" s="288">
        <v>0.68453208198868232</v>
      </c>
      <c r="L539" s="290">
        <v>12036.655486746091</v>
      </c>
      <c r="M539" s="288">
        <v>0</v>
      </c>
      <c r="N539" s="288">
        <v>20707.545730395494</v>
      </c>
      <c r="O539" s="288">
        <v>1693.1851324383285</v>
      </c>
      <c r="P539" s="288">
        <v>42840.942651127938</v>
      </c>
      <c r="Q539" s="291">
        <v>109233.55277076304</v>
      </c>
      <c r="R539" s="288">
        <v>26957.282758890455</v>
      </c>
      <c r="S539" s="288">
        <v>7747.594666761277</v>
      </c>
      <c r="T539" s="290">
        <v>0.751</v>
      </c>
      <c r="U539" s="288">
        <v>0.75800000000000001</v>
      </c>
      <c r="V539" s="288">
        <v>0.723923076923077</v>
      </c>
      <c r="W539" s="288">
        <v>0.72750000000000004</v>
      </c>
      <c r="X539" s="288">
        <v>0.76</v>
      </c>
      <c r="Y539" s="288">
        <v>0</v>
      </c>
      <c r="Z539" s="289">
        <v>0</v>
      </c>
      <c r="AA539" s="229"/>
      <c r="AB539" s="293">
        <v>74398.35756600101</v>
      </c>
      <c r="AC539" s="294">
        <v>3.1759170600625066</v>
      </c>
      <c r="AD539" s="295">
        <v>55136.537452474477</v>
      </c>
      <c r="AE539" s="294">
        <v>2.7103389044423554</v>
      </c>
      <c r="AF539" s="295">
        <v>19261.820113526534</v>
      </c>
      <c r="AG539" s="296">
        <v>0.46557815562015126</v>
      </c>
      <c r="AH539" s="229"/>
      <c r="AI539" s="205">
        <f t="shared" si="62"/>
        <v>243193.34844024963</v>
      </c>
      <c r="AJ539" s="205">
        <f t="shared" si="63"/>
        <v>215897.35299176106</v>
      </c>
      <c r="AK539" s="205">
        <f t="shared" si="64"/>
        <v>27295.995448488589</v>
      </c>
      <c r="AL539" s="229"/>
      <c r="AM539" s="52">
        <f t="shared" si="58"/>
        <v>1</v>
      </c>
      <c r="AN539" s="52">
        <f t="shared" si="59"/>
        <v>0</v>
      </c>
      <c r="AO539" s="52">
        <f t="shared" si="60"/>
        <v>1</v>
      </c>
      <c r="AP539" s="229"/>
      <c r="AQ539" s="28"/>
      <c r="AR539" s="28"/>
      <c r="AS539" s="28"/>
      <c r="AT539" s="28"/>
      <c r="AU539" s="229"/>
      <c r="AV539" s="318">
        <f t="shared" si="65"/>
        <v>243193.34844024963</v>
      </c>
      <c r="AW539" s="229"/>
      <c r="AX539" s="313"/>
      <c r="AY539" s="302"/>
      <c r="AZ539" s="14">
        <f t="shared" si="67"/>
        <v>19261.820113526534</v>
      </c>
      <c r="BA539" s="14">
        <f t="shared" si="66"/>
        <v>0.46557815562015126</v>
      </c>
      <c r="BB539" s="14">
        <f t="shared" si="61"/>
        <v>41371.829586527187</v>
      </c>
      <c r="BC539" s="302"/>
      <c r="BD539" s="302"/>
      <c r="BE539" s="302"/>
      <c r="BF539" s="302"/>
      <c r="BG539" s="302"/>
      <c r="BH539" s="302"/>
      <c r="BI539" s="302"/>
      <c r="BJ539" s="302"/>
      <c r="BK539" s="302"/>
      <c r="BL539" s="302"/>
      <c r="BM539" s="302"/>
      <c r="BN539" s="302"/>
      <c r="BO539" s="302"/>
      <c r="BP539" s="14"/>
      <c r="BQ539" s="14"/>
      <c r="BR539" s="14"/>
      <c r="BS539" s="14"/>
      <c r="BT539" s="14"/>
      <c r="BU539" s="14"/>
      <c r="BV539" s="14"/>
      <c r="BW539" s="14"/>
      <c r="BX539" s="14"/>
      <c r="BY539" s="14"/>
      <c r="BZ539" s="14"/>
      <c r="CA539" s="14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</row>
    <row r="540" spans="1:101" ht="14.25" customHeight="1" x14ac:dyDescent="0.2">
      <c r="A540" s="286"/>
      <c r="B540" s="52">
        <v>0.1716634260035651</v>
      </c>
      <c r="C540" s="288">
        <v>0.89139988298821204</v>
      </c>
      <c r="D540" s="288">
        <v>8.4759142322639747E-3</v>
      </c>
      <c r="E540" s="288">
        <v>1.7885161401017924E-2</v>
      </c>
      <c r="F540" s="289">
        <v>0.82329501305170483</v>
      </c>
      <c r="G540" s="92">
        <v>0.4169487501441419</v>
      </c>
      <c r="H540" s="288">
        <v>8.3060374224336545E-3</v>
      </c>
      <c r="I540" s="288">
        <v>7.6256703195890958E-3</v>
      </c>
      <c r="J540" s="288">
        <v>0.99999995308071976</v>
      </c>
      <c r="K540" s="288">
        <v>0.73109637821726703</v>
      </c>
      <c r="L540" s="290">
        <v>12492.983873561541</v>
      </c>
      <c r="M540" s="288">
        <v>0</v>
      </c>
      <c r="N540" s="288">
        <v>16083.26417004135</v>
      </c>
      <c r="O540" s="288">
        <v>811.13314904021763</v>
      </c>
      <c r="P540" s="288">
        <v>35627.801566024056</v>
      </c>
      <c r="Q540" s="291">
        <v>100102.62493140015</v>
      </c>
      <c r="R540" s="288">
        <v>28301.127268462005</v>
      </c>
      <c r="S540" s="288">
        <v>8581.0670814349014</v>
      </c>
      <c r="T540" s="290">
        <v>0.751</v>
      </c>
      <c r="U540" s="288">
        <v>0.75800000000000001</v>
      </c>
      <c r="V540" s="288">
        <v>0.723923076923077</v>
      </c>
      <c r="W540" s="288">
        <v>0.72750000000000004</v>
      </c>
      <c r="X540" s="288">
        <v>0.76</v>
      </c>
      <c r="Y540" s="288">
        <v>0</v>
      </c>
      <c r="Z540" s="289">
        <v>0</v>
      </c>
      <c r="AA540" s="229"/>
      <c r="AB540" s="293">
        <v>87067.051263213158</v>
      </c>
      <c r="AC540" s="294">
        <v>3.3447280113482249</v>
      </c>
      <c r="AD540" s="295">
        <v>63555.725121036397</v>
      </c>
      <c r="AE540" s="294">
        <v>2.9215358845388191</v>
      </c>
      <c r="AF540" s="295">
        <v>23511.32614217676</v>
      </c>
      <c r="AG540" s="296">
        <v>0.42319212680940588</v>
      </c>
      <c r="AH540" s="229"/>
      <c r="AI540" s="205">
        <f t="shared" si="62"/>
        <v>247405.74987160933</v>
      </c>
      <c r="AJ540" s="205">
        <f t="shared" si="63"/>
        <v>228597.8633328455</v>
      </c>
      <c r="AK540" s="205">
        <f t="shared" si="64"/>
        <v>18807.886538763829</v>
      </c>
      <c r="AL540" s="229"/>
      <c r="AM540" s="52">
        <f t="shared" si="58"/>
        <v>1</v>
      </c>
      <c r="AN540" s="52">
        <f t="shared" si="59"/>
        <v>0</v>
      </c>
      <c r="AO540" s="52">
        <f t="shared" si="60"/>
        <v>1</v>
      </c>
      <c r="AP540" s="229"/>
      <c r="AQ540" s="28"/>
      <c r="AR540" s="28"/>
      <c r="AS540" s="28"/>
      <c r="AT540" s="28"/>
      <c r="AU540" s="229"/>
      <c r="AV540" s="318">
        <f t="shared" si="65"/>
        <v>247405.74987160933</v>
      </c>
      <c r="AW540" s="229"/>
      <c r="AX540" s="313"/>
      <c r="AY540" s="302"/>
      <c r="AZ540" s="14">
        <f t="shared" si="67"/>
        <v>23511.32614217676</v>
      </c>
      <c r="BA540" s="14">
        <f t="shared" si="66"/>
        <v>0.42319212680940588</v>
      </c>
      <c r="BB540" s="14">
        <f t="shared" si="61"/>
        <v>55557.097244310542</v>
      </c>
      <c r="BC540" s="302"/>
      <c r="BD540" s="302"/>
      <c r="BE540" s="302"/>
      <c r="BF540" s="302"/>
      <c r="BG540" s="302"/>
      <c r="BH540" s="302"/>
      <c r="BI540" s="302"/>
      <c r="BJ540" s="302"/>
      <c r="BK540" s="302"/>
      <c r="BL540" s="302"/>
      <c r="BM540" s="302"/>
      <c r="BN540" s="302"/>
      <c r="BO540" s="302"/>
      <c r="BP540" s="14"/>
      <c r="BQ540" s="14"/>
      <c r="BR540" s="14"/>
      <c r="BS540" s="14"/>
      <c r="BT540" s="14"/>
      <c r="BU540" s="14"/>
      <c r="BV540" s="14"/>
      <c r="BW540" s="14"/>
      <c r="BX540" s="14"/>
      <c r="BY540" s="14"/>
      <c r="BZ540" s="14"/>
      <c r="CA540" s="14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</row>
    <row r="541" spans="1:101" ht="14.25" customHeight="1" x14ac:dyDescent="0.2">
      <c r="A541" s="286"/>
      <c r="B541" s="52">
        <v>0.16915555335474719</v>
      </c>
      <c r="C541" s="288">
        <v>0.431835166559141</v>
      </c>
      <c r="D541" s="288">
        <v>2.4848765389959504E-2</v>
      </c>
      <c r="E541" s="288">
        <v>6.906474777457392E-3</v>
      </c>
      <c r="F541" s="289">
        <v>0.80333318724468206</v>
      </c>
      <c r="G541" s="92">
        <v>0.36774197321541058</v>
      </c>
      <c r="H541" s="288">
        <v>0.53582961047190203</v>
      </c>
      <c r="I541" s="288">
        <v>2.3125255154997637E-2</v>
      </c>
      <c r="J541" s="288">
        <v>0.99936877343378172</v>
      </c>
      <c r="K541" s="288">
        <v>0.81949194403519154</v>
      </c>
      <c r="L541" s="290">
        <v>15568.975569537386</v>
      </c>
      <c r="M541" s="288">
        <v>0</v>
      </c>
      <c r="N541" s="288">
        <v>19241.48210462516</v>
      </c>
      <c r="O541" s="288">
        <v>1265.0092191442552</v>
      </c>
      <c r="P541" s="288">
        <v>42193.040405717096</v>
      </c>
      <c r="Q541" s="291">
        <v>120298.80537195927</v>
      </c>
      <c r="R541" s="288">
        <v>21738.1907328917</v>
      </c>
      <c r="S541" s="288">
        <v>9159.7277984787288</v>
      </c>
      <c r="T541" s="290">
        <v>0.751</v>
      </c>
      <c r="U541" s="288">
        <v>0.75800000000000001</v>
      </c>
      <c r="V541" s="288">
        <v>0.723923076923077</v>
      </c>
      <c r="W541" s="288">
        <v>0.72750000000000004</v>
      </c>
      <c r="X541" s="288">
        <v>0.76</v>
      </c>
      <c r="Y541" s="288">
        <v>0</v>
      </c>
      <c r="Z541" s="289">
        <v>0</v>
      </c>
      <c r="AA541" s="229"/>
      <c r="AB541" s="293">
        <v>90742.432278170148</v>
      </c>
      <c r="AC541" s="294">
        <v>3.2510546320823028</v>
      </c>
      <c r="AD541" s="295">
        <v>81124.208734727945</v>
      </c>
      <c r="AE541" s="294">
        <v>3.3318649490493666</v>
      </c>
      <c r="AF541" s="295">
        <v>9618.2235434422037</v>
      </c>
      <c r="AG541" s="296">
        <v>-8.0810316967063756E-2</v>
      </c>
      <c r="AH541" s="229"/>
      <c r="AI541" s="205">
        <f t="shared" si="62"/>
        <v>234363.03093006014</v>
      </c>
      <c r="AJ541" s="205">
        <f t="shared" si="63"/>
        <v>252062.28617020871</v>
      </c>
      <c r="AK541" s="205">
        <f t="shared" si="64"/>
        <v>-17699.255240148581</v>
      </c>
      <c r="AL541" s="229"/>
      <c r="AM541" s="52">
        <f t="shared" si="58"/>
        <v>0</v>
      </c>
      <c r="AN541" s="52">
        <f t="shared" si="59"/>
        <v>1</v>
      </c>
      <c r="AO541" s="52">
        <f t="shared" si="60"/>
        <v>0</v>
      </c>
      <c r="AP541" s="229"/>
      <c r="AQ541" s="28"/>
      <c r="AR541" s="28"/>
      <c r="AS541" s="28"/>
      <c r="AT541" s="28"/>
      <c r="AU541" s="229"/>
      <c r="AV541" s="318">
        <f t="shared" si="65"/>
        <v>252062.28617020871</v>
      </c>
      <c r="AW541" s="229"/>
      <c r="AX541" s="313"/>
      <c r="AY541" s="302"/>
      <c r="AZ541" s="14">
        <f t="shared" si="67"/>
        <v>9618.2235434422037</v>
      </c>
      <c r="BA541" s="14">
        <f t="shared" si="66"/>
        <v>-8.0810316967063756E-2</v>
      </c>
      <c r="BB541" s="14">
        <f t="shared" si="61"/>
        <v>-119022.22271151775</v>
      </c>
      <c r="BC541" s="302"/>
      <c r="BD541" s="302"/>
      <c r="BE541" s="302"/>
      <c r="BF541" s="302"/>
      <c r="BG541" s="302"/>
      <c r="BH541" s="302"/>
      <c r="BI541" s="302"/>
      <c r="BJ541" s="302"/>
      <c r="BK541" s="302"/>
      <c r="BL541" s="302"/>
      <c r="BM541" s="302"/>
      <c r="BN541" s="302"/>
      <c r="BO541" s="302"/>
      <c r="BP541" s="14"/>
      <c r="BQ541" s="14"/>
      <c r="BR541" s="14"/>
      <c r="BS541" s="14"/>
      <c r="BT541" s="14"/>
      <c r="BU541" s="14"/>
      <c r="BV541" s="14"/>
      <c r="BW541" s="14"/>
      <c r="BX541" s="14"/>
      <c r="BY541" s="14"/>
      <c r="BZ541" s="14"/>
      <c r="CA541" s="14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</row>
    <row r="542" spans="1:101" ht="14.25" customHeight="1" x14ac:dyDescent="0.2">
      <c r="A542" s="286"/>
      <c r="B542" s="52">
        <v>0.1869078307459151</v>
      </c>
      <c r="C542" s="288">
        <v>0.51682578749950503</v>
      </c>
      <c r="D542" s="288">
        <v>4.6509252321168485E-3</v>
      </c>
      <c r="E542" s="288">
        <v>1.6997885518030609E-2</v>
      </c>
      <c r="F542" s="289">
        <v>0.76776804870093973</v>
      </c>
      <c r="G542" s="92">
        <v>0.39996866104401574</v>
      </c>
      <c r="H542" s="288">
        <v>0.8633676769732751</v>
      </c>
      <c r="I542" s="288">
        <v>9.1145814804979366E-3</v>
      </c>
      <c r="J542" s="288">
        <v>0.93016006189333689</v>
      </c>
      <c r="K542" s="288">
        <v>0.77129501921950183</v>
      </c>
      <c r="L542" s="290">
        <v>6910.3235852066719</v>
      </c>
      <c r="M542" s="288">
        <v>0</v>
      </c>
      <c r="N542" s="288">
        <v>23684.381784267567</v>
      </c>
      <c r="O542" s="288">
        <v>1363.9430408889039</v>
      </c>
      <c r="P542" s="288">
        <v>42485.1488943722</v>
      </c>
      <c r="Q542" s="291">
        <v>86742.900685603847</v>
      </c>
      <c r="R542" s="288">
        <v>24148.849090672931</v>
      </c>
      <c r="S542" s="288">
        <v>9370.8143278534262</v>
      </c>
      <c r="T542" s="290">
        <v>0.751</v>
      </c>
      <c r="U542" s="288">
        <v>0.75800000000000001</v>
      </c>
      <c r="V542" s="288">
        <v>0.723923076923077</v>
      </c>
      <c r="W542" s="288">
        <v>0.72750000000000004</v>
      </c>
      <c r="X542" s="288">
        <v>0.76</v>
      </c>
      <c r="Y542" s="288">
        <v>0</v>
      </c>
      <c r="Z542" s="289">
        <v>0</v>
      </c>
      <c r="AA542" s="229"/>
      <c r="AB542" s="293">
        <v>80817.489275643311</v>
      </c>
      <c r="AC542" s="294">
        <v>3.0857095003993633</v>
      </c>
      <c r="AD542" s="295">
        <v>81465.668792683544</v>
      </c>
      <c r="AE542" s="294">
        <v>3.1066095891915047</v>
      </c>
      <c r="AF542" s="295">
        <v>-648.17951704023289</v>
      </c>
      <c r="AG542" s="296">
        <v>-2.0900088792141336E-2</v>
      </c>
      <c r="AH542" s="229"/>
      <c r="AI542" s="205">
        <f t="shared" si="62"/>
        <v>227753.46076429304</v>
      </c>
      <c r="AJ542" s="205">
        <f t="shared" si="63"/>
        <v>229195.29012646692</v>
      </c>
      <c r="AK542" s="205">
        <f t="shared" si="64"/>
        <v>-1441.8293621739008</v>
      </c>
      <c r="AL542" s="229"/>
      <c r="AM542" s="52">
        <f t="shared" si="58"/>
        <v>0</v>
      </c>
      <c r="AN542" s="52">
        <f t="shared" si="59"/>
        <v>1</v>
      </c>
      <c r="AO542" s="52">
        <f t="shared" si="60"/>
        <v>0</v>
      </c>
      <c r="AP542" s="229"/>
      <c r="AQ542" s="28"/>
      <c r="AR542" s="28"/>
      <c r="AS542" s="28"/>
      <c r="AT542" s="28"/>
      <c r="AU542" s="229"/>
      <c r="AV542" s="318">
        <f t="shared" si="65"/>
        <v>229195.29012646692</v>
      </c>
      <c r="AW542" s="229"/>
      <c r="AX542" s="313"/>
      <c r="AY542" s="302"/>
      <c r="AZ542" s="14">
        <f t="shared" si="67"/>
        <v>-648.17951704023289</v>
      </c>
      <c r="BA542" s="14">
        <f t="shared" si="66"/>
        <v>-2.0900088792141336E-2</v>
      </c>
      <c r="BB542" s="14">
        <f t="shared" si="61"/>
        <v>31013.242263542706</v>
      </c>
      <c r="BC542" s="302"/>
      <c r="BD542" s="302"/>
      <c r="BE542" s="302"/>
      <c r="BF542" s="302"/>
      <c r="BG542" s="302"/>
      <c r="BH542" s="302"/>
      <c r="BI542" s="302"/>
      <c r="BJ542" s="302"/>
      <c r="BK542" s="302"/>
      <c r="BL542" s="302"/>
      <c r="BM542" s="302"/>
      <c r="BN542" s="302"/>
      <c r="BO542" s="302"/>
      <c r="BP542" s="14"/>
      <c r="BQ542" s="14"/>
      <c r="BR542" s="14"/>
      <c r="BS542" s="14"/>
      <c r="BT542" s="14"/>
      <c r="BU542" s="14"/>
      <c r="BV542" s="14"/>
      <c r="BW542" s="14"/>
      <c r="BX542" s="14"/>
      <c r="BY542" s="14"/>
      <c r="BZ542" s="14"/>
      <c r="CA542" s="14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</row>
    <row r="543" spans="1:101" ht="14.25" customHeight="1" x14ac:dyDescent="0.2">
      <c r="A543" s="286"/>
      <c r="B543" s="52">
        <v>0.15086595999891186</v>
      </c>
      <c r="C543" s="288">
        <v>0.29416180692431615</v>
      </c>
      <c r="D543" s="288">
        <v>9.6398820441415158E-3</v>
      </c>
      <c r="E543" s="288">
        <v>2.0976135435148202E-2</v>
      </c>
      <c r="F543" s="289">
        <v>0.79071658475376927</v>
      </c>
      <c r="G543" s="92">
        <v>0.39083703499707684</v>
      </c>
      <c r="H543" s="288">
        <v>2.6786996165339375E-2</v>
      </c>
      <c r="I543" s="288">
        <v>1.572873602560957E-2</v>
      </c>
      <c r="J543" s="288">
        <v>0.38952016191501176</v>
      </c>
      <c r="K543" s="288">
        <v>0.77545154541491956</v>
      </c>
      <c r="L543" s="290">
        <v>8140.1197155563223</v>
      </c>
      <c r="M543" s="288">
        <v>0</v>
      </c>
      <c r="N543" s="288">
        <v>19491.351114497051</v>
      </c>
      <c r="O543" s="288">
        <v>941.88438430244582</v>
      </c>
      <c r="P543" s="288">
        <v>45521.148256676279</v>
      </c>
      <c r="Q543" s="291">
        <v>94831.989114578799</v>
      </c>
      <c r="R543" s="288">
        <v>26405.832392665707</v>
      </c>
      <c r="S543" s="288">
        <v>10630.076741246243</v>
      </c>
      <c r="T543" s="290">
        <v>0.751</v>
      </c>
      <c r="U543" s="288">
        <v>0.75800000000000001</v>
      </c>
      <c r="V543" s="288">
        <v>0.723923076923077</v>
      </c>
      <c r="W543" s="288">
        <v>0.72750000000000004</v>
      </c>
      <c r="X543" s="288">
        <v>0.76</v>
      </c>
      <c r="Y543" s="288">
        <v>0</v>
      </c>
      <c r="Z543" s="289">
        <v>0</v>
      </c>
      <c r="AA543" s="229"/>
      <c r="AB543" s="293">
        <v>92826.43677429021</v>
      </c>
      <c r="AC543" s="294">
        <v>3.192171986984504</v>
      </c>
      <c r="AD543" s="295">
        <v>83623.15339398678</v>
      </c>
      <c r="AE543" s="294">
        <v>3.125891450508294</v>
      </c>
      <c r="AF543" s="295">
        <v>9203.28338030343</v>
      </c>
      <c r="AG543" s="296">
        <v>6.6280536476210017E-2</v>
      </c>
      <c r="AH543" s="229"/>
      <c r="AI543" s="205">
        <f t="shared" si="62"/>
        <v>226390.76192416018</v>
      </c>
      <c r="AJ543" s="205">
        <f t="shared" si="63"/>
        <v>228965.99165684261</v>
      </c>
      <c r="AK543" s="205">
        <f t="shared" si="64"/>
        <v>-2575.2297326824282</v>
      </c>
      <c r="AL543" s="229"/>
      <c r="AM543" s="52">
        <f t="shared" si="58"/>
        <v>0</v>
      </c>
      <c r="AN543" s="52">
        <f t="shared" si="59"/>
        <v>1</v>
      </c>
      <c r="AO543" s="52">
        <f t="shared" si="60"/>
        <v>0</v>
      </c>
      <c r="AP543" s="229"/>
      <c r="AQ543" s="28"/>
      <c r="AR543" s="28"/>
      <c r="AS543" s="28"/>
      <c r="AT543" s="28"/>
      <c r="AU543" s="229"/>
      <c r="AV543" s="318">
        <f t="shared" si="65"/>
        <v>228965.99165684261</v>
      </c>
      <c r="AW543" s="229"/>
      <c r="AX543" s="313"/>
      <c r="AY543" s="302"/>
      <c r="AZ543" s="14">
        <f t="shared" si="67"/>
        <v>9203.28338030343</v>
      </c>
      <c r="BA543" s="14">
        <f t="shared" si="66"/>
        <v>6.6280536476210017E-2</v>
      </c>
      <c r="BB543" s="14">
        <f t="shared" si="61"/>
        <v>138853.48353519666</v>
      </c>
      <c r="BC543" s="302"/>
      <c r="BD543" s="302"/>
      <c r="BE543" s="302"/>
      <c r="BF543" s="302"/>
      <c r="BG543" s="302"/>
      <c r="BH543" s="302"/>
      <c r="BI543" s="302"/>
      <c r="BJ543" s="302"/>
      <c r="BK543" s="302"/>
      <c r="BL543" s="302"/>
      <c r="BM543" s="302"/>
      <c r="BN543" s="302"/>
      <c r="BO543" s="302"/>
      <c r="BP543" s="14"/>
      <c r="BQ543" s="14"/>
      <c r="BR543" s="14"/>
      <c r="BS543" s="14"/>
      <c r="BT543" s="14"/>
      <c r="BU543" s="14"/>
      <c r="BV543" s="14"/>
      <c r="BW543" s="14"/>
      <c r="BX543" s="14"/>
      <c r="BY543" s="14"/>
      <c r="BZ543" s="14"/>
      <c r="CA543" s="14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</row>
    <row r="544" spans="1:101" ht="14.25" customHeight="1" x14ac:dyDescent="0.2">
      <c r="A544" s="286"/>
      <c r="B544" s="52">
        <v>0.13514041282727582</v>
      </c>
      <c r="C544" s="288">
        <v>0.80105827434720811</v>
      </c>
      <c r="D544" s="288">
        <v>1.3151812391080155E-2</v>
      </c>
      <c r="E544" s="288">
        <v>1.0436210869313924E-2</v>
      </c>
      <c r="F544" s="289">
        <v>0.8193804407387506</v>
      </c>
      <c r="G544" s="92">
        <v>0.37690352065591592</v>
      </c>
      <c r="H544" s="288">
        <v>3.4972759198299498E-3</v>
      </c>
      <c r="I544" s="288">
        <v>6.7191681893459219E-3</v>
      </c>
      <c r="J544" s="288">
        <v>0.99999999691739672</v>
      </c>
      <c r="K544" s="288">
        <v>0.71374513828389308</v>
      </c>
      <c r="L544" s="290">
        <v>11570.767009117901</v>
      </c>
      <c r="M544" s="288">
        <v>0</v>
      </c>
      <c r="N544" s="288">
        <v>17145.81329746795</v>
      </c>
      <c r="O544" s="288">
        <v>1593.4983377470053</v>
      </c>
      <c r="P544" s="288">
        <v>46430.726488212007</v>
      </c>
      <c r="Q544" s="291">
        <v>104701.21492206995</v>
      </c>
      <c r="R544" s="288">
        <v>24156.781488267388</v>
      </c>
      <c r="S544" s="288">
        <v>8015.6497545239272</v>
      </c>
      <c r="T544" s="290">
        <v>0.751</v>
      </c>
      <c r="U544" s="288">
        <v>0.75800000000000001</v>
      </c>
      <c r="V544" s="288">
        <v>0.723923076923077</v>
      </c>
      <c r="W544" s="288">
        <v>0.72750000000000004</v>
      </c>
      <c r="X544" s="288">
        <v>0.76</v>
      </c>
      <c r="Y544" s="288">
        <v>0</v>
      </c>
      <c r="Z544" s="289">
        <v>0</v>
      </c>
      <c r="AA544" s="229"/>
      <c r="AB544" s="293">
        <v>79625.374472997748</v>
      </c>
      <c r="AC544" s="294">
        <v>3.3263091231027935</v>
      </c>
      <c r="AD544" s="295">
        <v>58155.90292299811</v>
      </c>
      <c r="AE544" s="294">
        <v>2.8424381293354291</v>
      </c>
      <c r="AF544" s="295">
        <v>21469.471549999638</v>
      </c>
      <c r="AG544" s="296">
        <v>0.48387099376736442</v>
      </c>
      <c r="AH544" s="229"/>
      <c r="AI544" s="205">
        <f t="shared" si="62"/>
        <v>253005.53783728159</v>
      </c>
      <c r="AJ544" s="205">
        <f t="shared" si="63"/>
        <v>226087.91001054476</v>
      </c>
      <c r="AK544" s="205">
        <f t="shared" si="64"/>
        <v>26917.627826736803</v>
      </c>
      <c r="AL544" s="229"/>
      <c r="AM544" s="52">
        <f t="shared" si="58"/>
        <v>1</v>
      </c>
      <c r="AN544" s="52">
        <f t="shared" si="59"/>
        <v>0</v>
      </c>
      <c r="AO544" s="52">
        <f t="shared" si="60"/>
        <v>1</v>
      </c>
      <c r="AP544" s="229"/>
      <c r="AQ544" s="28"/>
      <c r="AR544" s="28"/>
      <c r="AS544" s="28"/>
      <c r="AT544" s="28"/>
      <c r="AU544" s="229"/>
      <c r="AV544" s="318">
        <f t="shared" si="65"/>
        <v>253005.53783728159</v>
      </c>
      <c r="AW544" s="229"/>
      <c r="AX544" s="313"/>
      <c r="AY544" s="302"/>
      <c r="AZ544" s="14">
        <f t="shared" si="67"/>
        <v>21469.471549999638</v>
      </c>
      <c r="BA544" s="14">
        <f t="shared" si="66"/>
        <v>0.48387099376736442</v>
      </c>
      <c r="BB544" s="14">
        <f t="shared" si="61"/>
        <v>44370.238816839956</v>
      </c>
      <c r="BC544" s="302"/>
      <c r="BD544" s="302"/>
      <c r="BE544" s="302"/>
      <c r="BF544" s="302"/>
      <c r="BG544" s="302"/>
      <c r="BH544" s="302"/>
      <c r="BI544" s="302"/>
      <c r="BJ544" s="302"/>
      <c r="BK544" s="302"/>
      <c r="BL544" s="302"/>
      <c r="BM544" s="302"/>
      <c r="BN544" s="302"/>
      <c r="BO544" s="302"/>
      <c r="BP544" s="14"/>
      <c r="BQ544" s="14"/>
      <c r="BR544" s="14"/>
      <c r="BS544" s="14"/>
      <c r="BT544" s="14"/>
      <c r="BU544" s="14"/>
      <c r="BV544" s="14"/>
      <c r="BW544" s="14"/>
      <c r="BX544" s="14"/>
      <c r="BY544" s="14"/>
      <c r="BZ544" s="14"/>
      <c r="CA544" s="14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</row>
    <row r="545" spans="1:101" ht="14.25" customHeight="1" x14ac:dyDescent="0.2">
      <c r="A545" s="286"/>
      <c r="B545" s="52">
        <v>0.177618654942162</v>
      </c>
      <c r="C545" s="288">
        <v>0.29176726748217108</v>
      </c>
      <c r="D545" s="288">
        <v>1.4374343707398901E-2</v>
      </c>
      <c r="E545" s="288">
        <v>1.079550422717984E-2</v>
      </c>
      <c r="F545" s="289">
        <v>0.7922086162059131</v>
      </c>
      <c r="G545" s="92">
        <v>0.37370800922975339</v>
      </c>
      <c r="H545" s="288">
        <v>0.52921881119977976</v>
      </c>
      <c r="I545" s="288">
        <v>8.0337296174851029E-3</v>
      </c>
      <c r="J545" s="288">
        <v>1</v>
      </c>
      <c r="K545" s="288">
        <v>0.78967152900990212</v>
      </c>
      <c r="L545" s="290">
        <v>12862.822085876123</v>
      </c>
      <c r="M545" s="288">
        <v>0</v>
      </c>
      <c r="N545" s="288">
        <v>19409.824150203542</v>
      </c>
      <c r="O545" s="288">
        <v>1352.5594374134803</v>
      </c>
      <c r="P545" s="288">
        <v>56986.890133639565</v>
      </c>
      <c r="Q545" s="291">
        <v>75383.678071719682</v>
      </c>
      <c r="R545" s="288">
        <v>31405.069335286324</v>
      </c>
      <c r="S545" s="288">
        <v>10565.820891463045</v>
      </c>
      <c r="T545" s="290">
        <v>0.751</v>
      </c>
      <c r="U545" s="288">
        <v>0.75800000000000001</v>
      </c>
      <c r="V545" s="288">
        <v>0.723923076923077</v>
      </c>
      <c r="W545" s="288">
        <v>0.72750000000000004</v>
      </c>
      <c r="X545" s="288">
        <v>0.76</v>
      </c>
      <c r="Y545" s="288">
        <v>0</v>
      </c>
      <c r="Z545" s="289">
        <v>0</v>
      </c>
      <c r="AA545" s="229"/>
      <c r="AB545" s="293">
        <v>97810.590069795857</v>
      </c>
      <c r="AC545" s="294">
        <v>3.1991223943050642</v>
      </c>
      <c r="AD545" s="295">
        <v>90347.705970096009</v>
      </c>
      <c r="AE545" s="294">
        <v>3.192063000077078</v>
      </c>
      <c r="AF545" s="295">
        <v>7462.8840996998479</v>
      </c>
      <c r="AG545" s="296">
        <v>7.0593942279861821E-3</v>
      </c>
      <c r="AH545" s="229"/>
      <c r="AI545" s="205">
        <f t="shared" si="62"/>
        <v>222101.64936071058</v>
      </c>
      <c r="AJ545" s="205">
        <f t="shared" si="63"/>
        <v>228858.59403761179</v>
      </c>
      <c r="AK545" s="205">
        <f t="shared" si="64"/>
        <v>-6756.9446769012293</v>
      </c>
      <c r="AL545" s="229"/>
      <c r="AM545" s="52">
        <f t="shared" si="58"/>
        <v>0</v>
      </c>
      <c r="AN545" s="52">
        <f t="shared" si="59"/>
        <v>1</v>
      </c>
      <c r="AO545" s="52">
        <f t="shared" si="60"/>
        <v>0</v>
      </c>
      <c r="AP545" s="229"/>
      <c r="AQ545" s="28"/>
      <c r="AR545" s="28"/>
      <c r="AS545" s="28"/>
      <c r="AT545" s="28"/>
      <c r="AU545" s="229"/>
      <c r="AV545" s="318">
        <f t="shared" si="65"/>
        <v>228858.59403761179</v>
      </c>
      <c r="AW545" s="229"/>
      <c r="AX545" s="313"/>
      <c r="AY545" s="302"/>
      <c r="AZ545" s="14">
        <f t="shared" si="67"/>
        <v>7462.8840996998479</v>
      </c>
      <c r="BA545" s="14">
        <f t="shared" si="66"/>
        <v>7.0593942279861821E-3</v>
      </c>
      <c r="BB545" s="14">
        <f t="shared" si="61"/>
        <v>1057156.4441201023</v>
      </c>
      <c r="BC545" s="302"/>
      <c r="BD545" s="302"/>
      <c r="BE545" s="302"/>
      <c r="BF545" s="302"/>
      <c r="BG545" s="302"/>
      <c r="BH545" s="302"/>
      <c r="BI545" s="302"/>
      <c r="BJ545" s="302"/>
      <c r="BK545" s="302"/>
      <c r="BL545" s="302"/>
      <c r="BM545" s="302"/>
      <c r="BN545" s="302"/>
      <c r="BO545" s="302"/>
      <c r="BP545" s="14"/>
      <c r="BQ545" s="14"/>
      <c r="BR545" s="14"/>
      <c r="BS545" s="14"/>
      <c r="BT545" s="14"/>
      <c r="BU545" s="14"/>
      <c r="BV545" s="14"/>
      <c r="BW545" s="14"/>
      <c r="BX545" s="14"/>
      <c r="BY545" s="14"/>
      <c r="BZ545" s="14"/>
      <c r="CA545" s="14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</row>
    <row r="546" spans="1:101" ht="14.25" customHeight="1" x14ac:dyDescent="0.2">
      <c r="A546" s="286"/>
      <c r="B546" s="52">
        <v>0.16614104349994674</v>
      </c>
      <c r="C546" s="288">
        <v>5.1238172812123853E-2</v>
      </c>
      <c r="D546" s="288">
        <v>1.0178577329843078E-2</v>
      </c>
      <c r="E546" s="288">
        <v>1.4476416366851819E-2</v>
      </c>
      <c r="F546" s="289">
        <v>0.77909091323659163</v>
      </c>
      <c r="G546" s="92">
        <v>0.32530204757486464</v>
      </c>
      <c r="H546" s="288">
        <v>0.3775683704643899</v>
      </c>
      <c r="I546" s="288">
        <v>9.0517519888004081E-3</v>
      </c>
      <c r="J546" s="288">
        <v>0.62836121795511068</v>
      </c>
      <c r="K546" s="288">
        <v>0.78878570226872902</v>
      </c>
      <c r="L546" s="290">
        <v>10931.371165290568</v>
      </c>
      <c r="M546" s="288">
        <v>0</v>
      </c>
      <c r="N546" s="288">
        <v>21333.066488172266</v>
      </c>
      <c r="O546" s="288">
        <v>1379.6505597795936</v>
      </c>
      <c r="P546" s="288">
        <v>64940.518445167218</v>
      </c>
      <c r="Q546" s="291">
        <v>113747.45143536355</v>
      </c>
      <c r="R546" s="288">
        <v>27190.013203523245</v>
      </c>
      <c r="S546" s="288">
        <v>7252.7543570457392</v>
      </c>
      <c r="T546" s="290">
        <v>0.751</v>
      </c>
      <c r="U546" s="288">
        <v>0.75800000000000001</v>
      </c>
      <c r="V546" s="288">
        <v>0.723923076923077</v>
      </c>
      <c r="W546" s="288">
        <v>0.72750000000000004</v>
      </c>
      <c r="X546" s="288">
        <v>0.76</v>
      </c>
      <c r="Y546" s="288">
        <v>0</v>
      </c>
      <c r="Z546" s="289">
        <v>0</v>
      </c>
      <c r="AA546" s="229"/>
      <c r="AB546" s="293">
        <v>67539.927918290559</v>
      </c>
      <c r="AC546" s="294">
        <v>3.1381351195475413</v>
      </c>
      <c r="AD546" s="295">
        <v>61302.719242553394</v>
      </c>
      <c r="AE546" s="294">
        <v>3.1879315674699629</v>
      </c>
      <c r="AF546" s="295">
        <v>6237.2086757371653</v>
      </c>
      <c r="AG546" s="296">
        <v>-4.9796447922421549E-2</v>
      </c>
      <c r="AH546" s="229"/>
      <c r="AI546" s="205">
        <f t="shared" si="62"/>
        <v>246273.58403646358</v>
      </c>
      <c r="AJ546" s="205">
        <f t="shared" si="63"/>
        <v>257490.43750444287</v>
      </c>
      <c r="AK546" s="205">
        <f t="shared" si="64"/>
        <v>-11216.853467979319</v>
      </c>
      <c r="AL546" s="229"/>
      <c r="AM546" s="52">
        <f t="shared" si="58"/>
        <v>0</v>
      </c>
      <c r="AN546" s="52">
        <f t="shared" si="59"/>
        <v>1</v>
      </c>
      <c r="AO546" s="52">
        <f t="shared" si="60"/>
        <v>0</v>
      </c>
      <c r="AP546" s="229"/>
      <c r="AQ546" s="28"/>
      <c r="AR546" s="28"/>
      <c r="AS546" s="28"/>
      <c r="AT546" s="28"/>
      <c r="AU546" s="229"/>
      <c r="AV546" s="318">
        <f t="shared" si="65"/>
        <v>257490.43750444287</v>
      </c>
      <c r="AW546" s="229"/>
      <c r="AX546" s="313"/>
      <c r="AY546" s="302"/>
      <c r="AZ546" s="14">
        <f t="shared" si="67"/>
        <v>6237.2086757371653</v>
      </c>
      <c r="BA546" s="14">
        <f t="shared" si="66"/>
        <v>-4.9796447922421549E-2</v>
      </c>
      <c r="BB546" s="14">
        <f t="shared" si="61"/>
        <v>-125254.08811195094</v>
      </c>
      <c r="BC546" s="302"/>
      <c r="BD546" s="302"/>
      <c r="BE546" s="302"/>
      <c r="BF546" s="302"/>
      <c r="BG546" s="302"/>
      <c r="BH546" s="302"/>
      <c r="BI546" s="302"/>
      <c r="BJ546" s="302"/>
      <c r="BK546" s="302"/>
      <c r="BL546" s="302"/>
      <c r="BM546" s="302"/>
      <c r="BN546" s="302"/>
      <c r="BO546" s="302"/>
      <c r="BP546" s="14"/>
      <c r="BQ546" s="14"/>
      <c r="BR546" s="14"/>
      <c r="BS546" s="14"/>
      <c r="BT546" s="14"/>
      <c r="BU546" s="14"/>
      <c r="BV546" s="14"/>
      <c r="BW546" s="14"/>
      <c r="BX546" s="14"/>
      <c r="BY546" s="14"/>
      <c r="BZ546" s="14"/>
      <c r="CA546" s="14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</row>
    <row r="547" spans="1:101" ht="14.25" customHeight="1" x14ac:dyDescent="0.2">
      <c r="A547" s="286"/>
      <c r="B547" s="52">
        <v>0.15342138313330173</v>
      </c>
      <c r="C547" s="288">
        <v>0.38789090673020221</v>
      </c>
      <c r="D547" s="288">
        <v>1.5352358511645403E-2</v>
      </c>
      <c r="E547" s="288">
        <v>2.7247340462052017E-2</v>
      </c>
      <c r="F547" s="289">
        <v>0.7733848843351171</v>
      </c>
      <c r="G547" s="92">
        <v>0.36992794485174141</v>
      </c>
      <c r="H547" s="288">
        <v>0.4337123020284277</v>
      </c>
      <c r="I547" s="288">
        <v>4.2496902896851374E-2</v>
      </c>
      <c r="J547" s="288">
        <v>0.99999999086624947</v>
      </c>
      <c r="K547" s="288">
        <v>0.80342310236852998</v>
      </c>
      <c r="L547" s="290">
        <v>9017.6700041590775</v>
      </c>
      <c r="M547" s="288">
        <v>0</v>
      </c>
      <c r="N547" s="288">
        <v>21085.935831329945</v>
      </c>
      <c r="O547" s="288">
        <v>1475.8918809488216</v>
      </c>
      <c r="P547" s="288">
        <v>48214.554359628164</v>
      </c>
      <c r="Q547" s="291">
        <v>76697.680147756502</v>
      </c>
      <c r="R547" s="288">
        <v>18536.179561612345</v>
      </c>
      <c r="S547" s="288">
        <v>9638.8120182881248</v>
      </c>
      <c r="T547" s="290">
        <v>0.751</v>
      </c>
      <c r="U547" s="288">
        <v>0.75800000000000001</v>
      </c>
      <c r="V547" s="288">
        <v>0.723923076923077</v>
      </c>
      <c r="W547" s="288">
        <v>0.72750000000000004</v>
      </c>
      <c r="X547" s="288">
        <v>0.76</v>
      </c>
      <c r="Y547" s="288">
        <v>0</v>
      </c>
      <c r="Z547" s="289">
        <v>0</v>
      </c>
      <c r="AA547" s="229"/>
      <c r="AB547" s="293">
        <v>84349.007873736235</v>
      </c>
      <c r="AC547" s="294">
        <v>3.1116906895042762</v>
      </c>
      <c r="AD547" s="295">
        <v>83021.899009816785</v>
      </c>
      <c r="AE547" s="294">
        <v>3.2563579948781705</v>
      </c>
      <c r="AF547" s="295">
        <v>1327.1088639194495</v>
      </c>
      <c r="AG547" s="296">
        <v>-0.14466730537389427</v>
      </c>
      <c r="AH547" s="229"/>
      <c r="AI547" s="205">
        <f t="shared" si="62"/>
        <v>226820.0610766914</v>
      </c>
      <c r="AJ547" s="205">
        <f t="shared" si="63"/>
        <v>242613.90047800026</v>
      </c>
      <c r="AK547" s="205">
        <f t="shared" si="64"/>
        <v>-15793.839401308876</v>
      </c>
      <c r="AL547" s="229"/>
      <c r="AM547" s="52">
        <f t="shared" si="58"/>
        <v>0</v>
      </c>
      <c r="AN547" s="52">
        <f t="shared" si="59"/>
        <v>1</v>
      </c>
      <c r="AO547" s="52">
        <f t="shared" si="60"/>
        <v>0</v>
      </c>
      <c r="AP547" s="229"/>
      <c r="AQ547" s="28"/>
      <c r="AR547" s="28"/>
      <c r="AS547" s="28"/>
      <c r="AT547" s="28"/>
      <c r="AU547" s="229"/>
      <c r="AV547" s="318">
        <f t="shared" si="65"/>
        <v>242613.90047800026</v>
      </c>
      <c r="AW547" s="229"/>
      <c r="AX547" s="313"/>
      <c r="AY547" s="302"/>
      <c r="AZ547" s="14">
        <f t="shared" si="67"/>
        <v>1327.1088639194495</v>
      </c>
      <c r="BA547" s="14">
        <f t="shared" si="66"/>
        <v>-0.14466730537389427</v>
      </c>
      <c r="BB547" s="14">
        <f t="shared" si="61"/>
        <v>-9173.5230741287523</v>
      </c>
      <c r="BC547" s="302"/>
      <c r="BD547" s="302"/>
      <c r="BE547" s="302"/>
      <c r="BF547" s="302"/>
      <c r="BG547" s="302"/>
      <c r="BH547" s="302"/>
      <c r="BI547" s="302"/>
      <c r="BJ547" s="302"/>
      <c r="BK547" s="302"/>
      <c r="BL547" s="302"/>
      <c r="BM547" s="302"/>
      <c r="BN547" s="302"/>
      <c r="BO547" s="302"/>
      <c r="BP547" s="14"/>
      <c r="BQ547" s="14"/>
      <c r="BR547" s="14"/>
      <c r="BS547" s="14"/>
      <c r="BT547" s="14"/>
      <c r="BU547" s="14"/>
      <c r="BV547" s="14"/>
      <c r="BW547" s="14"/>
      <c r="BX547" s="14"/>
      <c r="BY547" s="14"/>
      <c r="BZ547" s="14"/>
      <c r="CA547" s="14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</row>
    <row r="548" spans="1:101" ht="14.25" customHeight="1" x14ac:dyDescent="0.2">
      <c r="A548" s="286"/>
      <c r="B548" s="52">
        <v>0.16084194645916194</v>
      </c>
      <c r="C548" s="288">
        <v>2.5495199309409546E-2</v>
      </c>
      <c r="D548" s="288">
        <v>7.8870948259979739E-3</v>
      </c>
      <c r="E548" s="288">
        <v>1.7344888709004191E-2</v>
      </c>
      <c r="F548" s="289">
        <v>0.79039872678844447</v>
      </c>
      <c r="G548" s="92">
        <v>0.41871504578713237</v>
      </c>
      <c r="H548" s="288">
        <v>3.7323374790396747E-2</v>
      </c>
      <c r="I548" s="288">
        <v>1.5806561193535299E-2</v>
      </c>
      <c r="J548" s="288">
        <v>0.9999999996600264</v>
      </c>
      <c r="K548" s="288">
        <v>0.76429420885306953</v>
      </c>
      <c r="L548" s="290">
        <v>11505.288294765174</v>
      </c>
      <c r="M548" s="288">
        <v>0</v>
      </c>
      <c r="N548" s="288">
        <v>23144.193812955851</v>
      </c>
      <c r="O548" s="288">
        <v>1577.5976774244625</v>
      </c>
      <c r="P548" s="288">
        <v>41803.421148085894</v>
      </c>
      <c r="Q548" s="291">
        <v>96859.475738321009</v>
      </c>
      <c r="R548" s="288">
        <v>28404.187562795603</v>
      </c>
      <c r="S548" s="288">
        <v>7374.6380875846899</v>
      </c>
      <c r="T548" s="290">
        <v>0.751</v>
      </c>
      <c r="U548" s="288">
        <v>0.75800000000000001</v>
      </c>
      <c r="V548" s="288">
        <v>0.723923076923077</v>
      </c>
      <c r="W548" s="288">
        <v>0.72750000000000004</v>
      </c>
      <c r="X548" s="288">
        <v>0.76</v>
      </c>
      <c r="Y548" s="288">
        <v>0</v>
      </c>
      <c r="Z548" s="289">
        <v>0</v>
      </c>
      <c r="AA548" s="229"/>
      <c r="AB548" s="293">
        <v>69719.289878947457</v>
      </c>
      <c r="AC548" s="294">
        <v>3.1906917439461027</v>
      </c>
      <c r="AD548" s="295">
        <v>58376.6950153539</v>
      </c>
      <c r="AE548" s="294">
        <v>3.0741948348131674</v>
      </c>
      <c r="AF548" s="295">
        <v>11342.594863593557</v>
      </c>
      <c r="AG548" s="296">
        <v>0.11649690913293531</v>
      </c>
      <c r="AH548" s="229"/>
      <c r="AI548" s="205">
        <f t="shared" si="62"/>
        <v>249349.88451566282</v>
      </c>
      <c r="AJ548" s="205">
        <f t="shared" si="63"/>
        <v>249042.7884659628</v>
      </c>
      <c r="AK548" s="205">
        <f t="shared" si="64"/>
        <v>307.09604969997417</v>
      </c>
      <c r="AL548" s="229"/>
      <c r="AM548" s="52">
        <f t="shared" si="58"/>
        <v>1</v>
      </c>
      <c r="AN548" s="52">
        <f t="shared" si="59"/>
        <v>0</v>
      </c>
      <c r="AO548" s="52">
        <f t="shared" si="60"/>
        <v>1</v>
      </c>
      <c r="AP548" s="229"/>
      <c r="AQ548" s="28"/>
      <c r="AR548" s="28"/>
      <c r="AS548" s="28"/>
      <c r="AT548" s="28"/>
      <c r="AU548" s="229"/>
      <c r="AV548" s="318">
        <f t="shared" si="65"/>
        <v>249349.88451566282</v>
      </c>
      <c r="AW548" s="229"/>
      <c r="AX548" s="313"/>
      <c r="AY548" s="302"/>
      <c r="AZ548" s="14">
        <f t="shared" si="67"/>
        <v>11342.594863593557</v>
      </c>
      <c r="BA548" s="14">
        <f t="shared" si="66"/>
        <v>0.11649690913293531</v>
      </c>
      <c r="BB548" s="14">
        <f t="shared" si="61"/>
        <v>97363.912467844566</v>
      </c>
      <c r="BC548" s="302"/>
      <c r="BD548" s="302"/>
      <c r="BE548" s="302"/>
      <c r="BF548" s="302"/>
      <c r="BG548" s="302"/>
      <c r="BH548" s="302"/>
      <c r="BI548" s="302"/>
      <c r="BJ548" s="302"/>
      <c r="BK548" s="302"/>
      <c r="BL548" s="302"/>
      <c r="BM548" s="302"/>
      <c r="BN548" s="302"/>
      <c r="BO548" s="302"/>
      <c r="BP548" s="14"/>
      <c r="BQ548" s="14"/>
      <c r="BR548" s="14"/>
      <c r="BS548" s="14"/>
      <c r="BT548" s="14"/>
      <c r="BU548" s="14"/>
      <c r="BV548" s="14"/>
      <c r="BW548" s="14"/>
      <c r="BX548" s="14"/>
      <c r="BY548" s="14"/>
      <c r="BZ548" s="14"/>
      <c r="CA548" s="14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</row>
    <row r="549" spans="1:101" ht="14.25" customHeight="1" x14ac:dyDescent="0.2">
      <c r="A549" s="286"/>
      <c r="B549" s="52">
        <v>0.13687971411771749</v>
      </c>
      <c r="C549" s="288">
        <v>0.77420372487680544</v>
      </c>
      <c r="D549" s="288">
        <v>1.2719149508492792E-2</v>
      </c>
      <c r="E549" s="288">
        <v>1.448230036725362E-2</v>
      </c>
      <c r="F549" s="289">
        <v>0.7595818144934231</v>
      </c>
      <c r="G549" s="92">
        <v>0.38121228215003256</v>
      </c>
      <c r="H549" s="288">
        <v>0.18364087893503411</v>
      </c>
      <c r="I549" s="288">
        <v>2.8245099175457922E-2</v>
      </c>
      <c r="J549" s="288">
        <v>0.99999999999996536</v>
      </c>
      <c r="K549" s="288">
        <v>0.7807118407354956</v>
      </c>
      <c r="L549" s="290">
        <v>13092.616879300513</v>
      </c>
      <c r="M549" s="288">
        <v>0</v>
      </c>
      <c r="N549" s="288">
        <v>17914.863792890286</v>
      </c>
      <c r="O549" s="288">
        <v>1563.9513611732539</v>
      </c>
      <c r="P549" s="288">
        <v>48864.85216130739</v>
      </c>
      <c r="Q549" s="291">
        <v>98628.732015371119</v>
      </c>
      <c r="R549" s="288">
        <v>25309.634677419643</v>
      </c>
      <c r="S549" s="288">
        <v>9596.1738417740617</v>
      </c>
      <c r="T549" s="290">
        <v>0.751</v>
      </c>
      <c r="U549" s="288">
        <v>0.75800000000000001</v>
      </c>
      <c r="V549" s="288">
        <v>0.723923076923077</v>
      </c>
      <c r="W549" s="288">
        <v>0.72750000000000004</v>
      </c>
      <c r="X549" s="288">
        <v>0.76</v>
      </c>
      <c r="Y549" s="288">
        <v>0</v>
      </c>
      <c r="Z549" s="289">
        <v>0</v>
      </c>
      <c r="AA549" s="229"/>
      <c r="AB549" s="293">
        <v>88340.762252401255</v>
      </c>
      <c r="AC549" s="294">
        <v>3.0479319386629022</v>
      </c>
      <c r="AD549" s="295">
        <v>79015.265393963011</v>
      </c>
      <c r="AE549" s="294">
        <v>3.1503326667484197</v>
      </c>
      <c r="AF549" s="295">
        <v>9325.4968584382441</v>
      </c>
      <c r="AG549" s="296">
        <v>-0.10240072808551748</v>
      </c>
      <c r="AH549" s="229"/>
      <c r="AI549" s="205">
        <f t="shared" si="62"/>
        <v>216452.43161388894</v>
      </c>
      <c r="AJ549" s="205">
        <f t="shared" si="63"/>
        <v>236018.00128087896</v>
      </c>
      <c r="AK549" s="205">
        <f t="shared" si="64"/>
        <v>-19565.569666989992</v>
      </c>
      <c r="AL549" s="229"/>
      <c r="AM549" s="52">
        <f t="shared" si="58"/>
        <v>0</v>
      </c>
      <c r="AN549" s="52">
        <f t="shared" si="59"/>
        <v>1</v>
      </c>
      <c r="AO549" s="52">
        <f t="shared" si="60"/>
        <v>0</v>
      </c>
      <c r="AP549" s="229"/>
      <c r="AQ549" s="28"/>
      <c r="AR549" s="28"/>
      <c r="AS549" s="28"/>
      <c r="AT549" s="28"/>
      <c r="AU549" s="229"/>
      <c r="AV549" s="318">
        <f t="shared" si="65"/>
        <v>236018.00128087896</v>
      </c>
      <c r="AW549" s="229"/>
      <c r="AX549" s="313"/>
      <c r="AY549" s="302"/>
      <c r="AZ549" s="14">
        <f t="shared" si="67"/>
        <v>9325.4968584382441</v>
      </c>
      <c r="BA549" s="14">
        <f t="shared" si="66"/>
        <v>-0.10240072808551748</v>
      </c>
      <c r="BB549" s="14">
        <f t="shared" si="61"/>
        <v>-91068.657740893032</v>
      </c>
      <c r="BC549" s="302"/>
      <c r="BD549" s="302"/>
      <c r="BE549" s="302"/>
      <c r="BF549" s="302"/>
      <c r="BG549" s="302"/>
      <c r="BH549" s="302"/>
      <c r="BI549" s="302"/>
      <c r="BJ549" s="302"/>
      <c r="BK549" s="302"/>
      <c r="BL549" s="302"/>
      <c r="BM549" s="302"/>
      <c r="BN549" s="302"/>
      <c r="BO549" s="302"/>
      <c r="BP549" s="14"/>
      <c r="BQ549" s="14"/>
      <c r="BR549" s="14"/>
      <c r="BS549" s="14"/>
      <c r="BT549" s="14"/>
      <c r="BU549" s="14"/>
      <c r="BV549" s="14"/>
      <c r="BW549" s="14"/>
      <c r="BX549" s="14"/>
      <c r="BY549" s="14"/>
      <c r="BZ549" s="14"/>
      <c r="CA549" s="14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</row>
    <row r="550" spans="1:101" ht="14.25" customHeight="1" x14ac:dyDescent="0.2">
      <c r="A550" s="286"/>
      <c r="B550" s="52">
        <v>0.15595151218645256</v>
      </c>
      <c r="C550" s="288">
        <v>0.18183284817440828</v>
      </c>
      <c r="D550" s="288">
        <v>1.5549622373556504E-2</v>
      </c>
      <c r="E550" s="288">
        <v>1.3452271777808502E-2</v>
      </c>
      <c r="F550" s="289">
        <v>0.81887597516336064</v>
      </c>
      <c r="G550" s="92">
        <v>0.40114889560680478</v>
      </c>
      <c r="H550" s="288">
        <v>0.20949570660465303</v>
      </c>
      <c r="I550" s="288">
        <v>2.1672616649135668E-2</v>
      </c>
      <c r="J550" s="288">
        <v>0.10648330923555739</v>
      </c>
      <c r="K550" s="288">
        <v>0.77615118402059957</v>
      </c>
      <c r="L550" s="290">
        <v>12680.818696076221</v>
      </c>
      <c r="M550" s="288">
        <v>0</v>
      </c>
      <c r="N550" s="288">
        <v>15178.440610106207</v>
      </c>
      <c r="O550" s="288">
        <v>1411.281826382603</v>
      </c>
      <c r="P550" s="288">
        <v>38225.77914120481</v>
      </c>
      <c r="Q550" s="291">
        <v>115965.87981778823</v>
      </c>
      <c r="R550" s="288">
        <v>20533.366575416439</v>
      </c>
      <c r="S550" s="288">
        <v>8530.6037111692949</v>
      </c>
      <c r="T550" s="290">
        <v>0.751</v>
      </c>
      <c r="U550" s="288">
        <v>0.75800000000000001</v>
      </c>
      <c r="V550" s="288">
        <v>0.723923076923077</v>
      </c>
      <c r="W550" s="288">
        <v>0.72750000000000004</v>
      </c>
      <c r="X550" s="288">
        <v>0.76</v>
      </c>
      <c r="Y550" s="288">
        <v>0</v>
      </c>
      <c r="Z550" s="289">
        <v>0</v>
      </c>
      <c r="AA550" s="229"/>
      <c r="AB550" s="293">
        <v>82938.615305309067</v>
      </c>
      <c r="AC550" s="294">
        <v>3.3239372544791244</v>
      </c>
      <c r="AD550" s="295">
        <v>69366.417833404455</v>
      </c>
      <c r="AE550" s="294">
        <v>3.1291397073149265</v>
      </c>
      <c r="AF550" s="295">
        <v>13572.197471904612</v>
      </c>
      <c r="AG550" s="296">
        <v>0.19479754716419784</v>
      </c>
      <c r="AH550" s="229"/>
      <c r="AI550" s="205">
        <f t="shared" si="62"/>
        <v>249455.11014260334</v>
      </c>
      <c r="AJ550" s="205">
        <f t="shared" si="63"/>
        <v>243547.55289808824</v>
      </c>
      <c r="AK550" s="205">
        <f t="shared" si="64"/>
        <v>5907.5572445151702</v>
      </c>
      <c r="AL550" s="229"/>
      <c r="AM550" s="52">
        <f t="shared" si="58"/>
        <v>1</v>
      </c>
      <c r="AN550" s="52">
        <f t="shared" si="59"/>
        <v>0</v>
      </c>
      <c r="AO550" s="52">
        <f t="shared" si="60"/>
        <v>1</v>
      </c>
      <c r="AP550" s="229"/>
      <c r="AQ550" s="28"/>
      <c r="AR550" s="28"/>
      <c r="AS550" s="28"/>
      <c r="AT550" s="28"/>
      <c r="AU550" s="229"/>
      <c r="AV550" s="318">
        <f t="shared" si="65"/>
        <v>249455.11014260334</v>
      </c>
      <c r="AW550" s="229"/>
      <c r="AX550" s="313"/>
      <c r="AY550" s="302"/>
      <c r="AZ550" s="14">
        <f t="shared" si="67"/>
        <v>13572.197471904612</v>
      </c>
      <c r="BA550" s="14">
        <f t="shared" si="66"/>
        <v>0.19479754716419784</v>
      </c>
      <c r="BB550" s="14">
        <f t="shared" si="61"/>
        <v>69673.348917809519</v>
      </c>
      <c r="BC550" s="302"/>
      <c r="BD550" s="302"/>
      <c r="BE550" s="302"/>
      <c r="BF550" s="302"/>
      <c r="BG550" s="302"/>
      <c r="BH550" s="302"/>
      <c r="BI550" s="302"/>
      <c r="BJ550" s="302"/>
      <c r="BK550" s="302"/>
      <c r="BL550" s="302"/>
      <c r="BM550" s="302"/>
      <c r="BN550" s="302"/>
      <c r="BO550" s="302"/>
      <c r="BP550" s="14"/>
      <c r="BQ550" s="14"/>
      <c r="BR550" s="14"/>
      <c r="BS550" s="14"/>
      <c r="BT550" s="14"/>
      <c r="BU550" s="14"/>
      <c r="BV550" s="14"/>
      <c r="BW550" s="14"/>
      <c r="BX550" s="14"/>
      <c r="BY550" s="14"/>
      <c r="BZ550" s="14"/>
      <c r="CA550" s="14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</row>
    <row r="551" spans="1:101" ht="14.25" customHeight="1" x14ac:dyDescent="0.2">
      <c r="A551" s="286"/>
      <c r="B551" s="52">
        <v>0.17668242857414762</v>
      </c>
      <c r="C551" s="288">
        <v>0.14197821068406993</v>
      </c>
      <c r="D551" s="288">
        <v>1.4033378471146855E-2</v>
      </c>
      <c r="E551" s="288">
        <v>1.6256262957152545E-2</v>
      </c>
      <c r="F551" s="289">
        <v>0.77748211977236936</v>
      </c>
      <c r="G551" s="92">
        <v>0.3566042893333734</v>
      </c>
      <c r="H551" s="288">
        <v>0.80865582498443511</v>
      </c>
      <c r="I551" s="288">
        <v>3.1416923054552459E-2</v>
      </c>
      <c r="J551" s="288">
        <v>0.9999999954614387</v>
      </c>
      <c r="K551" s="288">
        <v>0.75147367849027968</v>
      </c>
      <c r="L551" s="290">
        <v>12451.550503459657</v>
      </c>
      <c r="M551" s="288">
        <v>0</v>
      </c>
      <c r="N551" s="288">
        <v>15894.646350594696</v>
      </c>
      <c r="O551" s="288">
        <v>1002.2998475789412</v>
      </c>
      <c r="P551" s="288">
        <v>45178.313246703008</v>
      </c>
      <c r="Q551" s="291">
        <v>130989.73660931109</v>
      </c>
      <c r="R551" s="288">
        <v>23520.421438600268</v>
      </c>
      <c r="S551" s="288">
        <v>8418.034217101831</v>
      </c>
      <c r="T551" s="290">
        <v>0.751</v>
      </c>
      <c r="U551" s="288">
        <v>0.75800000000000001</v>
      </c>
      <c r="V551" s="288">
        <v>0.723923076923077</v>
      </c>
      <c r="W551" s="288">
        <v>0.72750000000000004</v>
      </c>
      <c r="X551" s="288">
        <v>0.76</v>
      </c>
      <c r="Y551" s="288">
        <v>0</v>
      </c>
      <c r="Z551" s="289">
        <v>0</v>
      </c>
      <c r="AA551" s="229"/>
      <c r="AB551" s="293">
        <v>78355.077894610731</v>
      </c>
      <c r="AC551" s="294">
        <v>3.1306740421362429</v>
      </c>
      <c r="AD551" s="295">
        <v>72195.398440006742</v>
      </c>
      <c r="AE551" s="294">
        <v>3.0150342219837483</v>
      </c>
      <c r="AF551" s="295">
        <v>6159.6794546039891</v>
      </c>
      <c r="AG551" s="296">
        <v>0.11563982015249463</v>
      </c>
      <c r="AH551" s="229"/>
      <c r="AI551" s="205">
        <f t="shared" si="62"/>
        <v>234712.32631901358</v>
      </c>
      <c r="AJ551" s="205">
        <f t="shared" si="63"/>
        <v>229308.02375836807</v>
      </c>
      <c r="AK551" s="205">
        <f t="shared" si="64"/>
        <v>5404.3025606454739</v>
      </c>
      <c r="AL551" s="229"/>
      <c r="AM551" s="52">
        <f t="shared" si="58"/>
        <v>1</v>
      </c>
      <c r="AN551" s="52">
        <f t="shared" si="59"/>
        <v>0</v>
      </c>
      <c r="AO551" s="52">
        <f t="shared" si="60"/>
        <v>1</v>
      </c>
      <c r="AP551" s="229"/>
      <c r="AQ551" s="28"/>
      <c r="AR551" s="28"/>
      <c r="AS551" s="28"/>
      <c r="AT551" s="28"/>
      <c r="AU551" s="229"/>
      <c r="AV551" s="318">
        <f t="shared" si="65"/>
        <v>234712.32631901358</v>
      </c>
      <c r="AW551" s="229"/>
      <c r="AX551" s="313"/>
      <c r="AY551" s="302"/>
      <c r="AZ551" s="14">
        <f t="shared" si="67"/>
        <v>6159.6794546039891</v>
      </c>
      <c r="BA551" s="14">
        <f t="shared" si="66"/>
        <v>0.11563982015249463</v>
      </c>
      <c r="BB551" s="14">
        <f t="shared" si="61"/>
        <v>53266.076049592593</v>
      </c>
      <c r="BC551" s="302"/>
      <c r="BD551" s="302"/>
      <c r="BE551" s="302"/>
      <c r="BF551" s="302"/>
      <c r="BG551" s="302"/>
      <c r="BH551" s="302"/>
      <c r="BI551" s="302"/>
      <c r="BJ551" s="302"/>
      <c r="BK551" s="302"/>
      <c r="BL551" s="302"/>
      <c r="BM551" s="302"/>
      <c r="BN551" s="302"/>
      <c r="BO551" s="302"/>
      <c r="BP551" s="14"/>
      <c r="BQ551" s="14"/>
      <c r="BR551" s="14"/>
      <c r="BS551" s="14"/>
      <c r="BT551" s="14"/>
      <c r="BU551" s="14"/>
      <c r="BV551" s="14"/>
      <c r="BW551" s="14"/>
      <c r="BX551" s="14"/>
      <c r="BY551" s="14"/>
      <c r="BZ551" s="14"/>
      <c r="CA551" s="14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</row>
    <row r="552" spans="1:101" ht="14.25" customHeight="1" x14ac:dyDescent="0.2">
      <c r="A552" s="286"/>
      <c r="B552" s="52">
        <v>0.17851934006057646</v>
      </c>
      <c r="C552" s="288">
        <v>8.0850285746645933E-2</v>
      </c>
      <c r="D552" s="288">
        <v>1.9199671231768911E-2</v>
      </c>
      <c r="E552" s="288">
        <v>1.47620473272978E-2</v>
      </c>
      <c r="F552" s="289">
        <v>0.80392438683144485</v>
      </c>
      <c r="G552" s="92">
        <v>0.40137113252920831</v>
      </c>
      <c r="H552" s="288">
        <v>0.65906972291304666</v>
      </c>
      <c r="I552" s="288">
        <v>8.5095705115471581E-3</v>
      </c>
      <c r="J552" s="288">
        <v>0.99999999990175503</v>
      </c>
      <c r="K552" s="288">
        <v>0.7584561352714152</v>
      </c>
      <c r="L552" s="290">
        <v>11145.319814851038</v>
      </c>
      <c r="M552" s="288">
        <v>0</v>
      </c>
      <c r="N552" s="288">
        <v>18519.268512237428</v>
      </c>
      <c r="O552" s="288">
        <v>1472.4624343918729</v>
      </c>
      <c r="P552" s="288">
        <v>41467.422792523852</v>
      </c>
      <c r="Q552" s="291">
        <v>126539.11264730217</v>
      </c>
      <c r="R552" s="288">
        <v>27371.410004103367</v>
      </c>
      <c r="S552" s="288">
        <v>8949.7168903176225</v>
      </c>
      <c r="T552" s="290">
        <v>0.751</v>
      </c>
      <c r="U552" s="288">
        <v>0.75800000000000001</v>
      </c>
      <c r="V552" s="288">
        <v>0.723923076923077</v>
      </c>
      <c r="W552" s="288">
        <v>0.72750000000000004</v>
      </c>
      <c r="X552" s="288">
        <v>0.76</v>
      </c>
      <c r="Y552" s="288">
        <v>0</v>
      </c>
      <c r="Z552" s="289">
        <v>0</v>
      </c>
      <c r="AA552" s="229"/>
      <c r="AB552" s="293">
        <v>83485.905526939794</v>
      </c>
      <c r="AC552" s="294">
        <v>3.2538199293725274</v>
      </c>
      <c r="AD552" s="295">
        <v>76101.151329186512</v>
      </c>
      <c r="AE552" s="294">
        <v>3.0472227916264139</v>
      </c>
      <c r="AF552" s="295">
        <v>7384.7541977532819</v>
      </c>
      <c r="AG552" s="296">
        <v>0.20659713774611355</v>
      </c>
      <c r="AH552" s="229"/>
      <c r="AI552" s="205">
        <f t="shared" si="62"/>
        <v>241896.08741031296</v>
      </c>
      <c r="AJ552" s="205">
        <f t="shared" si="63"/>
        <v>228621.12783345487</v>
      </c>
      <c r="AK552" s="205">
        <f t="shared" si="64"/>
        <v>13274.959576858073</v>
      </c>
      <c r="AL552" s="229"/>
      <c r="AM552" s="52">
        <f t="shared" si="58"/>
        <v>1</v>
      </c>
      <c r="AN552" s="52">
        <f t="shared" si="59"/>
        <v>0</v>
      </c>
      <c r="AO552" s="52">
        <f t="shared" si="60"/>
        <v>1</v>
      </c>
      <c r="AP552" s="229"/>
      <c r="AQ552" s="28"/>
      <c r="AR552" s="28"/>
      <c r="AS552" s="28"/>
      <c r="AT552" s="28"/>
      <c r="AU552" s="229"/>
      <c r="AV552" s="318">
        <f t="shared" si="65"/>
        <v>241896.08741031296</v>
      </c>
      <c r="AW552" s="229"/>
      <c r="AX552" s="313"/>
      <c r="AY552" s="302"/>
      <c r="AZ552" s="14">
        <f t="shared" si="67"/>
        <v>7384.7541977532819</v>
      </c>
      <c r="BA552" s="14">
        <f t="shared" si="66"/>
        <v>0.20659713774611355</v>
      </c>
      <c r="BB552" s="14">
        <f t="shared" si="61"/>
        <v>35744.707203196485</v>
      </c>
      <c r="BC552" s="302"/>
      <c r="BD552" s="302"/>
      <c r="BE552" s="302"/>
      <c r="BF552" s="302"/>
      <c r="BG552" s="302"/>
      <c r="BH552" s="302"/>
      <c r="BI552" s="302"/>
      <c r="BJ552" s="302"/>
      <c r="BK552" s="302"/>
      <c r="BL552" s="302"/>
      <c r="BM552" s="302"/>
      <c r="BN552" s="302"/>
      <c r="BO552" s="302"/>
      <c r="BP552" s="14"/>
      <c r="BQ552" s="14"/>
      <c r="BR552" s="14"/>
      <c r="BS552" s="14"/>
      <c r="BT552" s="14"/>
      <c r="BU552" s="14"/>
      <c r="BV552" s="14"/>
      <c r="BW552" s="14"/>
      <c r="BX552" s="14"/>
      <c r="BY552" s="14"/>
      <c r="BZ552" s="14"/>
      <c r="CA552" s="14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</row>
    <row r="553" spans="1:101" ht="14.25" customHeight="1" x14ac:dyDescent="0.2">
      <c r="A553" s="286"/>
      <c r="B553" s="52">
        <v>0.16154224654006399</v>
      </c>
      <c r="C553" s="288">
        <v>0.2647862742281718</v>
      </c>
      <c r="D553" s="288">
        <v>1.1329286633783971E-2</v>
      </c>
      <c r="E553" s="288">
        <v>2.2847446835035368E-2</v>
      </c>
      <c r="F553" s="289">
        <v>0.80029563427143224</v>
      </c>
      <c r="G553" s="92">
        <v>0.41079598392524919</v>
      </c>
      <c r="H553" s="288">
        <v>0.24630522980915803</v>
      </c>
      <c r="I553" s="288">
        <v>2.8057580344133193E-2</v>
      </c>
      <c r="J553" s="288">
        <v>0.35269915002459729</v>
      </c>
      <c r="K553" s="288">
        <v>0.71168220369046464</v>
      </c>
      <c r="L553" s="290">
        <v>10402.069268912546</v>
      </c>
      <c r="M553" s="288">
        <v>0</v>
      </c>
      <c r="N553" s="288">
        <v>14629.459808646528</v>
      </c>
      <c r="O553" s="288">
        <v>1432.7257032390123</v>
      </c>
      <c r="P553" s="288">
        <v>42576.434263505093</v>
      </c>
      <c r="Q553" s="291">
        <v>94448.61755528787</v>
      </c>
      <c r="R553" s="288">
        <v>26665.216735240978</v>
      </c>
      <c r="S553" s="288">
        <v>5328.934578821274</v>
      </c>
      <c r="T553" s="290">
        <v>0.751</v>
      </c>
      <c r="U553" s="288">
        <v>0.75800000000000001</v>
      </c>
      <c r="V553" s="288">
        <v>0.723923076923077</v>
      </c>
      <c r="W553" s="288">
        <v>0.72750000000000004</v>
      </c>
      <c r="X553" s="288">
        <v>0.76</v>
      </c>
      <c r="Y553" s="288">
        <v>0</v>
      </c>
      <c r="Z553" s="289">
        <v>0</v>
      </c>
      <c r="AA553" s="229"/>
      <c r="AB553" s="293">
        <v>54179.851722899024</v>
      </c>
      <c r="AC553" s="294">
        <v>3.2368553217011065</v>
      </c>
      <c r="AD553" s="295">
        <v>42430.580835090077</v>
      </c>
      <c r="AE553" s="294">
        <v>2.8330655535336677</v>
      </c>
      <c r="AF553" s="295">
        <v>11749.270887808947</v>
      </c>
      <c r="AG553" s="296">
        <v>0.40378976816743872</v>
      </c>
      <c r="AH553" s="229"/>
      <c r="AI553" s="205">
        <f t="shared" si="62"/>
        <v>269505.68044721166</v>
      </c>
      <c r="AJ553" s="205">
        <f t="shared" si="63"/>
        <v>240875.97451827669</v>
      </c>
      <c r="AK553" s="205">
        <f t="shared" si="64"/>
        <v>28629.705928934927</v>
      </c>
      <c r="AL553" s="229"/>
      <c r="AM553" s="52">
        <f t="shared" si="58"/>
        <v>1</v>
      </c>
      <c r="AN553" s="52">
        <f t="shared" si="59"/>
        <v>0</v>
      </c>
      <c r="AO553" s="52">
        <f t="shared" si="60"/>
        <v>1</v>
      </c>
      <c r="AP553" s="229"/>
      <c r="AQ553" s="28"/>
      <c r="AR553" s="28"/>
      <c r="AS553" s="28"/>
      <c r="AT553" s="28"/>
      <c r="AU553" s="229"/>
      <c r="AV553" s="318">
        <f t="shared" si="65"/>
        <v>269505.68044721166</v>
      </c>
      <c r="AW553" s="229"/>
      <c r="AX553" s="313"/>
      <c r="AY553" s="302"/>
      <c r="AZ553" s="14">
        <f t="shared" si="67"/>
        <v>11749.270887808947</v>
      </c>
      <c r="BA553" s="14">
        <f t="shared" si="66"/>
        <v>0.40378976816743872</v>
      </c>
      <c r="BB553" s="14">
        <f t="shared" si="61"/>
        <v>29097.495315772587</v>
      </c>
      <c r="BC553" s="302"/>
      <c r="BD553" s="302"/>
      <c r="BE553" s="302"/>
      <c r="BF553" s="302"/>
      <c r="BG553" s="302"/>
      <c r="BH553" s="302"/>
      <c r="BI553" s="302"/>
      <c r="BJ553" s="302"/>
      <c r="BK553" s="302"/>
      <c r="BL553" s="302"/>
      <c r="BM553" s="302"/>
      <c r="BN553" s="302"/>
      <c r="BO553" s="302"/>
      <c r="BP553" s="14"/>
      <c r="BQ553" s="14"/>
      <c r="BR553" s="14"/>
      <c r="BS553" s="14"/>
      <c r="BT553" s="14"/>
      <c r="BU553" s="14"/>
      <c r="BV553" s="14"/>
      <c r="BW553" s="14"/>
      <c r="BX553" s="14"/>
      <c r="BY553" s="14"/>
      <c r="BZ553" s="14"/>
      <c r="CA553" s="14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</row>
    <row r="554" spans="1:101" ht="14.25" customHeight="1" x14ac:dyDescent="0.2">
      <c r="A554" s="286"/>
      <c r="B554" s="52">
        <v>0.14613274363530671</v>
      </c>
      <c r="C554" s="288">
        <v>0.19123629084500759</v>
      </c>
      <c r="D554" s="288">
        <v>1.8112752050290171E-2</v>
      </c>
      <c r="E554" s="288">
        <v>1.3394303763202411E-2</v>
      </c>
      <c r="F554" s="289">
        <v>0.78981709701317837</v>
      </c>
      <c r="G554" s="92">
        <v>0.36739612237210739</v>
      </c>
      <c r="H554" s="288">
        <v>0.260536551111272</v>
      </c>
      <c r="I554" s="288">
        <v>1.6020452241447769E-2</v>
      </c>
      <c r="J554" s="288">
        <v>1.0083511015862448E-3</v>
      </c>
      <c r="K554" s="288">
        <v>0.78399841281139948</v>
      </c>
      <c r="L554" s="290">
        <v>10776.671828289773</v>
      </c>
      <c r="M554" s="288">
        <v>0</v>
      </c>
      <c r="N554" s="288">
        <v>20311.562790650169</v>
      </c>
      <c r="O554" s="288">
        <v>1230.1977515848848</v>
      </c>
      <c r="P554" s="288">
        <v>60392.461354054481</v>
      </c>
      <c r="Q554" s="291">
        <v>88874.672784803392</v>
      </c>
      <c r="R554" s="288">
        <v>20186.787731677203</v>
      </c>
      <c r="S554" s="288">
        <v>9591.4539656743909</v>
      </c>
      <c r="T554" s="290">
        <v>0.751</v>
      </c>
      <c r="U554" s="288">
        <v>0.75800000000000001</v>
      </c>
      <c r="V554" s="288">
        <v>0.723923076923077</v>
      </c>
      <c r="W554" s="288">
        <v>0.72750000000000004</v>
      </c>
      <c r="X554" s="288">
        <v>0.76</v>
      </c>
      <c r="Y554" s="288">
        <v>0</v>
      </c>
      <c r="Z554" s="289">
        <v>0</v>
      </c>
      <c r="AA554" s="229"/>
      <c r="AB554" s="293">
        <v>86773.391154169207</v>
      </c>
      <c r="AC554" s="294">
        <v>3.1879835437306543</v>
      </c>
      <c r="AD554" s="295">
        <v>77882.471987245022</v>
      </c>
      <c r="AE554" s="294">
        <v>3.165625396176603</v>
      </c>
      <c r="AF554" s="295">
        <v>8890.9191669241845</v>
      </c>
      <c r="AG554" s="296">
        <v>2.23581475540513E-2</v>
      </c>
      <c r="AH554" s="229"/>
      <c r="AI554" s="205">
        <f t="shared" si="62"/>
        <v>232024.96321889618</v>
      </c>
      <c r="AJ554" s="205">
        <f t="shared" si="63"/>
        <v>238680.06763041526</v>
      </c>
      <c r="AK554" s="205">
        <f t="shared" si="64"/>
        <v>-6655.1044115190543</v>
      </c>
      <c r="AL554" s="229"/>
      <c r="AM554" s="52">
        <f t="shared" si="58"/>
        <v>0</v>
      </c>
      <c r="AN554" s="52">
        <f t="shared" si="59"/>
        <v>1</v>
      </c>
      <c r="AO554" s="52">
        <f t="shared" si="60"/>
        <v>0</v>
      </c>
      <c r="AP554" s="229"/>
      <c r="AQ554" s="28"/>
      <c r="AR554" s="28"/>
      <c r="AS554" s="28"/>
      <c r="AT554" s="28"/>
      <c r="AU554" s="229"/>
      <c r="AV554" s="318">
        <f t="shared" si="65"/>
        <v>238680.06763041526</v>
      </c>
      <c r="AW554" s="229"/>
      <c r="AX554" s="313"/>
      <c r="AY554" s="302"/>
      <c r="AZ554" s="14">
        <f t="shared" si="67"/>
        <v>8890.9191669241845</v>
      </c>
      <c r="BA554" s="14">
        <f t="shared" si="66"/>
        <v>2.23581475540513E-2</v>
      </c>
      <c r="BB554" s="14">
        <f t="shared" si="61"/>
        <v>397659.0254371565</v>
      </c>
      <c r="BC554" s="302"/>
      <c r="BD554" s="302"/>
      <c r="BE554" s="302"/>
      <c r="BF554" s="302"/>
      <c r="BG554" s="302"/>
      <c r="BH554" s="302"/>
      <c r="BI554" s="302"/>
      <c r="BJ554" s="302"/>
      <c r="BK554" s="302"/>
      <c r="BL554" s="302"/>
      <c r="BM554" s="302"/>
      <c r="BN554" s="302"/>
      <c r="BO554" s="302"/>
      <c r="BP554" s="14"/>
      <c r="BQ554" s="14"/>
      <c r="BR554" s="14"/>
      <c r="BS554" s="14"/>
      <c r="BT554" s="14"/>
      <c r="BU554" s="14"/>
      <c r="BV554" s="14"/>
      <c r="BW554" s="14"/>
      <c r="BX554" s="14"/>
      <c r="BY554" s="14"/>
      <c r="BZ554" s="14"/>
      <c r="CA554" s="14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</row>
    <row r="555" spans="1:101" ht="14.25" customHeight="1" x14ac:dyDescent="0.2">
      <c r="A555" s="286"/>
      <c r="B555" s="52">
        <v>0.15822338237522965</v>
      </c>
      <c r="C555" s="288">
        <v>0.47325669794752845</v>
      </c>
      <c r="D555" s="288">
        <v>9.3614855339810895E-3</v>
      </c>
      <c r="E555" s="288">
        <v>1.5249315947074349E-2</v>
      </c>
      <c r="F555" s="289">
        <v>0.78564913082508392</v>
      </c>
      <c r="G555" s="92">
        <v>0.48619225785640496</v>
      </c>
      <c r="H555" s="288">
        <v>0.6038163064013935</v>
      </c>
      <c r="I555" s="288">
        <v>1.6348932340554567E-2</v>
      </c>
      <c r="J555" s="288">
        <v>0.32266642691138719</v>
      </c>
      <c r="K555" s="288">
        <v>0.79268153862564683</v>
      </c>
      <c r="L555" s="290">
        <v>13594.704354400326</v>
      </c>
      <c r="M555" s="288">
        <v>0</v>
      </c>
      <c r="N555" s="288">
        <v>15824.924502299527</v>
      </c>
      <c r="O555" s="288">
        <v>1309.105682493617</v>
      </c>
      <c r="P555" s="288">
        <v>37150.782337580327</v>
      </c>
      <c r="Q555" s="291">
        <v>106163.54530641979</v>
      </c>
      <c r="R555" s="288">
        <v>27580.222538284717</v>
      </c>
      <c r="S555" s="288">
        <v>9068.9117208172356</v>
      </c>
      <c r="T555" s="290">
        <v>0.751</v>
      </c>
      <c r="U555" s="288">
        <v>0.75800000000000001</v>
      </c>
      <c r="V555" s="288">
        <v>0.723923076923077</v>
      </c>
      <c r="W555" s="288">
        <v>0.72750000000000004</v>
      </c>
      <c r="X555" s="288">
        <v>0.76</v>
      </c>
      <c r="Y555" s="288">
        <v>0</v>
      </c>
      <c r="Z555" s="289">
        <v>0</v>
      </c>
      <c r="AA555" s="229"/>
      <c r="AB555" s="293">
        <v>86579.110052217715</v>
      </c>
      <c r="AC555" s="294">
        <v>3.1685920725104531</v>
      </c>
      <c r="AD555" s="295">
        <v>81367.370209464323</v>
      </c>
      <c r="AE555" s="294">
        <v>3.2061107117386873</v>
      </c>
      <c r="AF555" s="295">
        <v>5211.7398427533917</v>
      </c>
      <c r="AG555" s="296">
        <v>-3.7518639228234285E-2</v>
      </c>
      <c r="AH555" s="229"/>
      <c r="AI555" s="205">
        <f t="shared" si="62"/>
        <v>230280.0971988276</v>
      </c>
      <c r="AJ555" s="205">
        <f t="shared" si="63"/>
        <v>239243.70096440439</v>
      </c>
      <c r="AK555" s="205">
        <f t="shared" si="64"/>
        <v>-8963.6037655768196</v>
      </c>
      <c r="AL555" s="229"/>
      <c r="AM555" s="52">
        <f t="shared" si="58"/>
        <v>0</v>
      </c>
      <c r="AN555" s="52">
        <f t="shared" si="59"/>
        <v>1</v>
      </c>
      <c r="AO555" s="52">
        <f t="shared" si="60"/>
        <v>0</v>
      </c>
      <c r="AP555" s="229"/>
      <c r="AQ555" s="28"/>
      <c r="AR555" s="28"/>
      <c r="AS555" s="28"/>
      <c r="AT555" s="28"/>
      <c r="AU555" s="229"/>
      <c r="AV555" s="318">
        <f t="shared" si="65"/>
        <v>239243.70096440439</v>
      </c>
      <c r="AW555" s="229"/>
      <c r="AX555" s="313"/>
      <c r="AY555" s="302"/>
      <c r="AZ555" s="14">
        <f t="shared" si="67"/>
        <v>5211.7398427533917</v>
      </c>
      <c r="BA555" s="14">
        <f t="shared" si="66"/>
        <v>-3.7518639228234285E-2</v>
      </c>
      <c r="BB555" s="14">
        <f t="shared" si="61"/>
        <v>-138910.68412820654</v>
      </c>
      <c r="BC555" s="302"/>
      <c r="BD555" s="302"/>
      <c r="BE555" s="302"/>
      <c r="BF555" s="302"/>
      <c r="BG555" s="302"/>
      <c r="BH555" s="302"/>
      <c r="BI555" s="302"/>
      <c r="BJ555" s="302"/>
      <c r="BK555" s="302"/>
      <c r="BL555" s="302"/>
      <c r="BM555" s="302"/>
      <c r="BN555" s="302"/>
      <c r="BO555" s="302"/>
      <c r="BP555" s="14"/>
      <c r="BQ555" s="14"/>
      <c r="BR555" s="14"/>
      <c r="BS555" s="14"/>
      <c r="BT555" s="14"/>
      <c r="BU555" s="14"/>
      <c r="BV555" s="14"/>
      <c r="BW555" s="14"/>
      <c r="BX555" s="14"/>
      <c r="BY555" s="14"/>
      <c r="BZ555" s="14"/>
      <c r="CA555" s="14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</row>
    <row r="556" spans="1:101" ht="14.25" customHeight="1" x14ac:dyDescent="0.2">
      <c r="A556" s="286"/>
      <c r="B556" s="52">
        <v>0.16425389212595465</v>
      </c>
      <c r="C556" s="288">
        <v>0.96692236223500205</v>
      </c>
      <c r="D556" s="288">
        <v>7.5803628208026604E-3</v>
      </c>
      <c r="E556" s="288">
        <v>1.9215159726743924E-2</v>
      </c>
      <c r="F556" s="289">
        <v>0.767355543668366</v>
      </c>
      <c r="G556" s="92">
        <v>0.4539580283296839</v>
      </c>
      <c r="H556" s="288">
        <v>0.12169360655802558</v>
      </c>
      <c r="I556" s="288">
        <v>3.133104382023999E-2</v>
      </c>
      <c r="J556" s="288">
        <v>0.42124061047735861</v>
      </c>
      <c r="K556" s="288">
        <v>0.75877346810788571</v>
      </c>
      <c r="L556" s="290">
        <v>11141.760218284751</v>
      </c>
      <c r="M556" s="288">
        <v>0</v>
      </c>
      <c r="N556" s="288">
        <v>18896.481408315944</v>
      </c>
      <c r="O556" s="288">
        <v>1093.2618207219705</v>
      </c>
      <c r="P556" s="288">
        <v>44188.345881750116</v>
      </c>
      <c r="Q556" s="291">
        <v>98842.770200664338</v>
      </c>
      <c r="R556" s="288">
        <v>21345.695384018709</v>
      </c>
      <c r="S556" s="288">
        <v>7159.9338956210086</v>
      </c>
      <c r="T556" s="290">
        <v>0.751</v>
      </c>
      <c r="U556" s="288">
        <v>0.75800000000000001</v>
      </c>
      <c r="V556" s="288">
        <v>0.723923076923077</v>
      </c>
      <c r="W556" s="288">
        <v>0.72750000000000004</v>
      </c>
      <c r="X556" s="288">
        <v>0.76</v>
      </c>
      <c r="Y556" s="288">
        <v>0</v>
      </c>
      <c r="Z556" s="289">
        <v>0</v>
      </c>
      <c r="AA556" s="229"/>
      <c r="AB556" s="293">
        <v>69241.337328180598</v>
      </c>
      <c r="AC556" s="294">
        <v>3.0838033710189543</v>
      </c>
      <c r="AD556" s="295">
        <v>57889.00942595458</v>
      </c>
      <c r="AE556" s="294">
        <v>3.0486874963908992</v>
      </c>
      <c r="AF556" s="295">
        <v>11352.327902226018</v>
      </c>
      <c r="AG556" s="296">
        <v>3.5115874628055099E-2</v>
      </c>
      <c r="AH556" s="229"/>
      <c r="AI556" s="205">
        <f t="shared" si="62"/>
        <v>239138.99977371481</v>
      </c>
      <c r="AJ556" s="205">
        <f t="shared" si="63"/>
        <v>246979.74021313534</v>
      </c>
      <c r="AK556" s="205">
        <f t="shared" si="64"/>
        <v>-7840.7404394205078</v>
      </c>
      <c r="AL556" s="229"/>
      <c r="AM556" s="52">
        <f t="shared" si="58"/>
        <v>0</v>
      </c>
      <c r="AN556" s="52">
        <f t="shared" si="59"/>
        <v>1</v>
      </c>
      <c r="AO556" s="52">
        <f t="shared" si="60"/>
        <v>0</v>
      </c>
      <c r="AP556" s="229"/>
      <c r="AQ556" s="28"/>
      <c r="AR556" s="28"/>
      <c r="AS556" s="28"/>
      <c r="AT556" s="28"/>
      <c r="AU556" s="229"/>
      <c r="AV556" s="318">
        <f t="shared" si="65"/>
        <v>246979.74021313534</v>
      </c>
      <c r="AW556" s="229"/>
      <c r="AX556" s="313"/>
      <c r="AY556" s="302"/>
      <c r="AZ556" s="14">
        <f t="shared" si="67"/>
        <v>11352.327902226018</v>
      </c>
      <c r="BA556" s="14">
        <f t="shared" si="66"/>
        <v>3.5115874628055099E-2</v>
      </c>
      <c r="BB556" s="14">
        <f t="shared" si="61"/>
        <v>323281.93509257806</v>
      </c>
      <c r="BC556" s="302"/>
      <c r="BD556" s="302"/>
      <c r="BE556" s="302"/>
      <c r="BF556" s="302"/>
      <c r="BG556" s="302"/>
      <c r="BH556" s="302"/>
      <c r="BI556" s="302"/>
      <c r="BJ556" s="302"/>
      <c r="BK556" s="302"/>
      <c r="BL556" s="302"/>
      <c r="BM556" s="302"/>
      <c r="BN556" s="302"/>
      <c r="BO556" s="302"/>
      <c r="BP556" s="14"/>
      <c r="BQ556" s="14"/>
      <c r="BR556" s="14"/>
      <c r="BS556" s="14"/>
      <c r="BT556" s="14"/>
      <c r="BU556" s="14"/>
      <c r="BV556" s="14"/>
      <c r="BW556" s="14"/>
      <c r="BX556" s="14"/>
      <c r="BY556" s="14"/>
      <c r="BZ556" s="14"/>
      <c r="CA556" s="14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</row>
    <row r="557" spans="1:101" ht="14.25" customHeight="1" x14ac:dyDescent="0.2">
      <c r="A557" s="286"/>
      <c r="B557" s="52">
        <v>0.14778017157033149</v>
      </c>
      <c r="C557" s="288">
        <v>0.36651433997450189</v>
      </c>
      <c r="D557" s="288">
        <v>2.4834713958737265E-2</v>
      </c>
      <c r="E557" s="288">
        <v>8.168838579693069E-3</v>
      </c>
      <c r="F557" s="289">
        <v>0.81810668500330741</v>
      </c>
      <c r="G557" s="92">
        <v>0.40882201783621031</v>
      </c>
      <c r="H557" s="288">
        <v>0.25278600906054888</v>
      </c>
      <c r="I557" s="288">
        <v>2.021683394990903E-2</v>
      </c>
      <c r="J557" s="288">
        <v>0.99999999822626195</v>
      </c>
      <c r="K557" s="288">
        <v>0.75748047618559422</v>
      </c>
      <c r="L557" s="290">
        <v>12240.841861264991</v>
      </c>
      <c r="M557" s="288">
        <v>0</v>
      </c>
      <c r="N557" s="288">
        <v>19294.53247082161</v>
      </c>
      <c r="O557" s="288">
        <v>1099.0177385892398</v>
      </c>
      <c r="P557" s="288">
        <v>49371.485741927449</v>
      </c>
      <c r="Q557" s="291">
        <v>126965.86528975437</v>
      </c>
      <c r="R557" s="288">
        <v>20553.998657662873</v>
      </c>
      <c r="S557" s="288">
        <v>7846.4489636399348</v>
      </c>
      <c r="T557" s="290">
        <v>0.751</v>
      </c>
      <c r="U557" s="288">
        <v>0.75800000000000001</v>
      </c>
      <c r="V557" s="288">
        <v>0.723923076923077</v>
      </c>
      <c r="W557" s="288">
        <v>0.72750000000000004</v>
      </c>
      <c r="X557" s="288">
        <v>0.76</v>
      </c>
      <c r="Y557" s="288">
        <v>0</v>
      </c>
      <c r="Z557" s="289">
        <v>0</v>
      </c>
      <c r="AA557" s="229"/>
      <c r="AB557" s="293">
        <v>77549.638320294849</v>
      </c>
      <c r="AC557" s="294">
        <v>3.320321016598982</v>
      </c>
      <c r="AD557" s="295">
        <v>63475.874030330051</v>
      </c>
      <c r="AE557" s="294">
        <v>3.0427204620722987</v>
      </c>
      <c r="AF557" s="295">
        <v>14073.764289964798</v>
      </c>
      <c r="AG557" s="296">
        <v>0.27760055452668331</v>
      </c>
      <c r="AH557" s="229"/>
      <c r="AI557" s="205">
        <f t="shared" si="62"/>
        <v>254482.46333960333</v>
      </c>
      <c r="AJ557" s="205">
        <f t="shared" si="63"/>
        <v>240796.17217689985</v>
      </c>
      <c r="AK557" s="205">
        <f t="shared" si="64"/>
        <v>13686.291162703532</v>
      </c>
      <c r="AL557" s="229"/>
      <c r="AM557" s="52">
        <f t="shared" si="58"/>
        <v>1</v>
      </c>
      <c r="AN557" s="52">
        <f t="shared" si="59"/>
        <v>0</v>
      </c>
      <c r="AO557" s="52">
        <f t="shared" si="60"/>
        <v>1</v>
      </c>
      <c r="AP557" s="229"/>
      <c r="AQ557" s="28"/>
      <c r="AR557" s="28"/>
      <c r="AS557" s="28"/>
      <c r="AT557" s="28"/>
      <c r="AU557" s="229"/>
      <c r="AV557" s="318">
        <f t="shared" si="65"/>
        <v>254482.46333960333</v>
      </c>
      <c r="AW557" s="229"/>
      <c r="AX557" s="313"/>
      <c r="AY557" s="302"/>
      <c r="AZ557" s="14">
        <f t="shared" si="67"/>
        <v>14073.764289964798</v>
      </c>
      <c r="BA557" s="14">
        <f t="shared" si="66"/>
        <v>0.27760055452668331</v>
      </c>
      <c r="BB557" s="14">
        <f t="shared" si="61"/>
        <v>50697.896889870986</v>
      </c>
      <c r="BC557" s="302"/>
      <c r="BD557" s="302"/>
      <c r="BE557" s="302"/>
      <c r="BF557" s="302"/>
      <c r="BG557" s="302"/>
      <c r="BH557" s="302"/>
      <c r="BI557" s="302"/>
      <c r="BJ557" s="302"/>
      <c r="BK557" s="302"/>
      <c r="BL557" s="302"/>
      <c r="BM557" s="302"/>
      <c r="BN557" s="302"/>
      <c r="BO557" s="302"/>
      <c r="BP557" s="14"/>
      <c r="BQ557" s="14"/>
      <c r="BR557" s="14"/>
      <c r="BS557" s="14"/>
      <c r="BT557" s="14"/>
      <c r="BU557" s="14"/>
      <c r="BV557" s="14"/>
      <c r="BW557" s="14"/>
      <c r="BX557" s="14"/>
      <c r="BY557" s="14"/>
      <c r="BZ557" s="14"/>
      <c r="CA557" s="14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</row>
    <row r="558" spans="1:101" ht="14.25" customHeight="1" x14ac:dyDescent="0.2">
      <c r="A558" s="286"/>
      <c r="B558" s="52">
        <v>0.1401061537344114</v>
      </c>
      <c r="C558" s="288">
        <v>0.51147981231288164</v>
      </c>
      <c r="D558" s="288">
        <v>1.6379231819260709E-2</v>
      </c>
      <c r="E558" s="288">
        <v>9.3816220924030028E-3</v>
      </c>
      <c r="F558" s="289">
        <v>0.79718570328308092</v>
      </c>
      <c r="G558" s="92">
        <v>0.47306524229406954</v>
      </c>
      <c r="H558" s="288">
        <v>6.0985172146130397E-2</v>
      </c>
      <c r="I558" s="288">
        <v>5.5455370623458938E-3</v>
      </c>
      <c r="J558" s="288">
        <v>0.98951786626843719</v>
      </c>
      <c r="K558" s="288">
        <v>0.74249702032525433</v>
      </c>
      <c r="L558" s="290">
        <v>15703.042572600249</v>
      </c>
      <c r="M558" s="288">
        <v>0</v>
      </c>
      <c r="N558" s="288">
        <v>22104.126251955364</v>
      </c>
      <c r="O558" s="288">
        <v>1254.8311684955029</v>
      </c>
      <c r="P558" s="288">
        <v>45183.707513138375</v>
      </c>
      <c r="Q558" s="291">
        <v>96216.517518483815</v>
      </c>
      <c r="R558" s="288">
        <v>22251.102716264617</v>
      </c>
      <c r="S558" s="288">
        <v>10688.86155870089</v>
      </c>
      <c r="T558" s="290">
        <v>0.751</v>
      </c>
      <c r="U558" s="288">
        <v>0.75800000000000001</v>
      </c>
      <c r="V558" s="288">
        <v>0.723923076923077</v>
      </c>
      <c r="W558" s="288">
        <v>0.72750000000000004</v>
      </c>
      <c r="X558" s="288">
        <v>0.76</v>
      </c>
      <c r="Y558" s="288">
        <v>0</v>
      </c>
      <c r="Z558" s="289">
        <v>0</v>
      </c>
      <c r="AA558" s="229"/>
      <c r="AB558" s="293">
        <v>102073.0998685313</v>
      </c>
      <c r="AC558" s="294">
        <v>3.2223326673667141</v>
      </c>
      <c r="AD558" s="295">
        <v>80827.589504902338</v>
      </c>
      <c r="AE558" s="294">
        <v>2.9737654491984795</v>
      </c>
      <c r="AF558" s="295">
        <v>21245.510363628957</v>
      </c>
      <c r="AG558" s="296">
        <v>0.24856721816823457</v>
      </c>
      <c r="AH558" s="229"/>
      <c r="AI558" s="205">
        <f t="shared" si="62"/>
        <v>220160.16686814011</v>
      </c>
      <c r="AJ558" s="205">
        <f t="shared" si="63"/>
        <v>216548.95541494564</v>
      </c>
      <c r="AK558" s="205">
        <f t="shared" si="64"/>
        <v>3611.2114531945008</v>
      </c>
      <c r="AL558" s="229"/>
      <c r="AM558" s="52">
        <f t="shared" si="58"/>
        <v>1</v>
      </c>
      <c r="AN558" s="52">
        <f t="shared" si="59"/>
        <v>0</v>
      </c>
      <c r="AO558" s="52">
        <f t="shared" si="60"/>
        <v>1</v>
      </c>
      <c r="AP558" s="229"/>
      <c r="AQ558" s="28"/>
      <c r="AR558" s="28"/>
      <c r="AS558" s="28"/>
      <c r="AT558" s="28"/>
      <c r="AU558" s="229"/>
      <c r="AV558" s="318">
        <f t="shared" si="65"/>
        <v>220160.16686814011</v>
      </c>
      <c r="AW558" s="229"/>
      <c r="AX558" s="313"/>
      <c r="AY558" s="302"/>
      <c r="AZ558" s="14">
        <f t="shared" si="67"/>
        <v>21245.510363628957</v>
      </c>
      <c r="BA558" s="14">
        <f t="shared" si="66"/>
        <v>0.24856721816823457</v>
      </c>
      <c r="BB558" s="14">
        <f t="shared" si="61"/>
        <v>85471.891749014263</v>
      </c>
      <c r="BC558" s="302"/>
      <c r="BD558" s="302"/>
      <c r="BE558" s="302"/>
      <c r="BF558" s="302"/>
      <c r="BG558" s="302"/>
      <c r="BH558" s="302"/>
      <c r="BI558" s="302"/>
      <c r="BJ558" s="302"/>
      <c r="BK558" s="302"/>
      <c r="BL558" s="302"/>
      <c r="BM558" s="302"/>
      <c r="BN558" s="302"/>
      <c r="BO558" s="302"/>
      <c r="BP558" s="14"/>
      <c r="BQ558" s="14"/>
      <c r="BR558" s="14"/>
      <c r="BS558" s="14"/>
      <c r="BT558" s="14"/>
      <c r="BU558" s="14"/>
      <c r="BV558" s="14"/>
      <c r="BW558" s="14"/>
      <c r="BX558" s="14"/>
      <c r="BY558" s="14"/>
      <c r="BZ558" s="14"/>
      <c r="CA558" s="14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</row>
    <row r="559" spans="1:101" ht="14.25" customHeight="1" x14ac:dyDescent="0.2">
      <c r="A559" s="286"/>
      <c r="B559" s="52">
        <v>0.15859248503323992</v>
      </c>
      <c r="C559" s="288">
        <v>0.10830652839998664</v>
      </c>
      <c r="D559" s="288">
        <v>2.2820919799125594E-2</v>
      </c>
      <c r="E559" s="288">
        <v>1.8014357419425364E-2</v>
      </c>
      <c r="F559" s="289">
        <v>0.76439456805082739</v>
      </c>
      <c r="G559" s="92">
        <v>0.44069128210828645</v>
      </c>
      <c r="H559" s="288">
        <v>0.30899146345941675</v>
      </c>
      <c r="I559" s="288">
        <v>1.5448959186774682E-2</v>
      </c>
      <c r="J559" s="288">
        <v>1</v>
      </c>
      <c r="K559" s="288">
        <v>0.75098821576420982</v>
      </c>
      <c r="L559" s="290">
        <v>9300.1780259035786</v>
      </c>
      <c r="M559" s="288">
        <v>0</v>
      </c>
      <c r="N559" s="288">
        <v>16605.920207011615</v>
      </c>
      <c r="O559" s="288">
        <v>1276.3636521361575</v>
      </c>
      <c r="P559" s="288">
        <v>42495.365211245873</v>
      </c>
      <c r="Q559" s="291">
        <v>113116.48719803951</v>
      </c>
      <c r="R559" s="288">
        <v>17243.177690065935</v>
      </c>
      <c r="S559" s="288">
        <v>8363.869225882283</v>
      </c>
      <c r="T559" s="290">
        <v>0.751</v>
      </c>
      <c r="U559" s="288">
        <v>0.75800000000000001</v>
      </c>
      <c r="V559" s="288">
        <v>0.723923076923077</v>
      </c>
      <c r="W559" s="288">
        <v>0.72750000000000004</v>
      </c>
      <c r="X559" s="288">
        <v>0.76</v>
      </c>
      <c r="Y559" s="288">
        <v>0</v>
      </c>
      <c r="Z559" s="289">
        <v>0</v>
      </c>
      <c r="AA559" s="229"/>
      <c r="AB559" s="293">
        <v>73520.271791982756</v>
      </c>
      <c r="AC559" s="294">
        <v>3.0701289410645365</v>
      </c>
      <c r="AD559" s="295">
        <v>66692.36043384095</v>
      </c>
      <c r="AE559" s="294">
        <v>3.0127991347469498</v>
      </c>
      <c r="AF559" s="295">
        <v>6827.911358141806</v>
      </c>
      <c r="AG559" s="296">
        <v>5.7329806317586662E-2</v>
      </c>
      <c r="AH559" s="229"/>
      <c r="AI559" s="205">
        <f t="shared" si="62"/>
        <v>233492.62231447088</v>
      </c>
      <c r="AJ559" s="205">
        <f t="shared" si="63"/>
        <v>234587.55304085405</v>
      </c>
      <c r="AK559" s="205">
        <f t="shared" si="64"/>
        <v>-1094.9307263831397</v>
      </c>
      <c r="AL559" s="229"/>
      <c r="AM559" s="52">
        <f t="shared" si="58"/>
        <v>0</v>
      </c>
      <c r="AN559" s="52">
        <f t="shared" si="59"/>
        <v>1</v>
      </c>
      <c r="AO559" s="52">
        <f t="shared" si="60"/>
        <v>0</v>
      </c>
      <c r="AP559" s="229"/>
      <c r="AQ559" s="28"/>
      <c r="AR559" s="28"/>
      <c r="AS559" s="28"/>
      <c r="AT559" s="28"/>
      <c r="AU559" s="229"/>
      <c r="AV559" s="318">
        <f t="shared" si="65"/>
        <v>234587.55304085405</v>
      </c>
      <c r="AW559" s="229"/>
      <c r="AX559" s="313"/>
      <c r="AY559" s="302"/>
      <c r="AZ559" s="14">
        <f t="shared" si="67"/>
        <v>6827.911358141806</v>
      </c>
      <c r="BA559" s="14">
        <f t="shared" si="66"/>
        <v>5.7329806317586662E-2</v>
      </c>
      <c r="BB559" s="14">
        <f t="shared" si="61"/>
        <v>119098.80386334492</v>
      </c>
      <c r="BC559" s="302"/>
      <c r="BD559" s="302"/>
      <c r="BE559" s="302"/>
      <c r="BF559" s="302"/>
      <c r="BG559" s="302"/>
      <c r="BH559" s="302"/>
      <c r="BI559" s="302"/>
      <c r="BJ559" s="302"/>
      <c r="BK559" s="302"/>
      <c r="BL559" s="302"/>
      <c r="BM559" s="302"/>
      <c r="BN559" s="302"/>
      <c r="BO559" s="302"/>
      <c r="BP559" s="14"/>
      <c r="BQ559" s="14"/>
      <c r="BR559" s="14"/>
      <c r="BS559" s="14"/>
      <c r="BT559" s="14"/>
      <c r="BU559" s="14"/>
      <c r="BV559" s="14"/>
      <c r="BW559" s="14"/>
      <c r="BX559" s="14"/>
      <c r="BY559" s="14"/>
      <c r="BZ559" s="14"/>
      <c r="CA559" s="14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</row>
    <row r="560" spans="1:101" ht="14.25" customHeight="1" x14ac:dyDescent="0.2">
      <c r="A560" s="286"/>
      <c r="B560" s="52">
        <v>0.19158474183450502</v>
      </c>
      <c r="C560" s="288">
        <v>0.1683607876888675</v>
      </c>
      <c r="D560" s="288">
        <v>9.6446660929043609E-3</v>
      </c>
      <c r="E560" s="288">
        <v>1.1800089429418164E-2</v>
      </c>
      <c r="F560" s="289">
        <v>0.76095379715675937</v>
      </c>
      <c r="G560" s="92">
        <v>0.38764609385834631</v>
      </c>
      <c r="H560" s="288">
        <v>0.19270689666182336</v>
      </c>
      <c r="I560" s="288">
        <v>7.6012925285806679E-3</v>
      </c>
      <c r="J560" s="288">
        <v>0.82332300357098032</v>
      </c>
      <c r="K560" s="288">
        <v>0.76161519889018603</v>
      </c>
      <c r="L560" s="290">
        <v>12744.049054489973</v>
      </c>
      <c r="M560" s="288">
        <v>0</v>
      </c>
      <c r="N560" s="288">
        <v>27958.63749522543</v>
      </c>
      <c r="O560" s="288">
        <v>1031.6840602767527</v>
      </c>
      <c r="P560" s="288">
        <v>42389.376730226024</v>
      </c>
      <c r="Q560" s="291">
        <v>120531.11395013412</v>
      </c>
      <c r="R560" s="288">
        <v>26341.383309655786</v>
      </c>
      <c r="S560" s="288">
        <v>8412.6438142162515</v>
      </c>
      <c r="T560" s="290">
        <v>0.751</v>
      </c>
      <c r="U560" s="288">
        <v>0.75800000000000001</v>
      </c>
      <c r="V560" s="288">
        <v>0.723923076923077</v>
      </c>
      <c r="W560" s="288">
        <v>0.72750000000000004</v>
      </c>
      <c r="X560" s="288">
        <v>0.76</v>
      </c>
      <c r="Y560" s="288">
        <v>0</v>
      </c>
      <c r="Z560" s="289">
        <v>0</v>
      </c>
      <c r="AA560" s="229"/>
      <c r="AB560" s="293">
        <v>77406.403751194928</v>
      </c>
      <c r="AC560" s="294">
        <v>3.0542559867101624</v>
      </c>
      <c r="AD560" s="295">
        <v>66781.273581936694</v>
      </c>
      <c r="AE560" s="294">
        <v>3.0618110730237795</v>
      </c>
      <c r="AF560" s="295">
        <v>10625.130169258235</v>
      </c>
      <c r="AG560" s="296">
        <v>-7.5550863136171209E-3</v>
      </c>
      <c r="AH560" s="229"/>
      <c r="AI560" s="205">
        <f t="shared" si="62"/>
        <v>228019.19491982128</v>
      </c>
      <c r="AJ560" s="205">
        <f t="shared" si="63"/>
        <v>239399.83372044124</v>
      </c>
      <c r="AK560" s="205">
        <f t="shared" si="64"/>
        <v>-11380.638800619947</v>
      </c>
      <c r="AL560" s="229"/>
      <c r="AM560" s="52">
        <f t="shared" si="58"/>
        <v>0</v>
      </c>
      <c r="AN560" s="52">
        <f t="shared" si="59"/>
        <v>1</v>
      </c>
      <c r="AO560" s="52">
        <f t="shared" si="60"/>
        <v>0</v>
      </c>
      <c r="AP560" s="229"/>
      <c r="AQ560" s="28"/>
      <c r="AR560" s="28"/>
      <c r="AS560" s="28"/>
      <c r="AT560" s="28"/>
      <c r="AU560" s="229"/>
      <c r="AV560" s="318">
        <f t="shared" si="65"/>
        <v>239399.83372044124</v>
      </c>
      <c r="AW560" s="229"/>
      <c r="AX560" s="313"/>
      <c r="AY560" s="302"/>
      <c r="AZ560" s="14">
        <f t="shared" si="67"/>
        <v>10625.130169258235</v>
      </c>
      <c r="BA560" s="14">
        <f t="shared" si="66"/>
        <v>-7.5550863136171209E-3</v>
      </c>
      <c r="BB560" s="14">
        <f t="shared" si="61"/>
        <v>-1406354.5707092367</v>
      </c>
      <c r="BC560" s="302"/>
      <c r="BD560" s="302"/>
      <c r="BE560" s="302"/>
      <c r="BF560" s="302"/>
      <c r="BG560" s="302"/>
      <c r="BH560" s="302"/>
      <c r="BI560" s="302"/>
      <c r="BJ560" s="302"/>
      <c r="BK560" s="302"/>
      <c r="BL560" s="302"/>
      <c r="BM560" s="302"/>
      <c r="BN560" s="302"/>
      <c r="BO560" s="302"/>
      <c r="BP560" s="14"/>
      <c r="BQ560" s="14"/>
      <c r="BR560" s="14"/>
      <c r="BS560" s="14"/>
      <c r="BT560" s="14"/>
      <c r="BU560" s="14"/>
      <c r="BV560" s="14"/>
      <c r="BW560" s="14"/>
      <c r="BX560" s="14"/>
      <c r="BY560" s="14"/>
      <c r="BZ560" s="14"/>
      <c r="CA560" s="14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</row>
    <row r="561" spans="1:101" ht="14.25" customHeight="1" x14ac:dyDescent="0.2">
      <c r="A561" s="286"/>
      <c r="B561" s="52">
        <v>0.13619533788723254</v>
      </c>
      <c r="C561" s="288">
        <v>0.63370045616758164</v>
      </c>
      <c r="D561" s="288">
        <v>1.6557830860070011E-2</v>
      </c>
      <c r="E561" s="288">
        <v>1.4094569337394414E-2</v>
      </c>
      <c r="F561" s="289">
        <v>0.79737329765374665</v>
      </c>
      <c r="G561" s="92">
        <v>0.45699196595119418</v>
      </c>
      <c r="H561" s="288">
        <v>0.55823017749369153</v>
      </c>
      <c r="I561" s="288">
        <v>2.1487644494031207E-3</v>
      </c>
      <c r="J561" s="288">
        <v>0.99999999999999956</v>
      </c>
      <c r="K561" s="288">
        <v>0.77164363259022872</v>
      </c>
      <c r="L561" s="290">
        <v>10698.033347890321</v>
      </c>
      <c r="M561" s="288">
        <v>0</v>
      </c>
      <c r="N561" s="288">
        <v>22313.191878926496</v>
      </c>
      <c r="O561" s="288">
        <v>1122.3960303276419</v>
      </c>
      <c r="P561" s="288">
        <v>42737.229069342291</v>
      </c>
      <c r="Q561" s="291">
        <v>92357.221919223215</v>
      </c>
      <c r="R561" s="288">
        <v>20339.970203350553</v>
      </c>
      <c r="S561" s="288">
        <v>9121.3241411005911</v>
      </c>
      <c r="T561" s="290">
        <v>0.751</v>
      </c>
      <c r="U561" s="288">
        <v>0.75800000000000001</v>
      </c>
      <c r="V561" s="288">
        <v>0.723923076923077</v>
      </c>
      <c r="W561" s="288">
        <v>0.72750000000000004</v>
      </c>
      <c r="X561" s="288">
        <v>0.76</v>
      </c>
      <c r="Y561" s="288">
        <v>0</v>
      </c>
      <c r="Z561" s="289">
        <v>0</v>
      </c>
      <c r="AA561" s="229"/>
      <c r="AB561" s="293">
        <v>84837.040569866862</v>
      </c>
      <c r="AC561" s="294">
        <v>3.2232082595058427</v>
      </c>
      <c r="AD561" s="295">
        <v>76041.702520115577</v>
      </c>
      <c r="AE561" s="294">
        <v>3.1082257382735996</v>
      </c>
      <c r="AF561" s="295">
        <v>8795.3380497512844</v>
      </c>
      <c r="AG561" s="296">
        <v>0.11498252123224306</v>
      </c>
      <c r="AH561" s="229"/>
      <c r="AI561" s="205">
        <f t="shared" si="62"/>
        <v>237483.7853807174</v>
      </c>
      <c r="AJ561" s="205">
        <f t="shared" si="63"/>
        <v>234780.87130724435</v>
      </c>
      <c r="AK561" s="205">
        <f t="shared" si="64"/>
        <v>2702.9140734730227</v>
      </c>
      <c r="AL561" s="229"/>
      <c r="AM561" s="52">
        <f t="shared" si="58"/>
        <v>1</v>
      </c>
      <c r="AN561" s="52">
        <f t="shared" si="59"/>
        <v>0</v>
      </c>
      <c r="AO561" s="52">
        <f t="shared" si="60"/>
        <v>1</v>
      </c>
      <c r="AP561" s="229"/>
      <c r="AQ561" s="28"/>
      <c r="AR561" s="28"/>
      <c r="AS561" s="28"/>
      <c r="AT561" s="28"/>
      <c r="AU561" s="229"/>
      <c r="AV561" s="318">
        <f t="shared" si="65"/>
        <v>237483.7853807174</v>
      </c>
      <c r="AW561" s="229"/>
      <c r="AX561" s="313"/>
      <c r="AY561" s="302"/>
      <c r="AZ561" s="14">
        <f t="shared" si="67"/>
        <v>8795.3380497512844</v>
      </c>
      <c r="BA561" s="14">
        <f t="shared" si="66"/>
        <v>0.11498252123224306</v>
      </c>
      <c r="BB561" s="14">
        <f t="shared" si="61"/>
        <v>76492.826522618649</v>
      </c>
      <c r="BC561" s="302"/>
      <c r="BD561" s="302"/>
      <c r="BE561" s="302"/>
      <c r="BF561" s="302"/>
      <c r="BG561" s="302"/>
      <c r="BH561" s="302"/>
      <c r="BI561" s="302"/>
      <c r="BJ561" s="302"/>
      <c r="BK561" s="302"/>
      <c r="BL561" s="302"/>
      <c r="BM561" s="302"/>
      <c r="BN561" s="302"/>
      <c r="BO561" s="302"/>
      <c r="BP561" s="14"/>
      <c r="BQ561" s="14"/>
      <c r="BR561" s="14"/>
      <c r="BS561" s="14"/>
      <c r="BT561" s="14"/>
      <c r="BU561" s="14"/>
      <c r="BV561" s="14"/>
      <c r="BW561" s="14"/>
      <c r="BX561" s="14"/>
      <c r="BY561" s="14"/>
      <c r="BZ561" s="14"/>
      <c r="CA561" s="14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</row>
    <row r="562" spans="1:101" ht="14.25" customHeight="1" x14ac:dyDescent="0.2">
      <c r="A562" s="286"/>
      <c r="B562" s="52">
        <v>0.15330894509147874</v>
      </c>
      <c r="C562" s="288">
        <v>1.5760069490358297E-2</v>
      </c>
      <c r="D562" s="288">
        <v>1.6840357023933272E-2</v>
      </c>
      <c r="E562" s="288">
        <v>7.849100323413823E-3</v>
      </c>
      <c r="F562" s="289">
        <v>0.78627244490373771</v>
      </c>
      <c r="G562" s="92">
        <v>0.4495572566622178</v>
      </c>
      <c r="H562" s="288">
        <v>0.54150038122040389</v>
      </c>
      <c r="I562" s="288">
        <v>7.9687585642284568E-3</v>
      </c>
      <c r="J562" s="288">
        <v>0.99964450405376792</v>
      </c>
      <c r="K562" s="288">
        <v>0.80835600916902672</v>
      </c>
      <c r="L562" s="290">
        <v>11840.015997037508</v>
      </c>
      <c r="M562" s="288">
        <v>0</v>
      </c>
      <c r="N562" s="288">
        <v>19387.489899991942</v>
      </c>
      <c r="O562" s="288">
        <v>1073.631737751236</v>
      </c>
      <c r="P562" s="288">
        <v>42251.108978964054</v>
      </c>
      <c r="Q562" s="291">
        <v>91364.475965041463</v>
      </c>
      <c r="R562" s="288">
        <v>22673.784726199625</v>
      </c>
      <c r="S562" s="288">
        <v>12201.111042806688</v>
      </c>
      <c r="T562" s="290">
        <v>0.751</v>
      </c>
      <c r="U562" s="288">
        <v>0.75800000000000001</v>
      </c>
      <c r="V562" s="288">
        <v>0.723923076923077</v>
      </c>
      <c r="W562" s="288">
        <v>0.72750000000000004</v>
      </c>
      <c r="X562" s="288">
        <v>0.76</v>
      </c>
      <c r="Y562" s="288">
        <v>0</v>
      </c>
      <c r="Z562" s="289">
        <v>0</v>
      </c>
      <c r="AA562" s="229"/>
      <c r="AB562" s="293">
        <v>107293.09041402691</v>
      </c>
      <c r="AC562" s="294">
        <v>3.1714903097903502</v>
      </c>
      <c r="AD562" s="295">
        <v>104855.36342968032</v>
      </c>
      <c r="AE562" s="294">
        <v>3.279494266666088</v>
      </c>
      <c r="AF562" s="295">
        <v>2437.7269843465911</v>
      </c>
      <c r="AG562" s="296">
        <v>-0.10800395687573783</v>
      </c>
      <c r="AH562" s="229"/>
      <c r="AI562" s="205">
        <f t="shared" si="62"/>
        <v>209855.94056500809</v>
      </c>
      <c r="AJ562" s="205">
        <f t="shared" si="63"/>
        <v>223094.06323692846</v>
      </c>
      <c r="AK562" s="205">
        <f t="shared" si="64"/>
        <v>-13238.122671920373</v>
      </c>
      <c r="AL562" s="229"/>
      <c r="AM562" s="52">
        <f t="shared" si="58"/>
        <v>0</v>
      </c>
      <c r="AN562" s="52">
        <f t="shared" si="59"/>
        <v>1</v>
      </c>
      <c r="AO562" s="52">
        <f t="shared" si="60"/>
        <v>0</v>
      </c>
      <c r="AP562" s="229"/>
      <c r="AQ562" s="28"/>
      <c r="AR562" s="28"/>
      <c r="AS562" s="28"/>
      <c r="AT562" s="28"/>
      <c r="AU562" s="229"/>
      <c r="AV562" s="318">
        <f t="shared" si="65"/>
        <v>223094.06323692846</v>
      </c>
      <c r="AW562" s="229"/>
      <c r="AX562" s="313"/>
      <c r="AY562" s="302"/>
      <c r="AZ562" s="14">
        <f t="shared" si="67"/>
        <v>2437.7269843465911</v>
      </c>
      <c r="BA562" s="14">
        <f t="shared" si="66"/>
        <v>-0.10800395687573783</v>
      </c>
      <c r="BB562" s="14">
        <f t="shared" si="61"/>
        <v>-22570.719211253323</v>
      </c>
      <c r="BC562" s="302"/>
      <c r="BD562" s="302"/>
      <c r="BE562" s="302"/>
      <c r="BF562" s="302"/>
      <c r="BG562" s="302"/>
      <c r="BH562" s="302"/>
      <c r="BI562" s="302"/>
      <c r="BJ562" s="302"/>
      <c r="BK562" s="302"/>
      <c r="BL562" s="302"/>
      <c r="BM562" s="302"/>
      <c r="BN562" s="302"/>
      <c r="BO562" s="302"/>
      <c r="BP562" s="14"/>
      <c r="BQ562" s="14"/>
      <c r="BR562" s="14"/>
      <c r="BS562" s="14"/>
      <c r="BT562" s="14"/>
      <c r="BU562" s="14"/>
      <c r="BV562" s="14"/>
      <c r="BW562" s="14"/>
      <c r="BX562" s="14"/>
      <c r="BY562" s="14"/>
      <c r="BZ562" s="14"/>
      <c r="CA562" s="14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</row>
    <row r="563" spans="1:101" ht="14.25" customHeight="1" x14ac:dyDescent="0.2">
      <c r="A563" s="286"/>
      <c r="B563" s="52">
        <v>0.18391641706609207</v>
      </c>
      <c r="C563" s="288">
        <v>0.49112643637277242</v>
      </c>
      <c r="D563" s="288">
        <v>1.8323554686088483E-2</v>
      </c>
      <c r="E563" s="288">
        <v>1.9923309309888837E-2</v>
      </c>
      <c r="F563" s="289">
        <v>0.81022493016841568</v>
      </c>
      <c r="G563" s="92">
        <v>0.40146745554425589</v>
      </c>
      <c r="H563" s="288">
        <v>8.6122998811289583E-3</v>
      </c>
      <c r="I563" s="288">
        <v>1.0373344269812646E-2</v>
      </c>
      <c r="J563" s="288">
        <v>0.99999999999964739</v>
      </c>
      <c r="K563" s="288">
        <v>0.72522896248479396</v>
      </c>
      <c r="L563" s="290">
        <v>14091.440946640434</v>
      </c>
      <c r="M563" s="288">
        <v>0</v>
      </c>
      <c r="N563" s="288">
        <v>18879.385266359408</v>
      </c>
      <c r="O563" s="288">
        <v>1018.1988181543273</v>
      </c>
      <c r="P563" s="288">
        <v>52403.458271606069</v>
      </c>
      <c r="Q563" s="291">
        <v>92364.750323868415</v>
      </c>
      <c r="R563" s="288">
        <v>25286.081343175971</v>
      </c>
      <c r="S563" s="288">
        <v>7450.6729734710489</v>
      </c>
      <c r="T563" s="290">
        <v>0.751</v>
      </c>
      <c r="U563" s="288">
        <v>0.75800000000000001</v>
      </c>
      <c r="V563" s="288">
        <v>0.723923076923077</v>
      </c>
      <c r="W563" s="288">
        <v>0.72750000000000004</v>
      </c>
      <c r="X563" s="288">
        <v>0.76</v>
      </c>
      <c r="Y563" s="288">
        <v>0</v>
      </c>
      <c r="Z563" s="289">
        <v>0</v>
      </c>
      <c r="AA563" s="229"/>
      <c r="AB563" s="293">
        <v>76656.091708116786</v>
      </c>
      <c r="AC563" s="294">
        <v>3.2833243610655574</v>
      </c>
      <c r="AD563" s="295">
        <v>55109.215261043668</v>
      </c>
      <c r="AE563" s="294">
        <v>2.8947354461840207</v>
      </c>
      <c r="AF563" s="295">
        <v>21546.876447073118</v>
      </c>
      <c r="AG563" s="296">
        <v>0.38858891488153668</v>
      </c>
      <c r="AH563" s="229"/>
      <c r="AI563" s="205">
        <f t="shared" si="62"/>
        <v>251676.34439843896</v>
      </c>
      <c r="AJ563" s="205">
        <f t="shared" si="63"/>
        <v>234364.32935735842</v>
      </c>
      <c r="AK563" s="205">
        <f t="shared" si="64"/>
        <v>17312.015041080551</v>
      </c>
      <c r="AL563" s="229"/>
      <c r="AM563" s="52">
        <f t="shared" si="58"/>
        <v>1</v>
      </c>
      <c r="AN563" s="52">
        <f t="shared" si="59"/>
        <v>0</v>
      </c>
      <c r="AO563" s="52">
        <f t="shared" si="60"/>
        <v>1</v>
      </c>
      <c r="AP563" s="229"/>
      <c r="AQ563" s="28"/>
      <c r="AR563" s="28"/>
      <c r="AS563" s="28"/>
      <c r="AT563" s="28"/>
      <c r="AU563" s="229"/>
      <c r="AV563" s="318">
        <f t="shared" si="65"/>
        <v>251676.34439843896</v>
      </c>
      <c r="AW563" s="229"/>
      <c r="AX563" s="313"/>
      <c r="AY563" s="302"/>
      <c r="AZ563" s="14">
        <f t="shared" si="67"/>
        <v>21546.876447073118</v>
      </c>
      <c r="BA563" s="14">
        <f t="shared" si="66"/>
        <v>0.38858891488153668</v>
      </c>
      <c r="BB563" s="14">
        <f t="shared" si="61"/>
        <v>55449.024977055233</v>
      </c>
      <c r="BC563" s="302"/>
      <c r="BD563" s="302"/>
      <c r="BE563" s="302"/>
      <c r="BF563" s="302"/>
      <c r="BG563" s="302"/>
      <c r="BH563" s="302"/>
      <c r="BI563" s="302"/>
      <c r="BJ563" s="302"/>
      <c r="BK563" s="302"/>
      <c r="BL563" s="302"/>
      <c r="BM563" s="302"/>
      <c r="BN563" s="302"/>
      <c r="BO563" s="302"/>
      <c r="BP563" s="14"/>
      <c r="BQ563" s="14"/>
      <c r="BR563" s="14"/>
      <c r="BS563" s="14"/>
      <c r="BT563" s="14"/>
      <c r="BU563" s="14"/>
      <c r="BV563" s="14"/>
      <c r="BW563" s="14"/>
      <c r="BX563" s="14"/>
      <c r="BY563" s="14"/>
      <c r="BZ563" s="14"/>
      <c r="CA563" s="14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</row>
    <row r="564" spans="1:101" ht="14.25" customHeight="1" x14ac:dyDescent="0.2">
      <c r="A564" s="286"/>
      <c r="B564" s="52">
        <v>0.13645268097962762</v>
      </c>
      <c r="C564" s="288">
        <v>0.27672699435222797</v>
      </c>
      <c r="D564" s="288">
        <v>3.0068460974561839E-2</v>
      </c>
      <c r="E564" s="288">
        <v>7.026032068449717E-3</v>
      </c>
      <c r="F564" s="289">
        <v>0.76007830326372883</v>
      </c>
      <c r="G564" s="92">
        <v>0.45688612653784022</v>
      </c>
      <c r="H564" s="288">
        <v>0.45082992680682599</v>
      </c>
      <c r="I564" s="288">
        <v>3.608846435613644E-2</v>
      </c>
      <c r="J564" s="288">
        <v>0.94210896475604544</v>
      </c>
      <c r="K564" s="288">
        <v>0.78379191850541452</v>
      </c>
      <c r="L564" s="290">
        <v>14845.045851216644</v>
      </c>
      <c r="M564" s="288">
        <v>0</v>
      </c>
      <c r="N564" s="288">
        <v>21602.41750828045</v>
      </c>
      <c r="O564" s="288">
        <v>1556.592636636115</v>
      </c>
      <c r="P564" s="288">
        <v>44147.140096166637</v>
      </c>
      <c r="Q564" s="291">
        <v>85534.666098324305</v>
      </c>
      <c r="R564" s="288">
        <v>13615.732019054774</v>
      </c>
      <c r="S564" s="288">
        <v>9556.0669332863818</v>
      </c>
      <c r="T564" s="290">
        <v>0.751</v>
      </c>
      <c r="U564" s="288">
        <v>0.75800000000000001</v>
      </c>
      <c r="V564" s="288">
        <v>0.723923076923077</v>
      </c>
      <c r="W564" s="288">
        <v>0.72750000000000004</v>
      </c>
      <c r="X564" s="288">
        <v>0.76</v>
      </c>
      <c r="Y564" s="288">
        <v>0</v>
      </c>
      <c r="Z564" s="289">
        <v>0</v>
      </c>
      <c r="AA564" s="229"/>
      <c r="AB564" s="293">
        <v>87848.273674705168</v>
      </c>
      <c r="AC564" s="294">
        <v>3.050220124384218</v>
      </c>
      <c r="AD564" s="295">
        <v>80594.853975543636</v>
      </c>
      <c r="AE564" s="294">
        <v>3.1646640574592597</v>
      </c>
      <c r="AF564" s="295">
        <v>7253.4196991615318</v>
      </c>
      <c r="AG564" s="296">
        <v>-0.11444393307504175</v>
      </c>
      <c r="AH564" s="229"/>
      <c r="AI564" s="205">
        <f t="shared" si="62"/>
        <v>217173.7387637166</v>
      </c>
      <c r="AJ564" s="205">
        <f t="shared" si="63"/>
        <v>235871.55177038233</v>
      </c>
      <c r="AK564" s="205">
        <f t="shared" si="64"/>
        <v>-18697.813006665707</v>
      </c>
      <c r="AL564" s="229"/>
      <c r="AM564" s="52">
        <f t="shared" si="58"/>
        <v>0</v>
      </c>
      <c r="AN564" s="52">
        <f t="shared" si="59"/>
        <v>1</v>
      </c>
      <c r="AO564" s="52">
        <f t="shared" si="60"/>
        <v>0</v>
      </c>
      <c r="AP564" s="229"/>
      <c r="AQ564" s="28"/>
      <c r="AR564" s="28"/>
      <c r="AS564" s="28"/>
      <c r="AT564" s="28"/>
      <c r="AU564" s="229"/>
      <c r="AV564" s="318">
        <f t="shared" si="65"/>
        <v>235871.55177038233</v>
      </c>
      <c r="AW564" s="229"/>
      <c r="AX564" s="313"/>
      <c r="AY564" s="302"/>
      <c r="AZ564" s="14">
        <f t="shared" si="67"/>
        <v>7253.4196991615318</v>
      </c>
      <c r="BA564" s="14">
        <f t="shared" si="66"/>
        <v>-0.11444393307504175</v>
      </c>
      <c r="BB564" s="14">
        <f t="shared" si="61"/>
        <v>-63379.678627484864</v>
      </c>
      <c r="BC564" s="302"/>
      <c r="BD564" s="302"/>
      <c r="BE564" s="302"/>
      <c r="BF564" s="302"/>
      <c r="BG564" s="302"/>
      <c r="BH564" s="302"/>
      <c r="BI564" s="302"/>
      <c r="BJ564" s="302"/>
      <c r="BK564" s="302"/>
      <c r="BL564" s="302"/>
      <c r="BM564" s="302"/>
      <c r="BN564" s="302"/>
      <c r="BO564" s="302"/>
      <c r="BP564" s="14"/>
      <c r="BQ564" s="14"/>
      <c r="BR564" s="14"/>
      <c r="BS564" s="14"/>
      <c r="BT564" s="14"/>
      <c r="BU564" s="14"/>
      <c r="BV564" s="14"/>
      <c r="BW564" s="14"/>
      <c r="BX564" s="14"/>
      <c r="BY564" s="14"/>
      <c r="BZ564" s="14"/>
      <c r="CA564" s="14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</row>
    <row r="565" spans="1:101" ht="14.25" customHeight="1" x14ac:dyDescent="0.2">
      <c r="A565" s="286"/>
      <c r="B565" s="52">
        <v>0.16700987378789323</v>
      </c>
      <c r="C565" s="288">
        <v>0.68263684366544508</v>
      </c>
      <c r="D565" s="288">
        <v>2.6596225772861359E-2</v>
      </c>
      <c r="E565" s="288">
        <v>1.7225129649693027E-2</v>
      </c>
      <c r="F565" s="289">
        <v>0.81992516418305927</v>
      </c>
      <c r="G565" s="92">
        <v>0.34840576529146283</v>
      </c>
      <c r="H565" s="288">
        <v>0.68683343088804927</v>
      </c>
      <c r="I565" s="288">
        <v>1.7452549217070956E-2</v>
      </c>
      <c r="J565" s="288">
        <v>0.96422429893297601</v>
      </c>
      <c r="K565" s="288">
        <v>0.76727945804426845</v>
      </c>
      <c r="L565" s="290">
        <v>17456.103649615197</v>
      </c>
      <c r="M565" s="288">
        <v>0</v>
      </c>
      <c r="N565" s="288">
        <v>32326.758431028105</v>
      </c>
      <c r="O565" s="288">
        <v>1366.3654019225821</v>
      </c>
      <c r="P565" s="288">
        <v>81254.167468749918</v>
      </c>
      <c r="Q565" s="291">
        <v>65000.250075687669</v>
      </c>
      <c r="R565" s="288">
        <v>19674.208807792587</v>
      </c>
      <c r="S565" s="288">
        <v>8648.1995056484211</v>
      </c>
      <c r="T565" s="290">
        <v>0.751</v>
      </c>
      <c r="U565" s="288">
        <v>0.75800000000000001</v>
      </c>
      <c r="V565" s="288">
        <v>0.723923076923077</v>
      </c>
      <c r="W565" s="288">
        <v>0.72750000000000004</v>
      </c>
      <c r="X565" s="288">
        <v>0.76</v>
      </c>
      <c r="Y565" s="288">
        <v>0</v>
      </c>
      <c r="Z565" s="289">
        <v>0</v>
      </c>
      <c r="AA565" s="229"/>
      <c r="AB565" s="293">
        <v>90440.59374088695</v>
      </c>
      <c r="AC565" s="294">
        <v>3.3288707221833707</v>
      </c>
      <c r="AD565" s="295">
        <v>72411.729384737191</v>
      </c>
      <c r="AE565" s="294">
        <v>3.0880075183892184</v>
      </c>
      <c r="AF565" s="295">
        <v>18028.864356149759</v>
      </c>
      <c r="AG565" s="296">
        <v>0.24086320379415227</v>
      </c>
      <c r="AH565" s="229"/>
      <c r="AI565" s="205">
        <f t="shared" si="62"/>
        <v>242446.47847745009</v>
      </c>
      <c r="AJ565" s="205">
        <f t="shared" si="63"/>
        <v>236389.02245418465</v>
      </c>
      <c r="AK565" s="205">
        <f t="shared" si="64"/>
        <v>6057.4560232654694</v>
      </c>
      <c r="AL565" s="229"/>
      <c r="AM565" s="52">
        <f t="shared" si="58"/>
        <v>1</v>
      </c>
      <c r="AN565" s="52">
        <f t="shared" si="59"/>
        <v>0</v>
      </c>
      <c r="AO565" s="52">
        <f t="shared" si="60"/>
        <v>1</v>
      </c>
      <c r="AP565" s="229"/>
      <c r="AQ565" s="28"/>
      <c r="AR565" s="28"/>
      <c r="AS565" s="28"/>
      <c r="AT565" s="28"/>
      <c r="AU565" s="229"/>
      <c r="AV565" s="318">
        <f t="shared" si="65"/>
        <v>242446.47847745009</v>
      </c>
      <c r="AW565" s="229"/>
      <c r="AX565" s="313"/>
      <c r="AY565" s="302"/>
      <c r="AZ565" s="14">
        <f t="shared" si="67"/>
        <v>18028.864356149759</v>
      </c>
      <c r="BA565" s="14">
        <f t="shared" si="66"/>
        <v>0.24086320379415227</v>
      </c>
      <c r="BB565" s="14">
        <f t="shared" si="61"/>
        <v>74851.052681162866</v>
      </c>
      <c r="BC565" s="302"/>
      <c r="BD565" s="302"/>
      <c r="BE565" s="302"/>
      <c r="BF565" s="302"/>
      <c r="BG565" s="302"/>
      <c r="BH565" s="302"/>
      <c r="BI565" s="302"/>
      <c r="BJ565" s="302"/>
      <c r="BK565" s="302"/>
      <c r="BL565" s="302"/>
      <c r="BM565" s="302"/>
      <c r="BN565" s="302"/>
      <c r="BO565" s="302"/>
      <c r="BP565" s="14"/>
      <c r="BQ565" s="14"/>
      <c r="BR565" s="14"/>
      <c r="BS565" s="14"/>
      <c r="BT565" s="14"/>
      <c r="BU565" s="14"/>
      <c r="BV565" s="14"/>
      <c r="BW565" s="14"/>
      <c r="BX565" s="14"/>
      <c r="BY565" s="14"/>
      <c r="BZ565" s="14"/>
      <c r="CA565" s="14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</row>
    <row r="566" spans="1:101" ht="14.25" customHeight="1" x14ac:dyDescent="0.2">
      <c r="A566" s="286"/>
      <c r="B566" s="52">
        <v>0.15802652107581094</v>
      </c>
      <c r="C566" s="288">
        <v>0.31092863311188135</v>
      </c>
      <c r="D566" s="288">
        <v>2.1305091630110407E-2</v>
      </c>
      <c r="E566" s="288">
        <v>8.5688374889521749E-3</v>
      </c>
      <c r="F566" s="289">
        <v>0.76482329027632467</v>
      </c>
      <c r="G566" s="92">
        <v>0.48412965983048339</v>
      </c>
      <c r="H566" s="288">
        <v>0.63146457617031948</v>
      </c>
      <c r="I566" s="288">
        <v>2.0944565814906002E-2</v>
      </c>
      <c r="J566" s="288">
        <v>0.99999999998134914</v>
      </c>
      <c r="K566" s="288">
        <v>0.78077491545895272</v>
      </c>
      <c r="L566" s="290">
        <v>13146.109886253405</v>
      </c>
      <c r="M566" s="288">
        <v>0</v>
      </c>
      <c r="N566" s="288">
        <v>16423.33265206276</v>
      </c>
      <c r="O566" s="288">
        <v>1143.1320501621738</v>
      </c>
      <c r="P566" s="288">
        <v>39326.84471980633</v>
      </c>
      <c r="Q566" s="291">
        <v>74356.034680894969</v>
      </c>
      <c r="R566" s="288">
        <v>31293.39645433737</v>
      </c>
      <c r="S566" s="288">
        <v>12227.342854174565</v>
      </c>
      <c r="T566" s="290">
        <v>0.751</v>
      </c>
      <c r="U566" s="288">
        <v>0.75800000000000001</v>
      </c>
      <c r="V566" s="288">
        <v>0.723923076923077</v>
      </c>
      <c r="W566" s="288">
        <v>0.72750000000000004</v>
      </c>
      <c r="X566" s="288">
        <v>0.76</v>
      </c>
      <c r="Y566" s="288">
        <v>0</v>
      </c>
      <c r="Z566" s="289">
        <v>0</v>
      </c>
      <c r="AA566" s="229"/>
      <c r="AB566" s="293">
        <v>107720.06851613718</v>
      </c>
      <c r="AC566" s="294">
        <v>3.0721080222192936</v>
      </c>
      <c r="AD566" s="295">
        <v>106534.07263547175</v>
      </c>
      <c r="AE566" s="294">
        <v>3.1506259991350882</v>
      </c>
      <c r="AF566" s="295">
        <v>1185.9958806654322</v>
      </c>
      <c r="AG566" s="296">
        <v>-7.8517976915794652E-2</v>
      </c>
      <c r="AH566" s="229"/>
      <c r="AI566" s="205">
        <f t="shared" si="62"/>
        <v>199490.73370579217</v>
      </c>
      <c r="AJ566" s="205">
        <f t="shared" si="63"/>
        <v>208528.52727803704</v>
      </c>
      <c r="AK566" s="205">
        <f t="shared" si="64"/>
        <v>-9037.7935722448965</v>
      </c>
      <c r="AL566" s="229"/>
      <c r="AM566" s="52">
        <f t="shared" si="58"/>
        <v>0</v>
      </c>
      <c r="AN566" s="52">
        <f t="shared" si="59"/>
        <v>1</v>
      </c>
      <c r="AO566" s="52">
        <f t="shared" si="60"/>
        <v>0</v>
      </c>
      <c r="AP566" s="229"/>
      <c r="AQ566" s="28"/>
      <c r="AR566" s="28"/>
      <c r="AS566" s="28"/>
      <c r="AT566" s="28"/>
      <c r="AU566" s="229"/>
      <c r="AV566" s="318">
        <f t="shared" si="65"/>
        <v>208528.52727803704</v>
      </c>
      <c r="AW566" s="229"/>
      <c r="AX566" s="313"/>
      <c r="AY566" s="302"/>
      <c r="AZ566" s="14">
        <f t="shared" si="67"/>
        <v>1185.9958806654322</v>
      </c>
      <c r="BA566" s="14">
        <f t="shared" si="66"/>
        <v>-7.8517976915794652E-2</v>
      </c>
      <c r="BB566" s="14">
        <f t="shared" si="61"/>
        <v>-15104.768707137406</v>
      </c>
      <c r="BC566" s="302"/>
      <c r="BD566" s="302"/>
      <c r="BE566" s="302"/>
      <c r="BF566" s="302"/>
      <c r="BG566" s="302"/>
      <c r="BH566" s="302"/>
      <c r="BI566" s="302"/>
      <c r="BJ566" s="302"/>
      <c r="BK566" s="302"/>
      <c r="BL566" s="302"/>
      <c r="BM566" s="302"/>
      <c r="BN566" s="302"/>
      <c r="BO566" s="302"/>
      <c r="BP566" s="14"/>
      <c r="BQ566" s="14"/>
      <c r="BR566" s="14"/>
      <c r="BS566" s="14"/>
      <c r="BT566" s="14"/>
      <c r="BU566" s="14"/>
      <c r="BV566" s="14"/>
      <c r="BW566" s="14"/>
      <c r="BX566" s="14"/>
      <c r="BY566" s="14"/>
      <c r="BZ566" s="14"/>
      <c r="CA566" s="14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</row>
    <row r="567" spans="1:101" ht="14.25" customHeight="1" x14ac:dyDescent="0.2">
      <c r="A567" s="286"/>
      <c r="B567" s="52">
        <v>0.1369091229185922</v>
      </c>
      <c r="C567" s="288">
        <v>8.8134114710863756E-4</v>
      </c>
      <c r="D567" s="288">
        <v>2.4628224543512878E-2</v>
      </c>
      <c r="E567" s="288">
        <v>4.1798936418708304E-3</v>
      </c>
      <c r="F567" s="289">
        <v>0.75834940812456908</v>
      </c>
      <c r="G567" s="92">
        <v>0.42179620769476744</v>
      </c>
      <c r="H567" s="288">
        <v>0.80738929077472732</v>
      </c>
      <c r="I567" s="288">
        <v>5.1927769101326945E-3</v>
      </c>
      <c r="J567" s="288">
        <v>0.99999999957111674</v>
      </c>
      <c r="K567" s="288">
        <v>0.74983022323847681</v>
      </c>
      <c r="L567" s="290">
        <v>11304.658346676544</v>
      </c>
      <c r="M567" s="288">
        <v>0</v>
      </c>
      <c r="N567" s="288">
        <v>13184.356650367594</v>
      </c>
      <c r="O567" s="288">
        <v>1666.9844025751815</v>
      </c>
      <c r="P567" s="288">
        <v>34390.94966208878</v>
      </c>
      <c r="Q567" s="291">
        <v>72181.244263124638</v>
      </c>
      <c r="R567" s="288">
        <v>17518.967991591791</v>
      </c>
      <c r="S567" s="288">
        <v>7835.965478242153</v>
      </c>
      <c r="T567" s="290">
        <v>0.751</v>
      </c>
      <c r="U567" s="288">
        <v>0.75800000000000001</v>
      </c>
      <c r="V567" s="288">
        <v>0.723923076923077</v>
      </c>
      <c r="W567" s="288">
        <v>0.72750000000000004</v>
      </c>
      <c r="X567" s="288">
        <v>0.76</v>
      </c>
      <c r="Y567" s="288">
        <v>0</v>
      </c>
      <c r="Z567" s="289">
        <v>0</v>
      </c>
      <c r="AA567" s="229"/>
      <c r="AB567" s="293">
        <v>70622.391178895297</v>
      </c>
      <c r="AC567" s="294">
        <v>3.0422537739375954</v>
      </c>
      <c r="AD567" s="295">
        <v>65489.87717260942</v>
      </c>
      <c r="AE567" s="294">
        <v>3.0074691968628473</v>
      </c>
      <c r="AF567" s="295">
        <v>5132.5140062858773</v>
      </c>
      <c r="AG567" s="296">
        <v>3.4784577074748135E-2</v>
      </c>
      <c r="AH567" s="229"/>
      <c r="AI567" s="205">
        <f t="shared" si="62"/>
        <v>233602.98621486424</v>
      </c>
      <c r="AJ567" s="205">
        <f t="shared" si="63"/>
        <v>235257.04251367532</v>
      </c>
      <c r="AK567" s="205">
        <f t="shared" si="64"/>
        <v>-1654.0562988110637</v>
      </c>
      <c r="AL567" s="229"/>
      <c r="AM567" s="52">
        <f t="shared" si="58"/>
        <v>0</v>
      </c>
      <c r="AN567" s="52">
        <f t="shared" si="59"/>
        <v>1</v>
      </c>
      <c r="AO567" s="52">
        <f t="shared" si="60"/>
        <v>0</v>
      </c>
      <c r="AP567" s="229"/>
      <c r="AQ567" s="28"/>
      <c r="AR567" s="28"/>
      <c r="AS567" s="28"/>
      <c r="AT567" s="28"/>
      <c r="AU567" s="229"/>
      <c r="AV567" s="318">
        <f t="shared" si="65"/>
        <v>235257.04251367532</v>
      </c>
      <c r="AW567" s="229"/>
      <c r="AX567" s="313"/>
      <c r="AY567" s="302"/>
      <c r="AZ567" s="14">
        <f t="shared" si="67"/>
        <v>5132.5140062858773</v>
      </c>
      <c r="BA567" s="14">
        <f t="shared" si="66"/>
        <v>3.4784577074748135E-2</v>
      </c>
      <c r="BB567" s="14">
        <f t="shared" si="61"/>
        <v>147551.42761278033</v>
      </c>
      <c r="BC567" s="302"/>
      <c r="BD567" s="302"/>
      <c r="BE567" s="302"/>
      <c r="BF567" s="302"/>
      <c r="BG567" s="302"/>
      <c r="BH567" s="302"/>
      <c r="BI567" s="302"/>
      <c r="BJ567" s="302"/>
      <c r="BK567" s="302"/>
      <c r="BL567" s="302"/>
      <c r="BM567" s="302"/>
      <c r="BN567" s="302"/>
      <c r="BO567" s="302"/>
      <c r="BP567" s="14"/>
      <c r="BQ567" s="14"/>
      <c r="BR567" s="14"/>
      <c r="BS567" s="14"/>
      <c r="BT567" s="14"/>
      <c r="BU567" s="14"/>
      <c r="BV567" s="14"/>
      <c r="BW567" s="14"/>
      <c r="BX567" s="14"/>
      <c r="BY567" s="14"/>
      <c r="BZ567" s="14"/>
      <c r="CA567" s="14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</row>
    <row r="568" spans="1:101" ht="14.25" customHeight="1" x14ac:dyDescent="0.2">
      <c r="A568" s="286"/>
      <c r="B568" s="52">
        <v>0.1807561152423427</v>
      </c>
      <c r="C568" s="288">
        <v>0.1606369378209152</v>
      </c>
      <c r="D568" s="288">
        <v>1.2054049442554501E-2</v>
      </c>
      <c r="E568" s="288">
        <v>1.4174299067029869E-2</v>
      </c>
      <c r="F568" s="289">
        <v>0.80378377846384685</v>
      </c>
      <c r="G568" s="92">
        <v>0.33531499868273018</v>
      </c>
      <c r="H568" s="288">
        <v>0.75753406064558471</v>
      </c>
      <c r="I568" s="288">
        <v>3.0438114425895391E-2</v>
      </c>
      <c r="J568" s="288">
        <v>0.78304566711949453</v>
      </c>
      <c r="K568" s="288">
        <v>0.75717773058468207</v>
      </c>
      <c r="L568" s="290">
        <v>8510.5751647969864</v>
      </c>
      <c r="M568" s="288">
        <v>0</v>
      </c>
      <c r="N568" s="288">
        <v>11875.797845690704</v>
      </c>
      <c r="O568" s="288">
        <v>1227.7870687844088</v>
      </c>
      <c r="P568" s="288">
        <v>30908.761551243228</v>
      </c>
      <c r="Q568" s="291">
        <v>88610.872796757059</v>
      </c>
      <c r="R568" s="288">
        <v>18637.435864816467</v>
      </c>
      <c r="S568" s="288">
        <v>11709.618683046117</v>
      </c>
      <c r="T568" s="290">
        <v>0.751</v>
      </c>
      <c r="U568" s="288">
        <v>0.75800000000000001</v>
      </c>
      <c r="V568" s="288">
        <v>0.723923076923077</v>
      </c>
      <c r="W568" s="288">
        <v>0.72750000000000004</v>
      </c>
      <c r="X568" s="288">
        <v>0.76</v>
      </c>
      <c r="Y568" s="288">
        <v>0</v>
      </c>
      <c r="Z568" s="289">
        <v>0</v>
      </c>
      <c r="AA568" s="229"/>
      <c r="AB568" s="293">
        <v>102668.38246651914</v>
      </c>
      <c r="AC568" s="294">
        <v>3.2531621932679635</v>
      </c>
      <c r="AD568" s="295">
        <v>94688.959095675062</v>
      </c>
      <c r="AE568" s="294">
        <v>3.0413237007632117</v>
      </c>
      <c r="AF568" s="295">
        <v>7979.4233708440734</v>
      </c>
      <c r="AG568" s="296">
        <v>0.21183849250475184</v>
      </c>
      <c r="AH568" s="229"/>
      <c r="AI568" s="205">
        <f t="shared" si="62"/>
        <v>222647.83686027722</v>
      </c>
      <c r="AJ568" s="205">
        <f t="shared" si="63"/>
        <v>209443.41098064612</v>
      </c>
      <c r="AK568" s="205">
        <f t="shared" si="64"/>
        <v>13204.425879631111</v>
      </c>
      <c r="AL568" s="229"/>
      <c r="AM568" s="52">
        <f t="shared" si="58"/>
        <v>1</v>
      </c>
      <c r="AN568" s="52">
        <f t="shared" si="59"/>
        <v>0</v>
      </c>
      <c r="AO568" s="52">
        <f t="shared" si="60"/>
        <v>1</v>
      </c>
      <c r="AP568" s="229"/>
      <c r="AQ568" s="28"/>
      <c r="AR568" s="28"/>
      <c r="AS568" s="28"/>
      <c r="AT568" s="28"/>
      <c r="AU568" s="229"/>
      <c r="AV568" s="318">
        <f t="shared" si="65"/>
        <v>222647.83686027722</v>
      </c>
      <c r="AW568" s="229"/>
      <c r="AX568" s="313"/>
      <c r="AY568" s="302"/>
      <c r="AZ568" s="14">
        <f t="shared" si="67"/>
        <v>7979.4233708440734</v>
      </c>
      <c r="BA568" s="14">
        <f t="shared" si="66"/>
        <v>0.21183849250475184</v>
      </c>
      <c r="BB568" s="14">
        <f t="shared" si="61"/>
        <v>37667.48562311018</v>
      </c>
      <c r="BC568" s="302"/>
      <c r="BD568" s="302"/>
      <c r="BE568" s="302"/>
      <c r="BF568" s="302"/>
      <c r="BG568" s="302"/>
      <c r="BH568" s="302"/>
      <c r="BI568" s="302"/>
      <c r="BJ568" s="302"/>
      <c r="BK568" s="302"/>
      <c r="BL568" s="302"/>
      <c r="BM568" s="302"/>
      <c r="BN568" s="302"/>
      <c r="BO568" s="302"/>
      <c r="BP568" s="14"/>
      <c r="BQ568" s="14"/>
      <c r="BR568" s="14"/>
      <c r="BS568" s="14"/>
      <c r="BT568" s="14"/>
      <c r="BU568" s="14"/>
      <c r="BV568" s="14"/>
      <c r="BW568" s="14"/>
      <c r="BX568" s="14"/>
      <c r="BY568" s="14"/>
      <c r="BZ568" s="14"/>
      <c r="CA568" s="14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</row>
    <row r="569" spans="1:101" ht="14.25" customHeight="1" x14ac:dyDescent="0.2">
      <c r="A569" s="286"/>
      <c r="B569" s="52">
        <v>0.14569188878049855</v>
      </c>
      <c r="C569" s="288">
        <v>5.854748096238379E-2</v>
      </c>
      <c r="D569" s="288">
        <v>4.4041326864993737E-3</v>
      </c>
      <c r="E569" s="288">
        <v>1.4478885462177904E-2</v>
      </c>
      <c r="F569" s="289">
        <v>0.81263217051217229</v>
      </c>
      <c r="G569" s="92">
        <v>0.37389043696442664</v>
      </c>
      <c r="H569" s="288">
        <v>0.31322423538646993</v>
      </c>
      <c r="I569" s="288">
        <v>5.6684666393365928E-3</v>
      </c>
      <c r="J569" s="288">
        <v>0.99999999999999944</v>
      </c>
      <c r="K569" s="288">
        <v>0.72148748938702456</v>
      </c>
      <c r="L569" s="290">
        <v>12376.390650540849</v>
      </c>
      <c r="M569" s="288">
        <v>0</v>
      </c>
      <c r="N569" s="288">
        <v>21186.178995073336</v>
      </c>
      <c r="O569" s="288">
        <v>1609.0018210961798</v>
      </c>
      <c r="P569" s="288">
        <v>41187.732575779657</v>
      </c>
      <c r="Q569" s="291">
        <v>129674.34597782472</v>
      </c>
      <c r="R569" s="288">
        <v>22359.46783388421</v>
      </c>
      <c r="S569" s="288">
        <v>9102.526941300579</v>
      </c>
      <c r="T569" s="290">
        <v>0.751</v>
      </c>
      <c r="U569" s="288">
        <v>0.75800000000000001</v>
      </c>
      <c r="V569" s="288">
        <v>0.723923076923077</v>
      </c>
      <c r="W569" s="288">
        <v>0.72750000000000004</v>
      </c>
      <c r="X569" s="288">
        <v>0.76</v>
      </c>
      <c r="Y569" s="288">
        <v>0</v>
      </c>
      <c r="Z569" s="289">
        <v>0</v>
      </c>
      <c r="AA569" s="229"/>
      <c r="AB569" s="293">
        <v>86132.586383457019</v>
      </c>
      <c r="AC569" s="294">
        <v>3.2946135198890971</v>
      </c>
      <c r="AD569" s="295">
        <v>69101.814983602686</v>
      </c>
      <c r="AE569" s="294">
        <v>2.8776739534983582</v>
      </c>
      <c r="AF569" s="295">
        <v>17030.771399854333</v>
      </c>
      <c r="AG569" s="296">
        <v>0.41693956639073892</v>
      </c>
      <c r="AH569" s="229"/>
      <c r="AI569" s="205">
        <f t="shared" si="62"/>
        <v>243328.7656054527</v>
      </c>
      <c r="AJ569" s="205">
        <f t="shared" si="63"/>
        <v>218665.58036623313</v>
      </c>
      <c r="AK569" s="205">
        <f t="shared" si="64"/>
        <v>24663.185239219558</v>
      </c>
      <c r="AL569" s="229"/>
      <c r="AM569" s="52">
        <f t="shared" si="58"/>
        <v>1</v>
      </c>
      <c r="AN569" s="52">
        <f t="shared" si="59"/>
        <v>0</v>
      </c>
      <c r="AO569" s="52">
        <f t="shared" si="60"/>
        <v>1</v>
      </c>
      <c r="AP569" s="229"/>
      <c r="AQ569" s="28"/>
      <c r="AR569" s="28"/>
      <c r="AS569" s="28"/>
      <c r="AT569" s="28"/>
      <c r="AU569" s="229"/>
      <c r="AV569" s="318">
        <f t="shared" si="65"/>
        <v>243328.7656054527</v>
      </c>
      <c r="AW569" s="229"/>
      <c r="AX569" s="313"/>
      <c r="AY569" s="302"/>
      <c r="AZ569" s="14">
        <f t="shared" si="67"/>
        <v>17030.771399854333</v>
      </c>
      <c r="BA569" s="14">
        <f t="shared" si="66"/>
        <v>0.41693956639073892</v>
      </c>
      <c r="BB569" s="14">
        <f t="shared" si="61"/>
        <v>40847.098171282174</v>
      </c>
      <c r="BC569" s="302"/>
      <c r="BD569" s="302"/>
      <c r="BE569" s="302"/>
      <c r="BF569" s="302"/>
      <c r="BG569" s="302"/>
      <c r="BH569" s="302"/>
      <c r="BI569" s="302"/>
      <c r="BJ569" s="302"/>
      <c r="BK569" s="302"/>
      <c r="BL569" s="302"/>
      <c r="BM569" s="302"/>
      <c r="BN569" s="302"/>
      <c r="BO569" s="302"/>
      <c r="BP569" s="14"/>
      <c r="BQ569" s="14"/>
      <c r="BR569" s="14"/>
      <c r="BS569" s="14"/>
      <c r="BT569" s="14"/>
      <c r="BU569" s="14"/>
      <c r="BV569" s="14"/>
      <c r="BW569" s="14"/>
      <c r="BX569" s="14"/>
      <c r="BY569" s="14"/>
      <c r="BZ569" s="14"/>
      <c r="CA569" s="14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</row>
    <row r="570" spans="1:101" ht="14.25" customHeight="1" x14ac:dyDescent="0.2">
      <c r="A570" s="286"/>
      <c r="B570" s="52">
        <v>0.14568320319276409</v>
      </c>
      <c r="C570" s="288">
        <v>0.92530551786496051</v>
      </c>
      <c r="D570" s="288">
        <v>1.2299379479598549E-2</v>
      </c>
      <c r="E570" s="288">
        <v>4.0963930665169866E-3</v>
      </c>
      <c r="F570" s="289">
        <v>0.74882720366814803</v>
      </c>
      <c r="G570" s="92">
        <v>0.40216515610381631</v>
      </c>
      <c r="H570" s="288">
        <v>3.4787958244009397E-2</v>
      </c>
      <c r="I570" s="288">
        <v>9.4847049216535313E-3</v>
      </c>
      <c r="J570" s="288">
        <v>0.98147507025489267</v>
      </c>
      <c r="K570" s="288">
        <v>0.71993117788429983</v>
      </c>
      <c r="L570" s="290">
        <v>12105.761828043793</v>
      </c>
      <c r="M570" s="288">
        <v>0</v>
      </c>
      <c r="N570" s="288">
        <v>15079.451475375685</v>
      </c>
      <c r="O570" s="288">
        <v>942.32105728467752</v>
      </c>
      <c r="P570" s="288">
        <v>23927.605221950496</v>
      </c>
      <c r="Q570" s="291">
        <v>115770.23683923201</v>
      </c>
      <c r="R570" s="288">
        <v>21161.442274681864</v>
      </c>
      <c r="S570" s="288">
        <v>9045.2992950144435</v>
      </c>
      <c r="T570" s="290">
        <v>0.751</v>
      </c>
      <c r="U570" s="288">
        <v>0.75800000000000001</v>
      </c>
      <c r="V570" s="288">
        <v>0.723923076923077</v>
      </c>
      <c r="W570" s="288">
        <v>0.72750000000000004</v>
      </c>
      <c r="X570" s="288">
        <v>0.76</v>
      </c>
      <c r="Y570" s="288">
        <v>0</v>
      </c>
      <c r="Z570" s="289">
        <v>0</v>
      </c>
      <c r="AA570" s="229"/>
      <c r="AB570" s="293">
        <v>82375.167548756013</v>
      </c>
      <c r="AC570" s="294">
        <v>2.998461670649041</v>
      </c>
      <c r="AD570" s="295">
        <v>66269.16750695197</v>
      </c>
      <c r="AE570" s="294">
        <v>2.8705835150035024</v>
      </c>
      <c r="AF570" s="295">
        <v>16106.000041804044</v>
      </c>
      <c r="AG570" s="296">
        <v>0.12787815564553862</v>
      </c>
      <c r="AH570" s="229"/>
      <c r="AI570" s="205">
        <f t="shared" si="62"/>
        <v>217470.99951614812</v>
      </c>
      <c r="AJ570" s="205">
        <f t="shared" si="63"/>
        <v>220789.18399339827</v>
      </c>
      <c r="AK570" s="205">
        <f t="shared" si="64"/>
        <v>-3318.1844772501827</v>
      </c>
      <c r="AL570" s="229"/>
      <c r="AM570" s="52">
        <f t="shared" si="58"/>
        <v>0</v>
      </c>
      <c r="AN570" s="52">
        <f t="shared" si="59"/>
        <v>1</v>
      </c>
      <c r="AO570" s="52">
        <f t="shared" si="60"/>
        <v>0</v>
      </c>
      <c r="AP570" s="229"/>
      <c r="AQ570" s="28"/>
      <c r="AR570" s="28"/>
      <c r="AS570" s="28"/>
      <c r="AT570" s="28"/>
      <c r="AU570" s="229"/>
      <c r="AV570" s="318">
        <f t="shared" si="65"/>
        <v>220789.18399339827</v>
      </c>
      <c r="AW570" s="229"/>
      <c r="AX570" s="313"/>
      <c r="AY570" s="302"/>
      <c r="AZ570" s="14">
        <f t="shared" si="67"/>
        <v>16106.000041804044</v>
      </c>
      <c r="BA570" s="14">
        <f t="shared" si="66"/>
        <v>0.12787815564553862</v>
      </c>
      <c r="BB570" s="14">
        <f t="shared" si="61"/>
        <v>125948.01637933965</v>
      </c>
      <c r="BC570" s="302"/>
      <c r="BD570" s="302"/>
      <c r="BE570" s="302"/>
      <c r="BF570" s="302"/>
      <c r="BG570" s="302"/>
      <c r="BH570" s="302"/>
      <c r="BI570" s="302"/>
      <c r="BJ570" s="302"/>
      <c r="BK570" s="302"/>
      <c r="BL570" s="302"/>
      <c r="BM570" s="302"/>
      <c r="BN570" s="302"/>
      <c r="BO570" s="302"/>
      <c r="BP570" s="14"/>
      <c r="BQ570" s="14"/>
      <c r="BR570" s="14"/>
      <c r="BS570" s="14"/>
      <c r="BT570" s="14"/>
      <c r="BU570" s="14"/>
      <c r="BV570" s="14"/>
      <c r="BW570" s="14"/>
      <c r="BX570" s="14"/>
      <c r="BY570" s="14"/>
      <c r="BZ570" s="14"/>
      <c r="CA570" s="14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</row>
    <row r="571" spans="1:101" ht="14.25" customHeight="1" x14ac:dyDescent="0.2">
      <c r="A571" s="286"/>
      <c r="B571" s="52">
        <v>0.17513326150783559</v>
      </c>
      <c r="C571" s="288">
        <v>0.87234626258282322</v>
      </c>
      <c r="D571" s="288">
        <v>1.3512001748598589E-2</v>
      </c>
      <c r="E571" s="288">
        <v>1.4871973163082197E-2</v>
      </c>
      <c r="F571" s="289">
        <v>0.75686969954190997</v>
      </c>
      <c r="G571" s="92">
        <v>0.4622079996967966</v>
      </c>
      <c r="H571" s="288">
        <v>0.93163742753240131</v>
      </c>
      <c r="I571" s="288">
        <v>1.911365052407632E-2</v>
      </c>
      <c r="J571" s="288">
        <v>0.99998264379316371</v>
      </c>
      <c r="K571" s="288">
        <v>0.771249225012832</v>
      </c>
      <c r="L571" s="290">
        <v>14093.444821689618</v>
      </c>
      <c r="M571" s="288">
        <v>0</v>
      </c>
      <c r="N571" s="288">
        <v>20004.073412510774</v>
      </c>
      <c r="O571" s="288">
        <v>1339.7949931539554</v>
      </c>
      <c r="P571" s="288">
        <v>36510.269153287838</v>
      </c>
      <c r="Q571" s="291">
        <v>91874.241665869093</v>
      </c>
      <c r="R571" s="288">
        <v>23075.365359303822</v>
      </c>
      <c r="S571" s="288">
        <v>5620.5023830152923</v>
      </c>
      <c r="T571" s="290">
        <v>0.751</v>
      </c>
      <c r="U571" s="288">
        <v>0.75800000000000001</v>
      </c>
      <c r="V571" s="288">
        <v>0.723923076923077</v>
      </c>
      <c r="W571" s="288">
        <v>0.72750000000000004</v>
      </c>
      <c r="X571" s="288">
        <v>0.76</v>
      </c>
      <c r="Y571" s="288">
        <v>0</v>
      </c>
      <c r="Z571" s="289">
        <v>0</v>
      </c>
      <c r="AA571" s="229"/>
      <c r="AB571" s="293">
        <v>60197.073179914696</v>
      </c>
      <c r="AC571" s="294">
        <v>3.0354393411892198</v>
      </c>
      <c r="AD571" s="295">
        <v>55079.32688169265</v>
      </c>
      <c r="AE571" s="294">
        <v>3.1063973044403963</v>
      </c>
      <c r="AF571" s="295">
        <v>5117.7462982220459</v>
      </c>
      <c r="AG571" s="296">
        <v>-7.0957963251176537E-2</v>
      </c>
      <c r="AH571" s="229"/>
      <c r="AI571" s="205">
        <f t="shared" si="62"/>
        <v>243346.86093900728</v>
      </c>
      <c r="AJ571" s="205">
        <f t="shared" si="63"/>
        <v>255560.40356234697</v>
      </c>
      <c r="AK571" s="205">
        <f t="shared" si="64"/>
        <v>-12213.542623339699</v>
      </c>
      <c r="AL571" s="229"/>
      <c r="AM571" s="52">
        <f t="shared" si="58"/>
        <v>0</v>
      </c>
      <c r="AN571" s="52">
        <f t="shared" si="59"/>
        <v>1</v>
      </c>
      <c r="AO571" s="52">
        <f t="shared" si="60"/>
        <v>0</v>
      </c>
      <c r="AP571" s="229"/>
      <c r="AQ571" s="28"/>
      <c r="AR571" s="28"/>
      <c r="AS571" s="28"/>
      <c r="AT571" s="28"/>
      <c r="AU571" s="229"/>
      <c r="AV571" s="318">
        <f t="shared" si="65"/>
        <v>255560.40356234697</v>
      </c>
      <c r="AW571" s="229"/>
      <c r="AX571" s="313"/>
      <c r="AY571" s="302"/>
      <c r="AZ571" s="14">
        <f t="shared" si="67"/>
        <v>5117.7462982220459</v>
      </c>
      <c r="BA571" s="14">
        <f t="shared" si="66"/>
        <v>-7.0957963251176537E-2</v>
      </c>
      <c r="BB571" s="14">
        <f t="shared" si="61"/>
        <v>-72123.635794143091</v>
      </c>
      <c r="BC571" s="302"/>
      <c r="BD571" s="302"/>
      <c r="BE571" s="302"/>
      <c r="BF571" s="302"/>
      <c r="BG571" s="302"/>
      <c r="BH571" s="302"/>
      <c r="BI571" s="302"/>
      <c r="BJ571" s="302"/>
      <c r="BK571" s="302"/>
      <c r="BL571" s="302"/>
      <c r="BM571" s="302"/>
      <c r="BN571" s="302"/>
      <c r="BO571" s="302"/>
      <c r="BP571" s="14"/>
      <c r="BQ571" s="14"/>
      <c r="BR571" s="14"/>
      <c r="BS571" s="14"/>
      <c r="BT571" s="14"/>
      <c r="BU571" s="14"/>
      <c r="BV571" s="14"/>
      <c r="BW571" s="14"/>
      <c r="BX571" s="14"/>
      <c r="BY571" s="14"/>
      <c r="BZ571" s="14"/>
      <c r="CA571" s="14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</row>
    <row r="572" spans="1:101" ht="14.25" customHeight="1" x14ac:dyDescent="0.2">
      <c r="A572" s="286"/>
      <c r="B572" s="52">
        <v>0.1343886999073354</v>
      </c>
      <c r="C572" s="288">
        <v>0.20460271277308373</v>
      </c>
      <c r="D572" s="288">
        <v>2.7034520386394534E-2</v>
      </c>
      <c r="E572" s="288">
        <v>1.9676678052389929E-2</v>
      </c>
      <c r="F572" s="289">
        <v>0.7976683157080543</v>
      </c>
      <c r="G572" s="92">
        <v>0.37015484953179301</v>
      </c>
      <c r="H572" s="288">
        <v>0.51487324315954019</v>
      </c>
      <c r="I572" s="288">
        <v>2.2809317741809165E-2</v>
      </c>
      <c r="J572" s="288">
        <v>0.30591072244389483</v>
      </c>
      <c r="K572" s="288">
        <v>0.67955398455918103</v>
      </c>
      <c r="L572" s="290">
        <v>15373.521020573962</v>
      </c>
      <c r="M572" s="288">
        <v>0</v>
      </c>
      <c r="N572" s="288">
        <v>18242.456629661647</v>
      </c>
      <c r="O572" s="288">
        <v>1215.3838969161284</v>
      </c>
      <c r="P572" s="288">
        <v>60739.640975910079</v>
      </c>
      <c r="Q572" s="291">
        <v>128220.50500987924</v>
      </c>
      <c r="R572" s="288">
        <v>20849.458798202737</v>
      </c>
      <c r="S572" s="288">
        <v>10353.112946187161</v>
      </c>
      <c r="T572" s="290">
        <v>0.751</v>
      </c>
      <c r="U572" s="288">
        <v>0.75800000000000001</v>
      </c>
      <c r="V572" s="288">
        <v>0.723923076923077</v>
      </c>
      <c r="W572" s="288">
        <v>0.72750000000000004</v>
      </c>
      <c r="X572" s="288">
        <v>0.76</v>
      </c>
      <c r="Y572" s="288">
        <v>0</v>
      </c>
      <c r="Z572" s="289">
        <v>0</v>
      </c>
      <c r="AA572" s="229"/>
      <c r="AB572" s="293">
        <v>98358.168818944119</v>
      </c>
      <c r="AC572" s="294">
        <v>3.2245853607233061</v>
      </c>
      <c r="AD572" s="295">
        <v>75810.164131968035</v>
      </c>
      <c r="AE572" s="294">
        <v>2.68796246974029</v>
      </c>
      <c r="AF572" s="295">
        <v>22548.004686976084</v>
      </c>
      <c r="AG572" s="296">
        <v>0.53662289098301619</v>
      </c>
      <c r="AH572" s="229"/>
      <c r="AI572" s="205">
        <f t="shared" si="62"/>
        <v>224100.36725338647</v>
      </c>
      <c r="AJ572" s="205">
        <f t="shared" si="63"/>
        <v>192986.08284206095</v>
      </c>
      <c r="AK572" s="205">
        <f t="shared" si="64"/>
        <v>31114.284411325534</v>
      </c>
      <c r="AL572" s="229"/>
      <c r="AM572" s="52">
        <f t="shared" si="58"/>
        <v>1</v>
      </c>
      <c r="AN572" s="52">
        <f t="shared" si="59"/>
        <v>0</v>
      </c>
      <c r="AO572" s="52">
        <f t="shared" si="60"/>
        <v>1</v>
      </c>
      <c r="AP572" s="229"/>
      <c r="AQ572" s="28"/>
      <c r="AR572" s="28"/>
      <c r="AS572" s="28"/>
      <c r="AT572" s="28"/>
      <c r="AU572" s="229"/>
      <c r="AV572" s="318">
        <f t="shared" si="65"/>
        <v>224100.36725338647</v>
      </c>
      <c r="AW572" s="229"/>
      <c r="AX572" s="313"/>
      <c r="AY572" s="302"/>
      <c r="AZ572" s="14">
        <f t="shared" si="67"/>
        <v>22548.004686976084</v>
      </c>
      <c r="BA572" s="14">
        <f t="shared" si="66"/>
        <v>0.53662289098301619</v>
      </c>
      <c r="BB572" s="14">
        <f t="shared" si="61"/>
        <v>42018.342985092146</v>
      </c>
      <c r="BC572" s="302"/>
      <c r="BD572" s="302"/>
      <c r="BE572" s="302"/>
      <c r="BF572" s="302"/>
      <c r="BG572" s="302"/>
      <c r="BH572" s="302"/>
      <c r="BI572" s="302"/>
      <c r="BJ572" s="302"/>
      <c r="BK572" s="302"/>
      <c r="BL572" s="302"/>
      <c r="BM572" s="302"/>
      <c r="BN572" s="302"/>
      <c r="BO572" s="302"/>
      <c r="BP572" s="14"/>
      <c r="BQ572" s="14"/>
      <c r="BR572" s="14"/>
      <c r="BS572" s="14"/>
      <c r="BT572" s="14"/>
      <c r="BU572" s="14"/>
      <c r="BV572" s="14"/>
      <c r="BW572" s="14"/>
      <c r="BX572" s="14"/>
      <c r="BY572" s="14"/>
      <c r="BZ572" s="14"/>
      <c r="CA572" s="14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</row>
    <row r="573" spans="1:101" ht="14.25" customHeight="1" x14ac:dyDescent="0.2">
      <c r="A573" s="286"/>
      <c r="B573" s="52">
        <v>0.14851355163185759</v>
      </c>
      <c r="C573" s="288">
        <v>0.10695104865984709</v>
      </c>
      <c r="D573" s="288">
        <v>1.0666856124288969E-2</v>
      </c>
      <c r="E573" s="288">
        <v>2.0234503321538866E-2</v>
      </c>
      <c r="F573" s="289">
        <v>0.76655223642578796</v>
      </c>
      <c r="G573" s="92">
        <v>0.50152412337944219</v>
      </c>
      <c r="H573" s="288">
        <v>0.29190594288585592</v>
      </c>
      <c r="I573" s="288">
        <v>2.2502701633585587E-2</v>
      </c>
      <c r="J573" s="288">
        <v>0.9999999999999476</v>
      </c>
      <c r="K573" s="288">
        <v>0.81058495804853758</v>
      </c>
      <c r="L573" s="290">
        <v>9787.7266671315629</v>
      </c>
      <c r="M573" s="288">
        <v>0</v>
      </c>
      <c r="N573" s="288">
        <v>16234.599145494767</v>
      </c>
      <c r="O573" s="288">
        <v>1018.6708861435005</v>
      </c>
      <c r="P573" s="288">
        <v>51017.810028683169</v>
      </c>
      <c r="Q573" s="291">
        <v>132109.59009489449</v>
      </c>
      <c r="R573" s="288">
        <v>25984.696127002233</v>
      </c>
      <c r="S573" s="288">
        <v>12512.51802803825</v>
      </c>
      <c r="T573" s="290">
        <v>0.751</v>
      </c>
      <c r="U573" s="288">
        <v>0.75800000000000001</v>
      </c>
      <c r="V573" s="288">
        <v>0.723923076923077</v>
      </c>
      <c r="W573" s="288">
        <v>0.72750000000000004</v>
      </c>
      <c r="X573" s="288">
        <v>0.76</v>
      </c>
      <c r="Y573" s="288">
        <v>0</v>
      </c>
      <c r="Z573" s="289">
        <v>0</v>
      </c>
      <c r="AA573" s="229"/>
      <c r="AB573" s="293">
        <v>105540.94584917108</v>
      </c>
      <c r="AC573" s="294">
        <v>3.0800921639892924</v>
      </c>
      <c r="AD573" s="295">
        <v>107646.66541429244</v>
      </c>
      <c r="AE573" s="294">
        <v>3.2899610423155665</v>
      </c>
      <c r="AF573" s="295">
        <v>-2105.7195651213551</v>
      </c>
      <c r="AG573" s="296">
        <v>-0.2098688783262741</v>
      </c>
      <c r="AH573" s="229"/>
      <c r="AI573" s="205">
        <f t="shared" si="62"/>
        <v>202468.27054975816</v>
      </c>
      <c r="AJ573" s="205">
        <f t="shared" si="63"/>
        <v>221349.43881726422</v>
      </c>
      <c r="AK573" s="205">
        <f t="shared" si="64"/>
        <v>-18881.168267506055</v>
      </c>
      <c r="AL573" s="229"/>
      <c r="AM573" s="52">
        <f t="shared" si="58"/>
        <v>0</v>
      </c>
      <c r="AN573" s="52">
        <f t="shared" si="59"/>
        <v>1</v>
      </c>
      <c r="AO573" s="52">
        <f t="shared" si="60"/>
        <v>0</v>
      </c>
      <c r="AP573" s="229"/>
      <c r="AQ573" s="28"/>
      <c r="AR573" s="28"/>
      <c r="AS573" s="28"/>
      <c r="AT573" s="28"/>
      <c r="AU573" s="229"/>
      <c r="AV573" s="318">
        <f t="shared" si="65"/>
        <v>221349.43881726422</v>
      </c>
      <c r="AW573" s="229"/>
      <c r="AX573" s="313"/>
      <c r="AY573" s="302"/>
      <c r="AZ573" s="14">
        <f t="shared" si="67"/>
        <v>-2105.7195651213551</v>
      </c>
      <c r="BA573" s="14">
        <f t="shared" si="66"/>
        <v>-0.2098688783262741</v>
      </c>
      <c r="BB573" s="14">
        <f t="shared" si="61"/>
        <v>10033.50083116032</v>
      </c>
      <c r="BC573" s="302"/>
      <c r="BD573" s="302"/>
      <c r="BE573" s="302"/>
      <c r="BF573" s="302"/>
      <c r="BG573" s="302"/>
      <c r="BH573" s="302"/>
      <c r="BI573" s="302"/>
      <c r="BJ573" s="302"/>
      <c r="BK573" s="302"/>
      <c r="BL573" s="302"/>
      <c r="BM573" s="302"/>
      <c r="BN573" s="302"/>
      <c r="BO573" s="302"/>
      <c r="BP573" s="14"/>
      <c r="BQ573" s="14"/>
      <c r="BR573" s="14"/>
      <c r="BS573" s="14"/>
      <c r="BT573" s="14"/>
      <c r="BU573" s="14"/>
      <c r="BV573" s="14"/>
      <c r="BW573" s="14"/>
      <c r="BX573" s="14"/>
      <c r="BY573" s="14"/>
      <c r="BZ573" s="14"/>
      <c r="CA573" s="14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</row>
    <row r="574" spans="1:101" ht="14.25" customHeight="1" x14ac:dyDescent="0.2">
      <c r="A574" s="286"/>
      <c r="B574" s="52">
        <v>0.17358832289183757</v>
      </c>
      <c r="C574" s="288">
        <v>0.45028285389655331</v>
      </c>
      <c r="D574" s="288">
        <v>1.0409079378890908E-2</v>
      </c>
      <c r="E574" s="288">
        <v>2.5702719496843662E-2</v>
      </c>
      <c r="F574" s="289">
        <v>0.72158583766486883</v>
      </c>
      <c r="G574" s="92">
        <v>0.40604034153330337</v>
      </c>
      <c r="H574" s="288">
        <v>0.73454537556278343</v>
      </c>
      <c r="I574" s="288">
        <v>2.4906393110717517E-2</v>
      </c>
      <c r="J574" s="288">
        <v>0.99999173050011869</v>
      </c>
      <c r="K574" s="288">
        <v>0.74401808817349757</v>
      </c>
      <c r="L574" s="290">
        <v>8269.3142368121826</v>
      </c>
      <c r="M574" s="288">
        <v>0</v>
      </c>
      <c r="N574" s="288">
        <v>14452.466305698284</v>
      </c>
      <c r="O574" s="288">
        <v>1673.3752121925509</v>
      </c>
      <c r="P574" s="288">
        <v>56465.863107412733</v>
      </c>
      <c r="Q574" s="291">
        <v>110696.57086264546</v>
      </c>
      <c r="R574" s="288">
        <v>13947.742699190518</v>
      </c>
      <c r="S574" s="288">
        <v>10285.958913528286</v>
      </c>
      <c r="T574" s="290">
        <v>0.751</v>
      </c>
      <c r="U574" s="288">
        <v>0.75800000000000001</v>
      </c>
      <c r="V574" s="288">
        <v>0.723923076923077</v>
      </c>
      <c r="W574" s="288">
        <v>0.72750000000000004</v>
      </c>
      <c r="X574" s="288">
        <v>0.76</v>
      </c>
      <c r="Y574" s="288">
        <v>0</v>
      </c>
      <c r="Z574" s="289">
        <v>0</v>
      </c>
      <c r="AA574" s="229"/>
      <c r="AB574" s="293">
        <v>83350.079788515141</v>
      </c>
      <c r="AC574" s="294">
        <v>2.8739655201809975</v>
      </c>
      <c r="AD574" s="295">
        <v>82947.640449147148</v>
      </c>
      <c r="AE574" s="294">
        <v>2.9807493814813668</v>
      </c>
      <c r="AF574" s="295">
        <v>402.43933936799294</v>
      </c>
      <c r="AG574" s="296">
        <v>-0.10678386130036932</v>
      </c>
      <c r="AH574" s="229"/>
      <c r="AI574" s="205">
        <f t="shared" si="62"/>
        <v>204046.47222958461</v>
      </c>
      <c r="AJ574" s="205">
        <f t="shared" si="63"/>
        <v>215127.29769898951</v>
      </c>
      <c r="AK574" s="205">
        <f t="shared" si="64"/>
        <v>-11080.825469404925</v>
      </c>
      <c r="AL574" s="229"/>
      <c r="AM574" s="52">
        <f t="shared" si="58"/>
        <v>0</v>
      </c>
      <c r="AN574" s="52">
        <f t="shared" si="59"/>
        <v>1</v>
      </c>
      <c r="AO574" s="52">
        <f t="shared" si="60"/>
        <v>0</v>
      </c>
      <c r="AP574" s="229"/>
      <c r="AQ574" s="28"/>
      <c r="AR574" s="28"/>
      <c r="AS574" s="28"/>
      <c r="AT574" s="28"/>
      <c r="AU574" s="229"/>
      <c r="AV574" s="318">
        <f t="shared" si="65"/>
        <v>215127.29769898951</v>
      </c>
      <c r="AW574" s="229"/>
      <c r="AX574" s="313"/>
      <c r="AY574" s="302"/>
      <c r="AZ574" s="14">
        <f t="shared" si="67"/>
        <v>402.43933936799294</v>
      </c>
      <c r="BA574" s="14">
        <f t="shared" si="66"/>
        <v>-0.10678386130036932</v>
      </c>
      <c r="BB574" s="14">
        <f t="shared" si="61"/>
        <v>-3768.7281061693643</v>
      </c>
      <c r="BC574" s="302"/>
      <c r="BD574" s="302"/>
      <c r="BE574" s="302"/>
      <c r="BF574" s="302"/>
      <c r="BG574" s="302"/>
      <c r="BH574" s="302"/>
      <c r="BI574" s="302"/>
      <c r="BJ574" s="302"/>
      <c r="BK574" s="302"/>
      <c r="BL574" s="302"/>
      <c r="BM574" s="302"/>
      <c r="BN574" s="302"/>
      <c r="BO574" s="302"/>
      <c r="BP574" s="14"/>
      <c r="BQ574" s="14"/>
      <c r="BR574" s="14"/>
      <c r="BS574" s="14"/>
      <c r="BT574" s="14"/>
      <c r="BU574" s="14"/>
      <c r="BV574" s="14"/>
      <c r="BW574" s="14"/>
      <c r="BX574" s="14"/>
      <c r="BY574" s="14"/>
      <c r="BZ574" s="14"/>
      <c r="CA574" s="14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</row>
    <row r="575" spans="1:101" ht="14.25" customHeight="1" x14ac:dyDescent="0.2">
      <c r="A575" s="286"/>
      <c r="B575" s="52">
        <v>0.15519138917739808</v>
      </c>
      <c r="C575" s="288">
        <v>0.52469420421466206</v>
      </c>
      <c r="D575" s="288">
        <v>1.7114926055097901E-2</v>
      </c>
      <c r="E575" s="288">
        <v>1.7867725585761995E-2</v>
      </c>
      <c r="F575" s="289">
        <v>0.81970496663065728</v>
      </c>
      <c r="G575" s="92">
        <v>0.38668013314853672</v>
      </c>
      <c r="H575" s="288">
        <v>0.23701896868876998</v>
      </c>
      <c r="I575" s="288">
        <v>3.0716625530571307E-2</v>
      </c>
      <c r="J575" s="288">
        <v>0.31803519260623253</v>
      </c>
      <c r="K575" s="288">
        <v>0.74848747088702361</v>
      </c>
      <c r="L575" s="290">
        <v>10244.106287764205</v>
      </c>
      <c r="M575" s="288">
        <v>0</v>
      </c>
      <c r="N575" s="288">
        <v>14573.06933549739</v>
      </c>
      <c r="O575" s="288">
        <v>1285.7358063831343</v>
      </c>
      <c r="P575" s="288">
        <v>41576.29713281482</v>
      </c>
      <c r="Q575" s="291">
        <v>108439.48130768591</v>
      </c>
      <c r="R575" s="288">
        <v>31607.994527531442</v>
      </c>
      <c r="S575" s="288">
        <v>5492.4507488068566</v>
      </c>
      <c r="T575" s="290">
        <v>0.751</v>
      </c>
      <c r="U575" s="288">
        <v>0.75800000000000001</v>
      </c>
      <c r="V575" s="288">
        <v>0.723923076923077</v>
      </c>
      <c r="W575" s="288">
        <v>0.72750000000000004</v>
      </c>
      <c r="X575" s="288">
        <v>0.76</v>
      </c>
      <c r="Y575" s="288">
        <v>0</v>
      </c>
      <c r="Z575" s="289">
        <v>0</v>
      </c>
      <c r="AA575" s="229"/>
      <c r="AB575" s="293">
        <v>57890.070793544852</v>
      </c>
      <c r="AC575" s="294">
        <v>3.3278351721602255</v>
      </c>
      <c r="AD575" s="295">
        <v>45995.476535770576</v>
      </c>
      <c r="AE575" s="294">
        <v>3.0012915040696444</v>
      </c>
      <c r="AF575" s="295">
        <v>11894.594257774275</v>
      </c>
      <c r="AG575" s="296">
        <v>0.32654366809058111</v>
      </c>
      <c r="AH575" s="229"/>
      <c r="AI575" s="205">
        <f t="shared" si="62"/>
        <v>274893.44642247766</v>
      </c>
      <c r="AJ575" s="205">
        <f t="shared" si="63"/>
        <v>254133.67387119384</v>
      </c>
      <c r="AK575" s="205">
        <f t="shared" si="64"/>
        <v>20759.772551283837</v>
      </c>
      <c r="AL575" s="229"/>
      <c r="AM575" s="52">
        <f t="shared" si="58"/>
        <v>1</v>
      </c>
      <c r="AN575" s="52">
        <f t="shared" si="59"/>
        <v>0</v>
      </c>
      <c r="AO575" s="52">
        <f t="shared" si="60"/>
        <v>1</v>
      </c>
      <c r="AP575" s="229"/>
      <c r="AQ575" s="28"/>
      <c r="AR575" s="28"/>
      <c r="AS575" s="28"/>
      <c r="AT575" s="28"/>
      <c r="AU575" s="229"/>
      <c r="AV575" s="318">
        <f t="shared" si="65"/>
        <v>274893.44642247766</v>
      </c>
      <c r="AW575" s="229"/>
      <c r="AX575" s="313"/>
      <c r="AY575" s="302"/>
      <c r="AZ575" s="14">
        <f t="shared" si="67"/>
        <v>11894.594257774275</v>
      </c>
      <c r="BA575" s="14">
        <f t="shared" si="66"/>
        <v>0.32654366809058111</v>
      </c>
      <c r="BB575" s="14">
        <f t="shared" si="61"/>
        <v>36425.738484920774</v>
      </c>
      <c r="BC575" s="302"/>
      <c r="BD575" s="302"/>
      <c r="BE575" s="302"/>
      <c r="BF575" s="302"/>
      <c r="BG575" s="302"/>
      <c r="BH575" s="302"/>
      <c r="BI575" s="302"/>
      <c r="BJ575" s="302"/>
      <c r="BK575" s="302"/>
      <c r="BL575" s="302"/>
      <c r="BM575" s="302"/>
      <c r="BN575" s="302"/>
      <c r="BO575" s="302"/>
      <c r="BP575" s="14"/>
      <c r="BQ575" s="14"/>
      <c r="BR575" s="14"/>
      <c r="BS575" s="14"/>
      <c r="BT575" s="14"/>
      <c r="BU575" s="14"/>
      <c r="BV575" s="14"/>
      <c r="BW575" s="14"/>
      <c r="BX575" s="14"/>
      <c r="BY575" s="14"/>
      <c r="BZ575" s="14"/>
      <c r="CA575" s="14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</row>
    <row r="576" spans="1:101" ht="14.25" customHeight="1" x14ac:dyDescent="0.2">
      <c r="A576" s="286"/>
      <c r="B576" s="52">
        <v>0.13347733709355347</v>
      </c>
      <c r="C576" s="288">
        <v>0.33673180799560321</v>
      </c>
      <c r="D576" s="288">
        <v>6.495524587387602E-3</v>
      </c>
      <c r="E576" s="288">
        <v>1.3098375555763745E-2</v>
      </c>
      <c r="F576" s="289">
        <v>0.80660904618961582</v>
      </c>
      <c r="G576" s="92">
        <v>0.37626886034918072</v>
      </c>
      <c r="H576" s="288">
        <v>0.97086381251490717</v>
      </c>
      <c r="I576" s="288">
        <v>1.4149059874573391E-2</v>
      </c>
      <c r="J576" s="288">
        <v>0.9999999965632238</v>
      </c>
      <c r="K576" s="288">
        <v>0.77029219488596423</v>
      </c>
      <c r="L576" s="290">
        <v>10689.848298000576</v>
      </c>
      <c r="M576" s="288">
        <v>0</v>
      </c>
      <c r="N576" s="288">
        <v>18946.447407263273</v>
      </c>
      <c r="O576" s="288">
        <v>1059.5299277448203</v>
      </c>
      <c r="P576" s="288">
        <v>51969.334903788455</v>
      </c>
      <c r="Q576" s="291">
        <v>103566.59598829516</v>
      </c>
      <c r="R576" s="288">
        <v>14123.767898552909</v>
      </c>
      <c r="S576" s="288">
        <v>8241.8065709085313</v>
      </c>
      <c r="T576" s="290">
        <v>0.751</v>
      </c>
      <c r="U576" s="288">
        <v>0.75800000000000001</v>
      </c>
      <c r="V576" s="288">
        <v>0.723923076923077</v>
      </c>
      <c r="W576" s="288">
        <v>0.72750000000000004</v>
      </c>
      <c r="X576" s="288">
        <v>0.76</v>
      </c>
      <c r="Y576" s="288">
        <v>0</v>
      </c>
      <c r="Z576" s="289">
        <v>0</v>
      </c>
      <c r="AA576" s="229"/>
      <c r="AB576" s="293">
        <v>77386.238239622922</v>
      </c>
      <c r="AC576" s="294">
        <v>3.2663841445711133</v>
      </c>
      <c r="AD576" s="295">
        <v>69744.740341671277</v>
      </c>
      <c r="AE576" s="294">
        <v>3.1019616284281928</v>
      </c>
      <c r="AF576" s="295">
        <v>7641.4978979516454</v>
      </c>
      <c r="AG576" s="296">
        <v>0.16442251614292047</v>
      </c>
      <c r="AH576" s="229"/>
      <c r="AI576" s="205">
        <f t="shared" si="62"/>
        <v>249252.17621748842</v>
      </c>
      <c r="AJ576" s="205">
        <f t="shared" si="63"/>
        <v>240451.42250114802</v>
      </c>
      <c r="AK576" s="205">
        <f t="shared" si="64"/>
        <v>8800.7537163404013</v>
      </c>
      <c r="AL576" s="229"/>
      <c r="AM576" s="52">
        <f t="shared" si="58"/>
        <v>1</v>
      </c>
      <c r="AN576" s="52">
        <f t="shared" si="59"/>
        <v>0</v>
      </c>
      <c r="AO576" s="52">
        <f t="shared" si="60"/>
        <v>1</v>
      </c>
      <c r="AP576" s="229"/>
      <c r="AQ576" s="28"/>
      <c r="AR576" s="28"/>
      <c r="AS576" s="28"/>
      <c r="AT576" s="28"/>
      <c r="AU576" s="229"/>
      <c r="AV576" s="318">
        <f t="shared" si="65"/>
        <v>249252.17621748842</v>
      </c>
      <c r="AW576" s="229"/>
      <c r="AX576" s="313"/>
      <c r="AY576" s="302"/>
      <c r="AZ576" s="14">
        <f t="shared" si="67"/>
        <v>7641.4978979516454</v>
      </c>
      <c r="BA576" s="14">
        <f t="shared" si="66"/>
        <v>0.16442251614292047</v>
      </c>
      <c r="BB576" s="14">
        <f t="shared" si="61"/>
        <v>46474.765605152585</v>
      </c>
      <c r="BC576" s="302"/>
      <c r="BD576" s="302"/>
      <c r="BE576" s="302"/>
      <c r="BF576" s="302"/>
      <c r="BG576" s="302"/>
      <c r="BH576" s="302"/>
      <c r="BI576" s="302"/>
      <c r="BJ576" s="302"/>
      <c r="BK576" s="302"/>
      <c r="BL576" s="302"/>
      <c r="BM576" s="302"/>
      <c r="BN576" s="302"/>
      <c r="BO576" s="302"/>
      <c r="BP576" s="14"/>
      <c r="BQ576" s="14"/>
      <c r="BR576" s="14"/>
      <c r="BS576" s="14"/>
      <c r="BT576" s="14"/>
      <c r="BU576" s="14"/>
      <c r="BV576" s="14"/>
      <c r="BW576" s="14"/>
      <c r="BX576" s="14"/>
      <c r="BY576" s="14"/>
      <c r="BZ576" s="14"/>
      <c r="CA576" s="14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</row>
    <row r="577" spans="1:101" ht="14.25" customHeight="1" x14ac:dyDescent="0.2">
      <c r="A577" s="286"/>
      <c r="B577" s="52">
        <v>0.17134479734422259</v>
      </c>
      <c r="C577" s="288">
        <v>0.38575590405595916</v>
      </c>
      <c r="D577" s="288">
        <v>1.2084239864965825E-2</v>
      </c>
      <c r="E577" s="288">
        <v>1.2406466913297281E-2</v>
      </c>
      <c r="F577" s="289">
        <v>0.79663161794415049</v>
      </c>
      <c r="G577" s="92">
        <v>0.45350803493965819</v>
      </c>
      <c r="H577" s="288">
        <v>0.85834240128362227</v>
      </c>
      <c r="I577" s="288">
        <v>2.9187372705006043E-2</v>
      </c>
      <c r="J577" s="288">
        <v>0.99992247958738134</v>
      </c>
      <c r="K577" s="288">
        <v>0.75783907323857169</v>
      </c>
      <c r="L577" s="290">
        <v>9076.0314530531668</v>
      </c>
      <c r="M577" s="288">
        <v>0</v>
      </c>
      <c r="N577" s="288">
        <v>18900.670594564308</v>
      </c>
      <c r="O577" s="288">
        <v>1181.5831234570524</v>
      </c>
      <c r="P577" s="288">
        <v>45311.68098275501</v>
      </c>
      <c r="Q577" s="291">
        <v>72146.62092855791</v>
      </c>
      <c r="R577" s="288">
        <v>20000.277242230499</v>
      </c>
      <c r="S577" s="288">
        <v>6958.087353226696</v>
      </c>
      <c r="T577" s="290">
        <v>0.751</v>
      </c>
      <c r="U577" s="288">
        <v>0.75800000000000001</v>
      </c>
      <c r="V577" s="288">
        <v>0.723923076923077</v>
      </c>
      <c r="W577" s="288">
        <v>0.72750000000000004</v>
      </c>
      <c r="X577" s="288">
        <v>0.76</v>
      </c>
      <c r="Y577" s="288">
        <v>0</v>
      </c>
      <c r="Z577" s="289">
        <v>0</v>
      </c>
      <c r="AA577" s="229"/>
      <c r="AB577" s="293">
        <v>65640.17770792263</v>
      </c>
      <c r="AC577" s="294">
        <v>3.2197468098830466</v>
      </c>
      <c r="AD577" s="295">
        <v>62582.092333757806</v>
      </c>
      <c r="AE577" s="294">
        <v>3.0443750891693662</v>
      </c>
      <c r="AF577" s="295">
        <v>3058.0853741648243</v>
      </c>
      <c r="AG577" s="296">
        <v>0.17537172071368046</v>
      </c>
      <c r="AH577" s="229"/>
      <c r="AI577" s="205">
        <f t="shared" si="62"/>
        <v>256334.50328038202</v>
      </c>
      <c r="AJ577" s="205">
        <f t="shared" si="63"/>
        <v>241855.41658317883</v>
      </c>
      <c r="AK577" s="205">
        <f t="shared" si="64"/>
        <v>14479.08669720322</v>
      </c>
      <c r="AL577" s="229"/>
      <c r="AM577" s="52">
        <f t="shared" si="58"/>
        <v>1</v>
      </c>
      <c r="AN577" s="52">
        <f t="shared" si="59"/>
        <v>0</v>
      </c>
      <c r="AO577" s="52">
        <f t="shared" si="60"/>
        <v>1</v>
      </c>
      <c r="AP577" s="229"/>
      <c r="AQ577" s="28"/>
      <c r="AR577" s="28"/>
      <c r="AS577" s="28"/>
      <c r="AT577" s="28"/>
      <c r="AU577" s="229"/>
      <c r="AV577" s="318">
        <f t="shared" si="65"/>
        <v>256334.50328038202</v>
      </c>
      <c r="AW577" s="229"/>
      <c r="AX577" s="313"/>
      <c r="AY577" s="302"/>
      <c r="AZ577" s="14">
        <f t="shared" si="67"/>
        <v>3058.0853741648243</v>
      </c>
      <c r="BA577" s="14">
        <f t="shared" si="66"/>
        <v>0.17537172071368046</v>
      </c>
      <c r="BB577" s="14">
        <f t="shared" si="61"/>
        <v>17437.733756160083</v>
      </c>
      <c r="BC577" s="302"/>
      <c r="BD577" s="302"/>
      <c r="BE577" s="302"/>
      <c r="BF577" s="302"/>
      <c r="BG577" s="302"/>
      <c r="BH577" s="302"/>
      <c r="BI577" s="302"/>
      <c r="BJ577" s="302"/>
      <c r="BK577" s="302"/>
      <c r="BL577" s="302"/>
      <c r="BM577" s="302"/>
      <c r="BN577" s="302"/>
      <c r="BO577" s="302"/>
      <c r="BP577" s="14"/>
      <c r="BQ577" s="14"/>
      <c r="BR577" s="14"/>
      <c r="BS577" s="14"/>
      <c r="BT577" s="14"/>
      <c r="BU577" s="14"/>
      <c r="BV577" s="14"/>
      <c r="BW577" s="14"/>
      <c r="BX577" s="14"/>
      <c r="BY577" s="14"/>
      <c r="BZ577" s="14"/>
      <c r="CA577" s="14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</row>
    <row r="578" spans="1:101" ht="14.25" customHeight="1" x14ac:dyDescent="0.2">
      <c r="A578" s="286"/>
      <c r="B578" s="52">
        <v>0.15422965777367018</v>
      </c>
      <c r="C578" s="288">
        <v>0.10572955217790081</v>
      </c>
      <c r="D578" s="288">
        <v>1.2898593225114007E-2</v>
      </c>
      <c r="E578" s="288">
        <v>6.9489398924021464E-3</v>
      </c>
      <c r="F578" s="289">
        <v>0.78406756121846855</v>
      </c>
      <c r="G578" s="92">
        <v>0.37230884567047889</v>
      </c>
      <c r="H578" s="288">
        <v>0.23726107729061705</v>
      </c>
      <c r="I578" s="288">
        <v>9.5367465699026238E-3</v>
      </c>
      <c r="J578" s="288">
        <v>0.99999996125955815</v>
      </c>
      <c r="K578" s="288">
        <v>0.81450563599495562</v>
      </c>
      <c r="L578" s="290">
        <v>9621.0555471549014</v>
      </c>
      <c r="M578" s="288">
        <v>0</v>
      </c>
      <c r="N578" s="288">
        <v>18637.835122042161</v>
      </c>
      <c r="O578" s="288">
        <v>1086.6320255682072</v>
      </c>
      <c r="P578" s="288">
        <v>43345.519450095388</v>
      </c>
      <c r="Q578" s="291">
        <v>92758.801985437618</v>
      </c>
      <c r="R578" s="288">
        <v>21062.487669936429</v>
      </c>
      <c r="S578" s="288">
        <v>6756.1904662089255</v>
      </c>
      <c r="T578" s="290">
        <v>0.751</v>
      </c>
      <c r="U578" s="288">
        <v>0.75800000000000001</v>
      </c>
      <c r="V578" s="288">
        <v>0.723923076923077</v>
      </c>
      <c r="W578" s="288">
        <v>0.72750000000000004</v>
      </c>
      <c r="X578" s="288">
        <v>0.76</v>
      </c>
      <c r="Y578" s="288">
        <v>0</v>
      </c>
      <c r="Z578" s="289">
        <v>0</v>
      </c>
      <c r="AA578" s="229"/>
      <c r="AB578" s="293">
        <v>62772.965624730125</v>
      </c>
      <c r="AC578" s="294">
        <v>3.1612409480923787</v>
      </c>
      <c r="AD578" s="295">
        <v>57677.66223708928</v>
      </c>
      <c r="AE578" s="294">
        <v>3.3083909003896199</v>
      </c>
      <c r="AF578" s="295">
        <v>5095.3033876408444</v>
      </c>
      <c r="AG578" s="296">
        <v>-0.14714995229724126</v>
      </c>
      <c r="AH578" s="229"/>
      <c r="AI578" s="205">
        <f t="shared" si="62"/>
        <v>253351.12918450774</v>
      </c>
      <c r="AJ578" s="205">
        <f t="shared" si="63"/>
        <v>273161.42780187266</v>
      </c>
      <c r="AK578" s="205">
        <f t="shared" si="64"/>
        <v>-19810.29861736497</v>
      </c>
      <c r="AL578" s="229"/>
      <c r="AM578" s="52">
        <f t="shared" si="58"/>
        <v>0</v>
      </c>
      <c r="AN578" s="52">
        <f t="shared" si="59"/>
        <v>1</v>
      </c>
      <c r="AO578" s="52">
        <f t="shared" si="60"/>
        <v>0</v>
      </c>
      <c r="AP578" s="229"/>
      <c r="AQ578" s="28"/>
      <c r="AR578" s="28"/>
      <c r="AS578" s="28"/>
      <c r="AT578" s="28"/>
      <c r="AU578" s="229"/>
      <c r="AV578" s="318">
        <f t="shared" si="65"/>
        <v>273161.42780187266</v>
      </c>
      <c r="AW578" s="229"/>
      <c r="AX578" s="313"/>
      <c r="AY578" s="302"/>
      <c r="AZ578" s="14">
        <f t="shared" si="67"/>
        <v>5095.3033876408444</v>
      </c>
      <c r="BA578" s="14">
        <f t="shared" si="66"/>
        <v>-0.14714995229724126</v>
      </c>
      <c r="BB578" s="14">
        <f t="shared" si="61"/>
        <v>-34626.605772514209</v>
      </c>
      <c r="BC578" s="302"/>
      <c r="BD578" s="302"/>
      <c r="BE578" s="302"/>
      <c r="BF578" s="302"/>
      <c r="BG578" s="302"/>
      <c r="BH578" s="302"/>
      <c r="BI578" s="302"/>
      <c r="BJ578" s="302"/>
      <c r="BK578" s="302"/>
      <c r="BL578" s="302"/>
      <c r="BM578" s="302"/>
      <c r="BN578" s="302"/>
      <c r="BO578" s="302"/>
      <c r="BP578" s="14"/>
      <c r="BQ578" s="14"/>
      <c r="BR578" s="14"/>
      <c r="BS578" s="14"/>
      <c r="BT578" s="14"/>
      <c r="BU578" s="14"/>
      <c r="BV578" s="14"/>
      <c r="BW578" s="14"/>
      <c r="BX578" s="14"/>
      <c r="BY578" s="14"/>
      <c r="BZ578" s="14"/>
      <c r="CA578" s="14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</row>
    <row r="579" spans="1:101" ht="14.25" customHeight="1" x14ac:dyDescent="0.2">
      <c r="A579" s="286"/>
      <c r="B579" s="52">
        <v>0.15127065835046241</v>
      </c>
      <c r="C579" s="288">
        <v>9.2830516381541231E-2</v>
      </c>
      <c r="D579" s="288">
        <v>1.3346381481355188E-2</v>
      </c>
      <c r="E579" s="288">
        <v>2.3800607774285831E-2</v>
      </c>
      <c r="F579" s="289">
        <v>0.7821618082033287</v>
      </c>
      <c r="G579" s="92">
        <v>0.36894496035996377</v>
      </c>
      <c r="H579" s="288">
        <v>0.40439023515870104</v>
      </c>
      <c r="I579" s="288">
        <v>2.6674246441996341E-2</v>
      </c>
      <c r="J579" s="288">
        <v>0.99997646930546358</v>
      </c>
      <c r="K579" s="288">
        <v>0.72777391641337486</v>
      </c>
      <c r="L579" s="290">
        <v>8417.0080111626939</v>
      </c>
      <c r="M579" s="288">
        <v>0</v>
      </c>
      <c r="N579" s="288">
        <v>26003.36889994378</v>
      </c>
      <c r="O579" s="288">
        <v>988.56227304812842</v>
      </c>
      <c r="P579" s="288">
        <v>33413.064245036003</v>
      </c>
      <c r="Q579" s="291">
        <v>131303.18291344671</v>
      </c>
      <c r="R579" s="288">
        <v>21572.700822883715</v>
      </c>
      <c r="S579" s="288">
        <v>10264.928787736641</v>
      </c>
      <c r="T579" s="290">
        <v>0.751</v>
      </c>
      <c r="U579" s="288">
        <v>0.75800000000000001</v>
      </c>
      <c r="V579" s="288">
        <v>0.723923076923077</v>
      </c>
      <c r="W579" s="288">
        <v>0.72750000000000004</v>
      </c>
      <c r="X579" s="288">
        <v>0.76</v>
      </c>
      <c r="Y579" s="288">
        <v>0</v>
      </c>
      <c r="Z579" s="289">
        <v>0</v>
      </c>
      <c r="AA579" s="229"/>
      <c r="AB579" s="293">
        <v>88641.249388793411</v>
      </c>
      <c r="AC579" s="294">
        <v>3.1523882335758415</v>
      </c>
      <c r="AD579" s="295">
        <v>79886.996422913959</v>
      </c>
      <c r="AE579" s="294">
        <v>2.9063533003680493</v>
      </c>
      <c r="AF579" s="295">
        <v>8754.2529658794519</v>
      </c>
      <c r="AG579" s="296">
        <v>0.24603493320779224</v>
      </c>
      <c r="AH579" s="229"/>
      <c r="AI579" s="205">
        <f t="shared" si="62"/>
        <v>226597.5739687907</v>
      </c>
      <c r="AJ579" s="205">
        <f t="shared" si="63"/>
        <v>210748.33361389098</v>
      </c>
      <c r="AK579" s="205">
        <f t="shared" si="64"/>
        <v>15849.240354899772</v>
      </c>
      <c r="AL579" s="229"/>
      <c r="AM579" s="52">
        <f t="shared" si="58"/>
        <v>1</v>
      </c>
      <c r="AN579" s="52">
        <f t="shared" si="59"/>
        <v>0</v>
      </c>
      <c r="AO579" s="52">
        <f t="shared" si="60"/>
        <v>1</v>
      </c>
      <c r="AP579" s="229"/>
      <c r="AQ579" s="28"/>
      <c r="AR579" s="28"/>
      <c r="AS579" s="28"/>
      <c r="AT579" s="28"/>
      <c r="AU579" s="229"/>
      <c r="AV579" s="318">
        <f t="shared" si="65"/>
        <v>226597.5739687907</v>
      </c>
      <c r="AW579" s="229"/>
      <c r="AX579" s="313"/>
      <c r="AY579" s="302"/>
      <c r="AZ579" s="14">
        <f t="shared" si="67"/>
        <v>8754.2529658794519</v>
      </c>
      <c r="BA579" s="14">
        <f t="shared" si="66"/>
        <v>0.24603493320779224</v>
      </c>
      <c r="BB579" s="14">
        <f t="shared" si="61"/>
        <v>35581.341445061887</v>
      </c>
      <c r="BC579" s="302"/>
      <c r="BD579" s="302"/>
      <c r="BE579" s="302"/>
      <c r="BF579" s="302"/>
      <c r="BG579" s="302"/>
      <c r="BH579" s="302"/>
      <c r="BI579" s="302"/>
      <c r="BJ579" s="302"/>
      <c r="BK579" s="302"/>
      <c r="BL579" s="302"/>
      <c r="BM579" s="302"/>
      <c r="BN579" s="302"/>
      <c r="BO579" s="302"/>
      <c r="BP579" s="14"/>
      <c r="BQ579" s="14"/>
      <c r="BR579" s="14"/>
      <c r="BS579" s="14"/>
      <c r="BT579" s="14"/>
      <c r="BU579" s="14"/>
      <c r="BV579" s="14"/>
      <c r="BW579" s="14"/>
      <c r="BX579" s="14"/>
      <c r="BY579" s="14"/>
      <c r="BZ579" s="14"/>
      <c r="CA579" s="14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</row>
    <row r="580" spans="1:101" ht="14.25" customHeight="1" x14ac:dyDescent="0.2">
      <c r="A580" s="286"/>
      <c r="B580" s="52">
        <v>0.18277641905038533</v>
      </c>
      <c r="C580" s="288">
        <v>0.24205778892116162</v>
      </c>
      <c r="D580" s="288">
        <v>8.9512796897371211E-3</v>
      </c>
      <c r="E580" s="288">
        <v>1.5053877337127264E-2</v>
      </c>
      <c r="F580" s="289">
        <v>0.81609080927607514</v>
      </c>
      <c r="G580" s="92">
        <v>0.37997782146826797</v>
      </c>
      <c r="H580" s="288">
        <v>0.93054629795958532</v>
      </c>
      <c r="I580" s="288">
        <v>4.3756478953359212E-2</v>
      </c>
      <c r="J580" s="288">
        <v>0.99999999999745826</v>
      </c>
      <c r="K580" s="288">
        <v>0.69552314889458589</v>
      </c>
      <c r="L580" s="290">
        <v>12860.210311733994</v>
      </c>
      <c r="M580" s="288">
        <v>0</v>
      </c>
      <c r="N580" s="288">
        <v>23485.638162932151</v>
      </c>
      <c r="O580" s="288">
        <v>1124.9090892186964</v>
      </c>
      <c r="P580" s="288">
        <v>50351.868030339829</v>
      </c>
      <c r="Q580" s="291">
        <v>93247.197129279724</v>
      </c>
      <c r="R580" s="288">
        <v>26937.902167044787</v>
      </c>
      <c r="S580" s="288">
        <v>7006.9932646763737</v>
      </c>
      <c r="T580" s="290">
        <v>0.751</v>
      </c>
      <c r="U580" s="288">
        <v>0.75800000000000001</v>
      </c>
      <c r="V580" s="288">
        <v>0.723923076923077</v>
      </c>
      <c r="W580" s="288">
        <v>0.72750000000000004</v>
      </c>
      <c r="X580" s="288">
        <v>0.76</v>
      </c>
      <c r="Y580" s="288">
        <v>0</v>
      </c>
      <c r="Z580" s="289">
        <v>0</v>
      </c>
      <c r="AA580" s="229"/>
      <c r="AB580" s="293">
        <v>71036.658868645725</v>
      </c>
      <c r="AC580" s="294">
        <v>3.3108492994250338</v>
      </c>
      <c r="AD580" s="295">
        <v>61018.584282210788</v>
      </c>
      <c r="AE580" s="294">
        <v>2.7598818304005013</v>
      </c>
      <c r="AF580" s="295">
        <v>10018.074586434937</v>
      </c>
      <c r="AG580" s="296">
        <v>0.55096746902453253</v>
      </c>
      <c r="AH580" s="229"/>
      <c r="AI580" s="205">
        <f t="shared" si="62"/>
        <v>260048.27107385767</v>
      </c>
      <c r="AJ580" s="205">
        <f t="shared" si="63"/>
        <v>214969.59875783935</v>
      </c>
      <c r="AK580" s="205">
        <f t="shared" si="64"/>
        <v>45078.672316018317</v>
      </c>
      <c r="AL580" s="229"/>
      <c r="AM580" s="52">
        <f t="shared" si="58"/>
        <v>1</v>
      </c>
      <c r="AN580" s="52">
        <f t="shared" si="59"/>
        <v>0</v>
      </c>
      <c r="AO580" s="52">
        <f t="shared" si="60"/>
        <v>1</v>
      </c>
      <c r="AP580" s="229"/>
      <c r="AQ580" s="28"/>
      <c r="AR580" s="28"/>
      <c r="AS580" s="28"/>
      <c r="AT580" s="28"/>
      <c r="AU580" s="229"/>
      <c r="AV580" s="318">
        <f t="shared" si="65"/>
        <v>260048.27107385767</v>
      </c>
      <c r="AW580" s="229"/>
      <c r="AX580" s="313"/>
      <c r="AY580" s="302"/>
      <c r="AZ580" s="14">
        <f t="shared" si="67"/>
        <v>10018.074586434937</v>
      </c>
      <c r="BA580" s="14">
        <f t="shared" si="66"/>
        <v>0.55096746902453253</v>
      </c>
      <c r="BB580" s="14">
        <f t="shared" si="61"/>
        <v>18182.697073153096</v>
      </c>
      <c r="BC580" s="302"/>
      <c r="BD580" s="302"/>
      <c r="BE580" s="302"/>
      <c r="BF580" s="302"/>
      <c r="BG580" s="302"/>
      <c r="BH580" s="302"/>
      <c r="BI580" s="302"/>
      <c r="BJ580" s="302"/>
      <c r="BK580" s="302"/>
      <c r="BL580" s="302"/>
      <c r="BM580" s="302"/>
      <c r="BN580" s="302"/>
      <c r="BO580" s="302"/>
      <c r="BP580" s="14"/>
      <c r="BQ580" s="14"/>
      <c r="BR580" s="14"/>
      <c r="BS580" s="14"/>
      <c r="BT580" s="14"/>
      <c r="BU580" s="14"/>
      <c r="BV580" s="14"/>
      <c r="BW580" s="14"/>
      <c r="BX580" s="14"/>
      <c r="BY580" s="14"/>
      <c r="BZ580" s="14"/>
      <c r="CA580" s="14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</row>
    <row r="581" spans="1:101" ht="14.25" customHeight="1" x14ac:dyDescent="0.2">
      <c r="A581" s="286"/>
      <c r="B581" s="52">
        <v>0.13981235147687865</v>
      </c>
      <c r="C581" s="288">
        <v>4.7168311963489917E-2</v>
      </c>
      <c r="D581" s="288">
        <v>1.1277535273835985E-2</v>
      </c>
      <c r="E581" s="288">
        <v>1.2065617782604957E-2</v>
      </c>
      <c r="F581" s="289">
        <v>0.75510821908058012</v>
      </c>
      <c r="G581" s="92">
        <v>0.37769321658845401</v>
      </c>
      <c r="H581" s="288">
        <v>0.32617900918238535</v>
      </c>
      <c r="I581" s="288">
        <v>1.8605731842027518E-2</v>
      </c>
      <c r="J581" s="288">
        <v>0.65268148975558149</v>
      </c>
      <c r="K581" s="288">
        <v>0.70948261986098893</v>
      </c>
      <c r="L581" s="290">
        <v>10539.177232231694</v>
      </c>
      <c r="M581" s="288">
        <v>0</v>
      </c>
      <c r="N581" s="288">
        <v>18532.206803275338</v>
      </c>
      <c r="O581" s="288">
        <v>1483.3914300491915</v>
      </c>
      <c r="P581" s="288">
        <v>41813.017329424925</v>
      </c>
      <c r="Q581" s="291">
        <v>63596.344961014431</v>
      </c>
      <c r="R581" s="288">
        <v>23061.758414899778</v>
      </c>
      <c r="S581" s="288">
        <v>9993.1175998657272</v>
      </c>
      <c r="T581" s="290">
        <v>0.751</v>
      </c>
      <c r="U581" s="288">
        <v>0.75800000000000001</v>
      </c>
      <c r="V581" s="288">
        <v>0.723923076923077</v>
      </c>
      <c r="W581" s="288">
        <v>0.72750000000000004</v>
      </c>
      <c r="X581" s="288">
        <v>0.76</v>
      </c>
      <c r="Y581" s="288">
        <v>0</v>
      </c>
      <c r="Z581" s="289">
        <v>0</v>
      </c>
      <c r="AA581" s="229"/>
      <c r="AB581" s="293">
        <v>85721.593461376295</v>
      </c>
      <c r="AC581" s="294">
        <v>3.0273317550945253</v>
      </c>
      <c r="AD581" s="295">
        <v>74777.528699638991</v>
      </c>
      <c r="AE581" s="294">
        <v>2.8230795255488097</v>
      </c>
      <c r="AF581" s="295">
        <v>10944.064761737303</v>
      </c>
      <c r="AG581" s="296">
        <v>0.20425222954571565</v>
      </c>
      <c r="AH581" s="229"/>
      <c r="AI581" s="205">
        <f t="shared" si="62"/>
        <v>217011.58204807623</v>
      </c>
      <c r="AJ581" s="205">
        <f t="shared" si="63"/>
        <v>207530.423855242</v>
      </c>
      <c r="AK581" s="205">
        <f t="shared" si="64"/>
        <v>9481.1581928342603</v>
      </c>
      <c r="AL581" s="229"/>
      <c r="AM581" s="52">
        <f t="shared" si="58"/>
        <v>1</v>
      </c>
      <c r="AN581" s="52">
        <f t="shared" si="59"/>
        <v>0</v>
      </c>
      <c r="AO581" s="52">
        <f t="shared" si="60"/>
        <v>1</v>
      </c>
      <c r="AP581" s="229"/>
      <c r="AQ581" s="28"/>
      <c r="AR581" s="28"/>
      <c r="AS581" s="28"/>
      <c r="AT581" s="28"/>
      <c r="AU581" s="229"/>
      <c r="AV581" s="318">
        <f t="shared" si="65"/>
        <v>217011.58204807623</v>
      </c>
      <c r="AW581" s="229"/>
      <c r="AX581" s="313"/>
      <c r="AY581" s="302"/>
      <c r="AZ581" s="14">
        <f t="shared" si="67"/>
        <v>10944.064761737303</v>
      </c>
      <c r="BA581" s="14">
        <f t="shared" si="66"/>
        <v>0.20425222954571565</v>
      </c>
      <c r="BB581" s="14">
        <f t="shared" si="61"/>
        <v>53581.127540582405</v>
      </c>
      <c r="BC581" s="302"/>
      <c r="BD581" s="302"/>
      <c r="BE581" s="302"/>
      <c r="BF581" s="302"/>
      <c r="BG581" s="302"/>
      <c r="BH581" s="302"/>
      <c r="BI581" s="302"/>
      <c r="BJ581" s="302"/>
      <c r="BK581" s="302"/>
      <c r="BL581" s="302"/>
      <c r="BM581" s="302"/>
      <c r="BN581" s="302"/>
      <c r="BO581" s="302"/>
      <c r="BP581" s="14"/>
      <c r="BQ581" s="14"/>
      <c r="BR581" s="14"/>
      <c r="BS581" s="14"/>
      <c r="BT581" s="14"/>
      <c r="BU581" s="14"/>
      <c r="BV581" s="14"/>
      <c r="BW581" s="14"/>
      <c r="BX581" s="14"/>
      <c r="BY581" s="14"/>
      <c r="BZ581" s="14"/>
      <c r="CA581" s="14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</row>
    <row r="582" spans="1:101" ht="14.25" customHeight="1" x14ac:dyDescent="0.2">
      <c r="A582" s="286"/>
      <c r="B582" s="52">
        <v>0.16749625011593883</v>
      </c>
      <c r="C582" s="288">
        <v>0.36539170103068985</v>
      </c>
      <c r="D582" s="288">
        <v>1.7984018190354556E-2</v>
      </c>
      <c r="E582" s="288">
        <v>1.1329709929422576E-2</v>
      </c>
      <c r="F582" s="289">
        <v>0.78766810520378239</v>
      </c>
      <c r="G582" s="92">
        <v>0.41638355475647371</v>
      </c>
      <c r="H582" s="288">
        <v>0.23715754596402192</v>
      </c>
      <c r="I582" s="288">
        <v>2.8463191975198088E-2</v>
      </c>
      <c r="J582" s="288">
        <v>0.99999999999984612</v>
      </c>
      <c r="K582" s="288">
        <v>0.70154386945061231</v>
      </c>
      <c r="L582" s="290">
        <v>13991.779057795824</v>
      </c>
      <c r="M582" s="288">
        <v>0</v>
      </c>
      <c r="N582" s="288">
        <v>17909.457477839147</v>
      </c>
      <c r="O582" s="288">
        <v>1319.6999782990508</v>
      </c>
      <c r="P582" s="288">
        <v>41097.346798218539</v>
      </c>
      <c r="Q582" s="291">
        <v>109487.71081898545</v>
      </c>
      <c r="R582" s="288">
        <v>27115.590238318771</v>
      </c>
      <c r="S582" s="288">
        <v>6479.9887845467811</v>
      </c>
      <c r="T582" s="290">
        <v>0.751</v>
      </c>
      <c r="U582" s="288">
        <v>0.75800000000000001</v>
      </c>
      <c r="V582" s="288">
        <v>0.723923076923077</v>
      </c>
      <c r="W582" s="288">
        <v>0.72750000000000004</v>
      </c>
      <c r="X582" s="288">
        <v>0.76</v>
      </c>
      <c r="Y582" s="288">
        <v>0</v>
      </c>
      <c r="Z582" s="289">
        <v>0</v>
      </c>
      <c r="AA582" s="229"/>
      <c r="AB582" s="293">
        <v>66746.227011716284</v>
      </c>
      <c r="AC582" s="294">
        <v>3.1779819522672859</v>
      </c>
      <c r="AD582" s="295">
        <v>50595.872012012427</v>
      </c>
      <c r="AE582" s="294">
        <v>2.7871013296058913</v>
      </c>
      <c r="AF582" s="295">
        <v>16150.354999703857</v>
      </c>
      <c r="AG582" s="296">
        <v>0.39088062266139456</v>
      </c>
      <c r="AH582" s="229"/>
      <c r="AI582" s="205">
        <f t="shared" si="62"/>
        <v>251051.96821501228</v>
      </c>
      <c r="AJ582" s="205">
        <f t="shared" si="63"/>
        <v>228114.2609485767</v>
      </c>
      <c r="AK582" s="205">
        <f t="shared" si="64"/>
        <v>22937.707266435602</v>
      </c>
      <c r="AL582" s="229"/>
      <c r="AM582" s="52">
        <f t="shared" si="58"/>
        <v>1</v>
      </c>
      <c r="AN582" s="52">
        <f t="shared" si="59"/>
        <v>0</v>
      </c>
      <c r="AO582" s="52">
        <f t="shared" si="60"/>
        <v>1</v>
      </c>
      <c r="AP582" s="229"/>
      <c r="AQ582" s="28"/>
      <c r="AR582" s="28"/>
      <c r="AS582" s="28"/>
      <c r="AT582" s="28"/>
      <c r="AU582" s="229"/>
      <c r="AV582" s="318">
        <f t="shared" si="65"/>
        <v>251051.96821501228</v>
      </c>
      <c r="AW582" s="229"/>
      <c r="AX582" s="313"/>
      <c r="AY582" s="302"/>
      <c r="AZ582" s="14">
        <f t="shared" si="67"/>
        <v>16150.354999703857</v>
      </c>
      <c r="BA582" s="14">
        <f t="shared" si="66"/>
        <v>0.39088062266139456</v>
      </c>
      <c r="BB582" s="14">
        <f t="shared" si="61"/>
        <v>41317.870632063314</v>
      </c>
      <c r="BC582" s="302"/>
      <c r="BD582" s="302"/>
      <c r="BE582" s="302"/>
      <c r="BF582" s="302"/>
      <c r="BG582" s="302"/>
      <c r="BH582" s="302"/>
      <c r="BI582" s="302"/>
      <c r="BJ582" s="302"/>
      <c r="BK582" s="302"/>
      <c r="BL582" s="302"/>
      <c r="BM582" s="302"/>
      <c r="BN582" s="302"/>
      <c r="BO582" s="302"/>
      <c r="BP582" s="14"/>
      <c r="BQ582" s="14"/>
      <c r="BR582" s="14"/>
      <c r="BS582" s="14"/>
      <c r="BT582" s="14"/>
      <c r="BU582" s="14"/>
      <c r="BV582" s="14"/>
      <c r="BW582" s="14"/>
      <c r="BX582" s="14"/>
      <c r="BY582" s="14"/>
      <c r="BZ582" s="14"/>
      <c r="CA582" s="14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</row>
    <row r="583" spans="1:101" ht="14.25" customHeight="1" x14ac:dyDescent="0.2">
      <c r="A583" s="286"/>
      <c r="B583" s="52">
        <v>0.15743572156581487</v>
      </c>
      <c r="C583" s="288">
        <v>0.48333656231533684</v>
      </c>
      <c r="D583" s="288">
        <v>2.031161806115056E-2</v>
      </c>
      <c r="E583" s="288">
        <v>2.9863917446886767E-2</v>
      </c>
      <c r="F583" s="289">
        <v>0.81086104010657523</v>
      </c>
      <c r="G583" s="92">
        <v>0.31809880935536344</v>
      </c>
      <c r="H583" s="288">
        <v>0.51837152139741227</v>
      </c>
      <c r="I583" s="288">
        <v>2.5582274803590543E-2</v>
      </c>
      <c r="J583" s="288">
        <v>0.99999939487718636</v>
      </c>
      <c r="K583" s="288">
        <v>0.73980684814318498</v>
      </c>
      <c r="L583" s="290">
        <v>12245.197138468393</v>
      </c>
      <c r="M583" s="288">
        <v>0</v>
      </c>
      <c r="N583" s="288">
        <v>14704.596585007559</v>
      </c>
      <c r="O583" s="288">
        <v>1267.5178514293473</v>
      </c>
      <c r="P583" s="288">
        <v>41060.607242876904</v>
      </c>
      <c r="Q583" s="291">
        <v>90164.266480014383</v>
      </c>
      <c r="R583" s="288">
        <v>24332.851583474436</v>
      </c>
      <c r="S583" s="288">
        <v>10007.044735201012</v>
      </c>
      <c r="T583" s="290">
        <v>0.751</v>
      </c>
      <c r="U583" s="288">
        <v>0.75800000000000001</v>
      </c>
      <c r="V583" s="288">
        <v>0.723923076923077</v>
      </c>
      <c r="W583" s="288">
        <v>0.72750000000000004</v>
      </c>
      <c r="X583" s="288">
        <v>0.76</v>
      </c>
      <c r="Y583" s="288">
        <v>0</v>
      </c>
      <c r="Z583" s="289">
        <v>0</v>
      </c>
      <c r="AA583" s="229"/>
      <c r="AB583" s="293">
        <v>94940.336361202571</v>
      </c>
      <c r="AC583" s="294">
        <v>3.286306622139977</v>
      </c>
      <c r="AD583" s="295">
        <v>79418.252923452441</v>
      </c>
      <c r="AE583" s="294">
        <v>2.9614225420049864</v>
      </c>
      <c r="AF583" s="295">
        <v>15522.083437750131</v>
      </c>
      <c r="AG583" s="296">
        <v>0.32488408013499059</v>
      </c>
      <c r="AH583" s="229"/>
      <c r="AI583" s="205">
        <f t="shared" si="62"/>
        <v>233690.3258527951</v>
      </c>
      <c r="AJ583" s="205">
        <f t="shared" si="63"/>
        <v>216724.00127704619</v>
      </c>
      <c r="AK583" s="205">
        <f t="shared" si="64"/>
        <v>16966.324575748928</v>
      </c>
      <c r="AL583" s="229"/>
      <c r="AM583" s="52">
        <f t="shared" si="58"/>
        <v>1</v>
      </c>
      <c r="AN583" s="52">
        <f t="shared" si="59"/>
        <v>0</v>
      </c>
      <c r="AO583" s="52">
        <f t="shared" si="60"/>
        <v>1</v>
      </c>
      <c r="AP583" s="229"/>
      <c r="AQ583" s="28"/>
      <c r="AR583" s="28"/>
      <c r="AS583" s="28"/>
      <c r="AT583" s="28"/>
      <c r="AU583" s="229"/>
      <c r="AV583" s="318">
        <f t="shared" si="65"/>
        <v>233690.3258527951</v>
      </c>
      <c r="AW583" s="229"/>
      <c r="AX583" s="313"/>
      <c r="AY583" s="302"/>
      <c r="AZ583" s="14">
        <f t="shared" si="67"/>
        <v>15522.083437750131</v>
      </c>
      <c r="BA583" s="14">
        <f t="shared" si="66"/>
        <v>0.32488408013499059</v>
      </c>
      <c r="BB583" s="14">
        <f t="shared" si="61"/>
        <v>47777.297771256272</v>
      </c>
      <c r="BC583" s="302"/>
      <c r="BD583" s="302"/>
      <c r="BE583" s="302"/>
      <c r="BF583" s="302"/>
      <c r="BG583" s="302"/>
      <c r="BH583" s="302"/>
      <c r="BI583" s="302"/>
      <c r="BJ583" s="302"/>
      <c r="BK583" s="302"/>
      <c r="BL583" s="302"/>
      <c r="BM583" s="302"/>
      <c r="BN583" s="302"/>
      <c r="BO583" s="302"/>
      <c r="BP583" s="14"/>
      <c r="BQ583" s="14"/>
      <c r="BR583" s="14"/>
      <c r="BS583" s="14"/>
      <c r="BT583" s="14"/>
      <c r="BU583" s="14"/>
      <c r="BV583" s="14"/>
      <c r="BW583" s="14"/>
      <c r="BX583" s="14"/>
      <c r="BY583" s="14"/>
      <c r="BZ583" s="14"/>
      <c r="CA583" s="14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</row>
    <row r="584" spans="1:101" ht="14.25" customHeight="1" x14ac:dyDescent="0.2">
      <c r="A584" s="286"/>
      <c r="B584" s="52">
        <v>0.13320134947068296</v>
      </c>
      <c r="C584" s="288">
        <v>7.6470271007985889E-3</v>
      </c>
      <c r="D584" s="288">
        <v>2.0511589321377421E-2</v>
      </c>
      <c r="E584" s="288">
        <v>1.946816667792417E-2</v>
      </c>
      <c r="F584" s="289">
        <v>0.77946457577944617</v>
      </c>
      <c r="G584" s="92">
        <v>0.38116020708271009</v>
      </c>
      <c r="H584" s="288">
        <v>0.40973139210906867</v>
      </c>
      <c r="I584" s="288">
        <v>6.445171711668733E-3</v>
      </c>
      <c r="J584" s="288">
        <v>0.99999999999992339</v>
      </c>
      <c r="K584" s="288">
        <v>0.74560335273293799</v>
      </c>
      <c r="L584" s="290">
        <v>12298.481725750431</v>
      </c>
      <c r="M584" s="288">
        <v>0</v>
      </c>
      <c r="N584" s="288">
        <v>11778.310639220468</v>
      </c>
      <c r="O584" s="288">
        <v>1110.8361231567069</v>
      </c>
      <c r="P584" s="288">
        <v>46085.381795222682</v>
      </c>
      <c r="Q584" s="291">
        <v>78473.743757071788</v>
      </c>
      <c r="R584" s="288">
        <v>29095.612573797625</v>
      </c>
      <c r="S584" s="288">
        <v>7020.7362041565839</v>
      </c>
      <c r="T584" s="290">
        <v>0.751</v>
      </c>
      <c r="U584" s="288">
        <v>0.75800000000000001</v>
      </c>
      <c r="V584" s="288">
        <v>0.723923076923077</v>
      </c>
      <c r="W584" s="288">
        <v>0.72750000000000004</v>
      </c>
      <c r="X584" s="288">
        <v>0.76</v>
      </c>
      <c r="Y584" s="288">
        <v>0</v>
      </c>
      <c r="Z584" s="289">
        <v>0</v>
      </c>
      <c r="AA584" s="229"/>
      <c r="AB584" s="293">
        <v>66882.983054968179</v>
      </c>
      <c r="AC584" s="294">
        <v>3.1398686296879954</v>
      </c>
      <c r="AD584" s="295">
        <v>57471.447029931405</v>
      </c>
      <c r="AE584" s="294">
        <v>2.9880319518323177</v>
      </c>
      <c r="AF584" s="295">
        <v>9411.5360250367739</v>
      </c>
      <c r="AG584" s="296">
        <v>0.15183667785567767</v>
      </c>
      <c r="AH584" s="229"/>
      <c r="AI584" s="205">
        <f t="shared" si="62"/>
        <v>247103.87991383136</v>
      </c>
      <c r="AJ584" s="205">
        <f t="shared" si="63"/>
        <v>241331.74815330037</v>
      </c>
      <c r="AK584" s="205">
        <f t="shared" si="64"/>
        <v>5772.1317605309923</v>
      </c>
      <c r="AL584" s="229"/>
      <c r="AM584" s="52">
        <f t="shared" si="58"/>
        <v>1</v>
      </c>
      <c r="AN584" s="52">
        <f t="shared" si="59"/>
        <v>0</v>
      </c>
      <c r="AO584" s="52">
        <f t="shared" si="60"/>
        <v>1</v>
      </c>
      <c r="AP584" s="229"/>
      <c r="AQ584" s="28"/>
      <c r="AR584" s="28"/>
      <c r="AS584" s="28"/>
      <c r="AT584" s="28"/>
      <c r="AU584" s="229"/>
      <c r="AV584" s="318">
        <f t="shared" si="65"/>
        <v>247103.87991383136</v>
      </c>
      <c r="AW584" s="229"/>
      <c r="AX584" s="313"/>
      <c r="AY584" s="302"/>
      <c r="AZ584" s="14">
        <f t="shared" si="67"/>
        <v>9411.5360250367739</v>
      </c>
      <c r="BA584" s="14">
        <f t="shared" si="66"/>
        <v>0.15183667785567767</v>
      </c>
      <c r="BB584" s="14">
        <f t="shared" si="61"/>
        <v>61984.601862683907</v>
      </c>
      <c r="BC584" s="302"/>
      <c r="BD584" s="302"/>
      <c r="BE584" s="302"/>
      <c r="BF584" s="302"/>
      <c r="BG584" s="302"/>
      <c r="BH584" s="302"/>
      <c r="BI584" s="302"/>
      <c r="BJ584" s="302"/>
      <c r="BK584" s="302"/>
      <c r="BL584" s="302"/>
      <c r="BM584" s="302"/>
      <c r="BN584" s="302"/>
      <c r="BO584" s="302"/>
      <c r="BP584" s="14"/>
      <c r="BQ584" s="14"/>
      <c r="BR584" s="14"/>
      <c r="BS584" s="14"/>
      <c r="BT584" s="14"/>
      <c r="BU584" s="14"/>
      <c r="BV584" s="14"/>
      <c r="BW584" s="14"/>
      <c r="BX584" s="14"/>
      <c r="BY584" s="14"/>
      <c r="BZ584" s="14"/>
      <c r="CA584" s="14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</row>
    <row r="585" spans="1:101" ht="14.25" customHeight="1" x14ac:dyDescent="0.2">
      <c r="A585" s="286"/>
      <c r="B585" s="52">
        <v>0.15328083417934849</v>
      </c>
      <c r="C585" s="288">
        <v>0.19553449159605824</v>
      </c>
      <c r="D585" s="288">
        <v>1.9802779523152236E-2</v>
      </c>
      <c r="E585" s="288">
        <v>1.8249639093556036E-2</v>
      </c>
      <c r="F585" s="289">
        <v>0.81645762435454128</v>
      </c>
      <c r="G585" s="92">
        <v>0.4753228274360195</v>
      </c>
      <c r="H585" s="288">
        <v>0.56826852928068206</v>
      </c>
      <c r="I585" s="288">
        <v>3.3524845942407233E-2</v>
      </c>
      <c r="J585" s="288">
        <v>1</v>
      </c>
      <c r="K585" s="288">
        <v>0.74809273755492167</v>
      </c>
      <c r="L585" s="290">
        <v>12658.976445361328</v>
      </c>
      <c r="M585" s="288">
        <v>0</v>
      </c>
      <c r="N585" s="288">
        <v>14722.099735293499</v>
      </c>
      <c r="O585" s="288">
        <v>1297.3378003275043</v>
      </c>
      <c r="P585" s="288">
        <v>45948.69619793084</v>
      </c>
      <c r="Q585" s="291">
        <v>69357.060679194721</v>
      </c>
      <c r="R585" s="288">
        <v>23410.821037241665</v>
      </c>
      <c r="S585" s="288">
        <v>6707.7290039779027</v>
      </c>
      <c r="T585" s="290">
        <v>0.751</v>
      </c>
      <c r="U585" s="288">
        <v>0.75800000000000001</v>
      </c>
      <c r="V585" s="288">
        <v>0.723923076923077</v>
      </c>
      <c r="W585" s="288">
        <v>0.72750000000000004</v>
      </c>
      <c r="X585" s="288">
        <v>0.76</v>
      </c>
      <c r="Y585" s="288">
        <v>0</v>
      </c>
      <c r="Z585" s="289">
        <v>0</v>
      </c>
      <c r="AA585" s="229"/>
      <c r="AB585" s="293">
        <v>68004.006575249048</v>
      </c>
      <c r="AC585" s="294">
        <v>3.3125723284361861</v>
      </c>
      <c r="AD585" s="295">
        <v>58910.379610939235</v>
      </c>
      <c r="AE585" s="294">
        <v>2.9994759678988561</v>
      </c>
      <c r="AF585" s="295">
        <v>9093.626964309813</v>
      </c>
      <c r="AG585" s="296">
        <v>0.31309636053733003</v>
      </c>
      <c r="AH585" s="229"/>
      <c r="AI585" s="205">
        <f t="shared" si="62"/>
        <v>263253.22626836959</v>
      </c>
      <c r="AJ585" s="205">
        <f t="shared" si="63"/>
        <v>241037.21717894636</v>
      </c>
      <c r="AK585" s="205">
        <f t="shared" si="64"/>
        <v>22216.009089423191</v>
      </c>
      <c r="AL585" s="229"/>
      <c r="AM585" s="52">
        <f t="shared" si="58"/>
        <v>1</v>
      </c>
      <c r="AN585" s="52">
        <f t="shared" si="59"/>
        <v>0</v>
      </c>
      <c r="AO585" s="52">
        <f t="shared" si="60"/>
        <v>1</v>
      </c>
      <c r="AP585" s="229"/>
      <c r="AQ585" s="28"/>
      <c r="AR585" s="28"/>
      <c r="AS585" s="28"/>
      <c r="AT585" s="28"/>
      <c r="AU585" s="229"/>
      <c r="AV585" s="318">
        <f t="shared" si="65"/>
        <v>263253.22626836959</v>
      </c>
      <c r="AW585" s="229"/>
      <c r="AX585" s="313"/>
      <c r="AY585" s="302"/>
      <c r="AZ585" s="14">
        <f t="shared" si="67"/>
        <v>9093.626964309813</v>
      </c>
      <c r="BA585" s="14">
        <f t="shared" si="66"/>
        <v>0.31309636053733003</v>
      </c>
      <c r="BB585" s="14">
        <f t="shared" si="61"/>
        <v>29044.179717399151</v>
      </c>
      <c r="BC585" s="302"/>
      <c r="BD585" s="302"/>
      <c r="BE585" s="302"/>
      <c r="BF585" s="302"/>
      <c r="BG585" s="302"/>
      <c r="BH585" s="302"/>
      <c r="BI585" s="302"/>
      <c r="BJ585" s="302"/>
      <c r="BK585" s="302"/>
      <c r="BL585" s="302"/>
      <c r="BM585" s="302"/>
      <c r="BN585" s="302"/>
      <c r="BO585" s="302"/>
      <c r="BP585" s="14"/>
      <c r="BQ585" s="14"/>
      <c r="BR585" s="14"/>
      <c r="BS585" s="14"/>
      <c r="BT585" s="14"/>
      <c r="BU585" s="14"/>
      <c r="BV585" s="14"/>
      <c r="BW585" s="14"/>
      <c r="BX585" s="14"/>
      <c r="BY585" s="14"/>
      <c r="BZ585" s="14"/>
      <c r="CA585" s="14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</row>
    <row r="586" spans="1:101" ht="14.25" customHeight="1" x14ac:dyDescent="0.2">
      <c r="A586" s="286"/>
      <c r="B586" s="52">
        <v>0.15209328639804315</v>
      </c>
      <c r="C586" s="288">
        <v>0.53453901237702728</v>
      </c>
      <c r="D586" s="288">
        <v>1.2088962579594773E-2</v>
      </c>
      <c r="E586" s="288">
        <v>2.6735123157678904E-3</v>
      </c>
      <c r="F586" s="289">
        <v>0.76558645148577331</v>
      </c>
      <c r="G586" s="92">
        <v>0.42223775174165967</v>
      </c>
      <c r="H586" s="288">
        <v>0.74850680507283651</v>
      </c>
      <c r="I586" s="288">
        <v>2.6984971172470784E-2</v>
      </c>
      <c r="J586" s="288">
        <v>0.99999876131803678</v>
      </c>
      <c r="K586" s="288">
        <v>0.72663166651432431</v>
      </c>
      <c r="L586" s="290">
        <v>13012.045162605631</v>
      </c>
      <c r="M586" s="288">
        <v>0</v>
      </c>
      <c r="N586" s="288">
        <v>24956.735054037083</v>
      </c>
      <c r="O586" s="288">
        <v>2346.788254766695</v>
      </c>
      <c r="P586" s="288">
        <v>35559.131283910596</v>
      </c>
      <c r="Q586" s="291">
        <v>117753.62217739454</v>
      </c>
      <c r="R586" s="288">
        <v>29377.257354372323</v>
      </c>
      <c r="S586" s="288">
        <v>7394.2366344115362</v>
      </c>
      <c r="T586" s="290">
        <v>0.751</v>
      </c>
      <c r="U586" s="288">
        <v>0.75800000000000001</v>
      </c>
      <c r="V586" s="288">
        <v>0.723923076923077</v>
      </c>
      <c r="W586" s="288">
        <v>0.72750000000000004</v>
      </c>
      <c r="X586" s="288">
        <v>0.76</v>
      </c>
      <c r="Y586" s="288">
        <v>0</v>
      </c>
      <c r="Z586" s="289">
        <v>0</v>
      </c>
      <c r="AA586" s="229"/>
      <c r="AB586" s="293">
        <v>72030.266256872885</v>
      </c>
      <c r="AC586" s="294">
        <v>3.0756316645876582</v>
      </c>
      <c r="AD586" s="295">
        <v>65811.093124183331</v>
      </c>
      <c r="AE586" s="294">
        <v>2.9011376042029213</v>
      </c>
      <c r="AF586" s="295">
        <v>6219.1731326895533</v>
      </c>
      <c r="AG586" s="296">
        <v>0.17449406038473692</v>
      </c>
      <c r="AH586" s="229"/>
      <c r="AI586" s="205">
        <f t="shared" si="62"/>
        <v>235532.90020189292</v>
      </c>
      <c r="AJ586" s="205">
        <f t="shared" si="63"/>
        <v>224302.66729610882</v>
      </c>
      <c r="AK586" s="205">
        <f t="shared" si="64"/>
        <v>11230.232905784138</v>
      </c>
      <c r="AL586" s="229"/>
      <c r="AM586" s="52">
        <f t="shared" si="58"/>
        <v>1</v>
      </c>
      <c r="AN586" s="52">
        <f t="shared" si="59"/>
        <v>0</v>
      </c>
      <c r="AO586" s="52">
        <f t="shared" si="60"/>
        <v>1</v>
      </c>
      <c r="AP586" s="229"/>
      <c r="AQ586" s="28"/>
      <c r="AR586" s="28"/>
      <c r="AS586" s="28"/>
      <c r="AT586" s="28"/>
      <c r="AU586" s="229"/>
      <c r="AV586" s="318">
        <f t="shared" si="65"/>
        <v>235532.90020189292</v>
      </c>
      <c r="AW586" s="229"/>
      <c r="AX586" s="313"/>
      <c r="AY586" s="302"/>
      <c r="AZ586" s="14">
        <f t="shared" si="67"/>
        <v>6219.1731326895533</v>
      </c>
      <c r="BA586" s="14">
        <f t="shared" si="66"/>
        <v>0.17449406038473692</v>
      </c>
      <c r="BB586" s="14">
        <f t="shared" si="61"/>
        <v>35641.17379684488</v>
      </c>
      <c r="BC586" s="302"/>
      <c r="BD586" s="302"/>
      <c r="BE586" s="302"/>
      <c r="BF586" s="302"/>
      <c r="BG586" s="302"/>
      <c r="BH586" s="302"/>
      <c r="BI586" s="302"/>
      <c r="BJ586" s="302"/>
      <c r="BK586" s="302"/>
      <c r="BL586" s="302"/>
      <c r="BM586" s="302"/>
      <c r="BN586" s="302"/>
      <c r="BO586" s="302"/>
      <c r="BP586" s="14"/>
      <c r="BQ586" s="14"/>
      <c r="BR586" s="14"/>
      <c r="BS586" s="14"/>
      <c r="BT586" s="14"/>
      <c r="BU586" s="14"/>
      <c r="BV586" s="14"/>
      <c r="BW586" s="14"/>
      <c r="BX586" s="14"/>
      <c r="BY586" s="14"/>
      <c r="BZ586" s="14"/>
      <c r="CA586" s="14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</row>
    <row r="587" spans="1:101" ht="14.25" customHeight="1" x14ac:dyDescent="0.2">
      <c r="A587" s="286"/>
      <c r="B587" s="52">
        <v>0.15112658753719688</v>
      </c>
      <c r="C587" s="288">
        <v>0.68412081200408426</v>
      </c>
      <c r="D587" s="288">
        <v>1.0713618908118209E-2</v>
      </c>
      <c r="E587" s="288">
        <v>3.6749409718253689E-2</v>
      </c>
      <c r="F587" s="289">
        <v>0.79976011182122775</v>
      </c>
      <c r="G587" s="92">
        <v>0.37843116998822923</v>
      </c>
      <c r="H587" s="288">
        <v>0.72041946241061416</v>
      </c>
      <c r="I587" s="288">
        <v>1.0456488081823295E-2</v>
      </c>
      <c r="J587" s="288">
        <v>0.99999999996647393</v>
      </c>
      <c r="K587" s="288">
        <v>0.77380957088650304</v>
      </c>
      <c r="L587" s="290">
        <v>11914.06568452072</v>
      </c>
      <c r="M587" s="288">
        <v>0</v>
      </c>
      <c r="N587" s="288">
        <v>18279.843642494659</v>
      </c>
      <c r="O587" s="288">
        <v>1083.2363233711408</v>
      </c>
      <c r="P587" s="288">
        <v>62709.802064147763</v>
      </c>
      <c r="Q587" s="291">
        <v>104457.86417273658</v>
      </c>
      <c r="R587" s="288">
        <v>27649.144312133925</v>
      </c>
      <c r="S587" s="288">
        <v>7302.4537607881002</v>
      </c>
      <c r="T587" s="290">
        <v>0.751</v>
      </c>
      <c r="U587" s="288">
        <v>0.75800000000000001</v>
      </c>
      <c r="V587" s="288">
        <v>0.723923076923077</v>
      </c>
      <c r="W587" s="288">
        <v>0.72750000000000004</v>
      </c>
      <c r="X587" s="288">
        <v>0.76</v>
      </c>
      <c r="Y587" s="288">
        <v>0</v>
      </c>
      <c r="Z587" s="289">
        <v>0</v>
      </c>
      <c r="AA587" s="229"/>
      <c r="AB587" s="293">
        <v>72941.772680123016</v>
      </c>
      <c r="AC587" s="294">
        <v>3.2343534752140508</v>
      </c>
      <c r="AD587" s="295">
        <v>65024.043339451462</v>
      </c>
      <c r="AE587" s="294">
        <v>3.1182711808092813</v>
      </c>
      <c r="AF587" s="295">
        <v>7917.7293406715544</v>
      </c>
      <c r="AG587" s="296">
        <v>0.11608229440476947</v>
      </c>
      <c r="AH587" s="229"/>
      <c r="AI587" s="205">
        <f t="shared" si="62"/>
        <v>250493.57484128207</v>
      </c>
      <c r="AJ587" s="205">
        <f t="shared" si="63"/>
        <v>246803.07474147665</v>
      </c>
      <c r="AK587" s="205">
        <f t="shared" si="64"/>
        <v>3690.5000998053929</v>
      </c>
      <c r="AL587" s="229"/>
      <c r="AM587" s="52">
        <f t="shared" si="58"/>
        <v>1</v>
      </c>
      <c r="AN587" s="52">
        <f t="shared" si="59"/>
        <v>0</v>
      </c>
      <c r="AO587" s="52">
        <f t="shared" si="60"/>
        <v>1</v>
      </c>
      <c r="AP587" s="229"/>
      <c r="AQ587" s="28"/>
      <c r="AR587" s="28"/>
      <c r="AS587" s="28"/>
      <c r="AT587" s="28"/>
      <c r="AU587" s="229"/>
      <c r="AV587" s="318">
        <f t="shared" si="65"/>
        <v>250493.57484128207</v>
      </c>
      <c r="AW587" s="229"/>
      <c r="AX587" s="313"/>
      <c r="AY587" s="302"/>
      <c r="AZ587" s="14">
        <f t="shared" si="67"/>
        <v>7917.7293406715544</v>
      </c>
      <c r="BA587" s="14">
        <f t="shared" si="66"/>
        <v>0.11608229440476947</v>
      </c>
      <c r="BB587" s="14">
        <f t="shared" si="61"/>
        <v>68207.898381669467</v>
      </c>
      <c r="BC587" s="302"/>
      <c r="BD587" s="302"/>
      <c r="BE587" s="302"/>
      <c r="BF587" s="302"/>
      <c r="BG587" s="302"/>
      <c r="BH587" s="302"/>
      <c r="BI587" s="302"/>
      <c r="BJ587" s="302"/>
      <c r="BK587" s="302"/>
      <c r="BL587" s="302"/>
      <c r="BM587" s="302"/>
      <c r="BN587" s="302"/>
      <c r="BO587" s="302"/>
      <c r="BP587" s="14"/>
      <c r="BQ587" s="14"/>
      <c r="BR587" s="14"/>
      <c r="BS587" s="14"/>
      <c r="BT587" s="14"/>
      <c r="BU587" s="14"/>
      <c r="BV587" s="14"/>
      <c r="BW587" s="14"/>
      <c r="BX587" s="14"/>
      <c r="BY587" s="14"/>
      <c r="BZ587" s="14"/>
      <c r="CA587" s="14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</row>
    <row r="588" spans="1:101" ht="14.25" customHeight="1" x14ac:dyDescent="0.2">
      <c r="A588" s="286"/>
      <c r="B588" s="52">
        <v>0.18896130072093476</v>
      </c>
      <c r="C588" s="288">
        <v>0.32773063739920705</v>
      </c>
      <c r="D588" s="288">
        <v>9.1737437855288085E-3</v>
      </c>
      <c r="E588" s="288">
        <v>2.3005394180060423E-2</v>
      </c>
      <c r="F588" s="289">
        <v>0.78004417990809949</v>
      </c>
      <c r="G588" s="92">
        <v>0.40042848286179511</v>
      </c>
      <c r="H588" s="288">
        <v>0.726544214991375</v>
      </c>
      <c r="I588" s="288">
        <v>1.6278074197238701E-2</v>
      </c>
      <c r="J588" s="288">
        <v>0.99333225892373767</v>
      </c>
      <c r="K588" s="288">
        <v>0.73663986737852416</v>
      </c>
      <c r="L588" s="290">
        <v>14463.616578886547</v>
      </c>
      <c r="M588" s="288">
        <v>0</v>
      </c>
      <c r="N588" s="288">
        <v>14092.914054615099</v>
      </c>
      <c r="O588" s="288">
        <v>1085.8921665484604</v>
      </c>
      <c r="P588" s="288">
        <v>40544.651656298687</v>
      </c>
      <c r="Q588" s="291">
        <v>65585.075069897241</v>
      </c>
      <c r="R588" s="288">
        <v>26430.759992058098</v>
      </c>
      <c r="S588" s="288">
        <v>6723.18019506779</v>
      </c>
      <c r="T588" s="290">
        <v>0.751</v>
      </c>
      <c r="U588" s="288">
        <v>0.75800000000000001</v>
      </c>
      <c r="V588" s="288">
        <v>0.723923076923077</v>
      </c>
      <c r="W588" s="288">
        <v>0.72750000000000004</v>
      </c>
      <c r="X588" s="288">
        <v>0.76</v>
      </c>
      <c r="Y588" s="288">
        <v>0</v>
      </c>
      <c r="Z588" s="289">
        <v>0</v>
      </c>
      <c r="AA588" s="229"/>
      <c r="AB588" s="293">
        <v>68352.817560317853</v>
      </c>
      <c r="AC588" s="294">
        <v>3.1425579855413841</v>
      </c>
      <c r="AD588" s="295">
        <v>58221.548946892064</v>
      </c>
      <c r="AE588" s="294">
        <v>2.9469065859479091</v>
      </c>
      <c r="AF588" s="295">
        <v>10131.268613425789</v>
      </c>
      <c r="AG588" s="296">
        <v>0.19565139959347499</v>
      </c>
      <c r="AH588" s="229"/>
      <c r="AI588" s="205">
        <f t="shared" si="62"/>
        <v>245902.98099382053</v>
      </c>
      <c r="AJ588" s="205">
        <f t="shared" si="63"/>
        <v>236469.10964789885</v>
      </c>
      <c r="AK588" s="205">
        <f t="shared" si="64"/>
        <v>9433.8713459217106</v>
      </c>
      <c r="AL588" s="229"/>
      <c r="AM588" s="52">
        <f t="shared" si="58"/>
        <v>1</v>
      </c>
      <c r="AN588" s="52">
        <f t="shared" si="59"/>
        <v>0</v>
      </c>
      <c r="AO588" s="52">
        <f t="shared" si="60"/>
        <v>1</v>
      </c>
      <c r="AP588" s="229"/>
      <c r="AQ588" s="28"/>
      <c r="AR588" s="28"/>
      <c r="AS588" s="28"/>
      <c r="AT588" s="28"/>
      <c r="AU588" s="229"/>
      <c r="AV588" s="318">
        <f t="shared" si="65"/>
        <v>245902.98099382053</v>
      </c>
      <c r="AW588" s="229"/>
      <c r="AX588" s="313"/>
      <c r="AY588" s="302"/>
      <c r="AZ588" s="14">
        <f t="shared" si="67"/>
        <v>10131.268613425789</v>
      </c>
      <c r="BA588" s="14">
        <f t="shared" si="66"/>
        <v>0.19565139959347499</v>
      </c>
      <c r="BB588" s="14">
        <f t="shared" si="61"/>
        <v>51782.244514869642</v>
      </c>
      <c r="BC588" s="302"/>
      <c r="BD588" s="302"/>
      <c r="BE588" s="302"/>
      <c r="BF588" s="302"/>
      <c r="BG588" s="302"/>
      <c r="BH588" s="302"/>
      <c r="BI588" s="302"/>
      <c r="BJ588" s="302"/>
      <c r="BK588" s="302"/>
      <c r="BL588" s="302"/>
      <c r="BM588" s="302"/>
      <c r="BN588" s="302"/>
      <c r="BO588" s="302"/>
      <c r="BP588" s="14"/>
      <c r="BQ588" s="14"/>
      <c r="BR588" s="14"/>
      <c r="BS588" s="14"/>
      <c r="BT588" s="14"/>
      <c r="BU588" s="14"/>
      <c r="BV588" s="14"/>
      <c r="BW588" s="14"/>
      <c r="BX588" s="14"/>
      <c r="BY588" s="14"/>
      <c r="BZ588" s="14"/>
      <c r="CA588" s="14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</row>
    <row r="589" spans="1:101" ht="14.25" customHeight="1" x14ac:dyDescent="0.2">
      <c r="A589" s="286"/>
      <c r="B589" s="52">
        <v>0.14328026511115671</v>
      </c>
      <c r="C589" s="288">
        <v>0.11990222521886681</v>
      </c>
      <c r="D589" s="288">
        <v>1.2854249027028001E-2</v>
      </c>
      <c r="E589" s="288">
        <v>3.1406123029981248E-2</v>
      </c>
      <c r="F589" s="289">
        <v>0.77534269212729101</v>
      </c>
      <c r="G589" s="92">
        <v>0.42226175220140094</v>
      </c>
      <c r="H589" s="288">
        <v>0.20466913957477537</v>
      </c>
      <c r="I589" s="288">
        <v>1.7709296954364739E-2</v>
      </c>
      <c r="J589" s="288">
        <v>0.99999992929332349</v>
      </c>
      <c r="K589" s="288">
        <v>0.76045731811828565</v>
      </c>
      <c r="L589" s="290">
        <v>8947.3233628983635</v>
      </c>
      <c r="M589" s="288">
        <v>0</v>
      </c>
      <c r="N589" s="288">
        <v>12228.29590428582</v>
      </c>
      <c r="O589" s="288">
        <v>1419.9165826663002</v>
      </c>
      <c r="P589" s="288">
        <v>40884.46409823071</v>
      </c>
      <c r="Q589" s="291">
        <v>133701.83624701836</v>
      </c>
      <c r="R589" s="288">
        <v>26024.954893856742</v>
      </c>
      <c r="S589" s="288">
        <v>9606.5098335243383</v>
      </c>
      <c r="T589" s="290">
        <v>0.751</v>
      </c>
      <c r="U589" s="288">
        <v>0.75800000000000001</v>
      </c>
      <c r="V589" s="288">
        <v>0.723923076923077</v>
      </c>
      <c r="W589" s="288">
        <v>0.72750000000000004</v>
      </c>
      <c r="X589" s="288">
        <v>0.76</v>
      </c>
      <c r="Y589" s="288">
        <v>0</v>
      </c>
      <c r="Z589" s="289">
        <v>0</v>
      </c>
      <c r="AA589" s="229"/>
      <c r="AB589" s="293">
        <v>83602.749923315539</v>
      </c>
      <c r="AC589" s="294">
        <v>3.1207583394511258</v>
      </c>
      <c r="AD589" s="295">
        <v>77074.782529915276</v>
      </c>
      <c r="AE589" s="294">
        <v>3.0564622540029007</v>
      </c>
      <c r="AF589" s="295">
        <v>6527.967393400264</v>
      </c>
      <c r="AG589" s="296">
        <v>6.4296085448225071E-2</v>
      </c>
      <c r="AH589" s="229"/>
      <c r="AI589" s="205">
        <f t="shared" si="62"/>
        <v>228473.08402179705</v>
      </c>
      <c r="AJ589" s="205">
        <f t="shared" si="63"/>
        <v>228571.44287037477</v>
      </c>
      <c r="AK589" s="205">
        <f t="shared" si="64"/>
        <v>-98.358848577757271</v>
      </c>
      <c r="AL589" s="229"/>
      <c r="AM589" s="52">
        <f t="shared" si="58"/>
        <v>0</v>
      </c>
      <c r="AN589" s="52">
        <f t="shared" si="59"/>
        <v>1</v>
      </c>
      <c r="AO589" s="52">
        <f t="shared" si="60"/>
        <v>0</v>
      </c>
      <c r="AP589" s="229"/>
      <c r="AQ589" s="28"/>
      <c r="AR589" s="28"/>
      <c r="AS589" s="28"/>
      <c r="AT589" s="28"/>
      <c r="AU589" s="229"/>
      <c r="AV589" s="318">
        <f t="shared" si="65"/>
        <v>228571.44287037477</v>
      </c>
      <c r="AW589" s="229"/>
      <c r="AX589" s="313"/>
      <c r="AY589" s="302"/>
      <c r="AZ589" s="14">
        <f t="shared" si="67"/>
        <v>6527.967393400264</v>
      </c>
      <c r="BA589" s="14">
        <f t="shared" si="66"/>
        <v>6.4296085448225071E-2</v>
      </c>
      <c r="BB589" s="14">
        <f t="shared" si="61"/>
        <v>101529.77973529915</v>
      </c>
      <c r="BC589" s="302"/>
      <c r="BD589" s="302"/>
      <c r="BE589" s="302"/>
      <c r="BF589" s="302"/>
      <c r="BG589" s="302"/>
      <c r="BH589" s="302"/>
      <c r="BI589" s="302"/>
      <c r="BJ589" s="302"/>
      <c r="BK589" s="302"/>
      <c r="BL589" s="302"/>
      <c r="BM589" s="302"/>
      <c r="BN589" s="302"/>
      <c r="BO589" s="302"/>
      <c r="BP589" s="14"/>
      <c r="BQ589" s="14"/>
      <c r="BR589" s="14"/>
      <c r="BS589" s="14"/>
      <c r="BT589" s="14"/>
      <c r="BU589" s="14"/>
      <c r="BV589" s="14"/>
      <c r="BW589" s="14"/>
      <c r="BX589" s="14"/>
      <c r="BY589" s="14"/>
      <c r="BZ589" s="14"/>
      <c r="CA589" s="14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</row>
    <row r="590" spans="1:101" ht="14.25" customHeight="1" x14ac:dyDescent="0.2">
      <c r="A590" s="286"/>
      <c r="B590" s="52">
        <v>0.15532439755189387</v>
      </c>
      <c r="C590" s="288">
        <v>0.41341401642161735</v>
      </c>
      <c r="D590" s="288">
        <v>1.188211215440715E-2</v>
      </c>
      <c r="E590" s="288">
        <v>1.0448864797013055E-2</v>
      </c>
      <c r="F590" s="289">
        <v>0.75089552329152021</v>
      </c>
      <c r="G590" s="92">
        <v>0.37647992064742153</v>
      </c>
      <c r="H590" s="288">
        <v>0.27503832509322501</v>
      </c>
      <c r="I590" s="288">
        <v>5.828821025164941E-3</v>
      </c>
      <c r="J590" s="288">
        <v>0.99999877805824378</v>
      </c>
      <c r="K590" s="288">
        <v>0.79157143731644242</v>
      </c>
      <c r="L590" s="290">
        <v>12474.549628948136</v>
      </c>
      <c r="M590" s="288">
        <v>0</v>
      </c>
      <c r="N590" s="288">
        <v>10583.52076128533</v>
      </c>
      <c r="O590" s="288">
        <v>1275.2208548860929</v>
      </c>
      <c r="P590" s="288">
        <v>33253.637381258995</v>
      </c>
      <c r="Q590" s="291">
        <v>85575.846979325113</v>
      </c>
      <c r="R590" s="288">
        <v>23328.504647300713</v>
      </c>
      <c r="S590" s="288">
        <v>8754.2558882226149</v>
      </c>
      <c r="T590" s="290">
        <v>0.751</v>
      </c>
      <c r="U590" s="288">
        <v>0.75800000000000001</v>
      </c>
      <c r="V590" s="288">
        <v>0.723923076923077</v>
      </c>
      <c r="W590" s="288">
        <v>0.72750000000000004</v>
      </c>
      <c r="X590" s="288">
        <v>0.76</v>
      </c>
      <c r="Y590" s="288">
        <v>0</v>
      </c>
      <c r="Z590" s="289">
        <v>0</v>
      </c>
      <c r="AA590" s="229"/>
      <c r="AB590" s="293">
        <v>79422.392387014857</v>
      </c>
      <c r="AC590" s="294">
        <v>3.0079616699372673</v>
      </c>
      <c r="AD590" s="295">
        <v>72285.754944924949</v>
      </c>
      <c r="AE590" s="294">
        <v>3.200928207887253</v>
      </c>
      <c r="AF590" s="295">
        <v>7136.6374420899083</v>
      </c>
      <c r="AG590" s="296">
        <v>-0.19296653794998564</v>
      </c>
      <c r="AH590" s="229"/>
      <c r="AI590" s="205">
        <f t="shared" ref="AI590:AI653" si="68">AC590*cRatio-AB590</f>
        <v>221373.77460671187</v>
      </c>
      <c r="AJ590" s="205">
        <f t="shared" ref="AJ590:AJ653" si="69">AE590*cRatio-AD590</f>
        <v>247807.06584380032</v>
      </c>
      <c r="AK590" s="205">
        <f t="shared" ref="AK590:AK653" si="70">AG590*cRatio-AF590</f>
        <v>-26433.291237088473</v>
      </c>
      <c r="AL590" s="229"/>
      <c r="AM590" s="52">
        <f t="shared" si="58"/>
        <v>0</v>
      </c>
      <c r="AN590" s="52">
        <f t="shared" si="59"/>
        <v>1</v>
      </c>
      <c r="AO590" s="52">
        <f t="shared" si="60"/>
        <v>0</v>
      </c>
      <c r="AP590" s="229"/>
      <c r="AQ590" s="28"/>
      <c r="AR590" s="28"/>
      <c r="AS590" s="28"/>
      <c r="AT590" s="28"/>
      <c r="AU590" s="229"/>
      <c r="AV590" s="318">
        <f t="shared" si="65"/>
        <v>247807.06584380032</v>
      </c>
      <c r="AW590" s="229"/>
      <c r="AX590" s="313"/>
      <c r="AY590" s="302"/>
      <c r="AZ590" s="14">
        <f t="shared" si="67"/>
        <v>7136.6374420899083</v>
      </c>
      <c r="BA590" s="14">
        <f t="shared" si="66"/>
        <v>-0.19296653794998564</v>
      </c>
      <c r="BB590" s="14">
        <f t="shared" si="61"/>
        <v>-36983.808270113805</v>
      </c>
      <c r="BC590" s="302"/>
      <c r="BD590" s="302"/>
      <c r="BE590" s="302"/>
      <c r="BF590" s="302"/>
      <c r="BG590" s="302"/>
      <c r="BH590" s="302"/>
      <c r="BI590" s="302"/>
      <c r="BJ590" s="302"/>
      <c r="BK590" s="302"/>
      <c r="BL590" s="302"/>
      <c r="BM590" s="302"/>
      <c r="BN590" s="302"/>
      <c r="BO590" s="302"/>
      <c r="BP590" s="14"/>
      <c r="BQ590" s="14"/>
      <c r="BR590" s="14"/>
      <c r="BS590" s="14"/>
      <c r="BT590" s="14"/>
      <c r="BU590" s="14"/>
      <c r="BV590" s="14"/>
      <c r="BW590" s="14"/>
      <c r="BX590" s="14"/>
      <c r="BY590" s="14"/>
      <c r="BZ590" s="14"/>
      <c r="CA590" s="14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</row>
    <row r="591" spans="1:101" ht="14.25" customHeight="1" x14ac:dyDescent="0.2">
      <c r="A591" s="286"/>
      <c r="B591" s="52">
        <v>0.13849094249500143</v>
      </c>
      <c r="C591" s="288">
        <v>0.42883202485793204</v>
      </c>
      <c r="D591" s="288">
        <v>8.9409534292469294E-3</v>
      </c>
      <c r="E591" s="288">
        <v>7.8395035933920658E-3</v>
      </c>
      <c r="F591" s="289">
        <v>0.79058869496045869</v>
      </c>
      <c r="G591" s="92">
        <v>0.34537364305805912</v>
      </c>
      <c r="H591" s="288">
        <v>0.87056816592308783</v>
      </c>
      <c r="I591" s="288">
        <v>1.4425396572943346E-2</v>
      </c>
      <c r="J591" s="288">
        <v>0.99999996915426226</v>
      </c>
      <c r="K591" s="288">
        <v>0.77762655016265825</v>
      </c>
      <c r="L591" s="290">
        <v>15907.35802401044</v>
      </c>
      <c r="M591" s="288">
        <v>0</v>
      </c>
      <c r="N591" s="288">
        <v>14050.639539161542</v>
      </c>
      <c r="O591" s="288">
        <v>1228.8367207629467</v>
      </c>
      <c r="P591" s="288">
        <v>55428.493203286438</v>
      </c>
      <c r="Q591" s="291">
        <v>52969.982143819689</v>
      </c>
      <c r="R591" s="288">
        <v>21228.803249055371</v>
      </c>
      <c r="S591" s="288">
        <v>8561.4014545182545</v>
      </c>
      <c r="T591" s="290">
        <v>0.751</v>
      </c>
      <c r="U591" s="288">
        <v>0.75800000000000001</v>
      </c>
      <c r="V591" s="288">
        <v>0.723923076923077</v>
      </c>
      <c r="W591" s="288">
        <v>0.72750000000000004</v>
      </c>
      <c r="X591" s="288">
        <v>0.76</v>
      </c>
      <c r="Y591" s="288">
        <v>0</v>
      </c>
      <c r="Z591" s="289">
        <v>0</v>
      </c>
      <c r="AA591" s="229"/>
      <c r="AB591" s="293">
        <v>84428.657707400795</v>
      </c>
      <c r="AC591" s="294">
        <v>3.1915763938166704</v>
      </c>
      <c r="AD591" s="295">
        <v>73756.927230466768</v>
      </c>
      <c r="AE591" s="294">
        <v>3.135992012899528</v>
      </c>
      <c r="AF591" s="295">
        <v>10671.730476934026</v>
      </c>
      <c r="AG591" s="296">
        <v>5.5584380917142351E-2</v>
      </c>
      <c r="AH591" s="229"/>
      <c r="AI591" s="205">
        <f t="shared" si="68"/>
        <v>234728.98167426622</v>
      </c>
      <c r="AJ591" s="205">
        <f t="shared" si="69"/>
        <v>239842.27405948602</v>
      </c>
      <c r="AK591" s="205">
        <f t="shared" si="70"/>
        <v>-5113.292385219791</v>
      </c>
      <c r="AL591" s="229"/>
      <c r="AM591" s="52">
        <f t="shared" si="58"/>
        <v>0</v>
      </c>
      <c r="AN591" s="52">
        <f t="shared" si="59"/>
        <v>1</v>
      </c>
      <c r="AO591" s="52">
        <f t="shared" si="60"/>
        <v>0</v>
      </c>
      <c r="AP591" s="229"/>
      <c r="AQ591" s="28"/>
      <c r="AR591" s="28"/>
      <c r="AS591" s="28"/>
      <c r="AT591" s="28"/>
      <c r="AU591" s="229"/>
      <c r="AV591" s="318">
        <f t="shared" ref="AV591:AV654" si="71">MAX(AI591:AJ591)</f>
        <v>239842.27405948602</v>
      </c>
      <c r="AW591" s="229"/>
      <c r="AX591" s="313"/>
      <c r="AY591" s="302"/>
      <c r="AZ591" s="14">
        <f t="shared" si="67"/>
        <v>10671.730476934026</v>
      </c>
      <c r="BA591" s="14">
        <f t="shared" ref="BA591:BA654" si="72">AG591</f>
        <v>5.5584380917142351E-2</v>
      </c>
      <c r="BB591" s="14">
        <f t="shared" si="61"/>
        <v>191991.53252857117</v>
      </c>
      <c r="BC591" s="302"/>
      <c r="BD591" s="302"/>
      <c r="BE591" s="302"/>
      <c r="BF591" s="302"/>
      <c r="BG591" s="302"/>
      <c r="BH591" s="302"/>
      <c r="BI591" s="302"/>
      <c r="BJ591" s="302"/>
      <c r="BK591" s="302"/>
      <c r="BL591" s="302"/>
      <c r="BM591" s="302"/>
      <c r="BN591" s="302"/>
      <c r="BO591" s="302"/>
      <c r="BP591" s="14"/>
      <c r="BQ591" s="14"/>
      <c r="BR591" s="14"/>
      <c r="BS591" s="14"/>
      <c r="BT591" s="14"/>
      <c r="BU591" s="14"/>
      <c r="BV591" s="14"/>
      <c r="BW591" s="14"/>
      <c r="BX591" s="14"/>
      <c r="BY591" s="14"/>
      <c r="BZ591" s="14"/>
      <c r="CA591" s="14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</row>
    <row r="592" spans="1:101" ht="14.25" customHeight="1" x14ac:dyDescent="0.2">
      <c r="A592" s="286"/>
      <c r="B592" s="52">
        <v>0.14827968724096036</v>
      </c>
      <c r="C592" s="288">
        <v>5.3607614510761431E-2</v>
      </c>
      <c r="D592" s="288">
        <v>7.095744644507242E-3</v>
      </c>
      <c r="E592" s="288">
        <v>2.0585974387583028E-2</v>
      </c>
      <c r="F592" s="289">
        <v>0.7786619117876884</v>
      </c>
      <c r="G592" s="92">
        <v>0.39581733241795419</v>
      </c>
      <c r="H592" s="288">
        <v>0.2265405304622467</v>
      </c>
      <c r="I592" s="288">
        <v>7.9025368100602636E-3</v>
      </c>
      <c r="J592" s="288">
        <v>6.933723674260788E-3</v>
      </c>
      <c r="K592" s="288">
        <v>0.67328227900783033</v>
      </c>
      <c r="L592" s="290">
        <v>11379.292477107701</v>
      </c>
      <c r="M592" s="288">
        <v>0</v>
      </c>
      <c r="N592" s="288">
        <v>23077.062824606586</v>
      </c>
      <c r="O592" s="288">
        <v>1416.0593780548486</v>
      </c>
      <c r="P592" s="288">
        <v>36566.222967236659</v>
      </c>
      <c r="Q592" s="291">
        <v>91218.309861620161</v>
      </c>
      <c r="R592" s="288">
        <v>33752.329053138616</v>
      </c>
      <c r="S592" s="288">
        <v>14280.274326055302</v>
      </c>
      <c r="T592" s="290">
        <v>0.751</v>
      </c>
      <c r="U592" s="288">
        <v>0.75800000000000001</v>
      </c>
      <c r="V592" s="288">
        <v>0.723923076923077</v>
      </c>
      <c r="W592" s="288">
        <v>0.72750000000000004</v>
      </c>
      <c r="X592" s="288">
        <v>0.76</v>
      </c>
      <c r="Y592" s="288">
        <v>0</v>
      </c>
      <c r="Z592" s="289">
        <v>0</v>
      </c>
      <c r="AA592" s="229"/>
      <c r="AB592" s="293">
        <v>122063.34962579994</v>
      </c>
      <c r="AC592" s="294">
        <v>3.1361451490034704</v>
      </c>
      <c r="AD592" s="295">
        <v>99728.359445743903</v>
      </c>
      <c r="AE592" s="294">
        <v>2.6598269024734278</v>
      </c>
      <c r="AF592" s="295">
        <v>22334.990180056033</v>
      </c>
      <c r="AG592" s="296">
        <v>0.47631824653004262</v>
      </c>
      <c r="AH592" s="229"/>
      <c r="AI592" s="205">
        <f t="shared" si="68"/>
        <v>191551.16527454712</v>
      </c>
      <c r="AJ592" s="205">
        <f t="shared" si="69"/>
        <v>166254.3308015989</v>
      </c>
      <c r="AK592" s="205">
        <f t="shared" si="70"/>
        <v>25296.834472948227</v>
      </c>
      <c r="AL592" s="229"/>
      <c r="AM592" s="52">
        <f t="shared" si="58"/>
        <v>1</v>
      </c>
      <c r="AN592" s="52">
        <f t="shared" si="59"/>
        <v>0</v>
      </c>
      <c r="AO592" s="52">
        <f t="shared" si="60"/>
        <v>1</v>
      </c>
      <c r="AP592" s="229"/>
      <c r="AQ592" s="28"/>
      <c r="AR592" s="28"/>
      <c r="AS592" s="28"/>
      <c r="AT592" s="28"/>
      <c r="AU592" s="229"/>
      <c r="AV592" s="318">
        <f t="shared" si="71"/>
        <v>191551.16527454712</v>
      </c>
      <c r="AW592" s="229"/>
      <c r="AX592" s="313"/>
      <c r="AY592" s="302"/>
      <c r="AZ592" s="14">
        <f t="shared" ref="AZ592:AZ655" si="73">AF592</f>
        <v>22334.990180056033</v>
      </c>
      <c r="BA592" s="14">
        <f t="shared" si="72"/>
        <v>0.47631824653004262</v>
      </c>
      <c r="BB592" s="14">
        <f t="shared" si="61"/>
        <v>46890.89771967681</v>
      </c>
      <c r="BC592" s="302"/>
      <c r="BD592" s="302"/>
      <c r="BE592" s="302"/>
      <c r="BF592" s="302"/>
      <c r="BG592" s="302"/>
      <c r="BH592" s="302"/>
      <c r="BI592" s="302"/>
      <c r="BJ592" s="302"/>
      <c r="BK592" s="302"/>
      <c r="BL592" s="302"/>
      <c r="BM592" s="302"/>
      <c r="BN592" s="302"/>
      <c r="BO592" s="302"/>
      <c r="BP592" s="14"/>
      <c r="BQ592" s="14"/>
      <c r="BR592" s="14"/>
      <c r="BS592" s="14"/>
      <c r="BT592" s="14"/>
      <c r="BU592" s="14"/>
      <c r="BV592" s="14"/>
      <c r="BW592" s="14"/>
      <c r="BX592" s="14"/>
      <c r="BY592" s="14"/>
      <c r="BZ592" s="14"/>
      <c r="CA592" s="14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</row>
    <row r="593" spans="1:101" ht="14.25" customHeight="1" x14ac:dyDescent="0.2">
      <c r="A593" s="286"/>
      <c r="B593" s="52">
        <v>0.16053532516932045</v>
      </c>
      <c r="C593" s="288">
        <v>5.6500072052949593E-3</v>
      </c>
      <c r="D593" s="288">
        <v>9.5731719358658866E-3</v>
      </c>
      <c r="E593" s="288">
        <v>5.3190281938236255E-3</v>
      </c>
      <c r="F593" s="289">
        <v>0.78603164363888345</v>
      </c>
      <c r="G593" s="92">
        <v>0.38602122494496122</v>
      </c>
      <c r="H593" s="288">
        <v>0.27454223126958721</v>
      </c>
      <c r="I593" s="288">
        <v>2.6536694151745115E-3</v>
      </c>
      <c r="J593" s="288">
        <v>1</v>
      </c>
      <c r="K593" s="288">
        <v>0.77492605939336601</v>
      </c>
      <c r="L593" s="290">
        <v>10664.180410211769</v>
      </c>
      <c r="M593" s="288">
        <v>0</v>
      </c>
      <c r="N593" s="288">
        <v>15334.753056141046</v>
      </c>
      <c r="O593" s="288">
        <v>1603.0570583363531</v>
      </c>
      <c r="P593" s="288">
        <v>37502.984201166917</v>
      </c>
      <c r="Q593" s="291">
        <v>67610.196911205101</v>
      </c>
      <c r="R593" s="288">
        <v>22957.25935481027</v>
      </c>
      <c r="S593" s="288">
        <v>8386.6244872227635</v>
      </c>
      <c r="T593" s="290">
        <v>0.751</v>
      </c>
      <c r="U593" s="288">
        <v>0.75800000000000001</v>
      </c>
      <c r="V593" s="288">
        <v>0.723923076923077</v>
      </c>
      <c r="W593" s="288">
        <v>0.72750000000000004</v>
      </c>
      <c r="X593" s="288">
        <v>0.76</v>
      </c>
      <c r="Y593" s="288">
        <v>0</v>
      </c>
      <c r="Z593" s="289">
        <v>0</v>
      </c>
      <c r="AA593" s="229"/>
      <c r="AB593" s="293">
        <v>76324.062581460617</v>
      </c>
      <c r="AC593" s="294">
        <v>3.1703705785777165</v>
      </c>
      <c r="AD593" s="295">
        <v>67974.071983898495</v>
      </c>
      <c r="AE593" s="294">
        <v>3.1234522504024147</v>
      </c>
      <c r="AF593" s="295">
        <v>8349.9905975621223</v>
      </c>
      <c r="AG593" s="296">
        <v>4.6918328175301838E-2</v>
      </c>
      <c r="AH593" s="229"/>
      <c r="AI593" s="205">
        <f t="shared" si="68"/>
        <v>240712.99527631101</v>
      </c>
      <c r="AJ593" s="205">
        <f t="shared" si="69"/>
        <v>244371.153056343</v>
      </c>
      <c r="AK593" s="205">
        <f t="shared" si="70"/>
        <v>-3658.1577800319383</v>
      </c>
      <c r="AL593" s="229"/>
      <c r="AM593" s="52">
        <f t="shared" si="58"/>
        <v>0</v>
      </c>
      <c r="AN593" s="52">
        <f t="shared" si="59"/>
        <v>1</v>
      </c>
      <c r="AO593" s="52">
        <f t="shared" si="60"/>
        <v>0</v>
      </c>
      <c r="AP593" s="229"/>
      <c r="AQ593" s="28"/>
      <c r="AR593" s="28"/>
      <c r="AS593" s="28"/>
      <c r="AT593" s="28"/>
      <c r="AU593" s="229"/>
      <c r="AV593" s="318">
        <f t="shared" si="71"/>
        <v>244371.153056343</v>
      </c>
      <c r="AW593" s="229"/>
      <c r="AX593" s="313"/>
      <c r="AY593" s="302"/>
      <c r="AZ593" s="14">
        <f t="shared" si="73"/>
        <v>8349.9905975621223</v>
      </c>
      <c r="BA593" s="14">
        <f t="shared" si="72"/>
        <v>4.6918328175301838E-2</v>
      </c>
      <c r="BB593" s="14">
        <f t="shared" si="61"/>
        <v>177968.63021981291</v>
      </c>
      <c r="BC593" s="302"/>
      <c r="BD593" s="302"/>
      <c r="BE593" s="302"/>
      <c r="BF593" s="302"/>
      <c r="BG593" s="302"/>
      <c r="BH593" s="302"/>
      <c r="BI593" s="302"/>
      <c r="BJ593" s="302"/>
      <c r="BK593" s="302"/>
      <c r="BL593" s="302"/>
      <c r="BM593" s="302"/>
      <c r="BN593" s="302"/>
      <c r="BO593" s="302"/>
      <c r="BP593" s="14"/>
      <c r="BQ593" s="14"/>
      <c r="BR593" s="14"/>
      <c r="BS593" s="14"/>
      <c r="BT593" s="14"/>
      <c r="BU593" s="14"/>
      <c r="BV593" s="14"/>
      <c r="BW593" s="14"/>
      <c r="BX593" s="14"/>
      <c r="BY593" s="14"/>
      <c r="BZ593" s="14"/>
      <c r="CA593" s="14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</row>
    <row r="594" spans="1:101" ht="14.25" customHeight="1" x14ac:dyDescent="0.2">
      <c r="A594" s="286"/>
      <c r="B594" s="52">
        <v>0.12846738679417677</v>
      </c>
      <c r="C594" s="288">
        <v>1.0297541473659403E-3</v>
      </c>
      <c r="D594" s="288">
        <v>8.0683389199447241E-3</v>
      </c>
      <c r="E594" s="288">
        <v>9.2856864939353852E-3</v>
      </c>
      <c r="F594" s="289">
        <v>0.80950771550125256</v>
      </c>
      <c r="G594" s="92">
        <v>0.42291562002296557</v>
      </c>
      <c r="H594" s="288">
        <v>0.85837722222582324</v>
      </c>
      <c r="I594" s="288">
        <v>3.0547596190678261E-2</v>
      </c>
      <c r="J594" s="288">
        <v>0.14837714817966732</v>
      </c>
      <c r="K594" s="288">
        <v>0.77569519579300894</v>
      </c>
      <c r="L594" s="290">
        <v>10758.901402501429</v>
      </c>
      <c r="M594" s="288">
        <v>0</v>
      </c>
      <c r="N594" s="288">
        <v>18438.485274519182</v>
      </c>
      <c r="O594" s="288">
        <v>1226.9727240715831</v>
      </c>
      <c r="P594" s="288">
        <v>36018.843190907988</v>
      </c>
      <c r="Q594" s="291">
        <v>92629.484028129737</v>
      </c>
      <c r="R594" s="288">
        <v>25614.490357194798</v>
      </c>
      <c r="S594" s="288">
        <v>9228.956448742103</v>
      </c>
      <c r="T594" s="290">
        <v>0.751</v>
      </c>
      <c r="U594" s="288">
        <v>0.75800000000000001</v>
      </c>
      <c r="V594" s="288">
        <v>0.723923076923077</v>
      </c>
      <c r="W594" s="288">
        <v>0.72750000000000004</v>
      </c>
      <c r="X594" s="288">
        <v>0.76</v>
      </c>
      <c r="Y594" s="288">
        <v>0</v>
      </c>
      <c r="Z594" s="289">
        <v>0</v>
      </c>
      <c r="AA594" s="229"/>
      <c r="AB594" s="293">
        <v>84995.551679899247</v>
      </c>
      <c r="AC594" s="294">
        <v>3.2799626195786886</v>
      </c>
      <c r="AD594" s="295">
        <v>82219.737067635506</v>
      </c>
      <c r="AE594" s="294">
        <v>3.1270225741067712</v>
      </c>
      <c r="AF594" s="295">
        <v>2775.8146122637409</v>
      </c>
      <c r="AG594" s="296">
        <v>0.15294004547191742</v>
      </c>
      <c r="AH594" s="229"/>
      <c r="AI594" s="205">
        <f t="shared" si="68"/>
        <v>243000.71027796963</v>
      </c>
      <c r="AJ594" s="205">
        <f t="shared" si="69"/>
        <v>230482.52034304157</v>
      </c>
      <c r="AK594" s="205">
        <f t="shared" si="70"/>
        <v>12518.189934928001</v>
      </c>
      <c r="AL594" s="229"/>
      <c r="AM594" s="52">
        <f t="shared" si="58"/>
        <v>1</v>
      </c>
      <c r="AN594" s="52">
        <f t="shared" si="59"/>
        <v>0</v>
      </c>
      <c r="AO594" s="52">
        <f t="shared" si="60"/>
        <v>1</v>
      </c>
      <c r="AP594" s="229"/>
      <c r="AQ594" s="28"/>
      <c r="AR594" s="28"/>
      <c r="AS594" s="28"/>
      <c r="AT594" s="28"/>
      <c r="AU594" s="229"/>
      <c r="AV594" s="318">
        <f t="shared" si="71"/>
        <v>243000.71027796963</v>
      </c>
      <c r="AW594" s="229"/>
      <c r="AX594" s="313"/>
      <c r="AY594" s="302"/>
      <c r="AZ594" s="14">
        <f t="shared" si="73"/>
        <v>2775.8146122637409</v>
      </c>
      <c r="BA594" s="14">
        <f t="shared" si="72"/>
        <v>0.15294004547191742</v>
      </c>
      <c r="BB594" s="14">
        <f t="shared" si="61"/>
        <v>18149.691296995403</v>
      </c>
      <c r="BC594" s="302"/>
      <c r="BD594" s="302"/>
      <c r="BE594" s="302"/>
      <c r="BF594" s="302"/>
      <c r="BG594" s="302"/>
      <c r="BH594" s="302"/>
      <c r="BI594" s="302"/>
      <c r="BJ594" s="302"/>
      <c r="BK594" s="302"/>
      <c r="BL594" s="302"/>
      <c r="BM594" s="302"/>
      <c r="BN594" s="302"/>
      <c r="BO594" s="302"/>
      <c r="BP594" s="14"/>
      <c r="BQ594" s="14"/>
      <c r="BR594" s="14"/>
      <c r="BS594" s="14"/>
      <c r="BT594" s="14"/>
      <c r="BU594" s="14"/>
      <c r="BV594" s="14"/>
      <c r="BW594" s="14"/>
      <c r="BX594" s="14"/>
      <c r="BY594" s="14"/>
      <c r="BZ594" s="14"/>
      <c r="CA594" s="14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</row>
    <row r="595" spans="1:101" ht="14.25" customHeight="1" x14ac:dyDescent="0.2">
      <c r="A595" s="286"/>
      <c r="B595" s="52">
        <v>0.1410984633250057</v>
      </c>
      <c r="C595" s="288">
        <v>0.63462547752959764</v>
      </c>
      <c r="D595" s="288">
        <v>1.9181261017940487E-2</v>
      </c>
      <c r="E595" s="288">
        <v>2.1295677412398351E-2</v>
      </c>
      <c r="F595" s="289">
        <v>0.75526815249289003</v>
      </c>
      <c r="G595" s="92">
        <v>0.38724636257488959</v>
      </c>
      <c r="H595" s="288">
        <v>0.31710349631316115</v>
      </c>
      <c r="I595" s="288">
        <v>5.2806221058538114E-3</v>
      </c>
      <c r="J595" s="288">
        <v>0.99999002288699845</v>
      </c>
      <c r="K595" s="288">
        <v>0.76839529158283792</v>
      </c>
      <c r="L595" s="290">
        <v>12434.166891960584</v>
      </c>
      <c r="M595" s="288">
        <v>0</v>
      </c>
      <c r="N595" s="288">
        <v>17865.382252927113</v>
      </c>
      <c r="O595" s="288">
        <v>984.9404989362888</v>
      </c>
      <c r="P595" s="288">
        <v>45173.888927034721</v>
      </c>
      <c r="Q595" s="291">
        <v>60278.380231635434</v>
      </c>
      <c r="R595" s="288">
        <v>25968.72381877228</v>
      </c>
      <c r="S595" s="288">
        <v>10217.270871182269</v>
      </c>
      <c r="T595" s="290">
        <v>0.751</v>
      </c>
      <c r="U595" s="288">
        <v>0.75800000000000001</v>
      </c>
      <c r="V595" s="288">
        <v>0.723923076923077</v>
      </c>
      <c r="W595" s="288">
        <v>0.72750000000000004</v>
      </c>
      <c r="X595" s="288">
        <v>0.76</v>
      </c>
      <c r="Y595" s="288">
        <v>0</v>
      </c>
      <c r="Z595" s="289">
        <v>0</v>
      </c>
      <c r="AA595" s="229"/>
      <c r="AB595" s="293">
        <v>91479.028130298932</v>
      </c>
      <c r="AC595" s="294">
        <v>3.0280676815465344</v>
      </c>
      <c r="AD595" s="295">
        <v>82124.962067975604</v>
      </c>
      <c r="AE595" s="294">
        <v>3.0931740626478006</v>
      </c>
      <c r="AF595" s="295">
        <v>9354.0660623233271</v>
      </c>
      <c r="AG595" s="296">
        <v>-6.5106381101266209E-2</v>
      </c>
      <c r="AH595" s="229"/>
      <c r="AI595" s="205">
        <f t="shared" si="68"/>
        <v>211327.74002435448</v>
      </c>
      <c r="AJ595" s="205">
        <f t="shared" si="69"/>
        <v>227192.44419680443</v>
      </c>
      <c r="AK595" s="205">
        <f t="shared" si="70"/>
        <v>-15864.704172449947</v>
      </c>
      <c r="AL595" s="229"/>
      <c r="AM595" s="52">
        <f t="shared" si="58"/>
        <v>0</v>
      </c>
      <c r="AN595" s="52">
        <f t="shared" si="59"/>
        <v>1</v>
      </c>
      <c r="AO595" s="52">
        <f t="shared" si="60"/>
        <v>0</v>
      </c>
      <c r="AP595" s="229"/>
      <c r="AQ595" s="28"/>
      <c r="AR595" s="28"/>
      <c r="AS595" s="28"/>
      <c r="AT595" s="28"/>
      <c r="AU595" s="229"/>
      <c r="AV595" s="318">
        <f t="shared" si="71"/>
        <v>227192.44419680443</v>
      </c>
      <c r="AW595" s="229"/>
      <c r="AX595" s="313"/>
      <c r="AY595" s="302"/>
      <c r="AZ595" s="14">
        <f t="shared" si="73"/>
        <v>9354.0660623233271</v>
      </c>
      <c r="BA595" s="14">
        <f t="shared" si="72"/>
        <v>-6.5106381101266209E-2</v>
      </c>
      <c r="BB595" s="14">
        <f t="shared" si="61"/>
        <v>-143673.56784543206</v>
      </c>
      <c r="BC595" s="302"/>
      <c r="BD595" s="302"/>
      <c r="BE595" s="302"/>
      <c r="BF595" s="302"/>
      <c r="BG595" s="302"/>
      <c r="BH595" s="302"/>
      <c r="BI595" s="302"/>
      <c r="BJ595" s="302"/>
      <c r="BK595" s="302"/>
      <c r="BL595" s="302"/>
      <c r="BM595" s="302"/>
      <c r="BN595" s="302"/>
      <c r="BO595" s="302"/>
      <c r="BP595" s="14"/>
      <c r="BQ595" s="14"/>
      <c r="BR595" s="14"/>
      <c r="BS595" s="14"/>
      <c r="BT595" s="14"/>
      <c r="BU595" s="14"/>
      <c r="BV595" s="14"/>
      <c r="BW595" s="14"/>
      <c r="BX595" s="14"/>
      <c r="BY595" s="14"/>
      <c r="BZ595" s="14"/>
      <c r="CA595" s="14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</row>
    <row r="596" spans="1:101" ht="14.25" customHeight="1" x14ac:dyDescent="0.2">
      <c r="A596" s="286"/>
      <c r="B596" s="52">
        <v>0.16796589626147751</v>
      </c>
      <c r="C596" s="288">
        <v>0.87298575034895931</v>
      </c>
      <c r="D596" s="288">
        <v>1.9874633829894406E-2</v>
      </c>
      <c r="E596" s="288">
        <v>9.6422424778259946E-3</v>
      </c>
      <c r="F596" s="289">
        <v>0.77025240714115584</v>
      </c>
      <c r="G596" s="92">
        <v>0.35990030321086142</v>
      </c>
      <c r="H596" s="288">
        <v>4.9037980584458449E-2</v>
      </c>
      <c r="I596" s="288">
        <v>1.5599418056650114E-2</v>
      </c>
      <c r="J596" s="288">
        <v>0.85594559853293994</v>
      </c>
      <c r="K596" s="288">
        <v>0.81178523788769652</v>
      </c>
      <c r="L596" s="290">
        <v>10677.201769638152</v>
      </c>
      <c r="M596" s="288">
        <v>0</v>
      </c>
      <c r="N596" s="288">
        <v>15936.282307563293</v>
      </c>
      <c r="O596" s="288">
        <v>1207.3939799021407</v>
      </c>
      <c r="P596" s="288">
        <v>44816.505753875288</v>
      </c>
      <c r="Q596" s="291">
        <v>101047.07275641133</v>
      </c>
      <c r="R596" s="288">
        <v>19088.771736875253</v>
      </c>
      <c r="S596" s="288">
        <v>8999.8996162953827</v>
      </c>
      <c r="T596" s="290">
        <v>0.751</v>
      </c>
      <c r="U596" s="288">
        <v>0.75800000000000001</v>
      </c>
      <c r="V596" s="288">
        <v>0.723923076923077</v>
      </c>
      <c r="W596" s="288">
        <v>0.72750000000000004</v>
      </c>
      <c r="X596" s="288">
        <v>0.76</v>
      </c>
      <c r="Y596" s="288">
        <v>0</v>
      </c>
      <c r="Z596" s="289">
        <v>0</v>
      </c>
      <c r="AA596" s="229"/>
      <c r="AB596" s="293">
        <v>82662.870145076522</v>
      </c>
      <c r="AC596" s="294">
        <v>3.0971950253534808</v>
      </c>
      <c r="AD596" s="295">
        <v>74570.94772028226</v>
      </c>
      <c r="AE596" s="294">
        <v>3.2956006020676671</v>
      </c>
      <c r="AF596" s="295">
        <v>8091.922424794262</v>
      </c>
      <c r="AG596" s="296">
        <v>-0.19840557671418635</v>
      </c>
      <c r="AH596" s="229"/>
      <c r="AI596" s="205">
        <f t="shared" si="68"/>
        <v>227056.63239027152</v>
      </c>
      <c r="AJ596" s="205">
        <f t="shared" si="69"/>
        <v>254989.11248648446</v>
      </c>
      <c r="AK596" s="205">
        <f t="shared" si="70"/>
        <v>-27932.480096212897</v>
      </c>
      <c r="AL596" s="229"/>
      <c r="AM596" s="52">
        <f t="shared" si="58"/>
        <v>0</v>
      </c>
      <c r="AN596" s="52">
        <f t="shared" si="59"/>
        <v>1</v>
      </c>
      <c r="AO596" s="52">
        <f t="shared" si="60"/>
        <v>0</v>
      </c>
      <c r="AP596" s="229"/>
      <c r="AQ596" s="28"/>
      <c r="AR596" s="28"/>
      <c r="AS596" s="28"/>
      <c r="AT596" s="28"/>
      <c r="AU596" s="229"/>
      <c r="AV596" s="318">
        <f t="shared" si="71"/>
        <v>254989.11248648446</v>
      </c>
      <c r="AW596" s="229"/>
      <c r="AX596" s="313"/>
      <c r="AY596" s="302"/>
      <c r="AZ596" s="14">
        <f t="shared" si="73"/>
        <v>8091.922424794262</v>
      </c>
      <c r="BA596" s="14">
        <f t="shared" si="72"/>
        <v>-0.19840557671418635</v>
      </c>
      <c r="BB596" s="14">
        <f t="shared" si="61"/>
        <v>-40784.752922802676</v>
      </c>
      <c r="BC596" s="302"/>
      <c r="BD596" s="302"/>
      <c r="BE596" s="302"/>
      <c r="BF596" s="302"/>
      <c r="BG596" s="302"/>
      <c r="BH596" s="302"/>
      <c r="BI596" s="302"/>
      <c r="BJ596" s="302"/>
      <c r="BK596" s="302"/>
      <c r="BL596" s="302"/>
      <c r="BM596" s="302"/>
      <c r="BN596" s="302"/>
      <c r="BO596" s="302"/>
      <c r="BP596" s="14"/>
      <c r="BQ596" s="14"/>
      <c r="BR596" s="14"/>
      <c r="BS596" s="14"/>
      <c r="BT596" s="14"/>
      <c r="BU596" s="14"/>
      <c r="BV596" s="14"/>
      <c r="BW596" s="14"/>
      <c r="BX596" s="14"/>
      <c r="BY596" s="14"/>
      <c r="BZ596" s="14"/>
      <c r="CA596" s="14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</row>
    <row r="597" spans="1:101" ht="14.25" customHeight="1" x14ac:dyDescent="0.2">
      <c r="A597" s="286"/>
      <c r="B597" s="52">
        <v>0.17575979448369317</v>
      </c>
      <c r="C597" s="288">
        <v>0.14552373874117927</v>
      </c>
      <c r="D597" s="288">
        <v>1.6511520525160917E-2</v>
      </c>
      <c r="E597" s="288">
        <v>2.9034648651012684E-2</v>
      </c>
      <c r="F597" s="289">
        <v>0.78472973328588669</v>
      </c>
      <c r="G597" s="92">
        <v>0.35397326901009196</v>
      </c>
      <c r="H597" s="288">
        <v>0.48495135378336485</v>
      </c>
      <c r="I597" s="288">
        <v>1.0603617230125126E-2</v>
      </c>
      <c r="J597" s="288">
        <v>0.74299968684153372</v>
      </c>
      <c r="K597" s="288">
        <v>0.74512741629423462</v>
      </c>
      <c r="L597" s="290">
        <v>11750.431133568711</v>
      </c>
      <c r="M597" s="288">
        <v>0</v>
      </c>
      <c r="N597" s="288">
        <v>16502.551544063848</v>
      </c>
      <c r="O597" s="288">
        <v>992.8658041417093</v>
      </c>
      <c r="P597" s="288">
        <v>52042.679254296112</v>
      </c>
      <c r="Q597" s="291">
        <v>92599.577428687859</v>
      </c>
      <c r="R597" s="288">
        <v>20526.343573549027</v>
      </c>
      <c r="S597" s="288">
        <v>8516.5801097899621</v>
      </c>
      <c r="T597" s="290">
        <v>0.751</v>
      </c>
      <c r="U597" s="288">
        <v>0.75800000000000001</v>
      </c>
      <c r="V597" s="288">
        <v>0.723923076923077</v>
      </c>
      <c r="W597" s="288">
        <v>0.72750000000000004</v>
      </c>
      <c r="X597" s="288">
        <v>0.76</v>
      </c>
      <c r="Y597" s="288">
        <v>0</v>
      </c>
      <c r="Z597" s="289">
        <v>0</v>
      </c>
      <c r="AA597" s="229"/>
      <c r="AB597" s="293">
        <v>78903.539868480191</v>
      </c>
      <c r="AC597" s="294">
        <v>3.1643182417578415</v>
      </c>
      <c r="AD597" s="295">
        <v>67666.36368551846</v>
      </c>
      <c r="AE597" s="294">
        <v>2.9858451242677657</v>
      </c>
      <c r="AF597" s="295">
        <v>11237.176182961732</v>
      </c>
      <c r="AG597" s="296">
        <v>0.17847311749007577</v>
      </c>
      <c r="AH597" s="229"/>
      <c r="AI597" s="205">
        <f t="shared" si="68"/>
        <v>237528.28430730395</v>
      </c>
      <c r="AJ597" s="205">
        <f t="shared" si="69"/>
        <v>230918.14874125813</v>
      </c>
      <c r="AK597" s="205">
        <f t="shared" si="70"/>
        <v>6610.1355660458466</v>
      </c>
      <c r="AL597" s="229"/>
      <c r="AM597" s="52">
        <f t="shared" si="58"/>
        <v>1</v>
      </c>
      <c r="AN597" s="52">
        <f t="shared" si="59"/>
        <v>0</v>
      </c>
      <c r="AO597" s="52">
        <f t="shared" si="60"/>
        <v>1</v>
      </c>
      <c r="AP597" s="229"/>
      <c r="AQ597" s="28"/>
      <c r="AR597" s="28"/>
      <c r="AS597" s="28"/>
      <c r="AT597" s="28"/>
      <c r="AU597" s="229"/>
      <c r="AV597" s="318">
        <f t="shared" si="71"/>
        <v>237528.28430730395</v>
      </c>
      <c r="AW597" s="229"/>
      <c r="AX597" s="313"/>
      <c r="AY597" s="302"/>
      <c r="AZ597" s="14">
        <f t="shared" si="73"/>
        <v>11237.176182961732</v>
      </c>
      <c r="BA597" s="14">
        <f t="shared" si="72"/>
        <v>0.17847311749007577</v>
      </c>
      <c r="BB597" s="14">
        <f t="shared" si="61"/>
        <v>62962.850321626669</v>
      </c>
      <c r="BC597" s="302"/>
      <c r="BD597" s="302"/>
      <c r="BE597" s="302"/>
      <c r="BF597" s="302"/>
      <c r="BG597" s="302"/>
      <c r="BH597" s="302"/>
      <c r="BI597" s="302"/>
      <c r="BJ597" s="302"/>
      <c r="BK597" s="302"/>
      <c r="BL597" s="302"/>
      <c r="BM597" s="302"/>
      <c r="BN597" s="302"/>
      <c r="BO597" s="302"/>
      <c r="BP597" s="14"/>
      <c r="BQ597" s="14"/>
      <c r="BR597" s="14"/>
      <c r="BS597" s="14"/>
      <c r="BT597" s="14"/>
      <c r="BU597" s="14"/>
      <c r="BV597" s="14"/>
      <c r="BW597" s="14"/>
      <c r="BX597" s="14"/>
      <c r="BY597" s="14"/>
      <c r="BZ597" s="14"/>
      <c r="CA597" s="14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</row>
    <row r="598" spans="1:101" ht="14.25" customHeight="1" x14ac:dyDescent="0.2">
      <c r="A598" s="286"/>
      <c r="B598" s="52">
        <v>0.15311267773494633</v>
      </c>
      <c r="C598" s="288">
        <v>0.44350556291469745</v>
      </c>
      <c r="D598" s="288">
        <v>1.0943284929234435E-2</v>
      </c>
      <c r="E598" s="288">
        <v>6.9624736156778475E-3</v>
      </c>
      <c r="F598" s="289">
        <v>0.8146321836633974</v>
      </c>
      <c r="G598" s="92">
        <v>0.45393976261625912</v>
      </c>
      <c r="H598" s="288">
        <v>0.78800280311315885</v>
      </c>
      <c r="I598" s="288">
        <v>1.0522090180697269E-2</v>
      </c>
      <c r="J598" s="288">
        <v>0.99999999595277078</v>
      </c>
      <c r="K598" s="288">
        <v>0.76555367949565101</v>
      </c>
      <c r="L598" s="290">
        <v>10108.624984377349</v>
      </c>
      <c r="M598" s="288">
        <v>0</v>
      </c>
      <c r="N598" s="288">
        <v>16873.490946413989</v>
      </c>
      <c r="O598" s="288">
        <v>987.95742511403353</v>
      </c>
      <c r="P598" s="288">
        <v>73132.355861405624</v>
      </c>
      <c r="Q598" s="291">
        <v>92853.300786365609</v>
      </c>
      <c r="R598" s="288">
        <v>21326.69352259802</v>
      </c>
      <c r="S598" s="288">
        <v>9368.4876871292399</v>
      </c>
      <c r="T598" s="290">
        <v>0.751</v>
      </c>
      <c r="U598" s="288">
        <v>0.75800000000000001</v>
      </c>
      <c r="V598" s="288">
        <v>0.723923076923077</v>
      </c>
      <c r="W598" s="288">
        <v>0.72750000000000004</v>
      </c>
      <c r="X598" s="288">
        <v>0.76</v>
      </c>
      <c r="Y598" s="288">
        <v>0</v>
      </c>
      <c r="Z598" s="289">
        <v>0</v>
      </c>
      <c r="AA598" s="229"/>
      <c r="AB598" s="293">
        <v>87437.714695294184</v>
      </c>
      <c r="AC598" s="294">
        <v>3.3039998310637633</v>
      </c>
      <c r="AD598" s="295">
        <v>80432.189434910499</v>
      </c>
      <c r="AE598" s="294">
        <v>3.0800206652499984</v>
      </c>
      <c r="AF598" s="295">
        <v>7005.5252603836852</v>
      </c>
      <c r="AG598" s="296">
        <v>0.22397916581376487</v>
      </c>
      <c r="AH598" s="229"/>
      <c r="AI598" s="205">
        <f t="shared" si="68"/>
        <v>242962.26841108213</v>
      </c>
      <c r="AJ598" s="205">
        <f t="shared" si="69"/>
        <v>227569.87709008937</v>
      </c>
      <c r="AK598" s="205">
        <f t="shared" si="70"/>
        <v>15392.391320992803</v>
      </c>
      <c r="AL598" s="229"/>
      <c r="AM598" s="52">
        <f t="shared" si="58"/>
        <v>1</v>
      </c>
      <c r="AN598" s="52">
        <f t="shared" si="59"/>
        <v>0</v>
      </c>
      <c r="AO598" s="52">
        <f t="shared" si="60"/>
        <v>1</v>
      </c>
      <c r="AP598" s="229"/>
      <c r="AQ598" s="28"/>
      <c r="AR598" s="28"/>
      <c r="AS598" s="28"/>
      <c r="AT598" s="28"/>
      <c r="AU598" s="229"/>
      <c r="AV598" s="318">
        <f t="shared" si="71"/>
        <v>242962.26841108213</v>
      </c>
      <c r="AW598" s="229"/>
      <c r="AX598" s="313"/>
      <c r="AY598" s="302"/>
      <c r="AZ598" s="14">
        <f t="shared" si="73"/>
        <v>7005.5252603836852</v>
      </c>
      <c r="BA598" s="14">
        <f t="shared" si="72"/>
        <v>0.22397916581376487</v>
      </c>
      <c r="BB598" s="14">
        <f t="shared" si="61"/>
        <v>31277.575460784905</v>
      </c>
      <c r="BC598" s="302"/>
      <c r="BD598" s="302"/>
      <c r="BE598" s="302"/>
      <c r="BF598" s="302"/>
      <c r="BG598" s="302"/>
      <c r="BH598" s="302"/>
      <c r="BI598" s="302"/>
      <c r="BJ598" s="302"/>
      <c r="BK598" s="302"/>
      <c r="BL598" s="302"/>
      <c r="BM598" s="302"/>
      <c r="BN598" s="302"/>
      <c r="BO598" s="302"/>
      <c r="BP598" s="14"/>
      <c r="BQ598" s="14"/>
      <c r="BR598" s="14"/>
      <c r="BS598" s="14"/>
      <c r="BT598" s="14"/>
      <c r="BU598" s="14"/>
      <c r="BV598" s="14"/>
      <c r="BW598" s="14"/>
      <c r="BX598" s="14"/>
      <c r="BY598" s="14"/>
      <c r="BZ598" s="14"/>
      <c r="CA598" s="14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</row>
    <row r="599" spans="1:101" ht="14.25" customHeight="1" x14ac:dyDescent="0.2">
      <c r="A599" s="286"/>
      <c r="B599" s="52">
        <v>0.16451662711691939</v>
      </c>
      <c r="C599" s="288">
        <v>6.4518361539210881E-2</v>
      </c>
      <c r="D599" s="288">
        <v>2.1316584730549426E-2</v>
      </c>
      <c r="E599" s="288">
        <v>5.7042165772534627E-3</v>
      </c>
      <c r="F599" s="289">
        <v>0.80616746682891194</v>
      </c>
      <c r="G599" s="92">
        <v>0.39253990606715394</v>
      </c>
      <c r="H599" s="288">
        <v>0.64346897997448715</v>
      </c>
      <c r="I599" s="288">
        <v>2.4469139860414768E-2</v>
      </c>
      <c r="J599" s="288">
        <v>1.1485579860879195E-7</v>
      </c>
      <c r="K599" s="288">
        <v>0.75437565366212267</v>
      </c>
      <c r="L599" s="290">
        <v>11659.697437093977</v>
      </c>
      <c r="M599" s="288">
        <v>0</v>
      </c>
      <c r="N599" s="288">
        <v>16694.159204649633</v>
      </c>
      <c r="O599" s="288">
        <v>1339.0810719392312</v>
      </c>
      <c r="P599" s="288">
        <v>44709.976376718834</v>
      </c>
      <c r="Q599" s="291">
        <v>88989.465636715497</v>
      </c>
      <c r="R599" s="288">
        <v>22502.296820344134</v>
      </c>
      <c r="S599" s="288">
        <v>10216.058182644992</v>
      </c>
      <c r="T599" s="290">
        <v>0.751</v>
      </c>
      <c r="U599" s="288">
        <v>0.75800000000000001</v>
      </c>
      <c r="V599" s="288">
        <v>0.723923076923077</v>
      </c>
      <c r="W599" s="288">
        <v>0.72750000000000004</v>
      </c>
      <c r="X599" s="288">
        <v>0.76</v>
      </c>
      <c r="Y599" s="288">
        <v>0</v>
      </c>
      <c r="Z599" s="289">
        <v>0</v>
      </c>
      <c r="AA599" s="229"/>
      <c r="AB599" s="293">
        <v>93985.930631732801</v>
      </c>
      <c r="AC599" s="294">
        <v>3.264316774818572</v>
      </c>
      <c r="AD599" s="295">
        <v>83787.215610328931</v>
      </c>
      <c r="AE599" s="294">
        <v>3.0284027638501207</v>
      </c>
      <c r="AF599" s="295">
        <v>10198.71502140387</v>
      </c>
      <c r="AG599" s="296">
        <v>0.23591401096845122</v>
      </c>
      <c r="AH599" s="229"/>
      <c r="AI599" s="205">
        <f t="shared" si="68"/>
        <v>232445.74685012439</v>
      </c>
      <c r="AJ599" s="205">
        <f t="shared" si="69"/>
        <v>219053.06077468314</v>
      </c>
      <c r="AK599" s="205">
        <f t="shared" si="70"/>
        <v>13392.686075441252</v>
      </c>
      <c r="AL599" s="229"/>
      <c r="AM599" s="52">
        <f t="shared" si="58"/>
        <v>1</v>
      </c>
      <c r="AN599" s="52">
        <f t="shared" si="59"/>
        <v>0</v>
      </c>
      <c r="AO599" s="52">
        <f t="shared" si="60"/>
        <v>1</v>
      </c>
      <c r="AP599" s="229"/>
      <c r="AQ599" s="28"/>
      <c r="AR599" s="28"/>
      <c r="AS599" s="28"/>
      <c r="AT599" s="28"/>
      <c r="AU599" s="229"/>
      <c r="AV599" s="318">
        <f t="shared" si="71"/>
        <v>232445.74685012439</v>
      </c>
      <c r="AW599" s="229"/>
      <c r="AX599" s="313"/>
      <c r="AY599" s="302"/>
      <c r="AZ599" s="14">
        <f t="shared" si="73"/>
        <v>10198.71502140387</v>
      </c>
      <c r="BA599" s="14">
        <f t="shared" si="72"/>
        <v>0.23591401096845122</v>
      </c>
      <c r="BB599" s="14">
        <f t="shared" si="61"/>
        <v>43230.645689660814</v>
      </c>
      <c r="BC599" s="302"/>
      <c r="BD599" s="302"/>
      <c r="BE599" s="302"/>
      <c r="BF599" s="302"/>
      <c r="BG599" s="302"/>
      <c r="BH599" s="302"/>
      <c r="BI599" s="302"/>
      <c r="BJ599" s="302"/>
      <c r="BK599" s="302"/>
      <c r="BL599" s="302"/>
      <c r="BM599" s="302"/>
      <c r="BN599" s="302"/>
      <c r="BO599" s="302"/>
      <c r="BP599" s="14"/>
      <c r="BQ599" s="14"/>
      <c r="BR599" s="14"/>
      <c r="BS599" s="14"/>
      <c r="BT599" s="14"/>
      <c r="BU599" s="14"/>
      <c r="BV599" s="14"/>
      <c r="BW599" s="14"/>
      <c r="BX599" s="14"/>
      <c r="BY599" s="14"/>
      <c r="BZ599" s="14"/>
      <c r="CA599" s="14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</row>
    <row r="600" spans="1:101" ht="14.25" customHeight="1" x14ac:dyDescent="0.2">
      <c r="A600" s="286"/>
      <c r="B600" s="52">
        <v>0.12898469160203321</v>
      </c>
      <c r="C600" s="288">
        <v>0.29740862590883632</v>
      </c>
      <c r="D600" s="288">
        <v>2.393163653726782E-2</v>
      </c>
      <c r="E600" s="288">
        <v>2.6113277860638884E-2</v>
      </c>
      <c r="F600" s="289">
        <v>0.77660015913433045</v>
      </c>
      <c r="G600" s="92">
        <v>0.42925944210918821</v>
      </c>
      <c r="H600" s="288">
        <v>0.4214532368106364</v>
      </c>
      <c r="I600" s="288">
        <v>2.4987368444715941E-2</v>
      </c>
      <c r="J600" s="288">
        <v>0.99996210333102875</v>
      </c>
      <c r="K600" s="288">
        <v>0.7713330263398015</v>
      </c>
      <c r="L600" s="290">
        <v>10499.040148724207</v>
      </c>
      <c r="M600" s="288">
        <v>0</v>
      </c>
      <c r="N600" s="288">
        <v>18619.48078517988</v>
      </c>
      <c r="O600" s="288">
        <v>2028.1894111760964</v>
      </c>
      <c r="P600" s="288">
        <v>51467.461467556459</v>
      </c>
      <c r="Q600" s="291">
        <v>82914.686393222175</v>
      </c>
      <c r="R600" s="288">
        <v>21875.907089804125</v>
      </c>
      <c r="S600" s="288">
        <v>6751.1465679967487</v>
      </c>
      <c r="T600" s="290">
        <v>0.751</v>
      </c>
      <c r="U600" s="288">
        <v>0.75800000000000001</v>
      </c>
      <c r="V600" s="288">
        <v>0.723923076923077</v>
      </c>
      <c r="W600" s="288">
        <v>0.72750000000000004</v>
      </c>
      <c r="X600" s="288">
        <v>0.76</v>
      </c>
      <c r="Y600" s="288">
        <v>0</v>
      </c>
      <c r="Z600" s="289">
        <v>0</v>
      </c>
      <c r="AA600" s="229"/>
      <c r="AB600" s="293">
        <v>63778.526978769471</v>
      </c>
      <c r="AC600" s="294">
        <v>3.1265855092618873</v>
      </c>
      <c r="AD600" s="295">
        <v>58365.866973993958</v>
      </c>
      <c r="AE600" s="294">
        <v>3.1067857784436694</v>
      </c>
      <c r="AF600" s="295">
        <v>5412.6600047755128</v>
      </c>
      <c r="AG600" s="296">
        <v>1.9799730818217842E-2</v>
      </c>
      <c r="AH600" s="229"/>
      <c r="AI600" s="205">
        <f t="shared" si="68"/>
        <v>248880.02394741925</v>
      </c>
      <c r="AJ600" s="205">
        <f t="shared" si="69"/>
        <v>252312.710870373</v>
      </c>
      <c r="AK600" s="205">
        <f t="shared" si="70"/>
        <v>-3432.6869229537288</v>
      </c>
      <c r="AL600" s="229"/>
      <c r="AM600" s="52">
        <f t="shared" si="58"/>
        <v>0</v>
      </c>
      <c r="AN600" s="52">
        <f t="shared" si="59"/>
        <v>1</v>
      </c>
      <c r="AO600" s="52">
        <f t="shared" si="60"/>
        <v>0</v>
      </c>
      <c r="AP600" s="229"/>
      <c r="AQ600" s="28"/>
      <c r="AR600" s="28"/>
      <c r="AS600" s="28"/>
      <c r="AT600" s="28"/>
      <c r="AU600" s="229"/>
      <c r="AV600" s="318">
        <f t="shared" si="71"/>
        <v>252312.710870373</v>
      </c>
      <c r="AW600" s="229"/>
      <c r="AX600" s="313"/>
      <c r="AY600" s="302"/>
      <c r="AZ600" s="14">
        <f t="shared" si="73"/>
        <v>5412.6600047755128</v>
      </c>
      <c r="BA600" s="14">
        <f t="shared" si="72"/>
        <v>1.9799730818217842E-2</v>
      </c>
      <c r="BB600" s="14">
        <f t="shared" si="61"/>
        <v>273370.38338901527</v>
      </c>
      <c r="BC600" s="302"/>
      <c r="BD600" s="302"/>
      <c r="BE600" s="302"/>
      <c r="BF600" s="302"/>
      <c r="BG600" s="302"/>
      <c r="BH600" s="302"/>
      <c r="BI600" s="302"/>
      <c r="BJ600" s="302"/>
      <c r="BK600" s="302"/>
      <c r="BL600" s="302"/>
      <c r="BM600" s="302"/>
      <c r="BN600" s="302"/>
      <c r="BO600" s="302"/>
      <c r="BP600" s="14"/>
      <c r="BQ600" s="14"/>
      <c r="BR600" s="14"/>
      <c r="BS600" s="14"/>
      <c r="BT600" s="14"/>
      <c r="BU600" s="14"/>
      <c r="BV600" s="14"/>
      <c r="BW600" s="14"/>
      <c r="BX600" s="14"/>
      <c r="BY600" s="14"/>
      <c r="BZ600" s="14"/>
      <c r="CA600" s="14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</row>
    <row r="601" spans="1:101" ht="14.25" customHeight="1" x14ac:dyDescent="0.2">
      <c r="A601" s="286"/>
      <c r="B601" s="52">
        <v>0.15267159348164594</v>
      </c>
      <c r="C601" s="288">
        <v>0.1506872598310583</v>
      </c>
      <c r="D601" s="288">
        <v>1.8720119095164578E-2</v>
      </c>
      <c r="E601" s="288">
        <v>2.7581947207462876E-2</v>
      </c>
      <c r="F601" s="289">
        <v>0.74671117147946986</v>
      </c>
      <c r="G601" s="92">
        <v>0.3803927902500267</v>
      </c>
      <c r="H601" s="288">
        <v>0.21111389697704816</v>
      </c>
      <c r="I601" s="288">
        <v>2.4866002771227087E-3</v>
      </c>
      <c r="J601" s="288">
        <v>0.99994547813257695</v>
      </c>
      <c r="K601" s="288">
        <v>0.75736950253233248</v>
      </c>
      <c r="L601" s="290">
        <v>15929.881028717213</v>
      </c>
      <c r="M601" s="288">
        <v>0</v>
      </c>
      <c r="N601" s="288">
        <v>14589.970102422518</v>
      </c>
      <c r="O601" s="288">
        <v>1345.4877084882696</v>
      </c>
      <c r="P601" s="288">
        <v>44982.216909320166</v>
      </c>
      <c r="Q601" s="291">
        <v>118782.247418706</v>
      </c>
      <c r="R601" s="288">
        <v>11720.669103123559</v>
      </c>
      <c r="S601" s="288">
        <v>8096.6831469991439</v>
      </c>
      <c r="T601" s="290">
        <v>0.751</v>
      </c>
      <c r="U601" s="288">
        <v>0.75800000000000001</v>
      </c>
      <c r="V601" s="288">
        <v>0.723923076923077</v>
      </c>
      <c r="W601" s="288">
        <v>0.72750000000000004</v>
      </c>
      <c r="X601" s="288">
        <v>0.76</v>
      </c>
      <c r="Y601" s="288">
        <v>0</v>
      </c>
      <c r="Z601" s="289">
        <v>0</v>
      </c>
      <c r="AA601" s="229"/>
      <c r="AB601" s="293">
        <v>76617.188048239768</v>
      </c>
      <c r="AC601" s="294">
        <v>2.9887494666917664</v>
      </c>
      <c r="AD601" s="295">
        <v>62768.402084887435</v>
      </c>
      <c r="AE601" s="294">
        <v>3.042208452046181</v>
      </c>
      <c r="AF601" s="295">
        <v>13848.785963352333</v>
      </c>
      <c r="AG601" s="296">
        <v>-5.3458985354414512E-2</v>
      </c>
      <c r="AH601" s="229"/>
      <c r="AI601" s="205">
        <f t="shared" si="68"/>
        <v>222257.75862093686</v>
      </c>
      <c r="AJ601" s="205">
        <f t="shared" si="69"/>
        <v>241452.44311973068</v>
      </c>
      <c r="AK601" s="205">
        <f t="shared" si="70"/>
        <v>-19194.684498793784</v>
      </c>
      <c r="AL601" s="229"/>
      <c r="AM601" s="52">
        <f t="shared" si="58"/>
        <v>0</v>
      </c>
      <c r="AN601" s="52">
        <f t="shared" si="59"/>
        <v>1</v>
      </c>
      <c r="AO601" s="52">
        <f t="shared" si="60"/>
        <v>0</v>
      </c>
      <c r="AP601" s="229"/>
      <c r="AQ601" s="28"/>
      <c r="AR601" s="28"/>
      <c r="AS601" s="28"/>
      <c r="AT601" s="28"/>
      <c r="AU601" s="229"/>
      <c r="AV601" s="318">
        <f t="shared" si="71"/>
        <v>241452.44311973068</v>
      </c>
      <c r="AW601" s="229"/>
      <c r="AX601" s="313"/>
      <c r="AY601" s="302"/>
      <c r="AZ601" s="14">
        <f t="shared" si="73"/>
        <v>13848.785963352333</v>
      </c>
      <c r="BA601" s="14">
        <f t="shared" si="72"/>
        <v>-5.3458985354414512E-2</v>
      </c>
      <c r="BB601" s="14">
        <f t="shared" si="61"/>
        <v>-259054.41099451645</v>
      </c>
      <c r="BC601" s="302"/>
      <c r="BD601" s="302"/>
      <c r="BE601" s="302"/>
      <c r="BF601" s="302"/>
      <c r="BG601" s="302"/>
      <c r="BH601" s="302"/>
      <c r="BI601" s="302"/>
      <c r="BJ601" s="302"/>
      <c r="BK601" s="302"/>
      <c r="BL601" s="302"/>
      <c r="BM601" s="302"/>
      <c r="BN601" s="302"/>
      <c r="BO601" s="302"/>
      <c r="BP601" s="14"/>
      <c r="BQ601" s="14"/>
      <c r="BR601" s="14"/>
      <c r="BS601" s="14"/>
      <c r="BT601" s="14"/>
      <c r="BU601" s="14"/>
      <c r="BV601" s="14"/>
      <c r="BW601" s="14"/>
      <c r="BX601" s="14"/>
      <c r="BY601" s="14"/>
      <c r="BZ601" s="14"/>
      <c r="CA601" s="14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</row>
    <row r="602" spans="1:101" ht="14.25" customHeight="1" x14ac:dyDescent="0.2">
      <c r="A602" s="286"/>
      <c r="B602" s="52">
        <v>0.18232210300254448</v>
      </c>
      <c r="C602" s="288">
        <v>8.1446042617519573E-2</v>
      </c>
      <c r="D602" s="288">
        <v>1.4285326988211774E-2</v>
      </c>
      <c r="E602" s="288">
        <v>1.9172697600249422E-2</v>
      </c>
      <c r="F602" s="289">
        <v>0.83096533011727147</v>
      </c>
      <c r="G602" s="92">
        <v>0.44467503755596782</v>
      </c>
      <c r="H602" s="288">
        <v>0.72692359151816821</v>
      </c>
      <c r="I602" s="288">
        <v>1.7455608702976355E-2</v>
      </c>
      <c r="J602" s="288">
        <v>1</v>
      </c>
      <c r="K602" s="288">
        <v>0.79479677644603142</v>
      </c>
      <c r="L602" s="290">
        <v>12048.292646759652</v>
      </c>
      <c r="M602" s="288">
        <v>0</v>
      </c>
      <c r="N602" s="288">
        <v>17577.534029298055</v>
      </c>
      <c r="O602" s="288">
        <v>1248.4867759382232</v>
      </c>
      <c r="P602" s="288">
        <v>30979.058771906177</v>
      </c>
      <c r="Q602" s="291">
        <v>69598.711438080514</v>
      </c>
      <c r="R602" s="288">
        <v>18934.275269424466</v>
      </c>
      <c r="S602" s="288">
        <v>10377.377084583894</v>
      </c>
      <c r="T602" s="290">
        <v>0.751</v>
      </c>
      <c r="U602" s="288">
        <v>0.75800000000000001</v>
      </c>
      <c r="V602" s="288">
        <v>0.723923076923077</v>
      </c>
      <c r="W602" s="288">
        <v>0.72750000000000004</v>
      </c>
      <c r="X602" s="288">
        <v>0.76</v>
      </c>
      <c r="Y602" s="288">
        <v>0</v>
      </c>
      <c r="Z602" s="289">
        <v>0</v>
      </c>
      <c r="AA602" s="229"/>
      <c r="AB602" s="293">
        <v>98130.570607420974</v>
      </c>
      <c r="AC602" s="294">
        <v>3.3808881589521116</v>
      </c>
      <c r="AD602" s="295">
        <v>89742.203480730197</v>
      </c>
      <c r="AE602" s="294">
        <v>3.2159910685425874</v>
      </c>
      <c r="AF602" s="295">
        <v>8388.3671266907768</v>
      </c>
      <c r="AG602" s="296">
        <v>0.16489709040952416</v>
      </c>
      <c r="AH602" s="229"/>
      <c r="AI602" s="205">
        <f t="shared" si="68"/>
        <v>239958.2452877902</v>
      </c>
      <c r="AJ602" s="205">
        <f t="shared" si="69"/>
        <v>231856.90337352856</v>
      </c>
      <c r="AK602" s="205">
        <f t="shared" si="70"/>
        <v>8101.3419142616403</v>
      </c>
      <c r="AL602" s="229"/>
      <c r="AM602" s="52">
        <f t="shared" si="58"/>
        <v>1</v>
      </c>
      <c r="AN602" s="52">
        <f t="shared" si="59"/>
        <v>0</v>
      </c>
      <c r="AO602" s="52">
        <f t="shared" si="60"/>
        <v>1</v>
      </c>
      <c r="AP602" s="229"/>
      <c r="AQ602" s="28"/>
      <c r="AR602" s="28"/>
      <c r="AS602" s="28"/>
      <c r="AT602" s="28"/>
      <c r="AU602" s="229"/>
      <c r="AV602" s="318">
        <f t="shared" si="71"/>
        <v>239958.2452877902</v>
      </c>
      <c r="AW602" s="229"/>
      <c r="AX602" s="313"/>
      <c r="AY602" s="302"/>
      <c r="AZ602" s="14">
        <f t="shared" si="73"/>
        <v>8388.3671266907768</v>
      </c>
      <c r="BA602" s="14">
        <f t="shared" si="72"/>
        <v>0.16489709040952416</v>
      </c>
      <c r="BB602" s="14">
        <f t="shared" si="61"/>
        <v>50870.316182402938</v>
      </c>
      <c r="BC602" s="302"/>
      <c r="BD602" s="302"/>
      <c r="BE602" s="302"/>
      <c r="BF602" s="302"/>
      <c r="BG602" s="302"/>
      <c r="BH602" s="302"/>
      <c r="BI602" s="302"/>
      <c r="BJ602" s="302"/>
      <c r="BK602" s="302"/>
      <c r="BL602" s="302"/>
      <c r="BM602" s="302"/>
      <c r="BN602" s="302"/>
      <c r="BO602" s="302"/>
      <c r="BP602" s="14"/>
      <c r="BQ602" s="14"/>
      <c r="BR602" s="14"/>
      <c r="BS602" s="14"/>
      <c r="BT602" s="14"/>
      <c r="BU602" s="14"/>
      <c r="BV602" s="14"/>
      <c r="BW602" s="14"/>
      <c r="BX602" s="14"/>
      <c r="BY602" s="14"/>
      <c r="BZ602" s="14"/>
      <c r="CA602" s="14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</row>
    <row r="603" spans="1:101" ht="14.25" customHeight="1" x14ac:dyDescent="0.2">
      <c r="A603" s="286"/>
      <c r="B603" s="52">
        <v>0.14479036574948742</v>
      </c>
      <c r="C603" s="288">
        <v>0.51346492682061762</v>
      </c>
      <c r="D603" s="288">
        <v>3.7442537942277811E-3</v>
      </c>
      <c r="E603" s="288">
        <v>1.0263662482779008E-2</v>
      </c>
      <c r="F603" s="289">
        <v>0.77815437096725426</v>
      </c>
      <c r="G603" s="92">
        <v>0.42990932641187263</v>
      </c>
      <c r="H603" s="288">
        <v>0.31921083249519028</v>
      </c>
      <c r="I603" s="288">
        <v>3.9831174586067442E-2</v>
      </c>
      <c r="J603" s="288">
        <v>0.99751280954666544</v>
      </c>
      <c r="K603" s="288">
        <v>0.74841927204275949</v>
      </c>
      <c r="L603" s="290">
        <v>11502.748763070978</v>
      </c>
      <c r="M603" s="288">
        <v>0</v>
      </c>
      <c r="N603" s="288">
        <v>17166.365902357866</v>
      </c>
      <c r="O603" s="288">
        <v>1314.051480249376</v>
      </c>
      <c r="P603" s="288">
        <v>30264.819497270993</v>
      </c>
      <c r="Q603" s="291">
        <v>51322.732941394628</v>
      </c>
      <c r="R603" s="288">
        <v>24114.308576529093</v>
      </c>
      <c r="S603" s="288">
        <v>6509.0280938043452</v>
      </c>
      <c r="T603" s="290">
        <v>0.751</v>
      </c>
      <c r="U603" s="288">
        <v>0.75800000000000001</v>
      </c>
      <c r="V603" s="288">
        <v>0.723923076923077</v>
      </c>
      <c r="W603" s="288">
        <v>0.72750000000000004</v>
      </c>
      <c r="X603" s="288">
        <v>0.76</v>
      </c>
      <c r="Y603" s="288">
        <v>0</v>
      </c>
      <c r="Z603" s="289">
        <v>0</v>
      </c>
      <c r="AA603" s="229"/>
      <c r="AB603" s="293">
        <v>63669.231971797548</v>
      </c>
      <c r="AC603" s="294">
        <v>3.133791237701085</v>
      </c>
      <c r="AD603" s="295">
        <v>54219.606892102711</v>
      </c>
      <c r="AE603" s="294">
        <v>3.0009778128091136</v>
      </c>
      <c r="AF603" s="295">
        <v>9449.625079694837</v>
      </c>
      <c r="AG603" s="296">
        <v>0.13281342489197145</v>
      </c>
      <c r="AH603" s="229"/>
      <c r="AI603" s="205">
        <f t="shared" si="68"/>
        <v>249709.89179831097</v>
      </c>
      <c r="AJ603" s="205">
        <f t="shared" si="69"/>
        <v>245878.17438880863</v>
      </c>
      <c r="AK603" s="205">
        <f t="shared" si="70"/>
        <v>3831.7174095023092</v>
      </c>
      <c r="AL603" s="229"/>
      <c r="AM603" s="52">
        <f t="shared" si="58"/>
        <v>1</v>
      </c>
      <c r="AN603" s="52">
        <f t="shared" si="59"/>
        <v>0</v>
      </c>
      <c r="AO603" s="52">
        <f t="shared" si="60"/>
        <v>1</v>
      </c>
      <c r="AP603" s="229"/>
      <c r="AQ603" s="28"/>
      <c r="AR603" s="28"/>
      <c r="AS603" s="28"/>
      <c r="AT603" s="28"/>
      <c r="AU603" s="229"/>
      <c r="AV603" s="318">
        <f t="shared" si="71"/>
        <v>249709.89179831097</v>
      </c>
      <c r="AW603" s="229"/>
      <c r="AX603" s="313"/>
      <c r="AY603" s="302"/>
      <c r="AZ603" s="14">
        <f t="shared" si="73"/>
        <v>9449.625079694837</v>
      </c>
      <c r="BA603" s="14">
        <f t="shared" si="72"/>
        <v>0.13281342489197145</v>
      </c>
      <c r="BB603" s="14">
        <f t="shared" si="61"/>
        <v>71149.62276879033</v>
      </c>
      <c r="BC603" s="302"/>
      <c r="BD603" s="302"/>
      <c r="BE603" s="302"/>
      <c r="BF603" s="302"/>
      <c r="BG603" s="302"/>
      <c r="BH603" s="302"/>
      <c r="BI603" s="302"/>
      <c r="BJ603" s="302"/>
      <c r="BK603" s="302"/>
      <c r="BL603" s="302"/>
      <c r="BM603" s="302"/>
      <c r="BN603" s="302"/>
      <c r="BO603" s="302"/>
      <c r="BP603" s="14"/>
      <c r="BQ603" s="14"/>
      <c r="BR603" s="14"/>
      <c r="BS603" s="14"/>
      <c r="BT603" s="14"/>
      <c r="BU603" s="14"/>
      <c r="BV603" s="14"/>
      <c r="BW603" s="14"/>
      <c r="BX603" s="14"/>
      <c r="BY603" s="14"/>
      <c r="BZ603" s="14"/>
      <c r="CA603" s="14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</row>
    <row r="604" spans="1:101" ht="14.25" customHeight="1" x14ac:dyDescent="0.2">
      <c r="A604" s="286"/>
      <c r="B604" s="52">
        <v>0.13779713201566723</v>
      </c>
      <c r="C604" s="288">
        <v>0.13297994344503727</v>
      </c>
      <c r="D604" s="288">
        <v>6.7213620273275116E-3</v>
      </c>
      <c r="E604" s="288">
        <v>1.049530359056954E-2</v>
      </c>
      <c r="F604" s="289">
        <v>0.79230436339633248</v>
      </c>
      <c r="G604" s="92">
        <v>0.42000943447507488</v>
      </c>
      <c r="H604" s="288">
        <v>0.7417539698419322</v>
      </c>
      <c r="I604" s="288">
        <v>1.7789629898322445E-2</v>
      </c>
      <c r="J604" s="288">
        <v>1.2006049160247204E-2</v>
      </c>
      <c r="K604" s="288">
        <v>0.7801482620212371</v>
      </c>
      <c r="L604" s="290">
        <v>11665.376677648588</v>
      </c>
      <c r="M604" s="288">
        <v>0</v>
      </c>
      <c r="N604" s="288">
        <v>12607.965998892849</v>
      </c>
      <c r="O604" s="288">
        <v>1347.9258012568525</v>
      </c>
      <c r="P604" s="288">
        <v>39015.58073127977</v>
      </c>
      <c r="Q604" s="291">
        <v>101451.68002280789</v>
      </c>
      <c r="R604" s="288">
        <v>29891.269496820954</v>
      </c>
      <c r="S604" s="288">
        <v>9257.5945532475325</v>
      </c>
      <c r="T604" s="290">
        <v>0.751</v>
      </c>
      <c r="U604" s="288">
        <v>0.75800000000000001</v>
      </c>
      <c r="V604" s="288">
        <v>0.723923076923077</v>
      </c>
      <c r="W604" s="288">
        <v>0.72750000000000004</v>
      </c>
      <c r="X604" s="288">
        <v>0.76</v>
      </c>
      <c r="Y604" s="288">
        <v>0</v>
      </c>
      <c r="Z604" s="289">
        <v>0</v>
      </c>
      <c r="AA604" s="229"/>
      <c r="AB604" s="293">
        <v>85124.92439227998</v>
      </c>
      <c r="AC604" s="294">
        <v>3.1995685376226293</v>
      </c>
      <c r="AD604" s="295">
        <v>82522.722010110418</v>
      </c>
      <c r="AE604" s="294">
        <v>3.1477119920313501</v>
      </c>
      <c r="AF604" s="295">
        <v>2602.202382169562</v>
      </c>
      <c r="AG604" s="296">
        <v>5.1856545591279168E-2</v>
      </c>
      <c r="AH604" s="229"/>
      <c r="AI604" s="205">
        <f t="shared" si="68"/>
        <v>234831.92936998291</v>
      </c>
      <c r="AJ604" s="205">
        <f t="shared" si="69"/>
        <v>232248.47719302462</v>
      </c>
      <c r="AK604" s="205">
        <f t="shared" si="70"/>
        <v>2583.4521769583544</v>
      </c>
      <c r="AL604" s="229"/>
      <c r="AM604" s="52">
        <f t="shared" si="58"/>
        <v>1</v>
      </c>
      <c r="AN604" s="52">
        <f t="shared" si="59"/>
        <v>0</v>
      </c>
      <c r="AO604" s="52">
        <f t="shared" si="60"/>
        <v>1</v>
      </c>
      <c r="AP604" s="229"/>
      <c r="AQ604" s="28"/>
      <c r="AR604" s="28"/>
      <c r="AS604" s="28"/>
      <c r="AT604" s="28"/>
      <c r="AU604" s="229"/>
      <c r="AV604" s="318">
        <f t="shared" si="71"/>
        <v>234831.92936998291</v>
      </c>
      <c r="AW604" s="229"/>
      <c r="AX604" s="313"/>
      <c r="AY604" s="302"/>
      <c r="AZ604" s="14">
        <f t="shared" si="73"/>
        <v>2602.202382169562</v>
      </c>
      <c r="BA604" s="14">
        <f t="shared" si="72"/>
        <v>5.1856545591279168E-2</v>
      </c>
      <c r="BB604" s="14">
        <f t="shared" si="61"/>
        <v>50180.78918483109</v>
      </c>
      <c r="BC604" s="302"/>
      <c r="BD604" s="302"/>
      <c r="BE604" s="302"/>
      <c r="BF604" s="302"/>
      <c r="BG604" s="302"/>
      <c r="BH604" s="302"/>
      <c r="BI604" s="302"/>
      <c r="BJ604" s="302"/>
      <c r="BK604" s="302"/>
      <c r="BL604" s="302"/>
      <c r="BM604" s="302"/>
      <c r="BN604" s="302"/>
      <c r="BO604" s="302"/>
      <c r="BP604" s="14"/>
      <c r="BQ604" s="14"/>
      <c r="BR604" s="14"/>
      <c r="BS604" s="14"/>
      <c r="BT604" s="14"/>
      <c r="BU604" s="14"/>
      <c r="BV604" s="14"/>
      <c r="BW604" s="14"/>
      <c r="BX604" s="14"/>
      <c r="BY604" s="14"/>
      <c r="BZ604" s="14"/>
      <c r="CA604" s="14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</row>
    <row r="605" spans="1:101" ht="14.25" customHeight="1" x14ac:dyDescent="0.2">
      <c r="A605" s="286"/>
      <c r="B605" s="52">
        <v>0.16771869884428092</v>
      </c>
      <c r="C605" s="288">
        <v>0.58084611981991874</v>
      </c>
      <c r="D605" s="288">
        <v>1.7798843370543938E-2</v>
      </c>
      <c r="E605" s="288">
        <v>1.8371196212143559E-2</v>
      </c>
      <c r="F605" s="289">
        <v>0.81283186377426409</v>
      </c>
      <c r="G605" s="92">
        <v>0.40372306889557796</v>
      </c>
      <c r="H605" s="288">
        <v>0.80817633084743923</v>
      </c>
      <c r="I605" s="288">
        <v>2.1855219884422961E-2</v>
      </c>
      <c r="J605" s="288">
        <v>0.99999999999999067</v>
      </c>
      <c r="K605" s="288">
        <v>0.73995792886299339</v>
      </c>
      <c r="L605" s="290">
        <v>15153.413867950603</v>
      </c>
      <c r="M605" s="288">
        <v>0</v>
      </c>
      <c r="N605" s="288">
        <v>21728.967184672583</v>
      </c>
      <c r="O605" s="288">
        <v>1074.6757826611849</v>
      </c>
      <c r="P605" s="288">
        <v>47560.970482985293</v>
      </c>
      <c r="Q605" s="291">
        <v>102743.24282070585</v>
      </c>
      <c r="R605" s="288">
        <v>20961.359417319181</v>
      </c>
      <c r="S605" s="288">
        <v>11834.514602185574</v>
      </c>
      <c r="T605" s="290">
        <v>0.751</v>
      </c>
      <c r="U605" s="288">
        <v>0.75800000000000001</v>
      </c>
      <c r="V605" s="288">
        <v>0.723923076923077</v>
      </c>
      <c r="W605" s="288">
        <v>0.72750000000000004</v>
      </c>
      <c r="X605" s="288">
        <v>0.76</v>
      </c>
      <c r="Y605" s="288">
        <v>0</v>
      </c>
      <c r="Z605" s="289">
        <v>0</v>
      </c>
      <c r="AA605" s="229"/>
      <c r="AB605" s="293">
        <v>112940.94117766173</v>
      </c>
      <c r="AC605" s="294">
        <v>3.2955504233281743</v>
      </c>
      <c r="AD605" s="295">
        <v>96070.259131360479</v>
      </c>
      <c r="AE605" s="294">
        <v>2.9621154203246869</v>
      </c>
      <c r="AF605" s="295">
        <v>16870.682046301255</v>
      </c>
      <c r="AG605" s="296">
        <v>0.33343500300348738</v>
      </c>
      <c r="AH605" s="229"/>
      <c r="AI605" s="205">
        <f t="shared" si="68"/>
        <v>216614.10115515572</v>
      </c>
      <c r="AJ605" s="205">
        <f t="shared" si="69"/>
        <v>200141.28290110824</v>
      </c>
      <c r="AK605" s="205">
        <f t="shared" si="70"/>
        <v>16472.818254047481</v>
      </c>
      <c r="AL605" s="229"/>
      <c r="AM605" s="52">
        <f t="shared" si="58"/>
        <v>1</v>
      </c>
      <c r="AN605" s="52">
        <f t="shared" si="59"/>
        <v>0</v>
      </c>
      <c r="AO605" s="52">
        <f t="shared" si="60"/>
        <v>1</v>
      </c>
      <c r="AP605" s="229"/>
      <c r="AQ605" s="28"/>
      <c r="AR605" s="28"/>
      <c r="AS605" s="28"/>
      <c r="AT605" s="28"/>
      <c r="AU605" s="229"/>
      <c r="AV605" s="318">
        <f t="shared" si="71"/>
        <v>216614.10115515572</v>
      </c>
      <c r="AW605" s="229"/>
      <c r="AX605" s="313"/>
      <c r="AY605" s="302"/>
      <c r="AZ605" s="14">
        <f t="shared" si="73"/>
        <v>16870.682046301255</v>
      </c>
      <c r="BA605" s="14">
        <f t="shared" si="72"/>
        <v>0.33343500300348738</v>
      </c>
      <c r="BB605" s="14">
        <f t="shared" si="61"/>
        <v>50596.613715821564</v>
      </c>
      <c r="BC605" s="302"/>
      <c r="BD605" s="302"/>
      <c r="BE605" s="302"/>
      <c r="BF605" s="302"/>
      <c r="BG605" s="302"/>
      <c r="BH605" s="302"/>
      <c r="BI605" s="302"/>
      <c r="BJ605" s="302"/>
      <c r="BK605" s="302"/>
      <c r="BL605" s="302"/>
      <c r="BM605" s="302"/>
      <c r="BN605" s="302"/>
      <c r="BO605" s="302"/>
      <c r="BP605" s="14"/>
      <c r="BQ605" s="14"/>
      <c r="BR605" s="14"/>
      <c r="BS605" s="14"/>
      <c r="BT605" s="14"/>
      <c r="BU605" s="14"/>
      <c r="BV605" s="14"/>
      <c r="BW605" s="14"/>
      <c r="BX605" s="14"/>
      <c r="BY605" s="14"/>
      <c r="BZ605" s="14"/>
      <c r="CA605" s="14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</row>
    <row r="606" spans="1:101" ht="14.25" customHeight="1" x14ac:dyDescent="0.2">
      <c r="A606" s="286"/>
      <c r="B606" s="52">
        <v>0.15473594748707858</v>
      </c>
      <c r="C606" s="288">
        <v>0.57632452879325324</v>
      </c>
      <c r="D606" s="288">
        <v>5.121953298224481E-3</v>
      </c>
      <c r="E606" s="288">
        <v>1.9034744529235481E-2</v>
      </c>
      <c r="F606" s="289">
        <v>0.75710457630393169</v>
      </c>
      <c r="G606" s="92">
        <v>0.41836294003311603</v>
      </c>
      <c r="H606" s="288">
        <v>0.41857121539027475</v>
      </c>
      <c r="I606" s="288">
        <v>2.5719630535100846E-2</v>
      </c>
      <c r="J606" s="288">
        <v>0.99868109462024657</v>
      </c>
      <c r="K606" s="288">
        <v>0.77418808283885088</v>
      </c>
      <c r="L606" s="290">
        <v>13594.958179012725</v>
      </c>
      <c r="M606" s="288">
        <v>0</v>
      </c>
      <c r="N606" s="288">
        <v>15337.920102863312</v>
      </c>
      <c r="O606" s="288">
        <v>1436.2720061441275</v>
      </c>
      <c r="P606" s="288">
        <v>49630.930819585781</v>
      </c>
      <c r="Q606" s="291">
        <v>110790.79003982476</v>
      </c>
      <c r="R606" s="288">
        <v>32075.214032439508</v>
      </c>
      <c r="S606" s="288">
        <v>11933.108482447376</v>
      </c>
      <c r="T606" s="290">
        <v>0.751</v>
      </c>
      <c r="U606" s="288">
        <v>0.75800000000000001</v>
      </c>
      <c r="V606" s="288">
        <v>0.723923076923077</v>
      </c>
      <c r="W606" s="288">
        <v>0.72750000000000004</v>
      </c>
      <c r="X606" s="288">
        <v>0.76</v>
      </c>
      <c r="Y606" s="288">
        <v>0</v>
      </c>
      <c r="Z606" s="289">
        <v>0</v>
      </c>
      <c r="AA606" s="229"/>
      <c r="AB606" s="293">
        <v>106229.69534359215</v>
      </c>
      <c r="AC606" s="294">
        <v>3.0365207788584936</v>
      </c>
      <c r="AD606" s="295">
        <v>100284.26700532832</v>
      </c>
      <c r="AE606" s="294">
        <v>3.1200274469604832</v>
      </c>
      <c r="AF606" s="295">
        <v>5945.4283382638241</v>
      </c>
      <c r="AG606" s="296">
        <v>-8.350666810198959E-2</v>
      </c>
      <c r="AH606" s="229"/>
      <c r="AI606" s="205">
        <f t="shared" si="68"/>
        <v>197422.3825422572</v>
      </c>
      <c r="AJ606" s="205">
        <f t="shared" si="69"/>
        <v>211718.47769072</v>
      </c>
      <c r="AK606" s="205">
        <f t="shared" si="70"/>
        <v>-14296.095148462784</v>
      </c>
      <c r="AL606" s="229"/>
      <c r="AM606" s="52">
        <f t="shared" si="58"/>
        <v>0</v>
      </c>
      <c r="AN606" s="52">
        <f t="shared" si="59"/>
        <v>1</v>
      </c>
      <c r="AO606" s="52">
        <f t="shared" si="60"/>
        <v>0</v>
      </c>
      <c r="AP606" s="229"/>
      <c r="AQ606" s="28"/>
      <c r="AR606" s="28"/>
      <c r="AS606" s="28"/>
      <c r="AT606" s="28"/>
      <c r="AU606" s="229"/>
      <c r="AV606" s="318">
        <f t="shared" si="71"/>
        <v>211718.47769072</v>
      </c>
      <c r="AW606" s="229"/>
      <c r="AX606" s="313"/>
      <c r="AY606" s="302"/>
      <c r="AZ606" s="14">
        <f t="shared" si="73"/>
        <v>5945.4283382638241</v>
      </c>
      <c r="BA606" s="14">
        <f t="shared" si="72"/>
        <v>-8.350666810198959E-2</v>
      </c>
      <c r="BB606" s="14">
        <f t="shared" si="61"/>
        <v>-71197.048971017095</v>
      </c>
      <c r="BC606" s="302"/>
      <c r="BD606" s="302"/>
      <c r="BE606" s="302"/>
      <c r="BF606" s="302"/>
      <c r="BG606" s="302"/>
      <c r="BH606" s="302"/>
      <c r="BI606" s="302"/>
      <c r="BJ606" s="302"/>
      <c r="BK606" s="302"/>
      <c r="BL606" s="302"/>
      <c r="BM606" s="302"/>
      <c r="BN606" s="302"/>
      <c r="BO606" s="302"/>
      <c r="BP606" s="14"/>
      <c r="BQ606" s="14"/>
      <c r="BR606" s="14"/>
      <c r="BS606" s="14"/>
      <c r="BT606" s="14"/>
      <c r="BU606" s="14"/>
      <c r="BV606" s="14"/>
      <c r="BW606" s="14"/>
      <c r="BX606" s="14"/>
      <c r="BY606" s="14"/>
      <c r="BZ606" s="14"/>
      <c r="CA606" s="14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</row>
    <row r="607" spans="1:101" ht="14.25" customHeight="1" x14ac:dyDescent="0.2">
      <c r="A607" s="286"/>
      <c r="B607" s="52">
        <v>0.14580102251414215</v>
      </c>
      <c r="C607" s="288">
        <v>0.7647315392516254</v>
      </c>
      <c r="D607" s="288">
        <v>1.1335405508434497E-2</v>
      </c>
      <c r="E607" s="288">
        <v>1.1066876211137753E-2</v>
      </c>
      <c r="F607" s="289">
        <v>0.79761225495001997</v>
      </c>
      <c r="G607" s="92">
        <v>0.41861427458934075</v>
      </c>
      <c r="H607" s="288">
        <v>0.51832642487485725</v>
      </c>
      <c r="I607" s="288">
        <v>2.3261028321398758E-2</v>
      </c>
      <c r="J607" s="288">
        <v>0.99999999697692343</v>
      </c>
      <c r="K607" s="288">
        <v>0.76559445378624991</v>
      </c>
      <c r="L607" s="290">
        <v>9878.397019046166</v>
      </c>
      <c r="M607" s="288">
        <v>0</v>
      </c>
      <c r="N607" s="288">
        <v>21696.559917547223</v>
      </c>
      <c r="O607" s="288">
        <v>1251.7015008162441</v>
      </c>
      <c r="P607" s="288">
        <v>41237.794456846881</v>
      </c>
      <c r="Q607" s="291">
        <v>85661.550002579839</v>
      </c>
      <c r="R607" s="288">
        <v>27075.818165097517</v>
      </c>
      <c r="S607" s="288">
        <v>9583.4812658329956</v>
      </c>
      <c r="T607" s="290">
        <v>0.751</v>
      </c>
      <c r="U607" s="288">
        <v>0.75800000000000001</v>
      </c>
      <c r="V607" s="288">
        <v>0.723923076923077</v>
      </c>
      <c r="W607" s="288">
        <v>0.72750000000000004</v>
      </c>
      <c r="X607" s="288">
        <v>0.76</v>
      </c>
      <c r="Y607" s="288">
        <v>0</v>
      </c>
      <c r="Z607" s="289">
        <v>0</v>
      </c>
      <c r="AA607" s="229"/>
      <c r="AB607" s="293">
        <v>88914.640706742095</v>
      </c>
      <c r="AC607" s="294">
        <v>3.2243236667813697</v>
      </c>
      <c r="AD607" s="295">
        <v>81072.584570928768</v>
      </c>
      <c r="AE607" s="294">
        <v>3.0802093133379276</v>
      </c>
      <c r="AF607" s="295">
        <v>7842.0561358133273</v>
      </c>
      <c r="AG607" s="296">
        <v>0.14411435344344214</v>
      </c>
      <c r="AH607" s="229"/>
      <c r="AI607" s="205">
        <f t="shared" si="68"/>
        <v>233517.72597139489</v>
      </c>
      <c r="AJ607" s="205">
        <f t="shared" si="69"/>
        <v>226948.34676286398</v>
      </c>
      <c r="AK607" s="205">
        <f t="shared" si="70"/>
        <v>6569.3792085308869</v>
      </c>
      <c r="AL607" s="229"/>
      <c r="AM607" s="52">
        <f t="shared" si="58"/>
        <v>1</v>
      </c>
      <c r="AN607" s="52">
        <f t="shared" si="59"/>
        <v>0</v>
      </c>
      <c r="AO607" s="52">
        <f t="shared" si="60"/>
        <v>1</v>
      </c>
      <c r="AP607" s="229"/>
      <c r="AQ607" s="28"/>
      <c r="AR607" s="28"/>
      <c r="AS607" s="28"/>
      <c r="AT607" s="28"/>
      <c r="AU607" s="229"/>
      <c r="AV607" s="318">
        <f t="shared" si="71"/>
        <v>233517.72597139489</v>
      </c>
      <c r="AW607" s="229"/>
      <c r="AX607" s="313"/>
      <c r="AY607" s="302"/>
      <c r="AZ607" s="14">
        <f t="shared" si="73"/>
        <v>7842.0561358133273</v>
      </c>
      <c r="BA607" s="14">
        <f t="shared" si="72"/>
        <v>0.14411435344344214</v>
      </c>
      <c r="BB607" s="14">
        <f t="shared" si="61"/>
        <v>54415.510658283958</v>
      </c>
      <c r="BC607" s="302"/>
      <c r="BD607" s="302"/>
      <c r="BE607" s="302"/>
      <c r="BF607" s="302"/>
      <c r="BG607" s="302"/>
      <c r="BH607" s="302"/>
      <c r="BI607" s="302"/>
      <c r="BJ607" s="302"/>
      <c r="BK607" s="302"/>
      <c r="BL607" s="302"/>
      <c r="BM607" s="302"/>
      <c r="BN607" s="302"/>
      <c r="BO607" s="302"/>
      <c r="BP607" s="14"/>
      <c r="BQ607" s="14"/>
      <c r="BR607" s="14"/>
      <c r="BS607" s="14"/>
      <c r="BT607" s="14"/>
      <c r="BU607" s="14"/>
      <c r="BV607" s="14"/>
      <c r="BW607" s="14"/>
      <c r="BX607" s="14"/>
      <c r="BY607" s="14"/>
      <c r="BZ607" s="14"/>
      <c r="CA607" s="14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</row>
    <row r="608" spans="1:101" ht="14.25" customHeight="1" x14ac:dyDescent="0.2">
      <c r="A608" s="286"/>
      <c r="B608" s="52">
        <v>0.17513396362821798</v>
      </c>
      <c r="C608" s="288">
        <v>0.29378255599777425</v>
      </c>
      <c r="D608" s="288">
        <v>1.6421462701277312E-2</v>
      </c>
      <c r="E608" s="288">
        <v>5.0637926038103647E-3</v>
      </c>
      <c r="F608" s="289">
        <v>0.76559719667357007</v>
      </c>
      <c r="G608" s="92">
        <v>0.39091312926707439</v>
      </c>
      <c r="H608" s="288">
        <v>0.33223919372897504</v>
      </c>
      <c r="I608" s="288">
        <v>1.5239788957948593E-2</v>
      </c>
      <c r="J608" s="288">
        <v>0.99999999999999989</v>
      </c>
      <c r="K608" s="288">
        <v>0.74416434309313673</v>
      </c>
      <c r="L608" s="290">
        <v>14040.510739565441</v>
      </c>
      <c r="M608" s="288">
        <v>0</v>
      </c>
      <c r="N608" s="288">
        <v>15682.066649988743</v>
      </c>
      <c r="O608" s="288">
        <v>1231.5144120809787</v>
      </c>
      <c r="P608" s="288">
        <v>60032.523795827045</v>
      </c>
      <c r="Q608" s="291">
        <v>97867.803391351888</v>
      </c>
      <c r="R608" s="288">
        <v>20517.376410962977</v>
      </c>
      <c r="S608" s="288">
        <v>10279.174371501003</v>
      </c>
      <c r="T608" s="290">
        <v>0.751</v>
      </c>
      <c r="U608" s="288">
        <v>0.75800000000000001</v>
      </c>
      <c r="V608" s="288">
        <v>0.723923076923077</v>
      </c>
      <c r="W608" s="288">
        <v>0.72750000000000004</v>
      </c>
      <c r="X608" s="288">
        <v>0.76</v>
      </c>
      <c r="Y608" s="288">
        <v>0</v>
      </c>
      <c r="Z608" s="289">
        <v>0</v>
      </c>
      <c r="AA608" s="229"/>
      <c r="AB608" s="293">
        <v>93522.490358453084</v>
      </c>
      <c r="AC608" s="294">
        <v>3.0756812834304039</v>
      </c>
      <c r="AD608" s="295">
        <v>80451.833410124163</v>
      </c>
      <c r="AE608" s="294">
        <v>2.9814210982534335</v>
      </c>
      <c r="AF608" s="295">
        <v>13070.65694832892</v>
      </c>
      <c r="AG608" s="296">
        <v>9.4260185176970435E-2</v>
      </c>
      <c r="AH608" s="229"/>
      <c r="AI608" s="205">
        <f t="shared" si="68"/>
        <v>214045.63798458735</v>
      </c>
      <c r="AJ608" s="205">
        <f t="shared" si="69"/>
        <v>217690.27641521918</v>
      </c>
      <c r="AK608" s="205">
        <f t="shared" si="70"/>
        <v>-3644.6384306318778</v>
      </c>
      <c r="AL608" s="229"/>
      <c r="AM608" s="52">
        <f t="shared" si="58"/>
        <v>0</v>
      </c>
      <c r="AN608" s="52">
        <f t="shared" si="59"/>
        <v>1</v>
      </c>
      <c r="AO608" s="52">
        <f t="shared" si="60"/>
        <v>0</v>
      </c>
      <c r="AP608" s="229"/>
      <c r="AQ608" s="28"/>
      <c r="AR608" s="28"/>
      <c r="AS608" s="28"/>
      <c r="AT608" s="28"/>
      <c r="AU608" s="229"/>
      <c r="AV608" s="318">
        <f t="shared" si="71"/>
        <v>217690.27641521918</v>
      </c>
      <c r="AW608" s="229"/>
      <c r="AX608" s="313"/>
      <c r="AY608" s="302"/>
      <c r="AZ608" s="14">
        <f t="shared" si="73"/>
        <v>13070.65694832892</v>
      </c>
      <c r="BA608" s="14">
        <f t="shared" si="72"/>
        <v>9.4260185176970435E-2</v>
      </c>
      <c r="BB608" s="14">
        <f t="shared" si="61"/>
        <v>138665.72534086567</v>
      </c>
      <c r="BC608" s="302"/>
      <c r="BD608" s="302"/>
      <c r="BE608" s="302"/>
      <c r="BF608" s="302"/>
      <c r="BG608" s="302"/>
      <c r="BH608" s="302"/>
      <c r="BI608" s="302"/>
      <c r="BJ608" s="302"/>
      <c r="BK608" s="302"/>
      <c r="BL608" s="302"/>
      <c r="BM608" s="302"/>
      <c r="BN608" s="302"/>
      <c r="BO608" s="302"/>
      <c r="BP608" s="14"/>
      <c r="BQ608" s="14"/>
      <c r="BR608" s="14"/>
      <c r="BS608" s="14"/>
      <c r="BT608" s="14"/>
      <c r="BU608" s="14"/>
      <c r="BV608" s="14"/>
      <c r="BW608" s="14"/>
      <c r="BX608" s="14"/>
      <c r="BY608" s="14"/>
      <c r="BZ608" s="14"/>
      <c r="CA608" s="14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</row>
    <row r="609" spans="1:101" ht="14.25" customHeight="1" x14ac:dyDescent="0.2">
      <c r="A609" s="286"/>
      <c r="B609" s="52">
        <v>0.17755386678386065</v>
      </c>
      <c r="C609" s="288">
        <v>0.3070569606090866</v>
      </c>
      <c r="D609" s="288">
        <v>1.358903644685203E-2</v>
      </c>
      <c r="E609" s="288">
        <v>1.2489373662436173E-2</v>
      </c>
      <c r="F609" s="289">
        <v>0.81181045741473323</v>
      </c>
      <c r="G609" s="92">
        <v>0.34904179292287385</v>
      </c>
      <c r="H609" s="288">
        <v>0.72799884111150304</v>
      </c>
      <c r="I609" s="288">
        <v>4.3177138449288166E-2</v>
      </c>
      <c r="J609" s="288">
        <v>0.68323882051101981</v>
      </c>
      <c r="K609" s="288">
        <v>0.77145042218347415</v>
      </c>
      <c r="L609" s="290">
        <v>10157.660778454281</v>
      </c>
      <c r="M609" s="288">
        <v>0</v>
      </c>
      <c r="N609" s="288">
        <v>25789.060353966142</v>
      </c>
      <c r="O609" s="288">
        <v>1471.4702004712608</v>
      </c>
      <c r="P609" s="288">
        <v>55548.766780497936</v>
      </c>
      <c r="Q609" s="291">
        <v>121814.5655780002</v>
      </c>
      <c r="R609" s="288">
        <v>27428.837507864118</v>
      </c>
      <c r="S609" s="288">
        <v>9587.9168503665005</v>
      </c>
      <c r="T609" s="290">
        <v>0.751</v>
      </c>
      <c r="U609" s="288">
        <v>0.75800000000000001</v>
      </c>
      <c r="V609" s="288">
        <v>0.723923076923077</v>
      </c>
      <c r="W609" s="288">
        <v>0.72750000000000004</v>
      </c>
      <c r="X609" s="288">
        <v>0.76</v>
      </c>
      <c r="Y609" s="288">
        <v>0</v>
      </c>
      <c r="Z609" s="289">
        <v>0</v>
      </c>
      <c r="AA609" s="229"/>
      <c r="AB609" s="293">
        <v>89285.831700655137</v>
      </c>
      <c r="AC609" s="294">
        <v>3.2907589362336753</v>
      </c>
      <c r="AD609" s="295">
        <v>83738.2197951298</v>
      </c>
      <c r="AE609" s="294">
        <v>3.1073300036366813</v>
      </c>
      <c r="AF609" s="295">
        <v>5547.6119055253366</v>
      </c>
      <c r="AG609" s="296">
        <v>0.183428932596994</v>
      </c>
      <c r="AH609" s="229"/>
      <c r="AI609" s="205">
        <f t="shared" si="68"/>
        <v>239790.0619227124</v>
      </c>
      <c r="AJ609" s="205">
        <f t="shared" si="69"/>
        <v>226994.78056853835</v>
      </c>
      <c r="AK609" s="205">
        <f t="shared" si="70"/>
        <v>12795.281354174062</v>
      </c>
      <c r="AL609" s="229"/>
      <c r="AM609" s="52">
        <f t="shared" si="58"/>
        <v>1</v>
      </c>
      <c r="AN609" s="52">
        <f t="shared" si="59"/>
        <v>0</v>
      </c>
      <c r="AO609" s="52">
        <f t="shared" si="60"/>
        <v>1</v>
      </c>
      <c r="AP609" s="229"/>
      <c r="AQ609" s="28"/>
      <c r="AR609" s="28"/>
      <c r="AS609" s="28"/>
      <c r="AT609" s="28"/>
      <c r="AU609" s="229"/>
      <c r="AV609" s="318">
        <f t="shared" si="71"/>
        <v>239790.0619227124</v>
      </c>
      <c r="AW609" s="229"/>
      <c r="AX609" s="313"/>
      <c r="AY609" s="302"/>
      <c r="AZ609" s="14">
        <f t="shared" si="73"/>
        <v>5547.6119055253366</v>
      </c>
      <c r="BA609" s="14">
        <f t="shared" si="72"/>
        <v>0.183428932596994</v>
      </c>
      <c r="BB609" s="14">
        <f t="shared" si="61"/>
        <v>30243.930589258904</v>
      </c>
      <c r="BC609" s="302"/>
      <c r="BD609" s="302"/>
      <c r="BE609" s="302"/>
      <c r="BF609" s="302"/>
      <c r="BG609" s="302"/>
      <c r="BH609" s="302"/>
      <c r="BI609" s="302"/>
      <c r="BJ609" s="302"/>
      <c r="BK609" s="302"/>
      <c r="BL609" s="302"/>
      <c r="BM609" s="302"/>
      <c r="BN609" s="302"/>
      <c r="BO609" s="302"/>
      <c r="BP609" s="14"/>
      <c r="BQ609" s="14"/>
      <c r="BR609" s="14"/>
      <c r="BS609" s="14"/>
      <c r="BT609" s="14"/>
      <c r="BU609" s="14"/>
      <c r="BV609" s="14"/>
      <c r="BW609" s="14"/>
      <c r="BX609" s="14"/>
      <c r="BY609" s="14"/>
      <c r="BZ609" s="14"/>
      <c r="CA609" s="14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</row>
    <row r="610" spans="1:101" ht="14.25" customHeight="1" x14ac:dyDescent="0.2">
      <c r="A610" s="286"/>
      <c r="B610" s="52">
        <v>0.14335226286999653</v>
      </c>
      <c r="C610" s="288">
        <v>0.22299319428794021</v>
      </c>
      <c r="D610" s="288">
        <v>2.5388011195399018E-2</v>
      </c>
      <c r="E610" s="288">
        <v>9.29880614699863E-3</v>
      </c>
      <c r="F610" s="289">
        <v>0.79299550461961832</v>
      </c>
      <c r="G610" s="92">
        <v>0.36599446735477709</v>
      </c>
      <c r="H610" s="288">
        <v>0.25225335318769304</v>
      </c>
      <c r="I610" s="288">
        <v>3.6629064877152129E-3</v>
      </c>
      <c r="J610" s="288">
        <v>0.43055442917573861</v>
      </c>
      <c r="K610" s="288">
        <v>0.74999456589182945</v>
      </c>
      <c r="L610" s="290">
        <v>12470.174433864491</v>
      </c>
      <c r="M610" s="288">
        <v>0</v>
      </c>
      <c r="N610" s="288">
        <v>19153.59950974907</v>
      </c>
      <c r="O610" s="288">
        <v>1173.1476435887701</v>
      </c>
      <c r="P610" s="288">
        <v>41612.491222886303</v>
      </c>
      <c r="Q610" s="291">
        <v>85538.230365756695</v>
      </c>
      <c r="R610" s="288">
        <v>31235.325775991816</v>
      </c>
      <c r="S610" s="288">
        <v>8736.7388401234602</v>
      </c>
      <c r="T610" s="290">
        <v>0.751</v>
      </c>
      <c r="U610" s="288">
        <v>0.75800000000000001</v>
      </c>
      <c r="V610" s="288">
        <v>0.723923076923077</v>
      </c>
      <c r="W610" s="288">
        <v>0.72750000000000004</v>
      </c>
      <c r="X610" s="288">
        <v>0.76</v>
      </c>
      <c r="Y610" s="288">
        <v>0</v>
      </c>
      <c r="Z610" s="289">
        <v>0</v>
      </c>
      <c r="AA610" s="229"/>
      <c r="AB610" s="293">
        <v>82555.16348550898</v>
      </c>
      <c r="AC610" s="294">
        <v>3.202789403681888</v>
      </c>
      <c r="AD610" s="295">
        <v>68800.250082616039</v>
      </c>
      <c r="AE610" s="294">
        <v>3.0082254945771227</v>
      </c>
      <c r="AF610" s="295">
        <v>13754.91340289294</v>
      </c>
      <c r="AG610" s="296">
        <v>0.19456390910476529</v>
      </c>
      <c r="AH610" s="229"/>
      <c r="AI610" s="205">
        <f t="shared" si="68"/>
        <v>237723.77688267978</v>
      </c>
      <c r="AJ610" s="205">
        <f t="shared" si="69"/>
        <v>232022.29937509622</v>
      </c>
      <c r="AK610" s="205">
        <f t="shared" si="70"/>
        <v>5701.4775075835896</v>
      </c>
      <c r="AL610" s="229"/>
      <c r="AM610" s="52">
        <f t="shared" si="58"/>
        <v>1</v>
      </c>
      <c r="AN610" s="52">
        <f t="shared" si="59"/>
        <v>0</v>
      </c>
      <c r="AO610" s="52">
        <f t="shared" si="60"/>
        <v>1</v>
      </c>
      <c r="AP610" s="229"/>
      <c r="AQ610" s="28"/>
      <c r="AR610" s="28"/>
      <c r="AS610" s="28"/>
      <c r="AT610" s="28"/>
      <c r="AU610" s="229"/>
      <c r="AV610" s="318">
        <f t="shared" si="71"/>
        <v>237723.77688267978</v>
      </c>
      <c r="AW610" s="229"/>
      <c r="AX610" s="313"/>
      <c r="AY610" s="302"/>
      <c r="AZ610" s="14">
        <f t="shared" si="73"/>
        <v>13754.91340289294</v>
      </c>
      <c r="BA610" s="14">
        <f t="shared" si="72"/>
        <v>0.19456390910476529</v>
      </c>
      <c r="BB610" s="14">
        <f t="shared" si="61"/>
        <v>70696.119676987175</v>
      </c>
      <c r="BC610" s="302"/>
      <c r="BD610" s="302"/>
      <c r="BE610" s="302"/>
      <c r="BF610" s="302"/>
      <c r="BG610" s="302"/>
      <c r="BH610" s="302"/>
      <c r="BI610" s="302"/>
      <c r="BJ610" s="302"/>
      <c r="BK610" s="302"/>
      <c r="BL610" s="302"/>
      <c r="BM610" s="302"/>
      <c r="BN610" s="302"/>
      <c r="BO610" s="302"/>
      <c r="BP610" s="14"/>
      <c r="BQ610" s="14"/>
      <c r="BR610" s="14"/>
      <c r="BS610" s="14"/>
      <c r="BT610" s="14"/>
      <c r="BU610" s="14"/>
      <c r="BV610" s="14"/>
      <c r="BW610" s="14"/>
      <c r="BX610" s="14"/>
      <c r="BY610" s="14"/>
      <c r="BZ610" s="14"/>
      <c r="CA610" s="14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</row>
    <row r="611" spans="1:101" ht="14.25" customHeight="1" x14ac:dyDescent="0.2">
      <c r="A611" s="286"/>
      <c r="B611" s="52">
        <v>0.11355159985108039</v>
      </c>
      <c r="C611" s="288">
        <v>0.35974814845659142</v>
      </c>
      <c r="D611" s="288">
        <v>1.7270351691288655E-2</v>
      </c>
      <c r="E611" s="288">
        <v>1.2801708606584751E-2</v>
      </c>
      <c r="F611" s="289">
        <v>0.74679639950322552</v>
      </c>
      <c r="G611" s="92">
        <v>0.38422332312826085</v>
      </c>
      <c r="H611" s="288">
        <v>0.56130259485874312</v>
      </c>
      <c r="I611" s="288">
        <v>9.4857794902747736E-3</v>
      </c>
      <c r="J611" s="288">
        <v>0.16993091829804005</v>
      </c>
      <c r="K611" s="288">
        <v>0.70303655554432398</v>
      </c>
      <c r="L611" s="290">
        <v>9996.6993860323346</v>
      </c>
      <c r="M611" s="288">
        <v>0</v>
      </c>
      <c r="N611" s="288">
        <v>21456.014480510705</v>
      </c>
      <c r="O611" s="288">
        <v>1097.7265052089776</v>
      </c>
      <c r="P611" s="288">
        <v>27413.569480465769</v>
      </c>
      <c r="Q611" s="291">
        <v>83398.693155339904</v>
      </c>
      <c r="R611" s="288">
        <v>25886.77208572115</v>
      </c>
      <c r="S611" s="288">
        <v>9521.5596526910194</v>
      </c>
      <c r="T611" s="290">
        <v>0.751</v>
      </c>
      <c r="U611" s="288">
        <v>0.75800000000000001</v>
      </c>
      <c r="V611" s="288">
        <v>0.723923076923077</v>
      </c>
      <c r="W611" s="288">
        <v>0.72750000000000004</v>
      </c>
      <c r="X611" s="288">
        <v>0.76</v>
      </c>
      <c r="Y611" s="288">
        <v>0</v>
      </c>
      <c r="Z611" s="289">
        <v>0</v>
      </c>
      <c r="AA611" s="229"/>
      <c r="AB611" s="293">
        <v>81755.450810090624</v>
      </c>
      <c r="AC611" s="294">
        <v>2.9891405121237278</v>
      </c>
      <c r="AD611" s="295">
        <v>73069.432609967509</v>
      </c>
      <c r="AE611" s="294">
        <v>2.7938585581448323</v>
      </c>
      <c r="AF611" s="295">
        <v>8686.0182001231151</v>
      </c>
      <c r="AG611" s="296">
        <v>0.19528195397889547</v>
      </c>
      <c r="AH611" s="229"/>
      <c r="AI611" s="205">
        <f t="shared" si="68"/>
        <v>217158.60040228214</v>
      </c>
      <c r="AJ611" s="205">
        <f t="shared" si="69"/>
        <v>206316.42320451574</v>
      </c>
      <c r="AK611" s="205">
        <f t="shared" si="70"/>
        <v>10842.177197766432</v>
      </c>
      <c r="AL611" s="229"/>
      <c r="AM611" s="52">
        <f t="shared" si="58"/>
        <v>1</v>
      </c>
      <c r="AN611" s="52">
        <f t="shared" si="59"/>
        <v>0</v>
      </c>
      <c r="AO611" s="52">
        <f t="shared" si="60"/>
        <v>1</v>
      </c>
      <c r="AP611" s="229"/>
      <c r="AQ611" s="28"/>
      <c r="AR611" s="28"/>
      <c r="AS611" s="28"/>
      <c r="AT611" s="28"/>
      <c r="AU611" s="229"/>
      <c r="AV611" s="318">
        <f t="shared" si="71"/>
        <v>217158.60040228214</v>
      </c>
      <c r="AW611" s="229"/>
      <c r="AX611" s="313"/>
      <c r="AY611" s="302"/>
      <c r="AZ611" s="14">
        <f t="shared" si="73"/>
        <v>8686.0182001231151</v>
      </c>
      <c r="BA611" s="14">
        <f t="shared" si="72"/>
        <v>0.19528195397889547</v>
      </c>
      <c r="BB611" s="14">
        <f t="shared" si="61"/>
        <v>44479.36956356874</v>
      </c>
      <c r="BC611" s="302"/>
      <c r="BD611" s="302"/>
      <c r="BE611" s="302"/>
      <c r="BF611" s="302"/>
      <c r="BG611" s="302"/>
      <c r="BH611" s="302"/>
      <c r="BI611" s="302"/>
      <c r="BJ611" s="302"/>
      <c r="BK611" s="302"/>
      <c r="BL611" s="302"/>
      <c r="BM611" s="302"/>
      <c r="BN611" s="302"/>
      <c r="BO611" s="302"/>
      <c r="BP611" s="14"/>
      <c r="BQ611" s="14"/>
      <c r="BR611" s="14"/>
      <c r="BS611" s="14"/>
      <c r="BT611" s="14"/>
      <c r="BU611" s="14"/>
      <c r="BV611" s="14"/>
      <c r="BW611" s="14"/>
      <c r="BX611" s="14"/>
      <c r="BY611" s="14"/>
      <c r="BZ611" s="14"/>
      <c r="CA611" s="14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</row>
    <row r="612" spans="1:101" ht="14.25" customHeight="1" x14ac:dyDescent="0.2">
      <c r="A612" s="286"/>
      <c r="B612" s="52">
        <v>0.16268680983228068</v>
      </c>
      <c r="C612" s="288">
        <v>0.14450663950260795</v>
      </c>
      <c r="D612" s="288">
        <v>1.5407240890468965E-2</v>
      </c>
      <c r="E612" s="288">
        <v>1.5682134691670013E-2</v>
      </c>
      <c r="F612" s="289">
        <v>0.77086323832663484</v>
      </c>
      <c r="G612" s="92">
        <v>0.41274232199657124</v>
      </c>
      <c r="H612" s="288">
        <v>0.34972703287696483</v>
      </c>
      <c r="I612" s="288">
        <v>8.3679582991160167E-3</v>
      </c>
      <c r="J612" s="288">
        <v>0.99999969264380306</v>
      </c>
      <c r="K612" s="288">
        <v>0.77180779943401845</v>
      </c>
      <c r="L612" s="290">
        <v>8512.4473684418954</v>
      </c>
      <c r="M612" s="288">
        <v>0</v>
      </c>
      <c r="N612" s="288">
        <v>13992.332737946761</v>
      </c>
      <c r="O612" s="288">
        <v>1153.2967140310807</v>
      </c>
      <c r="P612" s="288">
        <v>30127.176206631619</v>
      </c>
      <c r="Q612" s="291">
        <v>90323.427520144964</v>
      </c>
      <c r="R612" s="288">
        <v>26515.534234164676</v>
      </c>
      <c r="S612" s="288">
        <v>6703.4752324770116</v>
      </c>
      <c r="T612" s="290">
        <v>0.751</v>
      </c>
      <c r="U612" s="288">
        <v>0.75800000000000001</v>
      </c>
      <c r="V612" s="288">
        <v>0.723923076923077</v>
      </c>
      <c r="W612" s="288">
        <v>0.72750000000000004</v>
      </c>
      <c r="X612" s="288">
        <v>0.76</v>
      </c>
      <c r="Y612" s="288">
        <v>0</v>
      </c>
      <c r="Z612" s="289">
        <v>0</v>
      </c>
      <c r="AA612" s="229"/>
      <c r="AB612" s="293">
        <v>60721.261847576687</v>
      </c>
      <c r="AC612" s="294">
        <v>3.1000204632413895</v>
      </c>
      <c r="AD612" s="295">
        <v>56339.725465363648</v>
      </c>
      <c r="AE612" s="294">
        <v>3.1089868715092361</v>
      </c>
      <c r="AF612" s="295">
        <v>4381.5363822130385</v>
      </c>
      <c r="AG612" s="296">
        <v>-8.9664082678466706E-3</v>
      </c>
      <c r="AH612" s="229"/>
      <c r="AI612" s="205">
        <f t="shared" si="68"/>
        <v>249280.78447656226</v>
      </c>
      <c r="AJ612" s="205">
        <f t="shared" si="69"/>
        <v>254558.96168555995</v>
      </c>
      <c r="AK612" s="205">
        <f t="shared" si="70"/>
        <v>-5278.1772089977057</v>
      </c>
      <c r="AL612" s="229"/>
      <c r="AM612" s="52">
        <f t="shared" si="58"/>
        <v>0</v>
      </c>
      <c r="AN612" s="52">
        <f t="shared" si="59"/>
        <v>1</v>
      </c>
      <c r="AO612" s="52">
        <f t="shared" si="60"/>
        <v>0</v>
      </c>
      <c r="AP612" s="229"/>
      <c r="AQ612" s="28"/>
      <c r="AR612" s="28"/>
      <c r="AS612" s="28"/>
      <c r="AT612" s="28"/>
      <c r="AU612" s="229"/>
      <c r="AV612" s="318">
        <f t="shared" si="71"/>
        <v>254558.96168555995</v>
      </c>
      <c r="AW612" s="229"/>
      <c r="AX612" s="313"/>
      <c r="AY612" s="302"/>
      <c r="AZ612" s="14">
        <f t="shared" si="73"/>
        <v>4381.5363822130385</v>
      </c>
      <c r="BA612" s="14">
        <f t="shared" si="72"/>
        <v>-8.9664082678466706E-3</v>
      </c>
      <c r="BB612" s="14">
        <f t="shared" si="61"/>
        <v>-488661.26227211009</v>
      </c>
      <c r="BC612" s="302"/>
      <c r="BD612" s="302"/>
      <c r="BE612" s="302"/>
      <c r="BF612" s="302"/>
      <c r="BG612" s="302"/>
      <c r="BH612" s="302"/>
      <c r="BI612" s="302"/>
      <c r="BJ612" s="302"/>
      <c r="BK612" s="302"/>
      <c r="BL612" s="302"/>
      <c r="BM612" s="302"/>
      <c r="BN612" s="302"/>
      <c r="BO612" s="302"/>
      <c r="BP612" s="14"/>
      <c r="BQ612" s="14"/>
      <c r="BR612" s="14"/>
      <c r="BS612" s="14"/>
      <c r="BT612" s="14"/>
      <c r="BU612" s="14"/>
      <c r="BV612" s="14"/>
      <c r="BW612" s="14"/>
      <c r="BX612" s="14"/>
      <c r="BY612" s="14"/>
      <c r="BZ612" s="14"/>
      <c r="CA612" s="14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</row>
    <row r="613" spans="1:101" ht="14.25" customHeight="1" x14ac:dyDescent="0.2">
      <c r="A613" s="286"/>
      <c r="B613" s="52">
        <v>0.16378538701481227</v>
      </c>
      <c r="C613" s="288">
        <v>8.9252048873748602E-2</v>
      </c>
      <c r="D613" s="288">
        <v>4.5823798766919223E-3</v>
      </c>
      <c r="E613" s="288">
        <v>1.9140907527187556E-2</v>
      </c>
      <c r="F613" s="289">
        <v>0.81733043748263556</v>
      </c>
      <c r="G613" s="92">
        <v>0.34961878958526543</v>
      </c>
      <c r="H613" s="288">
        <v>0.73131547170533495</v>
      </c>
      <c r="I613" s="288">
        <v>3.1666687788595604E-2</v>
      </c>
      <c r="J613" s="288">
        <v>1</v>
      </c>
      <c r="K613" s="288">
        <v>0.74220154491953039</v>
      </c>
      <c r="L613" s="290">
        <v>9944.3309608330947</v>
      </c>
      <c r="M613" s="288">
        <v>0</v>
      </c>
      <c r="N613" s="288">
        <v>21424.648746222789</v>
      </c>
      <c r="O613" s="288">
        <v>1492.3383026629981</v>
      </c>
      <c r="P613" s="288">
        <v>35900.596304359089</v>
      </c>
      <c r="Q613" s="291">
        <v>92974.88900478289</v>
      </c>
      <c r="R613" s="288">
        <v>17321.185417419674</v>
      </c>
      <c r="S613" s="288">
        <v>9257.3744827583087</v>
      </c>
      <c r="T613" s="290">
        <v>0.751</v>
      </c>
      <c r="U613" s="288">
        <v>0.75800000000000001</v>
      </c>
      <c r="V613" s="288">
        <v>0.723923076923077</v>
      </c>
      <c r="W613" s="288">
        <v>0.72750000000000004</v>
      </c>
      <c r="X613" s="288">
        <v>0.76</v>
      </c>
      <c r="Y613" s="288">
        <v>0</v>
      </c>
      <c r="Z613" s="289">
        <v>0</v>
      </c>
      <c r="AA613" s="229"/>
      <c r="AB613" s="293">
        <v>85436.562228084411</v>
      </c>
      <c r="AC613" s="294">
        <v>3.3166730148118435</v>
      </c>
      <c r="AD613" s="295">
        <v>75004.209688606337</v>
      </c>
      <c r="AE613" s="294">
        <v>2.9724092067513141</v>
      </c>
      <c r="AF613" s="295">
        <v>10432.352539478074</v>
      </c>
      <c r="AG613" s="296">
        <v>0.34426380806052936</v>
      </c>
      <c r="AH613" s="229"/>
      <c r="AI613" s="205">
        <f t="shared" si="68"/>
        <v>246230.73925309995</v>
      </c>
      <c r="AJ613" s="205">
        <f t="shared" si="69"/>
        <v>222236.71098652511</v>
      </c>
      <c r="AK613" s="205">
        <f t="shared" si="70"/>
        <v>23994.02826657486</v>
      </c>
      <c r="AL613" s="229"/>
      <c r="AM613" s="52">
        <f t="shared" si="58"/>
        <v>1</v>
      </c>
      <c r="AN613" s="52">
        <f t="shared" si="59"/>
        <v>0</v>
      </c>
      <c r="AO613" s="52">
        <f t="shared" si="60"/>
        <v>1</v>
      </c>
      <c r="AP613" s="229"/>
      <c r="AQ613" s="28"/>
      <c r="AR613" s="28"/>
      <c r="AS613" s="28"/>
      <c r="AT613" s="28"/>
      <c r="AU613" s="229"/>
      <c r="AV613" s="318">
        <f t="shared" si="71"/>
        <v>246230.73925309995</v>
      </c>
      <c r="AW613" s="229"/>
      <c r="AX613" s="313"/>
      <c r="AY613" s="302"/>
      <c r="AZ613" s="14">
        <f t="shared" si="73"/>
        <v>10432.352539478074</v>
      </c>
      <c r="BA613" s="14">
        <f t="shared" si="72"/>
        <v>0.34426380806052936</v>
      </c>
      <c r="BB613" s="14">
        <f t="shared" si="61"/>
        <v>30303.367055196897</v>
      </c>
      <c r="BC613" s="302"/>
      <c r="BD613" s="302"/>
      <c r="BE613" s="302"/>
      <c r="BF613" s="302"/>
      <c r="BG613" s="302"/>
      <c r="BH613" s="302"/>
      <c r="BI613" s="302"/>
      <c r="BJ613" s="302"/>
      <c r="BK613" s="302"/>
      <c r="BL613" s="302"/>
      <c r="BM613" s="302"/>
      <c r="BN613" s="302"/>
      <c r="BO613" s="302"/>
      <c r="BP613" s="14"/>
      <c r="BQ613" s="14"/>
      <c r="BR613" s="14"/>
      <c r="BS613" s="14"/>
      <c r="BT613" s="14"/>
      <c r="BU613" s="14"/>
      <c r="BV613" s="14"/>
      <c r="BW613" s="14"/>
      <c r="BX613" s="14"/>
      <c r="BY613" s="14"/>
      <c r="BZ613" s="14"/>
      <c r="CA613" s="14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</row>
    <row r="614" spans="1:101" ht="14.25" customHeight="1" x14ac:dyDescent="0.2">
      <c r="A614" s="286"/>
      <c r="B614" s="52">
        <v>0.1305700478084057</v>
      </c>
      <c r="C614" s="288">
        <v>0.27468785897088177</v>
      </c>
      <c r="D614" s="288">
        <v>1.594206039337398E-2</v>
      </c>
      <c r="E614" s="288">
        <v>1.5643858492340956E-2</v>
      </c>
      <c r="F614" s="289">
        <v>0.79676081635179663</v>
      </c>
      <c r="G614" s="92">
        <v>0.3984999602945104</v>
      </c>
      <c r="H614" s="288">
        <v>0.33662004227781317</v>
      </c>
      <c r="I614" s="288">
        <v>1.7395033552734196E-2</v>
      </c>
      <c r="J614" s="288">
        <v>0.56356650523686025</v>
      </c>
      <c r="K614" s="288">
        <v>0.74448134926240916</v>
      </c>
      <c r="L614" s="290">
        <v>10604.66768467315</v>
      </c>
      <c r="M614" s="288">
        <v>0</v>
      </c>
      <c r="N614" s="288">
        <v>17618.703431784586</v>
      </c>
      <c r="O614" s="288">
        <v>1288.4434992835832</v>
      </c>
      <c r="P614" s="288">
        <v>57631.184744990234</v>
      </c>
      <c r="Q614" s="291">
        <v>130075.50999326697</v>
      </c>
      <c r="R614" s="288">
        <v>20289.99376967788</v>
      </c>
      <c r="S614" s="288">
        <v>10406.363781892527</v>
      </c>
      <c r="T614" s="290">
        <v>0.751</v>
      </c>
      <c r="U614" s="288">
        <v>0.75800000000000001</v>
      </c>
      <c r="V614" s="288">
        <v>0.723923076923077</v>
      </c>
      <c r="W614" s="288">
        <v>0.72750000000000004</v>
      </c>
      <c r="X614" s="288">
        <v>0.76</v>
      </c>
      <c r="Y614" s="288">
        <v>0</v>
      </c>
      <c r="Z614" s="289">
        <v>0</v>
      </c>
      <c r="AA614" s="229"/>
      <c r="AB614" s="293">
        <v>93877.472829922961</v>
      </c>
      <c r="AC614" s="294">
        <v>3.2203497220913144</v>
      </c>
      <c r="AD614" s="295">
        <v>81675.12503344439</v>
      </c>
      <c r="AE614" s="294">
        <v>2.9828771538105348</v>
      </c>
      <c r="AF614" s="295">
        <v>12202.347796478571</v>
      </c>
      <c r="AG614" s="296">
        <v>0.23747256828077967</v>
      </c>
      <c r="AH614" s="229"/>
      <c r="AI614" s="205">
        <f t="shared" si="68"/>
        <v>228157.49937920849</v>
      </c>
      <c r="AJ614" s="205">
        <f t="shared" si="69"/>
        <v>216612.59034760908</v>
      </c>
      <c r="AK614" s="205">
        <f t="shared" si="70"/>
        <v>11544.909031599396</v>
      </c>
      <c r="AL614" s="229"/>
      <c r="AM614" s="52">
        <f t="shared" si="58"/>
        <v>1</v>
      </c>
      <c r="AN614" s="52">
        <f t="shared" si="59"/>
        <v>0</v>
      </c>
      <c r="AO614" s="52">
        <f t="shared" si="60"/>
        <v>1</v>
      </c>
      <c r="AP614" s="229"/>
      <c r="AQ614" s="28"/>
      <c r="AR614" s="28"/>
      <c r="AS614" s="28"/>
      <c r="AT614" s="28"/>
      <c r="AU614" s="229"/>
      <c r="AV614" s="318">
        <f t="shared" si="71"/>
        <v>228157.49937920849</v>
      </c>
      <c r="AW614" s="229"/>
      <c r="AX614" s="313"/>
      <c r="AY614" s="302"/>
      <c r="AZ614" s="14">
        <f t="shared" si="73"/>
        <v>12202.347796478571</v>
      </c>
      <c r="BA614" s="14">
        <f t="shared" si="72"/>
        <v>0.23747256828077967</v>
      </c>
      <c r="BB614" s="14">
        <f t="shared" si="61"/>
        <v>51384.241492899171</v>
      </c>
      <c r="BC614" s="302"/>
      <c r="BD614" s="302"/>
      <c r="BE614" s="302"/>
      <c r="BF614" s="302"/>
      <c r="BG614" s="302"/>
      <c r="BH614" s="302"/>
      <c r="BI614" s="302"/>
      <c r="BJ614" s="302"/>
      <c r="BK614" s="302"/>
      <c r="BL614" s="302"/>
      <c r="BM614" s="302"/>
      <c r="BN614" s="302"/>
      <c r="BO614" s="302"/>
      <c r="BP614" s="14"/>
      <c r="BQ614" s="14"/>
      <c r="BR614" s="14"/>
      <c r="BS614" s="14"/>
      <c r="BT614" s="14"/>
      <c r="BU614" s="14"/>
      <c r="BV614" s="14"/>
      <c r="BW614" s="14"/>
      <c r="BX614" s="14"/>
      <c r="BY614" s="14"/>
      <c r="BZ614" s="14"/>
      <c r="CA614" s="14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</row>
    <row r="615" spans="1:101" ht="14.25" customHeight="1" x14ac:dyDescent="0.2">
      <c r="A615" s="286"/>
      <c r="B615" s="52">
        <v>0.17153470343846522</v>
      </c>
      <c r="C615" s="288">
        <v>0.33124189298409124</v>
      </c>
      <c r="D615" s="288">
        <v>2.1263543499489557E-2</v>
      </c>
      <c r="E615" s="288">
        <v>8.2487505426808282E-3</v>
      </c>
      <c r="F615" s="289">
        <v>0.77926417441054086</v>
      </c>
      <c r="G615" s="92">
        <v>0.35688367128157023</v>
      </c>
      <c r="H615" s="288">
        <v>0.42664741779994608</v>
      </c>
      <c r="I615" s="288">
        <v>1.7312729627032564E-2</v>
      </c>
      <c r="J615" s="288">
        <v>0.98794764386054401</v>
      </c>
      <c r="K615" s="288">
        <v>0.74926430882129658</v>
      </c>
      <c r="L615" s="290">
        <v>9127.9902802533979</v>
      </c>
      <c r="M615" s="288">
        <v>0</v>
      </c>
      <c r="N615" s="288">
        <v>12912.320564051604</v>
      </c>
      <c r="O615" s="288">
        <v>1450.5911835163124</v>
      </c>
      <c r="P615" s="288">
        <v>37241.61398444535</v>
      </c>
      <c r="Q615" s="291">
        <v>77825.566446088036</v>
      </c>
      <c r="R615" s="288">
        <v>34468.16401783724</v>
      </c>
      <c r="S615" s="288">
        <v>8224.8910179879385</v>
      </c>
      <c r="T615" s="290">
        <v>0.751</v>
      </c>
      <c r="U615" s="288">
        <v>0.75800000000000001</v>
      </c>
      <c r="V615" s="288">
        <v>0.723923076923077</v>
      </c>
      <c r="W615" s="288">
        <v>0.72750000000000004</v>
      </c>
      <c r="X615" s="288">
        <v>0.76</v>
      </c>
      <c r="Y615" s="288">
        <v>0</v>
      </c>
      <c r="Z615" s="289">
        <v>0</v>
      </c>
      <c r="AA615" s="229"/>
      <c r="AB615" s="293">
        <v>75087.995402667744</v>
      </c>
      <c r="AC615" s="294">
        <v>3.1389388924509118</v>
      </c>
      <c r="AD615" s="295">
        <v>67983.434522199925</v>
      </c>
      <c r="AE615" s="294">
        <v>3.0048652091300281</v>
      </c>
      <c r="AF615" s="295">
        <v>7104.5608804678195</v>
      </c>
      <c r="AG615" s="296">
        <v>0.13407368332088376</v>
      </c>
      <c r="AH615" s="229"/>
      <c r="AI615" s="205">
        <f t="shared" si="68"/>
        <v>238805.89384242345</v>
      </c>
      <c r="AJ615" s="205">
        <f t="shared" si="69"/>
        <v>232503.08639080287</v>
      </c>
      <c r="AK615" s="205">
        <f t="shared" si="70"/>
        <v>6302.8074516205561</v>
      </c>
      <c r="AL615" s="229"/>
      <c r="AM615" s="52">
        <f t="shared" si="58"/>
        <v>1</v>
      </c>
      <c r="AN615" s="52">
        <f t="shared" si="59"/>
        <v>0</v>
      </c>
      <c r="AO615" s="52">
        <f t="shared" si="60"/>
        <v>1</v>
      </c>
      <c r="AP615" s="229"/>
      <c r="AQ615" s="28"/>
      <c r="AR615" s="28"/>
      <c r="AS615" s="28"/>
      <c r="AT615" s="28"/>
      <c r="AU615" s="229"/>
      <c r="AV615" s="318">
        <f t="shared" si="71"/>
        <v>238805.89384242345</v>
      </c>
      <c r="AW615" s="229"/>
      <c r="AX615" s="313"/>
      <c r="AY615" s="302"/>
      <c r="AZ615" s="14">
        <f t="shared" si="73"/>
        <v>7104.5608804678195</v>
      </c>
      <c r="BA615" s="14">
        <f t="shared" si="72"/>
        <v>0.13407368332088376</v>
      </c>
      <c r="BB615" s="14">
        <f t="shared" si="61"/>
        <v>52989.97315874583</v>
      </c>
      <c r="BC615" s="302"/>
      <c r="BD615" s="302"/>
      <c r="BE615" s="302"/>
      <c r="BF615" s="302"/>
      <c r="BG615" s="302"/>
      <c r="BH615" s="302"/>
      <c r="BI615" s="302"/>
      <c r="BJ615" s="302"/>
      <c r="BK615" s="302"/>
      <c r="BL615" s="302"/>
      <c r="BM615" s="302"/>
      <c r="BN615" s="302"/>
      <c r="BO615" s="302"/>
      <c r="BP615" s="14"/>
      <c r="BQ615" s="14"/>
      <c r="BR615" s="14"/>
      <c r="BS615" s="14"/>
      <c r="BT615" s="14"/>
      <c r="BU615" s="14"/>
      <c r="BV615" s="14"/>
      <c r="BW615" s="14"/>
      <c r="BX615" s="14"/>
      <c r="BY615" s="14"/>
      <c r="BZ615" s="14"/>
      <c r="CA615" s="14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</row>
    <row r="616" spans="1:101" ht="14.25" customHeight="1" x14ac:dyDescent="0.2">
      <c r="A616" s="286"/>
      <c r="B616" s="52">
        <v>0.1231667248519018</v>
      </c>
      <c r="C616" s="288">
        <v>0.16554667717323843</v>
      </c>
      <c r="D616" s="288">
        <v>1.3098107008756946E-2</v>
      </c>
      <c r="E616" s="288">
        <v>1.2783802614937034E-2</v>
      </c>
      <c r="F616" s="289">
        <v>0.73946075188589844</v>
      </c>
      <c r="G616" s="92">
        <v>0.42781290830918328</v>
      </c>
      <c r="H616" s="288">
        <v>0.50945131447784009</v>
      </c>
      <c r="I616" s="288">
        <v>3.2056943658731796E-2</v>
      </c>
      <c r="J616" s="288">
        <v>0.99764816716331284</v>
      </c>
      <c r="K616" s="288">
        <v>0.76202790132436971</v>
      </c>
      <c r="L616" s="290">
        <v>11252.591335792433</v>
      </c>
      <c r="M616" s="288">
        <v>0</v>
      </c>
      <c r="N616" s="288">
        <v>18010.832328871449</v>
      </c>
      <c r="O616" s="288">
        <v>2002.0657117862681</v>
      </c>
      <c r="P616" s="288">
        <v>39362.300241269055</v>
      </c>
      <c r="Q616" s="291">
        <v>140383.7952885195</v>
      </c>
      <c r="R616" s="288">
        <v>18260.739122206862</v>
      </c>
      <c r="S616" s="288">
        <v>8303.0448386261505</v>
      </c>
      <c r="T616" s="290">
        <v>0.751</v>
      </c>
      <c r="U616" s="288">
        <v>0.75800000000000001</v>
      </c>
      <c r="V616" s="288">
        <v>0.723923076923077</v>
      </c>
      <c r="W616" s="288">
        <v>0.72750000000000004</v>
      </c>
      <c r="X616" s="288">
        <v>0.76</v>
      </c>
      <c r="Y616" s="288">
        <v>0</v>
      </c>
      <c r="Z616" s="289">
        <v>0</v>
      </c>
      <c r="AA616" s="229"/>
      <c r="AB616" s="293">
        <v>72896.984079444956</v>
      </c>
      <c r="AC616" s="294">
        <v>2.9555246147503769</v>
      </c>
      <c r="AD616" s="295">
        <v>70552.048832091969</v>
      </c>
      <c r="AE616" s="294">
        <v>3.0637180587743629</v>
      </c>
      <c r="AF616" s="295">
        <v>2344.9352473529871</v>
      </c>
      <c r="AG616" s="296">
        <v>-0.10819344402398601</v>
      </c>
      <c r="AH616" s="229"/>
      <c r="AI616" s="205">
        <f t="shared" si="68"/>
        <v>222655.47739559272</v>
      </c>
      <c r="AJ616" s="205">
        <f t="shared" si="69"/>
        <v>235819.75704534433</v>
      </c>
      <c r="AK616" s="205">
        <f t="shared" si="70"/>
        <v>-13164.279649751588</v>
      </c>
      <c r="AL616" s="229"/>
      <c r="AM616" s="52">
        <f t="shared" si="58"/>
        <v>0</v>
      </c>
      <c r="AN616" s="52">
        <f t="shared" si="59"/>
        <v>1</v>
      </c>
      <c r="AO616" s="52">
        <f t="shared" si="60"/>
        <v>0</v>
      </c>
      <c r="AP616" s="229"/>
      <c r="AQ616" s="28"/>
      <c r="AR616" s="28"/>
      <c r="AS616" s="28"/>
      <c r="AT616" s="28"/>
      <c r="AU616" s="229"/>
      <c r="AV616" s="318">
        <f t="shared" si="71"/>
        <v>235819.75704534433</v>
      </c>
      <c r="AW616" s="229"/>
      <c r="AX616" s="313"/>
      <c r="AY616" s="302"/>
      <c r="AZ616" s="14">
        <f t="shared" si="73"/>
        <v>2344.9352473529871</v>
      </c>
      <c r="BA616" s="14">
        <f t="shared" si="72"/>
        <v>-0.10819344402398601</v>
      </c>
      <c r="BB616" s="14">
        <f t="shared" si="61"/>
        <v>-21673.542870426838</v>
      </c>
      <c r="BC616" s="302"/>
      <c r="BD616" s="302"/>
      <c r="BE616" s="302"/>
      <c r="BF616" s="302"/>
      <c r="BG616" s="302"/>
      <c r="BH616" s="302"/>
      <c r="BI616" s="302"/>
      <c r="BJ616" s="302"/>
      <c r="BK616" s="302"/>
      <c r="BL616" s="302"/>
      <c r="BM616" s="302"/>
      <c r="BN616" s="302"/>
      <c r="BO616" s="302"/>
      <c r="BP616" s="14"/>
      <c r="BQ616" s="14"/>
      <c r="BR616" s="14"/>
      <c r="BS616" s="14"/>
      <c r="BT616" s="14"/>
      <c r="BU616" s="14"/>
      <c r="BV616" s="14"/>
      <c r="BW616" s="14"/>
      <c r="BX616" s="14"/>
      <c r="BY616" s="14"/>
      <c r="BZ616" s="14"/>
      <c r="CA616" s="14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</row>
    <row r="617" spans="1:101" ht="14.25" customHeight="1" x14ac:dyDescent="0.2">
      <c r="A617" s="286"/>
      <c r="B617" s="52">
        <v>0.15319710135296397</v>
      </c>
      <c r="C617" s="288">
        <v>0.7567468178464003</v>
      </c>
      <c r="D617" s="288">
        <v>6.9224795723996559E-3</v>
      </c>
      <c r="E617" s="288">
        <v>3.9214768165907543E-3</v>
      </c>
      <c r="F617" s="289">
        <v>0.7793994706012124</v>
      </c>
      <c r="G617" s="92">
        <v>0.38635242091735239</v>
      </c>
      <c r="H617" s="288">
        <v>0.56200696701271791</v>
      </c>
      <c r="I617" s="288">
        <v>1.0626978289823844E-2</v>
      </c>
      <c r="J617" s="288">
        <v>1</v>
      </c>
      <c r="K617" s="288">
        <v>0.7142452171108431</v>
      </c>
      <c r="L617" s="290">
        <v>8925.0705876306638</v>
      </c>
      <c r="M617" s="288">
        <v>0</v>
      </c>
      <c r="N617" s="288">
        <v>17564.179782458228</v>
      </c>
      <c r="O617" s="288">
        <v>1167.1061459014702</v>
      </c>
      <c r="P617" s="288">
        <v>51078.210678566247</v>
      </c>
      <c r="Q617" s="291">
        <v>100616.20329693386</v>
      </c>
      <c r="R617" s="288">
        <v>22034.016758285867</v>
      </c>
      <c r="S617" s="288">
        <v>10030.978615227241</v>
      </c>
      <c r="T617" s="290">
        <v>0.751</v>
      </c>
      <c r="U617" s="288">
        <v>0.75800000000000001</v>
      </c>
      <c r="V617" s="288">
        <v>0.723923076923077</v>
      </c>
      <c r="W617" s="288">
        <v>0.72750000000000004</v>
      </c>
      <c r="X617" s="288">
        <v>0.76</v>
      </c>
      <c r="Y617" s="288">
        <v>0</v>
      </c>
      <c r="Z617" s="289">
        <v>0</v>
      </c>
      <c r="AA617" s="229"/>
      <c r="AB617" s="293">
        <v>89182.74204584668</v>
      </c>
      <c r="AC617" s="294">
        <v>3.1395665753994204</v>
      </c>
      <c r="AD617" s="295">
        <v>77389.688369683281</v>
      </c>
      <c r="AE617" s="294">
        <v>2.8447111585405067</v>
      </c>
      <c r="AF617" s="295">
        <v>11793.053676163399</v>
      </c>
      <c r="AG617" s="296">
        <v>0.2948554168589137</v>
      </c>
      <c r="AH617" s="229"/>
      <c r="AI617" s="205">
        <f t="shared" si="68"/>
        <v>224773.91549409539</v>
      </c>
      <c r="AJ617" s="205">
        <f t="shared" si="69"/>
        <v>207081.42748436739</v>
      </c>
      <c r="AK617" s="205">
        <f t="shared" si="70"/>
        <v>17692.488009727971</v>
      </c>
      <c r="AL617" s="229"/>
      <c r="AM617" s="52">
        <f t="shared" si="58"/>
        <v>1</v>
      </c>
      <c r="AN617" s="52">
        <f t="shared" si="59"/>
        <v>0</v>
      </c>
      <c r="AO617" s="52">
        <f t="shared" si="60"/>
        <v>1</v>
      </c>
      <c r="AP617" s="229"/>
      <c r="AQ617" s="28"/>
      <c r="AR617" s="28"/>
      <c r="AS617" s="28"/>
      <c r="AT617" s="28"/>
      <c r="AU617" s="229"/>
      <c r="AV617" s="318">
        <f t="shared" si="71"/>
        <v>224773.91549409539</v>
      </c>
      <c r="AW617" s="229"/>
      <c r="AX617" s="313"/>
      <c r="AY617" s="302"/>
      <c r="AZ617" s="14">
        <f t="shared" si="73"/>
        <v>11793.053676163399</v>
      </c>
      <c r="BA617" s="14">
        <f t="shared" si="72"/>
        <v>0.2948554168589137</v>
      </c>
      <c r="BB617" s="14">
        <f t="shared" si="61"/>
        <v>39996.055700093493</v>
      </c>
      <c r="BC617" s="302"/>
      <c r="BD617" s="302"/>
      <c r="BE617" s="302"/>
      <c r="BF617" s="302"/>
      <c r="BG617" s="302"/>
      <c r="BH617" s="302"/>
      <c r="BI617" s="302"/>
      <c r="BJ617" s="302"/>
      <c r="BK617" s="302"/>
      <c r="BL617" s="302"/>
      <c r="BM617" s="302"/>
      <c r="BN617" s="302"/>
      <c r="BO617" s="302"/>
      <c r="BP617" s="14"/>
      <c r="BQ617" s="14"/>
      <c r="BR617" s="14"/>
      <c r="BS617" s="14"/>
      <c r="BT617" s="14"/>
      <c r="BU617" s="14"/>
      <c r="BV617" s="14"/>
      <c r="BW617" s="14"/>
      <c r="BX617" s="14"/>
      <c r="BY617" s="14"/>
      <c r="BZ617" s="14"/>
      <c r="CA617" s="14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</row>
    <row r="618" spans="1:101" ht="14.25" customHeight="1" x14ac:dyDescent="0.2">
      <c r="A618" s="286"/>
      <c r="B618" s="52">
        <v>0.14221818976172773</v>
      </c>
      <c r="C618" s="288">
        <v>0.44689223195628569</v>
      </c>
      <c r="D618" s="288">
        <v>2.9432961691151394E-2</v>
      </c>
      <c r="E618" s="288">
        <v>5.5092001286086685E-3</v>
      </c>
      <c r="F618" s="289">
        <v>0.77380960846003533</v>
      </c>
      <c r="G618" s="92">
        <v>0.45001467966901409</v>
      </c>
      <c r="H618" s="288">
        <v>0.59602213499902312</v>
      </c>
      <c r="I618" s="288">
        <v>2.3862479530537328E-2</v>
      </c>
      <c r="J618" s="288">
        <v>1</v>
      </c>
      <c r="K618" s="288">
        <v>0.76282752880622962</v>
      </c>
      <c r="L618" s="290">
        <v>12374.966930994127</v>
      </c>
      <c r="M618" s="288">
        <v>0</v>
      </c>
      <c r="N618" s="288">
        <v>19101.333460134756</v>
      </c>
      <c r="O618" s="288">
        <v>1192.2176276752748</v>
      </c>
      <c r="P618" s="288">
        <v>31214.21429215655</v>
      </c>
      <c r="Q618" s="291">
        <v>87451.968372528107</v>
      </c>
      <c r="R618" s="288">
        <v>21693.389024746812</v>
      </c>
      <c r="S618" s="288">
        <v>8992.258718570356</v>
      </c>
      <c r="T618" s="290">
        <v>0.751</v>
      </c>
      <c r="U618" s="288">
        <v>0.75800000000000001</v>
      </c>
      <c r="V618" s="288">
        <v>0.723923076923077</v>
      </c>
      <c r="W618" s="288">
        <v>0.72750000000000004</v>
      </c>
      <c r="X618" s="288">
        <v>0.76</v>
      </c>
      <c r="Y618" s="288">
        <v>0</v>
      </c>
      <c r="Z618" s="289">
        <v>0</v>
      </c>
      <c r="AA618" s="229"/>
      <c r="AB618" s="293">
        <v>83193.533945715069</v>
      </c>
      <c r="AC618" s="294">
        <v>3.1136573023354357</v>
      </c>
      <c r="AD618" s="295">
        <v>76199.99456625228</v>
      </c>
      <c r="AE618" s="294">
        <v>3.0674136839984349</v>
      </c>
      <c r="AF618" s="295">
        <v>6993.5393794627889</v>
      </c>
      <c r="AG618" s="296">
        <v>4.6243618337000747E-2</v>
      </c>
      <c r="AH618" s="229"/>
      <c r="AI618" s="205">
        <f t="shared" si="68"/>
        <v>228172.1962878285</v>
      </c>
      <c r="AJ618" s="205">
        <f t="shared" si="69"/>
        <v>230541.37383359123</v>
      </c>
      <c r="AK618" s="205">
        <f t="shared" si="70"/>
        <v>-2369.1775457627145</v>
      </c>
      <c r="AL618" s="229"/>
      <c r="AM618" s="52">
        <f t="shared" si="58"/>
        <v>0</v>
      </c>
      <c r="AN618" s="52">
        <f t="shared" si="59"/>
        <v>1</v>
      </c>
      <c r="AO618" s="52">
        <f t="shared" si="60"/>
        <v>0</v>
      </c>
      <c r="AP618" s="229"/>
      <c r="AQ618" s="28"/>
      <c r="AR618" s="28"/>
      <c r="AS618" s="28"/>
      <c r="AT618" s="28"/>
      <c r="AU618" s="229"/>
      <c r="AV618" s="318">
        <f t="shared" si="71"/>
        <v>230541.37383359123</v>
      </c>
      <c r="AW618" s="229"/>
      <c r="AX618" s="313"/>
      <c r="AY618" s="302"/>
      <c r="AZ618" s="14">
        <f t="shared" si="73"/>
        <v>6993.5393794627889</v>
      </c>
      <c r="BA618" s="14">
        <f t="shared" si="72"/>
        <v>4.6243618337000747E-2</v>
      </c>
      <c r="BB618" s="14">
        <f t="shared" si="61"/>
        <v>151232.52961083871</v>
      </c>
      <c r="BC618" s="302"/>
      <c r="BD618" s="302"/>
      <c r="BE618" s="302"/>
      <c r="BF618" s="302"/>
      <c r="BG618" s="302"/>
      <c r="BH618" s="302"/>
      <c r="BI618" s="302"/>
      <c r="BJ618" s="302"/>
      <c r="BK618" s="302"/>
      <c r="BL618" s="302"/>
      <c r="BM618" s="302"/>
      <c r="BN618" s="302"/>
      <c r="BO618" s="302"/>
      <c r="BP618" s="14"/>
      <c r="BQ618" s="14"/>
      <c r="BR618" s="14"/>
      <c r="BS618" s="14"/>
      <c r="BT618" s="14"/>
      <c r="BU618" s="14"/>
      <c r="BV618" s="14"/>
      <c r="BW618" s="14"/>
      <c r="BX618" s="14"/>
      <c r="BY618" s="14"/>
      <c r="BZ618" s="14"/>
      <c r="CA618" s="14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</row>
    <row r="619" spans="1:101" ht="14.25" customHeight="1" x14ac:dyDescent="0.2">
      <c r="A619" s="286"/>
      <c r="B619" s="52">
        <v>0.14352392801983335</v>
      </c>
      <c r="C619" s="288">
        <v>0.52137536485226432</v>
      </c>
      <c r="D619" s="288">
        <v>1.2588293084256534E-2</v>
      </c>
      <c r="E619" s="288">
        <v>1.8461462043152466E-2</v>
      </c>
      <c r="F619" s="289">
        <v>0.80092659149053502</v>
      </c>
      <c r="G619" s="92">
        <v>0.45170636842810374</v>
      </c>
      <c r="H619" s="288">
        <v>0.31975442518855107</v>
      </c>
      <c r="I619" s="288">
        <v>1.3103115369094894E-2</v>
      </c>
      <c r="J619" s="288">
        <v>1</v>
      </c>
      <c r="K619" s="288">
        <v>0.76905052032966781</v>
      </c>
      <c r="L619" s="290">
        <v>10467.45682463009</v>
      </c>
      <c r="M619" s="288">
        <v>0</v>
      </c>
      <c r="N619" s="288">
        <v>15365.173603425857</v>
      </c>
      <c r="O619" s="288">
        <v>818.57526581028424</v>
      </c>
      <c r="P619" s="288">
        <v>46726.23493687906</v>
      </c>
      <c r="Q619" s="291">
        <v>90106.181478380386</v>
      </c>
      <c r="R619" s="288">
        <v>23421.111799438499</v>
      </c>
      <c r="S619" s="288">
        <v>6887.9905734331023</v>
      </c>
      <c r="T619" s="290">
        <v>0.751</v>
      </c>
      <c r="U619" s="288">
        <v>0.75800000000000001</v>
      </c>
      <c r="V619" s="288">
        <v>0.723923076923077</v>
      </c>
      <c r="W619" s="288">
        <v>0.72750000000000004</v>
      </c>
      <c r="X619" s="288">
        <v>0.76</v>
      </c>
      <c r="Y619" s="288">
        <v>0</v>
      </c>
      <c r="Z619" s="289">
        <v>0</v>
      </c>
      <c r="AA619" s="229"/>
      <c r="AB619" s="293">
        <v>67131.088018498893</v>
      </c>
      <c r="AC619" s="294">
        <v>3.2398035962483545</v>
      </c>
      <c r="AD619" s="295">
        <v>57502.750884397828</v>
      </c>
      <c r="AE619" s="294">
        <v>3.0962088243057115</v>
      </c>
      <c r="AF619" s="295">
        <v>9628.3371341010643</v>
      </c>
      <c r="AG619" s="296">
        <v>0.14359477194264292</v>
      </c>
      <c r="AH619" s="229"/>
      <c r="AI619" s="205">
        <f t="shared" si="68"/>
        <v>256849.27160633652</v>
      </c>
      <c r="AJ619" s="205">
        <f t="shared" si="69"/>
        <v>252118.1315461733</v>
      </c>
      <c r="AK619" s="205">
        <f t="shared" si="70"/>
        <v>4731.1400601632267</v>
      </c>
      <c r="AL619" s="229"/>
      <c r="AM619" s="52">
        <f t="shared" si="58"/>
        <v>1</v>
      </c>
      <c r="AN619" s="52">
        <f t="shared" si="59"/>
        <v>0</v>
      </c>
      <c r="AO619" s="52">
        <f t="shared" si="60"/>
        <v>1</v>
      </c>
      <c r="AP619" s="229"/>
      <c r="AQ619" s="28"/>
      <c r="AR619" s="28"/>
      <c r="AS619" s="28"/>
      <c r="AT619" s="28"/>
      <c r="AU619" s="229"/>
      <c r="AV619" s="318">
        <f t="shared" si="71"/>
        <v>256849.27160633652</v>
      </c>
      <c r="AW619" s="229"/>
      <c r="AX619" s="313"/>
      <c r="AY619" s="302"/>
      <c r="AZ619" s="14">
        <f t="shared" si="73"/>
        <v>9628.3371341010643</v>
      </c>
      <c r="BA619" s="14">
        <f t="shared" si="72"/>
        <v>0.14359477194264292</v>
      </c>
      <c r="BB619" s="14">
        <f t="shared" si="61"/>
        <v>67052.142663989041</v>
      </c>
      <c r="BC619" s="302"/>
      <c r="BD619" s="302"/>
      <c r="BE619" s="302"/>
      <c r="BF619" s="302"/>
      <c r="BG619" s="302"/>
      <c r="BH619" s="302"/>
      <c r="BI619" s="302"/>
      <c r="BJ619" s="302"/>
      <c r="BK619" s="302"/>
      <c r="BL619" s="302"/>
      <c r="BM619" s="302"/>
      <c r="BN619" s="302"/>
      <c r="BO619" s="302"/>
      <c r="BP619" s="14"/>
      <c r="BQ619" s="14"/>
      <c r="BR619" s="14"/>
      <c r="BS619" s="14"/>
      <c r="BT619" s="14"/>
      <c r="BU619" s="14"/>
      <c r="BV619" s="14"/>
      <c r="BW619" s="14"/>
      <c r="BX619" s="14"/>
      <c r="BY619" s="14"/>
      <c r="BZ619" s="14"/>
      <c r="CA619" s="14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</row>
    <row r="620" spans="1:101" ht="14.25" customHeight="1" x14ac:dyDescent="0.2">
      <c r="A620" s="286"/>
      <c r="B620" s="52">
        <v>0.1819890565398834</v>
      </c>
      <c r="C620" s="288">
        <v>0.2562598279154128</v>
      </c>
      <c r="D620" s="288">
        <v>2.8029589339204852E-2</v>
      </c>
      <c r="E620" s="288">
        <v>1.0156047132158947E-2</v>
      </c>
      <c r="F620" s="289">
        <v>0.82412639956306166</v>
      </c>
      <c r="G620" s="92">
        <v>0.41834214244321988</v>
      </c>
      <c r="H620" s="288">
        <v>0.56075022719855083</v>
      </c>
      <c r="I620" s="288">
        <v>1.2954834374609359E-2</v>
      </c>
      <c r="J620" s="288">
        <v>0.99997951971149901</v>
      </c>
      <c r="K620" s="288">
        <v>0.77582524095928718</v>
      </c>
      <c r="L620" s="290">
        <v>11942.922953583042</v>
      </c>
      <c r="M620" s="288">
        <v>0</v>
      </c>
      <c r="N620" s="288">
        <v>19190.897894956724</v>
      </c>
      <c r="O620" s="288">
        <v>1523.6889645054212</v>
      </c>
      <c r="P620" s="288">
        <v>58956.863449046788</v>
      </c>
      <c r="Q620" s="291">
        <v>90966.247774182964</v>
      </c>
      <c r="R620" s="288">
        <v>14224.116497833964</v>
      </c>
      <c r="S620" s="288">
        <v>10358.353942321923</v>
      </c>
      <c r="T620" s="290">
        <v>0.751</v>
      </c>
      <c r="U620" s="288">
        <v>0.75800000000000001</v>
      </c>
      <c r="V620" s="288">
        <v>0.723923076923077</v>
      </c>
      <c r="W620" s="288">
        <v>0.72750000000000004</v>
      </c>
      <c r="X620" s="288">
        <v>0.76</v>
      </c>
      <c r="Y620" s="288">
        <v>0</v>
      </c>
      <c r="Z620" s="289">
        <v>0</v>
      </c>
      <c r="AA620" s="229"/>
      <c r="AB620" s="293">
        <v>97883.437009677844</v>
      </c>
      <c r="AC620" s="294">
        <v>3.3486429546443723</v>
      </c>
      <c r="AD620" s="295">
        <v>85001.285302136675</v>
      </c>
      <c r="AE620" s="294">
        <v>3.1276263346656097</v>
      </c>
      <c r="AF620" s="295">
        <v>12882.151707541168</v>
      </c>
      <c r="AG620" s="296">
        <v>0.22101661997876265</v>
      </c>
      <c r="AH620" s="229"/>
      <c r="AI620" s="205">
        <f t="shared" si="68"/>
        <v>236980.85845475938</v>
      </c>
      <c r="AJ620" s="205">
        <f t="shared" si="69"/>
        <v>227761.3481644243</v>
      </c>
      <c r="AK620" s="205">
        <f t="shared" si="70"/>
        <v>9219.5102903350962</v>
      </c>
      <c r="AL620" s="229"/>
      <c r="AM620" s="52">
        <f t="shared" si="58"/>
        <v>1</v>
      </c>
      <c r="AN620" s="52">
        <f t="shared" si="59"/>
        <v>0</v>
      </c>
      <c r="AO620" s="52">
        <f t="shared" si="60"/>
        <v>1</v>
      </c>
      <c r="AP620" s="229"/>
      <c r="AQ620" s="28"/>
      <c r="AR620" s="28"/>
      <c r="AS620" s="28"/>
      <c r="AT620" s="28"/>
      <c r="AU620" s="229"/>
      <c r="AV620" s="318">
        <f t="shared" si="71"/>
        <v>236980.85845475938</v>
      </c>
      <c r="AW620" s="229"/>
      <c r="AX620" s="313"/>
      <c r="AY620" s="302"/>
      <c r="AZ620" s="14">
        <f t="shared" si="73"/>
        <v>12882.151707541168</v>
      </c>
      <c r="BA620" s="14">
        <f t="shared" si="72"/>
        <v>0.22101661997876265</v>
      </c>
      <c r="BB620" s="14">
        <f t="shared" si="61"/>
        <v>58285.895914881905</v>
      </c>
      <c r="BC620" s="302"/>
      <c r="BD620" s="302"/>
      <c r="BE620" s="302"/>
      <c r="BF620" s="302"/>
      <c r="BG620" s="302"/>
      <c r="BH620" s="302"/>
      <c r="BI620" s="302"/>
      <c r="BJ620" s="302"/>
      <c r="BK620" s="302"/>
      <c r="BL620" s="302"/>
      <c r="BM620" s="302"/>
      <c r="BN620" s="302"/>
      <c r="BO620" s="302"/>
      <c r="BP620" s="14"/>
      <c r="BQ620" s="14"/>
      <c r="BR620" s="14"/>
      <c r="BS620" s="14"/>
      <c r="BT620" s="14"/>
      <c r="BU620" s="14"/>
      <c r="BV620" s="14"/>
      <c r="BW620" s="14"/>
      <c r="BX620" s="14"/>
      <c r="BY620" s="14"/>
      <c r="BZ620" s="14"/>
      <c r="CA620" s="14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</row>
    <row r="621" spans="1:101" ht="14.25" customHeight="1" x14ac:dyDescent="0.2">
      <c r="A621" s="286"/>
      <c r="B621" s="52">
        <v>0.14334283375492626</v>
      </c>
      <c r="C621" s="288">
        <v>0.83769688668830988</v>
      </c>
      <c r="D621" s="288">
        <v>2.168185930669686E-2</v>
      </c>
      <c r="E621" s="288">
        <v>2.3574989543509117E-2</v>
      </c>
      <c r="F621" s="289">
        <v>0.80105613329736336</v>
      </c>
      <c r="G621" s="92">
        <v>0.35945552340898723</v>
      </c>
      <c r="H621" s="288">
        <v>0.84143448974731561</v>
      </c>
      <c r="I621" s="288">
        <v>2.3109527817295694E-2</v>
      </c>
      <c r="J621" s="288">
        <v>0.99949238587216438</v>
      </c>
      <c r="K621" s="288">
        <v>0.78714537258939266</v>
      </c>
      <c r="L621" s="290">
        <v>10873.523282598127</v>
      </c>
      <c r="M621" s="288">
        <v>0</v>
      </c>
      <c r="N621" s="288">
        <v>25810.769649616464</v>
      </c>
      <c r="O621" s="288">
        <v>1224.5799930670003</v>
      </c>
      <c r="P621" s="288">
        <v>46654.807372896321</v>
      </c>
      <c r="Q621" s="291">
        <v>123949.99109577441</v>
      </c>
      <c r="R621" s="288">
        <v>27323.949485625617</v>
      </c>
      <c r="S621" s="288">
        <v>7491.3412566541592</v>
      </c>
      <c r="T621" s="290">
        <v>0.751</v>
      </c>
      <c r="U621" s="288">
        <v>0.75800000000000001</v>
      </c>
      <c r="V621" s="288">
        <v>0.723923076923077</v>
      </c>
      <c r="W621" s="288">
        <v>0.72750000000000004</v>
      </c>
      <c r="X621" s="288">
        <v>0.76</v>
      </c>
      <c r="Y621" s="288">
        <v>0</v>
      </c>
      <c r="Z621" s="289">
        <v>0</v>
      </c>
      <c r="AA621" s="229"/>
      <c r="AB621" s="293">
        <v>74144.064019602345</v>
      </c>
      <c r="AC621" s="294">
        <v>3.240408983664512</v>
      </c>
      <c r="AD621" s="295">
        <v>69134.928683638092</v>
      </c>
      <c r="AE621" s="294">
        <v>3.1802844528634093</v>
      </c>
      <c r="AF621" s="295">
        <v>5009.1353359642526</v>
      </c>
      <c r="AG621" s="296">
        <v>6.0124530801102694E-2</v>
      </c>
      <c r="AH621" s="229"/>
      <c r="AI621" s="205">
        <f t="shared" si="68"/>
        <v>249896.83434684886</v>
      </c>
      <c r="AJ621" s="205">
        <f t="shared" si="69"/>
        <v>248893.51660270285</v>
      </c>
      <c r="AK621" s="205">
        <f t="shared" si="70"/>
        <v>1003.3177441460166</v>
      </c>
      <c r="AL621" s="229"/>
      <c r="AM621" s="52">
        <f t="shared" si="58"/>
        <v>1</v>
      </c>
      <c r="AN621" s="52">
        <f t="shared" si="59"/>
        <v>0</v>
      </c>
      <c r="AO621" s="52">
        <f t="shared" si="60"/>
        <v>1</v>
      </c>
      <c r="AP621" s="229"/>
      <c r="AQ621" s="28"/>
      <c r="AR621" s="28"/>
      <c r="AS621" s="28"/>
      <c r="AT621" s="28"/>
      <c r="AU621" s="229"/>
      <c r="AV621" s="318">
        <f t="shared" si="71"/>
        <v>249896.83434684886</v>
      </c>
      <c r="AW621" s="229"/>
      <c r="AX621" s="313"/>
      <c r="AY621" s="302"/>
      <c r="AZ621" s="14">
        <f t="shared" si="73"/>
        <v>5009.1353359642526</v>
      </c>
      <c r="BA621" s="14">
        <f t="shared" si="72"/>
        <v>6.0124530801102694E-2</v>
      </c>
      <c r="BB621" s="14">
        <f t="shared" si="61"/>
        <v>83312.672368869185</v>
      </c>
      <c r="BC621" s="302"/>
      <c r="BD621" s="302"/>
      <c r="BE621" s="302"/>
      <c r="BF621" s="302"/>
      <c r="BG621" s="302"/>
      <c r="BH621" s="302"/>
      <c r="BI621" s="302"/>
      <c r="BJ621" s="302"/>
      <c r="BK621" s="302"/>
      <c r="BL621" s="302"/>
      <c r="BM621" s="302"/>
      <c r="BN621" s="302"/>
      <c r="BO621" s="302"/>
      <c r="BP621" s="14"/>
      <c r="BQ621" s="14"/>
      <c r="BR621" s="14"/>
      <c r="BS621" s="14"/>
      <c r="BT621" s="14"/>
      <c r="BU621" s="14"/>
      <c r="BV621" s="14"/>
      <c r="BW621" s="14"/>
      <c r="BX621" s="14"/>
      <c r="BY621" s="14"/>
      <c r="BZ621" s="14"/>
      <c r="CA621" s="14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</row>
    <row r="622" spans="1:101" ht="14.25" customHeight="1" x14ac:dyDescent="0.2">
      <c r="A622" s="286"/>
      <c r="B622" s="52">
        <v>0.15894298963153525</v>
      </c>
      <c r="C622" s="288">
        <v>0.30552493947606163</v>
      </c>
      <c r="D622" s="288">
        <v>1.2010396412410149E-2</v>
      </c>
      <c r="E622" s="288">
        <v>7.6142919655996398E-3</v>
      </c>
      <c r="F622" s="289">
        <v>0.78932826379059129</v>
      </c>
      <c r="G622" s="92">
        <v>0.40419445817831579</v>
      </c>
      <c r="H622" s="288">
        <v>0.59042609069615293</v>
      </c>
      <c r="I622" s="288">
        <v>5.4913000615064347E-3</v>
      </c>
      <c r="J622" s="288">
        <v>0.97230383397060161</v>
      </c>
      <c r="K622" s="288">
        <v>0.78049534541066201</v>
      </c>
      <c r="L622" s="290">
        <v>14967.708407047832</v>
      </c>
      <c r="M622" s="288">
        <v>0</v>
      </c>
      <c r="N622" s="288">
        <v>14182.65432502876</v>
      </c>
      <c r="O622" s="288">
        <v>834.26028022620449</v>
      </c>
      <c r="P622" s="288">
        <v>45800.657617060904</v>
      </c>
      <c r="Q622" s="291">
        <v>117564.03004035872</v>
      </c>
      <c r="R622" s="288">
        <v>26070.915166849336</v>
      </c>
      <c r="S622" s="288">
        <v>5473.3641106569557</v>
      </c>
      <c r="T622" s="290">
        <v>0.751</v>
      </c>
      <c r="U622" s="288">
        <v>0.75800000000000001</v>
      </c>
      <c r="V622" s="288">
        <v>0.723923076923077</v>
      </c>
      <c r="W622" s="288">
        <v>0.72750000000000004</v>
      </c>
      <c r="X622" s="288">
        <v>0.76</v>
      </c>
      <c r="Y622" s="288">
        <v>0</v>
      </c>
      <c r="Z622" s="289">
        <v>0</v>
      </c>
      <c r="AA622" s="229"/>
      <c r="AB622" s="293">
        <v>59372.293638069212</v>
      </c>
      <c r="AC622" s="294">
        <v>3.1857078357022885</v>
      </c>
      <c r="AD622" s="295">
        <v>49530.643305096011</v>
      </c>
      <c r="AE622" s="294">
        <v>3.1493258913226865</v>
      </c>
      <c r="AF622" s="295">
        <v>9841.6503329732004</v>
      </c>
      <c r="AG622" s="296">
        <v>3.6381944379602071E-2</v>
      </c>
      <c r="AH622" s="229"/>
      <c r="AI622" s="205">
        <f t="shared" si="68"/>
        <v>259198.48993215963</v>
      </c>
      <c r="AJ622" s="205">
        <f t="shared" si="69"/>
        <v>265401.9458271726</v>
      </c>
      <c r="AK622" s="205">
        <f t="shared" si="70"/>
        <v>-6203.4558950129931</v>
      </c>
      <c r="AL622" s="229"/>
      <c r="AM622" s="52">
        <f t="shared" si="58"/>
        <v>0</v>
      </c>
      <c r="AN622" s="52">
        <f t="shared" si="59"/>
        <v>1</v>
      </c>
      <c r="AO622" s="52">
        <f t="shared" si="60"/>
        <v>0</v>
      </c>
      <c r="AP622" s="229"/>
      <c r="AQ622" s="28"/>
      <c r="AR622" s="28"/>
      <c r="AS622" s="28"/>
      <c r="AT622" s="28"/>
      <c r="AU622" s="229"/>
      <c r="AV622" s="318">
        <f t="shared" si="71"/>
        <v>265401.9458271726</v>
      </c>
      <c r="AW622" s="229"/>
      <c r="AX622" s="313"/>
      <c r="AY622" s="302"/>
      <c r="AZ622" s="14">
        <f t="shared" si="73"/>
        <v>9841.6503329732004</v>
      </c>
      <c r="BA622" s="14">
        <f t="shared" si="72"/>
        <v>3.6381944379602071E-2</v>
      </c>
      <c r="BB622" s="14">
        <f t="shared" si="61"/>
        <v>270509.19077571423</v>
      </c>
      <c r="BC622" s="302"/>
      <c r="BD622" s="302"/>
      <c r="BE622" s="302"/>
      <c r="BF622" s="302"/>
      <c r="BG622" s="302"/>
      <c r="BH622" s="302"/>
      <c r="BI622" s="302"/>
      <c r="BJ622" s="302"/>
      <c r="BK622" s="302"/>
      <c r="BL622" s="302"/>
      <c r="BM622" s="302"/>
      <c r="BN622" s="302"/>
      <c r="BO622" s="302"/>
      <c r="BP622" s="14"/>
      <c r="BQ622" s="14"/>
      <c r="BR622" s="14"/>
      <c r="BS622" s="14"/>
      <c r="BT622" s="14"/>
      <c r="BU622" s="14"/>
      <c r="BV622" s="14"/>
      <c r="BW622" s="14"/>
      <c r="BX622" s="14"/>
      <c r="BY622" s="14"/>
      <c r="BZ622" s="14"/>
      <c r="CA622" s="14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</row>
    <row r="623" spans="1:101" ht="14.25" customHeight="1" x14ac:dyDescent="0.2">
      <c r="A623" s="286"/>
      <c r="B623" s="52">
        <v>0.17380905034841421</v>
      </c>
      <c r="C623" s="288">
        <v>1.1325789499052195E-2</v>
      </c>
      <c r="D623" s="288">
        <v>5.0078231944678695E-3</v>
      </c>
      <c r="E623" s="288">
        <v>2.6963808099870867E-2</v>
      </c>
      <c r="F623" s="289">
        <v>0.76554002259603893</v>
      </c>
      <c r="G623" s="92">
        <v>0.34352862319801369</v>
      </c>
      <c r="H623" s="288">
        <v>7.7887764185295763E-2</v>
      </c>
      <c r="I623" s="288">
        <v>9.6890189515295884E-3</v>
      </c>
      <c r="J623" s="288">
        <v>0.99999999999999178</v>
      </c>
      <c r="K623" s="288">
        <v>0.778760508466396</v>
      </c>
      <c r="L623" s="290">
        <v>13232.897688991521</v>
      </c>
      <c r="M623" s="288">
        <v>0</v>
      </c>
      <c r="N623" s="288">
        <v>20533.360159630236</v>
      </c>
      <c r="O623" s="288">
        <v>947.68226267104728</v>
      </c>
      <c r="P623" s="288">
        <v>35977.353175383723</v>
      </c>
      <c r="Q623" s="291">
        <v>118658.96033246059</v>
      </c>
      <c r="R623" s="288">
        <v>26880.801478906429</v>
      </c>
      <c r="S623" s="288">
        <v>13070.121201612621</v>
      </c>
      <c r="T623" s="290">
        <v>0.751</v>
      </c>
      <c r="U623" s="288">
        <v>0.75800000000000001</v>
      </c>
      <c r="V623" s="288">
        <v>0.723923076923077</v>
      </c>
      <c r="W623" s="288">
        <v>0.72750000000000004</v>
      </c>
      <c r="X623" s="288">
        <v>0.76</v>
      </c>
      <c r="Y623" s="288">
        <v>0</v>
      </c>
      <c r="Z623" s="289">
        <v>0</v>
      </c>
      <c r="AA623" s="229"/>
      <c r="AB623" s="293">
        <v>112634.44509985299</v>
      </c>
      <c r="AC623" s="294">
        <v>3.0754172685759107</v>
      </c>
      <c r="AD623" s="295">
        <v>103117.19651175034</v>
      </c>
      <c r="AE623" s="294">
        <v>3.1412609892465504</v>
      </c>
      <c r="AF623" s="295">
        <v>9517.2485881026514</v>
      </c>
      <c r="AG623" s="296">
        <v>-6.5843720670639705E-2</v>
      </c>
      <c r="AH623" s="229"/>
      <c r="AI623" s="205">
        <f t="shared" si="68"/>
        <v>194907.28175773809</v>
      </c>
      <c r="AJ623" s="205">
        <f t="shared" si="69"/>
        <v>211008.90241290472</v>
      </c>
      <c r="AK623" s="205">
        <f t="shared" si="70"/>
        <v>-16101.620655166622</v>
      </c>
      <c r="AL623" s="229"/>
      <c r="AM623" s="52">
        <f t="shared" si="58"/>
        <v>0</v>
      </c>
      <c r="AN623" s="52">
        <f t="shared" si="59"/>
        <v>1</v>
      </c>
      <c r="AO623" s="52">
        <f t="shared" si="60"/>
        <v>0</v>
      </c>
      <c r="AP623" s="229"/>
      <c r="AQ623" s="28"/>
      <c r="AR623" s="28"/>
      <c r="AS623" s="28"/>
      <c r="AT623" s="28"/>
      <c r="AU623" s="229"/>
      <c r="AV623" s="318">
        <f t="shared" si="71"/>
        <v>211008.90241290472</v>
      </c>
      <c r="AW623" s="229"/>
      <c r="AX623" s="313"/>
      <c r="AY623" s="302"/>
      <c r="AZ623" s="14">
        <f t="shared" si="73"/>
        <v>9517.2485881026514</v>
      </c>
      <c r="BA623" s="14">
        <f t="shared" si="72"/>
        <v>-6.5843720670639705E-2</v>
      </c>
      <c r="BB623" s="14">
        <f t="shared" si="61"/>
        <v>-144542.99500645438</v>
      </c>
      <c r="BC623" s="302"/>
      <c r="BD623" s="302"/>
      <c r="BE623" s="302"/>
      <c r="BF623" s="302"/>
      <c r="BG623" s="302"/>
      <c r="BH623" s="302"/>
      <c r="BI623" s="302"/>
      <c r="BJ623" s="302"/>
      <c r="BK623" s="302"/>
      <c r="BL623" s="302"/>
      <c r="BM623" s="302"/>
      <c r="BN623" s="302"/>
      <c r="BO623" s="302"/>
      <c r="BP623" s="14"/>
      <c r="BQ623" s="14"/>
      <c r="BR623" s="14"/>
      <c r="BS623" s="14"/>
      <c r="BT623" s="14"/>
      <c r="BU623" s="14"/>
      <c r="BV623" s="14"/>
      <c r="BW623" s="14"/>
      <c r="BX623" s="14"/>
      <c r="BY623" s="14"/>
      <c r="BZ623" s="14"/>
      <c r="CA623" s="14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</row>
    <row r="624" spans="1:101" ht="14.25" customHeight="1" x14ac:dyDescent="0.2">
      <c r="A624" s="286"/>
      <c r="B624" s="52">
        <v>0.16720365138186544</v>
      </c>
      <c r="C624" s="288">
        <v>0.48842221054922963</v>
      </c>
      <c r="D624" s="288">
        <v>8.223708224507147E-3</v>
      </c>
      <c r="E624" s="288">
        <v>1.7545742967045364E-2</v>
      </c>
      <c r="F624" s="289">
        <v>0.78827511093474678</v>
      </c>
      <c r="G624" s="92">
        <v>0.44043034230747213</v>
      </c>
      <c r="H624" s="288">
        <v>0.83891194558458981</v>
      </c>
      <c r="I624" s="288">
        <v>1.4215497554742568E-2</v>
      </c>
      <c r="J624" s="288">
        <v>0.99999103323942484</v>
      </c>
      <c r="K624" s="288">
        <v>0.74706666319260517</v>
      </c>
      <c r="L624" s="290">
        <v>11472.908125429696</v>
      </c>
      <c r="M624" s="288">
        <v>0</v>
      </c>
      <c r="N624" s="288">
        <v>18859.703271030921</v>
      </c>
      <c r="O624" s="288">
        <v>1160.1299609388461</v>
      </c>
      <c r="P624" s="288">
        <v>41260.449220721806</v>
      </c>
      <c r="Q624" s="291">
        <v>103283.27120673108</v>
      </c>
      <c r="R624" s="288">
        <v>23089.047766965967</v>
      </c>
      <c r="S624" s="288">
        <v>10107.159570795326</v>
      </c>
      <c r="T624" s="290">
        <v>0.751</v>
      </c>
      <c r="U624" s="288">
        <v>0.75800000000000001</v>
      </c>
      <c r="V624" s="288">
        <v>0.723923076923077</v>
      </c>
      <c r="W624" s="288">
        <v>0.72750000000000004</v>
      </c>
      <c r="X624" s="288">
        <v>0.76</v>
      </c>
      <c r="Y624" s="288">
        <v>0</v>
      </c>
      <c r="Z624" s="289">
        <v>0</v>
      </c>
      <c r="AA624" s="229"/>
      <c r="AB624" s="293">
        <v>92589.655787289783</v>
      </c>
      <c r="AC624" s="294">
        <v>3.180806274740422</v>
      </c>
      <c r="AD624" s="295">
        <v>85306.700914930581</v>
      </c>
      <c r="AE624" s="294">
        <v>2.9947577912719905</v>
      </c>
      <c r="AF624" s="295">
        <v>7282.9548723592015</v>
      </c>
      <c r="AG624" s="296">
        <v>0.1860484834684315</v>
      </c>
      <c r="AH624" s="229"/>
      <c r="AI624" s="205">
        <f t="shared" si="68"/>
        <v>225490.9716867524</v>
      </c>
      <c r="AJ624" s="205">
        <f t="shared" si="69"/>
        <v>214169.07821226845</v>
      </c>
      <c r="AK624" s="205">
        <f t="shared" si="70"/>
        <v>11321.89347448395</v>
      </c>
      <c r="AL624" s="229"/>
      <c r="AM624" s="52">
        <f t="shared" si="58"/>
        <v>1</v>
      </c>
      <c r="AN624" s="52">
        <f t="shared" si="59"/>
        <v>0</v>
      </c>
      <c r="AO624" s="52">
        <f t="shared" si="60"/>
        <v>1</v>
      </c>
      <c r="AP624" s="229"/>
      <c r="AQ624" s="28"/>
      <c r="AR624" s="28"/>
      <c r="AS624" s="28"/>
      <c r="AT624" s="28"/>
      <c r="AU624" s="229"/>
      <c r="AV624" s="318">
        <f t="shared" si="71"/>
        <v>225490.9716867524</v>
      </c>
      <c r="AW624" s="229"/>
      <c r="AX624" s="313"/>
      <c r="AY624" s="302"/>
      <c r="AZ624" s="14">
        <f t="shared" si="73"/>
        <v>7282.9548723592015</v>
      </c>
      <c r="BA624" s="14">
        <f t="shared" si="72"/>
        <v>0.1860484834684315</v>
      </c>
      <c r="BB624" s="14">
        <f t="shared" si="61"/>
        <v>39145.467550102148</v>
      </c>
      <c r="BC624" s="302"/>
      <c r="BD624" s="302"/>
      <c r="BE624" s="302"/>
      <c r="BF624" s="302"/>
      <c r="BG624" s="302"/>
      <c r="BH624" s="302"/>
      <c r="BI624" s="302"/>
      <c r="BJ624" s="302"/>
      <c r="BK624" s="302"/>
      <c r="BL624" s="302"/>
      <c r="BM624" s="302"/>
      <c r="BN624" s="302"/>
      <c r="BO624" s="302"/>
      <c r="BP624" s="14"/>
      <c r="BQ624" s="14"/>
      <c r="BR624" s="14"/>
      <c r="BS624" s="14"/>
      <c r="BT624" s="14"/>
      <c r="BU624" s="14"/>
      <c r="BV624" s="14"/>
      <c r="BW624" s="14"/>
      <c r="BX624" s="14"/>
      <c r="BY624" s="14"/>
      <c r="BZ624" s="14"/>
      <c r="CA624" s="14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</row>
    <row r="625" spans="1:101" ht="14.25" customHeight="1" x14ac:dyDescent="0.2">
      <c r="A625" s="286"/>
      <c r="B625" s="52">
        <v>0.16446476952797229</v>
      </c>
      <c r="C625" s="288">
        <v>0.49766169794411264</v>
      </c>
      <c r="D625" s="288">
        <v>2.4325921162285935E-2</v>
      </c>
      <c r="E625" s="288">
        <v>1.2030066306840165E-2</v>
      </c>
      <c r="F625" s="289">
        <v>0.80753524445098845</v>
      </c>
      <c r="G625" s="92">
        <v>0.38277994480630539</v>
      </c>
      <c r="H625" s="288">
        <v>0.66910938902700323</v>
      </c>
      <c r="I625" s="288">
        <v>2.4967334644231509E-2</v>
      </c>
      <c r="J625" s="288">
        <v>4.6261054488380499E-2</v>
      </c>
      <c r="K625" s="288">
        <v>0.77948597184186119</v>
      </c>
      <c r="L625" s="290">
        <v>13537.296462106771</v>
      </c>
      <c r="M625" s="288">
        <v>0</v>
      </c>
      <c r="N625" s="288">
        <v>16204.455719859554</v>
      </c>
      <c r="O625" s="288">
        <v>848.33542781147719</v>
      </c>
      <c r="P625" s="288">
        <v>54743.714940861973</v>
      </c>
      <c r="Q625" s="291">
        <v>62445.648975397591</v>
      </c>
      <c r="R625" s="288">
        <v>21602.778273814602</v>
      </c>
      <c r="S625" s="288">
        <v>7460.0960387654777</v>
      </c>
      <c r="T625" s="290">
        <v>0.751</v>
      </c>
      <c r="U625" s="288">
        <v>0.75800000000000001</v>
      </c>
      <c r="V625" s="288">
        <v>0.723923076923077</v>
      </c>
      <c r="W625" s="288">
        <v>0.72750000000000004</v>
      </c>
      <c r="X625" s="288">
        <v>0.76</v>
      </c>
      <c r="Y625" s="288">
        <v>0</v>
      </c>
      <c r="Z625" s="289">
        <v>0</v>
      </c>
      <c r="AA625" s="229"/>
      <c r="AB625" s="293">
        <v>75352.447857977211</v>
      </c>
      <c r="AC625" s="294">
        <v>3.2707213785003253</v>
      </c>
      <c r="AD625" s="295">
        <v>64435.362153822076</v>
      </c>
      <c r="AE625" s="294">
        <v>3.1446329429632871</v>
      </c>
      <c r="AF625" s="295">
        <v>10917.085704155135</v>
      </c>
      <c r="AG625" s="296">
        <v>0.12608843553703819</v>
      </c>
      <c r="AH625" s="229"/>
      <c r="AI625" s="205">
        <f t="shared" si="68"/>
        <v>251719.68999205533</v>
      </c>
      <c r="AJ625" s="205">
        <f t="shared" si="69"/>
        <v>250027.93214250664</v>
      </c>
      <c r="AK625" s="205">
        <f t="shared" si="70"/>
        <v>1691.7578495486832</v>
      </c>
      <c r="AL625" s="229"/>
      <c r="AM625" s="52">
        <f t="shared" si="58"/>
        <v>1</v>
      </c>
      <c r="AN625" s="52">
        <f t="shared" si="59"/>
        <v>0</v>
      </c>
      <c r="AO625" s="52">
        <f t="shared" si="60"/>
        <v>1</v>
      </c>
      <c r="AP625" s="229"/>
      <c r="AQ625" s="28"/>
      <c r="AR625" s="28"/>
      <c r="AS625" s="28"/>
      <c r="AT625" s="28"/>
      <c r="AU625" s="229"/>
      <c r="AV625" s="318">
        <f t="shared" si="71"/>
        <v>251719.68999205533</v>
      </c>
      <c r="AW625" s="229"/>
      <c r="AX625" s="313"/>
      <c r="AY625" s="302"/>
      <c r="AZ625" s="14">
        <f t="shared" si="73"/>
        <v>10917.085704155135</v>
      </c>
      <c r="BA625" s="14">
        <f t="shared" si="72"/>
        <v>0.12608843553703819</v>
      </c>
      <c r="BB625" s="14">
        <f t="shared" si="61"/>
        <v>86582.767544516537</v>
      </c>
      <c r="BC625" s="302"/>
      <c r="BD625" s="302"/>
      <c r="BE625" s="302"/>
      <c r="BF625" s="302"/>
      <c r="BG625" s="302"/>
      <c r="BH625" s="302"/>
      <c r="BI625" s="302"/>
      <c r="BJ625" s="302"/>
      <c r="BK625" s="302"/>
      <c r="BL625" s="302"/>
      <c r="BM625" s="302"/>
      <c r="BN625" s="302"/>
      <c r="BO625" s="302"/>
      <c r="BP625" s="14"/>
      <c r="BQ625" s="14"/>
      <c r="BR625" s="14"/>
      <c r="BS625" s="14"/>
      <c r="BT625" s="14"/>
      <c r="BU625" s="14"/>
      <c r="BV625" s="14"/>
      <c r="BW625" s="14"/>
      <c r="BX625" s="14"/>
      <c r="BY625" s="14"/>
      <c r="BZ625" s="14"/>
      <c r="CA625" s="14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</row>
    <row r="626" spans="1:101" ht="14.25" customHeight="1" x14ac:dyDescent="0.2">
      <c r="A626" s="286"/>
      <c r="B626" s="52">
        <v>0.14964802113683626</v>
      </c>
      <c r="C626" s="288">
        <v>0.27717719056021517</v>
      </c>
      <c r="D626" s="288">
        <v>8.0633029371525167E-3</v>
      </c>
      <c r="E626" s="288">
        <v>1.2686596714246642E-2</v>
      </c>
      <c r="F626" s="289">
        <v>0.80315533310503961</v>
      </c>
      <c r="G626" s="92">
        <v>0.39142492179134381</v>
      </c>
      <c r="H626" s="288">
        <v>0.71727775613005607</v>
      </c>
      <c r="I626" s="288">
        <v>9.3597520324566596E-3</v>
      </c>
      <c r="J626" s="288">
        <v>0.82973029824497935</v>
      </c>
      <c r="K626" s="288">
        <v>0.76972011135676011</v>
      </c>
      <c r="L626" s="290">
        <v>15181.753547788192</v>
      </c>
      <c r="M626" s="288">
        <v>0</v>
      </c>
      <c r="N626" s="288">
        <v>17138.43317035833</v>
      </c>
      <c r="O626" s="288">
        <v>905.85079797604828</v>
      </c>
      <c r="P626" s="288">
        <v>52054.262045550829</v>
      </c>
      <c r="Q626" s="291">
        <v>123503.48101577895</v>
      </c>
      <c r="R626" s="288">
        <v>20234.072966777512</v>
      </c>
      <c r="S626" s="288">
        <v>8437.0113685249635</v>
      </c>
      <c r="T626" s="290">
        <v>0.751</v>
      </c>
      <c r="U626" s="288">
        <v>0.75800000000000001</v>
      </c>
      <c r="V626" s="288">
        <v>0.723923076923077</v>
      </c>
      <c r="W626" s="288">
        <v>0.72750000000000004</v>
      </c>
      <c r="X626" s="288">
        <v>0.76</v>
      </c>
      <c r="Y626" s="288">
        <v>0</v>
      </c>
      <c r="Z626" s="289">
        <v>0</v>
      </c>
      <c r="AA626" s="229"/>
      <c r="AB626" s="293">
        <v>83406.859378879439</v>
      </c>
      <c r="AC626" s="294">
        <v>3.2502228382788383</v>
      </c>
      <c r="AD626" s="295">
        <v>71422.261459589587</v>
      </c>
      <c r="AE626" s="294">
        <v>3.0993108055285998</v>
      </c>
      <c r="AF626" s="295">
        <v>11984.597919289852</v>
      </c>
      <c r="AG626" s="296">
        <v>0.15091203275023846</v>
      </c>
      <c r="AH626" s="229"/>
      <c r="AI626" s="205">
        <f t="shared" si="68"/>
        <v>241615.42444900441</v>
      </c>
      <c r="AJ626" s="205">
        <f t="shared" si="69"/>
        <v>238508.8190932704</v>
      </c>
      <c r="AK626" s="205">
        <f t="shared" si="70"/>
        <v>3106.6053557339928</v>
      </c>
      <c r="AL626" s="229"/>
      <c r="AM626" s="52">
        <f t="shared" si="58"/>
        <v>1</v>
      </c>
      <c r="AN626" s="52">
        <f t="shared" si="59"/>
        <v>0</v>
      </c>
      <c r="AO626" s="52">
        <f t="shared" si="60"/>
        <v>1</v>
      </c>
      <c r="AP626" s="229"/>
      <c r="AQ626" s="28"/>
      <c r="AR626" s="28"/>
      <c r="AS626" s="28"/>
      <c r="AT626" s="28"/>
      <c r="AU626" s="229"/>
      <c r="AV626" s="318">
        <f t="shared" si="71"/>
        <v>241615.42444900441</v>
      </c>
      <c r="AW626" s="229"/>
      <c r="AX626" s="313"/>
      <c r="AY626" s="302"/>
      <c r="AZ626" s="14">
        <f t="shared" si="73"/>
        <v>11984.597919289852</v>
      </c>
      <c r="BA626" s="14">
        <f t="shared" si="72"/>
        <v>0.15091203275023846</v>
      </c>
      <c r="BB626" s="14">
        <f t="shared" si="61"/>
        <v>79414.462192849329</v>
      </c>
      <c r="BC626" s="302"/>
      <c r="BD626" s="302"/>
      <c r="BE626" s="302"/>
      <c r="BF626" s="302"/>
      <c r="BG626" s="302"/>
      <c r="BH626" s="302"/>
      <c r="BI626" s="302"/>
      <c r="BJ626" s="302"/>
      <c r="BK626" s="302"/>
      <c r="BL626" s="302"/>
      <c r="BM626" s="302"/>
      <c r="BN626" s="302"/>
      <c r="BO626" s="302"/>
      <c r="BP626" s="14"/>
      <c r="BQ626" s="14"/>
      <c r="BR626" s="14"/>
      <c r="BS626" s="14"/>
      <c r="BT626" s="14"/>
      <c r="BU626" s="14"/>
      <c r="BV626" s="14"/>
      <c r="BW626" s="14"/>
      <c r="BX626" s="14"/>
      <c r="BY626" s="14"/>
      <c r="BZ626" s="14"/>
      <c r="CA626" s="14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</row>
    <row r="627" spans="1:101" ht="14.25" customHeight="1" x14ac:dyDescent="0.2">
      <c r="A627" s="286"/>
      <c r="B627" s="52">
        <v>0.149451462694773</v>
      </c>
      <c r="C627" s="288">
        <v>8.9378101508120172E-2</v>
      </c>
      <c r="D627" s="288">
        <v>7.8660564892174874E-3</v>
      </c>
      <c r="E627" s="288">
        <v>1.3077334473120008E-2</v>
      </c>
      <c r="F627" s="289">
        <v>0.78448329577560039</v>
      </c>
      <c r="G627" s="92">
        <v>0.42771657246375749</v>
      </c>
      <c r="H627" s="288">
        <v>0.87798296156177058</v>
      </c>
      <c r="I627" s="288">
        <v>2.1488911393444554E-2</v>
      </c>
      <c r="J627" s="288">
        <v>0.99999999999970735</v>
      </c>
      <c r="K627" s="288">
        <v>0.77902791745472122</v>
      </c>
      <c r="L627" s="290">
        <v>12799.278756677364</v>
      </c>
      <c r="M627" s="288">
        <v>0</v>
      </c>
      <c r="N627" s="288">
        <v>21680.302017862348</v>
      </c>
      <c r="O627" s="288">
        <v>1209.0526508705836</v>
      </c>
      <c r="P627" s="288">
        <v>40680.578410782793</v>
      </c>
      <c r="Q627" s="291">
        <v>108598.95433539266</v>
      </c>
      <c r="R627" s="288">
        <v>24611.970102508487</v>
      </c>
      <c r="S627" s="288">
        <v>6648.8829196025308</v>
      </c>
      <c r="T627" s="290">
        <v>0.751</v>
      </c>
      <c r="U627" s="288">
        <v>0.75800000000000001</v>
      </c>
      <c r="V627" s="288">
        <v>0.723923076923077</v>
      </c>
      <c r="W627" s="288">
        <v>0.72750000000000004</v>
      </c>
      <c r="X627" s="288">
        <v>0.76</v>
      </c>
      <c r="Y627" s="288">
        <v>0</v>
      </c>
      <c r="Z627" s="289">
        <v>0</v>
      </c>
      <c r="AA627" s="229"/>
      <c r="AB627" s="293">
        <v>65087.063463556398</v>
      </c>
      <c r="AC627" s="294">
        <v>3.1631728992839609</v>
      </c>
      <c r="AD627" s="295">
        <v>62801.805199031151</v>
      </c>
      <c r="AE627" s="294">
        <v>3.1425038096692184</v>
      </c>
      <c r="AF627" s="295">
        <v>2285.2582645252478</v>
      </c>
      <c r="AG627" s="296">
        <v>2.0669089614742564E-2</v>
      </c>
      <c r="AH627" s="229"/>
      <c r="AI627" s="205">
        <f t="shared" si="68"/>
        <v>251230.22646483971</v>
      </c>
      <c r="AJ627" s="205">
        <f t="shared" si="69"/>
        <v>251448.57576789072</v>
      </c>
      <c r="AK627" s="205">
        <f t="shared" si="70"/>
        <v>-218.34930305099124</v>
      </c>
      <c r="AL627" s="229"/>
      <c r="AM627" s="52">
        <f t="shared" si="58"/>
        <v>0</v>
      </c>
      <c r="AN627" s="52">
        <f t="shared" si="59"/>
        <v>1</v>
      </c>
      <c r="AO627" s="52">
        <f t="shared" si="60"/>
        <v>0</v>
      </c>
      <c r="AP627" s="229"/>
      <c r="AQ627" s="28"/>
      <c r="AR627" s="28"/>
      <c r="AS627" s="28"/>
      <c r="AT627" s="28"/>
      <c r="AU627" s="229"/>
      <c r="AV627" s="318">
        <f t="shared" si="71"/>
        <v>251448.57576789072</v>
      </c>
      <c r="AW627" s="229"/>
      <c r="AX627" s="313"/>
      <c r="AY627" s="302"/>
      <c r="AZ627" s="14">
        <f t="shared" si="73"/>
        <v>2285.2582645252478</v>
      </c>
      <c r="BA627" s="14">
        <f t="shared" si="72"/>
        <v>2.0669089614742564E-2</v>
      </c>
      <c r="BB627" s="14">
        <f t="shared" si="61"/>
        <v>110564.05033414003</v>
      </c>
      <c r="BC627" s="302"/>
      <c r="BD627" s="302"/>
      <c r="BE627" s="302"/>
      <c r="BF627" s="302"/>
      <c r="BG627" s="302"/>
      <c r="BH627" s="302"/>
      <c r="BI627" s="302"/>
      <c r="BJ627" s="302"/>
      <c r="BK627" s="302"/>
      <c r="BL627" s="302"/>
      <c r="BM627" s="302"/>
      <c r="BN627" s="302"/>
      <c r="BO627" s="302"/>
      <c r="BP627" s="302"/>
      <c r="BQ627" s="302"/>
      <c r="BR627" s="302"/>
      <c r="BS627" s="302"/>
      <c r="BT627" s="302"/>
      <c r="BU627" s="302"/>
      <c r="BV627" s="302"/>
      <c r="BW627" s="302"/>
      <c r="BX627" s="302"/>
      <c r="BY627" s="302"/>
      <c r="BZ627" s="302"/>
      <c r="CA627" s="302"/>
      <c r="CB627" s="28"/>
      <c r="CC627" s="28"/>
      <c r="CD627" s="28"/>
      <c r="CE627" s="28"/>
      <c r="CF627" s="28"/>
      <c r="CG627" s="28"/>
      <c r="CH627" s="28"/>
      <c r="CI627" s="28"/>
      <c r="CJ627" s="28"/>
      <c r="CK627" s="28"/>
      <c r="CL627" s="28"/>
      <c r="CM627" s="28"/>
      <c r="CN627" s="28"/>
      <c r="CO627" s="28"/>
      <c r="CP627" s="28"/>
      <c r="CQ627" s="28"/>
      <c r="CR627" s="28"/>
      <c r="CS627" s="28"/>
      <c r="CT627" s="28"/>
      <c r="CU627" s="28"/>
      <c r="CV627" s="28"/>
      <c r="CW627" s="28"/>
    </row>
    <row r="628" spans="1:101" ht="14.25" customHeight="1" x14ac:dyDescent="0.2">
      <c r="A628" s="286"/>
      <c r="B628" s="52">
        <v>0.14254030438929052</v>
      </c>
      <c r="C628" s="288">
        <v>0.51716638498545153</v>
      </c>
      <c r="D628" s="288">
        <v>1.926515488446312E-2</v>
      </c>
      <c r="E628" s="288">
        <v>4.1978511637810701E-3</v>
      </c>
      <c r="F628" s="289">
        <v>0.80947454854062562</v>
      </c>
      <c r="G628" s="92">
        <v>0.47795109834179372</v>
      </c>
      <c r="H628" s="288">
        <v>0.81965810199857159</v>
      </c>
      <c r="I628" s="288">
        <v>1.9220823987467162E-2</v>
      </c>
      <c r="J628" s="288">
        <v>0.99999999980171517</v>
      </c>
      <c r="K628" s="288">
        <v>0.76282284796948829</v>
      </c>
      <c r="L628" s="290">
        <v>10869.860184022577</v>
      </c>
      <c r="M628" s="288">
        <v>0</v>
      </c>
      <c r="N628" s="288">
        <v>16639.749981582347</v>
      </c>
      <c r="O628" s="288">
        <v>1408.592271352009</v>
      </c>
      <c r="P628" s="288">
        <v>46506.358545367766</v>
      </c>
      <c r="Q628" s="291">
        <v>85967.547307069326</v>
      </c>
      <c r="R628" s="288">
        <v>20770.271757588929</v>
      </c>
      <c r="S628" s="288">
        <v>7369.9802457438582</v>
      </c>
      <c r="T628" s="290">
        <v>0.751</v>
      </c>
      <c r="U628" s="288">
        <v>0.75800000000000001</v>
      </c>
      <c r="V628" s="288">
        <v>0.723923076923077</v>
      </c>
      <c r="W628" s="288">
        <v>0.72750000000000004</v>
      </c>
      <c r="X628" s="288">
        <v>0.76</v>
      </c>
      <c r="Y628" s="288">
        <v>0</v>
      </c>
      <c r="Z628" s="289">
        <v>0</v>
      </c>
      <c r="AA628" s="229"/>
      <c r="AB628" s="293">
        <v>71913.733745486825</v>
      </c>
      <c r="AC628" s="294">
        <v>3.2798071783226561</v>
      </c>
      <c r="AD628" s="295">
        <v>66182.1766099698</v>
      </c>
      <c r="AE628" s="294">
        <v>3.0673920477193781</v>
      </c>
      <c r="AF628" s="295">
        <v>5731.557135517025</v>
      </c>
      <c r="AG628" s="296">
        <v>0.21241513060327799</v>
      </c>
      <c r="AH628" s="229"/>
      <c r="AI628" s="205">
        <f t="shared" si="68"/>
        <v>256066.98408677877</v>
      </c>
      <c r="AJ628" s="205">
        <f t="shared" si="69"/>
        <v>240557.02816196799</v>
      </c>
      <c r="AK628" s="205">
        <f t="shared" si="70"/>
        <v>15509.955924810773</v>
      </c>
      <c r="AL628" s="229"/>
      <c r="AM628" s="52">
        <f t="shared" si="58"/>
        <v>1</v>
      </c>
      <c r="AN628" s="52">
        <f t="shared" si="59"/>
        <v>0</v>
      </c>
      <c r="AO628" s="52">
        <f t="shared" si="60"/>
        <v>1</v>
      </c>
      <c r="AP628" s="229"/>
      <c r="AQ628" s="28"/>
      <c r="AR628" s="28"/>
      <c r="AS628" s="28"/>
      <c r="AT628" s="28"/>
      <c r="AU628" s="229"/>
      <c r="AV628" s="318">
        <f t="shared" si="71"/>
        <v>256066.98408677877</v>
      </c>
      <c r="AW628" s="229"/>
      <c r="AX628" s="313"/>
      <c r="AY628" s="302"/>
      <c r="AZ628" s="14">
        <f t="shared" si="73"/>
        <v>5731.557135517025</v>
      </c>
      <c r="BA628" s="14">
        <f t="shared" si="72"/>
        <v>0.21241513060327799</v>
      </c>
      <c r="BB628" s="14">
        <f t="shared" si="61"/>
        <v>26982.810119217447</v>
      </c>
      <c r="BC628" s="302"/>
      <c r="BD628" s="302"/>
      <c r="BE628" s="302"/>
      <c r="BF628" s="302"/>
      <c r="BG628" s="302"/>
      <c r="BH628" s="302"/>
      <c r="BI628" s="302"/>
      <c r="BJ628" s="302"/>
      <c r="BK628" s="302"/>
      <c r="BL628" s="302"/>
      <c r="BM628" s="302"/>
      <c r="BN628" s="302"/>
      <c r="BO628" s="302"/>
      <c r="BP628" s="302"/>
      <c r="BQ628" s="302"/>
      <c r="BR628" s="302"/>
      <c r="BS628" s="302"/>
      <c r="BT628" s="302"/>
      <c r="BU628" s="302"/>
      <c r="BV628" s="302"/>
      <c r="BW628" s="302"/>
      <c r="BX628" s="302"/>
      <c r="BY628" s="302"/>
      <c r="BZ628" s="302"/>
      <c r="CA628" s="302"/>
      <c r="CB628" s="28"/>
      <c r="CC628" s="28"/>
      <c r="CD628" s="28"/>
      <c r="CE628" s="28"/>
      <c r="CF628" s="28"/>
      <c r="CG628" s="28"/>
      <c r="CH628" s="28"/>
      <c r="CI628" s="28"/>
      <c r="CJ628" s="28"/>
      <c r="CK628" s="28"/>
      <c r="CL628" s="28"/>
      <c r="CM628" s="28"/>
      <c r="CN628" s="28"/>
      <c r="CO628" s="28"/>
      <c r="CP628" s="28"/>
      <c r="CQ628" s="28"/>
      <c r="CR628" s="28"/>
      <c r="CS628" s="28"/>
      <c r="CT628" s="28"/>
      <c r="CU628" s="28"/>
      <c r="CV628" s="28"/>
      <c r="CW628" s="28"/>
    </row>
    <row r="629" spans="1:101" ht="14.25" customHeight="1" x14ac:dyDescent="0.2">
      <c r="A629" s="286"/>
      <c r="B629" s="52">
        <v>0.15077343890296718</v>
      </c>
      <c r="C629" s="288">
        <v>0.53974781334805444</v>
      </c>
      <c r="D629" s="288">
        <v>1.2806205617197053E-2</v>
      </c>
      <c r="E629" s="288">
        <v>1.7499154326279021E-2</v>
      </c>
      <c r="F629" s="289">
        <v>0.77711312631180618</v>
      </c>
      <c r="G629" s="92">
        <v>0.37449903036292648</v>
      </c>
      <c r="H629" s="288">
        <v>0.2715001901971153</v>
      </c>
      <c r="I629" s="288">
        <v>2.4824779550012055E-2</v>
      </c>
      <c r="J629" s="288">
        <v>0.69459435999112984</v>
      </c>
      <c r="K629" s="288">
        <v>0.76499668278139477</v>
      </c>
      <c r="L629" s="290">
        <v>9723.452280710917</v>
      </c>
      <c r="M629" s="288">
        <v>0</v>
      </c>
      <c r="N629" s="288">
        <v>23613.56830872237</v>
      </c>
      <c r="O629" s="288">
        <v>1048.6820689680644</v>
      </c>
      <c r="P629" s="288">
        <v>48200.769857536026</v>
      </c>
      <c r="Q629" s="291">
        <v>85052.556824083091</v>
      </c>
      <c r="R629" s="288">
        <v>19110.383939807867</v>
      </c>
      <c r="S629" s="288">
        <v>8793.3150781354107</v>
      </c>
      <c r="T629" s="290">
        <v>0.751</v>
      </c>
      <c r="U629" s="288">
        <v>0.75800000000000001</v>
      </c>
      <c r="V629" s="288">
        <v>0.723923076923077</v>
      </c>
      <c r="W629" s="288">
        <v>0.72750000000000004</v>
      </c>
      <c r="X629" s="288">
        <v>0.76</v>
      </c>
      <c r="Y629" s="288">
        <v>0</v>
      </c>
      <c r="Z629" s="289">
        <v>0</v>
      </c>
      <c r="AA629" s="229"/>
      <c r="AB629" s="293">
        <v>79269.695301203537</v>
      </c>
      <c r="AC629" s="294">
        <v>3.1289633390156477</v>
      </c>
      <c r="AD629" s="295">
        <v>70715.086845030877</v>
      </c>
      <c r="AE629" s="294">
        <v>3.0774439026883469</v>
      </c>
      <c r="AF629" s="295">
        <v>8554.6084561726602</v>
      </c>
      <c r="AG629" s="296">
        <v>5.1519436327300827E-2</v>
      </c>
      <c r="AH629" s="229"/>
      <c r="AI629" s="205">
        <f t="shared" si="68"/>
        <v>233626.63860036124</v>
      </c>
      <c r="AJ629" s="205">
        <f t="shared" si="69"/>
        <v>237029.30342380382</v>
      </c>
      <c r="AK629" s="205">
        <f t="shared" si="70"/>
        <v>-3402.6648234425775</v>
      </c>
      <c r="AL629" s="229"/>
      <c r="AM629" s="52">
        <f t="shared" si="58"/>
        <v>0</v>
      </c>
      <c r="AN629" s="52">
        <f t="shared" si="59"/>
        <v>1</v>
      </c>
      <c r="AO629" s="52">
        <f t="shared" si="60"/>
        <v>0</v>
      </c>
      <c r="AP629" s="229"/>
      <c r="AQ629" s="28"/>
      <c r="AR629" s="28"/>
      <c r="AS629" s="28"/>
      <c r="AT629" s="28"/>
      <c r="AU629" s="229"/>
      <c r="AV629" s="318">
        <f t="shared" si="71"/>
        <v>237029.30342380382</v>
      </c>
      <c r="AW629" s="229"/>
      <c r="AX629" s="313"/>
      <c r="AY629" s="302"/>
      <c r="AZ629" s="14">
        <f t="shared" si="73"/>
        <v>8554.6084561726602</v>
      </c>
      <c r="BA629" s="14">
        <f t="shared" si="72"/>
        <v>5.1519436327300827E-2</v>
      </c>
      <c r="BB629" s="14">
        <f t="shared" si="61"/>
        <v>166046.23547947206</v>
      </c>
      <c r="BC629" s="302"/>
      <c r="BD629" s="302"/>
      <c r="BE629" s="302"/>
      <c r="BF629" s="302"/>
      <c r="BG629" s="302"/>
      <c r="BH629" s="302"/>
      <c r="BI629" s="302"/>
      <c r="BJ629" s="302"/>
      <c r="BK629" s="302"/>
      <c r="BL629" s="302"/>
      <c r="BM629" s="302"/>
      <c r="BN629" s="302"/>
      <c r="BO629" s="302"/>
      <c r="BP629" s="302"/>
      <c r="BQ629" s="302"/>
      <c r="BR629" s="302"/>
      <c r="BS629" s="302"/>
      <c r="BT629" s="302"/>
      <c r="BU629" s="302"/>
      <c r="BV629" s="302"/>
      <c r="BW629" s="302"/>
      <c r="BX629" s="302"/>
      <c r="BY629" s="302"/>
      <c r="BZ629" s="302"/>
      <c r="CA629" s="302"/>
      <c r="CB629" s="28"/>
      <c r="CC629" s="28"/>
      <c r="CD629" s="28"/>
      <c r="CE629" s="28"/>
      <c r="CF629" s="28"/>
      <c r="CG629" s="28"/>
      <c r="CH629" s="28"/>
      <c r="CI629" s="28"/>
      <c r="CJ629" s="28"/>
      <c r="CK629" s="28"/>
      <c r="CL629" s="28"/>
      <c r="CM629" s="28"/>
      <c r="CN629" s="28"/>
      <c r="CO629" s="28"/>
      <c r="CP629" s="28"/>
      <c r="CQ629" s="28"/>
      <c r="CR629" s="28"/>
      <c r="CS629" s="28"/>
      <c r="CT629" s="28"/>
      <c r="CU629" s="28"/>
      <c r="CV629" s="28"/>
      <c r="CW629" s="28"/>
    </row>
    <row r="630" spans="1:101" ht="14.25" customHeight="1" x14ac:dyDescent="0.2">
      <c r="A630" s="286"/>
      <c r="B630" s="52">
        <v>0.16755331197485412</v>
      </c>
      <c r="C630" s="288">
        <v>0.32645713758398454</v>
      </c>
      <c r="D630" s="288">
        <v>4.7431390978173839E-3</v>
      </c>
      <c r="E630" s="288">
        <v>6.2978043592510913E-3</v>
      </c>
      <c r="F630" s="289">
        <v>0.77384753654855987</v>
      </c>
      <c r="G630" s="92">
        <v>0.4301315131960618</v>
      </c>
      <c r="H630" s="288">
        <v>0.66199762227403869</v>
      </c>
      <c r="I630" s="288">
        <v>2.0498744537714719E-2</v>
      </c>
      <c r="J630" s="288">
        <v>0.99999884637006764</v>
      </c>
      <c r="K630" s="288">
        <v>0.75495775374644392</v>
      </c>
      <c r="L630" s="290">
        <v>12499.514188350522</v>
      </c>
      <c r="M630" s="288">
        <v>0</v>
      </c>
      <c r="N630" s="288">
        <v>23790.286730731699</v>
      </c>
      <c r="O630" s="288">
        <v>1341.301713049824</v>
      </c>
      <c r="P630" s="288">
        <v>51225.940005221149</v>
      </c>
      <c r="Q630" s="291">
        <v>123143.09539907289</v>
      </c>
      <c r="R630" s="288">
        <v>32864.846222505075</v>
      </c>
      <c r="S630" s="288">
        <v>9242.2041804192468</v>
      </c>
      <c r="T630" s="290">
        <v>0.751</v>
      </c>
      <c r="U630" s="288">
        <v>0.75800000000000001</v>
      </c>
      <c r="V630" s="288">
        <v>0.723923076923077</v>
      </c>
      <c r="W630" s="288">
        <v>0.72750000000000004</v>
      </c>
      <c r="X630" s="288">
        <v>0.76</v>
      </c>
      <c r="Y630" s="288">
        <v>0</v>
      </c>
      <c r="Z630" s="289">
        <v>0</v>
      </c>
      <c r="AA630" s="229"/>
      <c r="AB630" s="293">
        <v>85441.87889805618</v>
      </c>
      <c r="AC630" s="294">
        <v>3.1138329356608723</v>
      </c>
      <c r="AD630" s="295">
        <v>81161.231968777662</v>
      </c>
      <c r="AE630" s="294">
        <v>3.0310859252655016</v>
      </c>
      <c r="AF630" s="295">
        <v>4280.6469292785187</v>
      </c>
      <c r="AG630" s="296">
        <v>8.274701039537069E-2</v>
      </c>
      <c r="AH630" s="229"/>
      <c r="AI630" s="205">
        <f t="shared" si="68"/>
        <v>225941.41466803104</v>
      </c>
      <c r="AJ630" s="205">
        <f t="shared" si="69"/>
        <v>221947.36055777251</v>
      </c>
      <c r="AK630" s="205">
        <f t="shared" si="70"/>
        <v>3994.0541102585503</v>
      </c>
      <c r="AL630" s="229"/>
      <c r="AM630" s="52">
        <f t="shared" si="58"/>
        <v>1</v>
      </c>
      <c r="AN630" s="52">
        <f t="shared" si="59"/>
        <v>0</v>
      </c>
      <c r="AO630" s="52">
        <f t="shared" si="60"/>
        <v>1</v>
      </c>
      <c r="AP630" s="229"/>
      <c r="AQ630" s="28"/>
      <c r="AR630" s="28"/>
      <c r="AS630" s="28"/>
      <c r="AT630" s="28"/>
      <c r="AU630" s="229"/>
      <c r="AV630" s="318">
        <f t="shared" si="71"/>
        <v>225941.41466803104</v>
      </c>
      <c r="AW630" s="229"/>
      <c r="AX630" s="313"/>
      <c r="AY630" s="302"/>
      <c r="AZ630" s="14">
        <f t="shared" si="73"/>
        <v>4280.6469292785187</v>
      </c>
      <c r="BA630" s="14">
        <f t="shared" si="72"/>
        <v>8.274701039537069E-2</v>
      </c>
      <c r="BB630" s="14">
        <f t="shared" si="61"/>
        <v>51731.741229384657</v>
      </c>
      <c r="BC630" s="302"/>
      <c r="BD630" s="302"/>
      <c r="BE630" s="302"/>
      <c r="BF630" s="302"/>
      <c r="BG630" s="302"/>
      <c r="BH630" s="302"/>
      <c r="BI630" s="302"/>
      <c r="BJ630" s="302"/>
      <c r="BK630" s="302"/>
      <c r="BL630" s="302"/>
      <c r="BM630" s="302"/>
      <c r="BN630" s="302"/>
      <c r="BO630" s="302"/>
      <c r="BP630" s="302"/>
      <c r="BQ630" s="302"/>
      <c r="BR630" s="302"/>
      <c r="BS630" s="302"/>
      <c r="BT630" s="302"/>
      <c r="BU630" s="302"/>
      <c r="BV630" s="302"/>
      <c r="BW630" s="302"/>
      <c r="BX630" s="302"/>
      <c r="BY630" s="302"/>
      <c r="BZ630" s="302"/>
      <c r="CA630" s="302"/>
      <c r="CB630" s="28"/>
      <c r="CC630" s="28"/>
      <c r="CD630" s="28"/>
      <c r="CE630" s="28"/>
      <c r="CF630" s="28"/>
      <c r="CG630" s="28"/>
      <c r="CH630" s="28"/>
      <c r="CI630" s="28"/>
      <c r="CJ630" s="28"/>
      <c r="CK630" s="28"/>
      <c r="CL630" s="28"/>
      <c r="CM630" s="28"/>
      <c r="CN630" s="28"/>
      <c r="CO630" s="28"/>
      <c r="CP630" s="28"/>
      <c r="CQ630" s="28"/>
      <c r="CR630" s="28"/>
      <c r="CS630" s="28"/>
      <c r="CT630" s="28"/>
      <c r="CU630" s="28"/>
      <c r="CV630" s="28"/>
      <c r="CW630" s="28"/>
    </row>
    <row r="631" spans="1:101" ht="14.25" customHeight="1" x14ac:dyDescent="0.2">
      <c r="A631" s="286"/>
      <c r="B631" s="52">
        <v>0.13705519627285356</v>
      </c>
      <c r="C631" s="288">
        <v>4.3645340187082E-2</v>
      </c>
      <c r="D631" s="288">
        <v>1.8652603809502177E-2</v>
      </c>
      <c r="E631" s="288">
        <v>1.1179951093765636E-2</v>
      </c>
      <c r="F631" s="289">
        <v>0.81078256548751948</v>
      </c>
      <c r="G631" s="92">
        <v>0.3834226154596001</v>
      </c>
      <c r="H631" s="288">
        <v>0.20599552911033139</v>
      </c>
      <c r="I631" s="288">
        <v>1.3714304121994651E-2</v>
      </c>
      <c r="J631" s="288">
        <v>0.99999968235917813</v>
      </c>
      <c r="K631" s="288">
        <v>0.70653793225085149</v>
      </c>
      <c r="L631" s="290">
        <v>11106.461290039766</v>
      </c>
      <c r="M631" s="288">
        <v>0</v>
      </c>
      <c r="N631" s="288">
        <v>22426.422170850004</v>
      </c>
      <c r="O631" s="288">
        <v>1067.3949705131865</v>
      </c>
      <c r="P631" s="288">
        <v>42754.615997690235</v>
      </c>
      <c r="Q631" s="291">
        <v>128565.96711988919</v>
      </c>
      <c r="R631" s="288">
        <v>27437.230099764623</v>
      </c>
      <c r="S631" s="288">
        <v>7875.7735220507848</v>
      </c>
      <c r="T631" s="290">
        <v>0.751</v>
      </c>
      <c r="U631" s="288">
        <v>0.75800000000000001</v>
      </c>
      <c r="V631" s="288">
        <v>0.723923076923077</v>
      </c>
      <c r="W631" s="288">
        <v>0.72750000000000004</v>
      </c>
      <c r="X631" s="288">
        <v>0.76</v>
      </c>
      <c r="Y631" s="288">
        <v>0</v>
      </c>
      <c r="Z631" s="289">
        <v>0</v>
      </c>
      <c r="AA631" s="229"/>
      <c r="AB631" s="293">
        <v>74978.851444810061</v>
      </c>
      <c r="AC631" s="294">
        <v>3.2859386768866075</v>
      </c>
      <c r="AD631" s="295">
        <v>59058.705779518583</v>
      </c>
      <c r="AE631" s="294">
        <v>2.809722693112787</v>
      </c>
      <c r="AF631" s="295">
        <v>15920.145665291479</v>
      </c>
      <c r="AG631" s="296">
        <v>0.47621598377382046</v>
      </c>
      <c r="AH631" s="229"/>
      <c r="AI631" s="205">
        <f t="shared" si="68"/>
        <v>253615.0162438507</v>
      </c>
      <c r="AJ631" s="205">
        <f t="shared" si="69"/>
        <v>221913.56353176013</v>
      </c>
      <c r="AK631" s="205">
        <f t="shared" si="70"/>
        <v>31701.45271209057</v>
      </c>
      <c r="AL631" s="229"/>
      <c r="AM631" s="52">
        <f t="shared" si="58"/>
        <v>1</v>
      </c>
      <c r="AN631" s="52">
        <f t="shared" si="59"/>
        <v>0</v>
      </c>
      <c r="AO631" s="52">
        <f t="shared" si="60"/>
        <v>1</v>
      </c>
      <c r="AP631" s="229"/>
      <c r="AQ631" s="28"/>
      <c r="AR631" s="28"/>
      <c r="AS631" s="28"/>
      <c r="AT631" s="28"/>
      <c r="AU631" s="229"/>
      <c r="AV631" s="318">
        <f t="shared" si="71"/>
        <v>253615.0162438507</v>
      </c>
      <c r="AW631" s="229"/>
      <c r="AX631" s="313"/>
      <c r="AY631" s="302"/>
      <c r="AZ631" s="14">
        <f t="shared" si="73"/>
        <v>15920.145665291479</v>
      </c>
      <c r="BA631" s="14">
        <f t="shared" si="72"/>
        <v>0.47621598377382046</v>
      </c>
      <c r="BB631" s="14">
        <f t="shared" si="61"/>
        <v>33430.515160643532</v>
      </c>
      <c r="BC631" s="302"/>
      <c r="BD631" s="302"/>
      <c r="BE631" s="302"/>
      <c r="BF631" s="302"/>
      <c r="BG631" s="302"/>
      <c r="BH631" s="302"/>
      <c r="BI631" s="302"/>
      <c r="BJ631" s="302"/>
      <c r="BK631" s="302"/>
      <c r="BL631" s="302"/>
      <c r="BM631" s="302"/>
      <c r="BN631" s="302"/>
      <c r="BO631" s="302"/>
      <c r="BP631" s="302"/>
      <c r="BQ631" s="302"/>
      <c r="BR631" s="302"/>
      <c r="BS631" s="302"/>
      <c r="BT631" s="302"/>
      <c r="BU631" s="302"/>
      <c r="BV631" s="302"/>
      <c r="BW631" s="302"/>
      <c r="BX631" s="302"/>
      <c r="BY631" s="302"/>
      <c r="BZ631" s="302"/>
      <c r="CA631" s="302"/>
      <c r="CB631" s="28"/>
      <c r="CC631" s="28"/>
      <c r="CD631" s="28"/>
      <c r="CE631" s="28"/>
      <c r="CF631" s="28"/>
      <c r="CG631" s="28"/>
      <c r="CH631" s="28"/>
      <c r="CI631" s="28"/>
      <c r="CJ631" s="28"/>
      <c r="CK631" s="28"/>
      <c r="CL631" s="28"/>
      <c r="CM631" s="28"/>
      <c r="CN631" s="28"/>
      <c r="CO631" s="28"/>
      <c r="CP631" s="28"/>
      <c r="CQ631" s="28"/>
      <c r="CR631" s="28"/>
      <c r="CS631" s="28"/>
      <c r="CT631" s="28"/>
      <c r="CU631" s="28"/>
      <c r="CV631" s="28"/>
      <c r="CW631" s="28"/>
    </row>
    <row r="632" spans="1:101" ht="14.25" customHeight="1" x14ac:dyDescent="0.2">
      <c r="A632" s="286"/>
      <c r="B632" s="52">
        <v>0.14624690121970901</v>
      </c>
      <c r="C632" s="288">
        <v>4.7836999684812649E-2</v>
      </c>
      <c r="D632" s="288">
        <v>1.2899392279248188E-2</v>
      </c>
      <c r="E632" s="288">
        <v>1.6589547774692126E-2</v>
      </c>
      <c r="F632" s="289">
        <v>0.79291493030924121</v>
      </c>
      <c r="G632" s="92">
        <v>0.40568168460096088</v>
      </c>
      <c r="H632" s="288">
        <v>0.50384454913277021</v>
      </c>
      <c r="I632" s="288">
        <v>3.2798943633015387E-2</v>
      </c>
      <c r="J632" s="288">
        <v>0.99999007255977423</v>
      </c>
      <c r="K632" s="288">
        <v>0.82817716105438099</v>
      </c>
      <c r="L632" s="290">
        <v>7509.0888631425278</v>
      </c>
      <c r="M632" s="288">
        <v>0</v>
      </c>
      <c r="N632" s="288">
        <v>19760.420724716067</v>
      </c>
      <c r="O632" s="288">
        <v>1197.9718519595644</v>
      </c>
      <c r="P632" s="288">
        <v>43590.821483020183</v>
      </c>
      <c r="Q632" s="291">
        <v>98991.087929676854</v>
      </c>
      <c r="R632" s="288">
        <v>25233.451163018155</v>
      </c>
      <c r="S632" s="288">
        <v>7846.5885729601096</v>
      </c>
      <c r="T632" s="290">
        <v>0.751</v>
      </c>
      <c r="U632" s="288">
        <v>0.75800000000000001</v>
      </c>
      <c r="V632" s="288">
        <v>0.723923076923077</v>
      </c>
      <c r="W632" s="288">
        <v>0.72750000000000004</v>
      </c>
      <c r="X632" s="288">
        <v>0.76</v>
      </c>
      <c r="Y632" s="288">
        <v>0</v>
      </c>
      <c r="Z632" s="289">
        <v>0</v>
      </c>
      <c r="AA632" s="229"/>
      <c r="AB632" s="293">
        <v>69658.376373744133</v>
      </c>
      <c r="AC632" s="294">
        <v>3.2024138715643025</v>
      </c>
      <c r="AD632" s="295">
        <v>72449.468008624652</v>
      </c>
      <c r="AE632" s="294">
        <v>3.3728459382720897</v>
      </c>
      <c r="AF632" s="295">
        <v>-2791.0916348805185</v>
      </c>
      <c r="AG632" s="296">
        <v>-0.17043206670778721</v>
      </c>
      <c r="AH632" s="229"/>
      <c r="AI632" s="205">
        <f t="shared" si="68"/>
        <v>250583.01078268609</v>
      </c>
      <c r="AJ632" s="205">
        <f t="shared" si="69"/>
        <v>264835.12581858435</v>
      </c>
      <c r="AK632" s="205">
        <f t="shared" si="70"/>
        <v>-14252.115035898201</v>
      </c>
      <c r="AL632" s="229"/>
      <c r="AM632" s="52">
        <f t="shared" si="58"/>
        <v>0</v>
      </c>
      <c r="AN632" s="52">
        <f t="shared" si="59"/>
        <v>1</v>
      </c>
      <c r="AO632" s="52">
        <f t="shared" si="60"/>
        <v>0</v>
      </c>
      <c r="AP632" s="229"/>
      <c r="AQ632" s="28"/>
      <c r="AR632" s="28"/>
      <c r="AS632" s="28"/>
      <c r="AT632" s="28"/>
      <c r="AU632" s="229"/>
      <c r="AV632" s="318">
        <f t="shared" si="71"/>
        <v>264835.12581858435</v>
      </c>
      <c r="AW632" s="229"/>
      <c r="AX632" s="313"/>
      <c r="AY632" s="302"/>
      <c r="AZ632" s="14">
        <f t="shared" si="73"/>
        <v>-2791.0916348805185</v>
      </c>
      <c r="BA632" s="14">
        <f t="shared" si="72"/>
        <v>-0.17043206670778721</v>
      </c>
      <c r="BB632" s="14">
        <f t="shared" si="61"/>
        <v>16376.563922480385</v>
      </c>
      <c r="BC632" s="302"/>
      <c r="BD632" s="302"/>
      <c r="BE632" s="302"/>
      <c r="BF632" s="302"/>
      <c r="BG632" s="302"/>
      <c r="BH632" s="302"/>
      <c r="BI632" s="302"/>
      <c r="BJ632" s="302"/>
      <c r="BK632" s="302"/>
      <c r="BL632" s="302"/>
      <c r="BM632" s="302"/>
      <c r="BN632" s="302"/>
      <c r="BO632" s="302"/>
      <c r="BP632" s="302"/>
      <c r="BQ632" s="302"/>
      <c r="BR632" s="302"/>
      <c r="BS632" s="302"/>
      <c r="BT632" s="302"/>
      <c r="BU632" s="302"/>
      <c r="BV632" s="302"/>
      <c r="BW632" s="302"/>
      <c r="BX632" s="302"/>
      <c r="BY632" s="302"/>
      <c r="BZ632" s="302"/>
      <c r="CA632" s="302"/>
      <c r="CB632" s="28"/>
      <c r="CC632" s="28"/>
      <c r="CD632" s="28"/>
      <c r="CE632" s="28"/>
      <c r="CF632" s="28"/>
      <c r="CG632" s="28"/>
      <c r="CH632" s="28"/>
      <c r="CI632" s="28"/>
      <c r="CJ632" s="28"/>
      <c r="CK632" s="28"/>
      <c r="CL632" s="28"/>
      <c r="CM632" s="28"/>
      <c r="CN632" s="28"/>
      <c r="CO632" s="28"/>
      <c r="CP632" s="28"/>
      <c r="CQ632" s="28"/>
      <c r="CR632" s="28"/>
      <c r="CS632" s="28"/>
      <c r="CT632" s="28"/>
      <c r="CU632" s="28"/>
      <c r="CV632" s="28"/>
      <c r="CW632" s="28"/>
    </row>
    <row r="633" spans="1:101" ht="14.25" customHeight="1" x14ac:dyDescent="0.2">
      <c r="A633" s="286"/>
      <c r="B633" s="52">
        <v>0.1483975582344492</v>
      </c>
      <c r="C633" s="288">
        <v>0.76724761428704302</v>
      </c>
      <c r="D633" s="288">
        <v>1.8955662988652255E-2</v>
      </c>
      <c r="E633" s="288">
        <v>1.5570770098505826E-2</v>
      </c>
      <c r="F633" s="289">
        <v>0.75954645990781733</v>
      </c>
      <c r="G633" s="92">
        <v>0.36588939966134504</v>
      </c>
      <c r="H633" s="288">
        <v>0.52706603786940653</v>
      </c>
      <c r="I633" s="288">
        <v>2.424462277400008E-2</v>
      </c>
      <c r="J633" s="288">
        <v>0.99999859520789647</v>
      </c>
      <c r="K633" s="288">
        <v>0.74508248428042756</v>
      </c>
      <c r="L633" s="290">
        <v>7686.6125077759525</v>
      </c>
      <c r="M633" s="288">
        <v>0</v>
      </c>
      <c r="N633" s="288">
        <v>11771.793013539129</v>
      </c>
      <c r="O633" s="288">
        <v>1095.4754896091758</v>
      </c>
      <c r="P633" s="288">
        <v>41697.168272382551</v>
      </c>
      <c r="Q633" s="291">
        <v>94078.191469542056</v>
      </c>
      <c r="R633" s="288">
        <v>28924.860110973099</v>
      </c>
      <c r="S633" s="288">
        <v>9120.4327938783354</v>
      </c>
      <c r="T633" s="290">
        <v>0.751</v>
      </c>
      <c r="U633" s="288">
        <v>0.75800000000000001</v>
      </c>
      <c r="V633" s="288">
        <v>0.723923076923077</v>
      </c>
      <c r="W633" s="288">
        <v>0.72750000000000004</v>
      </c>
      <c r="X633" s="288">
        <v>0.76</v>
      </c>
      <c r="Y633" s="288">
        <v>0</v>
      </c>
      <c r="Z633" s="289">
        <v>0</v>
      </c>
      <c r="AA633" s="229"/>
      <c r="AB633" s="293">
        <v>80006.49606060615</v>
      </c>
      <c r="AC633" s="294">
        <v>3.0477690134540856</v>
      </c>
      <c r="AD633" s="295">
        <v>75110.796722775194</v>
      </c>
      <c r="AE633" s="294">
        <v>2.9856386895851514</v>
      </c>
      <c r="AF633" s="295">
        <v>4895.6993378309562</v>
      </c>
      <c r="AG633" s="296">
        <v>6.2130323868934134E-2</v>
      </c>
      <c r="AH633" s="229"/>
      <c r="AI633" s="205">
        <f t="shared" si="68"/>
        <v>224770.40528480243</v>
      </c>
      <c r="AJ633" s="205">
        <f t="shared" si="69"/>
        <v>223453.07223573991</v>
      </c>
      <c r="AK633" s="205">
        <f t="shared" si="70"/>
        <v>1317.3330490624576</v>
      </c>
      <c r="AL633" s="229"/>
      <c r="AM633" s="52">
        <f t="shared" si="58"/>
        <v>1</v>
      </c>
      <c r="AN633" s="52">
        <f t="shared" si="59"/>
        <v>0</v>
      </c>
      <c r="AO633" s="52">
        <f t="shared" si="60"/>
        <v>1</v>
      </c>
      <c r="AP633" s="229"/>
      <c r="AQ633" s="28"/>
      <c r="AR633" s="28"/>
      <c r="AS633" s="28"/>
      <c r="AT633" s="28"/>
      <c r="AU633" s="229"/>
      <c r="AV633" s="318">
        <f t="shared" si="71"/>
        <v>224770.40528480243</v>
      </c>
      <c r="AW633" s="229"/>
      <c r="AX633" s="313"/>
      <c r="AY633" s="302"/>
      <c r="AZ633" s="14">
        <f t="shared" si="73"/>
        <v>4895.6993378309562</v>
      </c>
      <c r="BA633" s="14">
        <f t="shared" si="72"/>
        <v>6.2130323868934134E-2</v>
      </c>
      <c r="BB633" s="14">
        <f t="shared" si="61"/>
        <v>78797.260869886784</v>
      </c>
      <c r="BC633" s="302"/>
      <c r="BD633" s="302"/>
      <c r="BE633" s="302"/>
      <c r="BF633" s="302"/>
      <c r="BG633" s="302"/>
      <c r="BH633" s="302"/>
      <c r="BI633" s="302"/>
      <c r="BJ633" s="302"/>
      <c r="BK633" s="302"/>
      <c r="BL633" s="302"/>
      <c r="BM633" s="302"/>
      <c r="BN633" s="302"/>
      <c r="BO633" s="302"/>
      <c r="BP633" s="302"/>
      <c r="BQ633" s="302"/>
      <c r="BR633" s="302"/>
      <c r="BS633" s="302"/>
      <c r="BT633" s="302"/>
      <c r="BU633" s="302"/>
      <c r="BV633" s="302"/>
      <c r="BW633" s="302"/>
      <c r="BX633" s="302"/>
      <c r="BY633" s="302"/>
      <c r="BZ633" s="302"/>
      <c r="CA633" s="302"/>
      <c r="CB633" s="28"/>
      <c r="CC633" s="28"/>
      <c r="CD633" s="28"/>
      <c r="CE633" s="28"/>
      <c r="CF633" s="28"/>
      <c r="CG633" s="28"/>
      <c r="CH633" s="28"/>
      <c r="CI633" s="28"/>
      <c r="CJ633" s="28"/>
      <c r="CK633" s="28"/>
      <c r="CL633" s="28"/>
      <c r="CM633" s="28"/>
      <c r="CN633" s="28"/>
      <c r="CO633" s="28"/>
      <c r="CP633" s="28"/>
      <c r="CQ633" s="28"/>
      <c r="CR633" s="28"/>
      <c r="CS633" s="28"/>
      <c r="CT633" s="28"/>
      <c r="CU633" s="28"/>
      <c r="CV633" s="28"/>
      <c r="CW633" s="28"/>
    </row>
    <row r="634" spans="1:101" ht="14.25" customHeight="1" x14ac:dyDescent="0.2">
      <c r="A634" s="286"/>
      <c r="B634" s="52">
        <v>0.17524460697777267</v>
      </c>
      <c r="C634" s="288">
        <v>0.1223939874527014</v>
      </c>
      <c r="D634" s="288">
        <v>9.1793347429337084E-3</v>
      </c>
      <c r="E634" s="288">
        <v>1.9456740889210455E-2</v>
      </c>
      <c r="F634" s="289">
        <v>0.82646498930621037</v>
      </c>
      <c r="G634" s="92">
        <v>0.43126506170068846</v>
      </c>
      <c r="H634" s="288">
        <v>0.74870578187045878</v>
      </c>
      <c r="I634" s="288">
        <v>3.5629020064656847E-2</v>
      </c>
      <c r="J634" s="288">
        <v>1</v>
      </c>
      <c r="K634" s="288">
        <v>0.73341531756315548</v>
      </c>
      <c r="L634" s="290">
        <v>12763.731946643931</v>
      </c>
      <c r="M634" s="288">
        <v>0</v>
      </c>
      <c r="N634" s="288">
        <v>18075.334598084024</v>
      </c>
      <c r="O634" s="288">
        <v>1648.3159418972095</v>
      </c>
      <c r="P634" s="288">
        <v>33308.008887537595</v>
      </c>
      <c r="Q634" s="291">
        <v>102946.32386477063</v>
      </c>
      <c r="R634" s="288">
        <v>22117.60750497253</v>
      </c>
      <c r="S634" s="288">
        <v>9306.0732854717662</v>
      </c>
      <c r="T634" s="290">
        <v>0.751</v>
      </c>
      <c r="U634" s="288">
        <v>0.75800000000000001</v>
      </c>
      <c r="V634" s="288">
        <v>0.723923076923077</v>
      </c>
      <c r="W634" s="288">
        <v>0.72750000000000004</v>
      </c>
      <c r="X634" s="288">
        <v>0.76</v>
      </c>
      <c r="Y634" s="288">
        <v>0</v>
      </c>
      <c r="Z634" s="289">
        <v>0</v>
      </c>
      <c r="AA634" s="229"/>
      <c r="AB634" s="293">
        <v>89854.101811480723</v>
      </c>
      <c r="AC634" s="294">
        <v>3.3596610306861581</v>
      </c>
      <c r="AD634" s="295">
        <v>78068.892103988284</v>
      </c>
      <c r="AE634" s="294">
        <v>2.9321430034396974</v>
      </c>
      <c r="AF634" s="295">
        <v>11785.209707492439</v>
      </c>
      <c r="AG634" s="296">
        <v>0.42751802724646071</v>
      </c>
      <c r="AH634" s="229"/>
      <c r="AI634" s="205">
        <f t="shared" si="68"/>
        <v>246112.00125713513</v>
      </c>
      <c r="AJ634" s="205">
        <f t="shared" si="69"/>
        <v>215145.40823998145</v>
      </c>
      <c r="AK634" s="205">
        <f t="shared" si="70"/>
        <v>30966.593017153631</v>
      </c>
      <c r="AL634" s="229"/>
      <c r="AM634" s="52">
        <f t="shared" si="58"/>
        <v>1</v>
      </c>
      <c r="AN634" s="52">
        <f t="shared" si="59"/>
        <v>0</v>
      </c>
      <c r="AO634" s="52">
        <f t="shared" si="60"/>
        <v>1</v>
      </c>
      <c r="AP634" s="229"/>
      <c r="AQ634" s="28"/>
      <c r="AR634" s="28"/>
      <c r="AS634" s="28"/>
      <c r="AT634" s="28"/>
      <c r="AU634" s="229"/>
      <c r="AV634" s="318">
        <f t="shared" si="71"/>
        <v>246112.00125713513</v>
      </c>
      <c r="AW634" s="229"/>
      <c r="AX634" s="313"/>
      <c r="AY634" s="302"/>
      <c r="AZ634" s="14">
        <f t="shared" si="73"/>
        <v>11785.209707492439</v>
      </c>
      <c r="BA634" s="14">
        <f t="shared" si="72"/>
        <v>0.42751802724646071</v>
      </c>
      <c r="BB634" s="14">
        <f t="shared" si="61"/>
        <v>27566.579550804207</v>
      </c>
      <c r="BC634" s="302"/>
      <c r="BD634" s="302"/>
      <c r="BE634" s="302"/>
      <c r="BF634" s="302"/>
      <c r="BG634" s="302"/>
      <c r="BH634" s="302"/>
      <c r="BI634" s="302"/>
      <c r="BJ634" s="302"/>
      <c r="BK634" s="302"/>
      <c r="BL634" s="302"/>
      <c r="BM634" s="302"/>
      <c r="BN634" s="302"/>
      <c r="BO634" s="302"/>
      <c r="BP634" s="302"/>
      <c r="BQ634" s="302"/>
      <c r="BR634" s="302"/>
      <c r="BS634" s="302"/>
      <c r="BT634" s="302"/>
      <c r="BU634" s="302"/>
      <c r="BV634" s="302"/>
      <c r="BW634" s="302"/>
      <c r="BX634" s="302"/>
      <c r="BY634" s="302"/>
      <c r="BZ634" s="302"/>
      <c r="CA634" s="302"/>
      <c r="CB634" s="28"/>
      <c r="CC634" s="28"/>
      <c r="CD634" s="28"/>
      <c r="CE634" s="28"/>
      <c r="CF634" s="28"/>
      <c r="CG634" s="28"/>
      <c r="CH634" s="28"/>
      <c r="CI634" s="28"/>
      <c r="CJ634" s="28"/>
      <c r="CK634" s="28"/>
      <c r="CL634" s="28"/>
      <c r="CM634" s="28"/>
      <c r="CN634" s="28"/>
      <c r="CO634" s="28"/>
      <c r="CP634" s="28"/>
      <c r="CQ634" s="28"/>
      <c r="CR634" s="28"/>
      <c r="CS634" s="28"/>
      <c r="CT634" s="28"/>
      <c r="CU634" s="28"/>
      <c r="CV634" s="28"/>
      <c r="CW634" s="28"/>
    </row>
    <row r="635" spans="1:101" ht="14.25" customHeight="1" x14ac:dyDescent="0.2">
      <c r="A635" s="286"/>
      <c r="B635" s="52">
        <v>0.17026223321868383</v>
      </c>
      <c r="C635" s="288">
        <v>0.23130398984838718</v>
      </c>
      <c r="D635" s="288">
        <v>8.1544456524640565E-3</v>
      </c>
      <c r="E635" s="288">
        <v>2.057041926017722E-2</v>
      </c>
      <c r="F635" s="289">
        <v>0.78606152292077214</v>
      </c>
      <c r="G635" s="92">
        <v>0.41976216263221278</v>
      </c>
      <c r="H635" s="288">
        <v>0.95024303724802661</v>
      </c>
      <c r="I635" s="288">
        <v>9.6907720805473191E-3</v>
      </c>
      <c r="J635" s="288">
        <v>0.93882816338649233</v>
      </c>
      <c r="K635" s="288">
        <v>0.78550561529680563</v>
      </c>
      <c r="L635" s="290">
        <v>10508.502011435505</v>
      </c>
      <c r="M635" s="288">
        <v>0</v>
      </c>
      <c r="N635" s="288">
        <v>15260.225497745541</v>
      </c>
      <c r="O635" s="288">
        <v>1196.0596541782434</v>
      </c>
      <c r="P635" s="288">
        <v>55333.258866953765</v>
      </c>
      <c r="Q635" s="291">
        <v>95264.269854529237</v>
      </c>
      <c r="R635" s="288">
        <v>19070.404628012337</v>
      </c>
      <c r="S635" s="288">
        <v>7412.1177394047909</v>
      </c>
      <c r="T635" s="290">
        <v>0.751</v>
      </c>
      <c r="U635" s="288">
        <v>0.75800000000000001</v>
      </c>
      <c r="V635" s="288">
        <v>0.723923076923077</v>
      </c>
      <c r="W635" s="288">
        <v>0.72750000000000004</v>
      </c>
      <c r="X635" s="288">
        <v>0.76</v>
      </c>
      <c r="Y635" s="288">
        <v>0</v>
      </c>
      <c r="Z635" s="289">
        <v>0</v>
      </c>
      <c r="AA635" s="229"/>
      <c r="AB635" s="293">
        <v>69291.94808225405</v>
      </c>
      <c r="AC635" s="294">
        <v>3.1705095129574952</v>
      </c>
      <c r="AD635" s="295">
        <v>66767.057320629101</v>
      </c>
      <c r="AE635" s="294">
        <v>3.1726442456551514</v>
      </c>
      <c r="AF635" s="295">
        <v>2524.8907616249489</v>
      </c>
      <c r="AG635" s="296">
        <v>-2.1347326976561831E-3</v>
      </c>
      <c r="AH635" s="229"/>
      <c r="AI635" s="205">
        <f t="shared" si="68"/>
        <v>247759.00321349548</v>
      </c>
      <c r="AJ635" s="205">
        <f t="shared" si="69"/>
        <v>250497.36724488603</v>
      </c>
      <c r="AK635" s="205">
        <f t="shared" si="70"/>
        <v>-2738.3640313905671</v>
      </c>
      <c r="AL635" s="229"/>
      <c r="AM635" s="52">
        <f t="shared" si="58"/>
        <v>0</v>
      </c>
      <c r="AN635" s="52">
        <f t="shared" si="59"/>
        <v>1</v>
      </c>
      <c r="AO635" s="52">
        <f t="shared" si="60"/>
        <v>0</v>
      </c>
      <c r="AP635" s="229"/>
      <c r="AQ635" s="28"/>
      <c r="AR635" s="28"/>
      <c r="AS635" s="28"/>
      <c r="AT635" s="28"/>
      <c r="AU635" s="229"/>
      <c r="AV635" s="318">
        <f t="shared" si="71"/>
        <v>250497.36724488603</v>
      </c>
      <c r="AW635" s="229"/>
      <c r="AX635" s="313"/>
      <c r="AY635" s="302"/>
      <c r="AZ635" s="14">
        <f t="shared" si="73"/>
        <v>2524.8907616249489</v>
      </c>
      <c r="BA635" s="14">
        <f t="shared" si="72"/>
        <v>-2.1347326976561831E-3</v>
      </c>
      <c r="BB635" s="14">
        <f t="shared" si="61"/>
        <v>-1182766.7062940188</v>
      </c>
      <c r="BC635" s="302"/>
      <c r="BD635" s="302"/>
      <c r="BE635" s="302"/>
      <c r="BF635" s="302"/>
      <c r="BG635" s="302"/>
      <c r="BH635" s="302"/>
      <c r="BI635" s="302"/>
      <c r="BJ635" s="302"/>
      <c r="BK635" s="302"/>
      <c r="BL635" s="302"/>
      <c r="BM635" s="302"/>
      <c r="BN635" s="302"/>
      <c r="BO635" s="302"/>
      <c r="BP635" s="302"/>
      <c r="BQ635" s="302"/>
      <c r="BR635" s="302"/>
      <c r="BS635" s="302"/>
      <c r="BT635" s="302"/>
      <c r="BU635" s="302"/>
      <c r="BV635" s="302"/>
      <c r="BW635" s="302"/>
      <c r="BX635" s="302"/>
      <c r="BY635" s="302"/>
      <c r="BZ635" s="302"/>
      <c r="CA635" s="302"/>
      <c r="CB635" s="28"/>
      <c r="CC635" s="28"/>
      <c r="CD635" s="28"/>
      <c r="CE635" s="28"/>
      <c r="CF635" s="28"/>
      <c r="CG635" s="28"/>
      <c r="CH635" s="28"/>
      <c r="CI635" s="28"/>
      <c r="CJ635" s="28"/>
      <c r="CK635" s="28"/>
      <c r="CL635" s="28"/>
      <c r="CM635" s="28"/>
      <c r="CN635" s="28"/>
      <c r="CO635" s="28"/>
      <c r="CP635" s="28"/>
      <c r="CQ635" s="28"/>
      <c r="CR635" s="28"/>
      <c r="CS635" s="28"/>
      <c r="CT635" s="28"/>
      <c r="CU635" s="28"/>
      <c r="CV635" s="28"/>
      <c r="CW635" s="28"/>
    </row>
    <row r="636" spans="1:101" ht="14.25" customHeight="1" x14ac:dyDescent="0.2">
      <c r="A636" s="286"/>
      <c r="B636" s="52">
        <v>0.15172031545095668</v>
      </c>
      <c r="C636" s="288">
        <v>0.20326711102438988</v>
      </c>
      <c r="D636" s="288">
        <v>1.5943836497250508E-2</v>
      </c>
      <c r="E636" s="288">
        <v>1.8311271510799032E-2</v>
      </c>
      <c r="F636" s="289">
        <v>0.72504891994188025</v>
      </c>
      <c r="G636" s="92">
        <v>0.39597380649519504</v>
      </c>
      <c r="H636" s="288">
        <v>0.2601608878969775</v>
      </c>
      <c r="I636" s="288">
        <v>1.4985167496968019E-2</v>
      </c>
      <c r="J636" s="288">
        <v>1</v>
      </c>
      <c r="K636" s="288">
        <v>0.77866750283176289</v>
      </c>
      <c r="L636" s="290">
        <v>15249.449384433869</v>
      </c>
      <c r="M636" s="288">
        <v>0</v>
      </c>
      <c r="N636" s="288">
        <v>19547.452130766644</v>
      </c>
      <c r="O636" s="288">
        <v>1031.7563335627344</v>
      </c>
      <c r="P636" s="288">
        <v>38639.501399389075</v>
      </c>
      <c r="Q636" s="291">
        <v>54736.380389652739</v>
      </c>
      <c r="R636" s="288">
        <v>19211.199094137875</v>
      </c>
      <c r="S636" s="288">
        <v>13016.777742027063</v>
      </c>
      <c r="T636" s="290">
        <v>0.751</v>
      </c>
      <c r="U636" s="288">
        <v>0.75800000000000001</v>
      </c>
      <c r="V636" s="288">
        <v>0.723923076923077</v>
      </c>
      <c r="W636" s="288">
        <v>0.72750000000000004</v>
      </c>
      <c r="X636" s="288">
        <v>0.76</v>
      </c>
      <c r="Y636" s="288">
        <v>0</v>
      </c>
      <c r="Z636" s="289">
        <v>0</v>
      </c>
      <c r="AA636" s="229"/>
      <c r="AB636" s="293">
        <v>109589.23939875454</v>
      </c>
      <c r="AC636" s="294">
        <v>2.889727621302459</v>
      </c>
      <c r="AD636" s="295">
        <v>104120.20103718081</v>
      </c>
      <c r="AE636" s="294">
        <v>3.1408287590573281</v>
      </c>
      <c r="AF636" s="295">
        <v>5469.0383615737228</v>
      </c>
      <c r="AG636" s="296">
        <v>-0.25110113775486909</v>
      </c>
      <c r="AH636" s="229"/>
      <c r="AI636" s="205">
        <f t="shared" si="68"/>
        <v>179383.52273149136</v>
      </c>
      <c r="AJ636" s="205">
        <f t="shared" si="69"/>
        <v>209962.67486855199</v>
      </c>
      <c r="AK636" s="205">
        <f t="shared" si="70"/>
        <v>-30579.152137060632</v>
      </c>
      <c r="AL636" s="229"/>
      <c r="AM636" s="52">
        <f t="shared" si="58"/>
        <v>0</v>
      </c>
      <c r="AN636" s="52">
        <f t="shared" si="59"/>
        <v>1</v>
      </c>
      <c r="AO636" s="52">
        <f t="shared" si="60"/>
        <v>0</v>
      </c>
      <c r="AP636" s="229"/>
      <c r="AQ636" s="28"/>
      <c r="AR636" s="28"/>
      <c r="AS636" s="28"/>
      <c r="AT636" s="28"/>
      <c r="AU636" s="229"/>
      <c r="AV636" s="318">
        <f t="shared" si="71"/>
        <v>209962.67486855199</v>
      </c>
      <c r="AW636" s="229"/>
      <c r="AX636" s="313"/>
      <c r="AY636" s="302"/>
      <c r="AZ636" s="14">
        <f t="shared" si="73"/>
        <v>5469.0383615737228</v>
      </c>
      <c r="BA636" s="14">
        <f t="shared" si="72"/>
        <v>-0.25110113775486909</v>
      </c>
      <c r="BB636" s="14">
        <f t="shared" si="61"/>
        <v>-21780.2213501427</v>
      </c>
      <c r="BC636" s="302"/>
      <c r="BD636" s="302"/>
      <c r="BE636" s="302"/>
      <c r="BF636" s="302"/>
      <c r="BG636" s="302"/>
      <c r="BH636" s="302"/>
      <c r="BI636" s="302"/>
      <c r="BJ636" s="302"/>
      <c r="BK636" s="302"/>
      <c r="BL636" s="302"/>
      <c r="BM636" s="302"/>
      <c r="BN636" s="302"/>
      <c r="BO636" s="302"/>
      <c r="BP636" s="302"/>
      <c r="BQ636" s="302"/>
      <c r="BR636" s="302"/>
      <c r="BS636" s="302"/>
      <c r="BT636" s="302"/>
      <c r="BU636" s="302"/>
      <c r="BV636" s="302"/>
      <c r="BW636" s="302"/>
      <c r="BX636" s="302"/>
      <c r="BY636" s="302"/>
      <c r="BZ636" s="302"/>
      <c r="CA636" s="302"/>
      <c r="CB636" s="28"/>
      <c r="CC636" s="28"/>
      <c r="CD636" s="28"/>
      <c r="CE636" s="28"/>
      <c r="CF636" s="28"/>
      <c r="CG636" s="28"/>
      <c r="CH636" s="28"/>
      <c r="CI636" s="28"/>
      <c r="CJ636" s="28"/>
      <c r="CK636" s="28"/>
      <c r="CL636" s="28"/>
      <c r="CM636" s="28"/>
      <c r="CN636" s="28"/>
      <c r="CO636" s="28"/>
      <c r="CP636" s="28"/>
      <c r="CQ636" s="28"/>
      <c r="CR636" s="28"/>
      <c r="CS636" s="28"/>
      <c r="CT636" s="28"/>
      <c r="CU636" s="28"/>
      <c r="CV636" s="28"/>
      <c r="CW636" s="28"/>
    </row>
    <row r="637" spans="1:101" ht="14.25" customHeight="1" x14ac:dyDescent="0.2">
      <c r="A637" s="286"/>
      <c r="B637" s="52">
        <v>0.13788030746965671</v>
      </c>
      <c r="C637" s="288">
        <v>0.3486483156784479</v>
      </c>
      <c r="D637" s="288">
        <v>1.6754152221391649E-2</v>
      </c>
      <c r="E637" s="288">
        <v>1.6187883670469416E-2</v>
      </c>
      <c r="F637" s="289">
        <v>0.76593963649933461</v>
      </c>
      <c r="G637" s="92">
        <v>0.39840792248902773</v>
      </c>
      <c r="H637" s="288">
        <v>0.6407984069981445</v>
      </c>
      <c r="I637" s="288">
        <v>1.4806130938119287E-3</v>
      </c>
      <c r="J637" s="288">
        <v>1.0593624469124921E-3</v>
      </c>
      <c r="K637" s="288">
        <v>0.70245814880826341</v>
      </c>
      <c r="L637" s="290">
        <v>15355.269871339371</v>
      </c>
      <c r="M637" s="288">
        <v>0</v>
      </c>
      <c r="N637" s="288">
        <v>16768.15606647887</v>
      </c>
      <c r="O637" s="288">
        <v>1075.5583826072643</v>
      </c>
      <c r="P637" s="288">
        <v>46236.890068103959</v>
      </c>
      <c r="Q637" s="291">
        <v>99778.93875742401</v>
      </c>
      <c r="R637" s="288">
        <v>24362.359764600245</v>
      </c>
      <c r="S637" s="288">
        <v>10006.028628894468</v>
      </c>
      <c r="T637" s="290">
        <v>0.751</v>
      </c>
      <c r="U637" s="288">
        <v>0.75800000000000001</v>
      </c>
      <c r="V637" s="288">
        <v>0.723923076923077</v>
      </c>
      <c r="W637" s="288">
        <v>0.72750000000000004</v>
      </c>
      <c r="X637" s="288">
        <v>0.76</v>
      </c>
      <c r="Y637" s="288">
        <v>0</v>
      </c>
      <c r="Z637" s="289">
        <v>0</v>
      </c>
      <c r="AA637" s="229"/>
      <c r="AB637" s="293">
        <v>92798.816694671477</v>
      </c>
      <c r="AC637" s="294">
        <v>3.0772626878111957</v>
      </c>
      <c r="AD637" s="295">
        <v>76791.056929742481</v>
      </c>
      <c r="AE637" s="294">
        <v>2.7912397566145528</v>
      </c>
      <c r="AF637" s="295">
        <v>16007.759764928996</v>
      </c>
      <c r="AG637" s="296">
        <v>0.2860229311966429</v>
      </c>
      <c r="AH637" s="229"/>
      <c r="AI637" s="205">
        <f t="shared" si="68"/>
        <v>214927.45208644809</v>
      </c>
      <c r="AJ637" s="205">
        <f t="shared" si="69"/>
        <v>202332.91873171282</v>
      </c>
      <c r="AK637" s="205">
        <f t="shared" si="70"/>
        <v>12594.533354735293</v>
      </c>
      <c r="AL637" s="229"/>
      <c r="AM637" s="52">
        <f t="shared" si="58"/>
        <v>1</v>
      </c>
      <c r="AN637" s="52">
        <f t="shared" si="59"/>
        <v>0</v>
      </c>
      <c r="AO637" s="52">
        <f t="shared" si="60"/>
        <v>1</v>
      </c>
      <c r="AP637" s="229"/>
      <c r="AQ637" s="28"/>
      <c r="AR637" s="28"/>
      <c r="AS637" s="28"/>
      <c r="AT637" s="28"/>
      <c r="AU637" s="229"/>
      <c r="AV637" s="318">
        <f t="shared" si="71"/>
        <v>214927.45208644809</v>
      </c>
      <c r="AW637" s="229"/>
      <c r="AX637" s="313"/>
      <c r="AY637" s="302"/>
      <c r="AZ637" s="14">
        <f t="shared" si="73"/>
        <v>16007.759764928996</v>
      </c>
      <c r="BA637" s="14">
        <f t="shared" si="72"/>
        <v>0.2860229311966429</v>
      </c>
      <c r="BB637" s="14">
        <f t="shared" si="61"/>
        <v>55966.700634654859</v>
      </c>
      <c r="BC637" s="302"/>
      <c r="BD637" s="302"/>
      <c r="BE637" s="302"/>
      <c r="BF637" s="302"/>
      <c r="BG637" s="302"/>
      <c r="BH637" s="302"/>
      <c r="BI637" s="302"/>
      <c r="BJ637" s="302"/>
      <c r="BK637" s="302"/>
      <c r="BL637" s="302"/>
      <c r="BM637" s="302"/>
      <c r="BN637" s="302"/>
      <c r="BO637" s="302"/>
      <c r="BP637" s="302"/>
      <c r="BQ637" s="302"/>
      <c r="BR637" s="302"/>
      <c r="BS637" s="302"/>
      <c r="BT637" s="302"/>
      <c r="BU637" s="302"/>
      <c r="BV637" s="302"/>
      <c r="BW637" s="302"/>
      <c r="BX637" s="302"/>
      <c r="BY637" s="302"/>
      <c r="BZ637" s="302"/>
      <c r="CA637" s="302"/>
      <c r="CB637" s="28"/>
      <c r="CC637" s="28"/>
      <c r="CD637" s="28"/>
      <c r="CE637" s="28"/>
      <c r="CF637" s="28"/>
      <c r="CG637" s="28"/>
      <c r="CH637" s="28"/>
      <c r="CI637" s="28"/>
      <c r="CJ637" s="28"/>
      <c r="CK637" s="28"/>
      <c r="CL637" s="28"/>
      <c r="CM637" s="28"/>
      <c r="CN637" s="28"/>
      <c r="CO637" s="28"/>
      <c r="CP637" s="28"/>
      <c r="CQ637" s="28"/>
      <c r="CR637" s="28"/>
      <c r="CS637" s="28"/>
      <c r="CT637" s="28"/>
      <c r="CU637" s="28"/>
      <c r="CV637" s="28"/>
      <c r="CW637" s="28"/>
    </row>
    <row r="638" spans="1:101" ht="14.25" customHeight="1" x14ac:dyDescent="0.2">
      <c r="A638" s="286"/>
      <c r="B638" s="52">
        <v>0.11356151434420093</v>
      </c>
      <c r="C638" s="288">
        <v>5.458875474374369E-3</v>
      </c>
      <c r="D638" s="288">
        <v>6.4552992667814904E-3</v>
      </c>
      <c r="E638" s="288">
        <v>1.278454552049986E-2</v>
      </c>
      <c r="F638" s="289">
        <v>0.7443455337343019</v>
      </c>
      <c r="G638" s="92">
        <v>0.41579834830880047</v>
      </c>
      <c r="H638" s="288">
        <v>0.82923056395179839</v>
      </c>
      <c r="I638" s="288">
        <v>5.354806479431453E-3</v>
      </c>
      <c r="J638" s="288">
        <v>0.99999999992993582</v>
      </c>
      <c r="K638" s="288">
        <v>0.71083133509045116</v>
      </c>
      <c r="L638" s="290">
        <v>9677.5252285585175</v>
      </c>
      <c r="M638" s="288">
        <v>0</v>
      </c>
      <c r="N638" s="288">
        <v>26450.959769681791</v>
      </c>
      <c r="O638" s="288">
        <v>1373.9043952863237</v>
      </c>
      <c r="P638" s="288">
        <v>48411.09389724856</v>
      </c>
      <c r="Q638" s="291">
        <v>70606.340409679586</v>
      </c>
      <c r="R638" s="288">
        <v>21950.122467280707</v>
      </c>
      <c r="S638" s="288">
        <v>8311.3904266084373</v>
      </c>
      <c r="T638" s="290">
        <v>0.751</v>
      </c>
      <c r="U638" s="288">
        <v>0.75800000000000001</v>
      </c>
      <c r="V638" s="288">
        <v>0.723923076923077</v>
      </c>
      <c r="W638" s="288">
        <v>0.72750000000000004</v>
      </c>
      <c r="X638" s="288">
        <v>0.76</v>
      </c>
      <c r="Y638" s="288">
        <v>0</v>
      </c>
      <c r="Z638" s="289">
        <v>0</v>
      </c>
      <c r="AA638" s="229"/>
      <c r="AB638" s="293">
        <v>71160.565662947745</v>
      </c>
      <c r="AC638" s="294">
        <v>2.9778999331260567</v>
      </c>
      <c r="AD638" s="295">
        <v>67334.991633329832</v>
      </c>
      <c r="AE638" s="294">
        <v>2.8292017376062262</v>
      </c>
      <c r="AF638" s="295">
        <v>3825.5740296179138</v>
      </c>
      <c r="AG638" s="296">
        <v>0.14869819551983054</v>
      </c>
      <c r="AH638" s="229"/>
      <c r="AI638" s="205">
        <f t="shared" si="68"/>
        <v>226629.42764965791</v>
      </c>
      <c r="AJ638" s="205">
        <f t="shared" si="69"/>
        <v>215585.18212729279</v>
      </c>
      <c r="AK638" s="205">
        <f t="shared" si="70"/>
        <v>11044.245522365141</v>
      </c>
      <c r="AL638" s="229"/>
      <c r="AM638" s="52">
        <f t="shared" si="58"/>
        <v>1</v>
      </c>
      <c r="AN638" s="52">
        <f t="shared" si="59"/>
        <v>0</v>
      </c>
      <c r="AO638" s="52">
        <f t="shared" si="60"/>
        <v>1</v>
      </c>
      <c r="AP638" s="229"/>
      <c r="AQ638" s="28"/>
      <c r="AR638" s="28"/>
      <c r="AS638" s="28"/>
      <c r="AT638" s="28"/>
      <c r="AU638" s="229"/>
      <c r="AV638" s="318">
        <f t="shared" si="71"/>
        <v>226629.42764965791</v>
      </c>
      <c r="AW638" s="229"/>
      <c r="AX638" s="313"/>
      <c r="AY638" s="302"/>
      <c r="AZ638" s="14">
        <f t="shared" si="73"/>
        <v>3825.5740296179138</v>
      </c>
      <c r="BA638" s="14">
        <f t="shared" si="72"/>
        <v>0.14869819551983054</v>
      </c>
      <c r="BB638" s="14">
        <f t="shared" si="61"/>
        <v>25727.104597632668</v>
      </c>
      <c r="BC638" s="302"/>
      <c r="BD638" s="302"/>
      <c r="BE638" s="302"/>
      <c r="BF638" s="302"/>
      <c r="BG638" s="302"/>
      <c r="BH638" s="302"/>
      <c r="BI638" s="302"/>
      <c r="BJ638" s="302"/>
      <c r="BK638" s="302"/>
      <c r="BL638" s="302"/>
      <c r="BM638" s="302"/>
      <c r="BN638" s="302"/>
      <c r="BO638" s="302"/>
      <c r="BP638" s="302"/>
      <c r="BQ638" s="302"/>
      <c r="BR638" s="302"/>
      <c r="BS638" s="302"/>
      <c r="BT638" s="302"/>
      <c r="BU638" s="302"/>
      <c r="BV638" s="302"/>
      <c r="BW638" s="302"/>
      <c r="BX638" s="302"/>
      <c r="BY638" s="302"/>
      <c r="BZ638" s="302"/>
      <c r="CA638" s="302"/>
      <c r="CB638" s="28"/>
      <c r="CC638" s="28"/>
      <c r="CD638" s="28"/>
      <c r="CE638" s="28"/>
      <c r="CF638" s="28"/>
      <c r="CG638" s="28"/>
      <c r="CH638" s="28"/>
      <c r="CI638" s="28"/>
      <c r="CJ638" s="28"/>
      <c r="CK638" s="28"/>
      <c r="CL638" s="28"/>
      <c r="CM638" s="28"/>
      <c r="CN638" s="28"/>
      <c r="CO638" s="28"/>
      <c r="CP638" s="28"/>
      <c r="CQ638" s="28"/>
      <c r="CR638" s="28"/>
      <c r="CS638" s="28"/>
      <c r="CT638" s="28"/>
      <c r="CU638" s="28"/>
      <c r="CV638" s="28"/>
      <c r="CW638" s="28"/>
    </row>
    <row r="639" spans="1:101" ht="14.25" customHeight="1" x14ac:dyDescent="0.2">
      <c r="A639" s="286"/>
      <c r="B639" s="52">
        <v>0.14411559767475732</v>
      </c>
      <c r="C639" s="288">
        <v>0.10309784822195218</v>
      </c>
      <c r="D639" s="288">
        <v>1.8576949671887388E-2</v>
      </c>
      <c r="E639" s="288">
        <v>3.1906193398947402E-2</v>
      </c>
      <c r="F639" s="289">
        <v>0.77205205450508707</v>
      </c>
      <c r="G639" s="92">
        <v>0.4271883769083159</v>
      </c>
      <c r="H639" s="288">
        <v>8.9608096123312109E-2</v>
      </c>
      <c r="I639" s="288">
        <v>3.2022762435980123E-2</v>
      </c>
      <c r="J639" s="288">
        <v>0.99942550575056543</v>
      </c>
      <c r="K639" s="288">
        <v>0.70901957389501014</v>
      </c>
      <c r="L639" s="290">
        <v>8035.826455497986</v>
      </c>
      <c r="M639" s="288">
        <v>0</v>
      </c>
      <c r="N639" s="288">
        <v>24272.226828906576</v>
      </c>
      <c r="O639" s="288">
        <v>1134.7272926287983</v>
      </c>
      <c r="P639" s="288">
        <v>43076.351437246143</v>
      </c>
      <c r="Q639" s="291">
        <v>78074.408763119674</v>
      </c>
      <c r="R639" s="288">
        <v>20040.221610908655</v>
      </c>
      <c r="S639" s="288">
        <v>6787.7203888129879</v>
      </c>
      <c r="T639" s="290">
        <v>0.751</v>
      </c>
      <c r="U639" s="288">
        <v>0.75800000000000001</v>
      </c>
      <c r="V639" s="288">
        <v>0.723923076923077</v>
      </c>
      <c r="W639" s="288">
        <v>0.72750000000000004</v>
      </c>
      <c r="X639" s="288">
        <v>0.76</v>
      </c>
      <c r="Y639" s="288">
        <v>0</v>
      </c>
      <c r="Z639" s="289">
        <v>0</v>
      </c>
      <c r="AA639" s="229"/>
      <c r="AB639" s="293">
        <v>60604.557462767516</v>
      </c>
      <c r="AC639" s="294">
        <v>3.105521084761103</v>
      </c>
      <c r="AD639" s="295">
        <v>51233.713584005745</v>
      </c>
      <c r="AE639" s="294">
        <v>2.8209782859470933</v>
      </c>
      <c r="AF639" s="295">
        <v>9370.8438787617706</v>
      </c>
      <c r="AG639" s="296">
        <v>0.28454279881400968</v>
      </c>
      <c r="AH639" s="229"/>
      <c r="AI639" s="205">
        <f t="shared" si="68"/>
        <v>249947.5510133428</v>
      </c>
      <c r="AJ639" s="205">
        <f t="shared" si="69"/>
        <v>230864.11501070359</v>
      </c>
      <c r="AK639" s="205">
        <f t="shared" si="70"/>
        <v>19083.436002639199</v>
      </c>
      <c r="AL639" s="229"/>
      <c r="AM639" s="52">
        <f t="shared" si="58"/>
        <v>1</v>
      </c>
      <c r="AN639" s="52">
        <f t="shared" si="59"/>
        <v>0</v>
      </c>
      <c r="AO639" s="52">
        <f t="shared" si="60"/>
        <v>1</v>
      </c>
      <c r="AP639" s="229"/>
      <c r="AQ639" s="28"/>
      <c r="AR639" s="28"/>
      <c r="AS639" s="28"/>
      <c r="AT639" s="28"/>
      <c r="AU639" s="229"/>
      <c r="AV639" s="318">
        <f t="shared" si="71"/>
        <v>249947.5510133428</v>
      </c>
      <c r="AW639" s="229"/>
      <c r="AX639" s="313"/>
      <c r="AY639" s="302"/>
      <c r="AZ639" s="14">
        <f t="shared" si="73"/>
        <v>9370.8438787617706</v>
      </c>
      <c r="BA639" s="14">
        <f t="shared" si="72"/>
        <v>0.28454279881400968</v>
      </c>
      <c r="BB639" s="14">
        <f t="shared" si="61"/>
        <v>32932.985539679699</v>
      </c>
      <c r="BC639" s="302"/>
      <c r="BD639" s="302"/>
      <c r="BE639" s="302"/>
      <c r="BF639" s="302"/>
      <c r="BG639" s="302"/>
      <c r="BH639" s="302"/>
      <c r="BI639" s="302"/>
      <c r="BJ639" s="302"/>
      <c r="BK639" s="302"/>
      <c r="BL639" s="302"/>
      <c r="BM639" s="302"/>
      <c r="BN639" s="302"/>
      <c r="BO639" s="302"/>
      <c r="BP639" s="302"/>
      <c r="BQ639" s="302"/>
      <c r="BR639" s="302"/>
      <c r="BS639" s="302"/>
      <c r="BT639" s="302"/>
      <c r="BU639" s="302"/>
      <c r="BV639" s="302"/>
      <c r="BW639" s="302"/>
      <c r="BX639" s="302"/>
      <c r="BY639" s="302"/>
      <c r="BZ639" s="302"/>
      <c r="CA639" s="302"/>
      <c r="CB639" s="28"/>
      <c r="CC639" s="28"/>
      <c r="CD639" s="28"/>
      <c r="CE639" s="28"/>
      <c r="CF639" s="28"/>
      <c r="CG639" s="28"/>
      <c r="CH639" s="28"/>
      <c r="CI639" s="28"/>
      <c r="CJ639" s="28"/>
      <c r="CK639" s="28"/>
      <c r="CL639" s="28"/>
      <c r="CM639" s="28"/>
      <c r="CN639" s="28"/>
      <c r="CO639" s="28"/>
      <c r="CP639" s="28"/>
      <c r="CQ639" s="28"/>
      <c r="CR639" s="28"/>
      <c r="CS639" s="28"/>
      <c r="CT639" s="28"/>
      <c r="CU639" s="28"/>
      <c r="CV639" s="28"/>
      <c r="CW639" s="28"/>
    </row>
    <row r="640" spans="1:101" ht="14.25" customHeight="1" x14ac:dyDescent="0.2">
      <c r="A640" s="286"/>
      <c r="B640" s="52">
        <v>0.15232896976594529</v>
      </c>
      <c r="C640" s="288">
        <v>6.5993354450237823E-2</v>
      </c>
      <c r="D640" s="288">
        <v>7.0020048089124301E-3</v>
      </c>
      <c r="E640" s="288">
        <v>1.5071737547577402E-2</v>
      </c>
      <c r="F640" s="289">
        <v>0.81296092947012566</v>
      </c>
      <c r="G640" s="92">
        <v>0.4880671073691758</v>
      </c>
      <c r="H640" s="288">
        <v>0.90246461125012312</v>
      </c>
      <c r="I640" s="288">
        <v>1.0133770917346041E-2</v>
      </c>
      <c r="J640" s="288">
        <v>0.62349352307507033</v>
      </c>
      <c r="K640" s="288">
        <v>0.75247667390213102</v>
      </c>
      <c r="L640" s="290">
        <v>10352.4661789035</v>
      </c>
      <c r="M640" s="288">
        <v>0</v>
      </c>
      <c r="N640" s="288">
        <v>15343.245712725544</v>
      </c>
      <c r="O640" s="288">
        <v>1236.8949830479164</v>
      </c>
      <c r="P640" s="288">
        <v>59251.065769263165</v>
      </c>
      <c r="Q640" s="291">
        <v>90320.9632877767</v>
      </c>
      <c r="R640" s="288">
        <v>10477.078980227339</v>
      </c>
      <c r="S640" s="288">
        <v>5240.0844983804836</v>
      </c>
      <c r="T640" s="290">
        <v>0.751</v>
      </c>
      <c r="U640" s="288">
        <v>0.75800000000000001</v>
      </c>
      <c r="V640" s="288">
        <v>0.723923076923077</v>
      </c>
      <c r="W640" s="288">
        <v>0.72750000000000004</v>
      </c>
      <c r="X640" s="288">
        <v>0.76</v>
      </c>
      <c r="Y640" s="288">
        <v>0</v>
      </c>
      <c r="Z640" s="289">
        <v>0</v>
      </c>
      <c r="AA640" s="229"/>
      <c r="AB640" s="293">
        <v>52927.31846771227</v>
      </c>
      <c r="AC640" s="294">
        <v>3.2961559957857891</v>
      </c>
      <c r="AD640" s="295">
        <v>45170.080341741756</v>
      </c>
      <c r="AE640" s="294">
        <v>3.0196532242696663</v>
      </c>
      <c r="AF640" s="295">
        <v>7757.2381259705144</v>
      </c>
      <c r="AG640" s="296">
        <v>0.27650277151612279</v>
      </c>
      <c r="AH640" s="229"/>
      <c r="AI640" s="205">
        <f t="shared" si="68"/>
        <v>276688.28111086664</v>
      </c>
      <c r="AJ640" s="205">
        <f t="shared" si="69"/>
        <v>256795.24208522486</v>
      </c>
      <c r="AK640" s="205">
        <f t="shared" si="70"/>
        <v>19893.039025641763</v>
      </c>
      <c r="AL640" s="229"/>
      <c r="AM640" s="52">
        <f t="shared" si="58"/>
        <v>1</v>
      </c>
      <c r="AN640" s="52">
        <f t="shared" si="59"/>
        <v>0</v>
      </c>
      <c r="AO640" s="52">
        <f t="shared" si="60"/>
        <v>1</v>
      </c>
      <c r="AP640" s="229"/>
      <c r="AQ640" s="28"/>
      <c r="AR640" s="28"/>
      <c r="AS640" s="28"/>
      <c r="AT640" s="28"/>
      <c r="AU640" s="229"/>
      <c r="AV640" s="318">
        <f t="shared" si="71"/>
        <v>276688.28111086664</v>
      </c>
      <c r="AW640" s="229"/>
      <c r="AX640" s="313"/>
      <c r="AY640" s="302"/>
      <c r="AZ640" s="14">
        <f t="shared" si="73"/>
        <v>7757.2381259705144</v>
      </c>
      <c r="BA640" s="14">
        <f t="shared" si="72"/>
        <v>0.27650277151612279</v>
      </c>
      <c r="BB640" s="14">
        <f t="shared" si="61"/>
        <v>28054.829553555461</v>
      </c>
      <c r="BC640" s="302"/>
      <c r="BD640" s="302"/>
      <c r="BE640" s="302"/>
      <c r="BF640" s="302"/>
      <c r="BG640" s="302"/>
      <c r="BH640" s="302"/>
      <c r="BI640" s="302"/>
      <c r="BJ640" s="302"/>
      <c r="BK640" s="302"/>
      <c r="BL640" s="302"/>
      <c r="BM640" s="302"/>
      <c r="BN640" s="302"/>
      <c r="BO640" s="302"/>
      <c r="BP640" s="302"/>
      <c r="BQ640" s="302"/>
      <c r="BR640" s="302"/>
      <c r="BS640" s="302"/>
      <c r="BT640" s="302"/>
      <c r="BU640" s="302"/>
      <c r="BV640" s="302"/>
      <c r="BW640" s="302"/>
      <c r="BX640" s="302"/>
      <c r="BY640" s="302"/>
      <c r="BZ640" s="302"/>
      <c r="CA640" s="302"/>
      <c r="CB640" s="28"/>
      <c r="CC640" s="28"/>
      <c r="CD640" s="28"/>
      <c r="CE640" s="28"/>
      <c r="CF640" s="28"/>
      <c r="CG640" s="28"/>
      <c r="CH640" s="28"/>
      <c r="CI640" s="28"/>
      <c r="CJ640" s="28"/>
      <c r="CK640" s="28"/>
      <c r="CL640" s="28"/>
      <c r="CM640" s="28"/>
      <c r="CN640" s="28"/>
      <c r="CO640" s="28"/>
      <c r="CP640" s="28"/>
      <c r="CQ640" s="28"/>
      <c r="CR640" s="28"/>
      <c r="CS640" s="28"/>
      <c r="CT640" s="28"/>
      <c r="CU640" s="28"/>
      <c r="CV640" s="28"/>
      <c r="CW640" s="28"/>
    </row>
    <row r="641" spans="1:101" ht="14.25" customHeight="1" x14ac:dyDescent="0.2">
      <c r="A641" s="286"/>
      <c r="B641" s="52">
        <v>0.17090577181314248</v>
      </c>
      <c r="C641" s="288">
        <v>0.57113055925562239</v>
      </c>
      <c r="D641" s="288">
        <v>1.6922848890264297E-2</v>
      </c>
      <c r="E641" s="288">
        <v>1.7176797433205881E-2</v>
      </c>
      <c r="F641" s="289">
        <v>0.74521996657159328</v>
      </c>
      <c r="G641" s="92">
        <v>0.45670483958429808</v>
      </c>
      <c r="H641" s="288">
        <v>0.98058570738984296</v>
      </c>
      <c r="I641" s="288">
        <v>2.9348767824113886E-2</v>
      </c>
      <c r="J641" s="288">
        <v>0.99913572874998613</v>
      </c>
      <c r="K641" s="288">
        <v>0.73715320164800957</v>
      </c>
      <c r="L641" s="290">
        <v>10697.677030949666</v>
      </c>
      <c r="M641" s="288">
        <v>0</v>
      </c>
      <c r="N641" s="288">
        <v>16212.445967522552</v>
      </c>
      <c r="O641" s="288">
        <v>1354.3523831255477</v>
      </c>
      <c r="P641" s="288">
        <v>52283.027296080043</v>
      </c>
      <c r="Q641" s="291">
        <v>122391.36965503462</v>
      </c>
      <c r="R641" s="288">
        <v>26773.178938683861</v>
      </c>
      <c r="S641" s="288">
        <v>7204.4518153703384</v>
      </c>
      <c r="T641" s="290">
        <v>0.751</v>
      </c>
      <c r="U641" s="288">
        <v>0.75800000000000001</v>
      </c>
      <c r="V641" s="288">
        <v>0.723923076923077</v>
      </c>
      <c r="W641" s="288">
        <v>0.72750000000000004</v>
      </c>
      <c r="X641" s="288">
        <v>0.76</v>
      </c>
      <c r="Y641" s="288">
        <v>0</v>
      </c>
      <c r="Z641" s="289">
        <v>0</v>
      </c>
      <c r="AA641" s="229"/>
      <c r="AB641" s="293">
        <v>67064.240008653185</v>
      </c>
      <c r="AC641" s="294">
        <v>2.9819093252097</v>
      </c>
      <c r="AD641" s="295">
        <v>67976.183944611606</v>
      </c>
      <c r="AE641" s="294">
        <v>2.9492583961460905</v>
      </c>
      <c r="AF641" s="295">
        <v>-911.94393595842121</v>
      </c>
      <c r="AG641" s="296">
        <v>3.2650929063609446E-2</v>
      </c>
      <c r="AH641" s="229"/>
      <c r="AI641" s="205">
        <f t="shared" si="68"/>
        <v>231126.6925123168</v>
      </c>
      <c r="AJ641" s="205">
        <f t="shared" si="69"/>
        <v>226949.65566999748</v>
      </c>
      <c r="AK641" s="205">
        <f t="shared" si="70"/>
        <v>4177.0368423193659</v>
      </c>
      <c r="AL641" s="229"/>
      <c r="AM641" s="52">
        <f t="shared" si="58"/>
        <v>1</v>
      </c>
      <c r="AN641" s="52">
        <f t="shared" si="59"/>
        <v>0</v>
      </c>
      <c r="AO641" s="52">
        <f t="shared" si="60"/>
        <v>1</v>
      </c>
      <c r="AP641" s="229"/>
      <c r="AQ641" s="28"/>
      <c r="AR641" s="28"/>
      <c r="AS641" s="28"/>
      <c r="AT641" s="28"/>
      <c r="AU641" s="229"/>
      <c r="AV641" s="318">
        <f t="shared" si="71"/>
        <v>231126.6925123168</v>
      </c>
      <c r="AW641" s="229"/>
      <c r="AX641" s="313"/>
      <c r="AY641" s="302"/>
      <c r="AZ641" s="14">
        <f t="shared" si="73"/>
        <v>-911.94393595842121</v>
      </c>
      <c r="BA641" s="14">
        <f t="shared" si="72"/>
        <v>3.2650929063609446E-2</v>
      </c>
      <c r="BB641" s="14">
        <f t="shared" si="61"/>
        <v>-27930.106802835613</v>
      </c>
      <c r="BC641" s="302"/>
      <c r="BD641" s="302"/>
      <c r="BE641" s="302"/>
      <c r="BF641" s="302"/>
      <c r="BG641" s="302"/>
      <c r="BH641" s="302"/>
      <c r="BI641" s="302"/>
      <c r="BJ641" s="302"/>
      <c r="BK641" s="302"/>
      <c r="BL641" s="302"/>
      <c r="BM641" s="302"/>
      <c r="BN641" s="302"/>
      <c r="BO641" s="302"/>
      <c r="BP641" s="302"/>
      <c r="BQ641" s="302"/>
      <c r="BR641" s="302"/>
      <c r="BS641" s="302"/>
      <c r="BT641" s="302"/>
      <c r="BU641" s="302"/>
      <c r="BV641" s="302"/>
      <c r="BW641" s="302"/>
      <c r="BX641" s="302"/>
      <c r="BY641" s="302"/>
      <c r="BZ641" s="302"/>
      <c r="CA641" s="302"/>
      <c r="CB641" s="28"/>
      <c r="CC641" s="28"/>
      <c r="CD641" s="28"/>
      <c r="CE641" s="28"/>
      <c r="CF641" s="28"/>
      <c r="CG641" s="28"/>
      <c r="CH641" s="28"/>
      <c r="CI641" s="28"/>
      <c r="CJ641" s="28"/>
      <c r="CK641" s="28"/>
      <c r="CL641" s="28"/>
      <c r="CM641" s="28"/>
      <c r="CN641" s="28"/>
      <c r="CO641" s="28"/>
      <c r="CP641" s="28"/>
      <c r="CQ641" s="28"/>
      <c r="CR641" s="28"/>
      <c r="CS641" s="28"/>
      <c r="CT641" s="28"/>
      <c r="CU641" s="28"/>
      <c r="CV641" s="28"/>
      <c r="CW641" s="28"/>
    </row>
    <row r="642" spans="1:101" ht="14.25" customHeight="1" x14ac:dyDescent="0.2">
      <c r="A642" s="286"/>
      <c r="B642" s="52">
        <v>0.1395999651911651</v>
      </c>
      <c r="C642" s="288">
        <v>0.80638076153125704</v>
      </c>
      <c r="D642" s="288">
        <v>2.365071868680424E-2</v>
      </c>
      <c r="E642" s="288">
        <v>1.2562031119693465E-2</v>
      </c>
      <c r="F642" s="289">
        <v>0.80151763013535704</v>
      </c>
      <c r="G642" s="92">
        <v>0.43329879863695364</v>
      </c>
      <c r="H642" s="288">
        <v>0.79460965886995427</v>
      </c>
      <c r="I642" s="288">
        <v>2.8297654315548759E-2</v>
      </c>
      <c r="J642" s="288">
        <v>0.99999998747171159</v>
      </c>
      <c r="K642" s="288">
        <v>0.73231132831790335</v>
      </c>
      <c r="L642" s="290">
        <v>11938.633923026166</v>
      </c>
      <c r="M642" s="288">
        <v>0</v>
      </c>
      <c r="N642" s="288">
        <v>13676.199439281465</v>
      </c>
      <c r="O642" s="288">
        <v>1099.2346831627899</v>
      </c>
      <c r="P642" s="288">
        <v>30334.14781711371</v>
      </c>
      <c r="Q642" s="291">
        <v>89027.381066588408</v>
      </c>
      <c r="R642" s="288">
        <v>19270.232775728316</v>
      </c>
      <c r="S642" s="288">
        <v>7623.8258029179078</v>
      </c>
      <c r="T642" s="290">
        <v>0.751</v>
      </c>
      <c r="U642" s="288">
        <v>0.75800000000000001</v>
      </c>
      <c r="V642" s="288">
        <v>0.723923076923077</v>
      </c>
      <c r="W642" s="288">
        <v>0.72750000000000004</v>
      </c>
      <c r="X642" s="288">
        <v>0.76</v>
      </c>
      <c r="Y642" s="288">
        <v>0</v>
      </c>
      <c r="Z642" s="289">
        <v>0</v>
      </c>
      <c r="AA642" s="229"/>
      <c r="AB642" s="293">
        <v>75066.324553622617</v>
      </c>
      <c r="AC642" s="294">
        <v>3.2425659096481803</v>
      </c>
      <c r="AD642" s="295">
        <v>64416.379830460988</v>
      </c>
      <c r="AE642" s="294">
        <v>2.9270921613060739</v>
      </c>
      <c r="AF642" s="295">
        <v>10649.944723161629</v>
      </c>
      <c r="AG642" s="296">
        <v>0.3154737483421064</v>
      </c>
      <c r="AH642" s="229"/>
      <c r="AI642" s="205">
        <f t="shared" si="68"/>
        <v>249190.26641119539</v>
      </c>
      <c r="AJ642" s="205">
        <f t="shared" si="69"/>
        <v>228292.83630014642</v>
      </c>
      <c r="AK642" s="205">
        <f t="shared" si="70"/>
        <v>20897.430111049012</v>
      </c>
      <c r="AL642" s="229"/>
      <c r="AM642" s="52">
        <f t="shared" si="58"/>
        <v>1</v>
      </c>
      <c r="AN642" s="52">
        <f t="shared" si="59"/>
        <v>0</v>
      </c>
      <c r="AO642" s="52">
        <f t="shared" si="60"/>
        <v>1</v>
      </c>
      <c r="AP642" s="229"/>
      <c r="AQ642" s="28"/>
      <c r="AR642" s="28"/>
      <c r="AS642" s="28"/>
      <c r="AT642" s="28"/>
      <c r="AU642" s="229"/>
      <c r="AV642" s="318">
        <f t="shared" si="71"/>
        <v>249190.26641119539</v>
      </c>
      <c r="AW642" s="229"/>
      <c r="AX642" s="313"/>
      <c r="AY642" s="302"/>
      <c r="AZ642" s="14">
        <f t="shared" si="73"/>
        <v>10649.944723161629</v>
      </c>
      <c r="BA642" s="14">
        <f t="shared" si="72"/>
        <v>0.3154737483421064</v>
      </c>
      <c r="BB642" s="14">
        <f t="shared" si="61"/>
        <v>33758.576677551639</v>
      </c>
      <c r="BC642" s="302"/>
      <c r="BD642" s="302"/>
      <c r="BE642" s="302"/>
      <c r="BF642" s="302"/>
      <c r="BG642" s="302"/>
      <c r="BH642" s="302"/>
      <c r="BI642" s="302"/>
      <c r="BJ642" s="302"/>
      <c r="BK642" s="302"/>
      <c r="BL642" s="302"/>
      <c r="BM642" s="302"/>
      <c r="BN642" s="302"/>
      <c r="BO642" s="302"/>
      <c r="BP642" s="302"/>
      <c r="BQ642" s="302"/>
      <c r="BR642" s="302"/>
      <c r="BS642" s="302"/>
      <c r="BT642" s="302"/>
      <c r="BU642" s="302"/>
      <c r="BV642" s="302"/>
      <c r="BW642" s="302"/>
      <c r="BX642" s="302"/>
      <c r="BY642" s="302"/>
      <c r="BZ642" s="302"/>
      <c r="CA642" s="302"/>
      <c r="CB642" s="28"/>
      <c r="CC642" s="28"/>
      <c r="CD642" s="28"/>
      <c r="CE642" s="28"/>
      <c r="CF642" s="28"/>
      <c r="CG642" s="28"/>
      <c r="CH642" s="28"/>
      <c r="CI642" s="28"/>
      <c r="CJ642" s="28"/>
      <c r="CK642" s="28"/>
      <c r="CL642" s="28"/>
      <c r="CM642" s="28"/>
      <c r="CN642" s="28"/>
      <c r="CO642" s="28"/>
      <c r="CP642" s="28"/>
      <c r="CQ642" s="28"/>
      <c r="CR642" s="28"/>
      <c r="CS642" s="28"/>
      <c r="CT642" s="28"/>
      <c r="CU642" s="28"/>
      <c r="CV642" s="28"/>
      <c r="CW642" s="28"/>
    </row>
    <row r="643" spans="1:101" ht="14.25" customHeight="1" x14ac:dyDescent="0.2">
      <c r="A643" s="286"/>
      <c r="B643" s="52">
        <v>0.17244481827696578</v>
      </c>
      <c r="C643" s="288">
        <v>6.8058946621939828E-2</v>
      </c>
      <c r="D643" s="288">
        <v>9.9293172493807019E-3</v>
      </c>
      <c r="E643" s="288">
        <v>2.2897039712830081E-2</v>
      </c>
      <c r="F643" s="289">
        <v>0.7529112500576669</v>
      </c>
      <c r="G643" s="92">
        <v>0.39319940581684504</v>
      </c>
      <c r="H643" s="288">
        <v>0.1121247988114147</v>
      </c>
      <c r="I643" s="288">
        <v>1.6402981003668327E-2</v>
      </c>
      <c r="J643" s="288">
        <v>1</v>
      </c>
      <c r="K643" s="288">
        <v>0.71505458910374475</v>
      </c>
      <c r="L643" s="290">
        <v>16274.504641883066</v>
      </c>
      <c r="M643" s="288">
        <v>0</v>
      </c>
      <c r="N643" s="288">
        <v>14615.32766009939</v>
      </c>
      <c r="O643" s="288">
        <v>1173.9365101841836</v>
      </c>
      <c r="P643" s="288">
        <v>51341.181828626322</v>
      </c>
      <c r="Q643" s="291">
        <v>108581.46383445369</v>
      </c>
      <c r="R643" s="288">
        <v>20865.605731177395</v>
      </c>
      <c r="S643" s="288">
        <v>10315.84554647635</v>
      </c>
      <c r="T643" s="290">
        <v>0.751</v>
      </c>
      <c r="U643" s="288">
        <v>0.75800000000000001</v>
      </c>
      <c r="V643" s="288">
        <v>0.723923076923077</v>
      </c>
      <c r="W643" s="288">
        <v>0.72750000000000004</v>
      </c>
      <c r="X643" s="288">
        <v>0.76</v>
      </c>
      <c r="Y643" s="288">
        <v>0</v>
      </c>
      <c r="Z643" s="289">
        <v>0</v>
      </c>
      <c r="AA643" s="229"/>
      <c r="AB643" s="293">
        <v>93820.559461081386</v>
      </c>
      <c r="AC643" s="294">
        <v>3.0172265611603675</v>
      </c>
      <c r="AD643" s="295">
        <v>76055.308636798669</v>
      </c>
      <c r="AE643" s="294">
        <v>2.8483908661879451</v>
      </c>
      <c r="AF643" s="295">
        <v>17765.250824282717</v>
      </c>
      <c r="AG643" s="296">
        <v>0.16883569497242235</v>
      </c>
      <c r="AH643" s="229"/>
      <c r="AI643" s="205">
        <f t="shared" si="68"/>
        <v>207902.09665495536</v>
      </c>
      <c r="AJ643" s="205">
        <f t="shared" si="69"/>
        <v>208783.77798199587</v>
      </c>
      <c r="AK643" s="205">
        <f t="shared" si="70"/>
        <v>-881.68132704048185</v>
      </c>
      <c r="AL643" s="229"/>
      <c r="AM643" s="52">
        <f t="shared" si="58"/>
        <v>0</v>
      </c>
      <c r="AN643" s="52">
        <f t="shared" si="59"/>
        <v>1</v>
      </c>
      <c r="AO643" s="52">
        <f t="shared" si="60"/>
        <v>0</v>
      </c>
      <c r="AP643" s="229"/>
      <c r="AQ643" s="28"/>
      <c r="AR643" s="28"/>
      <c r="AS643" s="28"/>
      <c r="AT643" s="28"/>
      <c r="AU643" s="229"/>
      <c r="AV643" s="318">
        <f t="shared" si="71"/>
        <v>208783.77798199587</v>
      </c>
      <c r="AW643" s="229"/>
      <c r="AX643" s="313"/>
      <c r="AY643" s="302"/>
      <c r="AZ643" s="14">
        <f t="shared" si="73"/>
        <v>17765.250824282717</v>
      </c>
      <c r="BA643" s="14">
        <f t="shared" si="72"/>
        <v>0.16883569497242235</v>
      </c>
      <c r="BB643" s="14">
        <f t="shared" si="61"/>
        <v>105222.12632337313</v>
      </c>
      <c r="BC643" s="302"/>
      <c r="BD643" s="302"/>
      <c r="BE643" s="302"/>
      <c r="BF643" s="302"/>
      <c r="BG643" s="302"/>
      <c r="BH643" s="302"/>
      <c r="BI643" s="302"/>
      <c r="BJ643" s="302"/>
      <c r="BK643" s="302"/>
      <c r="BL643" s="302"/>
      <c r="BM643" s="302"/>
      <c r="BN643" s="302"/>
      <c r="BO643" s="302"/>
      <c r="BP643" s="302"/>
      <c r="BQ643" s="302"/>
      <c r="BR643" s="302"/>
      <c r="BS643" s="302"/>
      <c r="BT643" s="302"/>
      <c r="BU643" s="302"/>
      <c r="BV643" s="302"/>
      <c r="BW643" s="302"/>
      <c r="BX643" s="302"/>
      <c r="BY643" s="302"/>
      <c r="BZ643" s="302"/>
      <c r="CA643" s="302"/>
      <c r="CB643" s="28"/>
      <c r="CC643" s="28"/>
      <c r="CD643" s="28"/>
      <c r="CE643" s="28"/>
      <c r="CF643" s="28"/>
      <c r="CG643" s="28"/>
      <c r="CH643" s="28"/>
      <c r="CI643" s="28"/>
      <c r="CJ643" s="28"/>
      <c r="CK643" s="28"/>
      <c r="CL643" s="28"/>
      <c r="CM643" s="28"/>
      <c r="CN643" s="28"/>
      <c r="CO643" s="28"/>
      <c r="CP643" s="28"/>
      <c r="CQ643" s="28"/>
      <c r="CR643" s="28"/>
      <c r="CS643" s="28"/>
      <c r="CT643" s="28"/>
      <c r="CU643" s="28"/>
      <c r="CV643" s="28"/>
      <c r="CW643" s="28"/>
    </row>
    <row r="644" spans="1:101" ht="14.25" customHeight="1" x14ac:dyDescent="0.2">
      <c r="A644" s="286"/>
      <c r="B644" s="52">
        <v>0.13858358383026054</v>
      </c>
      <c r="C644" s="288">
        <v>0.18309381691068852</v>
      </c>
      <c r="D644" s="288">
        <v>1.203102436992777E-2</v>
      </c>
      <c r="E644" s="288">
        <v>8.2165756482603935E-3</v>
      </c>
      <c r="F644" s="289">
        <v>0.79711319758384458</v>
      </c>
      <c r="G644" s="92">
        <v>0.43852787510365232</v>
      </c>
      <c r="H644" s="288">
        <v>0.88591895135793686</v>
      </c>
      <c r="I644" s="288">
        <v>2.0946060243897668E-2</v>
      </c>
      <c r="J644" s="288">
        <v>0.54974040550371406</v>
      </c>
      <c r="K644" s="288">
        <v>0.80146230140865471</v>
      </c>
      <c r="L644" s="290">
        <v>12467.938829161609</v>
      </c>
      <c r="M644" s="288">
        <v>0</v>
      </c>
      <c r="N644" s="288">
        <v>14508.787887371316</v>
      </c>
      <c r="O644" s="288">
        <v>943.99867759106519</v>
      </c>
      <c r="P644" s="288">
        <v>50995.494794096921</v>
      </c>
      <c r="Q644" s="291">
        <v>77298.778971472726</v>
      </c>
      <c r="R644" s="288">
        <v>18481.509311815771</v>
      </c>
      <c r="S644" s="288">
        <v>8442.6150395144996</v>
      </c>
      <c r="T644" s="290">
        <v>0.751</v>
      </c>
      <c r="U644" s="288">
        <v>0.75800000000000001</v>
      </c>
      <c r="V644" s="288">
        <v>0.723923076923077</v>
      </c>
      <c r="W644" s="288">
        <v>0.72750000000000004</v>
      </c>
      <c r="X644" s="288">
        <v>0.76</v>
      </c>
      <c r="Y644" s="288">
        <v>0</v>
      </c>
      <c r="Z644" s="289">
        <v>0</v>
      </c>
      <c r="AA644" s="229"/>
      <c r="AB644" s="293">
        <v>79837.094120466107</v>
      </c>
      <c r="AC644" s="294">
        <v>3.2219942635779764</v>
      </c>
      <c r="AD644" s="295">
        <v>75987.356184350792</v>
      </c>
      <c r="AE644" s="294">
        <v>3.2471721184061835</v>
      </c>
      <c r="AF644" s="295">
        <v>3849.7379361153144</v>
      </c>
      <c r="AG644" s="296">
        <v>-2.5177854828207114E-2</v>
      </c>
      <c r="AH644" s="229"/>
      <c r="AI644" s="205">
        <f t="shared" si="68"/>
        <v>242362.33223733155</v>
      </c>
      <c r="AJ644" s="205">
        <f t="shared" si="69"/>
        <v>248729.85565626755</v>
      </c>
      <c r="AK644" s="205">
        <f t="shared" si="70"/>
        <v>-6367.5234189360253</v>
      </c>
      <c r="AL644" s="229"/>
      <c r="AM644" s="52">
        <f t="shared" si="58"/>
        <v>0</v>
      </c>
      <c r="AN644" s="52">
        <f t="shared" si="59"/>
        <v>1</v>
      </c>
      <c r="AO644" s="52">
        <f t="shared" si="60"/>
        <v>0</v>
      </c>
      <c r="AP644" s="229"/>
      <c r="AQ644" s="28"/>
      <c r="AR644" s="28"/>
      <c r="AS644" s="28"/>
      <c r="AT644" s="28"/>
      <c r="AU644" s="229"/>
      <c r="AV644" s="318">
        <f t="shared" si="71"/>
        <v>248729.85565626755</v>
      </c>
      <c r="AW644" s="229"/>
      <c r="AX644" s="313"/>
      <c r="AY644" s="302"/>
      <c r="AZ644" s="14">
        <f t="shared" si="73"/>
        <v>3849.7379361153144</v>
      </c>
      <c r="BA644" s="14">
        <f t="shared" si="72"/>
        <v>-2.5177854828207114E-2</v>
      </c>
      <c r="BB644" s="14">
        <f t="shared" si="61"/>
        <v>-152901.74490172998</v>
      </c>
      <c r="BC644" s="302"/>
      <c r="BD644" s="302"/>
      <c r="BE644" s="302"/>
      <c r="BF644" s="302"/>
      <c r="BG644" s="302"/>
      <c r="BH644" s="302"/>
      <c r="BI644" s="302"/>
      <c r="BJ644" s="302"/>
      <c r="BK644" s="302"/>
      <c r="BL644" s="302"/>
      <c r="BM644" s="302"/>
      <c r="BN644" s="302"/>
      <c r="BO644" s="302"/>
      <c r="BP644" s="302"/>
      <c r="BQ644" s="302"/>
      <c r="BR644" s="302"/>
      <c r="BS644" s="302"/>
      <c r="BT644" s="302"/>
      <c r="BU644" s="302"/>
      <c r="BV644" s="302"/>
      <c r="BW644" s="302"/>
      <c r="BX644" s="302"/>
      <c r="BY644" s="302"/>
      <c r="BZ644" s="302"/>
      <c r="CA644" s="302"/>
      <c r="CB644" s="28"/>
      <c r="CC644" s="28"/>
      <c r="CD644" s="28"/>
      <c r="CE644" s="28"/>
      <c r="CF644" s="28"/>
      <c r="CG644" s="28"/>
      <c r="CH644" s="28"/>
      <c r="CI644" s="28"/>
      <c r="CJ644" s="28"/>
      <c r="CK644" s="28"/>
      <c r="CL644" s="28"/>
      <c r="CM644" s="28"/>
      <c r="CN644" s="28"/>
      <c r="CO644" s="28"/>
      <c r="CP644" s="28"/>
      <c r="CQ644" s="28"/>
      <c r="CR644" s="28"/>
      <c r="CS644" s="28"/>
      <c r="CT644" s="28"/>
      <c r="CU644" s="28"/>
      <c r="CV644" s="28"/>
      <c r="CW644" s="28"/>
    </row>
    <row r="645" spans="1:101" ht="14.25" customHeight="1" x14ac:dyDescent="0.2">
      <c r="A645" s="286"/>
      <c r="B645" s="52">
        <v>0.15694116897168323</v>
      </c>
      <c r="C645" s="288">
        <v>0.11739626553817435</v>
      </c>
      <c r="D645" s="288">
        <v>1.6762898013597094E-2</v>
      </c>
      <c r="E645" s="288">
        <v>2.0160535377170663E-2</v>
      </c>
      <c r="F645" s="289">
        <v>0.77053999275944918</v>
      </c>
      <c r="G645" s="92">
        <v>0.43449636629067212</v>
      </c>
      <c r="H645" s="288">
        <v>0.82979500472749856</v>
      </c>
      <c r="I645" s="288">
        <v>2.9092776423388256E-2</v>
      </c>
      <c r="J645" s="288">
        <v>0.99416331557387505</v>
      </c>
      <c r="K645" s="288">
        <v>0.7451820996351981</v>
      </c>
      <c r="L645" s="290">
        <v>15036.984708646436</v>
      </c>
      <c r="M645" s="288">
        <v>0</v>
      </c>
      <c r="N645" s="288">
        <v>19452.080973759381</v>
      </c>
      <c r="O645" s="288">
        <v>1173.451537745025</v>
      </c>
      <c r="P645" s="288">
        <v>40934.791897636969</v>
      </c>
      <c r="Q645" s="291">
        <v>93136.120006755562</v>
      </c>
      <c r="R645" s="288">
        <v>27254.571253622216</v>
      </c>
      <c r="S645" s="288">
        <v>8256.3163267835062</v>
      </c>
      <c r="T645" s="290">
        <v>0.751</v>
      </c>
      <c r="U645" s="288">
        <v>0.75800000000000001</v>
      </c>
      <c r="V645" s="288">
        <v>0.723923076923077</v>
      </c>
      <c r="W645" s="288">
        <v>0.72750000000000004</v>
      </c>
      <c r="X645" s="288">
        <v>0.76</v>
      </c>
      <c r="Y645" s="288">
        <v>0</v>
      </c>
      <c r="Z645" s="289">
        <v>0</v>
      </c>
      <c r="AA645" s="229"/>
      <c r="AB645" s="293">
        <v>78968.096526447087</v>
      </c>
      <c r="AC645" s="294">
        <v>3.0985251977299475</v>
      </c>
      <c r="AD645" s="295">
        <v>73376.574631629788</v>
      </c>
      <c r="AE645" s="294">
        <v>2.9860963645323269</v>
      </c>
      <c r="AF645" s="295">
        <v>5591.5218948172987</v>
      </c>
      <c r="AG645" s="296">
        <v>0.11242883319762065</v>
      </c>
      <c r="AH645" s="229"/>
      <c r="AI645" s="205">
        <f t="shared" si="68"/>
        <v>230884.42324654764</v>
      </c>
      <c r="AJ645" s="205">
        <f t="shared" si="69"/>
        <v>225233.06182160287</v>
      </c>
      <c r="AK645" s="205">
        <f t="shared" si="70"/>
        <v>5651.3614249447655</v>
      </c>
      <c r="AL645" s="229"/>
      <c r="AM645" s="52">
        <f t="shared" si="58"/>
        <v>1</v>
      </c>
      <c r="AN645" s="52">
        <f t="shared" si="59"/>
        <v>0</v>
      </c>
      <c r="AO645" s="52">
        <f t="shared" si="60"/>
        <v>1</v>
      </c>
      <c r="AP645" s="229"/>
      <c r="AQ645" s="28"/>
      <c r="AR645" s="28"/>
      <c r="AS645" s="28"/>
      <c r="AT645" s="28"/>
      <c r="AU645" s="229"/>
      <c r="AV645" s="318">
        <f t="shared" si="71"/>
        <v>230884.42324654764</v>
      </c>
      <c r="AW645" s="229"/>
      <c r="AX645" s="313"/>
      <c r="AY645" s="302"/>
      <c r="AZ645" s="14">
        <f t="shared" si="73"/>
        <v>5591.5218948172987</v>
      </c>
      <c r="BA645" s="14">
        <f t="shared" si="72"/>
        <v>0.11242883319762065</v>
      </c>
      <c r="BB645" s="14">
        <f t="shared" si="61"/>
        <v>49733.878185757363</v>
      </c>
      <c r="BC645" s="302"/>
      <c r="BD645" s="302"/>
      <c r="BE645" s="302"/>
      <c r="BF645" s="302"/>
      <c r="BG645" s="302"/>
      <c r="BH645" s="302"/>
      <c r="BI645" s="302"/>
      <c r="BJ645" s="302"/>
      <c r="BK645" s="302"/>
      <c r="BL645" s="302"/>
      <c r="BM645" s="302"/>
      <c r="BN645" s="302"/>
      <c r="BO645" s="302"/>
      <c r="BP645" s="302"/>
      <c r="BQ645" s="302"/>
      <c r="BR645" s="302"/>
      <c r="BS645" s="302"/>
      <c r="BT645" s="302"/>
      <c r="BU645" s="302"/>
      <c r="BV645" s="302"/>
      <c r="BW645" s="302"/>
      <c r="BX645" s="302"/>
      <c r="BY645" s="302"/>
      <c r="BZ645" s="302"/>
      <c r="CA645" s="302"/>
      <c r="CB645" s="28"/>
      <c r="CC645" s="28"/>
      <c r="CD645" s="28"/>
      <c r="CE645" s="28"/>
      <c r="CF645" s="28"/>
      <c r="CG645" s="28"/>
      <c r="CH645" s="28"/>
      <c r="CI645" s="28"/>
      <c r="CJ645" s="28"/>
      <c r="CK645" s="28"/>
      <c r="CL645" s="28"/>
      <c r="CM645" s="28"/>
      <c r="CN645" s="28"/>
      <c r="CO645" s="28"/>
      <c r="CP645" s="28"/>
      <c r="CQ645" s="28"/>
      <c r="CR645" s="28"/>
      <c r="CS645" s="28"/>
      <c r="CT645" s="28"/>
      <c r="CU645" s="28"/>
      <c r="CV645" s="28"/>
      <c r="CW645" s="28"/>
    </row>
    <row r="646" spans="1:101" ht="14.25" customHeight="1" x14ac:dyDescent="0.2">
      <c r="A646" s="286"/>
      <c r="B646" s="52">
        <v>0.15311730484190947</v>
      </c>
      <c r="C646" s="288">
        <v>0.92850142177758688</v>
      </c>
      <c r="D646" s="288">
        <v>8.3967413313833627E-3</v>
      </c>
      <c r="E646" s="288">
        <v>9.6183604742943931E-3</v>
      </c>
      <c r="F646" s="289">
        <v>0.80144454356992489</v>
      </c>
      <c r="G646" s="92">
        <v>0.41359324607343451</v>
      </c>
      <c r="H646" s="288">
        <v>0.64528781738779994</v>
      </c>
      <c r="I646" s="288">
        <v>2.3591136965632087E-2</v>
      </c>
      <c r="J646" s="288">
        <v>2.4207362877950727E-3</v>
      </c>
      <c r="K646" s="288">
        <v>0.74291882620597249</v>
      </c>
      <c r="L646" s="290">
        <v>16472.179941133621</v>
      </c>
      <c r="M646" s="288">
        <v>0</v>
      </c>
      <c r="N646" s="288">
        <v>14795.910295585838</v>
      </c>
      <c r="O646" s="288">
        <v>1198.5469264666319</v>
      </c>
      <c r="P646" s="288">
        <v>55997.365255277044</v>
      </c>
      <c r="Q646" s="291">
        <v>89095.988710250705</v>
      </c>
      <c r="R646" s="288">
        <v>26226.236964790791</v>
      </c>
      <c r="S646" s="288">
        <v>8081.3189349288295</v>
      </c>
      <c r="T646" s="290">
        <v>0.751</v>
      </c>
      <c r="U646" s="288">
        <v>0.75800000000000001</v>
      </c>
      <c r="V646" s="288">
        <v>0.723923076923077</v>
      </c>
      <c r="W646" s="288">
        <v>0.72750000000000004</v>
      </c>
      <c r="X646" s="288">
        <v>0.76</v>
      </c>
      <c r="Y646" s="288">
        <v>0</v>
      </c>
      <c r="Z646" s="289">
        <v>0</v>
      </c>
      <c r="AA646" s="229"/>
      <c r="AB646" s="293">
        <v>84634.118167824083</v>
      </c>
      <c r="AC646" s="294">
        <v>3.2422242982364824</v>
      </c>
      <c r="AD646" s="295">
        <v>68305.411432720401</v>
      </c>
      <c r="AE646" s="294">
        <v>2.9757017913945054</v>
      </c>
      <c r="AF646" s="295">
        <v>16328.706735103682</v>
      </c>
      <c r="AG646" s="296">
        <v>0.26652250684197698</v>
      </c>
      <c r="AH646" s="229"/>
      <c r="AI646" s="205">
        <f t="shared" si="68"/>
        <v>239588.31165582416</v>
      </c>
      <c r="AJ646" s="205">
        <f t="shared" si="69"/>
        <v>229264.76770673014</v>
      </c>
      <c r="AK646" s="205">
        <f t="shared" si="70"/>
        <v>10323.543949094015</v>
      </c>
      <c r="AL646" s="229"/>
      <c r="AM646" s="52">
        <f t="shared" si="58"/>
        <v>1</v>
      </c>
      <c r="AN646" s="52">
        <f t="shared" si="59"/>
        <v>0</v>
      </c>
      <c r="AO646" s="52">
        <f t="shared" si="60"/>
        <v>1</v>
      </c>
      <c r="AP646" s="229"/>
      <c r="AQ646" s="28"/>
      <c r="AR646" s="28"/>
      <c r="AS646" s="28"/>
      <c r="AT646" s="28"/>
      <c r="AU646" s="229"/>
      <c r="AV646" s="318">
        <f t="shared" si="71"/>
        <v>239588.31165582416</v>
      </c>
      <c r="AW646" s="229"/>
      <c r="AX646" s="313"/>
      <c r="AY646" s="302"/>
      <c r="AZ646" s="14">
        <f t="shared" si="73"/>
        <v>16328.706735103682</v>
      </c>
      <c r="BA646" s="14">
        <f t="shared" si="72"/>
        <v>0.26652250684197698</v>
      </c>
      <c r="BB646" s="14">
        <f t="shared" si="61"/>
        <v>61265.770491889765</v>
      </c>
      <c r="BC646" s="302"/>
      <c r="BD646" s="302"/>
      <c r="BE646" s="302"/>
      <c r="BF646" s="302"/>
      <c r="BG646" s="302"/>
      <c r="BH646" s="302"/>
      <c r="BI646" s="302"/>
      <c r="BJ646" s="302"/>
      <c r="BK646" s="302"/>
      <c r="BL646" s="302"/>
      <c r="BM646" s="302"/>
      <c r="BN646" s="302"/>
      <c r="BO646" s="302"/>
      <c r="BP646" s="302"/>
      <c r="BQ646" s="302"/>
      <c r="BR646" s="302"/>
      <c r="BS646" s="302"/>
      <c r="BT646" s="302"/>
      <c r="BU646" s="302"/>
      <c r="BV646" s="302"/>
      <c r="BW646" s="302"/>
      <c r="BX646" s="302"/>
      <c r="BY646" s="302"/>
      <c r="BZ646" s="302"/>
      <c r="CA646" s="302"/>
      <c r="CB646" s="28"/>
      <c r="CC646" s="28"/>
      <c r="CD646" s="28"/>
      <c r="CE646" s="28"/>
      <c r="CF646" s="28"/>
      <c r="CG646" s="28"/>
      <c r="CH646" s="28"/>
      <c r="CI646" s="28"/>
      <c r="CJ646" s="28"/>
      <c r="CK646" s="28"/>
      <c r="CL646" s="28"/>
      <c r="CM646" s="28"/>
      <c r="CN646" s="28"/>
      <c r="CO646" s="28"/>
      <c r="CP646" s="28"/>
      <c r="CQ646" s="28"/>
      <c r="CR646" s="28"/>
      <c r="CS646" s="28"/>
      <c r="CT646" s="28"/>
      <c r="CU646" s="28"/>
      <c r="CV646" s="28"/>
      <c r="CW646" s="28"/>
    </row>
    <row r="647" spans="1:101" ht="14.25" customHeight="1" x14ac:dyDescent="0.2">
      <c r="A647" s="286"/>
      <c r="B647" s="52">
        <v>0.14667504675535498</v>
      </c>
      <c r="C647" s="288">
        <v>0.19042069522833482</v>
      </c>
      <c r="D647" s="288">
        <v>7.2311083543908214E-3</v>
      </c>
      <c r="E647" s="288">
        <v>1.1177084391040266E-2</v>
      </c>
      <c r="F647" s="289">
        <v>0.8047947480450105</v>
      </c>
      <c r="G647" s="92">
        <v>0.36724090856784131</v>
      </c>
      <c r="H647" s="288">
        <v>2.1673815008200529E-3</v>
      </c>
      <c r="I647" s="288">
        <v>1.7125335071230707E-2</v>
      </c>
      <c r="J647" s="288">
        <v>0.99982667234930689</v>
      </c>
      <c r="K647" s="288">
        <v>0.76391915185267734</v>
      </c>
      <c r="L647" s="290">
        <v>13757.519533699216</v>
      </c>
      <c r="M647" s="288">
        <v>0</v>
      </c>
      <c r="N647" s="288">
        <v>15046.745362549742</v>
      </c>
      <c r="O647" s="288">
        <v>826.4956558402796</v>
      </c>
      <c r="P647" s="288">
        <v>40427.198307302526</v>
      </c>
      <c r="Q647" s="291">
        <v>78189.469974180232</v>
      </c>
      <c r="R647" s="288">
        <v>19439.615984955792</v>
      </c>
      <c r="S647" s="288">
        <v>7655.6760528512714</v>
      </c>
      <c r="T647" s="290">
        <v>0.751</v>
      </c>
      <c r="U647" s="288">
        <v>0.75800000000000001</v>
      </c>
      <c r="V647" s="288">
        <v>0.723923076923077</v>
      </c>
      <c r="W647" s="288">
        <v>0.72750000000000004</v>
      </c>
      <c r="X647" s="288">
        <v>0.76</v>
      </c>
      <c r="Y647" s="288">
        <v>0</v>
      </c>
      <c r="Z647" s="289">
        <v>0</v>
      </c>
      <c r="AA647" s="229"/>
      <c r="AB647" s="293">
        <v>75515.717425381168</v>
      </c>
      <c r="AC647" s="294">
        <v>3.2578919844951892</v>
      </c>
      <c r="AD647" s="295">
        <v>59499.336914765081</v>
      </c>
      <c r="AE647" s="294">
        <v>3.0724604474462844</v>
      </c>
      <c r="AF647" s="295">
        <v>16016.380510616087</v>
      </c>
      <c r="AG647" s="296">
        <v>0.1854315370489048</v>
      </c>
      <c r="AH647" s="229"/>
      <c r="AI647" s="205">
        <f t="shared" si="68"/>
        <v>250273.48102413776</v>
      </c>
      <c r="AJ647" s="205">
        <f t="shared" si="69"/>
        <v>247746.70782986336</v>
      </c>
      <c r="AK647" s="205">
        <f t="shared" si="70"/>
        <v>2526.7731942743922</v>
      </c>
      <c r="AL647" s="229"/>
      <c r="AM647" s="52">
        <f t="shared" si="58"/>
        <v>1</v>
      </c>
      <c r="AN647" s="52">
        <f t="shared" si="59"/>
        <v>0</v>
      </c>
      <c r="AO647" s="52">
        <f t="shared" si="60"/>
        <v>1</v>
      </c>
      <c r="AP647" s="229"/>
      <c r="AQ647" s="28"/>
      <c r="AR647" s="28"/>
      <c r="AS647" s="28"/>
      <c r="AT647" s="28"/>
      <c r="AU647" s="229"/>
      <c r="AV647" s="318">
        <f t="shared" si="71"/>
        <v>250273.48102413776</v>
      </c>
      <c r="AW647" s="229"/>
      <c r="AX647" s="313"/>
      <c r="AY647" s="302"/>
      <c r="AZ647" s="14">
        <f t="shared" si="73"/>
        <v>16016.380510616087</v>
      </c>
      <c r="BA647" s="14">
        <f t="shared" si="72"/>
        <v>0.1854315370489048</v>
      </c>
      <c r="BB647" s="14">
        <f t="shared" si="61"/>
        <v>86373.552015545254</v>
      </c>
      <c r="BC647" s="302"/>
      <c r="BD647" s="302"/>
      <c r="BE647" s="302"/>
      <c r="BF647" s="302"/>
      <c r="BG647" s="302"/>
      <c r="BH647" s="302"/>
      <c r="BI647" s="302"/>
      <c r="BJ647" s="302"/>
      <c r="BK647" s="302"/>
      <c r="BL647" s="302"/>
      <c r="BM647" s="302"/>
      <c r="BN647" s="302"/>
      <c r="BO647" s="302"/>
      <c r="BP647" s="302"/>
      <c r="BQ647" s="302"/>
      <c r="BR647" s="302"/>
      <c r="BS647" s="302"/>
      <c r="BT647" s="302"/>
      <c r="BU647" s="302"/>
      <c r="BV647" s="302"/>
      <c r="BW647" s="302"/>
      <c r="BX647" s="302"/>
      <c r="BY647" s="302"/>
      <c r="BZ647" s="302"/>
      <c r="CA647" s="302"/>
      <c r="CB647" s="28"/>
      <c r="CC647" s="28"/>
      <c r="CD647" s="28"/>
      <c r="CE647" s="28"/>
      <c r="CF647" s="28"/>
      <c r="CG647" s="28"/>
      <c r="CH647" s="28"/>
      <c r="CI647" s="28"/>
      <c r="CJ647" s="28"/>
      <c r="CK647" s="28"/>
      <c r="CL647" s="28"/>
      <c r="CM647" s="28"/>
      <c r="CN647" s="28"/>
      <c r="CO647" s="28"/>
      <c r="CP647" s="28"/>
      <c r="CQ647" s="28"/>
      <c r="CR647" s="28"/>
      <c r="CS647" s="28"/>
      <c r="CT647" s="28"/>
      <c r="CU647" s="28"/>
      <c r="CV647" s="28"/>
      <c r="CW647" s="28"/>
    </row>
    <row r="648" spans="1:101" ht="14.25" customHeight="1" x14ac:dyDescent="0.2">
      <c r="A648" s="286"/>
      <c r="B648" s="52">
        <v>0.16234829813549889</v>
      </c>
      <c r="C648" s="288">
        <v>0.38632654093217078</v>
      </c>
      <c r="D648" s="288">
        <v>1.9069418823241052E-3</v>
      </c>
      <c r="E648" s="288">
        <v>8.9298724789655653E-3</v>
      </c>
      <c r="F648" s="289">
        <v>0.79086810643906746</v>
      </c>
      <c r="G648" s="92">
        <v>0.40078853241874879</v>
      </c>
      <c r="H648" s="288">
        <v>4.3824377525876035E-2</v>
      </c>
      <c r="I648" s="288">
        <v>2.0962193255727124E-2</v>
      </c>
      <c r="J648" s="288">
        <v>0.99997954201930184</v>
      </c>
      <c r="K648" s="288">
        <v>0.79570683971392375</v>
      </c>
      <c r="L648" s="290">
        <v>12091.086903000054</v>
      </c>
      <c r="M648" s="288">
        <v>0</v>
      </c>
      <c r="N648" s="288">
        <v>14709.188689072078</v>
      </c>
      <c r="O648" s="288">
        <v>938.00765907415769</v>
      </c>
      <c r="P648" s="288">
        <v>61327.688613769802</v>
      </c>
      <c r="Q648" s="291">
        <v>108160.32746232142</v>
      </c>
      <c r="R648" s="288">
        <v>26276.719653097727</v>
      </c>
      <c r="S648" s="288">
        <v>8948.630524970944</v>
      </c>
      <c r="T648" s="290">
        <v>0.751</v>
      </c>
      <c r="U648" s="288">
        <v>0.75800000000000001</v>
      </c>
      <c r="V648" s="288">
        <v>0.723923076923077</v>
      </c>
      <c r="W648" s="288">
        <v>0.72750000000000004</v>
      </c>
      <c r="X648" s="288">
        <v>0.76</v>
      </c>
      <c r="Y648" s="288">
        <v>0</v>
      </c>
      <c r="Z648" s="289">
        <v>0</v>
      </c>
      <c r="AA648" s="229"/>
      <c r="AB648" s="293">
        <v>84005.450153989805</v>
      </c>
      <c r="AC648" s="294">
        <v>3.1928776689978502</v>
      </c>
      <c r="AD648" s="295">
        <v>73462.838751380667</v>
      </c>
      <c r="AE648" s="294">
        <v>3.2202441787706508</v>
      </c>
      <c r="AF648" s="295">
        <v>10542.611402609138</v>
      </c>
      <c r="AG648" s="296">
        <v>-2.736650977280064E-2</v>
      </c>
      <c r="AH648" s="229"/>
      <c r="AI648" s="205">
        <f t="shared" si="68"/>
        <v>235282.31674579522</v>
      </c>
      <c r="AJ648" s="205">
        <f t="shared" si="69"/>
        <v>248561.57912568439</v>
      </c>
      <c r="AK648" s="205">
        <f t="shared" si="70"/>
        <v>-13279.262379889202</v>
      </c>
      <c r="AL648" s="229"/>
      <c r="AM648" s="52">
        <f t="shared" si="58"/>
        <v>0</v>
      </c>
      <c r="AN648" s="52">
        <f t="shared" si="59"/>
        <v>1</v>
      </c>
      <c r="AO648" s="52">
        <f t="shared" si="60"/>
        <v>0</v>
      </c>
      <c r="AP648" s="229"/>
      <c r="AQ648" s="28"/>
      <c r="AR648" s="28"/>
      <c r="AS648" s="28"/>
      <c r="AT648" s="28"/>
      <c r="AU648" s="229"/>
      <c r="AV648" s="318">
        <f t="shared" si="71"/>
        <v>248561.57912568439</v>
      </c>
      <c r="AW648" s="229"/>
      <c r="AX648" s="313"/>
      <c r="AY648" s="302"/>
      <c r="AZ648" s="14">
        <f t="shared" si="73"/>
        <v>10542.611402609138</v>
      </c>
      <c r="BA648" s="14">
        <f t="shared" si="72"/>
        <v>-2.736650977280064E-2</v>
      </c>
      <c r="BB648" s="14">
        <f t="shared" si="61"/>
        <v>-385237.70441078889</v>
      </c>
      <c r="BC648" s="302"/>
      <c r="BD648" s="302"/>
      <c r="BE648" s="302"/>
      <c r="BF648" s="302"/>
      <c r="BG648" s="302"/>
      <c r="BH648" s="302"/>
      <c r="BI648" s="302"/>
      <c r="BJ648" s="302"/>
      <c r="BK648" s="302"/>
      <c r="BL648" s="302"/>
      <c r="BM648" s="302"/>
      <c r="BN648" s="302"/>
      <c r="BO648" s="302"/>
      <c r="BP648" s="302"/>
      <c r="BQ648" s="302"/>
      <c r="BR648" s="302"/>
      <c r="BS648" s="302"/>
      <c r="BT648" s="302"/>
      <c r="BU648" s="302"/>
      <c r="BV648" s="302"/>
      <c r="BW648" s="302"/>
      <c r="BX648" s="302"/>
      <c r="BY648" s="302"/>
      <c r="BZ648" s="302"/>
      <c r="CA648" s="302"/>
      <c r="CB648" s="28"/>
      <c r="CC648" s="28"/>
      <c r="CD648" s="28"/>
      <c r="CE648" s="28"/>
      <c r="CF648" s="28"/>
      <c r="CG648" s="28"/>
      <c r="CH648" s="28"/>
      <c r="CI648" s="28"/>
      <c r="CJ648" s="28"/>
      <c r="CK648" s="28"/>
      <c r="CL648" s="28"/>
      <c r="CM648" s="28"/>
      <c r="CN648" s="28"/>
      <c r="CO648" s="28"/>
      <c r="CP648" s="28"/>
      <c r="CQ648" s="28"/>
      <c r="CR648" s="28"/>
      <c r="CS648" s="28"/>
      <c r="CT648" s="28"/>
      <c r="CU648" s="28"/>
      <c r="CV648" s="28"/>
      <c r="CW648" s="28"/>
    </row>
    <row r="649" spans="1:101" ht="14.25" customHeight="1" x14ac:dyDescent="0.2">
      <c r="A649" s="286"/>
      <c r="B649" s="52">
        <v>0.16357306130131788</v>
      </c>
      <c r="C649" s="288">
        <v>0.32426069139112557</v>
      </c>
      <c r="D649" s="288">
        <v>5.6619710225001337E-3</v>
      </c>
      <c r="E649" s="288">
        <v>1.105420574322496E-2</v>
      </c>
      <c r="F649" s="289">
        <v>0.77306165458402976</v>
      </c>
      <c r="G649" s="92">
        <v>0.4108812518192051</v>
      </c>
      <c r="H649" s="288">
        <v>0.20726444313705242</v>
      </c>
      <c r="I649" s="288">
        <v>4.8921980545505979E-3</v>
      </c>
      <c r="J649" s="288">
        <v>0.45886955282771075</v>
      </c>
      <c r="K649" s="288">
        <v>0.77976973681238748</v>
      </c>
      <c r="L649" s="290">
        <v>16933.575443356996</v>
      </c>
      <c r="M649" s="288">
        <v>0</v>
      </c>
      <c r="N649" s="288">
        <v>16837.885735758457</v>
      </c>
      <c r="O649" s="288">
        <v>1514.023769987831</v>
      </c>
      <c r="P649" s="288">
        <v>59534.929480661733</v>
      </c>
      <c r="Q649" s="291">
        <v>96214.668625980208</v>
      </c>
      <c r="R649" s="288">
        <v>29231.269733474073</v>
      </c>
      <c r="S649" s="288">
        <v>9248.4322006511757</v>
      </c>
      <c r="T649" s="290">
        <v>0.751</v>
      </c>
      <c r="U649" s="288">
        <v>0.75800000000000001</v>
      </c>
      <c r="V649" s="288">
        <v>0.723923076923077</v>
      </c>
      <c r="W649" s="288">
        <v>0.72750000000000004</v>
      </c>
      <c r="X649" s="288">
        <v>0.76</v>
      </c>
      <c r="Y649" s="288">
        <v>0</v>
      </c>
      <c r="Z649" s="289">
        <v>0</v>
      </c>
      <c r="AA649" s="229"/>
      <c r="AB649" s="293">
        <v>89619.019240321286</v>
      </c>
      <c r="AC649" s="294">
        <v>3.1101942187118636</v>
      </c>
      <c r="AD649" s="295">
        <v>75293.437898436241</v>
      </c>
      <c r="AE649" s="294">
        <v>3.1459521082319046</v>
      </c>
      <c r="AF649" s="295">
        <v>14325.581341885045</v>
      </c>
      <c r="AG649" s="296">
        <v>-3.5757889520040997E-2</v>
      </c>
      <c r="AH649" s="229"/>
      <c r="AI649" s="205">
        <f t="shared" si="68"/>
        <v>221400.40263086505</v>
      </c>
      <c r="AJ649" s="205">
        <f t="shared" si="69"/>
        <v>239301.77292475422</v>
      </c>
      <c r="AK649" s="205">
        <f t="shared" si="70"/>
        <v>-17901.370293889144</v>
      </c>
      <c r="AL649" s="229"/>
      <c r="AM649" s="52">
        <f t="shared" si="58"/>
        <v>0</v>
      </c>
      <c r="AN649" s="52">
        <f t="shared" si="59"/>
        <v>1</v>
      </c>
      <c r="AO649" s="52">
        <f t="shared" si="60"/>
        <v>0</v>
      </c>
      <c r="AP649" s="229"/>
      <c r="AQ649" s="28"/>
      <c r="AR649" s="28"/>
      <c r="AS649" s="28"/>
      <c r="AT649" s="28"/>
      <c r="AU649" s="229"/>
      <c r="AV649" s="318">
        <f t="shared" si="71"/>
        <v>239301.77292475422</v>
      </c>
      <c r="AW649" s="229"/>
      <c r="AX649" s="313"/>
      <c r="AY649" s="302"/>
      <c r="AZ649" s="14">
        <f t="shared" si="73"/>
        <v>14325.581341885045</v>
      </c>
      <c r="BA649" s="14">
        <f t="shared" si="72"/>
        <v>-3.5757889520040997E-2</v>
      </c>
      <c r="BB649" s="14">
        <f t="shared" si="61"/>
        <v>-400627.14925767854</v>
      </c>
      <c r="BC649" s="302"/>
      <c r="BD649" s="302"/>
      <c r="BE649" s="302"/>
      <c r="BF649" s="302"/>
      <c r="BG649" s="302"/>
      <c r="BH649" s="302"/>
      <c r="BI649" s="302"/>
      <c r="BJ649" s="302"/>
      <c r="BK649" s="302"/>
      <c r="BL649" s="302"/>
      <c r="BM649" s="302"/>
      <c r="BN649" s="302"/>
      <c r="BO649" s="302"/>
      <c r="BP649" s="302"/>
      <c r="BQ649" s="302"/>
      <c r="BR649" s="302"/>
      <c r="BS649" s="302"/>
      <c r="BT649" s="302"/>
      <c r="BU649" s="302"/>
      <c r="BV649" s="302"/>
      <c r="BW649" s="302"/>
      <c r="BX649" s="302"/>
      <c r="BY649" s="302"/>
      <c r="BZ649" s="302"/>
      <c r="CA649" s="302"/>
      <c r="CB649" s="28"/>
      <c r="CC649" s="28"/>
      <c r="CD649" s="28"/>
      <c r="CE649" s="28"/>
      <c r="CF649" s="28"/>
      <c r="CG649" s="28"/>
      <c r="CH649" s="28"/>
      <c r="CI649" s="28"/>
      <c r="CJ649" s="28"/>
      <c r="CK649" s="28"/>
      <c r="CL649" s="28"/>
      <c r="CM649" s="28"/>
      <c r="CN649" s="28"/>
      <c r="CO649" s="28"/>
      <c r="CP649" s="28"/>
      <c r="CQ649" s="28"/>
      <c r="CR649" s="28"/>
      <c r="CS649" s="28"/>
      <c r="CT649" s="28"/>
      <c r="CU649" s="28"/>
      <c r="CV649" s="28"/>
      <c r="CW649" s="28"/>
    </row>
    <row r="650" spans="1:101" ht="14.25" customHeight="1" x14ac:dyDescent="0.2">
      <c r="A650" s="286"/>
      <c r="B650" s="52">
        <v>0.15644712937347041</v>
      </c>
      <c r="C650" s="288">
        <v>0.15596386259902817</v>
      </c>
      <c r="D650" s="288">
        <v>1.3199800122488734E-2</v>
      </c>
      <c r="E650" s="288">
        <v>2.7112475195885555E-2</v>
      </c>
      <c r="F650" s="289">
        <v>0.79158014221614204</v>
      </c>
      <c r="G650" s="92">
        <v>0.3298062430042154</v>
      </c>
      <c r="H650" s="288">
        <v>0.91717948238104874</v>
      </c>
      <c r="I650" s="288">
        <v>3.6686931882162543E-2</v>
      </c>
      <c r="J650" s="288">
        <v>0.99641655143552721</v>
      </c>
      <c r="K650" s="288">
        <v>0.7942612724275997</v>
      </c>
      <c r="L650" s="290">
        <v>13399.709361463951</v>
      </c>
      <c r="M650" s="288">
        <v>0</v>
      </c>
      <c r="N650" s="288">
        <v>11813.78931949847</v>
      </c>
      <c r="O650" s="288">
        <v>1384.3841622756509</v>
      </c>
      <c r="P650" s="288">
        <v>52552.191915784519</v>
      </c>
      <c r="Q650" s="291">
        <v>113630.04451932703</v>
      </c>
      <c r="R650" s="288">
        <v>15560.532018151487</v>
      </c>
      <c r="S650" s="288">
        <v>13693.134534364213</v>
      </c>
      <c r="T650" s="290">
        <v>0.751</v>
      </c>
      <c r="U650" s="288">
        <v>0.75800000000000001</v>
      </c>
      <c r="V650" s="288">
        <v>0.723923076923077</v>
      </c>
      <c r="W650" s="288">
        <v>0.72750000000000004</v>
      </c>
      <c r="X650" s="288">
        <v>0.76</v>
      </c>
      <c r="Y650" s="288">
        <v>0</v>
      </c>
      <c r="Z650" s="289">
        <v>0</v>
      </c>
      <c r="AA650" s="229"/>
      <c r="AB650" s="293">
        <v>121567.21611399412</v>
      </c>
      <c r="AC650" s="294">
        <v>3.1961943157665078</v>
      </c>
      <c r="AD650" s="295">
        <v>115620.86240628973</v>
      </c>
      <c r="AE650" s="294">
        <v>3.2134890420627511</v>
      </c>
      <c r="AF650" s="295">
        <v>5946.3537077043875</v>
      </c>
      <c r="AG650" s="296">
        <v>-1.729472629624329E-2</v>
      </c>
      <c r="AH650" s="229"/>
      <c r="AI650" s="205">
        <f t="shared" si="68"/>
        <v>198052.21546265663</v>
      </c>
      <c r="AJ650" s="205">
        <f t="shared" si="69"/>
        <v>205728.0417999854</v>
      </c>
      <c r="AK650" s="205">
        <f t="shared" si="70"/>
        <v>-7675.8263373287164</v>
      </c>
      <c r="AL650" s="229"/>
      <c r="AM650" s="52">
        <f t="shared" si="58"/>
        <v>0</v>
      </c>
      <c r="AN650" s="52">
        <f t="shared" si="59"/>
        <v>1</v>
      </c>
      <c r="AO650" s="52">
        <f t="shared" si="60"/>
        <v>0</v>
      </c>
      <c r="AP650" s="229"/>
      <c r="AQ650" s="28"/>
      <c r="AR650" s="28"/>
      <c r="AS650" s="28"/>
      <c r="AT650" s="28"/>
      <c r="AU650" s="229"/>
      <c r="AV650" s="318">
        <f t="shared" si="71"/>
        <v>205728.0417999854</v>
      </c>
      <c r="AW650" s="229"/>
      <c r="AX650" s="313"/>
      <c r="AY650" s="302"/>
      <c r="AZ650" s="14">
        <f t="shared" si="73"/>
        <v>5946.3537077043875</v>
      </c>
      <c r="BA650" s="14">
        <f t="shared" si="72"/>
        <v>-1.729472629624329E-2</v>
      </c>
      <c r="BB650" s="14">
        <f t="shared" si="61"/>
        <v>-343824.67845102801</v>
      </c>
      <c r="BC650" s="302"/>
      <c r="BD650" s="302"/>
      <c r="BE650" s="302"/>
      <c r="BF650" s="302"/>
      <c r="BG650" s="302"/>
      <c r="BH650" s="302"/>
      <c r="BI650" s="302"/>
      <c r="BJ650" s="302"/>
      <c r="BK650" s="302"/>
      <c r="BL650" s="302"/>
      <c r="BM650" s="302"/>
      <c r="BN650" s="302"/>
      <c r="BO650" s="302"/>
      <c r="BP650" s="302"/>
      <c r="BQ650" s="302"/>
      <c r="BR650" s="302"/>
      <c r="BS650" s="302"/>
      <c r="BT650" s="302"/>
      <c r="BU650" s="302"/>
      <c r="BV650" s="302"/>
      <c r="BW650" s="302"/>
      <c r="BX650" s="302"/>
      <c r="BY650" s="302"/>
      <c r="BZ650" s="302"/>
      <c r="CA650" s="302"/>
      <c r="CB650" s="28"/>
      <c r="CC650" s="28"/>
      <c r="CD650" s="28"/>
      <c r="CE650" s="28"/>
      <c r="CF650" s="28"/>
      <c r="CG650" s="28"/>
      <c r="CH650" s="28"/>
      <c r="CI650" s="28"/>
      <c r="CJ650" s="28"/>
      <c r="CK650" s="28"/>
      <c r="CL650" s="28"/>
      <c r="CM650" s="28"/>
      <c r="CN650" s="28"/>
      <c r="CO650" s="28"/>
      <c r="CP650" s="28"/>
      <c r="CQ650" s="28"/>
      <c r="CR650" s="28"/>
      <c r="CS650" s="28"/>
      <c r="CT650" s="28"/>
      <c r="CU650" s="28"/>
      <c r="CV650" s="28"/>
      <c r="CW650" s="28"/>
    </row>
    <row r="651" spans="1:101" ht="14.25" customHeight="1" x14ac:dyDescent="0.2">
      <c r="A651" s="286"/>
      <c r="B651" s="52">
        <v>0.13465879067334849</v>
      </c>
      <c r="C651" s="288">
        <v>1.0600208561239074E-2</v>
      </c>
      <c r="D651" s="288">
        <v>2.801201200543102E-2</v>
      </c>
      <c r="E651" s="288">
        <v>1.0149842918079783E-2</v>
      </c>
      <c r="F651" s="289">
        <v>0.78967778109574516</v>
      </c>
      <c r="G651" s="92">
        <v>0.41785300173122519</v>
      </c>
      <c r="H651" s="288">
        <v>0.75122291183322909</v>
      </c>
      <c r="I651" s="288">
        <v>1.7276819377113783E-2</v>
      </c>
      <c r="J651" s="288">
        <v>4.9995322302636966E-2</v>
      </c>
      <c r="K651" s="288">
        <v>0.77386526813568601</v>
      </c>
      <c r="L651" s="290">
        <v>11072.614370069228</v>
      </c>
      <c r="M651" s="288">
        <v>0</v>
      </c>
      <c r="N651" s="288">
        <v>12553.315604124999</v>
      </c>
      <c r="O651" s="288">
        <v>932.84076703954622</v>
      </c>
      <c r="P651" s="288">
        <v>35657.57270142714</v>
      </c>
      <c r="Q651" s="291">
        <v>80106.440309603131</v>
      </c>
      <c r="R651" s="288">
        <v>19488.72545977667</v>
      </c>
      <c r="S651" s="288">
        <v>10340.281941138372</v>
      </c>
      <c r="T651" s="290">
        <v>0.751</v>
      </c>
      <c r="U651" s="288">
        <v>0.75800000000000001</v>
      </c>
      <c r="V651" s="288">
        <v>0.723923076923077</v>
      </c>
      <c r="W651" s="288">
        <v>0.72750000000000004</v>
      </c>
      <c r="X651" s="288">
        <v>0.76</v>
      </c>
      <c r="Y651" s="288">
        <v>0</v>
      </c>
      <c r="Z651" s="289">
        <v>0</v>
      </c>
      <c r="AA651" s="229"/>
      <c r="AB651" s="293">
        <v>92387.083966875885</v>
      </c>
      <c r="AC651" s="294">
        <v>3.1873349359753549</v>
      </c>
      <c r="AD651" s="295">
        <v>86790.970369707808</v>
      </c>
      <c r="AE651" s="294">
        <v>3.1185295975625227</v>
      </c>
      <c r="AF651" s="295">
        <v>5596.1135971680778</v>
      </c>
      <c r="AG651" s="296">
        <v>6.8805338412832207E-2</v>
      </c>
      <c r="AH651" s="229"/>
      <c r="AI651" s="205">
        <f t="shared" si="68"/>
        <v>226346.40963065959</v>
      </c>
      <c r="AJ651" s="205">
        <f t="shared" si="69"/>
        <v>225061.98938654445</v>
      </c>
      <c r="AK651" s="205">
        <f t="shared" si="70"/>
        <v>1284.4202441151429</v>
      </c>
      <c r="AL651" s="229"/>
      <c r="AM651" s="52">
        <f t="shared" si="58"/>
        <v>1</v>
      </c>
      <c r="AN651" s="52">
        <f t="shared" si="59"/>
        <v>0</v>
      </c>
      <c r="AO651" s="52">
        <f t="shared" si="60"/>
        <v>1</v>
      </c>
      <c r="AP651" s="229"/>
      <c r="AQ651" s="28"/>
      <c r="AR651" s="28"/>
      <c r="AS651" s="28"/>
      <c r="AT651" s="28"/>
      <c r="AU651" s="229"/>
      <c r="AV651" s="318">
        <f t="shared" si="71"/>
        <v>226346.40963065959</v>
      </c>
      <c r="AW651" s="229"/>
      <c r="AX651" s="313"/>
      <c r="AY651" s="302"/>
      <c r="AZ651" s="14">
        <f t="shared" si="73"/>
        <v>5596.1135971680778</v>
      </c>
      <c r="BA651" s="14">
        <f t="shared" si="72"/>
        <v>6.8805338412832207E-2</v>
      </c>
      <c r="BB651" s="14">
        <f t="shared" si="61"/>
        <v>81332.549570374642</v>
      </c>
      <c r="BC651" s="302"/>
      <c r="BD651" s="302"/>
      <c r="BE651" s="302"/>
      <c r="BF651" s="302"/>
      <c r="BG651" s="302"/>
      <c r="BH651" s="302"/>
      <c r="BI651" s="302"/>
      <c r="BJ651" s="302"/>
      <c r="BK651" s="302"/>
      <c r="BL651" s="302"/>
      <c r="BM651" s="302"/>
      <c r="BN651" s="302"/>
      <c r="BO651" s="302"/>
      <c r="BP651" s="302"/>
      <c r="BQ651" s="302"/>
      <c r="BR651" s="302"/>
      <c r="BS651" s="302"/>
      <c r="BT651" s="302"/>
      <c r="BU651" s="302"/>
      <c r="BV651" s="302"/>
      <c r="BW651" s="302"/>
      <c r="BX651" s="302"/>
      <c r="BY651" s="302"/>
      <c r="BZ651" s="302"/>
      <c r="CA651" s="302"/>
      <c r="CB651" s="28"/>
      <c r="CC651" s="28"/>
      <c r="CD651" s="28"/>
      <c r="CE651" s="28"/>
      <c r="CF651" s="28"/>
      <c r="CG651" s="28"/>
      <c r="CH651" s="28"/>
      <c r="CI651" s="28"/>
      <c r="CJ651" s="28"/>
      <c r="CK651" s="28"/>
      <c r="CL651" s="28"/>
      <c r="CM651" s="28"/>
      <c r="CN651" s="28"/>
      <c r="CO651" s="28"/>
      <c r="CP651" s="28"/>
      <c r="CQ651" s="28"/>
      <c r="CR651" s="28"/>
      <c r="CS651" s="28"/>
      <c r="CT651" s="28"/>
      <c r="CU651" s="28"/>
      <c r="CV651" s="28"/>
      <c r="CW651" s="28"/>
    </row>
    <row r="652" spans="1:101" ht="14.25" customHeight="1" x14ac:dyDescent="0.2">
      <c r="A652" s="286"/>
      <c r="B652" s="52">
        <v>0.18219484197981095</v>
      </c>
      <c r="C652" s="288">
        <v>2.737008084320032E-2</v>
      </c>
      <c r="D652" s="288">
        <v>1.4088152864860528E-2</v>
      </c>
      <c r="E652" s="288">
        <v>1.388947673042413E-2</v>
      </c>
      <c r="F652" s="289">
        <v>0.76496711359129899</v>
      </c>
      <c r="G652" s="92">
        <v>0.44240823755795733</v>
      </c>
      <c r="H652" s="288">
        <v>0.22847609442184619</v>
      </c>
      <c r="I652" s="288">
        <v>1.7206902333457896E-2</v>
      </c>
      <c r="J652" s="288">
        <v>1</v>
      </c>
      <c r="K652" s="288">
        <v>0.78391978856069844</v>
      </c>
      <c r="L652" s="290">
        <v>14506.917747655221</v>
      </c>
      <c r="M652" s="288">
        <v>0</v>
      </c>
      <c r="N652" s="288">
        <v>13907.685856320308</v>
      </c>
      <c r="O652" s="288">
        <v>1432.5035429042823</v>
      </c>
      <c r="P652" s="288">
        <v>39960.465636976412</v>
      </c>
      <c r="Q652" s="291">
        <v>130582.2730089711</v>
      </c>
      <c r="R652" s="288">
        <v>25231.792906646559</v>
      </c>
      <c r="S652" s="288">
        <v>6699.495287978265</v>
      </c>
      <c r="T652" s="290">
        <v>0.751</v>
      </c>
      <c r="U652" s="288">
        <v>0.75800000000000001</v>
      </c>
      <c r="V652" s="288">
        <v>0.723923076923077</v>
      </c>
      <c r="W652" s="288">
        <v>0.72750000000000004</v>
      </c>
      <c r="X652" s="288">
        <v>0.76</v>
      </c>
      <c r="Y652" s="288">
        <v>0</v>
      </c>
      <c r="Z652" s="289">
        <v>0</v>
      </c>
      <c r="AA652" s="229"/>
      <c r="AB652" s="293">
        <v>65978.993380002692</v>
      </c>
      <c r="AC652" s="294">
        <v>3.0727720085534855</v>
      </c>
      <c r="AD652" s="295">
        <v>56918.89620859929</v>
      </c>
      <c r="AE652" s="294">
        <v>3.1652593513496985</v>
      </c>
      <c r="AF652" s="295">
        <v>9060.0971714034022</v>
      </c>
      <c r="AG652" s="296">
        <v>-9.2487342796212957E-2</v>
      </c>
      <c r="AH652" s="229"/>
      <c r="AI652" s="205">
        <f t="shared" si="68"/>
        <v>241298.20747534587</v>
      </c>
      <c r="AJ652" s="205">
        <f t="shared" si="69"/>
        <v>259607.03892637053</v>
      </c>
      <c r="AK652" s="205">
        <f t="shared" si="70"/>
        <v>-18308.8314510247</v>
      </c>
      <c r="AL652" s="229"/>
      <c r="AM652" s="52">
        <f t="shared" si="58"/>
        <v>0</v>
      </c>
      <c r="AN652" s="52">
        <f t="shared" si="59"/>
        <v>1</v>
      </c>
      <c r="AO652" s="52">
        <f t="shared" si="60"/>
        <v>0</v>
      </c>
      <c r="AP652" s="229"/>
      <c r="AQ652" s="28"/>
      <c r="AR652" s="28"/>
      <c r="AS652" s="28"/>
      <c r="AT652" s="28"/>
      <c r="AU652" s="229"/>
      <c r="AV652" s="318">
        <f t="shared" si="71"/>
        <v>259607.03892637053</v>
      </c>
      <c r="AW652" s="229"/>
      <c r="AX652" s="313"/>
      <c r="AY652" s="302"/>
      <c r="AZ652" s="14">
        <f t="shared" si="73"/>
        <v>9060.0971714034022</v>
      </c>
      <c r="BA652" s="14">
        <f t="shared" si="72"/>
        <v>-9.2487342796212957E-2</v>
      </c>
      <c r="BB652" s="14">
        <f t="shared" si="61"/>
        <v>-97960.400823347925</v>
      </c>
      <c r="BC652" s="302"/>
      <c r="BD652" s="302"/>
      <c r="BE652" s="302"/>
      <c r="BF652" s="302"/>
      <c r="BG652" s="302"/>
      <c r="BH652" s="302"/>
      <c r="BI652" s="302"/>
      <c r="BJ652" s="302"/>
      <c r="BK652" s="302"/>
      <c r="BL652" s="302"/>
      <c r="BM652" s="302"/>
      <c r="BN652" s="302"/>
      <c r="BO652" s="302"/>
      <c r="BP652" s="302"/>
      <c r="BQ652" s="302"/>
      <c r="BR652" s="302"/>
      <c r="BS652" s="302"/>
      <c r="BT652" s="302"/>
      <c r="BU652" s="302"/>
      <c r="BV652" s="302"/>
      <c r="BW652" s="302"/>
      <c r="BX652" s="302"/>
      <c r="BY652" s="302"/>
      <c r="BZ652" s="302"/>
      <c r="CA652" s="302"/>
      <c r="CB652" s="28"/>
      <c r="CC652" s="28"/>
      <c r="CD652" s="28"/>
      <c r="CE652" s="28"/>
      <c r="CF652" s="28"/>
      <c r="CG652" s="28"/>
      <c r="CH652" s="28"/>
      <c r="CI652" s="28"/>
      <c r="CJ652" s="28"/>
      <c r="CK652" s="28"/>
      <c r="CL652" s="28"/>
      <c r="CM652" s="28"/>
      <c r="CN652" s="28"/>
      <c r="CO652" s="28"/>
      <c r="CP652" s="28"/>
      <c r="CQ652" s="28"/>
      <c r="CR652" s="28"/>
      <c r="CS652" s="28"/>
      <c r="CT652" s="28"/>
      <c r="CU652" s="28"/>
      <c r="CV652" s="28"/>
      <c r="CW652" s="28"/>
    </row>
    <row r="653" spans="1:101" ht="14.25" customHeight="1" x14ac:dyDescent="0.2">
      <c r="A653" s="286"/>
      <c r="B653" s="52">
        <v>0.12278563808951648</v>
      </c>
      <c r="C653" s="288">
        <v>0.54444700470173024</v>
      </c>
      <c r="D653" s="288">
        <v>1.833130899356672E-2</v>
      </c>
      <c r="E653" s="288">
        <v>1.2991534930936854E-2</v>
      </c>
      <c r="F653" s="289">
        <v>0.79875084828783049</v>
      </c>
      <c r="G653" s="92">
        <v>0.36098875188897933</v>
      </c>
      <c r="H653" s="288">
        <v>0.42795486948354305</v>
      </c>
      <c r="I653" s="288">
        <v>1.0241679670302886E-2</v>
      </c>
      <c r="J653" s="288">
        <v>0.99999999967808628</v>
      </c>
      <c r="K653" s="288">
        <v>0.66711645141768017</v>
      </c>
      <c r="L653" s="290">
        <v>10570.441922098282</v>
      </c>
      <c r="M653" s="288">
        <v>0</v>
      </c>
      <c r="N653" s="288">
        <v>16893.307118796813</v>
      </c>
      <c r="O653" s="288">
        <v>814.8842849760606</v>
      </c>
      <c r="P653" s="288">
        <v>38845.287858060314</v>
      </c>
      <c r="Q653" s="291">
        <v>121515.90093503904</v>
      </c>
      <c r="R653" s="288">
        <v>18698.130532788709</v>
      </c>
      <c r="S653" s="288">
        <v>6037.3460000356681</v>
      </c>
      <c r="T653" s="290">
        <v>0.751</v>
      </c>
      <c r="U653" s="288">
        <v>0.75800000000000001</v>
      </c>
      <c r="V653" s="288">
        <v>0.723923076923077</v>
      </c>
      <c r="W653" s="288">
        <v>0.72750000000000004</v>
      </c>
      <c r="X653" s="288">
        <v>0.76</v>
      </c>
      <c r="Y653" s="288">
        <v>0</v>
      </c>
      <c r="Z653" s="289">
        <v>0</v>
      </c>
      <c r="AA653" s="229"/>
      <c r="AB653" s="293">
        <v>59947.75478785811</v>
      </c>
      <c r="AC653" s="294">
        <v>3.2296396343098159</v>
      </c>
      <c r="AD653" s="295">
        <v>44007.687940630989</v>
      </c>
      <c r="AE653" s="294">
        <v>2.6322267549747753</v>
      </c>
      <c r="AF653" s="295">
        <v>15940.066847227121</v>
      </c>
      <c r="AG653" s="296">
        <v>0.59741287933504061</v>
      </c>
      <c r="AH653" s="229"/>
      <c r="AI653" s="205">
        <f t="shared" si="68"/>
        <v>263016.20864312351</v>
      </c>
      <c r="AJ653" s="205">
        <f t="shared" si="69"/>
        <v>219214.98755684652</v>
      </c>
      <c r="AK653" s="205">
        <f t="shared" si="70"/>
        <v>43801.221086276943</v>
      </c>
      <c r="AL653" s="229"/>
      <c r="AM653" s="52">
        <f t="shared" si="58"/>
        <v>1</v>
      </c>
      <c r="AN653" s="52">
        <f t="shared" si="59"/>
        <v>0</v>
      </c>
      <c r="AO653" s="52">
        <f t="shared" si="60"/>
        <v>1</v>
      </c>
      <c r="AP653" s="229"/>
      <c r="AQ653" s="28"/>
      <c r="AR653" s="28"/>
      <c r="AS653" s="28"/>
      <c r="AT653" s="28"/>
      <c r="AU653" s="229"/>
      <c r="AV653" s="318">
        <f t="shared" si="71"/>
        <v>263016.20864312351</v>
      </c>
      <c r="AW653" s="229"/>
      <c r="AX653" s="313"/>
      <c r="AY653" s="302"/>
      <c r="AZ653" s="14">
        <f t="shared" si="73"/>
        <v>15940.066847227121</v>
      </c>
      <c r="BA653" s="14">
        <f t="shared" si="72"/>
        <v>0.59741287933504061</v>
      </c>
      <c r="BB653" s="14">
        <f t="shared" si="61"/>
        <v>26681.826586948464</v>
      </c>
      <c r="BC653" s="302"/>
      <c r="BD653" s="302"/>
      <c r="BE653" s="302"/>
      <c r="BF653" s="302"/>
      <c r="BG653" s="302"/>
      <c r="BH653" s="302"/>
      <c r="BI653" s="302"/>
      <c r="BJ653" s="302"/>
      <c r="BK653" s="302"/>
      <c r="BL653" s="302"/>
      <c r="BM653" s="302"/>
      <c r="BN653" s="302"/>
      <c r="BO653" s="302"/>
      <c r="BP653" s="302"/>
      <c r="BQ653" s="302"/>
      <c r="BR653" s="302"/>
      <c r="BS653" s="302"/>
      <c r="BT653" s="302"/>
      <c r="BU653" s="302"/>
      <c r="BV653" s="302"/>
      <c r="BW653" s="302"/>
      <c r="BX653" s="302"/>
      <c r="BY653" s="302"/>
      <c r="BZ653" s="302"/>
      <c r="CA653" s="302"/>
      <c r="CB653" s="28"/>
      <c r="CC653" s="28"/>
      <c r="CD653" s="28"/>
      <c r="CE653" s="28"/>
      <c r="CF653" s="28"/>
      <c r="CG653" s="28"/>
      <c r="CH653" s="28"/>
      <c r="CI653" s="28"/>
      <c r="CJ653" s="28"/>
      <c r="CK653" s="28"/>
      <c r="CL653" s="28"/>
      <c r="CM653" s="28"/>
      <c r="CN653" s="28"/>
      <c r="CO653" s="28"/>
      <c r="CP653" s="28"/>
      <c r="CQ653" s="28"/>
      <c r="CR653" s="28"/>
      <c r="CS653" s="28"/>
      <c r="CT653" s="28"/>
      <c r="CU653" s="28"/>
      <c r="CV653" s="28"/>
      <c r="CW653" s="28"/>
    </row>
    <row r="654" spans="1:101" ht="14.25" customHeight="1" x14ac:dyDescent="0.2">
      <c r="A654" s="286"/>
      <c r="B654" s="52">
        <v>0.15110345798973204</v>
      </c>
      <c r="C654" s="288">
        <v>0.85486088298779883</v>
      </c>
      <c r="D654" s="288">
        <v>1.7673134344746044E-2</v>
      </c>
      <c r="E654" s="288">
        <v>1.7669295305816846E-2</v>
      </c>
      <c r="F654" s="289">
        <v>0.74672098659197073</v>
      </c>
      <c r="G654" s="92">
        <v>0.39145280755666784</v>
      </c>
      <c r="H654" s="288">
        <v>0.69736642373424373</v>
      </c>
      <c r="I654" s="288">
        <v>2.1836182861193487E-2</v>
      </c>
      <c r="J654" s="288">
        <v>9.7708982163337357E-3</v>
      </c>
      <c r="K654" s="288">
        <v>0.74884186820444043</v>
      </c>
      <c r="L654" s="290">
        <v>13487.226342268224</v>
      </c>
      <c r="M654" s="288">
        <v>0</v>
      </c>
      <c r="N654" s="288">
        <v>17054.062616982148</v>
      </c>
      <c r="O654" s="288">
        <v>1845.8303678067475</v>
      </c>
      <c r="P654" s="288">
        <v>45579.946398691754</v>
      </c>
      <c r="Q654" s="291">
        <v>68274.818786838892</v>
      </c>
      <c r="R654" s="288">
        <v>14632.993456387947</v>
      </c>
      <c r="S654" s="288">
        <v>8670.3600214783019</v>
      </c>
      <c r="T654" s="290">
        <v>0.751</v>
      </c>
      <c r="U654" s="288">
        <v>0.75800000000000001</v>
      </c>
      <c r="V654" s="288">
        <v>0.723923076923077</v>
      </c>
      <c r="W654" s="288">
        <v>0.72750000000000004</v>
      </c>
      <c r="X654" s="288">
        <v>0.76</v>
      </c>
      <c r="Y654" s="288">
        <v>0</v>
      </c>
      <c r="Z654" s="289">
        <v>0</v>
      </c>
      <c r="AA654" s="229"/>
      <c r="AB654" s="293">
        <v>79952.360639057442</v>
      </c>
      <c r="AC654" s="294">
        <v>2.9887945000653469</v>
      </c>
      <c r="AD654" s="295">
        <v>70068.224700722072</v>
      </c>
      <c r="AE654" s="294">
        <v>3.0029217280460903</v>
      </c>
      <c r="AF654" s="295">
        <v>9884.1359383353702</v>
      </c>
      <c r="AG654" s="296">
        <v>-1.4127227980743395E-2</v>
      </c>
      <c r="AH654" s="229"/>
      <c r="AI654" s="205">
        <f t="shared" ref="AI654:AI717" si="74">AC654*cRatio-AB654</f>
        <v>218927.08936747725</v>
      </c>
      <c r="AJ654" s="205">
        <f t="shared" ref="AJ654:AJ717" si="75">AE654*cRatio-AD654</f>
        <v>230223.94810388691</v>
      </c>
      <c r="AK654" s="205">
        <f t="shared" ref="AK654:AK717" si="76">AG654*cRatio-AF654</f>
        <v>-11296.858736409709</v>
      </c>
      <c r="AL654" s="229"/>
      <c r="AM654" s="52">
        <f t="shared" si="58"/>
        <v>0</v>
      </c>
      <c r="AN654" s="52">
        <f t="shared" si="59"/>
        <v>1</v>
      </c>
      <c r="AO654" s="52">
        <f t="shared" si="60"/>
        <v>0</v>
      </c>
      <c r="AP654" s="229"/>
      <c r="AQ654" s="28"/>
      <c r="AR654" s="28"/>
      <c r="AS654" s="28"/>
      <c r="AT654" s="28"/>
      <c r="AU654" s="229"/>
      <c r="AV654" s="318">
        <f t="shared" si="71"/>
        <v>230223.94810388691</v>
      </c>
      <c r="AW654" s="229"/>
      <c r="AX654" s="313"/>
      <c r="AY654" s="302"/>
      <c r="AZ654" s="14">
        <f t="shared" si="73"/>
        <v>9884.1359383353702</v>
      </c>
      <c r="BA654" s="14">
        <f t="shared" si="72"/>
        <v>-1.4127227980743395E-2</v>
      </c>
      <c r="BB654" s="14">
        <f t="shared" si="61"/>
        <v>-699651.47811080003</v>
      </c>
      <c r="BC654" s="302"/>
      <c r="BD654" s="302"/>
      <c r="BE654" s="302"/>
      <c r="BF654" s="302"/>
      <c r="BG654" s="302"/>
      <c r="BH654" s="302"/>
      <c r="BI654" s="302"/>
      <c r="BJ654" s="302"/>
      <c r="BK654" s="302"/>
      <c r="BL654" s="302"/>
      <c r="BM654" s="302"/>
      <c r="BN654" s="302"/>
      <c r="BO654" s="302"/>
      <c r="BP654" s="302"/>
      <c r="BQ654" s="302"/>
      <c r="BR654" s="302"/>
      <c r="BS654" s="302"/>
      <c r="BT654" s="302"/>
      <c r="BU654" s="302"/>
      <c r="BV654" s="302"/>
      <c r="BW654" s="302"/>
      <c r="BX654" s="302"/>
      <c r="BY654" s="302"/>
      <c r="BZ654" s="302"/>
      <c r="CA654" s="302"/>
      <c r="CB654" s="28"/>
      <c r="CC654" s="28"/>
      <c r="CD654" s="28"/>
      <c r="CE654" s="28"/>
      <c r="CF654" s="28"/>
      <c r="CG654" s="28"/>
      <c r="CH654" s="28"/>
      <c r="CI654" s="28"/>
      <c r="CJ654" s="28"/>
      <c r="CK654" s="28"/>
      <c r="CL654" s="28"/>
      <c r="CM654" s="28"/>
      <c r="CN654" s="28"/>
      <c r="CO654" s="28"/>
      <c r="CP654" s="28"/>
      <c r="CQ654" s="28"/>
      <c r="CR654" s="28"/>
      <c r="CS654" s="28"/>
      <c r="CT654" s="28"/>
      <c r="CU654" s="28"/>
      <c r="CV654" s="28"/>
      <c r="CW654" s="28"/>
    </row>
    <row r="655" spans="1:101" ht="14.25" customHeight="1" x14ac:dyDescent="0.2">
      <c r="A655" s="286"/>
      <c r="B655" s="52">
        <v>0.16463711958896821</v>
      </c>
      <c r="C655" s="288">
        <v>7.7127769727367859E-2</v>
      </c>
      <c r="D655" s="288">
        <v>2.2277921319880378E-2</v>
      </c>
      <c r="E655" s="288">
        <v>6.2278124944395155E-3</v>
      </c>
      <c r="F655" s="289">
        <v>0.77349870193959414</v>
      </c>
      <c r="G655" s="92">
        <v>0.31724947825489402</v>
      </c>
      <c r="H655" s="288">
        <v>0.52975087153394418</v>
      </c>
      <c r="I655" s="288">
        <v>1.5937746573930767E-2</v>
      </c>
      <c r="J655" s="288">
        <v>0.99999999941365914</v>
      </c>
      <c r="K655" s="288">
        <v>0.79926562615572405</v>
      </c>
      <c r="L655" s="290">
        <v>9418.4183038229585</v>
      </c>
      <c r="M655" s="288">
        <v>0</v>
      </c>
      <c r="N655" s="288">
        <v>16616.237392452134</v>
      </c>
      <c r="O655" s="288">
        <v>1160.9708609168279</v>
      </c>
      <c r="P655" s="288">
        <v>58402.63136673328</v>
      </c>
      <c r="Q655" s="291">
        <v>59317.326822040035</v>
      </c>
      <c r="R655" s="288">
        <v>27119.099358211155</v>
      </c>
      <c r="S655" s="288">
        <v>7275.637695359027</v>
      </c>
      <c r="T655" s="290">
        <v>0.751</v>
      </c>
      <c r="U655" s="288">
        <v>0.75800000000000001</v>
      </c>
      <c r="V655" s="288">
        <v>0.723923076923077</v>
      </c>
      <c r="W655" s="288">
        <v>0.72750000000000004</v>
      </c>
      <c r="X655" s="288">
        <v>0.76</v>
      </c>
      <c r="Y655" s="288">
        <v>0</v>
      </c>
      <c r="Z655" s="289">
        <v>0</v>
      </c>
      <c r="AA655" s="229"/>
      <c r="AB655" s="293">
        <v>65900.250738725852</v>
      </c>
      <c r="AC655" s="294">
        <v>3.1122176748138299</v>
      </c>
      <c r="AD655" s="295">
        <v>63529.411029730007</v>
      </c>
      <c r="AE655" s="294">
        <v>3.2368884257847692</v>
      </c>
      <c r="AF655" s="295">
        <v>2370.8397089958453</v>
      </c>
      <c r="AG655" s="296">
        <v>-0.12467075097093927</v>
      </c>
      <c r="AH655" s="229"/>
      <c r="AI655" s="205">
        <f t="shared" si="74"/>
        <v>245321.51674265714</v>
      </c>
      <c r="AJ655" s="205">
        <f t="shared" si="75"/>
        <v>260159.43154874694</v>
      </c>
      <c r="AK655" s="205">
        <f t="shared" si="76"/>
        <v>-14837.914806089771</v>
      </c>
      <c r="AL655" s="229"/>
      <c r="AM655" s="52">
        <f t="shared" si="58"/>
        <v>0</v>
      </c>
      <c r="AN655" s="52">
        <f t="shared" si="59"/>
        <v>1</v>
      </c>
      <c r="AO655" s="52">
        <f t="shared" si="60"/>
        <v>0</v>
      </c>
      <c r="AP655" s="229"/>
      <c r="AQ655" s="28"/>
      <c r="AR655" s="28"/>
      <c r="AS655" s="28"/>
      <c r="AT655" s="28"/>
      <c r="AU655" s="229"/>
      <c r="AV655" s="318">
        <f t="shared" ref="AV655:AV718" si="77">MAX(AI655:AJ655)</f>
        <v>260159.43154874694</v>
      </c>
      <c r="AW655" s="229"/>
      <c r="AX655" s="313"/>
      <c r="AY655" s="302"/>
      <c r="AZ655" s="14">
        <f t="shared" si="73"/>
        <v>2370.8397089958453</v>
      </c>
      <c r="BA655" s="14">
        <f t="shared" ref="BA655:BA718" si="78">AG655</f>
        <v>-0.12467075097093927</v>
      </c>
      <c r="BB655" s="14">
        <f t="shared" si="61"/>
        <v>-19016.807795988072</v>
      </c>
      <c r="BC655" s="302"/>
      <c r="BD655" s="302"/>
      <c r="BE655" s="302"/>
      <c r="BF655" s="302"/>
      <c r="BG655" s="302"/>
      <c r="BH655" s="302"/>
      <c r="BI655" s="302"/>
      <c r="BJ655" s="302"/>
      <c r="BK655" s="302"/>
      <c r="BL655" s="302"/>
      <c r="BM655" s="302"/>
      <c r="BN655" s="302"/>
      <c r="BO655" s="302"/>
      <c r="BP655" s="302"/>
      <c r="BQ655" s="302"/>
      <c r="BR655" s="302"/>
      <c r="BS655" s="302"/>
      <c r="BT655" s="302"/>
      <c r="BU655" s="302"/>
      <c r="BV655" s="302"/>
      <c r="BW655" s="302"/>
      <c r="BX655" s="302"/>
      <c r="BY655" s="302"/>
      <c r="BZ655" s="302"/>
      <c r="CA655" s="302"/>
      <c r="CB655" s="28"/>
      <c r="CC655" s="28"/>
      <c r="CD655" s="28"/>
      <c r="CE655" s="28"/>
      <c r="CF655" s="28"/>
      <c r="CG655" s="28"/>
      <c r="CH655" s="28"/>
      <c r="CI655" s="28"/>
      <c r="CJ655" s="28"/>
      <c r="CK655" s="28"/>
      <c r="CL655" s="28"/>
      <c r="CM655" s="28"/>
      <c r="CN655" s="28"/>
      <c r="CO655" s="28"/>
      <c r="CP655" s="28"/>
      <c r="CQ655" s="28"/>
      <c r="CR655" s="28"/>
      <c r="CS655" s="28"/>
      <c r="CT655" s="28"/>
      <c r="CU655" s="28"/>
      <c r="CV655" s="28"/>
      <c r="CW655" s="28"/>
    </row>
    <row r="656" spans="1:101" ht="14.25" customHeight="1" x14ac:dyDescent="0.2">
      <c r="A656" s="286"/>
      <c r="B656" s="52">
        <v>0.14060272054511394</v>
      </c>
      <c r="C656" s="288">
        <v>2.8581290627442715E-2</v>
      </c>
      <c r="D656" s="288">
        <v>1.39819622782562E-2</v>
      </c>
      <c r="E656" s="288">
        <v>3.4055012128184958E-2</v>
      </c>
      <c r="F656" s="289">
        <v>0.81114802428279542</v>
      </c>
      <c r="G656" s="92">
        <v>0.40971726676003395</v>
      </c>
      <c r="H656" s="288">
        <v>0.44688733958330285</v>
      </c>
      <c r="I656" s="288">
        <v>1.0103569468713226E-2</v>
      </c>
      <c r="J656" s="288">
        <v>1</v>
      </c>
      <c r="K656" s="288">
        <v>0.71964768598212359</v>
      </c>
      <c r="L656" s="290">
        <v>8002.0545008303307</v>
      </c>
      <c r="M656" s="288">
        <v>0</v>
      </c>
      <c r="N656" s="288">
        <v>24219.151430207829</v>
      </c>
      <c r="O656" s="288">
        <v>1095.9735899732157</v>
      </c>
      <c r="P656" s="288">
        <v>45995.842090353945</v>
      </c>
      <c r="Q656" s="291">
        <v>107298.23849343703</v>
      </c>
      <c r="R656" s="288">
        <v>29850.964642916166</v>
      </c>
      <c r="S656" s="288">
        <v>8140.2207476863277</v>
      </c>
      <c r="T656" s="290">
        <v>0.751</v>
      </c>
      <c r="U656" s="288">
        <v>0.75800000000000001</v>
      </c>
      <c r="V656" s="288">
        <v>0.723923076923077</v>
      </c>
      <c r="W656" s="288">
        <v>0.72750000000000004</v>
      </c>
      <c r="X656" s="288">
        <v>0.76</v>
      </c>
      <c r="Y656" s="288">
        <v>0</v>
      </c>
      <c r="Z656" s="289">
        <v>0</v>
      </c>
      <c r="AA656" s="229"/>
      <c r="AB656" s="293">
        <v>73875.78881476447</v>
      </c>
      <c r="AC656" s="294">
        <v>3.2876522918796045</v>
      </c>
      <c r="AD656" s="295">
        <v>65012.036197408117</v>
      </c>
      <c r="AE656" s="294">
        <v>2.8692923582187873</v>
      </c>
      <c r="AF656" s="295">
        <v>8863.7526173563529</v>
      </c>
      <c r="AG656" s="296">
        <v>0.41835993366081725</v>
      </c>
      <c r="AH656" s="229"/>
      <c r="AI656" s="205">
        <f t="shared" si="74"/>
        <v>254889.44037319598</v>
      </c>
      <c r="AJ656" s="205">
        <f t="shared" si="75"/>
        <v>221917.19962447061</v>
      </c>
      <c r="AK656" s="205">
        <f t="shared" si="76"/>
        <v>32972.240748725373</v>
      </c>
      <c r="AL656" s="229"/>
      <c r="AM656" s="52">
        <f t="shared" si="58"/>
        <v>1</v>
      </c>
      <c r="AN656" s="52">
        <f t="shared" si="59"/>
        <v>0</v>
      </c>
      <c r="AO656" s="52">
        <f t="shared" si="60"/>
        <v>1</v>
      </c>
      <c r="AP656" s="229"/>
      <c r="AQ656" s="28"/>
      <c r="AR656" s="28"/>
      <c r="AS656" s="28"/>
      <c r="AT656" s="28"/>
      <c r="AU656" s="229"/>
      <c r="AV656" s="318">
        <f t="shared" si="77"/>
        <v>254889.44037319598</v>
      </c>
      <c r="AW656" s="229"/>
      <c r="AX656" s="313"/>
      <c r="AY656" s="302"/>
      <c r="AZ656" s="14">
        <f t="shared" ref="AZ656:AZ719" si="79">AF656</f>
        <v>8863.7526173563529</v>
      </c>
      <c r="BA656" s="14">
        <f t="shared" si="78"/>
        <v>0.41835993366081725</v>
      </c>
      <c r="BB656" s="14">
        <f t="shared" si="61"/>
        <v>21186.906068645152</v>
      </c>
      <c r="BC656" s="302"/>
      <c r="BD656" s="302"/>
      <c r="BE656" s="302"/>
      <c r="BF656" s="302"/>
      <c r="BG656" s="302"/>
      <c r="BH656" s="302"/>
      <c r="BI656" s="302"/>
      <c r="BJ656" s="302"/>
      <c r="BK656" s="302"/>
      <c r="BL656" s="302"/>
      <c r="BM656" s="302"/>
      <c r="BN656" s="302"/>
      <c r="BO656" s="302"/>
      <c r="BP656" s="302"/>
      <c r="BQ656" s="302"/>
      <c r="BR656" s="302"/>
      <c r="BS656" s="302"/>
      <c r="BT656" s="302"/>
      <c r="BU656" s="302"/>
      <c r="BV656" s="302"/>
      <c r="BW656" s="302"/>
      <c r="BX656" s="302"/>
      <c r="BY656" s="302"/>
      <c r="BZ656" s="302"/>
      <c r="CA656" s="302"/>
      <c r="CB656" s="28"/>
      <c r="CC656" s="28"/>
      <c r="CD656" s="28"/>
      <c r="CE656" s="28"/>
      <c r="CF656" s="28"/>
      <c r="CG656" s="28"/>
      <c r="CH656" s="28"/>
      <c r="CI656" s="28"/>
      <c r="CJ656" s="28"/>
      <c r="CK656" s="28"/>
      <c r="CL656" s="28"/>
      <c r="CM656" s="28"/>
      <c r="CN656" s="28"/>
      <c r="CO656" s="28"/>
      <c r="CP656" s="28"/>
      <c r="CQ656" s="28"/>
      <c r="CR656" s="28"/>
      <c r="CS656" s="28"/>
      <c r="CT656" s="28"/>
      <c r="CU656" s="28"/>
      <c r="CV656" s="28"/>
      <c r="CW656" s="28"/>
    </row>
    <row r="657" spans="1:101" ht="14.25" customHeight="1" x14ac:dyDescent="0.2">
      <c r="A657" s="286"/>
      <c r="B657" s="52">
        <v>0.17420962283102626</v>
      </c>
      <c r="C657" s="288">
        <v>0.55304225342240598</v>
      </c>
      <c r="D657" s="288">
        <v>8.558206774126163E-3</v>
      </c>
      <c r="E657" s="288">
        <v>2.2768887198757581E-2</v>
      </c>
      <c r="F657" s="289">
        <v>0.79895430711625814</v>
      </c>
      <c r="G657" s="92">
        <v>0.45422559731878454</v>
      </c>
      <c r="H657" s="288">
        <v>0.17837500943376572</v>
      </c>
      <c r="I657" s="288">
        <v>1.3216999252920048E-2</v>
      </c>
      <c r="J657" s="288">
        <v>0.98026479221043172</v>
      </c>
      <c r="K657" s="288">
        <v>0.71964801206958762</v>
      </c>
      <c r="L657" s="290">
        <v>12578.205869495288</v>
      </c>
      <c r="M657" s="288">
        <v>0</v>
      </c>
      <c r="N657" s="288">
        <v>17575.287733654539</v>
      </c>
      <c r="O657" s="288">
        <v>1277.8424450042917</v>
      </c>
      <c r="P657" s="288">
        <v>43374.132914983631</v>
      </c>
      <c r="Q657" s="291">
        <v>109074.05611512154</v>
      </c>
      <c r="R657" s="288">
        <v>22734.049420365376</v>
      </c>
      <c r="S657" s="288">
        <v>12255.460154829729</v>
      </c>
      <c r="T657" s="290">
        <v>0.751</v>
      </c>
      <c r="U657" s="288">
        <v>0.75800000000000001</v>
      </c>
      <c r="V657" s="288">
        <v>0.723923076923077</v>
      </c>
      <c r="W657" s="288">
        <v>0.72750000000000004</v>
      </c>
      <c r="X657" s="288">
        <v>0.76</v>
      </c>
      <c r="Y657" s="288">
        <v>0</v>
      </c>
      <c r="Z657" s="289">
        <v>0</v>
      </c>
      <c r="AA657" s="229"/>
      <c r="AB657" s="293">
        <v>112114.57848483787</v>
      </c>
      <c r="AC657" s="294">
        <v>3.2305897754262691</v>
      </c>
      <c r="AD657" s="295">
        <v>91432.259549396753</v>
      </c>
      <c r="AE657" s="294">
        <v>2.8692938433032196</v>
      </c>
      <c r="AF657" s="295">
        <v>20682.318935441115</v>
      </c>
      <c r="AG657" s="296">
        <v>0.36129593212304956</v>
      </c>
      <c r="AH657" s="229"/>
      <c r="AI657" s="205">
        <f t="shared" si="74"/>
        <v>210944.39905778904</v>
      </c>
      <c r="AJ657" s="205">
        <f t="shared" si="75"/>
        <v>195497.12478092522</v>
      </c>
      <c r="AK657" s="205">
        <f t="shared" si="76"/>
        <v>15447.274276863842</v>
      </c>
      <c r="AL657" s="229"/>
      <c r="AM657" s="52">
        <f t="shared" si="58"/>
        <v>1</v>
      </c>
      <c r="AN657" s="52">
        <f t="shared" si="59"/>
        <v>0</v>
      </c>
      <c r="AO657" s="52">
        <f t="shared" si="60"/>
        <v>1</v>
      </c>
      <c r="AP657" s="229"/>
      <c r="AQ657" s="28"/>
      <c r="AR657" s="28"/>
      <c r="AS657" s="28"/>
      <c r="AT657" s="28"/>
      <c r="AU657" s="229"/>
      <c r="AV657" s="318">
        <f t="shared" si="77"/>
        <v>210944.39905778904</v>
      </c>
      <c r="AW657" s="229"/>
      <c r="AX657" s="313"/>
      <c r="AY657" s="302"/>
      <c r="AZ657" s="14">
        <f t="shared" si="79"/>
        <v>20682.318935441115</v>
      </c>
      <c r="BA657" s="14">
        <f t="shared" si="78"/>
        <v>0.36129593212304956</v>
      </c>
      <c r="BB657" s="14">
        <f t="shared" si="61"/>
        <v>57244.815389720927</v>
      </c>
      <c r="BC657" s="302"/>
      <c r="BD657" s="302"/>
      <c r="BE657" s="302"/>
      <c r="BF657" s="302"/>
      <c r="BG657" s="302"/>
      <c r="BH657" s="302"/>
      <c r="BI657" s="302"/>
      <c r="BJ657" s="302"/>
      <c r="BK657" s="302"/>
      <c r="BL657" s="302"/>
      <c r="BM657" s="302"/>
      <c r="BN657" s="302"/>
      <c r="BO657" s="302"/>
      <c r="BP657" s="302"/>
      <c r="BQ657" s="302"/>
      <c r="BR657" s="302"/>
      <c r="BS657" s="302"/>
      <c r="BT657" s="302"/>
      <c r="BU657" s="302"/>
      <c r="BV657" s="302"/>
      <c r="BW657" s="302"/>
      <c r="BX657" s="302"/>
      <c r="BY657" s="302"/>
      <c r="BZ657" s="302"/>
      <c r="CA657" s="302"/>
      <c r="CB657" s="28"/>
      <c r="CC657" s="28"/>
      <c r="CD657" s="28"/>
      <c r="CE657" s="28"/>
      <c r="CF657" s="28"/>
      <c r="CG657" s="28"/>
      <c r="CH657" s="28"/>
      <c r="CI657" s="28"/>
      <c r="CJ657" s="28"/>
      <c r="CK657" s="28"/>
      <c r="CL657" s="28"/>
      <c r="CM657" s="28"/>
      <c r="CN657" s="28"/>
      <c r="CO657" s="28"/>
      <c r="CP657" s="28"/>
      <c r="CQ657" s="28"/>
      <c r="CR657" s="28"/>
      <c r="CS657" s="28"/>
      <c r="CT657" s="28"/>
      <c r="CU657" s="28"/>
      <c r="CV657" s="28"/>
      <c r="CW657" s="28"/>
    </row>
    <row r="658" spans="1:101" ht="14.25" customHeight="1" x14ac:dyDescent="0.2">
      <c r="A658" s="286"/>
      <c r="B658" s="52">
        <v>0.16799188404829479</v>
      </c>
      <c r="C658" s="288">
        <v>9.0420609626164897E-2</v>
      </c>
      <c r="D658" s="288">
        <v>6.663843501824686E-3</v>
      </c>
      <c r="E658" s="288">
        <v>2.3253958505249583E-2</v>
      </c>
      <c r="F658" s="289">
        <v>0.80951385253786612</v>
      </c>
      <c r="G658" s="92">
        <v>0.3759809316693426</v>
      </c>
      <c r="H658" s="288">
        <v>0.81349517364970814</v>
      </c>
      <c r="I658" s="288">
        <v>1.0063054374475518E-2</v>
      </c>
      <c r="J658" s="288">
        <v>0.99999998448329896</v>
      </c>
      <c r="K658" s="288">
        <v>0.76766785612709509</v>
      </c>
      <c r="L658" s="290">
        <v>8237.8098720994822</v>
      </c>
      <c r="M658" s="288">
        <v>0</v>
      </c>
      <c r="N658" s="288">
        <v>18678.860035436785</v>
      </c>
      <c r="O658" s="288">
        <v>1224.9416347866097</v>
      </c>
      <c r="P658" s="288">
        <v>63259.732333414373</v>
      </c>
      <c r="Q658" s="291">
        <v>96916.979342080376</v>
      </c>
      <c r="R658" s="288">
        <v>19956.07686510422</v>
      </c>
      <c r="S658" s="288">
        <v>10010.990526981202</v>
      </c>
      <c r="T658" s="290">
        <v>0.751</v>
      </c>
      <c r="U658" s="288">
        <v>0.75800000000000001</v>
      </c>
      <c r="V658" s="288">
        <v>0.723923076923077</v>
      </c>
      <c r="W658" s="288">
        <v>0.72750000000000004</v>
      </c>
      <c r="X658" s="288">
        <v>0.76</v>
      </c>
      <c r="Y658" s="288">
        <v>0</v>
      </c>
      <c r="Z658" s="289">
        <v>0</v>
      </c>
      <c r="AA658" s="229"/>
      <c r="AB658" s="293">
        <v>89105.825098677582</v>
      </c>
      <c r="AC658" s="294">
        <v>3.2799913817846811</v>
      </c>
      <c r="AD658" s="295">
        <v>83818.8761389961</v>
      </c>
      <c r="AE658" s="294">
        <v>3.0898056606300117</v>
      </c>
      <c r="AF658" s="295">
        <v>5286.9489596814819</v>
      </c>
      <c r="AG658" s="296">
        <v>0.19018572115466936</v>
      </c>
      <c r="AH658" s="229"/>
      <c r="AI658" s="205">
        <f t="shared" si="74"/>
        <v>238893.3130797905</v>
      </c>
      <c r="AJ658" s="205">
        <f t="shared" si="75"/>
        <v>225161.68992400507</v>
      </c>
      <c r="AK658" s="205">
        <f t="shared" si="76"/>
        <v>13731.623155785455</v>
      </c>
      <c r="AL658" s="229"/>
      <c r="AM658" s="52">
        <f t="shared" si="58"/>
        <v>1</v>
      </c>
      <c r="AN658" s="52">
        <f t="shared" si="59"/>
        <v>0</v>
      </c>
      <c r="AO658" s="52">
        <f t="shared" si="60"/>
        <v>1</v>
      </c>
      <c r="AP658" s="229"/>
      <c r="AQ658" s="28"/>
      <c r="AR658" s="28"/>
      <c r="AS658" s="28"/>
      <c r="AT658" s="28"/>
      <c r="AU658" s="229"/>
      <c r="AV658" s="318">
        <f t="shared" si="77"/>
        <v>238893.3130797905</v>
      </c>
      <c r="AW658" s="229"/>
      <c r="AX658" s="313"/>
      <c r="AY658" s="302"/>
      <c r="AZ658" s="14">
        <f t="shared" si="79"/>
        <v>5286.9489596814819</v>
      </c>
      <c r="BA658" s="14">
        <f t="shared" si="78"/>
        <v>0.19018572115466936</v>
      </c>
      <c r="BB658" s="14">
        <f t="shared" si="61"/>
        <v>27798.874319181134</v>
      </c>
      <c r="BC658" s="302"/>
      <c r="BD658" s="302"/>
      <c r="BE658" s="302"/>
      <c r="BF658" s="302"/>
      <c r="BG658" s="302"/>
      <c r="BH658" s="302"/>
      <c r="BI658" s="302"/>
      <c r="BJ658" s="302"/>
      <c r="BK658" s="302"/>
      <c r="BL658" s="302"/>
      <c r="BM658" s="302"/>
      <c r="BN658" s="302"/>
      <c r="BO658" s="302"/>
      <c r="BP658" s="302"/>
      <c r="BQ658" s="302"/>
      <c r="BR658" s="302"/>
      <c r="BS658" s="302"/>
      <c r="BT658" s="302"/>
      <c r="BU658" s="302"/>
      <c r="BV658" s="302"/>
      <c r="BW658" s="302"/>
      <c r="BX658" s="302"/>
      <c r="BY658" s="302"/>
      <c r="BZ658" s="302"/>
      <c r="CA658" s="302"/>
      <c r="CB658" s="28"/>
      <c r="CC658" s="28"/>
      <c r="CD658" s="28"/>
      <c r="CE658" s="28"/>
      <c r="CF658" s="28"/>
      <c r="CG658" s="28"/>
      <c r="CH658" s="28"/>
      <c r="CI658" s="28"/>
      <c r="CJ658" s="28"/>
      <c r="CK658" s="28"/>
      <c r="CL658" s="28"/>
      <c r="CM658" s="28"/>
      <c r="CN658" s="28"/>
      <c r="CO658" s="28"/>
      <c r="CP658" s="28"/>
      <c r="CQ658" s="28"/>
      <c r="CR658" s="28"/>
      <c r="CS658" s="28"/>
      <c r="CT658" s="28"/>
      <c r="CU658" s="28"/>
      <c r="CV658" s="28"/>
      <c r="CW658" s="28"/>
    </row>
    <row r="659" spans="1:101" ht="14.25" customHeight="1" x14ac:dyDescent="0.2">
      <c r="A659" s="286"/>
      <c r="B659" s="52">
        <v>0.13219546414237204</v>
      </c>
      <c r="C659" s="288">
        <v>0.16689541035547409</v>
      </c>
      <c r="D659" s="288">
        <v>2.6533539501779502E-2</v>
      </c>
      <c r="E659" s="288">
        <v>1.1565723429122954E-2</v>
      </c>
      <c r="F659" s="289">
        <v>0.832468932900292</v>
      </c>
      <c r="G659" s="92">
        <v>0.38975284177360353</v>
      </c>
      <c r="H659" s="288">
        <v>0.22331932123547027</v>
      </c>
      <c r="I659" s="288">
        <v>2.4070003678392959E-2</v>
      </c>
      <c r="J659" s="288">
        <v>0.99999992151354955</v>
      </c>
      <c r="K659" s="288">
        <v>0.76730664008092053</v>
      </c>
      <c r="L659" s="290">
        <v>11092.259039448905</v>
      </c>
      <c r="M659" s="288">
        <v>0</v>
      </c>
      <c r="N659" s="288">
        <v>17534.380536013035</v>
      </c>
      <c r="O659" s="288">
        <v>1199.8400020104939</v>
      </c>
      <c r="P659" s="288">
        <v>42378.556325353515</v>
      </c>
      <c r="Q659" s="291">
        <v>104698.36837831626</v>
      </c>
      <c r="R659" s="288">
        <v>20184.359561036494</v>
      </c>
      <c r="S659" s="288">
        <v>8739.9294677055241</v>
      </c>
      <c r="T659" s="290">
        <v>0.751</v>
      </c>
      <c r="U659" s="288">
        <v>0.75800000000000001</v>
      </c>
      <c r="V659" s="288">
        <v>0.723923076923077</v>
      </c>
      <c r="W659" s="288">
        <v>0.72750000000000004</v>
      </c>
      <c r="X659" s="288">
        <v>0.76</v>
      </c>
      <c r="Y659" s="288">
        <v>0</v>
      </c>
      <c r="Z659" s="289">
        <v>0</v>
      </c>
      <c r="AA659" s="229"/>
      <c r="AB659" s="293">
        <v>84112.123774939886</v>
      </c>
      <c r="AC659" s="294">
        <v>3.3879874059268973</v>
      </c>
      <c r="AD659" s="295">
        <v>70629.299042301805</v>
      </c>
      <c r="AE659" s="294">
        <v>3.0881333536209694</v>
      </c>
      <c r="AF659" s="295">
        <v>13482.824732638081</v>
      </c>
      <c r="AG659" s="296">
        <v>0.29985405230592788</v>
      </c>
      <c r="AH659" s="229"/>
      <c r="AI659" s="205">
        <f t="shared" si="74"/>
        <v>254686.61681774983</v>
      </c>
      <c r="AJ659" s="205">
        <f t="shared" si="75"/>
        <v>238184.03631979515</v>
      </c>
      <c r="AK659" s="205">
        <f t="shared" si="76"/>
        <v>16502.580497954707</v>
      </c>
      <c r="AL659" s="229"/>
      <c r="AM659" s="52">
        <f t="shared" si="58"/>
        <v>1</v>
      </c>
      <c r="AN659" s="52">
        <f t="shared" si="59"/>
        <v>0</v>
      </c>
      <c r="AO659" s="52">
        <f t="shared" si="60"/>
        <v>1</v>
      </c>
      <c r="AP659" s="229"/>
      <c r="AQ659" s="28"/>
      <c r="AR659" s="28"/>
      <c r="AS659" s="28"/>
      <c r="AT659" s="28"/>
      <c r="AU659" s="229"/>
      <c r="AV659" s="318">
        <f t="shared" si="77"/>
        <v>254686.61681774983</v>
      </c>
      <c r="AW659" s="229"/>
      <c r="AX659" s="313"/>
      <c r="AY659" s="302"/>
      <c r="AZ659" s="14">
        <f t="shared" si="79"/>
        <v>13482.824732638081</v>
      </c>
      <c r="BA659" s="14">
        <f t="shared" si="78"/>
        <v>0.29985405230592788</v>
      </c>
      <c r="BB659" s="14">
        <f t="shared" si="61"/>
        <v>44964.62405277801</v>
      </c>
      <c r="BC659" s="302"/>
      <c r="BD659" s="302"/>
      <c r="BE659" s="302"/>
      <c r="BF659" s="302"/>
      <c r="BG659" s="302"/>
      <c r="BH659" s="302"/>
      <c r="BI659" s="302"/>
      <c r="BJ659" s="302"/>
      <c r="BK659" s="302"/>
      <c r="BL659" s="302"/>
      <c r="BM659" s="302"/>
      <c r="BN659" s="302"/>
      <c r="BO659" s="302"/>
      <c r="BP659" s="302"/>
      <c r="BQ659" s="302"/>
      <c r="BR659" s="302"/>
      <c r="BS659" s="302"/>
      <c r="BT659" s="302"/>
      <c r="BU659" s="302"/>
      <c r="BV659" s="302"/>
      <c r="BW659" s="302"/>
      <c r="BX659" s="302"/>
      <c r="BY659" s="302"/>
      <c r="BZ659" s="302"/>
      <c r="CA659" s="302"/>
      <c r="CB659" s="28"/>
      <c r="CC659" s="28"/>
      <c r="CD659" s="28"/>
      <c r="CE659" s="28"/>
      <c r="CF659" s="28"/>
      <c r="CG659" s="28"/>
      <c r="CH659" s="28"/>
      <c r="CI659" s="28"/>
      <c r="CJ659" s="28"/>
      <c r="CK659" s="28"/>
      <c r="CL659" s="28"/>
      <c r="CM659" s="28"/>
      <c r="CN659" s="28"/>
      <c r="CO659" s="28"/>
      <c r="CP659" s="28"/>
      <c r="CQ659" s="28"/>
      <c r="CR659" s="28"/>
      <c r="CS659" s="28"/>
      <c r="CT659" s="28"/>
      <c r="CU659" s="28"/>
      <c r="CV659" s="28"/>
      <c r="CW659" s="28"/>
    </row>
    <row r="660" spans="1:101" ht="14.25" customHeight="1" x14ac:dyDescent="0.2">
      <c r="A660" s="286"/>
      <c r="B660" s="52">
        <v>0.16162090963390441</v>
      </c>
      <c r="C660" s="288">
        <v>0.28192259148452109</v>
      </c>
      <c r="D660" s="288">
        <v>2.6094286530153221E-2</v>
      </c>
      <c r="E660" s="288">
        <v>7.2622101995838085E-3</v>
      </c>
      <c r="F660" s="289">
        <v>0.77015754145721493</v>
      </c>
      <c r="G660" s="92">
        <v>0.36618104232515974</v>
      </c>
      <c r="H660" s="288">
        <v>0.47202415560350364</v>
      </c>
      <c r="I660" s="288">
        <v>8.0623577947702158E-3</v>
      </c>
      <c r="J660" s="288">
        <v>1</v>
      </c>
      <c r="K660" s="288">
        <v>0.78397491929744723</v>
      </c>
      <c r="L660" s="290">
        <v>9957.7299113802055</v>
      </c>
      <c r="M660" s="288">
        <v>0</v>
      </c>
      <c r="N660" s="288">
        <v>20136.458945108829</v>
      </c>
      <c r="O660" s="288">
        <v>1506.780237298645</v>
      </c>
      <c r="P660" s="288">
        <v>48846.127684382809</v>
      </c>
      <c r="Q660" s="291">
        <v>114951.25363695809</v>
      </c>
      <c r="R660" s="288">
        <v>16876.530736370496</v>
      </c>
      <c r="S660" s="288">
        <v>8187.083074860936</v>
      </c>
      <c r="T660" s="290">
        <v>0.751</v>
      </c>
      <c r="U660" s="288">
        <v>0.75800000000000001</v>
      </c>
      <c r="V660" s="288">
        <v>0.723923076923077</v>
      </c>
      <c r="W660" s="288">
        <v>0.72750000000000004</v>
      </c>
      <c r="X660" s="288">
        <v>0.76</v>
      </c>
      <c r="Y660" s="288">
        <v>0</v>
      </c>
      <c r="Z660" s="289">
        <v>0</v>
      </c>
      <c r="AA660" s="229"/>
      <c r="AB660" s="293">
        <v>73894.450711299229</v>
      </c>
      <c r="AC660" s="294">
        <v>3.0967562706963254</v>
      </c>
      <c r="AD660" s="295">
        <v>68004.391939961424</v>
      </c>
      <c r="AE660" s="294">
        <v>3.1655160182247597</v>
      </c>
      <c r="AF660" s="295">
        <v>5890.0587713378045</v>
      </c>
      <c r="AG660" s="296">
        <v>-6.8759747528434279E-2</v>
      </c>
      <c r="AH660" s="229"/>
      <c r="AI660" s="205">
        <f t="shared" si="74"/>
        <v>235781.17635833329</v>
      </c>
      <c r="AJ660" s="205">
        <f t="shared" si="75"/>
        <v>248547.20988251455</v>
      </c>
      <c r="AK660" s="205">
        <f t="shared" si="76"/>
        <v>-12766.033524181232</v>
      </c>
      <c r="AL660" s="229"/>
      <c r="AM660" s="52">
        <f t="shared" si="58"/>
        <v>0</v>
      </c>
      <c r="AN660" s="52">
        <f t="shared" si="59"/>
        <v>1</v>
      </c>
      <c r="AO660" s="52">
        <f t="shared" si="60"/>
        <v>0</v>
      </c>
      <c r="AP660" s="229"/>
      <c r="AQ660" s="28"/>
      <c r="AR660" s="28"/>
      <c r="AS660" s="28"/>
      <c r="AT660" s="28"/>
      <c r="AU660" s="229"/>
      <c r="AV660" s="318">
        <f t="shared" si="77"/>
        <v>248547.20988251455</v>
      </c>
      <c r="AW660" s="229"/>
      <c r="AX660" s="313"/>
      <c r="AY660" s="302"/>
      <c r="AZ660" s="14">
        <f t="shared" si="79"/>
        <v>5890.0587713378045</v>
      </c>
      <c r="BA660" s="14">
        <f t="shared" si="78"/>
        <v>-6.8759747528434279E-2</v>
      </c>
      <c r="BB660" s="14">
        <f t="shared" si="61"/>
        <v>-85661.43685885529</v>
      </c>
      <c r="BC660" s="302"/>
      <c r="BD660" s="302"/>
      <c r="BE660" s="302"/>
      <c r="BF660" s="302"/>
      <c r="BG660" s="302"/>
      <c r="BH660" s="302"/>
      <c r="BI660" s="302"/>
      <c r="BJ660" s="302"/>
      <c r="BK660" s="302"/>
      <c r="BL660" s="302"/>
      <c r="BM660" s="302"/>
      <c r="BN660" s="302"/>
      <c r="BO660" s="302"/>
      <c r="BP660" s="302"/>
      <c r="BQ660" s="302"/>
      <c r="BR660" s="302"/>
      <c r="BS660" s="302"/>
      <c r="BT660" s="302"/>
      <c r="BU660" s="302"/>
      <c r="BV660" s="302"/>
      <c r="BW660" s="302"/>
      <c r="BX660" s="302"/>
      <c r="BY660" s="302"/>
      <c r="BZ660" s="302"/>
      <c r="CA660" s="302"/>
      <c r="CB660" s="28"/>
      <c r="CC660" s="28"/>
      <c r="CD660" s="28"/>
      <c r="CE660" s="28"/>
      <c r="CF660" s="28"/>
      <c r="CG660" s="28"/>
      <c r="CH660" s="28"/>
      <c r="CI660" s="28"/>
      <c r="CJ660" s="28"/>
      <c r="CK660" s="28"/>
      <c r="CL660" s="28"/>
      <c r="CM660" s="28"/>
      <c r="CN660" s="28"/>
      <c r="CO660" s="28"/>
      <c r="CP660" s="28"/>
      <c r="CQ660" s="28"/>
      <c r="CR660" s="28"/>
      <c r="CS660" s="28"/>
      <c r="CT660" s="28"/>
      <c r="CU660" s="28"/>
      <c r="CV660" s="28"/>
      <c r="CW660" s="28"/>
    </row>
    <row r="661" spans="1:101" ht="14.25" customHeight="1" x14ac:dyDescent="0.2">
      <c r="A661" s="286"/>
      <c r="B661" s="52">
        <v>0.15061711493350846</v>
      </c>
      <c r="C661" s="288">
        <v>0.13924972205936517</v>
      </c>
      <c r="D661" s="288">
        <v>1.5673621770854518E-2</v>
      </c>
      <c r="E661" s="288">
        <v>1.5954790256252349E-2</v>
      </c>
      <c r="F661" s="289">
        <v>0.77293445141145334</v>
      </c>
      <c r="G661" s="92">
        <v>0.39808204288882049</v>
      </c>
      <c r="H661" s="288">
        <v>0.68284007105537703</v>
      </c>
      <c r="I661" s="288">
        <v>1.8011324173212717E-2</v>
      </c>
      <c r="J661" s="288">
        <v>0.99972852816437263</v>
      </c>
      <c r="K661" s="288">
        <v>0.70926894780016769</v>
      </c>
      <c r="L661" s="290">
        <v>10944.068883120966</v>
      </c>
      <c r="M661" s="288">
        <v>0</v>
      </c>
      <c r="N661" s="288">
        <v>16058.563238567342</v>
      </c>
      <c r="O661" s="288">
        <v>1229.4861856613243</v>
      </c>
      <c r="P661" s="288">
        <v>48929.116435797507</v>
      </c>
      <c r="Q661" s="291">
        <v>90669.764190021539</v>
      </c>
      <c r="R661" s="288">
        <v>16303.277668184232</v>
      </c>
      <c r="S661" s="288">
        <v>6652.0809119629766</v>
      </c>
      <c r="T661" s="290">
        <v>0.751</v>
      </c>
      <c r="U661" s="288">
        <v>0.75800000000000001</v>
      </c>
      <c r="V661" s="288">
        <v>0.723923076923077</v>
      </c>
      <c r="W661" s="288">
        <v>0.72750000000000004</v>
      </c>
      <c r="X661" s="288">
        <v>0.76</v>
      </c>
      <c r="Y661" s="288">
        <v>0</v>
      </c>
      <c r="Z661" s="289">
        <v>0</v>
      </c>
      <c r="AA661" s="229"/>
      <c r="AB661" s="293">
        <v>62601.493786420062</v>
      </c>
      <c r="AC661" s="294">
        <v>3.1096053456036001</v>
      </c>
      <c r="AD661" s="295">
        <v>53020.378680434515</v>
      </c>
      <c r="AE661" s="294">
        <v>2.8221098688097048</v>
      </c>
      <c r="AF661" s="295">
        <v>9581.1151059855474</v>
      </c>
      <c r="AG661" s="296">
        <v>0.28749547679389531</v>
      </c>
      <c r="AH661" s="229"/>
      <c r="AI661" s="205">
        <f t="shared" si="74"/>
        <v>248359.04077393995</v>
      </c>
      <c r="AJ661" s="205">
        <f t="shared" si="75"/>
        <v>229190.60820053596</v>
      </c>
      <c r="AK661" s="205">
        <f t="shared" si="76"/>
        <v>19168.432573403985</v>
      </c>
      <c r="AL661" s="229"/>
      <c r="AM661" s="52">
        <f t="shared" si="58"/>
        <v>1</v>
      </c>
      <c r="AN661" s="52">
        <f t="shared" si="59"/>
        <v>0</v>
      </c>
      <c r="AO661" s="52">
        <f t="shared" si="60"/>
        <v>1</v>
      </c>
      <c r="AP661" s="229"/>
      <c r="AQ661" s="28"/>
      <c r="AR661" s="28"/>
      <c r="AS661" s="28"/>
      <c r="AT661" s="28"/>
      <c r="AU661" s="229"/>
      <c r="AV661" s="318">
        <f t="shared" si="77"/>
        <v>248359.04077393995</v>
      </c>
      <c r="AW661" s="229"/>
      <c r="AX661" s="313"/>
      <c r="AY661" s="302"/>
      <c r="AZ661" s="14">
        <f t="shared" si="79"/>
        <v>9581.1151059855474</v>
      </c>
      <c r="BA661" s="14">
        <f t="shared" si="78"/>
        <v>0.28749547679389531</v>
      </c>
      <c r="BB661" s="14">
        <f t="shared" si="61"/>
        <v>33326.142076503769</v>
      </c>
      <c r="BC661" s="302"/>
      <c r="BD661" s="302"/>
      <c r="BE661" s="302"/>
      <c r="BF661" s="302"/>
      <c r="BG661" s="302"/>
      <c r="BH661" s="302"/>
      <c r="BI661" s="302"/>
      <c r="BJ661" s="302"/>
      <c r="BK661" s="302"/>
      <c r="BL661" s="302"/>
      <c r="BM661" s="302"/>
      <c r="BN661" s="302"/>
      <c r="BO661" s="302"/>
      <c r="BP661" s="302"/>
      <c r="BQ661" s="302"/>
      <c r="BR661" s="302"/>
      <c r="BS661" s="302"/>
      <c r="BT661" s="302"/>
      <c r="BU661" s="302"/>
      <c r="BV661" s="302"/>
      <c r="BW661" s="302"/>
      <c r="BX661" s="302"/>
      <c r="BY661" s="302"/>
      <c r="BZ661" s="302"/>
      <c r="CA661" s="302"/>
      <c r="CB661" s="28"/>
      <c r="CC661" s="28"/>
      <c r="CD661" s="28"/>
      <c r="CE661" s="28"/>
      <c r="CF661" s="28"/>
      <c r="CG661" s="28"/>
      <c r="CH661" s="28"/>
      <c r="CI661" s="28"/>
      <c r="CJ661" s="28"/>
      <c r="CK661" s="28"/>
      <c r="CL661" s="28"/>
      <c r="CM661" s="28"/>
      <c r="CN661" s="28"/>
      <c r="CO661" s="28"/>
      <c r="CP661" s="28"/>
      <c r="CQ661" s="28"/>
      <c r="CR661" s="28"/>
      <c r="CS661" s="28"/>
      <c r="CT661" s="28"/>
      <c r="CU661" s="28"/>
      <c r="CV661" s="28"/>
      <c r="CW661" s="28"/>
    </row>
    <row r="662" spans="1:101" ht="14.25" customHeight="1" x14ac:dyDescent="0.2">
      <c r="A662" s="286"/>
      <c r="B662" s="52">
        <v>0.14427860160926798</v>
      </c>
      <c r="C662" s="288">
        <v>0.32350849476301524</v>
      </c>
      <c r="D662" s="288">
        <v>1.7703310703549469E-2</v>
      </c>
      <c r="E662" s="288">
        <v>7.0713649529421004E-3</v>
      </c>
      <c r="F662" s="289">
        <v>0.78163295131791588</v>
      </c>
      <c r="G662" s="92">
        <v>0.42707917786412308</v>
      </c>
      <c r="H662" s="288">
        <v>0.64214530882865084</v>
      </c>
      <c r="I662" s="288">
        <v>1.3684264378482903E-2</v>
      </c>
      <c r="J662" s="288">
        <v>0.28238622769719846</v>
      </c>
      <c r="K662" s="288">
        <v>0.76851866396611745</v>
      </c>
      <c r="L662" s="290">
        <v>15874.348783295391</v>
      </c>
      <c r="M662" s="288">
        <v>0</v>
      </c>
      <c r="N662" s="288">
        <v>20531.564533921523</v>
      </c>
      <c r="O662" s="288">
        <v>1469.2376082619021</v>
      </c>
      <c r="P662" s="288">
        <v>42094.352292900061</v>
      </c>
      <c r="Q662" s="291">
        <v>92449.949307126546</v>
      </c>
      <c r="R662" s="288">
        <v>20805.234618657189</v>
      </c>
      <c r="S662" s="288">
        <v>12743.323144030775</v>
      </c>
      <c r="T662" s="290">
        <v>0.751</v>
      </c>
      <c r="U662" s="288">
        <v>0.75800000000000001</v>
      </c>
      <c r="V662" s="288">
        <v>0.723923076923077</v>
      </c>
      <c r="W662" s="288">
        <v>0.72750000000000004</v>
      </c>
      <c r="X662" s="288">
        <v>0.76</v>
      </c>
      <c r="Y662" s="288">
        <v>0</v>
      </c>
      <c r="Z662" s="289">
        <v>0</v>
      </c>
      <c r="AA662" s="229"/>
      <c r="AB662" s="293">
        <v>115927.4069955867</v>
      </c>
      <c r="AC662" s="294">
        <v>3.1499325666457647</v>
      </c>
      <c r="AD662" s="295">
        <v>104594.30488447455</v>
      </c>
      <c r="AE662" s="294">
        <v>3.0937454232539872</v>
      </c>
      <c r="AF662" s="295">
        <v>11333.102111112152</v>
      </c>
      <c r="AG662" s="296">
        <v>5.618714339177755E-2</v>
      </c>
      <c r="AH662" s="229"/>
      <c r="AI662" s="205">
        <f t="shared" si="74"/>
        <v>199065.84966898977</v>
      </c>
      <c r="AJ662" s="205">
        <f t="shared" si="75"/>
        <v>204780.23744092416</v>
      </c>
      <c r="AK662" s="205">
        <f t="shared" si="76"/>
        <v>-5714.3877719343964</v>
      </c>
      <c r="AL662" s="229"/>
      <c r="AM662" s="52">
        <f t="shared" si="58"/>
        <v>0</v>
      </c>
      <c r="AN662" s="52">
        <f t="shared" si="59"/>
        <v>1</v>
      </c>
      <c r="AO662" s="52">
        <f t="shared" si="60"/>
        <v>0</v>
      </c>
      <c r="AP662" s="229"/>
      <c r="AQ662" s="28"/>
      <c r="AR662" s="28"/>
      <c r="AS662" s="28"/>
      <c r="AT662" s="28"/>
      <c r="AU662" s="229"/>
      <c r="AV662" s="318">
        <f t="shared" si="77"/>
        <v>204780.23744092416</v>
      </c>
      <c r="AW662" s="229"/>
      <c r="AX662" s="313"/>
      <c r="AY662" s="302"/>
      <c r="AZ662" s="14">
        <f t="shared" si="79"/>
        <v>11333.102111112152</v>
      </c>
      <c r="BA662" s="14">
        <f t="shared" si="78"/>
        <v>5.618714339177755E-2</v>
      </c>
      <c r="BB662" s="14">
        <f t="shared" si="61"/>
        <v>201702.76378155651</v>
      </c>
      <c r="BC662" s="302"/>
      <c r="BD662" s="302"/>
      <c r="BE662" s="302"/>
      <c r="BF662" s="302"/>
      <c r="BG662" s="302"/>
      <c r="BH662" s="302"/>
      <c r="BI662" s="302"/>
      <c r="BJ662" s="302"/>
      <c r="BK662" s="302"/>
      <c r="BL662" s="302"/>
      <c r="BM662" s="302"/>
      <c r="BN662" s="302"/>
      <c r="BO662" s="302"/>
      <c r="BP662" s="302"/>
      <c r="BQ662" s="302"/>
      <c r="BR662" s="302"/>
      <c r="BS662" s="302"/>
      <c r="BT662" s="302"/>
      <c r="BU662" s="302"/>
      <c r="BV662" s="302"/>
      <c r="BW662" s="302"/>
      <c r="BX662" s="302"/>
      <c r="BY662" s="302"/>
      <c r="BZ662" s="302"/>
      <c r="CA662" s="302"/>
      <c r="CB662" s="28"/>
      <c r="CC662" s="28"/>
      <c r="CD662" s="28"/>
      <c r="CE662" s="28"/>
      <c r="CF662" s="28"/>
      <c r="CG662" s="28"/>
      <c r="CH662" s="28"/>
      <c r="CI662" s="28"/>
      <c r="CJ662" s="28"/>
      <c r="CK662" s="28"/>
      <c r="CL662" s="28"/>
      <c r="CM662" s="28"/>
      <c r="CN662" s="28"/>
      <c r="CO662" s="28"/>
      <c r="CP662" s="28"/>
      <c r="CQ662" s="28"/>
      <c r="CR662" s="28"/>
      <c r="CS662" s="28"/>
      <c r="CT662" s="28"/>
      <c r="CU662" s="28"/>
      <c r="CV662" s="28"/>
      <c r="CW662" s="28"/>
    </row>
    <row r="663" spans="1:101" ht="14.25" customHeight="1" x14ac:dyDescent="0.2">
      <c r="A663" s="286"/>
      <c r="B663" s="52">
        <v>0.17699416559652048</v>
      </c>
      <c r="C663" s="288">
        <v>0.43876394713397304</v>
      </c>
      <c r="D663" s="288">
        <v>2.7729737230029028E-2</v>
      </c>
      <c r="E663" s="288">
        <v>2.1883018569574531E-2</v>
      </c>
      <c r="F663" s="289">
        <v>0.76580777889774609</v>
      </c>
      <c r="G663" s="92">
        <v>0.39149782802841782</v>
      </c>
      <c r="H663" s="288">
        <v>8.7105514357105535E-2</v>
      </c>
      <c r="I663" s="288">
        <v>6.7898087722254759E-3</v>
      </c>
      <c r="J663" s="288">
        <v>0.99942957680780897</v>
      </c>
      <c r="K663" s="288">
        <v>0.73913916032742866</v>
      </c>
      <c r="L663" s="290">
        <v>11674.612291055086</v>
      </c>
      <c r="M663" s="288">
        <v>0</v>
      </c>
      <c r="N663" s="288">
        <v>21212.148182661818</v>
      </c>
      <c r="O663" s="288">
        <v>1320.3347196680281</v>
      </c>
      <c r="P663" s="288">
        <v>47456.663989588269</v>
      </c>
      <c r="Q663" s="291">
        <v>102670.9148898079</v>
      </c>
      <c r="R663" s="288">
        <v>21312.680901946893</v>
      </c>
      <c r="S663" s="288">
        <v>8648.4392692794063</v>
      </c>
      <c r="T663" s="290">
        <v>0.751</v>
      </c>
      <c r="U663" s="288">
        <v>0.75800000000000001</v>
      </c>
      <c r="V663" s="288">
        <v>0.723923076923077</v>
      </c>
      <c r="W663" s="288">
        <v>0.72750000000000004</v>
      </c>
      <c r="X663" s="288">
        <v>0.76</v>
      </c>
      <c r="Y663" s="288">
        <v>0</v>
      </c>
      <c r="Z663" s="289">
        <v>0</v>
      </c>
      <c r="AA663" s="229"/>
      <c r="AB663" s="293">
        <v>79657.956834036799</v>
      </c>
      <c r="AC663" s="294">
        <v>3.0766537409827897</v>
      </c>
      <c r="AD663" s="295">
        <v>65461.082028270699</v>
      </c>
      <c r="AE663" s="294">
        <v>2.9583608586956509</v>
      </c>
      <c r="AF663" s="295">
        <v>14196.8748057661</v>
      </c>
      <c r="AG663" s="296">
        <v>0.11829288228713875</v>
      </c>
      <c r="AH663" s="229"/>
      <c r="AI663" s="205">
        <f t="shared" si="74"/>
        <v>228007.41726424219</v>
      </c>
      <c r="AJ663" s="205">
        <f t="shared" si="75"/>
        <v>230375.00384129438</v>
      </c>
      <c r="AK663" s="205">
        <f t="shared" si="76"/>
        <v>-2367.586577052225</v>
      </c>
      <c r="AL663" s="229"/>
      <c r="AM663" s="52">
        <f t="shared" si="58"/>
        <v>0</v>
      </c>
      <c r="AN663" s="52">
        <f t="shared" si="59"/>
        <v>1</v>
      </c>
      <c r="AO663" s="52">
        <f t="shared" si="60"/>
        <v>0</v>
      </c>
      <c r="AP663" s="229"/>
      <c r="AQ663" s="28"/>
      <c r="AR663" s="28"/>
      <c r="AS663" s="28"/>
      <c r="AT663" s="28"/>
      <c r="AU663" s="229"/>
      <c r="AV663" s="318">
        <f t="shared" si="77"/>
        <v>230375.00384129438</v>
      </c>
      <c r="AW663" s="229"/>
      <c r="AX663" s="313"/>
      <c r="AY663" s="302"/>
      <c r="AZ663" s="14">
        <f t="shared" si="79"/>
        <v>14196.8748057661</v>
      </c>
      <c r="BA663" s="14">
        <f t="shared" si="78"/>
        <v>0.11829288228713875</v>
      </c>
      <c r="BB663" s="14">
        <f t="shared" si="61"/>
        <v>120014.61568334477</v>
      </c>
      <c r="BC663" s="302"/>
      <c r="BD663" s="302"/>
      <c r="BE663" s="302"/>
      <c r="BF663" s="302"/>
      <c r="BG663" s="302"/>
      <c r="BH663" s="302"/>
      <c r="BI663" s="302"/>
      <c r="BJ663" s="302"/>
      <c r="BK663" s="302"/>
      <c r="BL663" s="302"/>
      <c r="BM663" s="302"/>
      <c r="BN663" s="302"/>
      <c r="BO663" s="302"/>
      <c r="BP663" s="302"/>
      <c r="BQ663" s="302"/>
      <c r="BR663" s="302"/>
      <c r="BS663" s="302"/>
      <c r="BT663" s="302"/>
      <c r="BU663" s="302"/>
      <c r="BV663" s="302"/>
      <c r="BW663" s="302"/>
      <c r="BX663" s="302"/>
      <c r="BY663" s="302"/>
      <c r="BZ663" s="302"/>
      <c r="CA663" s="302"/>
      <c r="CB663" s="28"/>
      <c r="CC663" s="28"/>
      <c r="CD663" s="28"/>
      <c r="CE663" s="28"/>
      <c r="CF663" s="28"/>
      <c r="CG663" s="28"/>
      <c r="CH663" s="28"/>
      <c r="CI663" s="28"/>
      <c r="CJ663" s="28"/>
      <c r="CK663" s="28"/>
      <c r="CL663" s="28"/>
      <c r="CM663" s="28"/>
      <c r="CN663" s="28"/>
      <c r="CO663" s="28"/>
      <c r="CP663" s="28"/>
      <c r="CQ663" s="28"/>
      <c r="CR663" s="28"/>
      <c r="CS663" s="28"/>
      <c r="CT663" s="28"/>
      <c r="CU663" s="28"/>
      <c r="CV663" s="28"/>
      <c r="CW663" s="28"/>
    </row>
    <row r="664" spans="1:101" ht="14.25" customHeight="1" x14ac:dyDescent="0.2">
      <c r="A664" s="286"/>
      <c r="B664" s="52">
        <v>0.15836484791095568</v>
      </c>
      <c r="C664" s="288">
        <v>0.14951680299461567</v>
      </c>
      <c r="D664" s="288">
        <v>1.7205572840745753E-2</v>
      </c>
      <c r="E664" s="288">
        <v>3.040168848322633E-2</v>
      </c>
      <c r="F664" s="289">
        <v>0.80211026448357114</v>
      </c>
      <c r="G664" s="92">
        <v>0.3653437939717778</v>
      </c>
      <c r="H664" s="288">
        <v>0.61427088197307778</v>
      </c>
      <c r="I664" s="288">
        <v>2.9246941091183198E-2</v>
      </c>
      <c r="J664" s="288">
        <v>0.6593318506482897</v>
      </c>
      <c r="K664" s="288">
        <v>0.80289813069793825</v>
      </c>
      <c r="L664" s="290">
        <v>8173.2788220208076</v>
      </c>
      <c r="M664" s="288">
        <v>0</v>
      </c>
      <c r="N664" s="288">
        <v>19403.513065510233</v>
      </c>
      <c r="O664" s="288">
        <v>1441.1697168286876</v>
      </c>
      <c r="P664" s="288">
        <v>58981.446590950611</v>
      </c>
      <c r="Q664" s="291">
        <v>69650.038959627273</v>
      </c>
      <c r="R664" s="288">
        <v>29478.669879628731</v>
      </c>
      <c r="S664" s="288">
        <v>8343.3669494546702</v>
      </c>
      <c r="T664" s="290">
        <v>0.751</v>
      </c>
      <c r="U664" s="288">
        <v>0.75800000000000001</v>
      </c>
      <c r="V664" s="288">
        <v>0.723923076923077</v>
      </c>
      <c r="W664" s="288">
        <v>0.72750000000000004</v>
      </c>
      <c r="X664" s="288">
        <v>0.76</v>
      </c>
      <c r="Y664" s="288">
        <v>0</v>
      </c>
      <c r="Z664" s="289">
        <v>0</v>
      </c>
      <c r="AA664" s="229"/>
      <c r="AB664" s="293">
        <v>75564.853257951865</v>
      </c>
      <c r="AC664" s="294">
        <v>3.2453362309622054</v>
      </c>
      <c r="AD664" s="295">
        <v>75090.308038580668</v>
      </c>
      <c r="AE664" s="294">
        <v>3.2538980359844452</v>
      </c>
      <c r="AF664" s="295">
        <v>474.54521937119716</v>
      </c>
      <c r="AG664" s="296">
        <v>-8.561805022239799E-3</v>
      </c>
      <c r="AH664" s="229"/>
      <c r="AI664" s="205">
        <f t="shared" si="74"/>
        <v>248968.76983826869</v>
      </c>
      <c r="AJ664" s="205">
        <f t="shared" si="75"/>
        <v>250299.49555986383</v>
      </c>
      <c r="AK664" s="205">
        <f t="shared" si="76"/>
        <v>-1330.7257215951772</v>
      </c>
      <c r="AL664" s="229"/>
      <c r="AM664" s="52">
        <f t="shared" si="58"/>
        <v>0</v>
      </c>
      <c r="AN664" s="52">
        <f t="shared" si="59"/>
        <v>1</v>
      </c>
      <c r="AO664" s="52">
        <f t="shared" si="60"/>
        <v>0</v>
      </c>
      <c r="AP664" s="229"/>
      <c r="AQ664" s="28"/>
      <c r="AR664" s="28"/>
      <c r="AS664" s="28"/>
      <c r="AT664" s="28"/>
      <c r="AU664" s="229"/>
      <c r="AV664" s="318">
        <f t="shared" si="77"/>
        <v>250299.49555986383</v>
      </c>
      <c r="AW664" s="229"/>
      <c r="AX664" s="313"/>
      <c r="AY664" s="302"/>
      <c r="AZ664" s="14">
        <f t="shared" si="79"/>
        <v>474.54521937119716</v>
      </c>
      <c r="BA664" s="14">
        <f t="shared" si="78"/>
        <v>-8.561805022239799E-3</v>
      </c>
      <c r="BB664" s="14">
        <f t="shared" si="61"/>
        <v>-55425.838142604</v>
      </c>
      <c r="BC664" s="302"/>
      <c r="BD664" s="302"/>
      <c r="BE664" s="302"/>
      <c r="BF664" s="302"/>
      <c r="BG664" s="302"/>
      <c r="BH664" s="302"/>
      <c r="BI664" s="302"/>
      <c r="BJ664" s="302"/>
      <c r="BK664" s="302"/>
      <c r="BL664" s="302"/>
      <c r="BM664" s="302"/>
      <c r="BN664" s="302"/>
      <c r="BO664" s="302"/>
      <c r="BP664" s="302"/>
      <c r="BQ664" s="302"/>
      <c r="BR664" s="302"/>
      <c r="BS664" s="302"/>
      <c r="BT664" s="302"/>
      <c r="BU664" s="302"/>
      <c r="BV664" s="302"/>
      <c r="BW664" s="302"/>
      <c r="BX664" s="302"/>
      <c r="BY664" s="302"/>
      <c r="BZ664" s="302"/>
      <c r="CA664" s="302"/>
      <c r="CB664" s="28"/>
      <c r="CC664" s="28"/>
      <c r="CD664" s="28"/>
      <c r="CE664" s="28"/>
      <c r="CF664" s="28"/>
      <c r="CG664" s="28"/>
      <c r="CH664" s="28"/>
      <c r="CI664" s="28"/>
      <c r="CJ664" s="28"/>
      <c r="CK664" s="28"/>
      <c r="CL664" s="28"/>
      <c r="CM664" s="28"/>
      <c r="CN664" s="28"/>
      <c r="CO664" s="28"/>
      <c r="CP664" s="28"/>
      <c r="CQ664" s="28"/>
      <c r="CR664" s="28"/>
      <c r="CS664" s="28"/>
      <c r="CT664" s="28"/>
      <c r="CU664" s="28"/>
      <c r="CV664" s="28"/>
      <c r="CW664" s="28"/>
    </row>
    <row r="665" spans="1:101" ht="14.25" customHeight="1" x14ac:dyDescent="0.2">
      <c r="A665" s="286"/>
      <c r="B665" s="52">
        <v>0.10190932272857539</v>
      </c>
      <c r="C665" s="288">
        <v>0.39625240009594653</v>
      </c>
      <c r="D665" s="288">
        <v>7.5233897198558252E-3</v>
      </c>
      <c r="E665" s="288">
        <v>1.7485383772503305E-2</v>
      </c>
      <c r="F665" s="289">
        <v>0.81103936427192547</v>
      </c>
      <c r="G665" s="92">
        <v>0.44089886992931371</v>
      </c>
      <c r="H665" s="288">
        <v>0.84890521188192758</v>
      </c>
      <c r="I665" s="288">
        <v>1.4779740022052582E-2</v>
      </c>
      <c r="J665" s="288">
        <v>0.99999999999139655</v>
      </c>
      <c r="K665" s="288">
        <v>0.71962185093195308</v>
      </c>
      <c r="L665" s="290">
        <v>17798.215546947398</v>
      </c>
      <c r="M665" s="288">
        <v>0</v>
      </c>
      <c r="N665" s="288">
        <v>18834.149571569083</v>
      </c>
      <c r="O665" s="288">
        <v>1088.1954430860903</v>
      </c>
      <c r="P665" s="288">
        <v>46292.233241796144</v>
      </c>
      <c r="Q665" s="291">
        <v>75051.465403979804</v>
      </c>
      <c r="R665" s="288">
        <v>34641.975896128009</v>
      </c>
      <c r="S665" s="288">
        <v>9690.4297423483786</v>
      </c>
      <c r="T665" s="290">
        <v>0.751</v>
      </c>
      <c r="U665" s="288">
        <v>0.75800000000000001</v>
      </c>
      <c r="V665" s="288">
        <v>0.723923076923077</v>
      </c>
      <c r="W665" s="288">
        <v>0.72750000000000004</v>
      </c>
      <c r="X665" s="288">
        <v>0.76</v>
      </c>
      <c r="Y665" s="288">
        <v>0</v>
      </c>
      <c r="Z665" s="289">
        <v>0</v>
      </c>
      <c r="AA665" s="229"/>
      <c r="AB665" s="293">
        <v>97191.665585005001</v>
      </c>
      <c r="AC665" s="294">
        <v>3.2871427695375544</v>
      </c>
      <c r="AD665" s="295">
        <v>83792.91725020649</v>
      </c>
      <c r="AE665" s="294">
        <v>2.8691746994266207</v>
      </c>
      <c r="AF665" s="295">
        <v>13398.748334798511</v>
      </c>
      <c r="AG665" s="296">
        <v>0.41796807011093362</v>
      </c>
      <c r="AH665" s="229"/>
      <c r="AI665" s="205">
        <f t="shared" si="74"/>
        <v>231522.6113687504</v>
      </c>
      <c r="AJ665" s="205">
        <f t="shared" si="75"/>
        <v>203124.55269245556</v>
      </c>
      <c r="AK665" s="205">
        <f t="shared" si="76"/>
        <v>28398.058676294851</v>
      </c>
      <c r="AL665" s="229"/>
      <c r="AM665" s="52">
        <f t="shared" si="58"/>
        <v>1</v>
      </c>
      <c r="AN665" s="52">
        <f t="shared" si="59"/>
        <v>0</v>
      </c>
      <c r="AO665" s="52">
        <f t="shared" si="60"/>
        <v>1</v>
      </c>
      <c r="AP665" s="229"/>
      <c r="AQ665" s="28"/>
      <c r="AR665" s="28"/>
      <c r="AS665" s="28"/>
      <c r="AT665" s="28"/>
      <c r="AU665" s="229"/>
      <c r="AV665" s="318">
        <f t="shared" si="77"/>
        <v>231522.6113687504</v>
      </c>
      <c r="AW665" s="229"/>
      <c r="AX665" s="313"/>
      <c r="AY665" s="302"/>
      <c r="AZ665" s="14">
        <f t="shared" si="79"/>
        <v>13398.748334798511</v>
      </c>
      <c r="BA665" s="14">
        <f t="shared" si="78"/>
        <v>0.41796807011093362</v>
      </c>
      <c r="BB665" s="14">
        <f t="shared" si="61"/>
        <v>32056.870591196897</v>
      </c>
      <c r="BC665" s="302"/>
      <c r="BD665" s="302"/>
      <c r="BE665" s="302"/>
      <c r="BF665" s="302"/>
      <c r="BG665" s="302"/>
      <c r="BH665" s="302"/>
      <c r="BI665" s="302"/>
      <c r="BJ665" s="302"/>
      <c r="BK665" s="302"/>
      <c r="BL665" s="302"/>
      <c r="BM665" s="302"/>
      <c r="BN665" s="302"/>
      <c r="BO665" s="302"/>
      <c r="BP665" s="302"/>
      <c r="BQ665" s="302"/>
      <c r="BR665" s="302"/>
      <c r="BS665" s="302"/>
      <c r="BT665" s="302"/>
      <c r="BU665" s="302"/>
      <c r="BV665" s="302"/>
      <c r="BW665" s="302"/>
      <c r="BX665" s="302"/>
      <c r="BY665" s="302"/>
      <c r="BZ665" s="302"/>
      <c r="CA665" s="302"/>
      <c r="CB665" s="28"/>
      <c r="CC665" s="28"/>
      <c r="CD665" s="28"/>
      <c r="CE665" s="28"/>
      <c r="CF665" s="28"/>
      <c r="CG665" s="28"/>
      <c r="CH665" s="28"/>
      <c r="CI665" s="28"/>
      <c r="CJ665" s="28"/>
      <c r="CK665" s="28"/>
      <c r="CL665" s="28"/>
      <c r="CM665" s="28"/>
      <c r="CN665" s="28"/>
      <c r="CO665" s="28"/>
      <c r="CP665" s="28"/>
      <c r="CQ665" s="28"/>
      <c r="CR665" s="28"/>
      <c r="CS665" s="28"/>
      <c r="CT665" s="28"/>
      <c r="CU665" s="28"/>
      <c r="CV665" s="28"/>
      <c r="CW665" s="28"/>
    </row>
    <row r="666" spans="1:101" ht="14.25" customHeight="1" x14ac:dyDescent="0.2">
      <c r="A666" s="286"/>
      <c r="B666" s="52">
        <v>0.14480306133264342</v>
      </c>
      <c r="C666" s="288">
        <v>0.37924084380197454</v>
      </c>
      <c r="D666" s="288">
        <v>1.6032020773008582E-2</v>
      </c>
      <c r="E666" s="288">
        <v>2.4111049830325748E-2</v>
      </c>
      <c r="F666" s="289">
        <v>0.75224998511041785</v>
      </c>
      <c r="G666" s="92">
        <v>0.39927083665097846</v>
      </c>
      <c r="H666" s="288">
        <v>0.39351678030036852</v>
      </c>
      <c r="I666" s="288">
        <v>2.0742394442587742E-2</v>
      </c>
      <c r="J666" s="288">
        <v>0.99999999999872557</v>
      </c>
      <c r="K666" s="288">
        <v>0.73759624024862624</v>
      </c>
      <c r="L666" s="290">
        <v>15197.288051355466</v>
      </c>
      <c r="M666" s="288">
        <v>0</v>
      </c>
      <c r="N666" s="288">
        <v>18703.319450473962</v>
      </c>
      <c r="O666" s="288">
        <v>1553.2248060674065</v>
      </c>
      <c r="P666" s="288">
        <v>30609.027554251625</v>
      </c>
      <c r="Q666" s="291">
        <v>132311.83420365246</v>
      </c>
      <c r="R666" s="288">
        <v>20015.385279522729</v>
      </c>
      <c r="S666" s="288">
        <v>7451.4721588988341</v>
      </c>
      <c r="T666" s="290">
        <v>0.751</v>
      </c>
      <c r="U666" s="288">
        <v>0.75800000000000001</v>
      </c>
      <c r="V666" s="288">
        <v>0.723923076923077</v>
      </c>
      <c r="W666" s="288">
        <v>0.72750000000000004</v>
      </c>
      <c r="X666" s="288">
        <v>0.76</v>
      </c>
      <c r="Y666" s="288">
        <v>0</v>
      </c>
      <c r="Z666" s="289">
        <v>0</v>
      </c>
      <c r="AA666" s="229"/>
      <c r="AB666" s="293">
        <v>72337.24284608716</v>
      </c>
      <c r="AC666" s="294">
        <v>3.0141864846006916</v>
      </c>
      <c r="AD666" s="295">
        <v>60072.168212129014</v>
      </c>
      <c r="AE666" s="294">
        <v>2.9512884848857825</v>
      </c>
      <c r="AF666" s="295">
        <v>12265.074633958146</v>
      </c>
      <c r="AG666" s="296">
        <v>6.2897999714909059E-2</v>
      </c>
      <c r="AH666" s="229"/>
      <c r="AI666" s="205">
        <f t="shared" si="74"/>
        <v>229081.405613982</v>
      </c>
      <c r="AJ666" s="205">
        <f t="shared" si="75"/>
        <v>235056.68027644927</v>
      </c>
      <c r="AK666" s="205">
        <f t="shared" si="76"/>
        <v>-5975.27466246724</v>
      </c>
      <c r="AL666" s="229"/>
      <c r="AM666" s="52">
        <f t="shared" si="58"/>
        <v>0</v>
      </c>
      <c r="AN666" s="52">
        <f t="shared" si="59"/>
        <v>1</v>
      </c>
      <c r="AO666" s="52">
        <f t="shared" si="60"/>
        <v>0</v>
      </c>
      <c r="AP666" s="229"/>
      <c r="AQ666" s="28"/>
      <c r="AR666" s="28"/>
      <c r="AS666" s="28"/>
      <c r="AT666" s="28"/>
      <c r="AU666" s="229"/>
      <c r="AV666" s="318">
        <f t="shared" si="77"/>
        <v>235056.68027644927</v>
      </c>
      <c r="AW666" s="229"/>
      <c r="AX666" s="313"/>
      <c r="AY666" s="302"/>
      <c r="AZ666" s="14">
        <f t="shared" si="79"/>
        <v>12265.074633958146</v>
      </c>
      <c r="BA666" s="14">
        <f t="shared" si="78"/>
        <v>6.2897999714909059E-2</v>
      </c>
      <c r="BB666" s="14">
        <f t="shared" si="61"/>
        <v>194999.4386077573</v>
      </c>
      <c r="BC666" s="302"/>
      <c r="BD666" s="302"/>
      <c r="BE666" s="302"/>
      <c r="BF666" s="302"/>
      <c r="BG666" s="302"/>
      <c r="BH666" s="302"/>
      <c r="BI666" s="302"/>
      <c r="BJ666" s="302"/>
      <c r="BK666" s="302"/>
      <c r="BL666" s="302"/>
      <c r="BM666" s="302"/>
      <c r="BN666" s="302"/>
      <c r="BO666" s="302"/>
      <c r="BP666" s="302"/>
      <c r="BQ666" s="302"/>
      <c r="BR666" s="302"/>
      <c r="BS666" s="302"/>
      <c r="BT666" s="302"/>
      <c r="BU666" s="302"/>
      <c r="BV666" s="302"/>
      <c r="BW666" s="302"/>
      <c r="BX666" s="302"/>
      <c r="BY666" s="302"/>
      <c r="BZ666" s="302"/>
      <c r="CA666" s="302"/>
      <c r="CB666" s="28"/>
      <c r="CC666" s="28"/>
      <c r="CD666" s="28"/>
      <c r="CE666" s="28"/>
      <c r="CF666" s="28"/>
      <c r="CG666" s="28"/>
      <c r="CH666" s="28"/>
      <c r="CI666" s="28"/>
      <c r="CJ666" s="28"/>
      <c r="CK666" s="28"/>
      <c r="CL666" s="28"/>
      <c r="CM666" s="28"/>
      <c r="CN666" s="28"/>
      <c r="CO666" s="28"/>
      <c r="CP666" s="28"/>
      <c r="CQ666" s="28"/>
      <c r="CR666" s="28"/>
      <c r="CS666" s="28"/>
      <c r="CT666" s="28"/>
      <c r="CU666" s="28"/>
      <c r="CV666" s="28"/>
      <c r="CW666" s="28"/>
    </row>
    <row r="667" spans="1:101" ht="14.25" customHeight="1" x14ac:dyDescent="0.2">
      <c r="A667" s="286"/>
      <c r="B667" s="52">
        <v>0.11594055192627778</v>
      </c>
      <c r="C667" s="288">
        <v>0.39622694881308229</v>
      </c>
      <c r="D667" s="288">
        <v>1.4812457460551598E-2</v>
      </c>
      <c r="E667" s="288">
        <v>1.7338358664788278E-2</v>
      </c>
      <c r="F667" s="289">
        <v>0.80349671273900003</v>
      </c>
      <c r="G667" s="92">
        <v>0.4129863556098724</v>
      </c>
      <c r="H667" s="288">
        <v>3.1964168660485126E-2</v>
      </c>
      <c r="I667" s="288">
        <v>1.5309459569811079E-2</v>
      </c>
      <c r="J667" s="288">
        <v>0.99998296738929426</v>
      </c>
      <c r="K667" s="288">
        <v>0.70697195130544099</v>
      </c>
      <c r="L667" s="290">
        <v>12086.721280946149</v>
      </c>
      <c r="M667" s="288">
        <v>0</v>
      </c>
      <c r="N667" s="288">
        <v>18386.395530982802</v>
      </c>
      <c r="O667" s="288">
        <v>1204.312331230406</v>
      </c>
      <c r="P667" s="288">
        <v>33920.25538057521</v>
      </c>
      <c r="Q667" s="291">
        <v>113739.71878845734</v>
      </c>
      <c r="R667" s="288">
        <v>26044.849464277821</v>
      </c>
      <c r="S667" s="288">
        <v>8543.1782875759891</v>
      </c>
      <c r="T667" s="290">
        <v>0.751</v>
      </c>
      <c r="U667" s="288">
        <v>0.75800000000000001</v>
      </c>
      <c r="V667" s="288">
        <v>0.723923076923077</v>
      </c>
      <c r="W667" s="288">
        <v>0.72750000000000004</v>
      </c>
      <c r="X667" s="288">
        <v>0.76</v>
      </c>
      <c r="Y667" s="288">
        <v>0</v>
      </c>
      <c r="Z667" s="289">
        <v>0</v>
      </c>
      <c r="AA667" s="229"/>
      <c r="AB667" s="293">
        <v>81593.113319539509</v>
      </c>
      <c r="AC667" s="294">
        <v>3.2518194570093111</v>
      </c>
      <c r="AD667" s="295">
        <v>62177.009365432998</v>
      </c>
      <c r="AE667" s="294">
        <v>2.8116905048634311</v>
      </c>
      <c r="AF667" s="295">
        <v>19416.103954106511</v>
      </c>
      <c r="AG667" s="296">
        <v>0.44012895214587999</v>
      </c>
      <c r="AH667" s="229"/>
      <c r="AI667" s="205">
        <f t="shared" si="74"/>
        <v>243588.83238139161</v>
      </c>
      <c r="AJ667" s="205">
        <f t="shared" si="75"/>
        <v>218992.04112091009</v>
      </c>
      <c r="AK667" s="205">
        <f t="shared" si="76"/>
        <v>24596.791260481485</v>
      </c>
      <c r="AL667" s="229"/>
      <c r="AM667" s="52">
        <f t="shared" si="58"/>
        <v>1</v>
      </c>
      <c r="AN667" s="52">
        <f t="shared" si="59"/>
        <v>0</v>
      </c>
      <c r="AO667" s="52">
        <f t="shared" si="60"/>
        <v>1</v>
      </c>
      <c r="AP667" s="229"/>
      <c r="AQ667" s="28"/>
      <c r="AR667" s="28"/>
      <c r="AS667" s="28"/>
      <c r="AT667" s="28"/>
      <c r="AU667" s="229"/>
      <c r="AV667" s="318">
        <f t="shared" si="77"/>
        <v>243588.83238139161</v>
      </c>
      <c r="AW667" s="229"/>
      <c r="AX667" s="313"/>
      <c r="AY667" s="302"/>
      <c r="AZ667" s="14">
        <f t="shared" si="79"/>
        <v>19416.103954106511</v>
      </c>
      <c r="BA667" s="14">
        <f t="shared" si="78"/>
        <v>0.44012895214587999</v>
      </c>
      <c r="BB667" s="14">
        <f t="shared" si="61"/>
        <v>44114.580191650464</v>
      </c>
      <c r="BC667" s="302"/>
      <c r="BD667" s="302"/>
      <c r="BE667" s="302"/>
      <c r="BF667" s="302"/>
      <c r="BG667" s="302"/>
      <c r="BH667" s="302"/>
      <c r="BI667" s="302"/>
      <c r="BJ667" s="302"/>
      <c r="BK667" s="302"/>
      <c r="BL667" s="302"/>
      <c r="BM667" s="302"/>
      <c r="BN667" s="302"/>
      <c r="BO667" s="302"/>
      <c r="BP667" s="302"/>
      <c r="BQ667" s="302"/>
      <c r="BR667" s="302"/>
      <c r="BS667" s="302"/>
      <c r="BT667" s="302"/>
      <c r="BU667" s="302"/>
      <c r="BV667" s="302"/>
      <c r="BW667" s="302"/>
      <c r="BX667" s="302"/>
      <c r="BY667" s="302"/>
      <c r="BZ667" s="302"/>
      <c r="CA667" s="302"/>
      <c r="CB667" s="28"/>
      <c r="CC667" s="28"/>
      <c r="CD667" s="28"/>
      <c r="CE667" s="28"/>
      <c r="CF667" s="28"/>
      <c r="CG667" s="28"/>
      <c r="CH667" s="28"/>
      <c r="CI667" s="28"/>
      <c r="CJ667" s="28"/>
      <c r="CK667" s="28"/>
      <c r="CL667" s="28"/>
      <c r="CM667" s="28"/>
      <c r="CN667" s="28"/>
      <c r="CO667" s="28"/>
      <c r="CP667" s="28"/>
      <c r="CQ667" s="28"/>
      <c r="CR667" s="28"/>
      <c r="CS667" s="28"/>
      <c r="CT667" s="28"/>
      <c r="CU667" s="28"/>
      <c r="CV667" s="28"/>
      <c r="CW667" s="28"/>
    </row>
    <row r="668" spans="1:101" ht="14.25" customHeight="1" x14ac:dyDescent="0.2">
      <c r="A668" s="286"/>
      <c r="B668" s="52">
        <v>0.14960454574129547</v>
      </c>
      <c r="C668" s="288">
        <v>0.51187930268813164</v>
      </c>
      <c r="D668" s="288">
        <v>2.5990822850013195E-2</v>
      </c>
      <c r="E668" s="288">
        <v>1.0079699330022023E-2</v>
      </c>
      <c r="F668" s="289">
        <v>0.76393396743126263</v>
      </c>
      <c r="G668" s="92">
        <v>0.40578144217993561</v>
      </c>
      <c r="H668" s="288">
        <v>0.19727120415160868</v>
      </c>
      <c r="I668" s="288">
        <v>3.1896323346245259E-2</v>
      </c>
      <c r="J668" s="288">
        <v>0.99999946688602481</v>
      </c>
      <c r="K668" s="288">
        <v>0.78791385613163967</v>
      </c>
      <c r="L668" s="290">
        <v>12898.994950040997</v>
      </c>
      <c r="M668" s="288">
        <v>0</v>
      </c>
      <c r="N668" s="288">
        <v>19551.257987900506</v>
      </c>
      <c r="O668" s="288">
        <v>1510.4749375121614</v>
      </c>
      <c r="P668" s="288">
        <v>34295.994568532777</v>
      </c>
      <c r="Q668" s="291">
        <v>81019.267095272357</v>
      </c>
      <c r="R668" s="288">
        <v>35306.816367395149</v>
      </c>
      <c r="S668" s="288">
        <v>10767.154309396839</v>
      </c>
      <c r="T668" s="290">
        <v>0.751</v>
      </c>
      <c r="U668" s="288">
        <v>0.75800000000000001</v>
      </c>
      <c r="V668" s="288">
        <v>0.723923076923077</v>
      </c>
      <c r="W668" s="288">
        <v>0.72750000000000004</v>
      </c>
      <c r="X668" s="288">
        <v>0.76</v>
      </c>
      <c r="Y668" s="288">
        <v>0</v>
      </c>
      <c r="Z668" s="289">
        <v>0</v>
      </c>
      <c r="AA668" s="229"/>
      <c r="AB668" s="293">
        <v>97596.097704546744</v>
      </c>
      <c r="AC668" s="294">
        <v>3.0680030231011051</v>
      </c>
      <c r="AD668" s="295">
        <v>89923.031794768322</v>
      </c>
      <c r="AE668" s="294">
        <v>3.1838665471397998</v>
      </c>
      <c r="AF668" s="295">
        <v>7673.0659097784228</v>
      </c>
      <c r="AG668" s="296">
        <v>-0.11586352403869471</v>
      </c>
      <c r="AH668" s="229"/>
      <c r="AI668" s="205">
        <f t="shared" si="74"/>
        <v>209204.20460556378</v>
      </c>
      <c r="AJ668" s="205">
        <f t="shared" si="75"/>
        <v>228463.62291921166</v>
      </c>
      <c r="AK668" s="205">
        <f t="shared" si="76"/>
        <v>-19259.418313647893</v>
      </c>
      <c r="AL668" s="229"/>
      <c r="AM668" s="52">
        <f t="shared" si="58"/>
        <v>0</v>
      </c>
      <c r="AN668" s="52">
        <f t="shared" si="59"/>
        <v>1</v>
      </c>
      <c r="AO668" s="52">
        <f t="shared" si="60"/>
        <v>0</v>
      </c>
      <c r="AP668" s="229"/>
      <c r="AQ668" s="28"/>
      <c r="AR668" s="28"/>
      <c r="AS668" s="28"/>
      <c r="AT668" s="28"/>
      <c r="AU668" s="229"/>
      <c r="AV668" s="318">
        <f t="shared" si="77"/>
        <v>228463.62291921166</v>
      </c>
      <c r="AW668" s="229"/>
      <c r="AX668" s="313"/>
      <c r="AY668" s="302"/>
      <c r="AZ668" s="14">
        <f t="shared" si="79"/>
        <v>7673.0659097784228</v>
      </c>
      <c r="BA668" s="14">
        <f t="shared" si="78"/>
        <v>-0.11586352403869471</v>
      </c>
      <c r="BB668" s="14">
        <f t="shared" si="61"/>
        <v>-66225.03478502747</v>
      </c>
      <c r="BC668" s="302"/>
      <c r="BD668" s="302"/>
      <c r="BE668" s="302"/>
      <c r="BF668" s="302"/>
      <c r="BG668" s="302"/>
      <c r="BH668" s="302"/>
      <c r="BI668" s="302"/>
      <c r="BJ668" s="302"/>
      <c r="BK668" s="302"/>
      <c r="BL668" s="302"/>
      <c r="BM668" s="302"/>
      <c r="BN668" s="302"/>
      <c r="BO668" s="302"/>
      <c r="BP668" s="302"/>
      <c r="BQ668" s="302"/>
      <c r="BR668" s="302"/>
      <c r="BS668" s="302"/>
      <c r="BT668" s="302"/>
      <c r="BU668" s="302"/>
      <c r="BV668" s="302"/>
      <c r="BW668" s="302"/>
      <c r="BX668" s="302"/>
      <c r="BY668" s="302"/>
      <c r="BZ668" s="302"/>
      <c r="CA668" s="302"/>
      <c r="CB668" s="28"/>
      <c r="CC668" s="28"/>
      <c r="CD668" s="28"/>
      <c r="CE668" s="28"/>
      <c r="CF668" s="28"/>
      <c r="CG668" s="28"/>
      <c r="CH668" s="28"/>
      <c r="CI668" s="28"/>
      <c r="CJ668" s="28"/>
      <c r="CK668" s="28"/>
      <c r="CL668" s="28"/>
      <c r="CM668" s="28"/>
      <c r="CN668" s="28"/>
      <c r="CO668" s="28"/>
      <c r="CP668" s="28"/>
      <c r="CQ668" s="28"/>
      <c r="CR668" s="28"/>
      <c r="CS668" s="28"/>
      <c r="CT668" s="28"/>
      <c r="CU668" s="28"/>
      <c r="CV668" s="28"/>
      <c r="CW668" s="28"/>
    </row>
    <row r="669" spans="1:101" ht="14.25" customHeight="1" x14ac:dyDescent="0.2">
      <c r="A669" s="286"/>
      <c r="B669" s="52">
        <v>0.16373370235701035</v>
      </c>
      <c r="C669" s="288">
        <v>0.65688411778438605</v>
      </c>
      <c r="D669" s="288">
        <v>9.6395869113774322E-3</v>
      </c>
      <c r="E669" s="288">
        <v>1.7125399609418279E-2</v>
      </c>
      <c r="F669" s="289">
        <v>0.82316521830213385</v>
      </c>
      <c r="G669" s="92">
        <v>0.39761363795885724</v>
      </c>
      <c r="H669" s="288">
        <v>7.7969707443642136E-2</v>
      </c>
      <c r="I669" s="288">
        <v>3.1339904150673115E-2</v>
      </c>
      <c r="J669" s="288">
        <v>1</v>
      </c>
      <c r="K669" s="288">
        <v>0.7582776217187458</v>
      </c>
      <c r="L669" s="290">
        <v>10969.200318310792</v>
      </c>
      <c r="M669" s="288">
        <v>0</v>
      </c>
      <c r="N669" s="288">
        <v>20732.433247454192</v>
      </c>
      <c r="O669" s="288">
        <v>1229.0304357902264</v>
      </c>
      <c r="P669" s="288">
        <v>55713.290246227254</v>
      </c>
      <c r="Q669" s="291">
        <v>91056.686357002327</v>
      </c>
      <c r="R669" s="288">
        <v>23412.960801785488</v>
      </c>
      <c r="S669" s="288">
        <v>11313.83559362135</v>
      </c>
      <c r="T669" s="290">
        <v>0.751</v>
      </c>
      <c r="U669" s="288">
        <v>0.75800000000000001</v>
      </c>
      <c r="V669" s="288">
        <v>0.723923076923077</v>
      </c>
      <c r="W669" s="288">
        <v>0.72750000000000004</v>
      </c>
      <c r="X669" s="288">
        <v>0.76</v>
      </c>
      <c r="Y669" s="288">
        <v>0</v>
      </c>
      <c r="Z669" s="289">
        <v>0</v>
      </c>
      <c r="AA669" s="229"/>
      <c r="AB669" s="293">
        <v>106055.90729883002</v>
      </c>
      <c r="AC669" s="294">
        <v>3.3441169144218033</v>
      </c>
      <c r="AD669" s="295">
        <v>89016.865138827721</v>
      </c>
      <c r="AE669" s="294">
        <v>3.0463989011128039</v>
      </c>
      <c r="AF669" s="295">
        <v>17039.042160002296</v>
      </c>
      <c r="AG669" s="296">
        <v>0.29771801330899939</v>
      </c>
      <c r="AH669" s="229"/>
      <c r="AI669" s="205">
        <f t="shared" si="74"/>
        <v>228355.78414335029</v>
      </c>
      <c r="AJ669" s="205">
        <f t="shared" si="75"/>
        <v>215623.02497245267</v>
      </c>
      <c r="AK669" s="205">
        <f t="shared" si="76"/>
        <v>12732.759170897643</v>
      </c>
      <c r="AL669" s="229"/>
      <c r="AM669" s="52">
        <f t="shared" si="58"/>
        <v>1</v>
      </c>
      <c r="AN669" s="52">
        <f t="shared" si="59"/>
        <v>0</v>
      </c>
      <c r="AO669" s="52">
        <f t="shared" si="60"/>
        <v>1</v>
      </c>
      <c r="AP669" s="229"/>
      <c r="AQ669" s="28"/>
      <c r="AR669" s="28"/>
      <c r="AS669" s="28"/>
      <c r="AT669" s="28"/>
      <c r="AU669" s="229"/>
      <c r="AV669" s="318">
        <f t="shared" si="77"/>
        <v>228355.78414335029</v>
      </c>
      <c r="AW669" s="229"/>
      <c r="AX669" s="313"/>
      <c r="AY669" s="302"/>
      <c r="AZ669" s="14">
        <f t="shared" si="79"/>
        <v>17039.042160002296</v>
      </c>
      <c r="BA669" s="14">
        <f t="shared" si="78"/>
        <v>0.29771801330899939</v>
      </c>
      <c r="BB669" s="14">
        <f t="shared" si="61"/>
        <v>57232.150552870975</v>
      </c>
      <c r="BC669" s="302"/>
      <c r="BD669" s="302"/>
      <c r="BE669" s="302"/>
      <c r="BF669" s="302"/>
      <c r="BG669" s="302"/>
      <c r="BH669" s="302"/>
      <c r="BI669" s="302"/>
      <c r="BJ669" s="302"/>
      <c r="BK669" s="302"/>
      <c r="BL669" s="302"/>
      <c r="BM669" s="302"/>
      <c r="BN669" s="302"/>
      <c r="BO669" s="302"/>
      <c r="BP669" s="302"/>
      <c r="BQ669" s="302"/>
      <c r="BR669" s="302"/>
      <c r="BS669" s="302"/>
      <c r="BT669" s="302"/>
      <c r="BU669" s="302"/>
      <c r="BV669" s="302"/>
      <c r="BW669" s="302"/>
      <c r="BX669" s="302"/>
      <c r="BY669" s="302"/>
      <c r="BZ669" s="302"/>
      <c r="CA669" s="302"/>
      <c r="CB669" s="28"/>
      <c r="CC669" s="28"/>
      <c r="CD669" s="28"/>
      <c r="CE669" s="28"/>
      <c r="CF669" s="28"/>
      <c r="CG669" s="28"/>
      <c r="CH669" s="28"/>
      <c r="CI669" s="28"/>
      <c r="CJ669" s="28"/>
      <c r="CK669" s="28"/>
      <c r="CL669" s="28"/>
      <c r="CM669" s="28"/>
      <c r="CN669" s="28"/>
      <c r="CO669" s="28"/>
      <c r="CP669" s="28"/>
      <c r="CQ669" s="28"/>
      <c r="CR669" s="28"/>
      <c r="CS669" s="28"/>
      <c r="CT669" s="28"/>
      <c r="CU669" s="28"/>
      <c r="CV669" s="28"/>
      <c r="CW669" s="28"/>
    </row>
    <row r="670" spans="1:101" ht="14.25" customHeight="1" x14ac:dyDescent="0.2">
      <c r="A670" s="286"/>
      <c r="B670" s="52">
        <v>0.16675855219298141</v>
      </c>
      <c r="C670" s="288">
        <v>4.0500061379109215E-3</v>
      </c>
      <c r="D670" s="288">
        <v>1.5255382224664937E-2</v>
      </c>
      <c r="E670" s="288">
        <v>1.0142400581570407E-2</v>
      </c>
      <c r="F670" s="289">
        <v>0.81117152422824879</v>
      </c>
      <c r="G670" s="92">
        <v>0.40633699245887989</v>
      </c>
      <c r="H670" s="288">
        <v>0.2779870754957206</v>
      </c>
      <c r="I670" s="288">
        <v>2.1993728370039434E-2</v>
      </c>
      <c r="J670" s="288">
        <v>0.99999487465623704</v>
      </c>
      <c r="K670" s="288">
        <v>0.79530059155472121</v>
      </c>
      <c r="L670" s="290">
        <v>15541.801440942865</v>
      </c>
      <c r="M670" s="288">
        <v>0</v>
      </c>
      <c r="N670" s="288">
        <v>17327.627693572507</v>
      </c>
      <c r="O670" s="288">
        <v>1284.6530210118592</v>
      </c>
      <c r="P670" s="288">
        <v>34353.825764881934</v>
      </c>
      <c r="Q670" s="291">
        <v>90441.860382843457</v>
      </c>
      <c r="R670" s="288">
        <v>24685.787913020875</v>
      </c>
      <c r="S670" s="288">
        <v>10074.983697166208</v>
      </c>
      <c r="T670" s="290">
        <v>0.751</v>
      </c>
      <c r="U670" s="288">
        <v>0.75800000000000001</v>
      </c>
      <c r="V670" s="288">
        <v>0.723923076923077</v>
      </c>
      <c r="W670" s="288">
        <v>0.72750000000000004</v>
      </c>
      <c r="X670" s="288">
        <v>0.76</v>
      </c>
      <c r="Y670" s="288">
        <v>0</v>
      </c>
      <c r="Z670" s="289">
        <v>0</v>
      </c>
      <c r="AA670" s="229"/>
      <c r="AB670" s="293">
        <v>96930.939503308095</v>
      </c>
      <c r="AC670" s="294">
        <v>3.2877624889227604</v>
      </c>
      <c r="AD670" s="295">
        <v>84418.524048931286</v>
      </c>
      <c r="AE670" s="294">
        <v>3.2183454481404929</v>
      </c>
      <c r="AF670" s="295">
        <v>12512.415454376809</v>
      </c>
      <c r="AG670" s="296">
        <v>6.9417040782267403E-2</v>
      </c>
      <c r="AH670" s="229"/>
      <c r="AI670" s="205">
        <f t="shared" si="74"/>
        <v>231845.30938896793</v>
      </c>
      <c r="AJ670" s="205">
        <f t="shared" si="75"/>
        <v>237416.02076511798</v>
      </c>
      <c r="AK670" s="205">
        <f t="shared" si="76"/>
        <v>-5570.7113761500686</v>
      </c>
      <c r="AL670" s="229"/>
      <c r="AM670" s="52">
        <f t="shared" si="58"/>
        <v>0</v>
      </c>
      <c r="AN670" s="52">
        <f t="shared" si="59"/>
        <v>1</v>
      </c>
      <c r="AO670" s="52">
        <f t="shared" si="60"/>
        <v>0</v>
      </c>
      <c r="AP670" s="229"/>
      <c r="AQ670" s="28"/>
      <c r="AR670" s="28"/>
      <c r="AS670" s="28"/>
      <c r="AT670" s="28"/>
      <c r="AU670" s="229"/>
      <c r="AV670" s="318">
        <f t="shared" si="77"/>
        <v>237416.02076511798</v>
      </c>
      <c r="AW670" s="229"/>
      <c r="AX670" s="313"/>
      <c r="AY670" s="302"/>
      <c r="AZ670" s="14">
        <f t="shared" si="79"/>
        <v>12512.415454376809</v>
      </c>
      <c r="BA670" s="14">
        <f t="shared" si="78"/>
        <v>6.9417040782267403E-2</v>
      </c>
      <c r="BB670" s="14">
        <f t="shared" si="61"/>
        <v>180249.91145363124</v>
      </c>
      <c r="BC670" s="302"/>
      <c r="BD670" s="302"/>
      <c r="BE670" s="302"/>
      <c r="BF670" s="302"/>
      <c r="BG670" s="302"/>
      <c r="BH670" s="302"/>
      <c r="BI670" s="302"/>
      <c r="BJ670" s="302"/>
      <c r="BK670" s="302"/>
      <c r="BL670" s="302"/>
      <c r="BM670" s="302"/>
      <c r="BN670" s="302"/>
      <c r="BO670" s="302"/>
      <c r="BP670" s="302"/>
      <c r="BQ670" s="302"/>
      <c r="BR670" s="302"/>
      <c r="BS670" s="302"/>
      <c r="BT670" s="302"/>
      <c r="BU670" s="302"/>
      <c r="BV670" s="302"/>
      <c r="BW670" s="302"/>
      <c r="BX670" s="302"/>
      <c r="BY670" s="302"/>
      <c r="BZ670" s="302"/>
      <c r="CA670" s="302"/>
      <c r="CB670" s="28"/>
      <c r="CC670" s="28"/>
      <c r="CD670" s="28"/>
      <c r="CE670" s="28"/>
      <c r="CF670" s="28"/>
      <c r="CG670" s="28"/>
      <c r="CH670" s="28"/>
      <c r="CI670" s="28"/>
      <c r="CJ670" s="28"/>
      <c r="CK670" s="28"/>
      <c r="CL670" s="28"/>
      <c r="CM670" s="28"/>
      <c r="CN670" s="28"/>
      <c r="CO670" s="28"/>
      <c r="CP670" s="28"/>
      <c r="CQ670" s="28"/>
      <c r="CR670" s="28"/>
      <c r="CS670" s="28"/>
      <c r="CT670" s="28"/>
      <c r="CU670" s="28"/>
      <c r="CV670" s="28"/>
      <c r="CW670" s="28"/>
    </row>
    <row r="671" spans="1:101" ht="14.25" customHeight="1" x14ac:dyDescent="0.2">
      <c r="A671" s="286"/>
      <c r="B671" s="52">
        <v>0.17335732073202303</v>
      </c>
      <c r="C671" s="288">
        <v>2.2123822161927379E-2</v>
      </c>
      <c r="D671" s="288">
        <v>1.0223891853998104E-2</v>
      </c>
      <c r="E671" s="288">
        <v>1.1919967219157838E-2</v>
      </c>
      <c r="F671" s="289">
        <v>0.83366449391463149</v>
      </c>
      <c r="G671" s="92">
        <v>0.39653516281791784</v>
      </c>
      <c r="H671" s="288">
        <v>0.9855839026150488</v>
      </c>
      <c r="I671" s="288">
        <v>1.041307635896763E-2</v>
      </c>
      <c r="J671" s="288">
        <v>0.99999999999998468</v>
      </c>
      <c r="K671" s="288">
        <v>0.73379267337452159</v>
      </c>
      <c r="L671" s="290">
        <v>12832.41071180146</v>
      </c>
      <c r="M671" s="288">
        <v>0</v>
      </c>
      <c r="N671" s="288">
        <v>18610.37798711305</v>
      </c>
      <c r="O671" s="288">
        <v>1423.0661077810275</v>
      </c>
      <c r="P671" s="288">
        <v>47627.516112517143</v>
      </c>
      <c r="Q671" s="291">
        <v>121569.2558687237</v>
      </c>
      <c r="R671" s="288">
        <v>20796.413385968823</v>
      </c>
      <c r="S671" s="288">
        <v>8983.4886616337171</v>
      </c>
      <c r="T671" s="290">
        <v>0.751</v>
      </c>
      <c r="U671" s="288">
        <v>0.75800000000000001</v>
      </c>
      <c r="V671" s="288">
        <v>0.723923076923077</v>
      </c>
      <c r="W671" s="288">
        <v>0.72750000000000004</v>
      </c>
      <c r="X671" s="288">
        <v>0.76</v>
      </c>
      <c r="Y671" s="288">
        <v>0</v>
      </c>
      <c r="Z671" s="289">
        <v>0</v>
      </c>
      <c r="AA671" s="229"/>
      <c r="AB671" s="293">
        <v>87536.089436138689</v>
      </c>
      <c r="AC671" s="294">
        <v>3.3936347672564748</v>
      </c>
      <c r="AD671" s="295">
        <v>75117.276713956671</v>
      </c>
      <c r="AE671" s="294">
        <v>2.9338698780538395</v>
      </c>
      <c r="AF671" s="295">
        <v>12418.812722182018</v>
      </c>
      <c r="AG671" s="296">
        <v>0.45976488920263536</v>
      </c>
      <c r="AH671" s="229"/>
      <c r="AI671" s="205">
        <f t="shared" si="74"/>
        <v>251827.38728950877</v>
      </c>
      <c r="AJ671" s="205">
        <f t="shared" si="75"/>
        <v>218269.71109142725</v>
      </c>
      <c r="AK671" s="205">
        <f t="shared" si="76"/>
        <v>33557.676198081521</v>
      </c>
      <c r="AL671" s="229"/>
      <c r="AM671" s="52">
        <f t="shared" si="58"/>
        <v>1</v>
      </c>
      <c r="AN671" s="52">
        <f t="shared" si="59"/>
        <v>0</v>
      </c>
      <c r="AO671" s="52">
        <f t="shared" si="60"/>
        <v>1</v>
      </c>
      <c r="AP671" s="229"/>
      <c r="AQ671" s="28"/>
      <c r="AR671" s="28"/>
      <c r="AS671" s="28"/>
      <c r="AT671" s="28"/>
      <c r="AU671" s="229"/>
      <c r="AV671" s="318">
        <f t="shared" si="77"/>
        <v>251827.38728950877</v>
      </c>
      <c r="AW671" s="229"/>
      <c r="AX671" s="313"/>
      <c r="AY671" s="302"/>
      <c r="AZ671" s="14">
        <f t="shared" si="79"/>
        <v>12418.812722182018</v>
      </c>
      <c r="BA671" s="14">
        <f t="shared" si="78"/>
        <v>0.45976488920263536</v>
      </c>
      <c r="BB671" s="14">
        <f t="shared" si="61"/>
        <v>27011.224679900661</v>
      </c>
      <c r="BC671" s="302"/>
      <c r="BD671" s="302"/>
      <c r="BE671" s="302"/>
      <c r="BF671" s="302"/>
      <c r="BG671" s="302"/>
      <c r="BH671" s="302"/>
      <c r="BI671" s="302"/>
      <c r="BJ671" s="302"/>
      <c r="BK671" s="302"/>
      <c r="BL671" s="302"/>
      <c r="BM671" s="302"/>
      <c r="BN671" s="302"/>
      <c r="BO671" s="302"/>
      <c r="BP671" s="302"/>
      <c r="BQ671" s="302"/>
      <c r="BR671" s="302"/>
      <c r="BS671" s="302"/>
      <c r="BT671" s="302"/>
      <c r="BU671" s="302"/>
      <c r="BV671" s="302"/>
      <c r="BW671" s="302"/>
      <c r="BX671" s="302"/>
      <c r="BY671" s="302"/>
      <c r="BZ671" s="302"/>
      <c r="CA671" s="302"/>
      <c r="CB671" s="28"/>
      <c r="CC671" s="28"/>
      <c r="CD671" s="28"/>
      <c r="CE671" s="28"/>
      <c r="CF671" s="28"/>
      <c r="CG671" s="28"/>
      <c r="CH671" s="28"/>
      <c r="CI671" s="28"/>
      <c r="CJ671" s="28"/>
      <c r="CK671" s="28"/>
      <c r="CL671" s="28"/>
      <c r="CM671" s="28"/>
      <c r="CN671" s="28"/>
      <c r="CO671" s="28"/>
      <c r="CP671" s="28"/>
      <c r="CQ671" s="28"/>
      <c r="CR671" s="28"/>
      <c r="CS671" s="28"/>
      <c r="CT671" s="28"/>
      <c r="CU671" s="28"/>
      <c r="CV671" s="28"/>
      <c r="CW671" s="28"/>
    </row>
    <row r="672" spans="1:101" ht="14.25" customHeight="1" x14ac:dyDescent="0.2">
      <c r="A672" s="286"/>
      <c r="B672" s="52">
        <v>0.17622189210159844</v>
      </c>
      <c r="C672" s="288">
        <v>7.416568006087057E-2</v>
      </c>
      <c r="D672" s="288">
        <v>1.6318091218373798E-2</v>
      </c>
      <c r="E672" s="288">
        <v>1.0062225525682011E-2</v>
      </c>
      <c r="F672" s="289">
        <v>0.79908056249168014</v>
      </c>
      <c r="G672" s="92">
        <v>0.35351361724158847</v>
      </c>
      <c r="H672" s="288">
        <v>0.19948187208168125</v>
      </c>
      <c r="I672" s="288">
        <v>3.0416039626053881E-2</v>
      </c>
      <c r="J672" s="288">
        <v>0.99999999953924446</v>
      </c>
      <c r="K672" s="288">
        <v>0.73191228800556507</v>
      </c>
      <c r="L672" s="290">
        <v>11900.263118527571</v>
      </c>
      <c r="M672" s="288">
        <v>0</v>
      </c>
      <c r="N672" s="288">
        <v>18149.439602065304</v>
      </c>
      <c r="O672" s="288">
        <v>666.66743162707439</v>
      </c>
      <c r="P672" s="288">
        <v>42286.208614216819</v>
      </c>
      <c r="Q672" s="291">
        <v>119701.88615081328</v>
      </c>
      <c r="R672" s="288">
        <v>23129.279647265441</v>
      </c>
      <c r="S672" s="288">
        <v>8246.6244998508737</v>
      </c>
      <c r="T672" s="290">
        <v>0.751</v>
      </c>
      <c r="U672" s="288">
        <v>0.75800000000000001</v>
      </c>
      <c r="V672" s="288">
        <v>0.723923076923077</v>
      </c>
      <c r="W672" s="288">
        <v>0.72750000000000004</v>
      </c>
      <c r="X672" s="288">
        <v>0.76</v>
      </c>
      <c r="Y672" s="288">
        <v>0</v>
      </c>
      <c r="Z672" s="289">
        <v>0</v>
      </c>
      <c r="AA672" s="229"/>
      <c r="AB672" s="293">
        <v>77919.263033426003</v>
      </c>
      <c r="AC672" s="294">
        <v>3.2311794134704401</v>
      </c>
      <c r="AD672" s="295">
        <v>63958.810413415071</v>
      </c>
      <c r="AE672" s="294">
        <v>2.925266991556478</v>
      </c>
      <c r="AF672" s="295">
        <v>13960.452620010932</v>
      </c>
      <c r="AG672" s="296">
        <v>0.30591242191396217</v>
      </c>
      <c r="AH672" s="229"/>
      <c r="AI672" s="205">
        <f t="shared" si="74"/>
        <v>245198.678313618</v>
      </c>
      <c r="AJ672" s="205">
        <f t="shared" si="75"/>
        <v>228567.8887422327</v>
      </c>
      <c r="AK672" s="205">
        <f t="shared" si="76"/>
        <v>16630.789571385285</v>
      </c>
      <c r="AL672" s="229"/>
      <c r="AM672" s="52">
        <f t="shared" si="58"/>
        <v>1</v>
      </c>
      <c r="AN672" s="52">
        <f t="shared" si="59"/>
        <v>0</v>
      </c>
      <c r="AO672" s="52">
        <f t="shared" si="60"/>
        <v>1</v>
      </c>
      <c r="AP672" s="229"/>
      <c r="AQ672" s="28"/>
      <c r="AR672" s="28"/>
      <c r="AS672" s="28"/>
      <c r="AT672" s="28"/>
      <c r="AU672" s="229"/>
      <c r="AV672" s="318">
        <f t="shared" si="77"/>
        <v>245198.678313618</v>
      </c>
      <c r="AW672" s="229"/>
      <c r="AX672" s="313"/>
      <c r="AY672" s="302"/>
      <c r="AZ672" s="14">
        <f t="shared" si="79"/>
        <v>13960.452620010932</v>
      </c>
      <c r="BA672" s="14">
        <f t="shared" si="78"/>
        <v>0.30591242191396217</v>
      </c>
      <c r="BB672" s="14">
        <f t="shared" si="61"/>
        <v>45635.455182455153</v>
      </c>
      <c r="BC672" s="302"/>
      <c r="BD672" s="302"/>
      <c r="BE672" s="302"/>
      <c r="BF672" s="302"/>
      <c r="BG672" s="302"/>
      <c r="BH672" s="302"/>
      <c r="BI672" s="302"/>
      <c r="BJ672" s="302"/>
      <c r="BK672" s="302"/>
      <c r="BL672" s="302"/>
      <c r="BM672" s="302"/>
      <c r="BN672" s="302"/>
      <c r="BO672" s="302"/>
      <c r="BP672" s="302"/>
      <c r="BQ672" s="302"/>
      <c r="BR672" s="302"/>
      <c r="BS672" s="302"/>
      <c r="BT672" s="302"/>
      <c r="BU672" s="302"/>
      <c r="BV672" s="302"/>
      <c r="BW672" s="302"/>
      <c r="BX672" s="302"/>
      <c r="BY672" s="302"/>
      <c r="BZ672" s="302"/>
      <c r="CA672" s="302"/>
      <c r="CB672" s="28"/>
      <c r="CC672" s="28"/>
      <c r="CD672" s="28"/>
      <c r="CE672" s="28"/>
      <c r="CF672" s="28"/>
      <c r="CG672" s="28"/>
      <c r="CH672" s="28"/>
      <c r="CI672" s="28"/>
      <c r="CJ672" s="28"/>
      <c r="CK672" s="28"/>
      <c r="CL672" s="28"/>
      <c r="CM672" s="28"/>
      <c r="CN672" s="28"/>
      <c r="CO672" s="28"/>
      <c r="CP672" s="28"/>
      <c r="CQ672" s="28"/>
      <c r="CR672" s="28"/>
      <c r="CS672" s="28"/>
      <c r="CT672" s="28"/>
      <c r="CU672" s="28"/>
      <c r="CV672" s="28"/>
      <c r="CW672" s="28"/>
    </row>
    <row r="673" spans="1:101" ht="14.25" customHeight="1" x14ac:dyDescent="0.2">
      <c r="A673" s="286"/>
      <c r="B673" s="52">
        <v>0.22710848632698832</v>
      </c>
      <c r="C673" s="288">
        <v>0.74500620606883527</v>
      </c>
      <c r="D673" s="288">
        <v>2.6854554069891567E-2</v>
      </c>
      <c r="E673" s="288">
        <v>1.8713598651464602E-2</v>
      </c>
      <c r="F673" s="289">
        <v>0.78488344353167894</v>
      </c>
      <c r="G673" s="92">
        <v>0.47260475597168861</v>
      </c>
      <c r="H673" s="288">
        <v>0.22964554916135133</v>
      </c>
      <c r="I673" s="288">
        <v>3.7162004402306104E-2</v>
      </c>
      <c r="J673" s="288">
        <v>1</v>
      </c>
      <c r="K673" s="288">
        <v>0.7404772900208707</v>
      </c>
      <c r="L673" s="290">
        <v>12503.426205140091</v>
      </c>
      <c r="M673" s="288">
        <v>0</v>
      </c>
      <c r="N673" s="288">
        <v>16580.527329275566</v>
      </c>
      <c r="O673" s="288">
        <v>1426.1291860007873</v>
      </c>
      <c r="P673" s="288">
        <v>53918.691127760932</v>
      </c>
      <c r="Q673" s="291">
        <v>97219.360851938254</v>
      </c>
      <c r="R673" s="288">
        <v>21373.052912638163</v>
      </c>
      <c r="S673" s="288">
        <v>7424.5244952078465</v>
      </c>
      <c r="T673" s="290">
        <v>0.751</v>
      </c>
      <c r="U673" s="288">
        <v>0.75800000000000001</v>
      </c>
      <c r="V673" s="288">
        <v>0.723923076923077</v>
      </c>
      <c r="W673" s="288">
        <v>0.72750000000000004</v>
      </c>
      <c r="X673" s="288">
        <v>0.76</v>
      </c>
      <c r="Y673" s="288">
        <v>0</v>
      </c>
      <c r="Z673" s="289">
        <v>0</v>
      </c>
      <c r="AA673" s="229"/>
      <c r="AB673" s="293">
        <v>74748.995161658822</v>
      </c>
      <c r="AC673" s="294">
        <v>3.1650326734217069</v>
      </c>
      <c r="AD673" s="295">
        <v>60953.210278412153</v>
      </c>
      <c r="AE673" s="294">
        <v>2.96449756112575</v>
      </c>
      <c r="AF673" s="295">
        <v>13795.78488324667</v>
      </c>
      <c r="AG673" s="296">
        <v>0.20053511229595689</v>
      </c>
      <c r="AH673" s="229"/>
      <c r="AI673" s="205">
        <f t="shared" si="74"/>
        <v>241754.27218051188</v>
      </c>
      <c r="AJ673" s="205">
        <f t="shared" si="75"/>
        <v>235496.54583416285</v>
      </c>
      <c r="AK673" s="205">
        <f t="shared" si="76"/>
        <v>6257.7263463490199</v>
      </c>
      <c r="AL673" s="229"/>
      <c r="AM673" s="52">
        <f t="shared" si="58"/>
        <v>1</v>
      </c>
      <c r="AN673" s="52">
        <f t="shared" si="59"/>
        <v>0</v>
      </c>
      <c r="AO673" s="52">
        <f t="shared" si="60"/>
        <v>1</v>
      </c>
      <c r="AP673" s="229"/>
      <c r="AQ673" s="28"/>
      <c r="AR673" s="28"/>
      <c r="AS673" s="28"/>
      <c r="AT673" s="28"/>
      <c r="AU673" s="229"/>
      <c r="AV673" s="318">
        <f t="shared" si="77"/>
        <v>241754.27218051188</v>
      </c>
      <c r="AW673" s="229"/>
      <c r="AX673" s="313"/>
      <c r="AY673" s="302"/>
      <c r="AZ673" s="14">
        <f t="shared" si="79"/>
        <v>13795.78488324667</v>
      </c>
      <c r="BA673" s="14">
        <f t="shared" si="78"/>
        <v>0.20053511229595689</v>
      </c>
      <c r="BB673" s="14">
        <f t="shared" si="61"/>
        <v>68794.859540040838</v>
      </c>
      <c r="BC673" s="302"/>
      <c r="BD673" s="302"/>
      <c r="BE673" s="302"/>
      <c r="BF673" s="302"/>
      <c r="BG673" s="302"/>
      <c r="BH673" s="302"/>
      <c r="BI673" s="302"/>
      <c r="BJ673" s="302"/>
      <c r="BK673" s="302"/>
      <c r="BL673" s="302"/>
      <c r="BM673" s="302"/>
      <c r="BN673" s="302"/>
      <c r="BO673" s="302"/>
      <c r="BP673" s="302"/>
      <c r="BQ673" s="302"/>
      <c r="BR673" s="302"/>
      <c r="BS673" s="302"/>
      <c r="BT673" s="302"/>
      <c r="BU673" s="302"/>
      <c r="BV673" s="302"/>
      <c r="BW673" s="302"/>
      <c r="BX673" s="302"/>
      <c r="BY673" s="302"/>
      <c r="BZ673" s="302"/>
      <c r="CA673" s="302"/>
      <c r="CB673" s="28"/>
      <c r="CC673" s="28"/>
      <c r="CD673" s="28"/>
      <c r="CE673" s="28"/>
      <c r="CF673" s="28"/>
      <c r="CG673" s="28"/>
      <c r="CH673" s="28"/>
      <c r="CI673" s="28"/>
      <c r="CJ673" s="28"/>
      <c r="CK673" s="28"/>
      <c r="CL673" s="28"/>
      <c r="CM673" s="28"/>
      <c r="CN673" s="28"/>
      <c r="CO673" s="28"/>
      <c r="CP673" s="28"/>
      <c r="CQ673" s="28"/>
      <c r="CR673" s="28"/>
      <c r="CS673" s="28"/>
      <c r="CT673" s="28"/>
      <c r="CU673" s="28"/>
      <c r="CV673" s="28"/>
      <c r="CW673" s="28"/>
    </row>
    <row r="674" spans="1:101" ht="14.25" customHeight="1" x14ac:dyDescent="0.2">
      <c r="A674" s="286"/>
      <c r="B674" s="52">
        <v>0.16361104587975106</v>
      </c>
      <c r="C674" s="288">
        <v>0.1660460667471578</v>
      </c>
      <c r="D674" s="288">
        <v>2.608093885814966E-2</v>
      </c>
      <c r="E674" s="288">
        <v>1.1326986263890251E-2</v>
      </c>
      <c r="F674" s="289">
        <v>0.76270828675558233</v>
      </c>
      <c r="G674" s="92">
        <v>0.36808236931094501</v>
      </c>
      <c r="H674" s="288">
        <v>0.55104662521048653</v>
      </c>
      <c r="I674" s="288">
        <v>1.7081576297135692E-2</v>
      </c>
      <c r="J674" s="288">
        <v>0.1104879292447674</v>
      </c>
      <c r="K674" s="288">
        <v>0.793262976822806</v>
      </c>
      <c r="L674" s="290">
        <v>17432.860761366483</v>
      </c>
      <c r="M674" s="288">
        <v>0</v>
      </c>
      <c r="N674" s="288">
        <v>26494.498452467567</v>
      </c>
      <c r="O674" s="288">
        <v>1370.5145879255572</v>
      </c>
      <c r="P674" s="288">
        <v>58231.196675929095</v>
      </c>
      <c r="Q674" s="291">
        <v>122315.93723992756</v>
      </c>
      <c r="R674" s="288">
        <v>26644.24969944355</v>
      </c>
      <c r="S674" s="288">
        <v>11746.848972097145</v>
      </c>
      <c r="T674" s="290">
        <v>0.751</v>
      </c>
      <c r="U674" s="288">
        <v>0.75800000000000001</v>
      </c>
      <c r="V674" s="288">
        <v>0.723923076923077</v>
      </c>
      <c r="W674" s="288">
        <v>0.72750000000000004</v>
      </c>
      <c r="X674" s="288">
        <v>0.76</v>
      </c>
      <c r="Y674" s="288">
        <v>0</v>
      </c>
      <c r="Z674" s="289">
        <v>0</v>
      </c>
      <c r="AA674" s="229"/>
      <c r="AB674" s="293">
        <v>107625.69568248704</v>
      </c>
      <c r="AC674" s="294">
        <v>3.0623474728088897</v>
      </c>
      <c r="AD674" s="295">
        <v>99590.391454869983</v>
      </c>
      <c r="AE674" s="294">
        <v>3.2088259289502994</v>
      </c>
      <c r="AF674" s="295">
        <v>8035.30422761706</v>
      </c>
      <c r="AG674" s="296">
        <v>-0.14647845614140964</v>
      </c>
      <c r="AH674" s="229"/>
      <c r="AI674" s="205">
        <f t="shared" si="74"/>
        <v>198609.05159840191</v>
      </c>
      <c r="AJ674" s="205">
        <f t="shared" si="75"/>
        <v>221292.20144015993</v>
      </c>
      <c r="AK674" s="205">
        <f t="shared" si="76"/>
        <v>-22683.149841758022</v>
      </c>
      <c r="AL674" s="229"/>
      <c r="AM674" s="52">
        <f t="shared" si="58"/>
        <v>0</v>
      </c>
      <c r="AN674" s="52">
        <f t="shared" si="59"/>
        <v>1</v>
      </c>
      <c r="AO674" s="52">
        <f t="shared" si="60"/>
        <v>0</v>
      </c>
      <c r="AP674" s="229"/>
      <c r="AQ674" s="28"/>
      <c r="AR674" s="28"/>
      <c r="AS674" s="28"/>
      <c r="AT674" s="28"/>
      <c r="AU674" s="229"/>
      <c r="AV674" s="318">
        <f t="shared" si="77"/>
        <v>221292.20144015993</v>
      </c>
      <c r="AW674" s="229"/>
      <c r="AX674" s="313"/>
      <c r="AY674" s="302"/>
      <c r="AZ674" s="14">
        <f t="shared" si="79"/>
        <v>8035.30422761706</v>
      </c>
      <c r="BA674" s="14">
        <f t="shared" si="78"/>
        <v>-0.14647845614140964</v>
      </c>
      <c r="BB674" s="14">
        <f t="shared" si="61"/>
        <v>-54856.560065459824</v>
      </c>
      <c r="BC674" s="302"/>
      <c r="BD674" s="302"/>
      <c r="BE674" s="302"/>
      <c r="BF674" s="302"/>
      <c r="BG674" s="302"/>
      <c r="BH674" s="302"/>
      <c r="BI674" s="302"/>
      <c r="BJ674" s="302"/>
      <c r="BK674" s="302"/>
      <c r="BL674" s="302"/>
      <c r="BM674" s="302"/>
      <c r="BN674" s="302"/>
      <c r="BO674" s="302"/>
      <c r="BP674" s="302"/>
      <c r="BQ674" s="302"/>
      <c r="BR674" s="302"/>
      <c r="BS674" s="302"/>
      <c r="BT674" s="302"/>
      <c r="BU674" s="302"/>
      <c r="BV674" s="302"/>
      <c r="BW674" s="302"/>
      <c r="BX674" s="302"/>
      <c r="BY674" s="302"/>
      <c r="BZ674" s="302"/>
      <c r="CA674" s="302"/>
      <c r="CB674" s="28"/>
      <c r="CC674" s="28"/>
      <c r="CD674" s="28"/>
      <c r="CE674" s="28"/>
      <c r="CF674" s="28"/>
      <c r="CG674" s="28"/>
      <c r="CH674" s="28"/>
      <c r="CI674" s="28"/>
      <c r="CJ674" s="28"/>
      <c r="CK674" s="28"/>
      <c r="CL674" s="28"/>
      <c r="CM674" s="28"/>
      <c r="CN674" s="28"/>
      <c r="CO674" s="28"/>
      <c r="CP674" s="28"/>
      <c r="CQ674" s="28"/>
      <c r="CR674" s="28"/>
      <c r="CS674" s="28"/>
      <c r="CT674" s="28"/>
      <c r="CU674" s="28"/>
      <c r="CV674" s="28"/>
      <c r="CW674" s="28"/>
    </row>
    <row r="675" spans="1:101" ht="14.25" customHeight="1" x14ac:dyDescent="0.2">
      <c r="A675" s="286"/>
      <c r="B675" s="52">
        <v>0.1342063524631851</v>
      </c>
      <c r="C675" s="288">
        <v>0.56814631715819752</v>
      </c>
      <c r="D675" s="288">
        <v>2.181820374324972E-2</v>
      </c>
      <c r="E675" s="288">
        <v>7.1635693758160734E-3</v>
      </c>
      <c r="F675" s="289">
        <v>0.76272317159283443</v>
      </c>
      <c r="G675" s="92">
        <v>0.36116375277371687</v>
      </c>
      <c r="H675" s="288">
        <v>0.85912617255311607</v>
      </c>
      <c r="I675" s="288">
        <v>2.2962164516779349E-2</v>
      </c>
      <c r="J675" s="288">
        <v>0.63298682451606847</v>
      </c>
      <c r="K675" s="288">
        <v>0.7994150097525935</v>
      </c>
      <c r="L675" s="290">
        <v>14107.01106160599</v>
      </c>
      <c r="M675" s="288">
        <v>0</v>
      </c>
      <c r="N675" s="288">
        <v>18481.149158182619</v>
      </c>
      <c r="O675" s="288">
        <v>1398.5777241224346</v>
      </c>
      <c r="P675" s="288">
        <v>50028.538075869852</v>
      </c>
      <c r="Q675" s="291">
        <v>98336.518556972325</v>
      </c>
      <c r="R675" s="288">
        <v>28433.271584109105</v>
      </c>
      <c r="S675" s="288">
        <v>9487.5994697023398</v>
      </c>
      <c r="T675" s="290">
        <v>0.751</v>
      </c>
      <c r="U675" s="288">
        <v>0.75800000000000001</v>
      </c>
      <c r="V675" s="288">
        <v>0.723923076923077</v>
      </c>
      <c r="W675" s="288">
        <v>0.72750000000000004</v>
      </c>
      <c r="X675" s="288">
        <v>0.76</v>
      </c>
      <c r="Y675" s="288">
        <v>0</v>
      </c>
      <c r="Z675" s="289">
        <v>0</v>
      </c>
      <c r="AA675" s="229"/>
      <c r="AB675" s="293">
        <v>88409.111976882123</v>
      </c>
      <c r="AC675" s="294">
        <v>3.0624161404671071</v>
      </c>
      <c r="AD675" s="295">
        <v>86063.552381331974</v>
      </c>
      <c r="AE675" s="294">
        <v>3.2375875211645342</v>
      </c>
      <c r="AF675" s="295">
        <v>2345.5595955501485</v>
      </c>
      <c r="AG675" s="296">
        <v>-0.1751713806974271</v>
      </c>
      <c r="AH675" s="229"/>
      <c r="AI675" s="205">
        <f t="shared" si="74"/>
        <v>217832.5020698286</v>
      </c>
      <c r="AJ675" s="205">
        <f t="shared" si="75"/>
        <v>237695.19973512145</v>
      </c>
      <c r="AK675" s="205">
        <f t="shared" si="76"/>
        <v>-19862.697665292861</v>
      </c>
      <c r="AL675" s="229"/>
      <c r="AM675" s="52">
        <f t="shared" si="58"/>
        <v>0</v>
      </c>
      <c r="AN675" s="52">
        <f t="shared" si="59"/>
        <v>1</v>
      </c>
      <c r="AO675" s="52">
        <f t="shared" si="60"/>
        <v>0</v>
      </c>
      <c r="AP675" s="229"/>
      <c r="AQ675" s="28"/>
      <c r="AR675" s="28"/>
      <c r="AS675" s="28"/>
      <c r="AT675" s="28"/>
      <c r="AU675" s="229"/>
      <c r="AV675" s="318">
        <f t="shared" si="77"/>
        <v>237695.19973512145</v>
      </c>
      <c r="AW675" s="229"/>
      <c r="AX675" s="313"/>
      <c r="AY675" s="302"/>
      <c r="AZ675" s="14">
        <f t="shared" si="79"/>
        <v>2345.5595955501485</v>
      </c>
      <c r="BA675" s="14">
        <f t="shared" si="78"/>
        <v>-0.1751713806974271</v>
      </c>
      <c r="BB675" s="14">
        <f t="shared" si="61"/>
        <v>-13390.084534423035</v>
      </c>
      <c r="BC675" s="302"/>
      <c r="BD675" s="302"/>
      <c r="BE675" s="302"/>
      <c r="BF675" s="302"/>
      <c r="BG675" s="302"/>
      <c r="BH675" s="302"/>
      <c r="BI675" s="302"/>
      <c r="BJ675" s="302"/>
      <c r="BK675" s="302"/>
      <c r="BL675" s="302"/>
      <c r="BM675" s="302"/>
      <c r="BN675" s="302"/>
      <c r="BO675" s="302"/>
      <c r="BP675" s="302"/>
      <c r="BQ675" s="302"/>
      <c r="BR675" s="302"/>
      <c r="BS675" s="302"/>
      <c r="BT675" s="302"/>
      <c r="BU675" s="302"/>
      <c r="BV675" s="302"/>
      <c r="BW675" s="302"/>
      <c r="BX675" s="302"/>
      <c r="BY675" s="302"/>
      <c r="BZ675" s="302"/>
      <c r="CA675" s="302"/>
      <c r="CB675" s="28"/>
      <c r="CC675" s="28"/>
      <c r="CD675" s="28"/>
      <c r="CE675" s="28"/>
      <c r="CF675" s="28"/>
      <c r="CG675" s="28"/>
      <c r="CH675" s="28"/>
      <c r="CI675" s="28"/>
      <c r="CJ675" s="28"/>
      <c r="CK675" s="28"/>
      <c r="CL675" s="28"/>
      <c r="CM675" s="28"/>
      <c r="CN675" s="28"/>
      <c r="CO675" s="28"/>
      <c r="CP675" s="28"/>
      <c r="CQ675" s="28"/>
      <c r="CR675" s="28"/>
      <c r="CS675" s="28"/>
      <c r="CT675" s="28"/>
      <c r="CU675" s="28"/>
      <c r="CV675" s="28"/>
      <c r="CW675" s="28"/>
    </row>
    <row r="676" spans="1:101" ht="14.25" customHeight="1" x14ac:dyDescent="0.2">
      <c r="A676" s="286"/>
      <c r="B676" s="52">
        <v>0.19709857688847665</v>
      </c>
      <c r="C676" s="288">
        <v>0.36371829059564842</v>
      </c>
      <c r="D676" s="288">
        <v>8.2880316756098107E-3</v>
      </c>
      <c r="E676" s="288">
        <v>1.0484748738130505E-2</v>
      </c>
      <c r="F676" s="289">
        <v>0.79453719910549558</v>
      </c>
      <c r="G676" s="92">
        <v>0.34654064070014146</v>
      </c>
      <c r="H676" s="288">
        <v>0.52501081674871752</v>
      </c>
      <c r="I676" s="288">
        <v>2.811835173078614E-2</v>
      </c>
      <c r="J676" s="288">
        <v>0.99694758331919076</v>
      </c>
      <c r="K676" s="288">
        <v>0.74777496607977545</v>
      </c>
      <c r="L676" s="290">
        <v>12956.674147896996</v>
      </c>
      <c r="M676" s="288">
        <v>0</v>
      </c>
      <c r="N676" s="288">
        <v>10879.463554686688</v>
      </c>
      <c r="O676" s="288">
        <v>1157.835442857586</v>
      </c>
      <c r="P676" s="288">
        <v>56804.179060972951</v>
      </c>
      <c r="Q676" s="291">
        <v>65530.243854682521</v>
      </c>
      <c r="R676" s="288">
        <v>29113.420140172086</v>
      </c>
      <c r="S676" s="288">
        <v>7764.2756009337591</v>
      </c>
      <c r="T676" s="290">
        <v>0.751</v>
      </c>
      <c r="U676" s="288">
        <v>0.75800000000000001</v>
      </c>
      <c r="V676" s="288">
        <v>0.723923076923077</v>
      </c>
      <c r="W676" s="288">
        <v>0.72750000000000004</v>
      </c>
      <c r="X676" s="288">
        <v>0.76</v>
      </c>
      <c r="Y676" s="288">
        <v>0</v>
      </c>
      <c r="Z676" s="289">
        <v>0</v>
      </c>
      <c r="AA676" s="229"/>
      <c r="AB676" s="293">
        <v>76467.439584453692</v>
      </c>
      <c r="AC676" s="294">
        <v>3.2099767296937047</v>
      </c>
      <c r="AD676" s="295">
        <v>64842.449143371668</v>
      </c>
      <c r="AE676" s="294">
        <v>2.9980145884734686</v>
      </c>
      <c r="AF676" s="295">
        <v>11624.990441082024</v>
      </c>
      <c r="AG676" s="296">
        <v>0.21196214122023616</v>
      </c>
      <c r="AH676" s="229"/>
      <c r="AI676" s="205">
        <f t="shared" si="74"/>
        <v>244530.23338491679</v>
      </c>
      <c r="AJ676" s="205">
        <f t="shared" si="75"/>
        <v>234959.00970397517</v>
      </c>
      <c r="AK676" s="205">
        <f t="shared" si="76"/>
        <v>9571.2236809415917</v>
      </c>
      <c r="AL676" s="229"/>
      <c r="AM676" s="52">
        <f t="shared" si="58"/>
        <v>1</v>
      </c>
      <c r="AN676" s="52">
        <f t="shared" si="59"/>
        <v>0</v>
      </c>
      <c r="AO676" s="52">
        <f t="shared" si="60"/>
        <v>1</v>
      </c>
      <c r="AP676" s="229"/>
      <c r="AQ676" s="28"/>
      <c r="AR676" s="28"/>
      <c r="AS676" s="28"/>
      <c r="AT676" s="28"/>
      <c r="AU676" s="229"/>
      <c r="AV676" s="318">
        <f t="shared" si="77"/>
        <v>244530.23338491679</v>
      </c>
      <c r="AW676" s="229"/>
      <c r="AX676" s="313"/>
      <c r="AY676" s="302"/>
      <c r="AZ676" s="14">
        <f t="shared" si="79"/>
        <v>11624.990441082024</v>
      </c>
      <c r="BA676" s="14">
        <f t="shared" si="78"/>
        <v>0.21196214122023616</v>
      </c>
      <c r="BB676" s="14">
        <f t="shared" si="61"/>
        <v>54844.654682947592</v>
      </c>
      <c r="BC676" s="302"/>
      <c r="BD676" s="302"/>
      <c r="BE676" s="302"/>
      <c r="BF676" s="302"/>
      <c r="BG676" s="302"/>
      <c r="BH676" s="302"/>
      <c r="BI676" s="302"/>
      <c r="BJ676" s="302"/>
      <c r="BK676" s="302"/>
      <c r="BL676" s="302"/>
      <c r="BM676" s="302"/>
      <c r="BN676" s="302"/>
      <c r="BO676" s="302"/>
      <c r="BP676" s="302"/>
      <c r="BQ676" s="302"/>
      <c r="BR676" s="302"/>
      <c r="BS676" s="302"/>
      <c r="BT676" s="302"/>
      <c r="BU676" s="302"/>
      <c r="BV676" s="302"/>
      <c r="BW676" s="302"/>
      <c r="BX676" s="302"/>
      <c r="BY676" s="302"/>
      <c r="BZ676" s="302"/>
      <c r="CA676" s="302"/>
      <c r="CB676" s="28"/>
      <c r="CC676" s="28"/>
      <c r="CD676" s="28"/>
      <c r="CE676" s="28"/>
      <c r="CF676" s="28"/>
      <c r="CG676" s="28"/>
      <c r="CH676" s="28"/>
      <c r="CI676" s="28"/>
      <c r="CJ676" s="28"/>
      <c r="CK676" s="28"/>
      <c r="CL676" s="28"/>
      <c r="CM676" s="28"/>
      <c r="CN676" s="28"/>
      <c r="CO676" s="28"/>
      <c r="CP676" s="28"/>
      <c r="CQ676" s="28"/>
      <c r="CR676" s="28"/>
      <c r="CS676" s="28"/>
      <c r="CT676" s="28"/>
      <c r="CU676" s="28"/>
      <c r="CV676" s="28"/>
      <c r="CW676" s="28"/>
    </row>
    <row r="677" spans="1:101" ht="14.25" customHeight="1" x14ac:dyDescent="0.2">
      <c r="A677" s="286"/>
      <c r="B677" s="52">
        <v>0.1695718277842031</v>
      </c>
      <c r="C677" s="288">
        <v>0.66013273478888035</v>
      </c>
      <c r="D677" s="288">
        <v>1.8097138317016537E-2</v>
      </c>
      <c r="E677" s="288">
        <v>8.720873906160798E-3</v>
      </c>
      <c r="F677" s="289">
        <v>0.77547796630311805</v>
      </c>
      <c r="G677" s="92">
        <v>0.50826810125498467</v>
      </c>
      <c r="H677" s="288">
        <v>0.51092268506097072</v>
      </c>
      <c r="I677" s="288">
        <v>8.1313088616767615E-3</v>
      </c>
      <c r="J677" s="288">
        <v>0.86141007023122196</v>
      </c>
      <c r="K677" s="288">
        <v>0.8158097131784271</v>
      </c>
      <c r="L677" s="290">
        <v>16810.141483616513</v>
      </c>
      <c r="M677" s="288">
        <v>0</v>
      </c>
      <c r="N677" s="288">
        <v>19413.472768043339</v>
      </c>
      <c r="O677" s="288">
        <v>1008.6671079343959</v>
      </c>
      <c r="P677" s="288">
        <v>38773.839008374482</v>
      </c>
      <c r="Q677" s="291">
        <v>100180.45075022128</v>
      </c>
      <c r="R677" s="288">
        <v>20545.188058864445</v>
      </c>
      <c r="S677" s="288">
        <v>7218.7723792570032</v>
      </c>
      <c r="T677" s="290">
        <v>0.751</v>
      </c>
      <c r="U677" s="288">
        <v>0.75800000000000001</v>
      </c>
      <c r="V677" s="288">
        <v>0.723923076923077</v>
      </c>
      <c r="W677" s="288">
        <v>0.72750000000000004</v>
      </c>
      <c r="X677" s="288">
        <v>0.76</v>
      </c>
      <c r="Y677" s="288">
        <v>0</v>
      </c>
      <c r="Z677" s="289">
        <v>0</v>
      </c>
      <c r="AA677" s="229"/>
      <c r="AB677" s="293">
        <v>75022.981633321295</v>
      </c>
      <c r="AC677" s="294">
        <v>3.121385088212806</v>
      </c>
      <c r="AD677" s="295">
        <v>65205.690986691916</v>
      </c>
      <c r="AE677" s="294">
        <v>3.3145263216856913</v>
      </c>
      <c r="AF677" s="295">
        <v>9817.2906466293789</v>
      </c>
      <c r="AG677" s="296">
        <v>-0.19314123347288525</v>
      </c>
      <c r="AH677" s="229"/>
      <c r="AI677" s="205">
        <f t="shared" si="74"/>
        <v>237115.52718795932</v>
      </c>
      <c r="AJ677" s="205">
        <f t="shared" si="75"/>
        <v>266246.94118187722</v>
      </c>
      <c r="AK677" s="205">
        <f t="shared" si="76"/>
        <v>-29131.413993917904</v>
      </c>
      <c r="AL677" s="229"/>
      <c r="AM677" s="52">
        <f t="shared" si="58"/>
        <v>0</v>
      </c>
      <c r="AN677" s="52">
        <f t="shared" si="59"/>
        <v>1</v>
      </c>
      <c r="AO677" s="52">
        <f t="shared" si="60"/>
        <v>0</v>
      </c>
      <c r="AP677" s="229"/>
      <c r="AQ677" s="28"/>
      <c r="AR677" s="28"/>
      <c r="AS677" s="28"/>
      <c r="AT677" s="28"/>
      <c r="AU677" s="229"/>
      <c r="AV677" s="318">
        <f t="shared" si="77"/>
        <v>266246.94118187722</v>
      </c>
      <c r="AW677" s="229"/>
      <c r="AX677" s="313"/>
      <c r="AY677" s="302"/>
      <c r="AZ677" s="14">
        <f t="shared" si="79"/>
        <v>9817.2906466293789</v>
      </c>
      <c r="BA677" s="14">
        <f t="shared" si="78"/>
        <v>-0.19314123347288525</v>
      </c>
      <c r="BB677" s="14">
        <f t="shared" si="61"/>
        <v>-50829.594851933107</v>
      </c>
      <c r="BC677" s="302"/>
      <c r="BD677" s="302"/>
      <c r="BE677" s="302"/>
      <c r="BF677" s="302"/>
      <c r="BG677" s="302"/>
      <c r="BH677" s="302"/>
      <c r="BI677" s="302"/>
      <c r="BJ677" s="302"/>
      <c r="BK677" s="302"/>
      <c r="BL677" s="302"/>
      <c r="BM677" s="302"/>
      <c r="BN677" s="302"/>
      <c r="BO677" s="302"/>
      <c r="BP677" s="302"/>
      <c r="BQ677" s="302"/>
      <c r="BR677" s="302"/>
      <c r="BS677" s="302"/>
      <c r="BT677" s="302"/>
      <c r="BU677" s="302"/>
      <c r="BV677" s="302"/>
      <c r="BW677" s="302"/>
      <c r="BX677" s="302"/>
      <c r="BY677" s="302"/>
      <c r="BZ677" s="302"/>
      <c r="CA677" s="302"/>
      <c r="CB677" s="28"/>
      <c r="CC677" s="28"/>
      <c r="CD677" s="28"/>
      <c r="CE677" s="28"/>
      <c r="CF677" s="28"/>
      <c r="CG677" s="28"/>
      <c r="CH677" s="28"/>
      <c r="CI677" s="28"/>
      <c r="CJ677" s="28"/>
      <c r="CK677" s="28"/>
      <c r="CL677" s="28"/>
      <c r="CM677" s="28"/>
      <c r="CN677" s="28"/>
      <c r="CO677" s="28"/>
      <c r="CP677" s="28"/>
      <c r="CQ677" s="28"/>
      <c r="CR677" s="28"/>
      <c r="CS677" s="28"/>
      <c r="CT677" s="28"/>
      <c r="CU677" s="28"/>
      <c r="CV677" s="28"/>
      <c r="CW677" s="28"/>
    </row>
    <row r="678" spans="1:101" ht="14.25" customHeight="1" x14ac:dyDescent="0.2">
      <c r="A678" s="286"/>
      <c r="B678" s="52">
        <v>0.15004384344101113</v>
      </c>
      <c r="C678" s="288">
        <v>2.1502781034582738E-2</v>
      </c>
      <c r="D678" s="288">
        <v>7.4110626877115495E-3</v>
      </c>
      <c r="E678" s="288">
        <v>3.2899319265311977E-2</v>
      </c>
      <c r="F678" s="289">
        <v>0.77215026980875556</v>
      </c>
      <c r="G678" s="92">
        <v>0.42798596837058001</v>
      </c>
      <c r="H678" s="288">
        <v>0.91597439505407163</v>
      </c>
      <c r="I678" s="288">
        <v>2.6171005202762609E-2</v>
      </c>
      <c r="J678" s="288">
        <v>0.99999998814719304</v>
      </c>
      <c r="K678" s="288">
        <v>0.76756975203280009</v>
      </c>
      <c r="L678" s="290">
        <v>11231.083907133856</v>
      </c>
      <c r="M678" s="288">
        <v>0</v>
      </c>
      <c r="N678" s="288">
        <v>10611.421156813818</v>
      </c>
      <c r="O678" s="288">
        <v>1471.8423783517262</v>
      </c>
      <c r="P678" s="288">
        <v>42709.525644699766</v>
      </c>
      <c r="Q678" s="291">
        <v>94814.573843578182</v>
      </c>
      <c r="R678" s="288">
        <v>22992.337526125084</v>
      </c>
      <c r="S678" s="288">
        <v>9721.256021608935</v>
      </c>
      <c r="T678" s="290">
        <v>0.751</v>
      </c>
      <c r="U678" s="288">
        <v>0.75800000000000001</v>
      </c>
      <c r="V678" s="288">
        <v>0.723923076923077</v>
      </c>
      <c r="W678" s="288">
        <v>0.72750000000000004</v>
      </c>
      <c r="X678" s="288">
        <v>0.76</v>
      </c>
      <c r="Y678" s="288">
        <v>0</v>
      </c>
      <c r="Z678" s="289">
        <v>0</v>
      </c>
      <c r="AA678" s="229"/>
      <c r="AB678" s="293">
        <v>85962.723799684274</v>
      </c>
      <c r="AC678" s="294">
        <v>3.1059756235492548</v>
      </c>
      <c r="AD678" s="295">
        <v>85477.458936527313</v>
      </c>
      <c r="AE678" s="294">
        <v>3.0893514518134508</v>
      </c>
      <c r="AF678" s="295">
        <v>485.26486315696093</v>
      </c>
      <c r="AG678" s="296">
        <v>1.6624171735803994E-2</v>
      </c>
      <c r="AH678" s="229"/>
      <c r="AI678" s="205">
        <f t="shared" si="74"/>
        <v>224634.83855524124</v>
      </c>
      <c r="AJ678" s="205">
        <f t="shared" si="75"/>
        <v>223457.68624481774</v>
      </c>
      <c r="AK678" s="205">
        <f t="shared" si="76"/>
        <v>1177.1523104234384</v>
      </c>
      <c r="AL678" s="229"/>
      <c r="AM678" s="52">
        <f t="shared" si="58"/>
        <v>1</v>
      </c>
      <c r="AN678" s="52">
        <f t="shared" si="59"/>
        <v>0</v>
      </c>
      <c r="AO678" s="52">
        <f t="shared" si="60"/>
        <v>1</v>
      </c>
      <c r="AP678" s="229"/>
      <c r="AQ678" s="28"/>
      <c r="AR678" s="28"/>
      <c r="AS678" s="28"/>
      <c r="AT678" s="28"/>
      <c r="AU678" s="229"/>
      <c r="AV678" s="318">
        <f t="shared" si="77"/>
        <v>224634.83855524124</v>
      </c>
      <c r="AW678" s="229"/>
      <c r="AX678" s="313"/>
      <c r="AY678" s="302"/>
      <c r="AZ678" s="14">
        <f t="shared" si="79"/>
        <v>485.26486315696093</v>
      </c>
      <c r="BA678" s="14">
        <f t="shared" si="78"/>
        <v>1.6624171735803994E-2</v>
      </c>
      <c r="BB678" s="14">
        <f t="shared" si="61"/>
        <v>29190.318222701644</v>
      </c>
      <c r="BC678" s="302"/>
      <c r="BD678" s="302"/>
      <c r="BE678" s="302"/>
      <c r="BF678" s="302"/>
      <c r="BG678" s="302"/>
      <c r="BH678" s="302"/>
      <c r="BI678" s="302"/>
      <c r="BJ678" s="302"/>
      <c r="BK678" s="302"/>
      <c r="BL678" s="302"/>
      <c r="BM678" s="302"/>
      <c r="BN678" s="302"/>
      <c r="BO678" s="302"/>
      <c r="BP678" s="302"/>
      <c r="BQ678" s="302"/>
      <c r="BR678" s="302"/>
      <c r="BS678" s="302"/>
      <c r="BT678" s="302"/>
      <c r="BU678" s="302"/>
      <c r="BV678" s="302"/>
      <c r="BW678" s="302"/>
      <c r="BX678" s="302"/>
      <c r="BY678" s="302"/>
      <c r="BZ678" s="302"/>
      <c r="CA678" s="302"/>
      <c r="CB678" s="28"/>
      <c r="CC678" s="28"/>
      <c r="CD678" s="28"/>
      <c r="CE678" s="28"/>
      <c r="CF678" s="28"/>
      <c r="CG678" s="28"/>
      <c r="CH678" s="28"/>
      <c r="CI678" s="28"/>
      <c r="CJ678" s="28"/>
      <c r="CK678" s="28"/>
      <c r="CL678" s="28"/>
      <c r="CM678" s="28"/>
      <c r="CN678" s="28"/>
      <c r="CO678" s="28"/>
      <c r="CP678" s="28"/>
      <c r="CQ678" s="28"/>
      <c r="CR678" s="28"/>
      <c r="CS678" s="28"/>
      <c r="CT678" s="28"/>
      <c r="CU678" s="28"/>
      <c r="CV678" s="28"/>
      <c r="CW678" s="28"/>
    </row>
    <row r="679" spans="1:101" ht="14.25" customHeight="1" x14ac:dyDescent="0.2">
      <c r="A679" s="286"/>
      <c r="B679" s="52">
        <v>0.16004143654470804</v>
      </c>
      <c r="C679" s="288">
        <v>0.25800131363953349</v>
      </c>
      <c r="D679" s="288">
        <v>1.3800811319869826E-2</v>
      </c>
      <c r="E679" s="288">
        <v>4.5648417481749404E-3</v>
      </c>
      <c r="F679" s="289">
        <v>0.7693514599874588</v>
      </c>
      <c r="G679" s="92">
        <v>0.4055375017623698</v>
      </c>
      <c r="H679" s="288">
        <v>5.9550895673666566E-2</v>
      </c>
      <c r="I679" s="288">
        <v>1.2680075584500509E-2</v>
      </c>
      <c r="J679" s="288">
        <v>0.99999972280812111</v>
      </c>
      <c r="K679" s="288">
        <v>0.77519073207717115</v>
      </c>
      <c r="L679" s="290">
        <v>10413.783982368783</v>
      </c>
      <c r="M679" s="288">
        <v>0</v>
      </c>
      <c r="N679" s="288">
        <v>12082.77741037994</v>
      </c>
      <c r="O679" s="288">
        <v>1413.1959761101198</v>
      </c>
      <c r="P679" s="288">
        <v>43240.744762731163</v>
      </c>
      <c r="Q679" s="291">
        <v>80713.118756967102</v>
      </c>
      <c r="R679" s="288">
        <v>25521.157134144909</v>
      </c>
      <c r="S679" s="288">
        <v>7860.7652469589721</v>
      </c>
      <c r="T679" s="290">
        <v>0.751</v>
      </c>
      <c r="U679" s="288">
        <v>0.75800000000000001</v>
      </c>
      <c r="V679" s="288">
        <v>0.723923076923077</v>
      </c>
      <c r="W679" s="288">
        <v>0.72750000000000004</v>
      </c>
      <c r="X679" s="288">
        <v>0.76</v>
      </c>
      <c r="Y679" s="288">
        <v>0</v>
      </c>
      <c r="Z679" s="289">
        <v>0</v>
      </c>
      <c r="AA679" s="229"/>
      <c r="AB679" s="293">
        <v>71758.540596306149</v>
      </c>
      <c r="AC679" s="294">
        <v>3.0930287060665425</v>
      </c>
      <c r="AD679" s="295">
        <v>62677.549568420509</v>
      </c>
      <c r="AE679" s="294">
        <v>3.1246807532038825</v>
      </c>
      <c r="AF679" s="295">
        <v>9080.9910278856405</v>
      </c>
      <c r="AG679" s="296">
        <v>-3.1652047137340045E-2</v>
      </c>
      <c r="AH679" s="229"/>
      <c r="AI679" s="205">
        <f t="shared" si="74"/>
        <v>237544.33001034812</v>
      </c>
      <c r="AJ679" s="205">
        <f t="shared" si="75"/>
        <v>249790.52575196774</v>
      </c>
      <c r="AK679" s="205">
        <f t="shared" si="76"/>
        <v>-12246.195741619646</v>
      </c>
      <c r="AL679" s="229"/>
      <c r="AM679" s="52">
        <f t="shared" si="58"/>
        <v>0</v>
      </c>
      <c r="AN679" s="52">
        <f t="shared" si="59"/>
        <v>1</v>
      </c>
      <c r="AO679" s="52">
        <f t="shared" si="60"/>
        <v>0</v>
      </c>
      <c r="AP679" s="229"/>
      <c r="AQ679" s="28"/>
      <c r="AR679" s="28"/>
      <c r="AS679" s="28"/>
      <c r="AT679" s="28"/>
      <c r="AU679" s="229"/>
      <c r="AV679" s="318">
        <f t="shared" si="77"/>
        <v>249790.52575196774</v>
      </c>
      <c r="AW679" s="229"/>
      <c r="AX679" s="313"/>
      <c r="AY679" s="302"/>
      <c r="AZ679" s="14">
        <f t="shared" si="79"/>
        <v>9080.9910278856405</v>
      </c>
      <c r="BA679" s="14">
        <f t="shared" si="78"/>
        <v>-3.1652047137340045E-2</v>
      </c>
      <c r="BB679" s="14">
        <f t="shared" si="61"/>
        <v>-286900.59093121847</v>
      </c>
      <c r="BC679" s="302"/>
      <c r="BD679" s="302"/>
      <c r="BE679" s="302"/>
      <c r="BF679" s="302"/>
      <c r="BG679" s="302"/>
      <c r="BH679" s="302"/>
      <c r="BI679" s="302"/>
      <c r="BJ679" s="302"/>
      <c r="BK679" s="302"/>
      <c r="BL679" s="302"/>
      <c r="BM679" s="302"/>
      <c r="BN679" s="302"/>
      <c r="BO679" s="302"/>
      <c r="BP679" s="302"/>
      <c r="BQ679" s="302"/>
      <c r="BR679" s="302"/>
      <c r="BS679" s="302"/>
      <c r="BT679" s="302"/>
      <c r="BU679" s="302"/>
      <c r="BV679" s="302"/>
      <c r="BW679" s="302"/>
      <c r="BX679" s="302"/>
      <c r="BY679" s="302"/>
      <c r="BZ679" s="302"/>
      <c r="CA679" s="302"/>
      <c r="CB679" s="28"/>
      <c r="CC679" s="28"/>
      <c r="CD679" s="28"/>
      <c r="CE679" s="28"/>
      <c r="CF679" s="28"/>
      <c r="CG679" s="28"/>
      <c r="CH679" s="28"/>
      <c r="CI679" s="28"/>
      <c r="CJ679" s="28"/>
      <c r="CK679" s="28"/>
      <c r="CL679" s="28"/>
      <c r="CM679" s="28"/>
      <c r="CN679" s="28"/>
      <c r="CO679" s="28"/>
      <c r="CP679" s="28"/>
      <c r="CQ679" s="28"/>
      <c r="CR679" s="28"/>
      <c r="CS679" s="28"/>
      <c r="CT679" s="28"/>
      <c r="CU679" s="28"/>
      <c r="CV679" s="28"/>
      <c r="CW679" s="28"/>
    </row>
    <row r="680" spans="1:101" ht="14.25" customHeight="1" x14ac:dyDescent="0.2">
      <c r="A680" s="286"/>
      <c r="B680" s="52">
        <v>0.17880121679133432</v>
      </c>
      <c r="C680" s="288">
        <v>0.1188900488750456</v>
      </c>
      <c r="D680" s="288">
        <v>7.7535885102667781E-3</v>
      </c>
      <c r="E680" s="288">
        <v>2.9591166082440945E-2</v>
      </c>
      <c r="F680" s="289">
        <v>0.7706005205546641</v>
      </c>
      <c r="G680" s="92">
        <v>0.36726087658279583</v>
      </c>
      <c r="H680" s="288">
        <v>7.1192536732849032E-2</v>
      </c>
      <c r="I680" s="288">
        <v>6.6891646052477825E-3</v>
      </c>
      <c r="J680" s="288">
        <v>0.20913986641187909</v>
      </c>
      <c r="K680" s="288">
        <v>0.71990023860227881</v>
      </c>
      <c r="L680" s="290">
        <v>14762.805198038523</v>
      </c>
      <c r="M680" s="288">
        <v>0</v>
      </c>
      <c r="N680" s="288">
        <v>16787.87521630777</v>
      </c>
      <c r="O680" s="288">
        <v>1460.0727840000945</v>
      </c>
      <c r="P680" s="288">
        <v>35889.499193380558</v>
      </c>
      <c r="Q680" s="291">
        <v>131285.09089385762</v>
      </c>
      <c r="R680" s="288">
        <v>15993.500667611313</v>
      </c>
      <c r="S680" s="288">
        <v>6588.5719288804003</v>
      </c>
      <c r="T680" s="290">
        <v>0.751</v>
      </c>
      <c r="U680" s="288">
        <v>0.75800000000000001</v>
      </c>
      <c r="V680" s="288">
        <v>0.723923076923077</v>
      </c>
      <c r="W680" s="288">
        <v>0.72750000000000004</v>
      </c>
      <c r="X680" s="288">
        <v>0.76</v>
      </c>
      <c r="Y680" s="288">
        <v>0</v>
      </c>
      <c r="Z680" s="289">
        <v>0</v>
      </c>
      <c r="AA680" s="229"/>
      <c r="AB680" s="293">
        <v>65823.479666343759</v>
      </c>
      <c r="AC680" s="294">
        <v>3.0988051740163463</v>
      </c>
      <c r="AD680" s="295">
        <v>48602.03885343911</v>
      </c>
      <c r="AE680" s="294">
        <v>2.8704425966583855</v>
      </c>
      <c r="AF680" s="295">
        <v>17221.44081290465</v>
      </c>
      <c r="AG680" s="296">
        <v>0.22836257735796073</v>
      </c>
      <c r="AH680" s="229"/>
      <c r="AI680" s="205">
        <f t="shared" si="74"/>
        <v>244057.03773529083</v>
      </c>
      <c r="AJ680" s="205">
        <f t="shared" si="75"/>
        <v>238442.22081239946</v>
      </c>
      <c r="AK680" s="205">
        <f t="shared" si="76"/>
        <v>5614.816922891423</v>
      </c>
      <c r="AL680" s="229"/>
      <c r="AM680" s="52">
        <f t="shared" si="58"/>
        <v>1</v>
      </c>
      <c r="AN680" s="52">
        <f t="shared" si="59"/>
        <v>0</v>
      </c>
      <c r="AO680" s="52">
        <f t="shared" si="60"/>
        <v>1</v>
      </c>
      <c r="AP680" s="229"/>
      <c r="AQ680" s="28"/>
      <c r="AR680" s="28"/>
      <c r="AS680" s="28"/>
      <c r="AT680" s="28"/>
      <c r="AU680" s="229"/>
      <c r="AV680" s="318">
        <f t="shared" si="77"/>
        <v>244057.03773529083</v>
      </c>
      <c r="AW680" s="229"/>
      <c r="AX680" s="313"/>
      <c r="AY680" s="302"/>
      <c r="AZ680" s="14">
        <f t="shared" si="79"/>
        <v>17221.44081290465</v>
      </c>
      <c r="BA680" s="14">
        <f t="shared" si="78"/>
        <v>0.22836257735796073</v>
      </c>
      <c r="BB680" s="14">
        <f t="shared" si="61"/>
        <v>75412.709963900357</v>
      </c>
      <c r="BC680" s="302"/>
      <c r="BD680" s="302"/>
      <c r="BE680" s="302"/>
      <c r="BF680" s="302"/>
      <c r="BG680" s="302"/>
      <c r="BH680" s="302"/>
      <c r="BI680" s="302"/>
      <c r="BJ680" s="302"/>
      <c r="BK680" s="302"/>
      <c r="BL680" s="302"/>
      <c r="BM680" s="302"/>
      <c r="BN680" s="302"/>
      <c r="BO680" s="302"/>
      <c r="BP680" s="302"/>
      <c r="BQ680" s="302"/>
      <c r="BR680" s="302"/>
      <c r="BS680" s="302"/>
      <c r="BT680" s="302"/>
      <c r="BU680" s="302"/>
      <c r="BV680" s="302"/>
      <c r="BW680" s="302"/>
      <c r="BX680" s="302"/>
      <c r="BY680" s="302"/>
      <c r="BZ680" s="302"/>
      <c r="CA680" s="302"/>
      <c r="CB680" s="28"/>
      <c r="CC680" s="28"/>
      <c r="CD680" s="28"/>
      <c r="CE680" s="28"/>
      <c r="CF680" s="28"/>
      <c r="CG680" s="28"/>
      <c r="CH680" s="28"/>
      <c r="CI680" s="28"/>
      <c r="CJ680" s="28"/>
      <c r="CK680" s="28"/>
      <c r="CL680" s="28"/>
      <c r="CM680" s="28"/>
      <c r="CN680" s="28"/>
      <c r="CO680" s="28"/>
      <c r="CP680" s="28"/>
      <c r="CQ680" s="28"/>
      <c r="CR680" s="28"/>
      <c r="CS680" s="28"/>
      <c r="CT680" s="28"/>
      <c r="CU680" s="28"/>
      <c r="CV680" s="28"/>
      <c r="CW680" s="28"/>
    </row>
    <row r="681" spans="1:101" ht="14.25" customHeight="1" x14ac:dyDescent="0.2">
      <c r="A681" s="286"/>
      <c r="B681" s="52">
        <v>0.13083385155466629</v>
      </c>
      <c r="C681" s="288">
        <v>0.31866501468881592</v>
      </c>
      <c r="D681" s="288">
        <v>7.5875229868021237E-3</v>
      </c>
      <c r="E681" s="288">
        <v>2.6770128793635051E-2</v>
      </c>
      <c r="F681" s="289">
        <v>0.80914141239504489</v>
      </c>
      <c r="G681" s="92">
        <v>0.3776919643628957</v>
      </c>
      <c r="H681" s="288">
        <v>0.81095745212094483</v>
      </c>
      <c r="I681" s="288">
        <v>8.9990337794471544E-3</v>
      </c>
      <c r="J681" s="288">
        <v>1</v>
      </c>
      <c r="K681" s="288">
        <v>0.73596222071847617</v>
      </c>
      <c r="L681" s="290">
        <v>6397.0880377074309</v>
      </c>
      <c r="M681" s="288">
        <v>0</v>
      </c>
      <c r="N681" s="288">
        <v>15052.847377706697</v>
      </c>
      <c r="O681" s="288">
        <v>916.92779109497405</v>
      </c>
      <c r="P681" s="288">
        <v>71783.968130919209</v>
      </c>
      <c r="Q681" s="291">
        <v>61095.980668126118</v>
      </c>
      <c r="R681" s="288">
        <v>18661.175266431306</v>
      </c>
      <c r="S681" s="288">
        <v>9723.6471846067489</v>
      </c>
      <c r="T681" s="290">
        <v>0.751</v>
      </c>
      <c r="U681" s="288">
        <v>0.75800000000000001</v>
      </c>
      <c r="V681" s="288">
        <v>0.723923076923077</v>
      </c>
      <c r="W681" s="288">
        <v>0.72750000000000004</v>
      </c>
      <c r="X681" s="288">
        <v>0.76</v>
      </c>
      <c r="Y681" s="288">
        <v>0</v>
      </c>
      <c r="Z681" s="289">
        <v>0</v>
      </c>
      <c r="AA681" s="229"/>
      <c r="AB681" s="293">
        <v>85267.29496105187</v>
      </c>
      <c r="AC681" s="294">
        <v>3.278245988337027</v>
      </c>
      <c r="AD681" s="295">
        <v>77892.402957368962</v>
      </c>
      <c r="AE681" s="294">
        <v>2.9438026244449866</v>
      </c>
      <c r="AF681" s="295">
        <v>7374.8920036829077</v>
      </c>
      <c r="AG681" s="296">
        <v>0.33444336389204032</v>
      </c>
      <c r="AH681" s="229"/>
      <c r="AI681" s="205">
        <f t="shared" si="74"/>
        <v>242557.30387265081</v>
      </c>
      <c r="AJ681" s="205">
        <f t="shared" si="75"/>
        <v>216487.8594871297</v>
      </c>
      <c r="AK681" s="205">
        <f t="shared" si="76"/>
        <v>26069.444385521121</v>
      </c>
      <c r="AL681" s="229"/>
      <c r="AM681" s="52">
        <f t="shared" si="58"/>
        <v>1</v>
      </c>
      <c r="AN681" s="52">
        <f t="shared" si="59"/>
        <v>0</v>
      </c>
      <c r="AO681" s="52">
        <f t="shared" si="60"/>
        <v>1</v>
      </c>
      <c r="AP681" s="229"/>
      <c r="AQ681" s="28"/>
      <c r="AR681" s="28"/>
      <c r="AS681" s="28"/>
      <c r="AT681" s="28"/>
      <c r="AU681" s="229"/>
      <c r="AV681" s="318">
        <f t="shared" si="77"/>
        <v>242557.30387265081</v>
      </c>
      <c r="AW681" s="229"/>
      <c r="AX681" s="313"/>
      <c r="AY681" s="302"/>
      <c r="AZ681" s="14">
        <f t="shared" si="79"/>
        <v>7374.8920036829077</v>
      </c>
      <c r="BA681" s="14">
        <f t="shared" si="78"/>
        <v>0.33444336389204032</v>
      </c>
      <c r="BB681" s="14">
        <f t="shared" si="61"/>
        <v>22051.243349123688</v>
      </c>
      <c r="BC681" s="302"/>
      <c r="BD681" s="302"/>
      <c r="BE681" s="302"/>
      <c r="BF681" s="302"/>
      <c r="BG681" s="302"/>
      <c r="BH681" s="302"/>
      <c r="BI681" s="302"/>
      <c r="BJ681" s="302"/>
      <c r="BK681" s="302"/>
      <c r="BL681" s="302"/>
      <c r="BM681" s="302"/>
      <c r="BN681" s="302"/>
      <c r="BO681" s="302"/>
      <c r="BP681" s="302"/>
      <c r="BQ681" s="302"/>
      <c r="BR681" s="302"/>
      <c r="BS681" s="302"/>
      <c r="BT681" s="302"/>
      <c r="BU681" s="302"/>
      <c r="BV681" s="302"/>
      <c r="BW681" s="302"/>
      <c r="BX681" s="302"/>
      <c r="BY681" s="302"/>
      <c r="BZ681" s="302"/>
      <c r="CA681" s="302"/>
      <c r="CB681" s="28"/>
      <c r="CC681" s="28"/>
      <c r="CD681" s="28"/>
      <c r="CE681" s="28"/>
      <c r="CF681" s="28"/>
      <c r="CG681" s="28"/>
      <c r="CH681" s="28"/>
      <c r="CI681" s="28"/>
      <c r="CJ681" s="28"/>
      <c r="CK681" s="28"/>
      <c r="CL681" s="28"/>
      <c r="CM681" s="28"/>
      <c r="CN681" s="28"/>
      <c r="CO681" s="28"/>
      <c r="CP681" s="28"/>
      <c r="CQ681" s="28"/>
      <c r="CR681" s="28"/>
      <c r="CS681" s="28"/>
      <c r="CT681" s="28"/>
      <c r="CU681" s="28"/>
      <c r="CV681" s="28"/>
      <c r="CW681" s="28"/>
    </row>
    <row r="682" spans="1:101" ht="14.25" customHeight="1" x14ac:dyDescent="0.2">
      <c r="A682" s="286"/>
      <c r="B682" s="52">
        <v>0.13792664500474286</v>
      </c>
      <c r="C682" s="288">
        <v>0.31400430595192264</v>
      </c>
      <c r="D682" s="288">
        <v>1.7088333552972124E-2</v>
      </c>
      <c r="E682" s="288">
        <v>1.2371684639297839E-2</v>
      </c>
      <c r="F682" s="289">
        <v>0.7407396736203391</v>
      </c>
      <c r="G682" s="92">
        <v>0.36547787876055093</v>
      </c>
      <c r="H682" s="288">
        <v>0.58246342537389872</v>
      </c>
      <c r="I682" s="288">
        <v>3.1201980982764721E-2</v>
      </c>
      <c r="J682" s="288">
        <v>0.99999998712533855</v>
      </c>
      <c r="K682" s="288">
        <v>0.75650211572747628</v>
      </c>
      <c r="L682" s="290">
        <v>9824.448472678112</v>
      </c>
      <c r="M682" s="288">
        <v>0</v>
      </c>
      <c r="N682" s="288">
        <v>15267.381796658939</v>
      </c>
      <c r="O682" s="288">
        <v>1709.1641860977902</v>
      </c>
      <c r="P682" s="288">
        <v>44651.470331253746</v>
      </c>
      <c r="Q682" s="291">
        <v>97120.200482153057</v>
      </c>
      <c r="R682" s="288">
        <v>21326.189834880486</v>
      </c>
      <c r="S682" s="288">
        <v>9037.4138007962738</v>
      </c>
      <c r="T682" s="290">
        <v>0.751</v>
      </c>
      <c r="U682" s="288">
        <v>0.75800000000000001</v>
      </c>
      <c r="V682" s="288">
        <v>0.723923076923077</v>
      </c>
      <c r="W682" s="288">
        <v>0.72750000000000004</v>
      </c>
      <c r="X682" s="288">
        <v>0.76</v>
      </c>
      <c r="Y682" s="288">
        <v>0</v>
      </c>
      <c r="Z682" s="289">
        <v>0</v>
      </c>
      <c r="AA682" s="229"/>
      <c r="AB682" s="293">
        <v>77504.042563297189</v>
      </c>
      <c r="AC682" s="294">
        <v>2.9613792496738673</v>
      </c>
      <c r="AD682" s="295">
        <v>75063.738278652731</v>
      </c>
      <c r="AE682" s="294">
        <v>3.0382071733049645</v>
      </c>
      <c r="AF682" s="295">
        <v>2440.3042846444587</v>
      </c>
      <c r="AG682" s="296">
        <v>-7.6827923631097139E-2</v>
      </c>
      <c r="AH682" s="229"/>
      <c r="AI682" s="205">
        <f t="shared" si="74"/>
        <v>218633.88240408956</v>
      </c>
      <c r="AJ682" s="205">
        <f t="shared" si="75"/>
        <v>228756.97905184375</v>
      </c>
      <c r="AK682" s="205">
        <f t="shared" si="76"/>
        <v>-10123.096647754173</v>
      </c>
      <c r="AL682" s="229"/>
      <c r="AM682" s="52">
        <f t="shared" si="58"/>
        <v>0</v>
      </c>
      <c r="AN682" s="52">
        <f t="shared" si="59"/>
        <v>1</v>
      </c>
      <c r="AO682" s="52">
        <f t="shared" si="60"/>
        <v>0</v>
      </c>
      <c r="AP682" s="229"/>
      <c r="AQ682" s="28"/>
      <c r="AR682" s="28"/>
      <c r="AS682" s="28"/>
      <c r="AT682" s="28"/>
      <c r="AU682" s="229"/>
      <c r="AV682" s="318">
        <f t="shared" si="77"/>
        <v>228756.97905184375</v>
      </c>
      <c r="AW682" s="229"/>
      <c r="AX682" s="313"/>
      <c r="AY682" s="302"/>
      <c r="AZ682" s="14">
        <f t="shared" si="79"/>
        <v>2440.3042846444587</v>
      </c>
      <c r="BA682" s="14">
        <f t="shared" si="78"/>
        <v>-7.6827923631097139E-2</v>
      </c>
      <c r="BB682" s="14">
        <f t="shared" si="61"/>
        <v>-31763.246607600788</v>
      </c>
      <c r="BC682" s="302"/>
      <c r="BD682" s="302"/>
      <c r="BE682" s="302"/>
      <c r="BF682" s="302"/>
      <c r="BG682" s="302"/>
      <c r="BH682" s="302"/>
      <c r="BI682" s="302"/>
      <c r="BJ682" s="302"/>
      <c r="BK682" s="302"/>
      <c r="BL682" s="302"/>
      <c r="BM682" s="302"/>
      <c r="BN682" s="302"/>
      <c r="BO682" s="302"/>
      <c r="BP682" s="302"/>
      <c r="BQ682" s="302"/>
      <c r="BR682" s="302"/>
      <c r="BS682" s="302"/>
      <c r="BT682" s="302"/>
      <c r="BU682" s="302"/>
      <c r="BV682" s="302"/>
      <c r="BW682" s="302"/>
      <c r="BX682" s="302"/>
      <c r="BY682" s="302"/>
      <c r="BZ682" s="302"/>
      <c r="CA682" s="302"/>
      <c r="CB682" s="28"/>
      <c r="CC682" s="28"/>
      <c r="CD682" s="28"/>
      <c r="CE682" s="28"/>
      <c r="CF682" s="28"/>
      <c r="CG682" s="28"/>
      <c r="CH682" s="28"/>
      <c r="CI682" s="28"/>
      <c r="CJ682" s="28"/>
      <c r="CK682" s="28"/>
      <c r="CL682" s="28"/>
      <c r="CM682" s="28"/>
      <c r="CN682" s="28"/>
      <c r="CO682" s="28"/>
      <c r="CP682" s="28"/>
      <c r="CQ682" s="28"/>
      <c r="CR682" s="28"/>
      <c r="CS682" s="28"/>
      <c r="CT682" s="28"/>
      <c r="CU682" s="28"/>
      <c r="CV682" s="28"/>
      <c r="CW682" s="28"/>
    </row>
    <row r="683" spans="1:101" ht="14.25" customHeight="1" x14ac:dyDescent="0.2">
      <c r="A683" s="286"/>
      <c r="B683" s="52">
        <v>0.13684879925242285</v>
      </c>
      <c r="C683" s="288">
        <v>0.34992575283475891</v>
      </c>
      <c r="D683" s="288">
        <v>1.047268700335083E-2</v>
      </c>
      <c r="E683" s="288">
        <v>3.244247021298885E-2</v>
      </c>
      <c r="F683" s="289">
        <v>0.78631955283759514</v>
      </c>
      <c r="G683" s="92">
        <v>0.45573892906009683</v>
      </c>
      <c r="H683" s="288">
        <v>0.49418521040357011</v>
      </c>
      <c r="I683" s="288">
        <v>8.914600213216297E-3</v>
      </c>
      <c r="J683" s="288">
        <v>1</v>
      </c>
      <c r="K683" s="288">
        <v>0.76157517600295144</v>
      </c>
      <c r="L683" s="290">
        <v>14153.935209738558</v>
      </c>
      <c r="M683" s="288">
        <v>0</v>
      </c>
      <c r="N683" s="288">
        <v>22280.910255837</v>
      </c>
      <c r="O683" s="288">
        <v>1243.3826209284734</v>
      </c>
      <c r="P683" s="288">
        <v>56346.572969157911</v>
      </c>
      <c r="Q683" s="291">
        <v>57382.130315690629</v>
      </c>
      <c r="R683" s="288">
        <v>17228.352586532528</v>
      </c>
      <c r="S683" s="288">
        <v>12359.595704246185</v>
      </c>
      <c r="T683" s="290">
        <v>0.751</v>
      </c>
      <c r="U683" s="288">
        <v>0.75800000000000001</v>
      </c>
      <c r="V683" s="288">
        <v>0.723923076923077</v>
      </c>
      <c r="W683" s="288">
        <v>0.72750000000000004</v>
      </c>
      <c r="X683" s="288">
        <v>0.76</v>
      </c>
      <c r="Y683" s="288">
        <v>0</v>
      </c>
      <c r="Z683" s="289">
        <v>0</v>
      </c>
      <c r="AA683" s="229"/>
      <c r="AB683" s="293">
        <v>111471.26986620369</v>
      </c>
      <c r="AC683" s="294">
        <v>3.1717093733623352</v>
      </c>
      <c r="AD683" s="295">
        <v>98849.060961576091</v>
      </c>
      <c r="AE683" s="294">
        <v>3.0616261524228694</v>
      </c>
      <c r="AF683" s="295">
        <v>12622.208904627594</v>
      </c>
      <c r="AG683" s="296">
        <v>0.11008322093946576</v>
      </c>
      <c r="AH683" s="229"/>
      <c r="AI683" s="205">
        <f t="shared" si="74"/>
        <v>205699.66747002982</v>
      </c>
      <c r="AJ683" s="205">
        <f t="shared" si="75"/>
        <v>207313.55428071084</v>
      </c>
      <c r="AK683" s="205">
        <f t="shared" si="76"/>
        <v>-1613.8868106810169</v>
      </c>
      <c r="AL683" s="229"/>
      <c r="AM683" s="52">
        <f t="shared" si="58"/>
        <v>0</v>
      </c>
      <c r="AN683" s="52">
        <f t="shared" si="59"/>
        <v>1</v>
      </c>
      <c r="AO683" s="52">
        <f t="shared" si="60"/>
        <v>0</v>
      </c>
      <c r="AP683" s="229"/>
      <c r="AQ683" s="28"/>
      <c r="AR683" s="28"/>
      <c r="AS683" s="28"/>
      <c r="AT683" s="28"/>
      <c r="AU683" s="229"/>
      <c r="AV683" s="318">
        <f t="shared" si="77"/>
        <v>207313.55428071084</v>
      </c>
      <c r="AW683" s="229"/>
      <c r="AX683" s="313"/>
      <c r="AY683" s="302"/>
      <c r="AZ683" s="14">
        <f t="shared" si="79"/>
        <v>12622.208904627594</v>
      </c>
      <c r="BA683" s="14">
        <f t="shared" si="78"/>
        <v>0.11008322093946576</v>
      </c>
      <c r="BB683" s="14">
        <f t="shared" si="61"/>
        <v>114660.60673831924</v>
      </c>
      <c r="BC683" s="302"/>
      <c r="BD683" s="302"/>
      <c r="BE683" s="302"/>
      <c r="BF683" s="302"/>
      <c r="BG683" s="302"/>
      <c r="BH683" s="302"/>
      <c r="BI683" s="302"/>
      <c r="BJ683" s="302"/>
      <c r="BK683" s="302"/>
      <c r="BL683" s="302"/>
      <c r="BM683" s="302"/>
      <c r="BN683" s="302"/>
      <c r="BO683" s="302"/>
      <c r="BP683" s="302"/>
      <c r="BQ683" s="302"/>
      <c r="BR683" s="302"/>
      <c r="BS683" s="302"/>
      <c r="BT683" s="302"/>
      <c r="BU683" s="302"/>
      <c r="BV683" s="302"/>
      <c r="BW683" s="302"/>
      <c r="BX683" s="302"/>
      <c r="BY683" s="302"/>
      <c r="BZ683" s="302"/>
      <c r="CA683" s="302"/>
      <c r="CB683" s="28"/>
      <c r="CC683" s="28"/>
      <c r="CD683" s="28"/>
      <c r="CE683" s="28"/>
      <c r="CF683" s="28"/>
      <c r="CG683" s="28"/>
      <c r="CH683" s="28"/>
      <c r="CI683" s="28"/>
      <c r="CJ683" s="28"/>
      <c r="CK683" s="28"/>
      <c r="CL683" s="28"/>
      <c r="CM683" s="28"/>
      <c r="CN683" s="28"/>
      <c r="CO683" s="28"/>
      <c r="CP683" s="28"/>
      <c r="CQ683" s="28"/>
      <c r="CR683" s="28"/>
      <c r="CS683" s="28"/>
      <c r="CT683" s="28"/>
      <c r="CU683" s="28"/>
      <c r="CV683" s="28"/>
      <c r="CW683" s="28"/>
    </row>
    <row r="684" spans="1:101" ht="14.25" customHeight="1" x14ac:dyDescent="0.2">
      <c r="A684" s="286"/>
      <c r="B684" s="52">
        <v>0.17461485657509657</v>
      </c>
      <c r="C684" s="288">
        <v>0.5413634161503631</v>
      </c>
      <c r="D684" s="288">
        <v>1.6473559106811031E-2</v>
      </c>
      <c r="E684" s="288">
        <v>1.2823502057209737E-2</v>
      </c>
      <c r="F684" s="289">
        <v>0.74065542032068965</v>
      </c>
      <c r="G684" s="92">
        <v>0.40770596914853408</v>
      </c>
      <c r="H684" s="288">
        <v>0.13280184469704737</v>
      </c>
      <c r="I684" s="288">
        <v>1.4255248685836714E-2</v>
      </c>
      <c r="J684" s="288">
        <v>0.99999999788315852</v>
      </c>
      <c r="K684" s="288">
        <v>0.78849325690065131</v>
      </c>
      <c r="L684" s="290">
        <v>14570.957411573543</v>
      </c>
      <c r="M684" s="288">
        <v>0</v>
      </c>
      <c r="N684" s="288">
        <v>18225.933778182851</v>
      </c>
      <c r="O684" s="288">
        <v>1168.8461149250638</v>
      </c>
      <c r="P684" s="288">
        <v>56326.686368270704</v>
      </c>
      <c r="Q684" s="291">
        <v>136218.68622398478</v>
      </c>
      <c r="R684" s="288">
        <v>23601.483359754824</v>
      </c>
      <c r="S684" s="288">
        <v>8634.9827410383805</v>
      </c>
      <c r="T684" s="290">
        <v>0.751</v>
      </c>
      <c r="U684" s="288">
        <v>0.75800000000000001</v>
      </c>
      <c r="V684" s="288">
        <v>0.723923076923077</v>
      </c>
      <c r="W684" s="288">
        <v>0.72750000000000004</v>
      </c>
      <c r="X684" s="288">
        <v>0.76</v>
      </c>
      <c r="Y684" s="288">
        <v>0</v>
      </c>
      <c r="Z684" s="289">
        <v>0</v>
      </c>
      <c r="AA684" s="229"/>
      <c r="AB684" s="293">
        <v>80731.223890176712</v>
      </c>
      <c r="AC684" s="294">
        <v>2.9609934768361592</v>
      </c>
      <c r="AD684" s="295">
        <v>70927.977077079035</v>
      </c>
      <c r="AE684" s="294">
        <v>3.1865678947478195</v>
      </c>
      <c r="AF684" s="295">
        <v>9803.2468130976777</v>
      </c>
      <c r="AG684" s="296">
        <v>-0.22557441791166033</v>
      </c>
      <c r="AH684" s="229"/>
      <c r="AI684" s="205">
        <f t="shared" si="74"/>
        <v>215368.12379343921</v>
      </c>
      <c r="AJ684" s="205">
        <f t="shared" si="75"/>
        <v>247728.81239770292</v>
      </c>
      <c r="AK684" s="205">
        <f t="shared" si="76"/>
        <v>-32360.688604263709</v>
      </c>
      <c r="AL684" s="229"/>
      <c r="AM684" s="52">
        <f t="shared" si="58"/>
        <v>0</v>
      </c>
      <c r="AN684" s="52">
        <f t="shared" si="59"/>
        <v>1</v>
      </c>
      <c r="AO684" s="52">
        <f t="shared" si="60"/>
        <v>0</v>
      </c>
      <c r="AP684" s="229"/>
      <c r="AQ684" s="28"/>
      <c r="AR684" s="28"/>
      <c r="AS684" s="28"/>
      <c r="AT684" s="28"/>
      <c r="AU684" s="229"/>
      <c r="AV684" s="318">
        <f t="shared" si="77"/>
        <v>247728.81239770292</v>
      </c>
      <c r="AW684" s="229"/>
      <c r="AX684" s="313"/>
      <c r="AY684" s="302"/>
      <c r="AZ684" s="14">
        <f t="shared" si="79"/>
        <v>9803.2468130976777</v>
      </c>
      <c r="BA684" s="14">
        <f t="shared" si="78"/>
        <v>-0.22557441791166033</v>
      </c>
      <c r="BB684" s="14">
        <f t="shared" si="61"/>
        <v>-43459.036285474685</v>
      </c>
      <c r="BC684" s="302"/>
      <c r="BD684" s="302"/>
      <c r="BE684" s="302"/>
      <c r="BF684" s="302"/>
      <c r="BG684" s="302"/>
      <c r="BH684" s="302"/>
      <c r="BI684" s="302"/>
      <c r="BJ684" s="302"/>
      <c r="BK684" s="302"/>
      <c r="BL684" s="302"/>
      <c r="BM684" s="302"/>
      <c r="BN684" s="302"/>
      <c r="BO684" s="302"/>
      <c r="BP684" s="302"/>
      <c r="BQ684" s="302"/>
      <c r="BR684" s="302"/>
      <c r="BS684" s="302"/>
      <c r="BT684" s="302"/>
      <c r="BU684" s="302"/>
      <c r="BV684" s="302"/>
      <c r="BW684" s="302"/>
      <c r="BX684" s="302"/>
      <c r="BY684" s="302"/>
      <c r="BZ684" s="302"/>
      <c r="CA684" s="302"/>
      <c r="CB684" s="28"/>
      <c r="CC684" s="28"/>
      <c r="CD684" s="28"/>
      <c r="CE684" s="28"/>
      <c r="CF684" s="28"/>
      <c r="CG684" s="28"/>
      <c r="CH684" s="28"/>
      <c r="CI684" s="28"/>
      <c r="CJ684" s="28"/>
      <c r="CK684" s="28"/>
      <c r="CL684" s="28"/>
      <c r="CM684" s="28"/>
      <c r="CN684" s="28"/>
      <c r="CO684" s="28"/>
      <c r="CP684" s="28"/>
      <c r="CQ684" s="28"/>
      <c r="CR684" s="28"/>
      <c r="CS684" s="28"/>
      <c r="CT684" s="28"/>
      <c r="CU684" s="28"/>
      <c r="CV684" s="28"/>
      <c r="CW684" s="28"/>
    </row>
    <row r="685" spans="1:101" ht="14.25" customHeight="1" x14ac:dyDescent="0.2">
      <c r="A685" s="286"/>
      <c r="B685" s="52">
        <v>0.14179485255191912</v>
      </c>
      <c r="C685" s="288">
        <v>6.4060384729376293E-2</v>
      </c>
      <c r="D685" s="288">
        <v>9.6346743604969597E-3</v>
      </c>
      <c r="E685" s="288">
        <v>6.8924719322791123E-3</v>
      </c>
      <c r="F685" s="289">
        <v>0.83410080603956671</v>
      </c>
      <c r="G685" s="92">
        <v>0.41339247453860328</v>
      </c>
      <c r="H685" s="288">
        <v>0.7335868027294814</v>
      </c>
      <c r="I685" s="288">
        <v>1.6221048748924383E-2</v>
      </c>
      <c r="J685" s="288">
        <v>0.9967571416171801</v>
      </c>
      <c r="K685" s="288">
        <v>0.71892484966978953</v>
      </c>
      <c r="L685" s="290">
        <v>11652.625313314053</v>
      </c>
      <c r="M685" s="288">
        <v>0</v>
      </c>
      <c r="N685" s="288">
        <v>16848.768315178502</v>
      </c>
      <c r="O685" s="288">
        <v>1171.1529659157086</v>
      </c>
      <c r="P685" s="288">
        <v>52486.232161656277</v>
      </c>
      <c r="Q685" s="291">
        <v>130607.62203066323</v>
      </c>
      <c r="R685" s="288">
        <v>23291.875937148616</v>
      </c>
      <c r="S685" s="288">
        <v>7877.7257865241454</v>
      </c>
      <c r="T685" s="290">
        <v>0.751</v>
      </c>
      <c r="U685" s="288">
        <v>0.75800000000000001</v>
      </c>
      <c r="V685" s="288">
        <v>0.723923076923077</v>
      </c>
      <c r="W685" s="288">
        <v>0.72750000000000004</v>
      </c>
      <c r="X685" s="288">
        <v>0.76</v>
      </c>
      <c r="Y685" s="288">
        <v>0</v>
      </c>
      <c r="Z685" s="289">
        <v>0</v>
      </c>
      <c r="AA685" s="229"/>
      <c r="AB685" s="293">
        <v>77275.452377869136</v>
      </c>
      <c r="AC685" s="294">
        <v>3.3956962930026475</v>
      </c>
      <c r="AD685" s="295">
        <v>65256.062890187932</v>
      </c>
      <c r="AE685" s="294">
        <v>2.8660007915865719</v>
      </c>
      <c r="AF685" s="295">
        <v>12019.389487681205</v>
      </c>
      <c r="AG685" s="296">
        <v>0.52969550141607558</v>
      </c>
      <c r="AH685" s="229"/>
      <c r="AI685" s="205">
        <f t="shared" si="74"/>
        <v>262294.17692239559</v>
      </c>
      <c r="AJ685" s="205">
        <f t="shared" si="75"/>
        <v>221344.01626846925</v>
      </c>
      <c r="AK685" s="205">
        <f t="shared" si="76"/>
        <v>40950.160653926352</v>
      </c>
      <c r="AL685" s="229"/>
      <c r="AM685" s="52">
        <f t="shared" si="58"/>
        <v>1</v>
      </c>
      <c r="AN685" s="52">
        <f t="shared" si="59"/>
        <v>0</v>
      </c>
      <c r="AO685" s="52">
        <f t="shared" si="60"/>
        <v>1</v>
      </c>
      <c r="AP685" s="229"/>
      <c r="AQ685" s="28"/>
      <c r="AR685" s="28"/>
      <c r="AS685" s="28"/>
      <c r="AT685" s="28"/>
      <c r="AU685" s="229"/>
      <c r="AV685" s="318">
        <f t="shared" si="77"/>
        <v>262294.17692239559</v>
      </c>
      <c r="AW685" s="229"/>
      <c r="AX685" s="313"/>
      <c r="AY685" s="302"/>
      <c r="AZ685" s="14">
        <f t="shared" si="79"/>
        <v>12019.389487681205</v>
      </c>
      <c r="BA685" s="14">
        <f t="shared" si="78"/>
        <v>0.52969550141607558</v>
      </c>
      <c r="BB685" s="14">
        <f t="shared" si="61"/>
        <v>22691.13000874814</v>
      </c>
      <c r="BC685" s="302"/>
      <c r="BD685" s="302"/>
      <c r="BE685" s="302"/>
      <c r="BF685" s="302"/>
      <c r="BG685" s="302"/>
      <c r="BH685" s="302"/>
      <c r="BI685" s="302"/>
      <c r="BJ685" s="302"/>
      <c r="BK685" s="302"/>
      <c r="BL685" s="302"/>
      <c r="BM685" s="302"/>
      <c r="BN685" s="302"/>
      <c r="BO685" s="302"/>
      <c r="BP685" s="302"/>
      <c r="BQ685" s="302"/>
      <c r="BR685" s="302"/>
      <c r="BS685" s="302"/>
      <c r="BT685" s="302"/>
      <c r="BU685" s="302"/>
      <c r="BV685" s="302"/>
      <c r="BW685" s="302"/>
      <c r="BX685" s="302"/>
      <c r="BY685" s="302"/>
      <c r="BZ685" s="302"/>
      <c r="CA685" s="302"/>
      <c r="CB685" s="28"/>
      <c r="CC685" s="28"/>
      <c r="CD685" s="28"/>
      <c r="CE685" s="28"/>
      <c r="CF685" s="28"/>
      <c r="CG685" s="28"/>
      <c r="CH685" s="28"/>
      <c r="CI685" s="28"/>
      <c r="CJ685" s="28"/>
      <c r="CK685" s="28"/>
      <c r="CL685" s="28"/>
      <c r="CM685" s="28"/>
      <c r="CN685" s="28"/>
      <c r="CO685" s="28"/>
      <c r="CP685" s="28"/>
      <c r="CQ685" s="28"/>
      <c r="CR685" s="28"/>
      <c r="CS685" s="28"/>
      <c r="CT685" s="28"/>
      <c r="CU685" s="28"/>
      <c r="CV685" s="28"/>
      <c r="CW685" s="28"/>
    </row>
    <row r="686" spans="1:101" ht="14.25" customHeight="1" x14ac:dyDescent="0.2">
      <c r="A686" s="286"/>
      <c r="B686" s="52">
        <v>0.1514814815615487</v>
      </c>
      <c r="C686" s="288">
        <v>0.46215286010371626</v>
      </c>
      <c r="D686" s="288">
        <v>1.3164938900097308E-2</v>
      </c>
      <c r="E686" s="288">
        <v>7.1245766470823006E-3</v>
      </c>
      <c r="F686" s="289">
        <v>0.8138364645850289</v>
      </c>
      <c r="G686" s="92">
        <v>0.35812983852847252</v>
      </c>
      <c r="H686" s="288">
        <v>3.7002968621739088E-2</v>
      </c>
      <c r="I686" s="288">
        <v>1.4029941196232926E-2</v>
      </c>
      <c r="J686" s="288">
        <v>0.99757421552034387</v>
      </c>
      <c r="K686" s="288">
        <v>0.70928507287947484</v>
      </c>
      <c r="L686" s="290">
        <v>13605.216288665075</v>
      </c>
      <c r="M686" s="288">
        <v>0</v>
      </c>
      <c r="N686" s="288">
        <v>11628.398939065615</v>
      </c>
      <c r="O686" s="288">
        <v>949.56772036281166</v>
      </c>
      <c r="P686" s="288">
        <v>44265.552330803395</v>
      </c>
      <c r="Q686" s="291">
        <v>134653.18032315321</v>
      </c>
      <c r="R686" s="288">
        <v>22730.745163242711</v>
      </c>
      <c r="S686" s="288">
        <v>9689.1420439162212</v>
      </c>
      <c r="T686" s="290">
        <v>0.751</v>
      </c>
      <c r="U686" s="288">
        <v>0.75800000000000001</v>
      </c>
      <c r="V686" s="288">
        <v>0.723923076923077</v>
      </c>
      <c r="W686" s="288">
        <v>0.72750000000000004</v>
      </c>
      <c r="X686" s="288">
        <v>0.76</v>
      </c>
      <c r="Y686" s="288">
        <v>0</v>
      </c>
      <c r="Z686" s="289">
        <v>0</v>
      </c>
      <c r="AA686" s="229"/>
      <c r="AB686" s="293">
        <v>93692.965405046169</v>
      </c>
      <c r="AC686" s="294">
        <v>3.3002646706502863</v>
      </c>
      <c r="AD686" s="295">
        <v>70174.664195065154</v>
      </c>
      <c r="AE686" s="294">
        <v>2.8221830428846251</v>
      </c>
      <c r="AF686" s="295">
        <v>23518.301209981015</v>
      </c>
      <c r="AG686" s="296">
        <v>0.47808162776566121</v>
      </c>
      <c r="AH686" s="229"/>
      <c r="AI686" s="205">
        <f t="shared" si="74"/>
        <v>236333.50165998243</v>
      </c>
      <c r="AJ686" s="205">
        <f t="shared" si="75"/>
        <v>212043.64009339735</v>
      </c>
      <c r="AK686" s="205">
        <f t="shared" si="76"/>
        <v>24289.861566585103</v>
      </c>
      <c r="AL686" s="229"/>
      <c r="AM686" s="52">
        <f t="shared" si="58"/>
        <v>1</v>
      </c>
      <c r="AN686" s="52">
        <f t="shared" si="59"/>
        <v>0</v>
      </c>
      <c r="AO686" s="52">
        <f t="shared" si="60"/>
        <v>1</v>
      </c>
      <c r="AP686" s="229"/>
      <c r="AQ686" s="28"/>
      <c r="AR686" s="28"/>
      <c r="AS686" s="28"/>
      <c r="AT686" s="28"/>
      <c r="AU686" s="229"/>
      <c r="AV686" s="318">
        <f t="shared" si="77"/>
        <v>236333.50165998243</v>
      </c>
      <c r="AW686" s="229"/>
      <c r="AX686" s="313"/>
      <c r="AY686" s="302"/>
      <c r="AZ686" s="14">
        <f t="shared" si="79"/>
        <v>23518.301209981015</v>
      </c>
      <c r="BA686" s="14">
        <f t="shared" si="78"/>
        <v>0.47808162776566121</v>
      </c>
      <c r="BB686" s="14">
        <f t="shared" si="61"/>
        <v>49193.066296847654</v>
      </c>
      <c r="BC686" s="302"/>
      <c r="BD686" s="302"/>
      <c r="BE686" s="302"/>
      <c r="BF686" s="302"/>
      <c r="BG686" s="302"/>
      <c r="BH686" s="302"/>
      <c r="BI686" s="302"/>
      <c r="BJ686" s="302"/>
      <c r="BK686" s="302"/>
      <c r="BL686" s="302"/>
      <c r="BM686" s="302"/>
      <c r="BN686" s="302"/>
      <c r="BO686" s="302"/>
      <c r="BP686" s="302"/>
      <c r="BQ686" s="302"/>
      <c r="BR686" s="302"/>
      <c r="BS686" s="302"/>
      <c r="BT686" s="302"/>
      <c r="BU686" s="302"/>
      <c r="BV686" s="302"/>
      <c r="BW686" s="302"/>
      <c r="BX686" s="302"/>
      <c r="BY686" s="302"/>
      <c r="BZ686" s="302"/>
      <c r="CA686" s="302"/>
      <c r="CB686" s="28"/>
      <c r="CC686" s="28"/>
      <c r="CD686" s="28"/>
      <c r="CE686" s="28"/>
      <c r="CF686" s="28"/>
      <c r="CG686" s="28"/>
      <c r="CH686" s="28"/>
      <c r="CI686" s="28"/>
      <c r="CJ686" s="28"/>
      <c r="CK686" s="28"/>
      <c r="CL686" s="28"/>
      <c r="CM686" s="28"/>
      <c r="CN686" s="28"/>
      <c r="CO686" s="28"/>
      <c r="CP686" s="28"/>
      <c r="CQ686" s="28"/>
      <c r="CR686" s="28"/>
      <c r="CS686" s="28"/>
      <c r="CT686" s="28"/>
      <c r="CU686" s="28"/>
      <c r="CV686" s="28"/>
      <c r="CW686" s="28"/>
    </row>
    <row r="687" spans="1:101" ht="14.25" customHeight="1" x14ac:dyDescent="0.2">
      <c r="A687" s="286"/>
      <c r="B687" s="52">
        <v>0.1548316567709026</v>
      </c>
      <c r="C687" s="288">
        <v>0.24911780722172452</v>
      </c>
      <c r="D687" s="288">
        <v>1.1045096743417023E-2</v>
      </c>
      <c r="E687" s="288">
        <v>8.3577650510127544E-3</v>
      </c>
      <c r="F687" s="289">
        <v>0.77101581670724673</v>
      </c>
      <c r="G687" s="92">
        <v>0.39303411364613283</v>
      </c>
      <c r="H687" s="288">
        <v>0.14088452408417623</v>
      </c>
      <c r="I687" s="288">
        <v>1.6579019119353666E-2</v>
      </c>
      <c r="J687" s="288">
        <v>0.98155355136441758</v>
      </c>
      <c r="K687" s="288">
        <v>0.74218895657297823</v>
      </c>
      <c r="L687" s="290">
        <v>11084.694363874069</v>
      </c>
      <c r="M687" s="288">
        <v>0</v>
      </c>
      <c r="N687" s="288">
        <v>10724.799825421762</v>
      </c>
      <c r="O687" s="288">
        <v>1443.1770178721808</v>
      </c>
      <c r="P687" s="288">
        <v>75533.53882323773</v>
      </c>
      <c r="Q687" s="291">
        <v>78589.28452606831</v>
      </c>
      <c r="R687" s="288">
        <v>21214.780845807651</v>
      </c>
      <c r="S687" s="288">
        <v>7838.0461953248514</v>
      </c>
      <c r="T687" s="290">
        <v>0.751</v>
      </c>
      <c r="U687" s="288">
        <v>0.75800000000000001</v>
      </c>
      <c r="V687" s="288">
        <v>0.723923076923077</v>
      </c>
      <c r="W687" s="288">
        <v>0.72750000000000004</v>
      </c>
      <c r="X687" s="288">
        <v>0.76</v>
      </c>
      <c r="Y687" s="288">
        <v>0</v>
      </c>
      <c r="Z687" s="289">
        <v>0</v>
      </c>
      <c r="AA687" s="229"/>
      <c r="AB687" s="293">
        <v>72104.119895316544</v>
      </c>
      <c r="AC687" s="294">
        <v>3.100726315441956</v>
      </c>
      <c r="AD687" s="295">
        <v>60828.272463767535</v>
      </c>
      <c r="AE687" s="294">
        <v>2.9723514288566921</v>
      </c>
      <c r="AF687" s="295">
        <v>11275.847431549009</v>
      </c>
      <c r="AG687" s="296">
        <v>0.12837488658526386</v>
      </c>
      <c r="AH687" s="229"/>
      <c r="AI687" s="205">
        <f t="shared" si="74"/>
        <v>237968.51164887904</v>
      </c>
      <c r="AJ687" s="205">
        <f t="shared" si="75"/>
        <v>236406.87042190167</v>
      </c>
      <c r="AK687" s="205">
        <f t="shared" si="76"/>
        <v>1561.6412269773773</v>
      </c>
      <c r="AL687" s="229"/>
      <c r="AM687" s="52">
        <f t="shared" si="58"/>
        <v>1</v>
      </c>
      <c r="AN687" s="52">
        <f t="shared" si="59"/>
        <v>0</v>
      </c>
      <c r="AO687" s="52">
        <f t="shared" si="60"/>
        <v>1</v>
      </c>
      <c r="AP687" s="229"/>
      <c r="AQ687" s="28"/>
      <c r="AR687" s="28"/>
      <c r="AS687" s="28"/>
      <c r="AT687" s="28"/>
      <c r="AU687" s="229"/>
      <c r="AV687" s="318">
        <f t="shared" si="77"/>
        <v>237968.51164887904</v>
      </c>
      <c r="AW687" s="229"/>
      <c r="AX687" s="313"/>
      <c r="AY687" s="302"/>
      <c r="AZ687" s="14">
        <f t="shared" si="79"/>
        <v>11275.847431549009</v>
      </c>
      <c r="BA687" s="14">
        <f t="shared" si="78"/>
        <v>0.12837488658526386</v>
      </c>
      <c r="BB687" s="14">
        <f t="shared" si="61"/>
        <v>87835.30588796144</v>
      </c>
      <c r="BC687" s="302"/>
      <c r="BD687" s="302"/>
      <c r="BE687" s="302"/>
      <c r="BF687" s="302"/>
      <c r="BG687" s="302"/>
      <c r="BH687" s="302"/>
      <c r="BI687" s="302"/>
      <c r="BJ687" s="302"/>
      <c r="BK687" s="302"/>
      <c r="BL687" s="302"/>
      <c r="BM687" s="302"/>
      <c r="BN687" s="302"/>
      <c r="BO687" s="302"/>
      <c r="BP687" s="302"/>
      <c r="BQ687" s="302"/>
      <c r="BR687" s="302"/>
      <c r="BS687" s="302"/>
      <c r="BT687" s="302"/>
      <c r="BU687" s="302"/>
      <c r="BV687" s="302"/>
      <c r="BW687" s="302"/>
      <c r="BX687" s="302"/>
      <c r="BY687" s="302"/>
      <c r="BZ687" s="302"/>
      <c r="CA687" s="302"/>
      <c r="CB687" s="28"/>
      <c r="CC687" s="28"/>
      <c r="CD687" s="28"/>
      <c r="CE687" s="28"/>
      <c r="CF687" s="28"/>
      <c r="CG687" s="28"/>
      <c r="CH687" s="28"/>
      <c r="CI687" s="28"/>
      <c r="CJ687" s="28"/>
      <c r="CK687" s="28"/>
      <c r="CL687" s="28"/>
      <c r="CM687" s="28"/>
      <c r="CN687" s="28"/>
      <c r="CO687" s="28"/>
      <c r="CP687" s="28"/>
      <c r="CQ687" s="28"/>
      <c r="CR687" s="28"/>
      <c r="CS687" s="28"/>
      <c r="CT687" s="28"/>
      <c r="CU687" s="28"/>
      <c r="CV687" s="28"/>
      <c r="CW687" s="28"/>
    </row>
    <row r="688" spans="1:101" ht="14.25" customHeight="1" x14ac:dyDescent="0.2">
      <c r="A688" s="286"/>
      <c r="B688" s="52">
        <v>0.18725115879071208</v>
      </c>
      <c r="C688" s="288">
        <v>0.70133249971757172</v>
      </c>
      <c r="D688" s="288">
        <v>6.6169617419937297E-3</v>
      </c>
      <c r="E688" s="288">
        <v>7.2061381856365851E-3</v>
      </c>
      <c r="F688" s="289">
        <v>0.76380931268705343</v>
      </c>
      <c r="G688" s="92">
        <v>0.42938718282348287</v>
      </c>
      <c r="H688" s="288">
        <v>0.79601502613893627</v>
      </c>
      <c r="I688" s="288">
        <v>9.9030005481916296E-3</v>
      </c>
      <c r="J688" s="288">
        <v>0.99999999999990308</v>
      </c>
      <c r="K688" s="288">
        <v>0.77312338503812261</v>
      </c>
      <c r="L688" s="290">
        <v>11755.974898923425</v>
      </c>
      <c r="M688" s="288">
        <v>0</v>
      </c>
      <c r="N688" s="288">
        <v>19056.002493043252</v>
      </c>
      <c r="O688" s="288">
        <v>1434.4541315663942</v>
      </c>
      <c r="P688" s="288">
        <v>40627.501822172067</v>
      </c>
      <c r="Q688" s="291">
        <v>77682.345305612413</v>
      </c>
      <c r="R688" s="288">
        <v>27343.438862152183</v>
      </c>
      <c r="S688" s="288">
        <v>10970.657534145623</v>
      </c>
      <c r="T688" s="290">
        <v>0.751</v>
      </c>
      <c r="U688" s="288">
        <v>0.75800000000000001</v>
      </c>
      <c r="V688" s="288">
        <v>0.723923076923077</v>
      </c>
      <c r="W688" s="288">
        <v>0.72750000000000004</v>
      </c>
      <c r="X688" s="288">
        <v>0.76</v>
      </c>
      <c r="Y688" s="288">
        <v>0</v>
      </c>
      <c r="Z688" s="289">
        <v>0</v>
      </c>
      <c r="AA688" s="229"/>
      <c r="AB688" s="293">
        <v>98688.355660989037</v>
      </c>
      <c r="AC688" s="294">
        <v>3.0674277320669803</v>
      </c>
      <c r="AD688" s="295">
        <v>95110.358623349268</v>
      </c>
      <c r="AE688" s="294">
        <v>3.115087907392093</v>
      </c>
      <c r="AF688" s="295">
        <v>3577.9970376397687</v>
      </c>
      <c r="AG688" s="296">
        <v>-4.7660175325112686E-2</v>
      </c>
      <c r="AH688" s="229"/>
      <c r="AI688" s="205">
        <f t="shared" si="74"/>
        <v>208054.41754570897</v>
      </c>
      <c r="AJ688" s="205">
        <f t="shared" si="75"/>
        <v>216398.43211585999</v>
      </c>
      <c r="AK688" s="205">
        <f t="shared" si="76"/>
        <v>-8344.0145701510373</v>
      </c>
      <c r="AL688" s="229"/>
      <c r="AM688" s="52">
        <f t="shared" si="58"/>
        <v>0</v>
      </c>
      <c r="AN688" s="52">
        <f t="shared" si="59"/>
        <v>1</v>
      </c>
      <c r="AO688" s="52">
        <f t="shared" si="60"/>
        <v>0</v>
      </c>
      <c r="AP688" s="229"/>
      <c r="AQ688" s="28"/>
      <c r="AR688" s="28"/>
      <c r="AS688" s="28"/>
      <c r="AT688" s="28"/>
      <c r="AU688" s="229"/>
      <c r="AV688" s="318">
        <f t="shared" si="77"/>
        <v>216398.43211585999</v>
      </c>
      <c r="AW688" s="229"/>
      <c r="AX688" s="313"/>
      <c r="AY688" s="302"/>
      <c r="AZ688" s="14">
        <f t="shared" si="79"/>
        <v>3577.9970376397687</v>
      </c>
      <c r="BA688" s="14">
        <f t="shared" si="78"/>
        <v>-4.7660175325112686E-2</v>
      </c>
      <c r="BB688" s="14">
        <f t="shared" si="61"/>
        <v>-75073.098519519743</v>
      </c>
      <c r="BC688" s="302"/>
      <c r="BD688" s="302"/>
      <c r="BE688" s="302"/>
      <c r="BF688" s="302"/>
      <c r="BG688" s="302"/>
      <c r="BH688" s="302"/>
      <c r="BI688" s="302"/>
      <c r="BJ688" s="302"/>
      <c r="BK688" s="302"/>
      <c r="BL688" s="302"/>
      <c r="BM688" s="302"/>
      <c r="BN688" s="302"/>
      <c r="BO688" s="302"/>
      <c r="BP688" s="302"/>
      <c r="BQ688" s="302"/>
      <c r="BR688" s="302"/>
      <c r="BS688" s="302"/>
      <c r="BT688" s="302"/>
      <c r="BU688" s="302"/>
      <c r="BV688" s="302"/>
      <c r="BW688" s="302"/>
      <c r="BX688" s="302"/>
      <c r="BY688" s="302"/>
      <c r="BZ688" s="302"/>
      <c r="CA688" s="302"/>
      <c r="CB688" s="28"/>
      <c r="CC688" s="28"/>
      <c r="CD688" s="28"/>
      <c r="CE688" s="28"/>
      <c r="CF688" s="28"/>
      <c r="CG688" s="28"/>
      <c r="CH688" s="28"/>
      <c r="CI688" s="28"/>
      <c r="CJ688" s="28"/>
      <c r="CK688" s="28"/>
      <c r="CL688" s="28"/>
      <c r="CM688" s="28"/>
      <c r="CN688" s="28"/>
      <c r="CO688" s="28"/>
      <c r="CP688" s="28"/>
      <c r="CQ688" s="28"/>
      <c r="CR688" s="28"/>
      <c r="CS688" s="28"/>
      <c r="CT688" s="28"/>
      <c r="CU688" s="28"/>
      <c r="CV688" s="28"/>
      <c r="CW688" s="28"/>
    </row>
    <row r="689" spans="1:101" ht="14.25" customHeight="1" x14ac:dyDescent="0.2">
      <c r="A689" s="286"/>
      <c r="B689" s="52">
        <v>0.15241931231589875</v>
      </c>
      <c r="C689" s="288">
        <v>0.10223974162768612</v>
      </c>
      <c r="D689" s="288">
        <v>1.513676457677926E-2</v>
      </c>
      <c r="E689" s="288">
        <v>1.4580248785191263E-2</v>
      </c>
      <c r="F689" s="289">
        <v>0.78022031683213577</v>
      </c>
      <c r="G689" s="92">
        <v>0.45587340950362887</v>
      </c>
      <c r="H689" s="288">
        <v>0.94852909068855951</v>
      </c>
      <c r="I689" s="288">
        <v>1.1281638236324354E-2</v>
      </c>
      <c r="J689" s="288">
        <v>0.99999999999867684</v>
      </c>
      <c r="K689" s="288">
        <v>0.76346424455358231</v>
      </c>
      <c r="L689" s="290">
        <v>15164.305595640601</v>
      </c>
      <c r="M689" s="288">
        <v>0</v>
      </c>
      <c r="N689" s="288">
        <v>21462.491328738193</v>
      </c>
      <c r="O689" s="288">
        <v>1302.329380140219</v>
      </c>
      <c r="P689" s="288">
        <v>43908.357225812098</v>
      </c>
      <c r="Q689" s="291">
        <v>112908.62984620775</v>
      </c>
      <c r="R689" s="288">
        <v>23698.022044359655</v>
      </c>
      <c r="S689" s="288">
        <v>8261.4968171415185</v>
      </c>
      <c r="T689" s="290">
        <v>0.751</v>
      </c>
      <c r="U689" s="288">
        <v>0.75800000000000001</v>
      </c>
      <c r="V689" s="288">
        <v>0.723923076923077</v>
      </c>
      <c r="W689" s="288">
        <v>0.72750000000000004</v>
      </c>
      <c r="X689" s="288">
        <v>0.76</v>
      </c>
      <c r="Y689" s="288">
        <v>0</v>
      </c>
      <c r="Z689" s="289">
        <v>0</v>
      </c>
      <c r="AA689" s="229"/>
      <c r="AB689" s="293">
        <v>79822.824719692988</v>
      </c>
      <c r="AC689" s="294">
        <v>3.143375363044</v>
      </c>
      <c r="AD689" s="295">
        <v>74548.782953830232</v>
      </c>
      <c r="AE689" s="294">
        <v>3.0703571035035493</v>
      </c>
      <c r="AF689" s="295">
        <v>5274.0417658627557</v>
      </c>
      <c r="AG689" s="296">
        <v>7.3018259540450714E-2</v>
      </c>
      <c r="AH689" s="229"/>
      <c r="AI689" s="205">
        <f t="shared" si="74"/>
        <v>234514.71158470702</v>
      </c>
      <c r="AJ689" s="205">
        <f t="shared" si="75"/>
        <v>232486.92739652467</v>
      </c>
      <c r="AK689" s="205">
        <f t="shared" si="76"/>
        <v>2027.784188182316</v>
      </c>
      <c r="AL689" s="229"/>
      <c r="AM689" s="52">
        <f t="shared" si="58"/>
        <v>1</v>
      </c>
      <c r="AN689" s="52">
        <f t="shared" si="59"/>
        <v>0</v>
      </c>
      <c r="AO689" s="52">
        <f t="shared" si="60"/>
        <v>1</v>
      </c>
      <c r="AP689" s="229"/>
      <c r="AQ689" s="28"/>
      <c r="AR689" s="28"/>
      <c r="AS689" s="28"/>
      <c r="AT689" s="28"/>
      <c r="AU689" s="229"/>
      <c r="AV689" s="318">
        <f t="shared" si="77"/>
        <v>234514.71158470702</v>
      </c>
      <c r="AW689" s="229"/>
      <c r="AX689" s="313"/>
      <c r="AY689" s="302"/>
      <c r="AZ689" s="14">
        <f t="shared" si="79"/>
        <v>5274.0417658627557</v>
      </c>
      <c r="BA689" s="14">
        <f t="shared" si="78"/>
        <v>7.3018259540450714E-2</v>
      </c>
      <c r="BB689" s="14">
        <f t="shared" si="61"/>
        <v>72229.080767681648</v>
      </c>
      <c r="BC689" s="302"/>
      <c r="BD689" s="302"/>
      <c r="BE689" s="302"/>
      <c r="BF689" s="302"/>
      <c r="BG689" s="302"/>
      <c r="BH689" s="302"/>
      <c r="BI689" s="302"/>
      <c r="BJ689" s="302"/>
      <c r="BK689" s="302"/>
      <c r="BL689" s="302"/>
      <c r="BM689" s="302"/>
      <c r="BN689" s="302"/>
      <c r="BO689" s="302"/>
      <c r="BP689" s="302"/>
      <c r="BQ689" s="302"/>
      <c r="BR689" s="302"/>
      <c r="BS689" s="302"/>
      <c r="BT689" s="302"/>
      <c r="BU689" s="302"/>
      <c r="BV689" s="302"/>
      <c r="BW689" s="302"/>
      <c r="BX689" s="302"/>
      <c r="BY689" s="302"/>
      <c r="BZ689" s="302"/>
      <c r="CA689" s="302"/>
      <c r="CB689" s="28"/>
      <c r="CC689" s="28"/>
      <c r="CD689" s="28"/>
      <c r="CE689" s="28"/>
      <c r="CF689" s="28"/>
      <c r="CG689" s="28"/>
      <c r="CH689" s="28"/>
      <c r="CI689" s="28"/>
      <c r="CJ689" s="28"/>
      <c r="CK689" s="28"/>
      <c r="CL689" s="28"/>
      <c r="CM689" s="28"/>
      <c r="CN689" s="28"/>
      <c r="CO689" s="28"/>
      <c r="CP689" s="28"/>
      <c r="CQ689" s="28"/>
      <c r="CR689" s="28"/>
      <c r="CS689" s="28"/>
      <c r="CT689" s="28"/>
      <c r="CU689" s="28"/>
      <c r="CV689" s="28"/>
      <c r="CW689" s="28"/>
    </row>
    <row r="690" spans="1:101" ht="14.25" customHeight="1" x14ac:dyDescent="0.2">
      <c r="A690" s="286"/>
      <c r="B690" s="52">
        <v>0.13985831839956045</v>
      </c>
      <c r="C690" s="288">
        <v>0.1314311318227124</v>
      </c>
      <c r="D690" s="288">
        <v>2.6878024758952845E-2</v>
      </c>
      <c r="E690" s="288">
        <v>1.5327157082535403E-2</v>
      </c>
      <c r="F690" s="289">
        <v>0.80485804491270463</v>
      </c>
      <c r="G690" s="92">
        <v>0.36887176132031818</v>
      </c>
      <c r="H690" s="288">
        <v>0.57276038840454424</v>
      </c>
      <c r="I690" s="288">
        <v>6.1407536846070938E-3</v>
      </c>
      <c r="J690" s="288">
        <v>0.99999999946129636</v>
      </c>
      <c r="K690" s="288">
        <v>0.75818298606906842</v>
      </c>
      <c r="L690" s="290">
        <v>15415.60180284695</v>
      </c>
      <c r="M690" s="288">
        <v>0</v>
      </c>
      <c r="N690" s="288">
        <v>28724.02715716117</v>
      </c>
      <c r="O690" s="288">
        <v>1357.8481721969258</v>
      </c>
      <c r="P690" s="288">
        <v>47131.091598871368</v>
      </c>
      <c r="Q690" s="291">
        <v>114313.49048596468</v>
      </c>
      <c r="R690" s="288">
        <v>21466.040950506333</v>
      </c>
      <c r="S690" s="288">
        <v>12553.715050814782</v>
      </c>
      <c r="T690" s="290">
        <v>0.751</v>
      </c>
      <c r="U690" s="288">
        <v>0.75800000000000001</v>
      </c>
      <c r="V690" s="288">
        <v>0.723923076923077</v>
      </c>
      <c r="W690" s="288">
        <v>0.72750000000000004</v>
      </c>
      <c r="X690" s="288">
        <v>0.76</v>
      </c>
      <c r="Y690" s="288">
        <v>0</v>
      </c>
      <c r="Z690" s="289">
        <v>0</v>
      </c>
      <c r="AA690" s="229"/>
      <c r="AB690" s="293">
        <v>116486.46344071018</v>
      </c>
      <c r="AC690" s="294">
        <v>3.258188170342208</v>
      </c>
      <c r="AD690" s="295">
        <v>100354.70800211729</v>
      </c>
      <c r="AE690" s="294">
        <v>3.0459621512076005</v>
      </c>
      <c r="AF690" s="295">
        <v>16131.755438592896</v>
      </c>
      <c r="AG690" s="296">
        <v>0.21222601913460748</v>
      </c>
      <c r="AH690" s="229"/>
      <c r="AI690" s="205">
        <f t="shared" si="74"/>
        <v>209332.3535935106</v>
      </c>
      <c r="AJ690" s="205">
        <f t="shared" si="75"/>
        <v>204241.50711864274</v>
      </c>
      <c r="AK690" s="205">
        <f t="shared" si="76"/>
        <v>5090.8464748678525</v>
      </c>
      <c r="AL690" s="229"/>
      <c r="AM690" s="52">
        <f t="shared" si="58"/>
        <v>1</v>
      </c>
      <c r="AN690" s="52">
        <f t="shared" si="59"/>
        <v>0</v>
      </c>
      <c r="AO690" s="52">
        <f t="shared" si="60"/>
        <v>1</v>
      </c>
      <c r="AP690" s="229"/>
      <c r="AQ690" s="28"/>
      <c r="AR690" s="28"/>
      <c r="AS690" s="28"/>
      <c r="AT690" s="28"/>
      <c r="AU690" s="229"/>
      <c r="AV690" s="318">
        <f t="shared" si="77"/>
        <v>209332.3535935106</v>
      </c>
      <c r="AW690" s="229"/>
      <c r="AX690" s="313"/>
      <c r="AY690" s="302"/>
      <c r="AZ690" s="14">
        <f t="shared" si="79"/>
        <v>16131.755438592896</v>
      </c>
      <c r="BA690" s="14">
        <f t="shared" si="78"/>
        <v>0.21222601913460748</v>
      </c>
      <c r="BB690" s="14">
        <f t="shared" si="61"/>
        <v>76012.147352964734</v>
      </c>
      <c r="BC690" s="302"/>
      <c r="BD690" s="302"/>
      <c r="BE690" s="302"/>
      <c r="BF690" s="302"/>
      <c r="BG690" s="302"/>
      <c r="BH690" s="302"/>
      <c r="BI690" s="302"/>
      <c r="BJ690" s="302"/>
      <c r="BK690" s="302"/>
      <c r="BL690" s="302"/>
      <c r="BM690" s="302"/>
      <c r="BN690" s="302"/>
      <c r="BO690" s="302"/>
      <c r="BP690" s="302"/>
      <c r="BQ690" s="302"/>
      <c r="BR690" s="302"/>
      <c r="BS690" s="302"/>
      <c r="BT690" s="302"/>
      <c r="BU690" s="302"/>
      <c r="BV690" s="302"/>
      <c r="BW690" s="302"/>
      <c r="BX690" s="302"/>
      <c r="BY690" s="302"/>
      <c r="BZ690" s="302"/>
      <c r="CA690" s="302"/>
      <c r="CB690" s="28"/>
      <c r="CC690" s="28"/>
      <c r="CD690" s="28"/>
      <c r="CE690" s="28"/>
      <c r="CF690" s="28"/>
      <c r="CG690" s="28"/>
      <c r="CH690" s="28"/>
      <c r="CI690" s="28"/>
      <c r="CJ690" s="28"/>
      <c r="CK690" s="28"/>
      <c r="CL690" s="28"/>
      <c r="CM690" s="28"/>
      <c r="CN690" s="28"/>
      <c r="CO690" s="28"/>
      <c r="CP690" s="28"/>
      <c r="CQ690" s="28"/>
      <c r="CR690" s="28"/>
      <c r="CS690" s="28"/>
      <c r="CT690" s="28"/>
      <c r="CU690" s="28"/>
      <c r="CV690" s="28"/>
      <c r="CW690" s="28"/>
    </row>
    <row r="691" spans="1:101" ht="14.25" customHeight="1" x14ac:dyDescent="0.2">
      <c r="A691" s="286"/>
      <c r="B691" s="52">
        <v>0.17025395267237253</v>
      </c>
      <c r="C691" s="288">
        <v>5.9812199312187864E-3</v>
      </c>
      <c r="D691" s="288">
        <v>1.9274540800944595E-2</v>
      </c>
      <c r="E691" s="288">
        <v>1.0412278019823057E-2</v>
      </c>
      <c r="F691" s="289">
        <v>0.78289736664766751</v>
      </c>
      <c r="G691" s="92">
        <v>0.41125618517471707</v>
      </c>
      <c r="H691" s="288">
        <v>4.9443355286219327E-2</v>
      </c>
      <c r="I691" s="288">
        <v>1.3360387525718878E-2</v>
      </c>
      <c r="J691" s="288">
        <v>0.99999908449261077</v>
      </c>
      <c r="K691" s="288">
        <v>0.74330451069282111</v>
      </c>
      <c r="L691" s="290">
        <v>14794.204997108794</v>
      </c>
      <c r="M691" s="288">
        <v>0</v>
      </c>
      <c r="N691" s="288">
        <v>19609.561520126306</v>
      </c>
      <c r="O691" s="288">
        <v>1005.7040144976344</v>
      </c>
      <c r="P691" s="288">
        <v>46042.387952146404</v>
      </c>
      <c r="Q691" s="291">
        <v>74622.549639026081</v>
      </c>
      <c r="R691" s="288">
        <v>29259.662468360348</v>
      </c>
      <c r="S691" s="288">
        <v>10269.231511787304</v>
      </c>
      <c r="T691" s="290">
        <v>0.751</v>
      </c>
      <c r="U691" s="288">
        <v>0.75800000000000001</v>
      </c>
      <c r="V691" s="288">
        <v>0.723923076923077</v>
      </c>
      <c r="W691" s="288">
        <v>0.72750000000000004</v>
      </c>
      <c r="X691" s="288">
        <v>0.76</v>
      </c>
      <c r="Y691" s="288">
        <v>0</v>
      </c>
      <c r="Z691" s="289">
        <v>0</v>
      </c>
      <c r="AA691" s="229"/>
      <c r="AB691" s="293">
        <v>94854.292006397489</v>
      </c>
      <c r="AC691" s="294">
        <v>3.1558044173131274</v>
      </c>
      <c r="AD691" s="295">
        <v>77886.778371939625</v>
      </c>
      <c r="AE691" s="294">
        <v>2.9774725601604555</v>
      </c>
      <c r="AF691" s="295">
        <v>16967.513634457864</v>
      </c>
      <c r="AG691" s="296">
        <v>0.17833185715267197</v>
      </c>
      <c r="AH691" s="229"/>
      <c r="AI691" s="205">
        <f t="shared" si="74"/>
        <v>220726.14972491522</v>
      </c>
      <c r="AJ691" s="205">
        <f t="shared" si="75"/>
        <v>219860.47764410597</v>
      </c>
      <c r="AK691" s="205">
        <f t="shared" si="76"/>
        <v>865.67208080933415</v>
      </c>
      <c r="AL691" s="229"/>
      <c r="AM691" s="52">
        <f t="shared" si="58"/>
        <v>1</v>
      </c>
      <c r="AN691" s="52">
        <f t="shared" si="59"/>
        <v>0</v>
      </c>
      <c r="AO691" s="52">
        <f t="shared" si="60"/>
        <v>1</v>
      </c>
      <c r="AP691" s="229"/>
      <c r="AQ691" s="28"/>
      <c r="AR691" s="28"/>
      <c r="AS691" s="28"/>
      <c r="AT691" s="28"/>
      <c r="AU691" s="229"/>
      <c r="AV691" s="318">
        <f t="shared" si="77"/>
        <v>220726.14972491522</v>
      </c>
      <c r="AW691" s="229"/>
      <c r="AX691" s="313"/>
      <c r="AY691" s="302"/>
      <c r="AZ691" s="14">
        <f t="shared" si="79"/>
        <v>16967.513634457864</v>
      </c>
      <c r="BA691" s="14">
        <f t="shared" si="78"/>
        <v>0.17833185715267197</v>
      </c>
      <c r="BB691" s="14">
        <f t="shared" si="61"/>
        <v>95145.723850852854</v>
      </c>
      <c r="BC691" s="302"/>
      <c r="BD691" s="302"/>
      <c r="BE691" s="302"/>
      <c r="BF691" s="302"/>
      <c r="BG691" s="302"/>
      <c r="BH691" s="302"/>
      <c r="BI691" s="302"/>
      <c r="BJ691" s="302"/>
      <c r="BK691" s="302"/>
      <c r="BL691" s="302"/>
      <c r="BM691" s="302"/>
      <c r="BN691" s="302"/>
      <c r="BO691" s="302"/>
      <c r="BP691" s="302"/>
      <c r="BQ691" s="302"/>
      <c r="BR691" s="302"/>
      <c r="BS691" s="302"/>
      <c r="BT691" s="302"/>
      <c r="BU691" s="302"/>
      <c r="BV691" s="302"/>
      <c r="BW691" s="302"/>
      <c r="BX691" s="302"/>
      <c r="BY691" s="302"/>
      <c r="BZ691" s="302"/>
      <c r="CA691" s="302"/>
      <c r="CB691" s="28"/>
      <c r="CC691" s="28"/>
      <c r="CD691" s="28"/>
      <c r="CE691" s="28"/>
      <c r="CF691" s="28"/>
      <c r="CG691" s="28"/>
      <c r="CH691" s="28"/>
      <c r="CI691" s="28"/>
      <c r="CJ691" s="28"/>
      <c r="CK691" s="28"/>
      <c r="CL691" s="28"/>
      <c r="CM691" s="28"/>
      <c r="CN691" s="28"/>
      <c r="CO691" s="28"/>
      <c r="CP691" s="28"/>
      <c r="CQ691" s="28"/>
      <c r="CR691" s="28"/>
      <c r="CS691" s="28"/>
      <c r="CT691" s="28"/>
      <c r="CU691" s="28"/>
      <c r="CV691" s="28"/>
      <c r="CW691" s="28"/>
    </row>
    <row r="692" spans="1:101" ht="14.25" customHeight="1" x14ac:dyDescent="0.2">
      <c r="A692" s="286"/>
      <c r="B692" s="52">
        <v>0.1554236225856144</v>
      </c>
      <c r="C692" s="288">
        <v>0.93484919893176965</v>
      </c>
      <c r="D692" s="288">
        <v>1.1551013958941335E-2</v>
      </c>
      <c r="E692" s="288">
        <v>1.9737937949600104E-2</v>
      </c>
      <c r="F692" s="289">
        <v>0.78794837349452052</v>
      </c>
      <c r="G692" s="92">
        <v>0.49126580319642243</v>
      </c>
      <c r="H692" s="288">
        <v>0.68997648642842557</v>
      </c>
      <c r="I692" s="288">
        <v>1.1645169779884459E-2</v>
      </c>
      <c r="J692" s="288">
        <v>0.12881883239978587</v>
      </c>
      <c r="K692" s="288">
        <v>0.73202576611443448</v>
      </c>
      <c r="L692" s="290">
        <v>9981.2029310318303</v>
      </c>
      <c r="M692" s="288">
        <v>0</v>
      </c>
      <c r="N692" s="288">
        <v>16878.393491968294</v>
      </c>
      <c r="O692" s="288">
        <v>1107.3900466659557</v>
      </c>
      <c r="P692" s="288">
        <v>43432.592285984276</v>
      </c>
      <c r="Q692" s="291">
        <v>125537.67560422422</v>
      </c>
      <c r="R692" s="288">
        <v>16171.686371272874</v>
      </c>
      <c r="S692" s="288">
        <v>9141.7786694064725</v>
      </c>
      <c r="T692" s="290">
        <v>0.751</v>
      </c>
      <c r="U692" s="288">
        <v>0.75800000000000001</v>
      </c>
      <c r="V692" s="288">
        <v>0.723923076923077</v>
      </c>
      <c r="W692" s="288">
        <v>0.72750000000000004</v>
      </c>
      <c r="X692" s="288">
        <v>0.76</v>
      </c>
      <c r="Y692" s="288">
        <v>0</v>
      </c>
      <c r="Z692" s="289">
        <v>0</v>
      </c>
      <c r="AA692" s="229"/>
      <c r="AB692" s="293">
        <v>84059.176179983624</v>
      </c>
      <c r="AC692" s="294">
        <v>3.1792859340887358</v>
      </c>
      <c r="AD692" s="295">
        <v>73540.646284167975</v>
      </c>
      <c r="AE692" s="294">
        <v>2.9257860033303813</v>
      </c>
      <c r="AF692" s="295">
        <v>10518.529895815649</v>
      </c>
      <c r="AG692" s="296">
        <v>0.25349993075835453</v>
      </c>
      <c r="AH692" s="229"/>
      <c r="AI692" s="205">
        <f t="shared" si="74"/>
        <v>233869.41722888997</v>
      </c>
      <c r="AJ692" s="205">
        <f t="shared" si="75"/>
        <v>219037.95404887016</v>
      </c>
      <c r="AK692" s="205">
        <f t="shared" si="76"/>
        <v>14831.463180019804</v>
      </c>
      <c r="AL692" s="229"/>
      <c r="AM692" s="52">
        <f t="shared" si="58"/>
        <v>1</v>
      </c>
      <c r="AN692" s="52">
        <f t="shared" si="59"/>
        <v>0</v>
      </c>
      <c r="AO692" s="52">
        <f t="shared" si="60"/>
        <v>1</v>
      </c>
      <c r="AP692" s="229"/>
      <c r="AQ692" s="28"/>
      <c r="AR692" s="28"/>
      <c r="AS692" s="28"/>
      <c r="AT692" s="28"/>
      <c r="AU692" s="229"/>
      <c r="AV692" s="318">
        <f t="shared" si="77"/>
        <v>233869.41722888997</v>
      </c>
      <c r="AW692" s="229"/>
      <c r="AX692" s="313"/>
      <c r="AY692" s="302"/>
      <c r="AZ692" s="14">
        <f t="shared" si="79"/>
        <v>10518.529895815649</v>
      </c>
      <c r="BA692" s="14">
        <f t="shared" si="78"/>
        <v>0.25349993075835453</v>
      </c>
      <c r="BB692" s="14">
        <f t="shared" si="61"/>
        <v>41493.225912721449</v>
      </c>
      <c r="BC692" s="302"/>
      <c r="BD692" s="302"/>
      <c r="BE692" s="302"/>
      <c r="BF692" s="302"/>
      <c r="BG692" s="302"/>
      <c r="BH692" s="302"/>
      <c r="BI692" s="302"/>
      <c r="BJ692" s="302"/>
      <c r="BK692" s="302"/>
      <c r="BL692" s="302"/>
      <c r="BM692" s="302"/>
      <c r="BN692" s="302"/>
      <c r="BO692" s="302"/>
      <c r="BP692" s="302"/>
      <c r="BQ692" s="302"/>
      <c r="BR692" s="302"/>
      <c r="BS692" s="302"/>
      <c r="BT692" s="302"/>
      <c r="BU692" s="302"/>
      <c r="BV692" s="302"/>
      <c r="BW692" s="302"/>
      <c r="BX692" s="302"/>
      <c r="BY692" s="302"/>
      <c r="BZ692" s="302"/>
      <c r="CA692" s="302"/>
      <c r="CB692" s="28"/>
      <c r="CC692" s="28"/>
      <c r="CD692" s="28"/>
      <c r="CE692" s="28"/>
      <c r="CF692" s="28"/>
      <c r="CG692" s="28"/>
      <c r="CH692" s="28"/>
      <c r="CI692" s="28"/>
      <c r="CJ692" s="28"/>
      <c r="CK692" s="28"/>
      <c r="CL692" s="28"/>
      <c r="CM692" s="28"/>
      <c r="CN692" s="28"/>
      <c r="CO692" s="28"/>
      <c r="CP692" s="28"/>
      <c r="CQ692" s="28"/>
      <c r="CR692" s="28"/>
      <c r="CS692" s="28"/>
      <c r="CT692" s="28"/>
      <c r="CU692" s="28"/>
      <c r="CV692" s="28"/>
      <c r="CW692" s="28"/>
    </row>
    <row r="693" spans="1:101" ht="14.25" customHeight="1" x14ac:dyDescent="0.2">
      <c r="A693" s="286"/>
      <c r="B693" s="52">
        <v>0.16269249146705789</v>
      </c>
      <c r="C693" s="288">
        <v>9.5467242520140813E-2</v>
      </c>
      <c r="D693" s="288">
        <v>9.5047553163242603E-3</v>
      </c>
      <c r="E693" s="288">
        <v>1.8726634456878832E-2</v>
      </c>
      <c r="F693" s="289">
        <v>0.78443653156600435</v>
      </c>
      <c r="G693" s="92">
        <v>0.44794699074283995</v>
      </c>
      <c r="H693" s="288">
        <v>0.70895670543826939</v>
      </c>
      <c r="I693" s="288">
        <v>2.1420961272287875E-2</v>
      </c>
      <c r="J693" s="288">
        <v>0.19918205695471594</v>
      </c>
      <c r="K693" s="288">
        <v>0.82409580458260745</v>
      </c>
      <c r="L693" s="290">
        <v>14126.121978725545</v>
      </c>
      <c r="M693" s="288">
        <v>0</v>
      </c>
      <c r="N693" s="288">
        <v>16824.461791700283</v>
      </c>
      <c r="O693" s="288">
        <v>933.45865899600346</v>
      </c>
      <c r="P693" s="288">
        <v>48803.192208718363</v>
      </c>
      <c r="Q693" s="291">
        <v>87245.280549955452</v>
      </c>
      <c r="R693" s="288">
        <v>16100.478699813351</v>
      </c>
      <c r="S693" s="288">
        <v>9979.1739494533467</v>
      </c>
      <c r="T693" s="290">
        <v>0.751</v>
      </c>
      <c r="U693" s="288">
        <v>0.75800000000000001</v>
      </c>
      <c r="V693" s="288">
        <v>0.723923076923077</v>
      </c>
      <c r="W693" s="288">
        <v>0.72750000000000004</v>
      </c>
      <c r="X693" s="288">
        <v>0.76</v>
      </c>
      <c r="Y693" s="288">
        <v>0</v>
      </c>
      <c r="Z693" s="289">
        <v>0</v>
      </c>
      <c r="AA693" s="229"/>
      <c r="AB693" s="293">
        <v>92180.246041696519</v>
      </c>
      <c r="AC693" s="294">
        <v>3.1629555687912423</v>
      </c>
      <c r="AD693" s="295">
        <v>88403.003147959011</v>
      </c>
      <c r="AE693" s="294">
        <v>3.3535733463004891</v>
      </c>
      <c r="AF693" s="295">
        <v>3777.242893737508</v>
      </c>
      <c r="AG693" s="296">
        <v>-0.1906177775092468</v>
      </c>
      <c r="AH693" s="229"/>
      <c r="AI693" s="205">
        <f t="shared" si="74"/>
        <v>224115.31083742774</v>
      </c>
      <c r="AJ693" s="205">
        <f t="shared" si="75"/>
        <v>246954.33148208988</v>
      </c>
      <c r="AK693" s="205">
        <f t="shared" si="76"/>
        <v>-22839.020644662189</v>
      </c>
      <c r="AL693" s="229"/>
      <c r="AM693" s="52">
        <f t="shared" si="58"/>
        <v>0</v>
      </c>
      <c r="AN693" s="52">
        <f t="shared" si="59"/>
        <v>1</v>
      </c>
      <c r="AO693" s="52">
        <f t="shared" si="60"/>
        <v>0</v>
      </c>
      <c r="AP693" s="229"/>
      <c r="AQ693" s="28"/>
      <c r="AR693" s="28"/>
      <c r="AS693" s="28"/>
      <c r="AT693" s="28"/>
      <c r="AU693" s="229"/>
      <c r="AV693" s="318">
        <f t="shared" si="77"/>
        <v>246954.33148208988</v>
      </c>
      <c r="AW693" s="229"/>
      <c r="AX693" s="313"/>
      <c r="AY693" s="302"/>
      <c r="AZ693" s="14">
        <f t="shared" si="79"/>
        <v>3777.242893737508</v>
      </c>
      <c r="BA693" s="14">
        <f t="shared" si="78"/>
        <v>-0.1906177775092468</v>
      </c>
      <c r="BB693" s="14">
        <f t="shared" si="61"/>
        <v>-19815.795478752108</v>
      </c>
      <c r="BC693" s="302"/>
      <c r="BD693" s="302"/>
      <c r="BE693" s="302"/>
      <c r="BF693" s="302"/>
      <c r="BG693" s="302"/>
      <c r="BH693" s="302"/>
      <c r="BI693" s="302"/>
      <c r="BJ693" s="302"/>
      <c r="BK693" s="302"/>
      <c r="BL693" s="302"/>
      <c r="BM693" s="302"/>
      <c r="BN693" s="302"/>
      <c r="BO693" s="302"/>
      <c r="BP693" s="302"/>
      <c r="BQ693" s="302"/>
      <c r="BR693" s="302"/>
      <c r="BS693" s="302"/>
      <c r="BT693" s="302"/>
      <c r="BU693" s="302"/>
      <c r="BV693" s="302"/>
      <c r="BW693" s="302"/>
      <c r="BX693" s="302"/>
      <c r="BY693" s="302"/>
      <c r="BZ693" s="302"/>
      <c r="CA693" s="302"/>
      <c r="CB693" s="28"/>
      <c r="CC693" s="28"/>
      <c r="CD693" s="28"/>
      <c r="CE693" s="28"/>
      <c r="CF693" s="28"/>
      <c r="CG693" s="28"/>
      <c r="CH693" s="28"/>
      <c r="CI693" s="28"/>
      <c r="CJ693" s="28"/>
      <c r="CK693" s="28"/>
      <c r="CL693" s="28"/>
      <c r="CM693" s="28"/>
      <c r="CN693" s="28"/>
      <c r="CO693" s="28"/>
      <c r="CP693" s="28"/>
      <c r="CQ693" s="28"/>
      <c r="CR693" s="28"/>
      <c r="CS693" s="28"/>
      <c r="CT693" s="28"/>
      <c r="CU693" s="28"/>
      <c r="CV693" s="28"/>
      <c r="CW693" s="28"/>
    </row>
    <row r="694" spans="1:101" ht="14.25" customHeight="1" x14ac:dyDescent="0.2">
      <c r="A694" s="286"/>
      <c r="B694" s="52">
        <v>0.15042715783383648</v>
      </c>
      <c r="C694" s="288">
        <v>0.29993053356575694</v>
      </c>
      <c r="D694" s="288">
        <v>1.5017087786655559E-2</v>
      </c>
      <c r="E694" s="288">
        <v>1.0928955320091121E-2</v>
      </c>
      <c r="F694" s="289">
        <v>0.78224113093080039</v>
      </c>
      <c r="G694" s="92">
        <v>0.36229324798200135</v>
      </c>
      <c r="H694" s="288">
        <v>0.70378172853968723</v>
      </c>
      <c r="I694" s="288">
        <v>1.3595065879646446E-2</v>
      </c>
      <c r="J694" s="288">
        <v>0.93043172698978993</v>
      </c>
      <c r="K694" s="288">
        <v>0.76771268393909575</v>
      </c>
      <c r="L694" s="290">
        <v>10116.897217406769</v>
      </c>
      <c r="M694" s="288">
        <v>0</v>
      </c>
      <c r="N694" s="288">
        <v>19332.06682786188</v>
      </c>
      <c r="O694" s="288">
        <v>1337.2343898071269</v>
      </c>
      <c r="P694" s="288">
        <v>55566.825520876562</v>
      </c>
      <c r="Q694" s="291">
        <v>78424.570600870094</v>
      </c>
      <c r="R694" s="288">
        <v>16827.21976133166</v>
      </c>
      <c r="S694" s="288">
        <v>10139.020720274932</v>
      </c>
      <c r="T694" s="290">
        <v>0.751</v>
      </c>
      <c r="U694" s="288">
        <v>0.75800000000000001</v>
      </c>
      <c r="V694" s="288">
        <v>0.723923076923077</v>
      </c>
      <c r="W694" s="288">
        <v>0.72750000000000004</v>
      </c>
      <c r="X694" s="288">
        <v>0.76</v>
      </c>
      <c r="Y694" s="288">
        <v>0</v>
      </c>
      <c r="Z694" s="289">
        <v>0</v>
      </c>
      <c r="AA694" s="229"/>
      <c r="AB694" s="293">
        <v>89792.869999920222</v>
      </c>
      <c r="AC694" s="294">
        <v>3.1527565944932854</v>
      </c>
      <c r="AD694" s="295">
        <v>83088.097739149889</v>
      </c>
      <c r="AE694" s="294">
        <v>3.0900132124451254</v>
      </c>
      <c r="AF694" s="295">
        <v>6704.7722607703327</v>
      </c>
      <c r="AG694" s="296">
        <v>6.274338204815999E-2</v>
      </c>
      <c r="AH694" s="229"/>
      <c r="AI694" s="205">
        <f t="shared" si="74"/>
        <v>225482.78944940833</v>
      </c>
      <c r="AJ694" s="205">
        <f t="shared" si="75"/>
        <v>225913.22350536264</v>
      </c>
      <c r="AK694" s="205">
        <f t="shared" si="76"/>
        <v>-430.43405595433342</v>
      </c>
      <c r="AL694" s="229"/>
      <c r="AM694" s="52">
        <f t="shared" si="58"/>
        <v>0</v>
      </c>
      <c r="AN694" s="52">
        <f t="shared" si="59"/>
        <v>1</v>
      </c>
      <c r="AO694" s="52">
        <f t="shared" si="60"/>
        <v>0</v>
      </c>
      <c r="AP694" s="229"/>
      <c r="AQ694" s="28"/>
      <c r="AR694" s="28"/>
      <c r="AS694" s="28"/>
      <c r="AT694" s="28"/>
      <c r="AU694" s="229"/>
      <c r="AV694" s="318">
        <f t="shared" si="77"/>
        <v>225913.22350536264</v>
      </c>
      <c r="AW694" s="229"/>
      <c r="AX694" s="313"/>
      <c r="AY694" s="302"/>
      <c r="AZ694" s="14">
        <f t="shared" si="79"/>
        <v>6704.7722607703327</v>
      </c>
      <c r="BA694" s="14">
        <f t="shared" si="78"/>
        <v>6.274338204815999E-2</v>
      </c>
      <c r="BB694" s="14">
        <f t="shared" si="61"/>
        <v>106860.23038451999</v>
      </c>
      <c r="BC694" s="302"/>
      <c r="BD694" s="302"/>
      <c r="BE694" s="302"/>
      <c r="BF694" s="302"/>
      <c r="BG694" s="302"/>
      <c r="BH694" s="302"/>
      <c r="BI694" s="302"/>
      <c r="BJ694" s="302"/>
      <c r="BK694" s="302"/>
      <c r="BL694" s="302"/>
      <c r="BM694" s="302"/>
      <c r="BN694" s="302"/>
      <c r="BO694" s="302"/>
      <c r="BP694" s="302"/>
      <c r="BQ694" s="302"/>
      <c r="BR694" s="302"/>
      <c r="BS694" s="302"/>
      <c r="BT694" s="302"/>
      <c r="BU694" s="302"/>
      <c r="BV694" s="302"/>
      <c r="BW694" s="302"/>
      <c r="BX694" s="302"/>
      <c r="BY694" s="302"/>
      <c r="BZ694" s="302"/>
      <c r="CA694" s="302"/>
      <c r="CB694" s="28"/>
      <c r="CC694" s="28"/>
      <c r="CD694" s="28"/>
      <c r="CE694" s="28"/>
      <c r="CF694" s="28"/>
      <c r="CG694" s="28"/>
      <c r="CH694" s="28"/>
      <c r="CI694" s="28"/>
      <c r="CJ694" s="28"/>
      <c r="CK694" s="28"/>
      <c r="CL694" s="28"/>
      <c r="CM694" s="28"/>
      <c r="CN694" s="28"/>
      <c r="CO694" s="28"/>
      <c r="CP694" s="28"/>
      <c r="CQ694" s="28"/>
      <c r="CR694" s="28"/>
      <c r="CS694" s="28"/>
      <c r="CT694" s="28"/>
      <c r="CU694" s="28"/>
      <c r="CV694" s="28"/>
      <c r="CW694" s="28"/>
    </row>
    <row r="695" spans="1:101" ht="14.25" customHeight="1" x14ac:dyDescent="0.2">
      <c r="A695" s="286"/>
      <c r="B695" s="52">
        <v>0.16757524984336891</v>
      </c>
      <c r="C695" s="288">
        <v>0.52213634552166865</v>
      </c>
      <c r="D695" s="288">
        <v>1.2213177951087147E-2</v>
      </c>
      <c r="E695" s="288">
        <v>1.0004874006436867E-2</v>
      </c>
      <c r="F695" s="289">
        <v>0.82049733694787319</v>
      </c>
      <c r="G695" s="92">
        <v>0.31934119595434962</v>
      </c>
      <c r="H695" s="288">
        <v>2.1265696357784308E-3</v>
      </c>
      <c r="I695" s="288">
        <v>1.0139960104355224E-2</v>
      </c>
      <c r="J695" s="288">
        <v>0.9524584816270667</v>
      </c>
      <c r="K695" s="288">
        <v>0.80545244088666723</v>
      </c>
      <c r="L695" s="290">
        <v>12159.929864194588</v>
      </c>
      <c r="M695" s="288">
        <v>0</v>
      </c>
      <c r="N695" s="288">
        <v>20151.448236183427</v>
      </c>
      <c r="O695" s="288">
        <v>1292.1368427667608</v>
      </c>
      <c r="P695" s="288">
        <v>44974.12725992316</v>
      </c>
      <c r="Q695" s="291">
        <v>68587.379269054654</v>
      </c>
      <c r="R695" s="288">
        <v>26645.252909944138</v>
      </c>
      <c r="S695" s="288">
        <v>7782.0370086756657</v>
      </c>
      <c r="T695" s="290">
        <v>0.751</v>
      </c>
      <c r="U695" s="288">
        <v>0.75800000000000001</v>
      </c>
      <c r="V695" s="288">
        <v>0.723923076923077</v>
      </c>
      <c r="W695" s="288">
        <v>0.72750000000000004</v>
      </c>
      <c r="X695" s="288">
        <v>0.76</v>
      </c>
      <c r="Y695" s="288">
        <v>0</v>
      </c>
      <c r="Z695" s="289">
        <v>0</v>
      </c>
      <c r="AA695" s="229"/>
      <c r="AB695" s="293">
        <v>78077.03612083722</v>
      </c>
      <c r="AC695" s="294">
        <v>3.3315619047432365</v>
      </c>
      <c r="AD695" s="295">
        <v>63400.792731518282</v>
      </c>
      <c r="AE695" s="294">
        <v>3.2658713348907336</v>
      </c>
      <c r="AF695" s="295">
        <v>14676.243389318937</v>
      </c>
      <c r="AG695" s="296">
        <v>6.5690569852502989E-2</v>
      </c>
      <c r="AH695" s="229"/>
      <c r="AI695" s="205">
        <f t="shared" si="74"/>
        <v>255079.15435348643</v>
      </c>
      <c r="AJ695" s="205">
        <f t="shared" si="75"/>
        <v>263186.3407575551</v>
      </c>
      <c r="AK695" s="205">
        <f t="shared" si="76"/>
        <v>-8107.1864040686387</v>
      </c>
      <c r="AL695" s="229"/>
      <c r="AM695" s="52">
        <f t="shared" si="58"/>
        <v>0</v>
      </c>
      <c r="AN695" s="52">
        <f t="shared" si="59"/>
        <v>1</v>
      </c>
      <c r="AO695" s="52">
        <f t="shared" si="60"/>
        <v>0</v>
      </c>
      <c r="AP695" s="229"/>
      <c r="AQ695" s="28"/>
      <c r="AR695" s="28"/>
      <c r="AS695" s="28"/>
      <c r="AT695" s="28"/>
      <c r="AU695" s="229"/>
      <c r="AV695" s="318">
        <f t="shared" si="77"/>
        <v>263186.3407575551</v>
      </c>
      <c r="AW695" s="229"/>
      <c r="AX695" s="313"/>
      <c r="AY695" s="302"/>
      <c r="AZ695" s="14">
        <f t="shared" si="79"/>
        <v>14676.243389318937</v>
      </c>
      <c r="BA695" s="14">
        <f t="shared" si="78"/>
        <v>6.5690569852502989E-2</v>
      </c>
      <c r="BB695" s="14">
        <f t="shared" si="61"/>
        <v>223414.76748142004</v>
      </c>
      <c r="BC695" s="302"/>
      <c r="BD695" s="302"/>
      <c r="BE695" s="302"/>
      <c r="BF695" s="302"/>
      <c r="BG695" s="302"/>
      <c r="BH695" s="302"/>
      <c r="BI695" s="302"/>
      <c r="BJ695" s="302"/>
      <c r="BK695" s="302"/>
      <c r="BL695" s="302"/>
      <c r="BM695" s="302"/>
      <c r="BN695" s="302"/>
      <c r="BO695" s="302"/>
      <c r="BP695" s="302"/>
      <c r="BQ695" s="302"/>
      <c r="BR695" s="302"/>
      <c r="BS695" s="302"/>
      <c r="BT695" s="302"/>
      <c r="BU695" s="302"/>
      <c r="BV695" s="302"/>
      <c r="BW695" s="302"/>
      <c r="BX695" s="302"/>
      <c r="BY695" s="302"/>
      <c r="BZ695" s="302"/>
      <c r="CA695" s="302"/>
      <c r="CB695" s="28"/>
      <c r="CC695" s="28"/>
      <c r="CD695" s="28"/>
      <c r="CE695" s="28"/>
      <c r="CF695" s="28"/>
      <c r="CG695" s="28"/>
      <c r="CH695" s="28"/>
      <c r="CI695" s="28"/>
      <c r="CJ695" s="28"/>
      <c r="CK695" s="28"/>
      <c r="CL695" s="28"/>
      <c r="CM695" s="28"/>
      <c r="CN695" s="28"/>
      <c r="CO695" s="28"/>
      <c r="CP695" s="28"/>
      <c r="CQ695" s="28"/>
      <c r="CR695" s="28"/>
      <c r="CS695" s="28"/>
      <c r="CT695" s="28"/>
      <c r="CU695" s="28"/>
      <c r="CV695" s="28"/>
      <c r="CW695" s="28"/>
    </row>
    <row r="696" spans="1:101" ht="14.25" customHeight="1" x14ac:dyDescent="0.2">
      <c r="A696" s="286"/>
      <c r="B696" s="52">
        <v>0.17052837657452979</v>
      </c>
      <c r="C696" s="288">
        <v>0.50271845387938385</v>
      </c>
      <c r="D696" s="288">
        <v>1.9419792605837594E-2</v>
      </c>
      <c r="E696" s="288">
        <v>9.726709518934451E-3</v>
      </c>
      <c r="F696" s="289">
        <v>0.7809249798812109</v>
      </c>
      <c r="G696" s="92">
        <v>0.4663615153914431</v>
      </c>
      <c r="H696" s="288">
        <v>0.86431593766423698</v>
      </c>
      <c r="I696" s="288">
        <v>2.455036867049154E-2</v>
      </c>
      <c r="J696" s="288">
        <v>0.99823624643137376</v>
      </c>
      <c r="K696" s="288">
        <v>0.75097647286975777</v>
      </c>
      <c r="L696" s="290">
        <v>11773.055689574674</v>
      </c>
      <c r="M696" s="288">
        <v>0</v>
      </c>
      <c r="N696" s="288">
        <v>16277.898247737785</v>
      </c>
      <c r="O696" s="288">
        <v>1025.4782597540732</v>
      </c>
      <c r="P696" s="288">
        <v>49822.996934480274</v>
      </c>
      <c r="Q696" s="291">
        <v>90533.70549483427</v>
      </c>
      <c r="R696" s="288">
        <v>18311.097122801748</v>
      </c>
      <c r="S696" s="288">
        <v>7974.668101802733</v>
      </c>
      <c r="T696" s="290">
        <v>0.751</v>
      </c>
      <c r="U696" s="288">
        <v>0.75800000000000001</v>
      </c>
      <c r="V696" s="288">
        <v>0.723923076923077</v>
      </c>
      <c r="W696" s="288">
        <v>0.72750000000000004</v>
      </c>
      <c r="X696" s="288">
        <v>0.76</v>
      </c>
      <c r="Y696" s="288">
        <v>0</v>
      </c>
      <c r="Z696" s="289">
        <v>0</v>
      </c>
      <c r="AA696" s="229"/>
      <c r="AB696" s="293">
        <v>75487.288978698285</v>
      </c>
      <c r="AC696" s="294">
        <v>3.1466458951172163</v>
      </c>
      <c r="AD696" s="295">
        <v>69292.837024103676</v>
      </c>
      <c r="AE696" s="294">
        <v>3.0127450746549775</v>
      </c>
      <c r="AF696" s="295">
        <v>6194.4519545946096</v>
      </c>
      <c r="AG696" s="296">
        <v>0.13390082046223872</v>
      </c>
      <c r="AH696" s="229"/>
      <c r="AI696" s="205">
        <f t="shared" si="74"/>
        <v>239177.30053302334</v>
      </c>
      <c r="AJ696" s="205">
        <f t="shared" si="75"/>
        <v>231981.67044139409</v>
      </c>
      <c r="AK696" s="205">
        <f t="shared" si="76"/>
        <v>7195.6300916292621</v>
      </c>
      <c r="AL696" s="229"/>
      <c r="AM696" s="52">
        <f t="shared" si="58"/>
        <v>1</v>
      </c>
      <c r="AN696" s="52">
        <f t="shared" si="59"/>
        <v>0</v>
      </c>
      <c r="AO696" s="52">
        <f t="shared" si="60"/>
        <v>1</v>
      </c>
      <c r="AP696" s="229"/>
      <c r="AQ696" s="28"/>
      <c r="AR696" s="28"/>
      <c r="AS696" s="28"/>
      <c r="AT696" s="28"/>
      <c r="AU696" s="229"/>
      <c r="AV696" s="318">
        <f t="shared" si="77"/>
        <v>239177.30053302334</v>
      </c>
      <c r="AW696" s="229"/>
      <c r="AX696" s="313"/>
      <c r="AY696" s="302"/>
      <c r="AZ696" s="14">
        <f t="shared" si="79"/>
        <v>6194.4519545946096</v>
      </c>
      <c r="BA696" s="14">
        <f t="shared" si="78"/>
        <v>0.13390082046223872</v>
      </c>
      <c r="BB696" s="14">
        <f t="shared" si="61"/>
        <v>46261.493642912385</v>
      </c>
      <c r="BC696" s="302"/>
      <c r="BD696" s="302"/>
      <c r="BE696" s="302"/>
      <c r="BF696" s="302"/>
      <c r="BG696" s="302"/>
      <c r="BH696" s="302"/>
      <c r="BI696" s="302"/>
      <c r="BJ696" s="302"/>
      <c r="BK696" s="302"/>
      <c r="BL696" s="302"/>
      <c r="BM696" s="302"/>
      <c r="BN696" s="302"/>
      <c r="BO696" s="302"/>
      <c r="BP696" s="302"/>
      <c r="BQ696" s="302"/>
      <c r="BR696" s="302"/>
      <c r="BS696" s="302"/>
      <c r="BT696" s="302"/>
      <c r="BU696" s="302"/>
      <c r="BV696" s="302"/>
      <c r="BW696" s="302"/>
      <c r="BX696" s="302"/>
      <c r="BY696" s="302"/>
      <c r="BZ696" s="302"/>
      <c r="CA696" s="302"/>
      <c r="CB696" s="28"/>
      <c r="CC696" s="28"/>
      <c r="CD696" s="28"/>
      <c r="CE696" s="28"/>
      <c r="CF696" s="28"/>
      <c r="CG696" s="28"/>
      <c r="CH696" s="28"/>
      <c r="CI696" s="28"/>
      <c r="CJ696" s="28"/>
      <c r="CK696" s="28"/>
      <c r="CL696" s="28"/>
      <c r="CM696" s="28"/>
      <c r="CN696" s="28"/>
      <c r="CO696" s="28"/>
      <c r="CP696" s="28"/>
      <c r="CQ696" s="28"/>
      <c r="CR696" s="28"/>
      <c r="CS696" s="28"/>
      <c r="CT696" s="28"/>
      <c r="CU696" s="28"/>
      <c r="CV696" s="28"/>
      <c r="CW696" s="28"/>
    </row>
    <row r="697" spans="1:101" ht="14.25" customHeight="1" x14ac:dyDescent="0.2">
      <c r="A697" s="286"/>
      <c r="B697" s="52">
        <v>0.18582227867117884</v>
      </c>
      <c r="C697" s="288">
        <v>0.31510991471344418</v>
      </c>
      <c r="D697" s="288">
        <v>1.7888355173245718E-2</v>
      </c>
      <c r="E697" s="288">
        <v>1.2626143775580939E-2</v>
      </c>
      <c r="F697" s="289">
        <v>0.77806899218254022</v>
      </c>
      <c r="G697" s="92">
        <v>0.43120001928059581</v>
      </c>
      <c r="H697" s="288">
        <v>0.48867249175861616</v>
      </c>
      <c r="I697" s="288">
        <v>2.2880279548827653E-2</v>
      </c>
      <c r="J697" s="288">
        <v>0.78609975589378855</v>
      </c>
      <c r="K697" s="288">
        <v>0.78351671398565492</v>
      </c>
      <c r="L697" s="290">
        <v>14226.598868017434</v>
      </c>
      <c r="M697" s="288">
        <v>0</v>
      </c>
      <c r="N697" s="288">
        <v>23848.727172674106</v>
      </c>
      <c r="O697" s="288">
        <v>1208.4646562721639</v>
      </c>
      <c r="P697" s="288">
        <v>28994.204334513059</v>
      </c>
      <c r="Q697" s="291">
        <v>105742.39466078139</v>
      </c>
      <c r="R697" s="288">
        <v>21728.110545901174</v>
      </c>
      <c r="S697" s="288">
        <v>11304.986026575376</v>
      </c>
      <c r="T697" s="290">
        <v>0.751</v>
      </c>
      <c r="U697" s="288">
        <v>0.75800000000000001</v>
      </c>
      <c r="V697" s="288">
        <v>0.723923076923077</v>
      </c>
      <c r="W697" s="288">
        <v>0.72750000000000004</v>
      </c>
      <c r="X697" s="288">
        <v>0.76</v>
      </c>
      <c r="Y697" s="288">
        <v>0</v>
      </c>
      <c r="Z697" s="289">
        <v>0</v>
      </c>
      <c r="AA697" s="229"/>
      <c r="AB697" s="293">
        <v>103178.2371474172</v>
      </c>
      <c r="AC697" s="294">
        <v>3.1333953012002045</v>
      </c>
      <c r="AD697" s="295">
        <v>94839.826416707656</v>
      </c>
      <c r="AE697" s="294">
        <v>3.1633829413307128</v>
      </c>
      <c r="AF697" s="295">
        <v>8338.4107307095401</v>
      </c>
      <c r="AG697" s="296">
        <v>-2.9987640130508364E-2</v>
      </c>
      <c r="AH697" s="229"/>
      <c r="AI697" s="205">
        <f t="shared" si="74"/>
        <v>210161.29297260323</v>
      </c>
      <c r="AJ697" s="205">
        <f t="shared" si="75"/>
        <v>221498.46771636361</v>
      </c>
      <c r="AK697" s="205">
        <f t="shared" si="76"/>
        <v>-11337.174743760377</v>
      </c>
      <c r="AL697" s="229"/>
      <c r="AM697" s="52">
        <f t="shared" si="58"/>
        <v>0</v>
      </c>
      <c r="AN697" s="52">
        <f t="shared" si="59"/>
        <v>1</v>
      </c>
      <c r="AO697" s="52">
        <f t="shared" si="60"/>
        <v>0</v>
      </c>
      <c r="AP697" s="229"/>
      <c r="AQ697" s="28"/>
      <c r="AR697" s="28"/>
      <c r="AS697" s="28"/>
      <c r="AT697" s="28"/>
      <c r="AU697" s="229"/>
      <c r="AV697" s="318">
        <f t="shared" si="77"/>
        <v>221498.46771636361</v>
      </c>
      <c r="AW697" s="229"/>
      <c r="AX697" s="313"/>
      <c r="AY697" s="302"/>
      <c r="AZ697" s="14">
        <f t="shared" si="79"/>
        <v>8338.4107307095401</v>
      </c>
      <c r="BA697" s="14">
        <f t="shared" si="78"/>
        <v>-2.9987640130508364E-2</v>
      </c>
      <c r="BB697" s="14">
        <f t="shared" si="61"/>
        <v>-278061.58452016156</v>
      </c>
      <c r="BC697" s="302"/>
      <c r="BD697" s="302"/>
      <c r="BE697" s="302"/>
      <c r="BF697" s="302"/>
      <c r="BG697" s="302"/>
      <c r="BH697" s="302"/>
      <c r="BI697" s="302"/>
      <c r="BJ697" s="302"/>
      <c r="BK697" s="302"/>
      <c r="BL697" s="302"/>
      <c r="BM697" s="302"/>
      <c r="BN697" s="302"/>
      <c r="BO697" s="302"/>
      <c r="BP697" s="302"/>
      <c r="BQ697" s="302"/>
      <c r="BR697" s="302"/>
      <c r="BS697" s="302"/>
      <c r="BT697" s="302"/>
      <c r="BU697" s="302"/>
      <c r="BV697" s="302"/>
      <c r="BW697" s="302"/>
      <c r="BX697" s="302"/>
      <c r="BY697" s="302"/>
      <c r="BZ697" s="302"/>
      <c r="CA697" s="302"/>
      <c r="CB697" s="28"/>
      <c r="CC697" s="28"/>
      <c r="CD697" s="28"/>
      <c r="CE697" s="28"/>
      <c r="CF697" s="28"/>
      <c r="CG697" s="28"/>
      <c r="CH697" s="28"/>
      <c r="CI697" s="28"/>
      <c r="CJ697" s="28"/>
      <c r="CK697" s="28"/>
      <c r="CL697" s="28"/>
      <c r="CM697" s="28"/>
      <c r="CN697" s="28"/>
      <c r="CO697" s="28"/>
      <c r="CP697" s="28"/>
      <c r="CQ697" s="28"/>
      <c r="CR697" s="28"/>
      <c r="CS697" s="28"/>
      <c r="CT697" s="28"/>
      <c r="CU697" s="28"/>
      <c r="CV697" s="28"/>
      <c r="CW697" s="28"/>
    </row>
    <row r="698" spans="1:101" ht="14.25" customHeight="1" x14ac:dyDescent="0.2">
      <c r="A698" s="286"/>
      <c r="B698" s="52">
        <v>0.15013264062762632</v>
      </c>
      <c r="C698" s="288">
        <v>0.44982072309569932</v>
      </c>
      <c r="D698" s="288">
        <v>1.591664622378175E-2</v>
      </c>
      <c r="E698" s="288">
        <v>6.4389416244788281E-3</v>
      </c>
      <c r="F698" s="289">
        <v>0.78018141649866224</v>
      </c>
      <c r="G698" s="92">
        <v>0.43933602470081778</v>
      </c>
      <c r="H698" s="288">
        <v>0.59330462852812582</v>
      </c>
      <c r="I698" s="288">
        <v>1.4202974421623578E-2</v>
      </c>
      <c r="J698" s="288">
        <v>1</v>
      </c>
      <c r="K698" s="288">
        <v>0.78706418364789643</v>
      </c>
      <c r="L698" s="290">
        <v>9068.9473324769606</v>
      </c>
      <c r="M698" s="288">
        <v>0</v>
      </c>
      <c r="N698" s="288">
        <v>22592.794164432427</v>
      </c>
      <c r="O698" s="288">
        <v>1089.2452593986079</v>
      </c>
      <c r="P698" s="288">
        <v>54432.930866861454</v>
      </c>
      <c r="Q698" s="291">
        <v>101356.31144745198</v>
      </c>
      <c r="R698" s="288">
        <v>24843.701775133566</v>
      </c>
      <c r="S698" s="288">
        <v>8196.4256564064235</v>
      </c>
      <c r="T698" s="290">
        <v>0.751</v>
      </c>
      <c r="U698" s="288">
        <v>0.75800000000000001</v>
      </c>
      <c r="V698" s="288">
        <v>0.723923076923077</v>
      </c>
      <c r="W698" s="288">
        <v>0.72750000000000004</v>
      </c>
      <c r="X698" s="288">
        <v>0.76</v>
      </c>
      <c r="Y698" s="288">
        <v>0</v>
      </c>
      <c r="Z698" s="289">
        <v>0</v>
      </c>
      <c r="AA698" s="229"/>
      <c r="AB698" s="293">
        <v>74475.765801164991</v>
      </c>
      <c r="AC698" s="294">
        <v>3.1431948387442694</v>
      </c>
      <c r="AD698" s="295">
        <v>72372.70803935657</v>
      </c>
      <c r="AE698" s="294">
        <v>3.1799060652393125</v>
      </c>
      <c r="AF698" s="295">
        <v>2103.0577618084208</v>
      </c>
      <c r="AG698" s="296">
        <v>-3.6711226495043103E-2</v>
      </c>
      <c r="AH698" s="229"/>
      <c r="AI698" s="205">
        <f t="shared" si="74"/>
        <v>239843.71807326193</v>
      </c>
      <c r="AJ698" s="205">
        <f t="shared" si="75"/>
        <v>245617.89848457469</v>
      </c>
      <c r="AK698" s="205">
        <f t="shared" si="76"/>
        <v>-5774.1804113127309</v>
      </c>
      <c r="AL698" s="229"/>
      <c r="AM698" s="52">
        <f t="shared" si="58"/>
        <v>0</v>
      </c>
      <c r="AN698" s="52">
        <f t="shared" si="59"/>
        <v>1</v>
      </c>
      <c r="AO698" s="52">
        <f t="shared" si="60"/>
        <v>0</v>
      </c>
      <c r="AP698" s="229"/>
      <c r="AQ698" s="28"/>
      <c r="AR698" s="28"/>
      <c r="AS698" s="28"/>
      <c r="AT698" s="28"/>
      <c r="AU698" s="229"/>
      <c r="AV698" s="318">
        <f t="shared" si="77"/>
        <v>245617.89848457469</v>
      </c>
      <c r="AW698" s="229"/>
      <c r="AX698" s="313"/>
      <c r="AY698" s="302"/>
      <c r="AZ698" s="14">
        <f t="shared" si="79"/>
        <v>2103.0577618084208</v>
      </c>
      <c r="BA698" s="14">
        <f t="shared" si="78"/>
        <v>-3.6711226495043103E-2</v>
      </c>
      <c r="BB698" s="14">
        <f t="shared" si="61"/>
        <v>-57286.5023208196</v>
      </c>
      <c r="BC698" s="302"/>
      <c r="BD698" s="302"/>
      <c r="BE698" s="302"/>
      <c r="BF698" s="302"/>
      <c r="BG698" s="302"/>
      <c r="BH698" s="302"/>
      <c r="BI698" s="302"/>
      <c r="BJ698" s="302"/>
      <c r="BK698" s="302"/>
      <c r="BL698" s="302"/>
      <c r="BM698" s="302"/>
      <c r="BN698" s="302"/>
      <c r="BO698" s="302"/>
      <c r="BP698" s="302"/>
      <c r="BQ698" s="302"/>
      <c r="BR698" s="302"/>
      <c r="BS698" s="302"/>
      <c r="BT698" s="302"/>
      <c r="BU698" s="302"/>
      <c r="BV698" s="302"/>
      <c r="BW698" s="302"/>
      <c r="BX698" s="302"/>
      <c r="BY698" s="302"/>
      <c r="BZ698" s="302"/>
      <c r="CA698" s="302"/>
      <c r="CB698" s="28"/>
      <c r="CC698" s="28"/>
      <c r="CD698" s="28"/>
      <c r="CE698" s="28"/>
      <c r="CF698" s="28"/>
      <c r="CG698" s="28"/>
      <c r="CH698" s="28"/>
      <c r="CI698" s="28"/>
      <c r="CJ698" s="28"/>
      <c r="CK698" s="28"/>
      <c r="CL698" s="28"/>
      <c r="CM698" s="28"/>
      <c r="CN698" s="28"/>
      <c r="CO698" s="28"/>
      <c r="CP698" s="28"/>
      <c r="CQ698" s="28"/>
      <c r="CR698" s="28"/>
      <c r="CS698" s="28"/>
      <c r="CT698" s="28"/>
      <c r="CU698" s="28"/>
      <c r="CV698" s="28"/>
      <c r="CW698" s="28"/>
    </row>
    <row r="699" spans="1:101" ht="14.25" customHeight="1" x14ac:dyDescent="0.2">
      <c r="A699" s="286"/>
      <c r="B699" s="52">
        <v>0.17159588884119725</v>
      </c>
      <c r="C699" s="288">
        <v>4.4393906721581868E-2</v>
      </c>
      <c r="D699" s="288">
        <v>1.4944497525824607E-2</v>
      </c>
      <c r="E699" s="288">
        <v>1.5159662242227867E-2</v>
      </c>
      <c r="F699" s="289">
        <v>0.77714634722772247</v>
      </c>
      <c r="G699" s="92">
        <v>0.38906359262806772</v>
      </c>
      <c r="H699" s="288">
        <v>1.1184319530749937E-2</v>
      </c>
      <c r="I699" s="288">
        <v>4.2021700242398596E-2</v>
      </c>
      <c r="J699" s="288">
        <v>2.9009058588694701E-2</v>
      </c>
      <c r="K699" s="288">
        <v>0.72842580445113825</v>
      </c>
      <c r="L699" s="290">
        <v>14520.287244141298</v>
      </c>
      <c r="M699" s="288">
        <v>0</v>
      </c>
      <c r="N699" s="288">
        <v>15918.051020808818</v>
      </c>
      <c r="O699" s="288">
        <v>1886.4887178095144</v>
      </c>
      <c r="P699" s="288">
        <v>44841.212028684997</v>
      </c>
      <c r="Q699" s="291">
        <v>116893.0421217955</v>
      </c>
      <c r="R699" s="288">
        <v>24620.338988057832</v>
      </c>
      <c r="S699" s="288">
        <v>8198.480347302464</v>
      </c>
      <c r="T699" s="290">
        <v>0.751</v>
      </c>
      <c r="U699" s="288">
        <v>0.75800000000000001</v>
      </c>
      <c r="V699" s="288">
        <v>0.723923076923077</v>
      </c>
      <c r="W699" s="288">
        <v>0.72750000000000004</v>
      </c>
      <c r="X699" s="288">
        <v>0.76</v>
      </c>
      <c r="Y699" s="288">
        <v>0</v>
      </c>
      <c r="Z699" s="289">
        <v>0</v>
      </c>
      <c r="AA699" s="229"/>
      <c r="AB699" s="293">
        <v>78425.28995780593</v>
      </c>
      <c r="AC699" s="294">
        <v>3.1291173468846916</v>
      </c>
      <c r="AD699" s="295">
        <v>62344.290950479975</v>
      </c>
      <c r="AE699" s="294">
        <v>2.9093308474324058</v>
      </c>
      <c r="AF699" s="295">
        <v>16080.999007325954</v>
      </c>
      <c r="AG699" s="296">
        <v>0.21978649945228579</v>
      </c>
      <c r="AH699" s="229"/>
      <c r="AI699" s="205">
        <f t="shared" si="74"/>
        <v>234486.44473066321</v>
      </c>
      <c r="AJ699" s="205">
        <f t="shared" si="75"/>
        <v>228588.79379276058</v>
      </c>
      <c r="AK699" s="205">
        <f t="shared" si="76"/>
        <v>5897.6509379026247</v>
      </c>
      <c r="AL699" s="229"/>
      <c r="AM699" s="52">
        <f t="shared" si="58"/>
        <v>1</v>
      </c>
      <c r="AN699" s="52">
        <f t="shared" si="59"/>
        <v>0</v>
      </c>
      <c r="AO699" s="52">
        <f t="shared" si="60"/>
        <v>1</v>
      </c>
      <c r="AP699" s="229"/>
      <c r="AQ699" s="28"/>
      <c r="AR699" s="28"/>
      <c r="AS699" s="28"/>
      <c r="AT699" s="28"/>
      <c r="AU699" s="229"/>
      <c r="AV699" s="318">
        <f t="shared" si="77"/>
        <v>234486.44473066321</v>
      </c>
      <c r="AW699" s="229"/>
      <c r="AX699" s="313"/>
      <c r="AY699" s="302"/>
      <c r="AZ699" s="14">
        <f t="shared" si="79"/>
        <v>16080.999007325954</v>
      </c>
      <c r="BA699" s="14">
        <f t="shared" si="78"/>
        <v>0.21978649945228579</v>
      </c>
      <c r="BB699" s="14">
        <f t="shared" si="61"/>
        <v>73166.454934221445</v>
      </c>
      <c r="BC699" s="302"/>
      <c r="BD699" s="302"/>
      <c r="BE699" s="302"/>
      <c r="BF699" s="302"/>
      <c r="BG699" s="302"/>
      <c r="BH699" s="302"/>
      <c r="BI699" s="302"/>
      <c r="BJ699" s="302"/>
      <c r="BK699" s="302"/>
      <c r="BL699" s="302"/>
      <c r="BM699" s="302"/>
      <c r="BN699" s="302"/>
      <c r="BO699" s="302"/>
      <c r="BP699" s="302"/>
      <c r="BQ699" s="302"/>
      <c r="BR699" s="302"/>
      <c r="BS699" s="302"/>
      <c r="BT699" s="302"/>
      <c r="BU699" s="302"/>
      <c r="BV699" s="302"/>
      <c r="BW699" s="302"/>
      <c r="BX699" s="302"/>
      <c r="BY699" s="302"/>
      <c r="BZ699" s="302"/>
      <c r="CA699" s="302"/>
      <c r="CB699" s="28"/>
      <c r="CC699" s="28"/>
      <c r="CD699" s="28"/>
      <c r="CE699" s="28"/>
      <c r="CF699" s="28"/>
      <c r="CG699" s="28"/>
      <c r="CH699" s="28"/>
      <c r="CI699" s="28"/>
      <c r="CJ699" s="28"/>
      <c r="CK699" s="28"/>
      <c r="CL699" s="28"/>
      <c r="CM699" s="28"/>
      <c r="CN699" s="28"/>
      <c r="CO699" s="28"/>
      <c r="CP699" s="28"/>
      <c r="CQ699" s="28"/>
      <c r="CR699" s="28"/>
      <c r="CS699" s="28"/>
      <c r="CT699" s="28"/>
      <c r="CU699" s="28"/>
      <c r="CV699" s="28"/>
      <c r="CW699" s="28"/>
    </row>
    <row r="700" spans="1:101" ht="14.25" customHeight="1" x14ac:dyDescent="0.2">
      <c r="A700" s="286"/>
      <c r="B700" s="52">
        <v>0.17190316900430314</v>
      </c>
      <c r="C700" s="288">
        <v>0.496744057685781</v>
      </c>
      <c r="D700" s="288">
        <v>1.5565915215641546E-2</v>
      </c>
      <c r="E700" s="288">
        <v>4.6739603679200846E-3</v>
      </c>
      <c r="F700" s="289">
        <v>0.76893272038830962</v>
      </c>
      <c r="G700" s="92">
        <v>0.39814711618605481</v>
      </c>
      <c r="H700" s="288">
        <v>1.5181235362682845E-2</v>
      </c>
      <c r="I700" s="288">
        <v>2.7041552592001028E-2</v>
      </c>
      <c r="J700" s="288">
        <v>0.99999958801665856</v>
      </c>
      <c r="K700" s="288">
        <v>0.82734536337833964</v>
      </c>
      <c r="L700" s="290">
        <v>13724.266286659742</v>
      </c>
      <c r="M700" s="288">
        <v>0</v>
      </c>
      <c r="N700" s="288">
        <v>15476.215688446138</v>
      </c>
      <c r="O700" s="288">
        <v>1115.9840754935387</v>
      </c>
      <c r="P700" s="288">
        <v>48728.668540122744</v>
      </c>
      <c r="Q700" s="291">
        <v>86651.566049376037</v>
      </c>
      <c r="R700" s="288">
        <v>30920.828700146383</v>
      </c>
      <c r="S700" s="288">
        <v>9363.7251892550212</v>
      </c>
      <c r="T700" s="290">
        <v>0.751</v>
      </c>
      <c r="U700" s="288">
        <v>0.75800000000000001</v>
      </c>
      <c r="V700" s="288">
        <v>0.723923076923077</v>
      </c>
      <c r="W700" s="288">
        <v>0.72750000000000004</v>
      </c>
      <c r="X700" s="288">
        <v>0.76</v>
      </c>
      <c r="Y700" s="288">
        <v>0</v>
      </c>
      <c r="Z700" s="289">
        <v>0</v>
      </c>
      <c r="AA700" s="229"/>
      <c r="AB700" s="293">
        <v>88086.359376064676</v>
      </c>
      <c r="AC700" s="294">
        <v>3.0910927296799007</v>
      </c>
      <c r="AD700" s="295">
        <v>79665.639914490763</v>
      </c>
      <c r="AE700" s="294">
        <v>3.3689159723976063</v>
      </c>
      <c r="AF700" s="295">
        <v>8420.7194615739136</v>
      </c>
      <c r="AG700" s="296">
        <v>-0.27782324271770564</v>
      </c>
      <c r="AH700" s="229"/>
      <c r="AI700" s="205">
        <f t="shared" si="74"/>
        <v>221022.9135919254</v>
      </c>
      <c r="AJ700" s="205">
        <f t="shared" si="75"/>
        <v>257225.95732526988</v>
      </c>
      <c r="AK700" s="205">
        <f t="shared" si="76"/>
        <v>-36203.043733344479</v>
      </c>
      <c r="AL700" s="229"/>
      <c r="AM700" s="52">
        <f t="shared" si="58"/>
        <v>0</v>
      </c>
      <c r="AN700" s="52">
        <f t="shared" si="59"/>
        <v>1</v>
      </c>
      <c r="AO700" s="52">
        <f t="shared" si="60"/>
        <v>0</v>
      </c>
      <c r="AP700" s="229"/>
      <c r="AQ700" s="28"/>
      <c r="AR700" s="28"/>
      <c r="AS700" s="28"/>
      <c r="AT700" s="28"/>
      <c r="AU700" s="229"/>
      <c r="AV700" s="318">
        <f t="shared" si="77"/>
        <v>257225.95732526988</v>
      </c>
      <c r="AW700" s="229"/>
      <c r="AX700" s="313"/>
      <c r="AY700" s="302"/>
      <c r="AZ700" s="14">
        <f t="shared" si="79"/>
        <v>8420.7194615739136</v>
      </c>
      <c r="BA700" s="14">
        <f t="shared" si="78"/>
        <v>-0.27782324271770564</v>
      </c>
      <c r="BB700" s="14">
        <f t="shared" si="61"/>
        <v>-30309.629169976073</v>
      </c>
      <c r="BC700" s="302"/>
      <c r="BD700" s="302"/>
      <c r="BE700" s="302"/>
      <c r="BF700" s="302"/>
      <c r="BG700" s="302"/>
      <c r="BH700" s="302"/>
      <c r="BI700" s="302"/>
      <c r="BJ700" s="302"/>
      <c r="BK700" s="302"/>
      <c r="BL700" s="302"/>
      <c r="BM700" s="302"/>
      <c r="BN700" s="302"/>
      <c r="BO700" s="302"/>
      <c r="BP700" s="302"/>
      <c r="BQ700" s="302"/>
      <c r="BR700" s="302"/>
      <c r="BS700" s="302"/>
      <c r="BT700" s="302"/>
      <c r="BU700" s="302"/>
      <c r="BV700" s="302"/>
      <c r="BW700" s="302"/>
      <c r="BX700" s="302"/>
      <c r="BY700" s="302"/>
      <c r="BZ700" s="302"/>
      <c r="CA700" s="302"/>
      <c r="CB700" s="28"/>
      <c r="CC700" s="28"/>
      <c r="CD700" s="28"/>
      <c r="CE700" s="28"/>
      <c r="CF700" s="28"/>
      <c r="CG700" s="28"/>
      <c r="CH700" s="28"/>
      <c r="CI700" s="28"/>
      <c r="CJ700" s="28"/>
      <c r="CK700" s="28"/>
      <c r="CL700" s="28"/>
      <c r="CM700" s="28"/>
      <c r="CN700" s="28"/>
      <c r="CO700" s="28"/>
      <c r="CP700" s="28"/>
      <c r="CQ700" s="28"/>
      <c r="CR700" s="28"/>
      <c r="CS700" s="28"/>
      <c r="CT700" s="28"/>
      <c r="CU700" s="28"/>
      <c r="CV700" s="28"/>
      <c r="CW700" s="28"/>
    </row>
    <row r="701" spans="1:101" ht="14.25" customHeight="1" x14ac:dyDescent="0.2">
      <c r="A701" s="286"/>
      <c r="B701" s="52">
        <v>0.16055000400861108</v>
      </c>
      <c r="C701" s="288">
        <v>0.14774979402381613</v>
      </c>
      <c r="D701" s="288">
        <v>9.642436351261283E-3</v>
      </c>
      <c r="E701" s="288">
        <v>1.6854393203056706E-2</v>
      </c>
      <c r="F701" s="289">
        <v>0.75315267107866624</v>
      </c>
      <c r="G701" s="92">
        <v>0.45864381592016212</v>
      </c>
      <c r="H701" s="288">
        <v>0.89946508236840772</v>
      </c>
      <c r="I701" s="288">
        <v>6.7312173254916938E-3</v>
      </c>
      <c r="J701" s="288">
        <v>0.99999999999999734</v>
      </c>
      <c r="K701" s="288">
        <v>0.75936620516090736</v>
      </c>
      <c r="L701" s="290">
        <v>13619.221570905995</v>
      </c>
      <c r="M701" s="288">
        <v>0</v>
      </c>
      <c r="N701" s="288">
        <v>15066.661135836241</v>
      </c>
      <c r="O701" s="288">
        <v>1502.4912928846627</v>
      </c>
      <c r="P701" s="288">
        <v>31497.778583349409</v>
      </c>
      <c r="Q701" s="291">
        <v>95626.611979995039</v>
      </c>
      <c r="R701" s="288">
        <v>25981.053427799303</v>
      </c>
      <c r="S701" s="288">
        <v>8522.4421049527209</v>
      </c>
      <c r="T701" s="290">
        <v>0.751</v>
      </c>
      <c r="U701" s="288">
        <v>0.75800000000000001</v>
      </c>
      <c r="V701" s="288">
        <v>0.723923076923077</v>
      </c>
      <c r="W701" s="288">
        <v>0.72750000000000004</v>
      </c>
      <c r="X701" s="288">
        <v>0.76</v>
      </c>
      <c r="Y701" s="288">
        <v>0</v>
      </c>
      <c r="Z701" s="289">
        <v>0</v>
      </c>
      <c r="AA701" s="229"/>
      <c r="AB701" s="293">
        <v>78185.804396745167</v>
      </c>
      <c r="AC701" s="294">
        <v>3.0183366327080763</v>
      </c>
      <c r="AD701" s="295">
        <v>76318.253265330481</v>
      </c>
      <c r="AE701" s="294">
        <v>3.0514238022399125</v>
      </c>
      <c r="AF701" s="295">
        <v>1867.5511314146861</v>
      </c>
      <c r="AG701" s="296">
        <v>-3.3087169531836214E-2</v>
      </c>
      <c r="AH701" s="229"/>
      <c r="AI701" s="205">
        <f t="shared" si="74"/>
        <v>223647.85887406248</v>
      </c>
      <c r="AJ701" s="205">
        <f t="shared" si="75"/>
        <v>228824.12695866075</v>
      </c>
      <c r="AK701" s="205">
        <f t="shared" si="76"/>
        <v>-5176.2680845983068</v>
      </c>
      <c r="AL701" s="229"/>
      <c r="AM701" s="52">
        <f t="shared" si="58"/>
        <v>0</v>
      </c>
      <c r="AN701" s="52">
        <f t="shared" si="59"/>
        <v>1</v>
      </c>
      <c r="AO701" s="52">
        <f t="shared" si="60"/>
        <v>0</v>
      </c>
      <c r="AP701" s="229"/>
      <c r="AQ701" s="28"/>
      <c r="AR701" s="28"/>
      <c r="AS701" s="28"/>
      <c r="AT701" s="28"/>
      <c r="AU701" s="229"/>
      <c r="AV701" s="318">
        <f t="shared" si="77"/>
        <v>228824.12695866075</v>
      </c>
      <c r="AW701" s="229"/>
      <c r="AX701" s="313"/>
      <c r="AY701" s="302"/>
      <c r="AZ701" s="14">
        <f t="shared" si="79"/>
        <v>1867.5511314146861</v>
      </c>
      <c r="BA701" s="14">
        <f t="shared" si="78"/>
        <v>-3.3087169531836214E-2</v>
      </c>
      <c r="BB701" s="14">
        <f t="shared" si="61"/>
        <v>-56443.363329031308</v>
      </c>
      <c r="BC701" s="302"/>
      <c r="BD701" s="302"/>
      <c r="BE701" s="302"/>
      <c r="BF701" s="302"/>
      <c r="BG701" s="302"/>
      <c r="BH701" s="302"/>
      <c r="BI701" s="302"/>
      <c r="BJ701" s="302"/>
      <c r="BK701" s="302"/>
      <c r="BL701" s="302"/>
      <c r="BM701" s="302"/>
      <c r="BN701" s="302"/>
      <c r="BO701" s="302"/>
      <c r="BP701" s="302"/>
      <c r="BQ701" s="302"/>
      <c r="BR701" s="302"/>
      <c r="BS701" s="302"/>
      <c r="BT701" s="302"/>
      <c r="BU701" s="302"/>
      <c r="BV701" s="302"/>
      <c r="BW701" s="302"/>
      <c r="BX701" s="302"/>
      <c r="BY701" s="302"/>
      <c r="BZ701" s="302"/>
      <c r="CA701" s="302"/>
      <c r="CB701" s="28"/>
      <c r="CC701" s="28"/>
      <c r="CD701" s="28"/>
      <c r="CE701" s="28"/>
      <c r="CF701" s="28"/>
      <c r="CG701" s="28"/>
      <c r="CH701" s="28"/>
      <c r="CI701" s="28"/>
      <c r="CJ701" s="28"/>
      <c r="CK701" s="28"/>
      <c r="CL701" s="28"/>
      <c r="CM701" s="28"/>
      <c r="CN701" s="28"/>
      <c r="CO701" s="28"/>
      <c r="CP701" s="28"/>
      <c r="CQ701" s="28"/>
      <c r="CR701" s="28"/>
      <c r="CS701" s="28"/>
      <c r="CT701" s="28"/>
      <c r="CU701" s="28"/>
      <c r="CV701" s="28"/>
      <c r="CW701" s="28"/>
    </row>
    <row r="702" spans="1:101" ht="14.25" customHeight="1" x14ac:dyDescent="0.2">
      <c r="A702" s="286"/>
      <c r="B702" s="52">
        <v>0.18012864733663814</v>
      </c>
      <c r="C702" s="288">
        <v>0.50121063604197191</v>
      </c>
      <c r="D702" s="288">
        <v>9.3305782680399296E-3</v>
      </c>
      <c r="E702" s="288">
        <v>2.5711776817025189E-2</v>
      </c>
      <c r="F702" s="289">
        <v>0.77465690166221501</v>
      </c>
      <c r="G702" s="92">
        <v>0.34697288577995183</v>
      </c>
      <c r="H702" s="288">
        <v>0.28081591664040462</v>
      </c>
      <c r="I702" s="288">
        <v>1.552301752222944E-2</v>
      </c>
      <c r="J702" s="288">
        <v>0.99999999999989964</v>
      </c>
      <c r="K702" s="288">
        <v>0.78258691091145738</v>
      </c>
      <c r="L702" s="290">
        <v>10088.474595250625</v>
      </c>
      <c r="M702" s="288">
        <v>0</v>
      </c>
      <c r="N702" s="288">
        <v>22131.1818542492</v>
      </c>
      <c r="O702" s="288">
        <v>975.31835992144772</v>
      </c>
      <c r="P702" s="288">
        <v>40249.054930452876</v>
      </c>
      <c r="Q702" s="291">
        <v>78690.339603139437</v>
      </c>
      <c r="R702" s="288">
        <v>20543.138751419781</v>
      </c>
      <c r="S702" s="288">
        <v>9279.3878347191658</v>
      </c>
      <c r="T702" s="290">
        <v>0.751</v>
      </c>
      <c r="U702" s="288">
        <v>0.75800000000000001</v>
      </c>
      <c r="V702" s="288">
        <v>0.723923076923077</v>
      </c>
      <c r="W702" s="288">
        <v>0.72750000000000004</v>
      </c>
      <c r="X702" s="288">
        <v>0.76</v>
      </c>
      <c r="Y702" s="288">
        <v>0</v>
      </c>
      <c r="Z702" s="289">
        <v>0</v>
      </c>
      <c r="AA702" s="229"/>
      <c r="AB702" s="293">
        <v>83434.806348836675</v>
      </c>
      <c r="AC702" s="294">
        <v>3.1175813946584725</v>
      </c>
      <c r="AD702" s="295">
        <v>75536.876163162582</v>
      </c>
      <c r="AE702" s="294">
        <v>3.1590554589852475</v>
      </c>
      <c r="AF702" s="295">
        <v>7897.9301856740931</v>
      </c>
      <c r="AG702" s="296">
        <v>-4.1474064326775029E-2</v>
      </c>
      <c r="AH702" s="229"/>
      <c r="AI702" s="205">
        <f t="shared" si="74"/>
        <v>228323.33311701054</v>
      </c>
      <c r="AJ702" s="205">
        <f t="shared" si="75"/>
        <v>240368.66973536217</v>
      </c>
      <c r="AK702" s="205">
        <f t="shared" si="76"/>
        <v>-12045.336618351597</v>
      </c>
      <c r="AL702" s="229"/>
      <c r="AM702" s="52">
        <f t="shared" si="58"/>
        <v>0</v>
      </c>
      <c r="AN702" s="52">
        <f t="shared" si="59"/>
        <v>1</v>
      </c>
      <c r="AO702" s="52">
        <f t="shared" si="60"/>
        <v>0</v>
      </c>
      <c r="AP702" s="229"/>
      <c r="AQ702" s="28"/>
      <c r="AR702" s="28"/>
      <c r="AS702" s="28"/>
      <c r="AT702" s="28"/>
      <c r="AU702" s="229"/>
      <c r="AV702" s="318">
        <f t="shared" si="77"/>
        <v>240368.66973536217</v>
      </c>
      <c r="AW702" s="229"/>
      <c r="AX702" s="313"/>
      <c r="AY702" s="302"/>
      <c r="AZ702" s="14">
        <f t="shared" si="79"/>
        <v>7897.9301856740931</v>
      </c>
      <c r="BA702" s="14">
        <f t="shared" si="78"/>
        <v>-4.1474064326775029E-2</v>
      </c>
      <c r="BB702" s="14">
        <f t="shared" si="61"/>
        <v>-190430.58147005161</v>
      </c>
      <c r="BC702" s="302"/>
      <c r="BD702" s="302"/>
      <c r="BE702" s="302"/>
      <c r="BF702" s="302"/>
      <c r="BG702" s="302"/>
      <c r="BH702" s="302"/>
      <c r="BI702" s="302"/>
      <c r="BJ702" s="302"/>
      <c r="BK702" s="302"/>
      <c r="BL702" s="302"/>
      <c r="BM702" s="302"/>
      <c r="BN702" s="302"/>
      <c r="BO702" s="302"/>
      <c r="BP702" s="302"/>
      <c r="BQ702" s="302"/>
      <c r="BR702" s="302"/>
      <c r="BS702" s="302"/>
      <c r="BT702" s="302"/>
      <c r="BU702" s="302"/>
      <c r="BV702" s="302"/>
      <c r="BW702" s="302"/>
      <c r="BX702" s="302"/>
      <c r="BY702" s="302"/>
      <c r="BZ702" s="302"/>
      <c r="CA702" s="302"/>
      <c r="CB702" s="28"/>
      <c r="CC702" s="28"/>
      <c r="CD702" s="28"/>
      <c r="CE702" s="28"/>
      <c r="CF702" s="28"/>
      <c r="CG702" s="28"/>
      <c r="CH702" s="28"/>
      <c r="CI702" s="28"/>
      <c r="CJ702" s="28"/>
      <c r="CK702" s="28"/>
      <c r="CL702" s="28"/>
      <c r="CM702" s="28"/>
      <c r="CN702" s="28"/>
      <c r="CO702" s="28"/>
      <c r="CP702" s="28"/>
      <c r="CQ702" s="28"/>
      <c r="CR702" s="28"/>
      <c r="CS702" s="28"/>
      <c r="CT702" s="28"/>
      <c r="CU702" s="28"/>
      <c r="CV702" s="28"/>
      <c r="CW702" s="28"/>
    </row>
    <row r="703" spans="1:101" ht="14.25" customHeight="1" x14ac:dyDescent="0.2">
      <c r="A703" s="286"/>
      <c r="B703" s="52">
        <v>0.14498593485764757</v>
      </c>
      <c r="C703" s="288">
        <v>0.65448140840473767</v>
      </c>
      <c r="D703" s="288">
        <v>2.2662749379651959E-2</v>
      </c>
      <c r="E703" s="288">
        <v>8.6243513683906519E-3</v>
      </c>
      <c r="F703" s="289">
        <v>0.7804608863492043</v>
      </c>
      <c r="G703" s="92">
        <v>0.45655149766425462</v>
      </c>
      <c r="H703" s="288">
        <v>7.2964320901199684E-2</v>
      </c>
      <c r="I703" s="288">
        <v>1.3237012020742622E-2</v>
      </c>
      <c r="J703" s="288">
        <v>1</v>
      </c>
      <c r="K703" s="288">
        <v>0.75327124255218347</v>
      </c>
      <c r="L703" s="290">
        <v>13323.715841314253</v>
      </c>
      <c r="M703" s="288">
        <v>0</v>
      </c>
      <c r="N703" s="288">
        <v>13657.682500750763</v>
      </c>
      <c r="O703" s="288">
        <v>1598.1991311016138</v>
      </c>
      <c r="P703" s="288">
        <v>44965.748035505283</v>
      </c>
      <c r="Q703" s="291">
        <v>115067.56225861351</v>
      </c>
      <c r="R703" s="288">
        <v>29153.625901140393</v>
      </c>
      <c r="S703" s="288">
        <v>9419.586712384762</v>
      </c>
      <c r="T703" s="290">
        <v>0.751</v>
      </c>
      <c r="U703" s="288">
        <v>0.75800000000000001</v>
      </c>
      <c r="V703" s="288">
        <v>0.723923076923077</v>
      </c>
      <c r="W703" s="288">
        <v>0.72750000000000004</v>
      </c>
      <c r="X703" s="288">
        <v>0.76</v>
      </c>
      <c r="Y703" s="288">
        <v>0</v>
      </c>
      <c r="Z703" s="289">
        <v>0</v>
      </c>
      <c r="AA703" s="229"/>
      <c r="AB703" s="293">
        <v>89499.416664879624</v>
      </c>
      <c r="AC703" s="294">
        <v>3.1444918237735258</v>
      </c>
      <c r="AD703" s="295">
        <v>73606.094009874039</v>
      </c>
      <c r="AE703" s="294">
        <v>3.0233135036776249</v>
      </c>
      <c r="AF703" s="295">
        <v>15893.322655005584</v>
      </c>
      <c r="AG703" s="296">
        <v>0.1211783200959009</v>
      </c>
      <c r="AH703" s="229"/>
      <c r="AI703" s="205">
        <f t="shared" si="74"/>
        <v>224949.76571247293</v>
      </c>
      <c r="AJ703" s="205">
        <f t="shared" si="75"/>
        <v>228725.25635788846</v>
      </c>
      <c r="AK703" s="205">
        <f t="shared" si="76"/>
        <v>-3775.4906454154934</v>
      </c>
      <c r="AL703" s="229"/>
      <c r="AM703" s="52">
        <f t="shared" si="58"/>
        <v>0</v>
      </c>
      <c r="AN703" s="52">
        <f t="shared" si="59"/>
        <v>1</v>
      </c>
      <c r="AO703" s="52">
        <f t="shared" si="60"/>
        <v>0</v>
      </c>
      <c r="AP703" s="229"/>
      <c r="AQ703" s="28"/>
      <c r="AR703" s="28"/>
      <c r="AS703" s="28"/>
      <c r="AT703" s="28"/>
      <c r="AU703" s="229"/>
      <c r="AV703" s="318">
        <f t="shared" si="77"/>
        <v>228725.25635788846</v>
      </c>
      <c r="AW703" s="229"/>
      <c r="AX703" s="313"/>
      <c r="AY703" s="302"/>
      <c r="AZ703" s="14">
        <f t="shared" si="79"/>
        <v>15893.322655005584</v>
      </c>
      <c r="BA703" s="14">
        <f t="shared" si="78"/>
        <v>0.1211783200959009</v>
      </c>
      <c r="BB703" s="14">
        <f t="shared" si="61"/>
        <v>131156.48609774056</v>
      </c>
      <c r="BC703" s="302"/>
      <c r="BD703" s="302"/>
      <c r="BE703" s="302"/>
      <c r="BF703" s="302"/>
      <c r="BG703" s="302"/>
      <c r="BH703" s="302"/>
      <c r="BI703" s="302"/>
      <c r="BJ703" s="302"/>
      <c r="BK703" s="302"/>
      <c r="BL703" s="302"/>
      <c r="BM703" s="302"/>
      <c r="BN703" s="302"/>
      <c r="BO703" s="302"/>
      <c r="BP703" s="302"/>
      <c r="BQ703" s="302"/>
      <c r="BR703" s="302"/>
      <c r="BS703" s="302"/>
      <c r="BT703" s="302"/>
      <c r="BU703" s="302"/>
      <c r="BV703" s="302"/>
      <c r="BW703" s="302"/>
      <c r="BX703" s="302"/>
      <c r="BY703" s="302"/>
      <c r="BZ703" s="302"/>
      <c r="CA703" s="302"/>
      <c r="CB703" s="28"/>
      <c r="CC703" s="28"/>
      <c r="CD703" s="28"/>
      <c r="CE703" s="28"/>
      <c r="CF703" s="28"/>
      <c r="CG703" s="28"/>
      <c r="CH703" s="28"/>
      <c r="CI703" s="28"/>
      <c r="CJ703" s="28"/>
      <c r="CK703" s="28"/>
      <c r="CL703" s="28"/>
      <c r="CM703" s="28"/>
      <c r="CN703" s="28"/>
      <c r="CO703" s="28"/>
      <c r="CP703" s="28"/>
      <c r="CQ703" s="28"/>
      <c r="CR703" s="28"/>
      <c r="CS703" s="28"/>
      <c r="CT703" s="28"/>
      <c r="CU703" s="28"/>
      <c r="CV703" s="28"/>
      <c r="CW703" s="28"/>
    </row>
    <row r="704" spans="1:101" ht="14.25" customHeight="1" x14ac:dyDescent="0.2">
      <c r="A704" s="286"/>
      <c r="B704" s="52">
        <v>0.16109425051360049</v>
      </c>
      <c r="C704" s="288">
        <v>0.40136257916888063</v>
      </c>
      <c r="D704" s="288">
        <v>1.4703649815697273E-2</v>
      </c>
      <c r="E704" s="288">
        <v>1.8401133046417217E-2</v>
      </c>
      <c r="F704" s="289">
        <v>0.80596562822700157</v>
      </c>
      <c r="G704" s="92">
        <v>0.45166759511411425</v>
      </c>
      <c r="H704" s="288">
        <v>0.83873179741204584</v>
      </c>
      <c r="I704" s="288">
        <v>1.4388409631122817E-2</v>
      </c>
      <c r="J704" s="288">
        <v>0.9999999919736462</v>
      </c>
      <c r="K704" s="288">
        <v>0.70122581810196138</v>
      </c>
      <c r="L704" s="290">
        <v>11897.961482949422</v>
      </c>
      <c r="M704" s="288">
        <v>0</v>
      </c>
      <c r="N704" s="288">
        <v>19237.289978177621</v>
      </c>
      <c r="O704" s="288">
        <v>1278.0165080437769</v>
      </c>
      <c r="P704" s="288">
        <v>39008.185794840967</v>
      </c>
      <c r="Q704" s="291">
        <v>82795.303346704808</v>
      </c>
      <c r="R704" s="288">
        <v>16147.103572379297</v>
      </c>
      <c r="S704" s="288">
        <v>8028.1623953048975</v>
      </c>
      <c r="T704" s="290">
        <v>0.751</v>
      </c>
      <c r="U704" s="288">
        <v>0.75800000000000001</v>
      </c>
      <c r="V704" s="288">
        <v>0.723923076923077</v>
      </c>
      <c r="W704" s="288">
        <v>0.72750000000000004</v>
      </c>
      <c r="X704" s="288">
        <v>0.76</v>
      </c>
      <c r="Y704" s="288">
        <v>0</v>
      </c>
      <c r="Z704" s="289">
        <v>0</v>
      </c>
      <c r="AA704" s="229"/>
      <c r="AB704" s="293">
        <v>77418.499385960415</v>
      </c>
      <c r="AC704" s="294">
        <v>3.2633719162411654</v>
      </c>
      <c r="AD704" s="295">
        <v>63700.266933802544</v>
      </c>
      <c r="AE704" s="294">
        <v>2.7856619994291978</v>
      </c>
      <c r="AF704" s="295">
        <v>13718.23245215787</v>
      </c>
      <c r="AG704" s="296">
        <v>0.47770991681196762</v>
      </c>
      <c r="AH704" s="229"/>
      <c r="AI704" s="205">
        <f t="shared" si="74"/>
        <v>248918.69223815616</v>
      </c>
      <c r="AJ704" s="205">
        <f t="shared" si="75"/>
        <v>214865.93300911723</v>
      </c>
      <c r="AK704" s="205">
        <f t="shared" si="76"/>
        <v>34052.759229038893</v>
      </c>
      <c r="AL704" s="229"/>
      <c r="AM704" s="52">
        <f t="shared" si="58"/>
        <v>1</v>
      </c>
      <c r="AN704" s="52">
        <f t="shared" si="59"/>
        <v>0</v>
      </c>
      <c r="AO704" s="52">
        <f t="shared" si="60"/>
        <v>1</v>
      </c>
      <c r="AP704" s="229"/>
      <c r="AQ704" s="28"/>
      <c r="AR704" s="28"/>
      <c r="AS704" s="28"/>
      <c r="AT704" s="28"/>
      <c r="AU704" s="229"/>
      <c r="AV704" s="318">
        <f t="shared" si="77"/>
        <v>248918.69223815616</v>
      </c>
      <c r="AW704" s="229"/>
      <c r="AX704" s="313"/>
      <c r="AY704" s="302"/>
      <c r="AZ704" s="14">
        <f t="shared" si="79"/>
        <v>13718.23245215787</v>
      </c>
      <c r="BA704" s="14">
        <f t="shared" si="78"/>
        <v>0.47770991681196762</v>
      </c>
      <c r="BB704" s="14">
        <f t="shared" si="61"/>
        <v>28716.658309518687</v>
      </c>
      <c r="BC704" s="302"/>
      <c r="BD704" s="302"/>
      <c r="BE704" s="302"/>
      <c r="BF704" s="302"/>
      <c r="BG704" s="302"/>
      <c r="BH704" s="302"/>
      <c r="BI704" s="302"/>
      <c r="BJ704" s="302"/>
      <c r="BK704" s="302"/>
      <c r="BL704" s="302"/>
      <c r="BM704" s="302"/>
      <c r="BN704" s="302"/>
      <c r="BO704" s="302"/>
      <c r="BP704" s="302"/>
      <c r="BQ704" s="302"/>
      <c r="BR704" s="302"/>
      <c r="BS704" s="302"/>
      <c r="BT704" s="302"/>
      <c r="BU704" s="302"/>
      <c r="BV704" s="302"/>
      <c r="BW704" s="302"/>
      <c r="BX704" s="302"/>
      <c r="BY704" s="302"/>
      <c r="BZ704" s="302"/>
      <c r="CA704" s="302"/>
      <c r="CB704" s="28"/>
      <c r="CC704" s="28"/>
      <c r="CD704" s="28"/>
      <c r="CE704" s="28"/>
      <c r="CF704" s="28"/>
      <c r="CG704" s="28"/>
      <c r="CH704" s="28"/>
      <c r="CI704" s="28"/>
      <c r="CJ704" s="28"/>
      <c r="CK704" s="28"/>
      <c r="CL704" s="28"/>
      <c r="CM704" s="28"/>
      <c r="CN704" s="28"/>
      <c r="CO704" s="28"/>
      <c r="CP704" s="28"/>
      <c r="CQ704" s="28"/>
      <c r="CR704" s="28"/>
      <c r="CS704" s="28"/>
      <c r="CT704" s="28"/>
      <c r="CU704" s="28"/>
      <c r="CV704" s="28"/>
      <c r="CW704" s="28"/>
    </row>
    <row r="705" spans="1:101" ht="14.25" customHeight="1" x14ac:dyDescent="0.2">
      <c r="A705" s="286"/>
      <c r="B705" s="52">
        <v>0.15403907996045144</v>
      </c>
      <c r="C705" s="288">
        <v>0.80174911397441706</v>
      </c>
      <c r="D705" s="288">
        <v>1.9551141597181965E-2</v>
      </c>
      <c r="E705" s="288">
        <v>2.2725771308090947E-2</v>
      </c>
      <c r="F705" s="289">
        <v>0.77367897863723312</v>
      </c>
      <c r="G705" s="92">
        <v>0.394279331306923</v>
      </c>
      <c r="H705" s="288">
        <v>0.57442229116450294</v>
      </c>
      <c r="I705" s="288">
        <v>1.1048446891418753E-2</v>
      </c>
      <c r="J705" s="288">
        <v>0.74725259197211458</v>
      </c>
      <c r="K705" s="288">
        <v>0.72652217084324944</v>
      </c>
      <c r="L705" s="290">
        <v>8900.9948474402772</v>
      </c>
      <c r="M705" s="288">
        <v>0</v>
      </c>
      <c r="N705" s="288">
        <v>18876.014009598814</v>
      </c>
      <c r="O705" s="288">
        <v>1576.738436872995</v>
      </c>
      <c r="P705" s="288">
        <v>52663.014606953693</v>
      </c>
      <c r="Q705" s="291">
        <v>77920.023625094283</v>
      </c>
      <c r="R705" s="288">
        <v>19294.608616664802</v>
      </c>
      <c r="S705" s="288">
        <v>7996.856716783238</v>
      </c>
      <c r="T705" s="290">
        <v>0.751</v>
      </c>
      <c r="U705" s="288">
        <v>0.75800000000000001</v>
      </c>
      <c r="V705" s="288">
        <v>0.723923076923077</v>
      </c>
      <c r="W705" s="288">
        <v>0.72750000000000004</v>
      </c>
      <c r="X705" s="288">
        <v>0.76</v>
      </c>
      <c r="Y705" s="288">
        <v>0</v>
      </c>
      <c r="Z705" s="289">
        <v>0</v>
      </c>
      <c r="AA705" s="229"/>
      <c r="AB705" s="293">
        <v>73031.775945221147</v>
      </c>
      <c r="AC705" s="294">
        <v>3.1130524130271566</v>
      </c>
      <c r="AD705" s="295">
        <v>63516.599369994707</v>
      </c>
      <c r="AE705" s="294">
        <v>2.9006377374353747</v>
      </c>
      <c r="AF705" s="295">
        <v>9515.17657522644</v>
      </c>
      <c r="AG705" s="296">
        <v>0.21241467559178195</v>
      </c>
      <c r="AH705" s="229"/>
      <c r="AI705" s="205">
        <f t="shared" si="74"/>
        <v>238273.46535749454</v>
      </c>
      <c r="AJ705" s="205">
        <f t="shared" si="75"/>
        <v>226547.17437354277</v>
      </c>
      <c r="AK705" s="205">
        <f t="shared" si="76"/>
        <v>11726.290983951756</v>
      </c>
      <c r="AL705" s="229"/>
      <c r="AM705" s="52">
        <f t="shared" si="58"/>
        <v>1</v>
      </c>
      <c r="AN705" s="52">
        <f t="shared" si="59"/>
        <v>0</v>
      </c>
      <c r="AO705" s="52">
        <f t="shared" si="60"/>
        <v>1</v>
      </c>
      <c r="AP705" s="229"/>
      <c r="AQ705" s="28"/>
      <c r="AR705" s="28"/>
      <c r="AS705" s="28"/>
      <c r="AT705" s="28"/>
      <c r="AU705" s="229"/>
      <c r="AV705" s="318">
        <f t="shared" si="77"/>
        <v>238273.46535749454</v>
      </c>
      <c r="AW705" s="229"/>
      <c r="AX705" s="313"/>
      <c r="AY705" s="302"/>
      <c r="AZ705" s="14">
        <f t="shared" si="79"/>
        <v>9515.17657522644</v>
      </c>
      <c r="BA705" s="14">
        <f t="shared" si="78"/>
        <v>0.21241467559178195</v>
      </c>
      <c r="BB705" s="14">
        <f t="shared" si="61"/>
        <v>44795.288031381999</v>
      </c>
      <c r="BC705" s="302"/>
      <c r="BD705" s="302"/>
      <c r="BE705" s="302"/>
      <c r="BF705" s="302"/>
      <c r="BG705" s="302"/>
      <c r="BH705" s="302"/>
      <c r="BI705" s="302"/>
      <c r="BJ705" s="302"/>
      <c r="BK705" s="302"/>
      <c r="BL705" s="302"/>
      <c r="BM705" s="302"/>
      <c r="BN705" s="302"/>
      <c r="BO705" s="302"/>
      <c r="BP705" s="302"/>
      <c r="BQ705" s="302"/>
      <c r="BR705" s="302"/>
      <c r="BS705" s="302"/>
      <c r="BT705" s="302"/>
      <c r="BU705" s="302"/>
      <c r="BV705" s="302"/>
      <c r="BW705" s="302"/>
      <c r="BX705" s="302"/>
      <c r="BY705" s="302"/>
      <c r="BZ705" s="302"/>
      <c r="CA705" s="302"/>
      <c r="CB705" s="28"/>
      <c r="CC705" s="28"/>
      <c r="CD705" s="28"/>
      <c r="CE705" s="28"/>
      <c r="CF705" s="28"/>
      <c r="CG705" s="28"/>
      <c r="CH705" s="28"/>
      <c r="CI705" s="28"/>
      <c r="CJ705" s="28"/>
      <c r="CK705" s="28"/>
      <c r="CL705" s="28"/>
      <c r="CM705" s="28"/>
      <c r="CN705" s="28"/>
      <c r="CO705" s="28"/>
      <c r="CP705" s="28"/>
      <c r="CQ705" s="28"/>
      <c r="CR705" s="28"/>
      <c r="CS705" s="28"/>
      <c r="CT705" s="28"/>
      <c r="CU705" s="28"/>
      <c r="CV705" s="28"/>
      <c r="CW705" s="28"/>
    </row>
    <row r="706" spans="1:101" ht="14.25" customHeight="1" x14ac:dyDescent="0.2">
      <c r="A706" s="286"/>
      <c r="B706" s="52">
        <v>0.16322638431446412</v>
      </c>
      <c r="C706" s="288">
        <v>0.56017809639194738</v>
      </c>
      <c r="D706" s="288">
        <v>8.2893604986918612E-3</v>
      </c>
      <c r="E706" s="288">
        <v>1.6482202076332886E-2</v>
      </c>
      <c r="F706" s="289">
        <v>0.79585748368174614</v>
      </c>
      <c r="G706" s="92">
        <v>0.32772109183589004</v>
      </c>
      <c r="H706" s="288">
        <v>0.26654187033486404</v>
      </c>
      <c r="I706" s="288">
        <v>1.9536866332523828E-2</v>
      </c>
      <c r="J706" s="288">
        <v>7.4648750808261482E-4</v>
      </c>
      <c r="K706" s="288">
        <v>0.76826987696061722</v>
      </c>
      <c r="L706" s="290">
        <v>10325.20906870187</v>
      </c>
      <c r="M706" s="288">
        <v>0</v>
      </c>
      <c r="N706" s="288">
        <v>21726.169655492129</v>
      </c>
      <c r="O706" s="288">
        <v>1122.541013706167</v>
      </c>
      <c r="P706" s="288">
        <v>53143.464901256921</v>
      </c>
      <c r="Q706" s="291">
        <v>106548.0359381279</v>
      </c>
      <c r="R706" s="288">
        <v>21596.619940147822</v>
      </c>
      <c r="S706" s="288">
        <v>10420.152492178346</v>
      </c>
      <c r="T706" s="290">
        <v>0.751</v>
      </c>
      <c r="U706" s="288">
        <v>0.75800000000000001</v>
      </c>
      <c r="V706" s="288">
        <v>0.723923076923077</v>
      </c>
      <c r="W706" s="288">
        <v>0.72750000000000004</v>
      </c>
      <c r="X706" s="288">
        <v>0.76</v>
      </c>
      <c r="Y706" s="288">
        <v>0</v>
      </c>
      <c r="Z706" s="289">
        <v>0</v>
      </c>
      <c r="AA706" s="229"/>
      <c r="AB706" s="293">
        <v>94748.199061096806</v>
      </c>
      <c r="AC706" s="294">
        <v>3.2161348138043482</v>
      </c>
      <c r="AD706" s="295">
        <v>82804.619194580911</v>
      </c>
      <c r="AE706" s="294">
        <v>3.092593268641417</v>
      </c>
      <c r="AF706" s="295">
        <v>11943.579866515895</v>
      </c>
      <c r="AG706" s="296">
        <v>0.12354154516293114</v>
      </c>
      <c r="AH706" s="229"/>
      <c r="AI706" s="205">
        <f t="shared" si="74"/>
        <v>226865.282319338</v>
      </c>
      <c r="AJ706" s="205">
        <f t="shared" si="75"/>
        <v>226454.70766956077</v>
      </c>
      <c r="AK706" s="205">
        <f t="shared" si="76"/>
        <v>410.57464977721975</v>
      </c>
      <c r="AL706" s="229"/>
      <c r="AM706" s="52">
        <f t="shared" si="58"/>
        <v>1</v>
      </c>
      <c r="AN706" s="52">
        <f t="shared" si="59"/>
        <v>0</v>
      </c>
      <c r="AO706" s="52">
        <f t="shared" si="60"/>
        <v>1</v>
      </c>
      <c r="AP706" s="229"/>
      <c r="AQ706" s="28"/>
      <c r="AR706" s="28"/>
      <c r="AS706" s="28"/>
      <c r="AT706" s="28"/>
      <c r="AU706" s="229"/>
      <c r="AV706" s="318">
        <f t="shared" si="77"/>
        <v>226865.282319338</v>
      </c>
      <c r="AW706" s="229"/>
      <c r="AX706" s="313"/>
      <c r="AY706" s="302"/>
      <c r="AZ706" s="14">
        <f t="shared" si="79"/>
        <v>11943.579866515895</v>
      </c>
      <c r="BA706" s="14">
        <f t="shared" si="78"/>
        <v>0.12354154516293114</v>
      </c>
      <c r="BB706" s="14">
        <f t="shared" si="61"/>
        <v>96676.626885022852</v>
      </c>
      <c r="BC706" s="302"/>
      <c r="BD706" s="302"/>
      <c r="BE706" s="302"/>
      <c r="BF706" s="302"/>
      <c r="BG706" s="302"/>
      <c r="BH706" s="302"/>
      <c r="BI706" s="302"/>
      <c r="BJ706" s="302"/>
      <c r="BK706" s="302"/>
      <c r="BL706" s="302"/>
      <c r="BM706" s="302"/>
      <c r="BN706" s="302"/>
      <c r="BO706" s="302"/>
      <c r="BP706" s="302"/>
      <c r="BQ706" s="302"/>
      <c r="BR706" s="302"/>
      <c r="BS706" s="302"/>
      <c r="BT706" s="302"/>
      <c r="BU706" s="302"/>
      <c r="BV706" s="302"/>
      <c r="BW706" s="302"/>
      <c r="BX706" s="302"/>
      <c r="BY706" s="302"/>
      <c r="BZ706" s="302"/>
      <c r="CA706" s="302"/>
      <c r="CB706" s="28"/>
      <c r="CC706" s="28"/>
      <c r="CD706" s="28"/>
      <c r="CE706" s="28"/>
      <c r="CF706" s="28"/>
      <c r="CG706" s="28"/>
      <c r="CH706" s="28"/>
      <c r="CI706" s="28"/>
      <c r="CJ706" s="28"/>
      <c r="CK706" s="28"/>
      <c r="CL706" s="28"/>
      <c r="CM706" s="28"/>
      <c r="CN706" s="28"/>
      <c r="CO706" s="28"/>
      <c r="CP706" s="28"/>
      <c r="CQ706" s="28"/>
      <c r="CR706" s="28"/>
      <c r="CS706" s="28"/>
      <c r="CT706" s="28"/>
      <c r="CU706" s="28"/>
      <c r="CV706" s="28"/>
      <c r="CW706" s="28"/>
    </row>
    <row r="707" spans="1:101" ht="14.25" customHeight="1" x14ac:dyDescent="0.2">
      <c r="A707" s="286"/>
      <c r="B707" s="52">
        <v>0.17621175905369002</v>
      </c>
      <c r="C707" s="288">
        <v>1.99604878007557E-2</v>
      </c>
      <c r="D707" s="288">
        <v>1.1986092671382398E-2</v>
      </c>
      <c r="E707" s="288">
        <v>1.7088038330760114E-2</v>
      </c>
      <c r="F707" s="289">
        <v>0.75919138810772913</v>
      </c>
      <c r="G707" s="92">
        <v>0.45380143134951334</v>
      </c>
      <c r="H707" s="288">
        <v>8.1898448302125962E-2</v>
      </c>
      <c r="I707" s="288">
        <v>2.1050690812232875E-2</v>
      </c>
      <c r="J707" s="288">
        <v>1</v>
      </c>
      <c r="K707" s="288">
        <v>0.77080190888265465</v>
      </c>
      <c r="L707" s="290">
        <v>11904.665270604199</v>
      </c>
      <c r="M707" s="288">
        <v>0</v>
      </c>
      <c r="N707" s="288">
        <v>17116.384708847436</v>
      </c>
      <c r="O707" s="288">
        <v>1112.2116169093567</v>
      </c>
      <c r="P707" s="288">
        <v>34021.825707636977</v>
      </c>
      <c r="Q707" s="291">
        <v>108306.023756646</v>
      </c>
      <c r="R707" s="288">
        <v>22422.308083259246</v>
      </c>
      <c r="S707" s="288">
        <v>14890.574993327997</v>
      </c>
      <c r="T707" s="290">
        <v>0.751</v>
      </c>
      <c r="U707" s="288">
        <v>0.75800000000000001</v>
      </c>
      <c r="V707" s="288">
        <v>0.723923076923077</v>
      </c>
      <c r="W707" s="288">
        <v>0.72750000000000004</v>
      </c>
      <c r="X707" s="288">
        <v>0.76</v>
      </c>
      <c r="Y707" s="288">
        <v>0</v>
      </c>
      <c r="Z707" s="289">
        <v>0</v>
      </c>
      <c r="AA707" s="229"/>
      <c r="AB707" s="293">
        <v>124353.43564991141</v>
      </c>
      <c r="AC707" s="294">
        <v>3.0461328380491399</v>
      </c>
      <c r="AD707" s="295">
        <v>117298.17561807322</v>
      </c>
      <c r="AE707" s="294">
        <v>3.1043238886236839</v>
      </c>
      <c r="AF707" s="295">
        <v>7055.2600318381883</v>
      </c>
      <c r="AG707" s="296">
        <v>-5.819105057454399E-2</v>
      </c>
      <c r="AH707" s="229"/>
      <c r="AI707" s="205">
        <f t="shared" si="74"/>
        <v>180259.84815500258</v>
      </c>
      <c r="AJ707" s="205">
        <f t="shared" si="75"/>
        <v>193134.21324429521</v>
      </c>
      <c r="AK707" s="205">
        <f t="shared" si="76"/>
        <v>-12874.365089292587</v>
      </c>
      <c r="AL707" s="229"/>
      <c r="AM707" s="52">
        <f t="shared" si="58"/>
        <v>0</v>
      </c>
      <c r="AN707" s="52">
        <f t="shared" si="59"/>
        <v>1</v>
      </c>
      <c r="AO707" s="52">
        <f t="shared" si="60"/>
        <v>0</v>
      </c>
      <c r="AP707" s="229"/>
      <c r="AQ707" s="28"/>
      <c r="AR707" s="28"/>
      <c r="AS707" s="28"/>
      <c r="AT707" s="28"/>
      <c r="AU707" s="229"/>
      <c r="AV707" s="318">
        <f t="shared" si="77"/>
        <v>193134.21324429521</v>
      </c>
      <c r="AW707" s="229"/>
      <c r="AX707" s="313"/>
      <c r="AY707" s="302"/>
      <c r="AZ707" s="14">
        <f t="shared" si="79"/>
        <v>7055.2600318381883</v>
      </c>
      <c r="BA707" s="14">
        <f t="shared" si="78"/>
        <v>-5.819105057454399E-2</v>
      </c>
      <c r="BB707" s="14">
        <f t="shared" si="61"/>
        <v>-121243.04273902476</v>
      </c>
      <c r="BC707" s="302"/>
      <c r="BD707" s="302"/>
      <c r="BE707" s="302"/>
      <c r="BF707" s="302"/>
      <c r="BG707" s="302"/>
      <c r="BH707" s="302"/>
      <c r="BI707" s="302"/>
      <c r="BJ707" s="302"/>
      <c r="BK707" s="302"/>
      <c r="BL707" s="302"/>
      <c r="BM707" s="302"/>
      <c r="BN707" s="302"/>
      <c r="BO707" s="302"/>
      <c r="BP707" s="302"/>
      <c r="BQ707" s="302"/>
      <c r="BR707" s="302"/>
      <c r="BS707" s="302"/>
      <c r="BT707" s="302"/>
      <c r="BU707" s="302"/>
      <c r="BV707" s="302"/>
      <c r="BW707" s="302"/>
      <c r="BX707" s="302"/>
      <c r="BY707" s="302"/>
      <c r="BZ707" s="302"/>
      <c r="CA707" s="302"/>
      <c r="CB707" s="28"/>
      <c r="CC707" s="28"/>
      <c r="CD707" s="28"/>
      <c r="CE707" s="28"/>
      <c r="CF707" s="28"/>
      <c r="CG707" s="28"/>
      <c r="CH707" s="28"/>
      <c r="CI707" s="28"/>
      <c r="CJ707" s="28"/>
      <c r="CK707" s="28"/>
      <c r="CL707" s="28"/>
      <c r="CM707" s="28"/>
      <c r="CN707" s="28"/>
      <c r="CO707" s="28"/>
      <c r="CP707" s="28"/>
      <c r="CQ707" s="28"/>
      <c r="CR707" s="28"/>
      <c r="CS707" s="28"/>
      <c r="CT707" s="28"/>
      <c r="CU707" s="28"/>
      <c r="CV707" s="28"/>
      <c r="CW707" s="28"/>
    </row>
    <row r="708" spans="1:101" ht="14.25" customHeight="1" x14ac:dyDescent="0.2">
      <c r="A708" s="286"/>
      <c r="B708" s="52">
        <v>0.14871579250070077</v>
      </c>
      <c r="C708" s="288">
        <v>0.28074868303214112</v>
      </c>
      <c r="D708" s="288">
        <v>1.3223767146430242E-2</v>
      </c>
      <c r="E708" s="288">
        <v>2.3134484785238496E-2</v>
      </c>
      <c r="F708" s="289">
        <v>0.81300944367951089</v>
      </c>
      <c r="G708" s="92">
        <v>0.35516402984782552</v>
      </c>
      <c r="H708" s="288">
        <v>0.71578614289658837</v>
      </c>
      <c r="I708" s="288">
        <v>2.37811630380238E-2</v>
      </c>
      <c r="J708" s="288">
        <v>5.0492697705101864E-3</v>
      </c>
      <c r="K708" s="288">
        <v>0.7357091270998587</v>
      </c>
      <c r="L708" s="290">
        <v>11486.116711735773</v>
      </c>
      <c r="M708" s="288">
        <v>0</v>
      </c>
      <c r="N708" s="288">
        <v>19774.439856605786</v>
      </c>
      <c r="O708" s="288">
        <v>1126.2992207317716</v>
      </c>
      <c r="P708" s="288">
        <v>45549.555133350019</v>
      </c>
      <c r="Q708" s="291">
        <v>106857.31704506678</v>
      </c>
      <c r="R708" s="288">
        <v>22169.89402668133</v>
      </c>
      <c r="S708" s="288">
        <v>10287.460688875011</v>
      </c>
      <c r="T708" s="290">
        <v>0.751</v>
      </c>
      <c r="U708" s="288">
        <v>0.75800000000000001</v>
      </c>
      <c r="V708" s="288">
        <v>0.723923076923077</v>
      </c>
      <c r="W708" s="288">
        <v>0.72750000000000004</v>
      </c>
      <c r="X708" s="288">
        <v>0.76</v>
      </c>
      <c r="Y708" s="288">
        <v>0</v>
      </c>
      <c r="Z708" s="289">
        <v>0</v>
      </c>
      <c r="AA708" s="229"/>
      <c r="AB708" s="293">
        <v>95613.126703273883</v>
      </c>
      <c r="AC708" s="294">
        <v>3.2963836297890303</v>
      </c>
      <c r="AD708" s="295">
        <v>82330.369950418259</v>
      </c>
      <c r="AE708" s="294">
        <v>2.9426435144143821</v>
      </c>
      <c r="AF708" s="295">
        <v>13282.756752855625</v>
      </c>
      <c r="AG708" s="296">
        <v>0.35374011537464822</v>
      </c>
      <c r="AH708" s="229"/>
      <c r="AI708" s="205">
        <f t="shared" si="74"/>
        <v>234025.23627562917</v>
      </c>
      <c r="AJ708" s="205">
        <f t="shared" si="75"/>
        <v>211933.98149101995</v>
      </c>
      <c r="AK708" s="205">
        <f t="shared" si="76"/>
        <v>22091.254784609198</v>
      </c>
      <c r="AL708" s="229"/>
      <c r="AM708" s="52">
        <f t="shared" si="58"/>
        <v>1</v>
      </c>
      <c r="AN708" s="52">
        <f t="shared" si="59"/>
        <v>0</v>
      </c>
      <c r="AO708" s="52">
        <f t="shared" si="60"/>
        <v>1</v>
      </c>
      <c r="AP708" s="229"/>
      <c r="AQ708" s="28"/>
      <c r="AR708" s="28"/>
      <c r="AS708" s="28"/>
      <c r="AT708" s="28"/>
      <c r="AU708" s="229"/>
      <c r="AV708" s="318">
        <f t="shared" si="77"/>
        <v>234025.23627562917</v>
      </c>
      <c r="AW708" s="229"/>
      <c r="AX708" s="313"/>
      <c r="AY708" s="302"/>
      <c r="AZ708" s="14">
        <f t="shared" si="79"/>
        <v>13282.756752855625</v>
      </c>
      <c r="BA708" s="14">
        <f t="shared" si="78"/>
        <v>0.35374011537464822</v>
      </c>
      <c r="BB708" s="14">
        <f t="shared" si="61"/>
        <v>37549.478206020765</v>
      </c>
      <c r="BC708" s="302"/>
      <c r="BD708" s="302"/>
      <c r="BE708" s="302"/>
      <c r="BF708" s="302"/>
      <c r="BG708" s="302"/>
      <c r="BH708" s="302"/>
      <c r="BI708" s="302"/>
      <c r="BJ708" s="302"/>
      <c r="BK708" s="302"/>
      <c r="BL708" s="302"/>
      <c r="BM708" s="302"/>
      <c r="BN708" s="302"/>
      <c r="BO708" s="302"/>
      <c r="BP708" s="302"/>
      <c r="BQ708" s="302"/>
      <c r="BR708" s="302"/>
      <c r="BS708" s="302"/>
      <c r="BT708" s="302"/>
      <c r="BU708" s="302"/>
      <c r="BV708" s="302"/>
      <c r="BW708" s="302"/>
      <c r="BX708" s="302"/>
      <c r="BY708" s="302"/>
      <c r="BZ708" s="302"/>
      <c r="CA708" s="302"/>
      <c r="CB708" s="28"/>
      <c r="CC708" s="28"/>
      <c r="CD708" s="28"/>
      <c r="CE708" s="28"/>
      <c r="CF708" s="28"/>
      <c r="CG708" s="28"/>
      <c r="CH708" s="28"/>
      <c r="CI708" s="28"/>
      <c r="CJ708" s="28"/>
      <c r="CK708" s="28"/>
      <c r="CL708" s="28"/>
      <c r="CM708" s="28"/>
      <c r="CN708" s="28"/>
      <c r="CO708" s="28"/>
      <c r="CP708" s="28"/>
      <c r="CQ708" s="28"/>
      <c r="CR708" s="28"/>
      <c r="CS708" s="28"/>
      <c r="CT708" s="28"/>
      <c r="CU708" s="28"/>
      <c r="CV708" s="28"/>
      <c r="CW708" s="28"/>
    </row>
    <row r="709" spans="1:101" ht="14.25" customHeight="1" x14ac:dyDescent="0.2">
      <c r="A709" s="286"/>
      <c r="B709" s="52">
        <v>0.15870561606677017</v>
      </c>
      <c r="C709" s="288">
        <v>8.7620067386064343E-2</v>
      </c>
      <c r="D709" s="288">
        <v>1.3952205062995535E-2</v>
      </c>
      <c r="E709" s="288">
        <v>2.2005488982267285E-2</v>
      </c>
      <c r="F709" s="289">
        <v>0.78511026205338852</v>
      </c>
      <c r="G709" s="92">
        <v>0.40646380384791303</v>
      </c>
      <c r="H709" s="288">
        <v>3.0792147475702396E-2</v>
      </c>
      <c r="I709" s="288">
        <v>2.5810616686958165E-2</v>
      </c>
      <c r="J709" s="288">
        <v>0.99510709511639894</v>
      </c>
      <c r="K709" s="288">
        <v>0.79326655263663581</v>
      </c>
      <c r="L709" s="290">
        <v>10856.75698926688</v>
      </c>
      <c r="M709" s="288">
        <v>0</v>
      </c>
      <c r="N709" s="288">
        <v>15006.599535577872</v>
      </c>
      <c r="O709" s="288">
        <v>1397.7372518981642</v>
      </c>
      <c r="P709" s="288">
        <v>43631.215495872471</v>
      </c>
      <c r="Q709" s="291">
        <v>94337.029422265492</v>
      </c>
      <c r="R709" s="288">
        <v>29399.883458321492</v>
      </c>
      <c r="S709" s="288">
        <v>8006.3267603894783</v>
      </c>
      <c r="T709" s="290">
        <v>0.751</v>
      </c>
      <c r="U709" s="288">
        <v>0.75800000000000001</v>
      </c>
      <c r="V709" s="288">
        <v>0.723923076923077</v>
      </c>
      <c r="W709" s="288">
        <v>0.72750000000000004</v>
      </c>
      <c r="X709" s="288">
        <v>0.76</v>
      </c>
      <c r="Y709" s="288">
        <v>0</v>
      </c>
      <c r="Z709" s="289">
        <v>0</v>
      </c>
      <c r="AA709" s="229"/>
      <c r="AB709" s="293">
        <v>73943.437117388225</v>
      </c>
      <c r="AC709" s="294">
        <v>3.1660869735926296</v>
      </c>
      <c r="AD709" s="295">
        <v>65886.273380918399</v>
      </c>
      <c r="AE709" s="294">
        <v>3.2088426290396783</v>
      </c>
      <c r="AF709" s="295">
        <v>8057.1637364698254</v>
      </c>
      <c r="AG709" s="296">
        <v>-4.2755655447048735E-2</v>
      </c>
      <c r="AH709" s="229"/>
      <c r="AI709" s="205">
        <f t="shared" si="74"/>
        <v>242665.26024187473</v>
      </c>
      <c r="AJ709" s="205">
        <f t="shared" si="75"/>
        <v>254997.98952304941</v>
      </c>
      <c r="AK709" s="205">
        <f t="shared" si="76"/>
        <v>-12332.729281174699</v>
      </c>
      <c r="AL709" s="229"/>
      <c r="AM709" s="52">
        <f t="shared" si="58"/>
        <v>0</v>
      </c>
      <c r="AN709" s="52">
        <f t="shared" si="59"/>
        <v>1</v>
      </c>
      <c r="AO709" s="52">
        <f t="shared" si="60"/>
        <v>0</v>
      </c>
      <c r="AP709" s="229"/>
      <c r="AQ709" s="28"/>
      <c r="AR709" s="28"/>
      <c r="AS709" s="28"/>
      <c r="AT709" s="28"/>
      <c r="AU709" s="229"/>
      <c r="AV709" s="318">
        <f t="shared" si="77"/>
        <v>254997.98952304941</v>
      </c>
      <c r="AW709" s="229"/>
      <c r="AX709" s="313"/>
      <c r="AY709" s="302"/>
      <c r="AZ709" s="14">
        <f t="shared" si="79"/>
        <v>8057.1637364698254</v>
      </c>
      <c r="BA709" s="14">
        <f t="shared" si="78"/>
        <v>-4.2755655447048735E-2</v>
      </c>
      <c r="BB709" s="14">
        <f t="shared" si="61"/>
        <v>-188446.73651298173</v>
      </c>
      <c r="BC709" s="302"/>
      <c r="BD709" s="302"/>
      <c r="BE709" s="302"/>
      <c r="BF709" s="302"/>
      <c r="BG709" s="302"/>
      <c r="BH709" s="302"/>
      <c r="BI709" s="302"/>
      <c r="BJ709" s="302"/>
      <c r="BK709" s="302"/>
      <c r="BL709" s="302"/>
      <c r="BM709" s="302"/>
      <c r="BN709" s="302"/>
      <c r="BO709" s="302"/>
      <c r="BP709" s="302"/>
      <c r="BQ709" s="302"/>
      <c r="BR709" s="302"/>
      <c r="BS709" s="302"/>
      <c r="BT709" s="302"/>
      <c r="BU709" s="302"/>
      <c r="BV709" s="302"/>
      <c r="BW709" s="302"/>
      <c r="BX709" s="302"/>
      <c r="BY709" s="302"/>
      <c r="BZ709" s="302"/>
      <c r="CA709" s="302"/>
      <c r="CB709" s="28"/>
      <c r="CC709" s="28"/>
      <c r="CD709" s="28"/>
      <c r="CE709" s="28"/>
      <c r="CF709" s="28"/>
      <c r="CG709" s="28"/>
      <c r="CH709" s="28"/>
      <c r="CI709" s="28"/>
      <c r="CJ709" s="28"/>
      <c r="CK709" s="28"/>
      <c r="CL709" s="28"/>
      <c r="CM709" s="28"/>
      <c r="CN709" s="28"/>
      <c r="CO709" s="28"/>
      <c r="CP709" s="28"/>
      <c r="CQ709" s="28"/>
      <c r="CR709" s="28"/>
      <c r="CS709" s="28"/>
      <c r="CT709" s="28"/>
      <c r="CU709" s="28"/>
      <c r="CV709" s="28"/>
      <c r="CW709" s="28"/>
    </row>
    <row r="710" spans="1:101" ht="14.25" customHeight="1" x14ac:dyDescent="0.2">
      <c r="A710" s="286"/>
      <c r="B710" s="52">
        <v>0.17221147941297921</v>
      </c>
      <c r="C710" s="288">
        <v>0.26470214087282251</v>
      </c>
      <c r="D710" s="288">
        <v>7.661671662720174E-3</v>
      </c>
      <c r="E710" s="288">
        <v>1.1332472193016231E-2</v>
      </c>
      <c r="F710" s="289">
        <v>0.7974342342925731</v>
      </c>
      <c r="G710" s="92">
        <v>0.4846498414774254</v>
      </c>
      <c r="H710" s="288">
        <v>0.45199095644178805</v>
      </c>
      <c r="I710" s="288">
        <v>8.7463809528756584E-3</v>
      </c>
      <c r="J710" s="288">
        <v>0.99999996394526525</v>
      </c>
      <c r="K710" s="288">
        <v>0.73478586513106758</v>
      </c>
      <c r="L710" s="290">
        <v>10758.644771691548</v>
      </c>
      <c r="M710" s="288">
        <v>0</v>
      </c>
      <c r="N710" s="288">
        <v>13820.00552121422</v>
      </c>
      <c r="O710" s="288">
        <v>1103.9933014371697</v>
      </c>
      <c r="P710" s="288">
        <v>24301.456095030957</v>
      </c>
      <c r="Q710" s="291">
        <v>126816.46347162571</v>
      </c>
      <c r="R710" s="288">
        <v>16207.949002251791</v>
      </c>
      <c r="S710" s="288">
        <v>7225.0869267603593</v>
      </c>
      <c r="T710" s="290">
        <v>0.751</v>
      </c>
      <c r="U710" s="288">
        <v>0.75800000000000001</v>
      </c>
      <c r="V710" s="288">
        <v>0.723923076923077</v>
      </c>
      <c r="W710" s="288">
        <v>0.72750000000000004</v>
      </c>
      <c r="X710" s="288">
        <v>0.76</v>
      </c>
      <c r="Y710" s="288">
        <v>0</v>
      </c>
      <c r="Z710" s="289">
        <v>0</v>
      </c>
      <c r="AA710" s="229"/>
      <c r="AB710" s="293">
        <v>68907.827969492195</v>
      </c>
      <c r="AC710" s="294">
        <v>3.2234926916550899</v>
      </c>
      <c r="AD710" s="295">
        <v>57709.665129189198</v>
      </c>
      <c r="AE710" s="294">
        <v>2.9384160448553391</v>
      </c>
      <c r="AF710" s="295">
        <v>11198.162840302997</v>
      </c>
      <c r="AG710" s="296">
        <v>0.28507664679975075</v>
      </c>
      <c r="AH710" s="229"/>
      <c r="AI710" s="205">
        <f t="shared" si="74"/>
        <v>253441.44119601679</v>
      </c>
      <c r="AJ710" s="205">
        <f t="shared" si="75"/>
        <v>236131.93935634469</v>
      </c>
      <c r="AK710" s="205">
        <f t="shared" si="76"/>
        <v>17309.501839672077</v>
      </c>
      <c r="AL710" s="229"/>
      <c r="AM710" s="52">
        <f t="shared" si="58"/>
        <v>1</v>
      </c>
      <c r="AN710" s="52">
        <f t="shared" si="59"/>
        <v>0</v>
      </c>
      <c r="AO710" s="52">
        <f t="shared" si="60"/>
        <v>1</v>
      </c>
      <c r="AP710" s="229"/>
      <c r="AQ710" s="28"/>
      <c r="AR710" s="28"/>
      <c r="AS710" s="28"/>
      <c r="AT710" s="28"/>
      <c r="AU710" s="229"/>
      <c r="AV710" s="318">
        <f t="shared" si="77"/>
        <v>253441.44119601679</v>
      </c>
      <c r="AW710" s="229"/>
      <c r="AX710" s="313"/>
      <c r="AY710" s="302"/>
      <c r="AZ710" s="14">
        <f t="shared" si="79"/>
        <v>11198.162840302997</v>
      </c>
      <c r="BA710" s="14">
        <f t="shared" si="78"/>
        <v>0.28507664679975075</v>
      </c>
      <c r="BB710" s="14">
        <f t="shared" si="61"/>
        <v>39281.235295885301</v>
      </c>
      <c r="BC710" s="302"/>
      <c r="BD710" s="302"/>
      <c r="BE710" s="302"/>
      <c r="BF710" s="302"/>
      <c r="BG710" s="302"/>
      <c r="BH710" s="302"/>
      <c r="BI710" s="302"/>
      <c r="BJ710" s="302"/>
      <c r="BK710" s="302"/>
      <c r="BL710" s="302"/>
      <c r="BM710" s="302"/>
      <c r="BN710" s="302"/>
      <c r="BO710" s="302"/>
      <c r="BP710" s="302"/>
      <c r="BQ710" s="302"/>
      <c r="BR710" s="302"/>
      <c r="BS710" s="302"/>
      <c r="BT710" s="302"/>
      <c r="BU710" s="302"/>
      <c r="BV710" s="302"/>
      <c r="BW710" s="302"/>
      <c r="BX710" s="302"/>
      <c r="BY710" s="302"/>
      <c r="BZ710" s="302"/>
      <c r="CA710" s="302"/>
      <c r="CB710" s="28"/>
      <c r="CC710" s="28"/>
      <c r="CD710" s="28"/>
      <c r="CE710" s="28"/>
      <c r="CF710" s="28"/>
      <c r="CG710" s="28"/>
      <c r="CH710" s="28"/>
      <c r="CI710" s="28"/>
      <c r="CJ710" s="28"/>
      <c r="CK710" s="28"/>
      <c r="CL710" s="28"/>
      <c r="CM710" s="28"/>
      <c r="CN710" s="28"/>
      <c r="CO710" s="28"/>
      <c r="CP710" s="28"/>
      <c r="CQ710" s="28"/>
      <c r="CR710" s="28"/>
      <c r="CS710" s="28"/>
      <c r="CT710" s="28"/>
      <c r="CU710" s="28"/>
      <c r="CV710" s="28"/>
      <c r="CW710" s="28"/>
    </row>
    <row r="711" spans="1:101" ht="14.25" customHeight="1" x14ac:dyDescent="0.2">
      <c r="A711" s="286"/>
      <c r="B711" s="52">
        <v>0.15048657621224473</v>
      </c>
      <c r="C711" s="288">
        <v>0.42907991067086504</v>
      </c>
      <c r="D711" s="288">
        <v>1.615045601075682E-2</v>
      </c>
      <c r="E711" s="288">
        <v>1.3840919538517718E-2</v>
      </c>
      <c r="F711" s="289">
        <v>0.78522404329440543</v>
      </c>
      <c r="G711" s="92">
        <v>0.34836380212340823</v>
      </c>
      <c r="H711" s="288">
        <v>0.58859126478162738</v>
      </c>
      <c r="I711" s="288">
        <v>6.9639860717177092E-3</v>
      </c>
      <c r="J711" s="288">
        <v>0.99999925322461469</v>
      </c>
      <c r="K711" s="288">
        <v>0.77728882429906831</v>
      </c>
      <c r="L711" s="290">
        <v>11901.152716482751</v>
      </c>
      <c r="M711" s="288">
        <v>0</v>
      </c>
      <c r="N711" s="288">
        <v>22230.912777093799</v>
      </c>
      <c r="O711" s="288">
        <v>1366.3783178567769</v>
      </c>
      <c r="P711" s="288">
        <v>39668.249212424576</v>
      </c>
      <c r="Q711" s="291">
        <v>145105.84337284064</v>
      </c>
      <c r="R711" s="288">
        <v>25848.033431952685</v>
      </c>
      <c r="S711" s="288">
        <v>6300.2804374994776</v>
      </c>
      <c r="T711" s="290">
        <v>0.751</v>
      </c>
      <c r="U711" s="288">
        <v>0.75800000000000001</v>
      </c>
      <c r="V711" s="288">
        <v>0.723923076923077</v>
      </c>
      <c r="W711" s="288">
        <v>0.72750000000000004</v>
      </c>
      <c r="X711" s="288">
        <v>0.76</v>
      </c>
      <c r="Y711" s="288">
        <v>0</v>
      </c>
      <c r="Z711" s="289">
        <v>0</v>
      </c>
      <c r="AA711" s="229"/>
      <c r="AB711" s="293">
        <v>63118.464194556851</v>
      </c>
      <c r="AC711" s="294">
        <v>3.1666158831127991</v>
      </c>
      <c r="AD711" s="295">
        <v>55100.196127004529</v>
      </c>
      <c r="AE711" s="294">
        <v>3.1344231497510648</v>
      </c>
      <c r="AF711" s="295">
        <v>8018.2680675523225</v>
      </c>
      <c r="AG711" s="296">
        <v>3.2192733361734227E-2</v>
      </c>
      <c r="AH711" s="229"/>
      <c r="AI711" s="205">
        <f t="shared" si="74"/>
        <v>253543.12411672305</v>
      </c>
      <c r="AJ711" s="205">
        <f t="shared" si="75"/>
        <v>258342.11884810199</v>
      </c>
      <c r="AK711" s="205">
        <f t="shared" si="76"/>
        <v>-4798.9947313788998</v>
      </c>
      <c r="AL711" s="229"/>
      <c r="AM711" s="52">
        <f t="shared" si="58"/>
        <v>0</v>
      </c>
      <c r="AN711" s="52">
        <f t="shared" si="59"/>
        <v>1</v>
      </c>
      <c r="AO711" s="52">
        <f t="shared" si="60"/>
        <v>0</v>
      </c>
      <c r="AP711" s="229"/>
      <c r="AQ711" s="28"/>
      <c r="AR711" s="28"/>
      <c r="AS711" s="28"/>
      <c r="AT711" s="28"/>
      <c r="AU711" s="229"/>
      <c r="AV711" s="318">
        <f t="shared" si="77"/>
        <v>258342.11884810199</v>
      </c>
      <c r="AW711" s="229"/>
      <c r="AX711" s="313"/>
      <c r="AY711" s="302"/>
      <c r="AZ711" s="14">
        <f t="shared" si="79"/>
        <v>8018.2680675523225</v>
      </c>
      <c r="BA711" s="14">
        <f t="shared" si="78"/>
        <v>3.2192733361734227E-2</v>
      </c>
      <c r="BB711" s="14">
        <f t="shared" si="61"/>
        <v>249070.74455141503</v>
      </c>
      <c r="BC711" s="302"/>
      <c r="BD711" s="302"/>
      <c r="BE711" s="302"/>
      <c r="BF711" s="302"/>
      <c r="BG711" s="302"/>
      <c r="BH711" s="302"/>
      <c r="BI711" s="302"/>
      <c r="BJ711" s="302"/>
      <c r="BK711" s="302"/>
      <c r="BL711" s="302"/>
      <c r="BM711" s="302"/>
      <c r="BN711" s="302"/>
      <c r="BO711" s="302"/>
      <c r="BP711" s="302"/>
      <c r="BQ711" s="302"/>
      <c r="BR711" s="302"/>
      <c r="BS711" s="302"/>
      <c r="BT711" s="302"/>
      <c r="BU711" s="302"/>
      <c r="BV711" s="302"/>
      <c r="BW711" s="302"/>
      <c r="BX711" s="302"/>
      <c r="BY711" s="302"/>
      <c r="BZ711" s="302"/>
      <c r="CA711" s="302"/>
      <c r="CB711" s="28"/>
      <c r="CC711" s="28"/>
      <c r="CD711" s="28"/>
      <c r="CE711" s="28"/>
      <c r="CF711" s="28"/>
      <c r="CG711" s="28"/>
      <c r="CH711" s="28"/>
      <c r="CI711" s="28"/>
      <c r="CJ711" s="28"/>
      <c r="CK711" s="28"/>
      <c r="CL711" s="28"/>
      <c r="CM711" s="28"/>
      <c r="CN711" s="28"/>
      <c r="CO711" s="28"/>
      <c r="CP711" s="28"/>
      <c r="CQ711" s="28"/>
      <c r="CR711" s="28"/>
      <c r="CS711" s="28"/>
      <c r="CT711" s="28"/>
      <c r="CU711" s="28"/>
      <c r="CV711" s="28"/>
      <c r="CW711" s="28"/>
    </row>
    <row r="712" spans="1:101" ht="14.25" customHeight="1" x14ac:dyDescent="0.2">
      <c r="A712" s="286"/>
      <c r="B712" s="52">
        <v>0.16419645627365531</v>
      </c>
      <c r="C712" s="288">
        <v>0.17225231728513002</v>
      </c>
      <c r="D712" s="288">
        <v>7.9145605029589117E-3</v>
      </c>
      <c r="E712" s="288">
        <v>2.2067296661351432E-2</v>
      </c>
      <c r="F712" s="289">
        <v>0.77773206419298258</v>
      </c>
      <c r="G712" s="92">
        <v>0.40016046072031619</v>
      </c>
      <c r="H712" s="288">
        <v>0.9534238317085475</v>
      </c>
      <c r="I712" s="288">
        <v>8.9198651900307194E-3</v>
      </c>
      <c r="J712" s="288">
        <v>0.60715286413909775</v>
      </c>
      <c r="K712" s="288">
        <v>0.77705751168382398</v>
      </c>
      <c r="L712" s="290">
        <v>14491.434902803321</v>
      </c>
      <c r="M712" s="288">
        <v>0</v>
      </c>
      <c r="N712" s="288">
        <v>18698.07971666805</v>
      </c>
      <c r="O712" s="288">
        <v>1446.5143162197987</v>
      </c>
      <c r="P712" s="288">
        <v>32082.214243218881</v>
      </c>
      <c r="Q712" s="291">
        <v>121986.39525720898</v>
      </c>
      <c r="R712" s="288">
        <v>21398.200132845224</v>
      </c>
      <c r="S712" s="288">
        <v>7293.3864558884679</v>
      </c>
      <c r="T712" s="290">
        <v>0.751</v>
      </c>
      <c r="U712" s="288">
        <v>0.75800000000000001</v>
      </c>
      <c r="V712" s="288">
        <v>0.723923076923077</v>
      </c>
      <c r="W712" s="288">
        <v>0.72750000000000004</v>
      </c>
      <c r="X712" s="288">
        <v>0.76</v>
      </c>
      <c r="Y712" s="288">
        <v>0</v>
      </c>
      <c r="Z712" s="289">
        <v>0</v>
      </c>
      <c r="AA712" s="229"/>
      <c r="AB712" s="293">
        <v>71662.880245149281</v>
      </c>
      <c r="AC712" s="294">
        <v>3.1318329392810753</v>
      </c>
      <c r="AD712" s="295">
        <v>65741.073434995473</v>
      </c>
      <c r="AE712" s="294">
        <v>3.1333487197411283</v>
      </c>
      <c r="AF712" s="295">
        <v>5921.8068101538083</v>
      </c>
      <c r="AG712" s="296">
        <v>-1.5157804600529623E-3</v>
      </c>
      <c r="AH712" s="229"/>
      <c r="AI712" s="205">
        <f t="shared" si="74"/>
        <v>241520.41368295826</v>
      </c>
      <c r="AJ712" s="205">
        <f t="shared" si="75"/>
        <v>247593.79853911733</v>
      </c>
      <c r="AK712" s="205">
        <f t="shared" si="76"/>
        <v>-6073.3848561591049</v>
      </c>
      <c r="AL712" s="229"/>
      <c r="AM712" s="52">
        <f t="shared" si="58"/>
        <v>0</v>
      </c>
      <c r="AN712" s="52">
        <f t="shared" si="59"/>
        <v>1</v>
      </c>
      <c r="AO712" s="52">
        <f t="shared" si="60"/>
        <v>0</v>
      </c>
      <c r="AP712" s="229"/>
      <c r="AQ712" s="28"/>
      <c r="AR712" s="28"/>
      <c r="AS712" s="28"/>
      <c r="AT712" s="28"/>
      <c r="AU712" s="229"/>
      <c r="AV712" s="318">
        <f t="shared" si="77"/>
        <v>247593.79853911733</v>
      </c>
      <c r="AW712" s="229"/>
      <c r="AX712" s="313"/>
      <c r="AY712" s="302"/>
      <c r="AZ712" s="14">
        <f t="shared" si="79"/>
        <v>5921.8068101538083</v>
      </c>
      <c r="BA712" s="14">
        <f t="shared" si="78"/>
        <v>-1.5157804600529623E-3</v>
      </c>
      <c r="BB712" s="14">
        <f t="shared" si="61"/>
        <v>-3906770.7799498197</v>
      </c>
      <c r="BC712" s="302"/>
      <c r="BD712" s="302"/>
      <c r="BE712" s="302"/>
      <c r="BF712" s="302"/>
      <c r="BG712" s="302"/>
      <c r="BH712" s="302"/>
      <c r="BI712" s="302"/>
      <c r="BJ712" s="302"/>
      <c r="BK712" s="302"/>
      <c r="BL712" s="302"/>
      <c r="BM712" s="302"/>
      <c r="BN712" s="302"/>
      <c r="BO712" s="302"/>
      <c r="BP712" s="302"/>
      <c r="BQ712" s="302"/>
      <c r="BR712" s="302"/>
      <c r="BS712" s="302"/>
      <c r="BT712" s="302"/>
      <c r="BU712" s="302"/>
      <c r="BV712" s="302"/>
      <c r="BW712" s="302"/>
      <c r="BX712" s="302"/>
      <c r="BY712" s="302"/>
      <c r="BZ712" s="302"/>
      <c r="CA712" s="302"/>
      <c r="CB712" s="28"/>
      <c r="CC712" s="28"/>
      <c r="CD712" s="28"/>
      <c r="CE712" s="28"/>
      <c r="CF712" s="28"/>
      <c r="CG712" s="28"/>
      <c r="CH712" s="28"/>
      <c r="CI712" s="28"/>
      <c r="CJ712" s="28"/>
      <c r="CK712" s="28"/>
      <c r="CL712" s="28"/>
      <c r="CM712" s="28"/>
      <c r="CN712" s="28"/>
      <c r="CO712" s="28"/>
      <c r="CP712" s="28"/>
      <c r="CQ712" s="28"/>
      <c r="CR712" s="28"/>
      <c r="CS712" s="28"/>
      <c r="CT712" s="28"/>
      <c r="CU712" s="28"/>
      <c r="CV712" s="28"/>
      <c r="CW712" s="28"/>
    </row>
    <row r="713" spans="1:101" ht="14.25" customHeight="1" x14ac:dyDescent="0.2">
      <c r="A713" s="286"/>
      <c r="B713" s="52">
        <v>0.16518255111981461</v>
      </c>
      <c r="C713" s="288">
        <v>3.0448810762418316E-2</v>
      </c>
      <c r="D713" s="288">
        <v>1.9563584619504137E-2</v>
      </c>
      <c r="E713" s="288">
        <v>2.702873440521536E-2</v>
      </c>
      <c r="F713" s="289">
        <v>0.77696004868889601</v>
      </c>
      <c r="G713" s="92">
        <v>0.41484953461616458</v>
      </c>
      <c r="H713" s="288">
        <v>5.7819174850633877E-2</v>
      </c>
      <c r="I713" s="288">
        <v>1.4583752338895721E-2</v>
      </c>
      <c r="J713" s="288">
        <v>0.99999999830443065</v>
      </c>
      <c r="K713" s="288">
        <v>0.76364657671099245</v>
      </c>
      <c r="L713" s="290">
        <v>14561.417271706563</v>
      </c>
      <c r="M713" s="288">
        <v>0</v>
      </c>
      <c r="N713" s="288">
        <v>22046.323084161417</v>
      </c>
      <c r="O713" s="288">
        <v>1141.5062895878141</v>
      </c>
      <c r="P713" s="288">
        <v>48984.840250538604</v>
      </c>
      <c r="Q713" s="291">
        <v>77390.382666888487</v>
      </c>
      <c r="R713" s="288">
        <v>24371.928178309878</v>
      </c>
      <c r="S713" s="288">
        <v>9411.7301480180649</v>
      </c>
      <c r="T713" s="290">
        <v>0.751</v>
      </c>
      <c r="U713" s="288">
        <v>0.75800000000000001</v>
      </c>
      <c r="V713" s="288">
        <v>0.723923076923077</v>
      </c>
      <c r="W713" s="288">
        <v>0.72750000000000004</v>
      </c>
      <c r="X713" s="288">
        <v>0.76</v>
      </c>
      <c r="Y713" s="288">
        <v>0</v>
      </c>
      <c r="Z713" s="289">
        <v>0</v>
      </c>
      <c r="AA713" s="229"/>
      <c r="AB713" s="293">
        <v>87539.695051598814</v>
      </c>
      <c r="AC713" s="294">
        <v>3.1282537133218469</v>
      </c>
      <c r="AD713" s="295">
        <v>73619.908985149625</v>
      </c>
      <c r="AE713" s="294">
        <v>3.0712001091472629</v>
      </c>
      <c r="AF713" s="295">
        <v>13919.786066449189</v>
      </c>
      <c r="AG713" s="296">
        <v>5.7053604174583938E-2</v>
      </c>
      <c r="AH713" s="229"/>
      <c r="AI713" s="205">
        <f t="shared" si="74"/>
        <v>225285.67628058587</v>
      </c>
      <c r="AJ713" s="205">
        <f t="shared" si="75"/>
        <v>233500.10192957666</v>
      </c>
      <c r="AK713" s="205">
        <f t="shared" si="76"/>
        <v>-8214.4256489907948</v>
      </c>
      <c r="AL713" s="229"/>
      <c r="AM713" s="52">
        <f t="shared" si="58"/>
        <v>0</v>
      </c>
      <c r="AN713" s="52">
        <f t="shared" si="59"/>
        <v>1</v>
      </c>
      <c r="AO713" s="52">
        <f t="shared" si="60"/>
        <v>0</v>
      </c>
      <c r="AP713" s="229"/>
      <c r="AQ713" s="28"/>
      <c r="AR713" s="28"/>
      <c r="AS713" s="28"/>
      <c r="AT713" s="28"/>
      <c r="AU713" s="229"/>
      <c r="AV713" s="318">
        <f t="shared" si="77"/>
        <v>233500.10192957666</v>
      </c>
      <c r="AW713" s="229"/>
      <c r="AX713" s="313"/>
      <c r="AY713" s="302"/>
      <c r="AZ713" s="14">
        <f t="shared" si="79"/>
        <v>13919.786066449189</v>
      </c>
      <c r="BA713" s="14">
        <f t="shared" si="78"/>
        <v>5.7053604174583938E-2</v>
      </c>
      <c r="BB713" s="14">
        <f t="shared" si="61"/>
        <v>243977.33092995608</v>
      </c>
      <c r="BC713" s="302"/>
      <c r="BD713" s="302"/>
      <c r="BE713" s="302"/>
      <c r="BF713" s="302"/>
      <c r="BG713" s="302"/>
      <c r="BH713" s="302"/>
      <c r="BI713" s="302"/>
      <c r="BJ713" s="302"/>
      <c r="BK713" s="302"/>
      <c r="BL713" s="302"/>
      <c r="BM713" s="302"/>
      <c r="BN713" s="302"/>
      <c r="BO713" s="302"/>
      <c r="BP713" s="302"/>
      <c r="BQ713" s="302"/>
      <c r="BR713" s="302"/>
      <c r="BS713" s="302"/>
      <c r="BT713" s="302"/>
      <c r="BU713" s="302"/>
      <c r="BV713" s="302"/>
      <c r="BW713" s="302"/>
      <c r="BX713" s="302"/>
      <c r="BY713" s="302"/>
      <c r="BZ713" s="302"/>
      <c r="CA713" s="302"/>
      <c r="CB713" s="28"/>
      <c r="CC713" s="28"/>
      <c r="CD713" s="28"/>
      <c r="CE713" s="28"/>
      <c r="CF713" s="28"/>
      <c r="CG713" s="28"/>
      <c r="CH713" s="28"/>
      <c r="CI713" s="28"/>
      <c r="CJ713" s="28"/>
      <c r="CK713" s="28"/>
      <c r="CL713" s="28"/>
      <c r="CM713" s="28"/>
      <c r="CN713" s="28"/>
      <c r="CO713" s="28"/>
      <c r="CP713" s="28"/>
      <c r="CQ713" s="28"/>
      <c r="CR713" s="28"/>
      <c r="CS713" s="28"/>
      <c r="CT713" s="28"/>
      <c r="CU713" s="28"/>
      <c r="CV713" s="28"/>
      <c r="CW713" s="28"/>
    </row>
    <row r="714" spans="1:101" ht="14.25" customHeight="1" x14ac:dyDescent="0.2">
      <c r="A714" s="286"/>
      <c r="B714" s="52">
        <v>0.15494990267286227</v>
      </c>
      <c r="C714" s="288">
        <v>0.2529168285150557</v>
      </c>
      <c r="D714" s="288">
        <v>6.2886376460186818E-3</v>
      </c>
      <c r="E714" s="288">
        <v>1.7848005065136063E-2</v>
      </c>
      <c r="F714" s="289">
        <v>0.79516597103065212</v>
      </c>
      <c r="G714" s="92">
        <v>0.4129160369922541</v>
      </c>
      <c r="H714" s="288">
        <v>0.23481513559263117</v>
      </c>
      <c r="I714" s="288">
        <v>2.108092553347829E-2</v>
      </c>
      <c r="J714" s="288">
        <v>0.98902346259449725</v>
      </c>
      <c r="K714" s="288">
        <v>0.76737626367482337</v>
      </c>
      <c r="L714" s="290">
        <v>18017.147691017573</v>
      </c>
      <c r="M714" s="288">
        <v>0</v>
      </c>
      <c r="N714" s="288">
        <v>20455.389638536453</v>
      </c>
      <c r="O714" s="288">
        <v>1020.4504162389285</v>
      </c>
      <c r="P714" s="288">
        <v>47081.448152451841</v>
      </c>
      <c r="Q714" s="291">
        <v>85938.849844488606</v>
      </c>
      <c r="R714" s="288">
        <v>21652.143169589745</v>
      </c>
      <c r="S714" s="288">
        <v>5410.5663993600556</v>
      </c>
      <c r="T714" s="290">
        <v>0.751</v>
      </c>
      <c r="U714" s="288">
        <v>0.75800000000000001</v>
      </c>
      <c r="V714" s="288">
        <v>0.723923076923077</v>
      </c>
      <c r="W714" s="288">
        <v>0.72750000000000004</v>
      </c>
      <c r="X714" s="288">
        <v>0.76</v>
      </c>
      <c r="Y714" s="288">
        <v>0</v>
      </c>
      <c r="Z714" s="289">
        <v>0</v>
      </c>
      <c r="AA714" s="229"/>
      <c r="AB714" s="293">
        <v>61711.303815189363</v>
      </c>
      <c r="AC714" s="294">
        <v>3.2129091128033362</v>
      </c>
      <c r="AD714" s="295">
        <v>45254.898066966518</v>
      </c>
      <c r="AE714" s="294">
        <v>3.0884556710975866</v>
      </c>
      <c r="AF714" s="295">
        <v>16456.405748222845</v>
      </c>
      <c r="AG714" s="296">
        <v>0.12445344170574968</v>
      </c>
      <c r="AH714" s="229"/>
      <c r="AI714" s="205">
        <f t="shared" si="74"/>
        <v>259579.60746514428</v>
      </c>
      <c r="AJ714" s="205">
        <f t="shared" si="75"/>
        <v>263590.66904279217</v>
      </c>
      <c r="AK714" s="205">
        <f t="shared" si="76"/>
        <v>-4011.0615776478771</v>
      </c>
      <c r="AL714" s="229"/>
      <c r="AM714" s="52">
        <f t="shared" si="58"/>
        <v>0</v>
      </c>
      <c r="AN714" s="52">
        <f t="shared" si="59"/>
        <v>1</v>
      </c>
      <c r="AO714" s="52">
        <f t="shared" si="60"/>
        <v>0</v>
      </c>
      <c r="AP714" s="229"/>
      <c r="AQ714" s="28"/>
      <c r="AR714" s="28"/>
      <c r="AS714" s="28"/>
      <c r="AT714" s="28"/>
      <c r="AU714" s="229"/>
      <c r="AV714" s="318">
        <f t="shared" si="77"/>
        <v>263590.66904279217</v>
      </c>
      <c r="AW714" s="229"/>
      <c r="AX714" s="313"/>
      <c r="AY714" s="302"/>
      <c r="AZ714" s="14">
        <f t="shared" si="79"/>
        <v>16456.405748222845</v>
      </c>
      <c r="BA714" s="14">
        <f t="shared" si="78"/>
        <v>0.12445344170574968</v>
      </c>
      <c r="BB714" s="14">
        <f t="shared" si="61"/>
        <v>132229.41465235967</v>
      </c>
      <c r="BC714" s="302"/>
      <c r="BD714" s="302"/>
      <c r="BE714" s="302"/>
      <c r="BF714" s="302"/>
      <c r="BG714" s="302"/>
      <c r="BH714" s="302"/>
      <c r="BI714" s="302"/>
      <c r="BJ714" s="302"/>
      <c r="BK714" s="302"/>
      <c r="BL714" s="302"/>
      <c r="BM714" s="302"/>
      <c r="BN714" s="302"/>
      <c r="BO714" s="302"/>
      <c r="BP714" s="302"/>
      <c r="BQ714" s="302"/>
      <c r="BR714" s="302"/>
      <c r="BS714" s="302"/>
      <c r="BT714" s="302"/>
      <c r="BU714" s="302"/>
      <c r="BV714" s="302"/>
      <c r="BW714" s="302"/>
      <c r="BX714" s="302"/>
      <c r="BY714" s="302"/>
      <c r="BZ714" s="302"/>
      <c r="CA714" s="302"/>
      <c r="CB714" s="28"/>
      <c r="CC714" s="28"/>
      <c r="CD714" s="28"/>
      <c r="CE714" s="28"/>
      <c r="CF714" s="28"/>
      <c r="CG714" s="28"/>
      <c r="CH714" s="28"/>
      <c r="CI714" s="28"/>
      <c r="CJ714" s="28"/>
      <c r="CK714" s="28"/>
      <c r="CL714" s="28"/>
      <c r="CM714" s="28"/>
      <c r="CN714" s="28"/>
      <c r="CO714" s="28"/>
      <c r="CP714" s="28"/>
      <c r="CQ714" s="28"/>
      <c r="CR714" s="28"/>
      <c r="CS714" s="28"/>
      <c r="CT714" s="28"/>
      <c r="CU714" s="28"/>
      <c r="CV714" s="28"/>
      <c r="CW714" s="28"/>
    </row>
    <row r="715" spans="1:101" ht="14.25" customHeight="1" x14ac:dyDescent="0.2">
      <c r="A715" s="286"/>
      <c r="B715" s="52">
        <v>0.17677268189354267</v>
      </c>
      <c r="C715" s="288">
        <v>0.59812760342837934</v>
      </c>
      <c r="D715" s="288">
        <v>1.4698305993670058E-2</v>
      </c>
      <c r="E715" s="288">
        <v>1.98542600207674E-2</v>
      </c>
      <c r="F715" s="289">
        <v>0.80058948303854971</v>
      </c>
      <c r="G715" s="92">
        <v>0.40935965974452493</v>
      </c>
      <c r="H715" s="288">
        <v>0.99282045030930843</v>
      </c>
      <c r="I715" s="288">
        <v>1.6710812263802E-2</v>
      </c>
      <c r="J715" s="288">
        <v>1</v>
      </c>
      <c r="K715" s="288">
        <v>0.74391882308114365</v>
      </c>
      <c r="L715" s="290">
        <v>9279.2360163350168</v>
      </c>
      <c r="M715" s="288">
        <v>0</v>
      </c>
      <c r="N715" s="288">
        <v>16707.948522279767</v>
      </c>
      <c r="O715" s="288">
        <v>846.01331977452378</v>
      </c>
      <c r="P715" s="288">
        <v>42329.559640696694</v>
      </c>
      <c r="Q715" s="291">
        <v>99268.591908233662</v>
      </c>
      <c r="R715" s="288">
        <v>27321.711560654428</v>
      </c>
      <c r="S715" s="288">
        <v>9245.3573047337923</v>
      </c>
      <c r="T715" s="290">
        <v>0.751</v>
      </c>
      <c r="U715" s="288">
        <v>0.75800000000000001</v>
      </c>
      <c r="V715" s="288">
        <v>0.723923076923077</v>
      </c>
      <c r="W715" s="288">
        <v>0.72750000000000004</v>
      </c>
      <c r="X715" s="288">
        <v>0.76</v>
      </c>
      <c r="Y715" s="288">
        <v>0</v>
      </c>
      <c r="Z715" s="289">
        <v>0</v>
      </c>
      <c r="AA715" s="229"/>
      <c r="AB715" s="293">
        <v>85872.657912873459</v>
      </c>
      <c r="AC715" s="294">
        <v>3.2382283114973482</v>
      </c>
      <c r="AD715" s="295">
        <v>81041.836415519836</v>
      </c>
      <c r="AE715" s="294">
        <v>2.9802934978889533</v>
      </c>
      <c r="AF715" s="295">
        <v>4830.8214973536233</v>
      </c>
      <c r="AG715" s="296">
        <v>0.25793481360839499</v>
      </c>
      <c r="AH715" s="229"/>
      <c r="AI715" s="205">
        <f t="shared" si="74"/>
        <v>237950.17323686139</v>
      </c>
      <c r="AJ715" s="205">
        <f t="shared" si="75"/>
        <v>216987.51337337552</v>
      </c>
      <c r="AK715" s="205">
        <f t="shared" si="76"/>
        <v>20962.659863485875</v>
      </c>
      <c r="AL715" s="229"/>
      <c r="AM715" s="52">
        <f t="shared" si="58"/>
        <v>1</v>
      </c>
      <c r="AN715" s="52">
        <f t="shared" si="59"/>
        <v>0</v>
      </c>
      <c r="AO715" s="52">
        <f t="shared" si="60"/>
        <v>1</v>
      </c>
      <c r="AP715" s="229"/>
      <c r="AQ715" s="28"/>
      <c r="AR715" s="28"/>
      <c r="AS715" s="28"/>
      <c r="AT715" s="28"/>
      <c r="AU715" s="229"/>
      <c r="AV715" s="318">
        <f t="shared" si="77"/>
        <v>237950.17323686139</v>
      </c>
      <c r="AW715" s="229"/>
      <c r="AX715" s="313"/>
      <c r="AY715" s="302"/>
      <c r="AZ715" s="14">
        <f t="shared" si="79"/>
        <v>4830.8214973536233</v>
      </c>
      <c r="BA715" s="14">
        <f t="shared" si="78"/>
        <v>0.25793481360839499</v>
      </c>
      <c r="BB715" s="14">
        <f t="shared" si="61"/>
        <v>18728.846369253333</v>
      </c>
      <c r="BC715" s="302"/>
      <c r="BD715" s="302"/>
      <c r="BE715" s="302"/>
      <c r="BF715" s="302"/>
      <c r="BG715" s="302"/>
      <c r="BH715" s="302"/>
      <c r="BI715" s="302"/>
      <c r="BJ715" s="302"/>
      <c r="BK715" s="302"/>
      <c r="BL715" s="302"/>
      <c r="BM715" s="302"/>
      <c r="BN715" s="302"/>
      <c r="BO715" s="302"/>
      <c r="BP715" s="302"/>
      <c r="BQ715" s="302"/>
      <c r="BR715" s="302"/>
      <c r="BS715" s="302"/>
      <c r="BT715" s="302"/>
      <c r="BU715" s="302"/>
      <c r="BV715" s="302"/>
      <c r="BW715" s="302"/>
      <c r="BX715" s="302"/>
      <c r="BY715" s="302"/>
      <c r="BZ715" s="302"/>
      <c r="CA715" s="302"/>
      <c r="CB715" s="28"/>
      <c r="CC715" s="28"/>
      <c r="CD715" s="28"/>
      <c r="CE715" s="28"/>
      <c r="CF715" s="28"/>
      <c r="CG715" s="28"/>
      <c r="CH715" s="28"/>
      <c r="CI715" s="28"/>
      <c r="CJ715" s="28"/>
      <c r="CK715" s="28"/>
      <c r="CL715" s="28"/>
      <c r="CM715" s="28"/>
      <c r="CN715" s="28"/>
      <c r="CO715" s="28"/>
      <c r="CP715" s="28"/>
      <c r="CQ715" s="28"/>
      <c r="CR715" s="28"/>
      <c r="CS715" s="28"/>
      <c r="CT715" s="28"/>
      <c r="CU715" s="28"/>
      <c r="CV715" s="28"/>
      <c r="CW715" s="28"/>
    </row>
    <row r="716" spans="1:101" ht="14.25" customHeight="1" x14ac:dyDescent="0.2">
      <c r="A716" s="286"/>
      <c r="B716" s="52">
        <v>0.15404048906823811</v>
      </c>
      <c r="C716" s="288">
        <v>0.81464857102104582</v>
      </c>
      <c r="D716" s="288">
        <v>1.0158227128235523E-2</v>
      </c>
      <c r="E716" s="288">
        <v>9.7170295902614511E-3</v>
      </c>
      <c r="F716" s="289">
        <v>0.78850743025734882</v>
      </c>
      <c r="G716" s="92">
        <v>0.42347093199666319</v>
      </c>
      <c r="H716" s="288">
        <v>0.8455902031704402</v>
      </c>
      <c r="I716" s="288">
        <v>6.5789651193248685E-3</v>
      </c>
      <c r="J716" s="288">
        <v>0.99999999999999978</v>
      </c>
      <c r="K716" s="288">
        <v>0.77581006519042084</v>
      </c>
      <c r="L716" s="290">
        <v>14696.136825514372</v>
      </c>
      <c r="M716" s="288">
        <v>0</v>
      </c>
      <c r="N716" s="288">
        <v>21022.001274379738</v>
      </c>
      <c r="O716" s="288">
        <v>1198.178104462296</v>
      </c>
      <c r="P716" s="288">
        <v>36490.755687903744</v>
      </c>
      <c r="Q716" s="291">
        <v>92691.593651225572</v>
      </c>
      <c r="R716" s="288">
        <v>19362.213467886202</v>
      </c>
      <c r="S716" s="288">
        <v>7327.230658897065</v>
      </c>
      <c r="T716" s="290">
        <v>0.751</v>
      </c>
      <c r="U716" s="288">
        <v>0.75800000000000001</v>
      </c>
      <c r="V716" s="288">
        <v>0.723923076923077</v>
      </c>
      <c r="W716" s="288">
        <v>0.72750000000000004</v>
      </c>
      <c r="X716" s="288">
        <v>0.76</v>
      </c>
      <c r="Y716" s="288">
        <v>0</v>
      </c>
      <c r="Z716" s="289">
        <v>0</v>
      </c>
      <c r="AA716" s="229"/>
      <c r="AB716" s="293">
        <v>74667.569484020467</v>
      </c>
      <c r="AC716" s="294">
        <v>3.1818873806918804</v>
      </c>
      <c r="AD716" s="295">
        <v>64541.108786954232</v>
      </c>
      <c r="AE716" s="294">
        <v>3.1275558767653235</v>
      </c>
      <c r="AF716" s="295">
        <v>10126.460697066235</v>
      </c>
      <c r="AG716" s="296">
        <v>5.4331503926556834E-2</v>
      </c>
      <c r="AH716" s="229"/>
      <c r="AI716" s="205">
        <f t="shared" si="74"/>
        <v>243521.16858516756</v>
      </c>
      <c r="AJ716" s="205">
        <f t="shared" si="75"/>
        <v>248214.47888957811</v>
      </c>
      <c r="AK716" s="205">
        <f t="shared" si="76"/>
        <v>-4693.3103044105519</v>
      </c>
      <c r="AL716" s="229"/>
      <c r="AM716" s="52">
        <f t="shared" si="58"/>
        <v>0</v>
      </c>
      <c r="AN716" s="52">
        <f t="shared" si="59"/>
        <v>1</v>
      </c>
      <c r="AO716" s="52">
        <f t="shared" si="60"/>
        <v>0</v>
      </c>
      <c r="AP716" s="229"/>
      <c r="AQ716" s="28"/>
      <c r="AR716" s="28"/>
      <c r="AS716" s="28"/>
      <c r="AT716" s="28"/>
      <c r="AU716" s="229"/>
      <c r="AV716" s="318">
        <f t="shared" si="77"/>
        <v>248214.47888957811</v>
      </c>
      <c r="AW716" s="229"/>
      <c r="AX716" s="313"/>
      <c r="AY716" s="302"/>
      <c r="AZ716" s="14">
        <f t="shared" si="79"/>
        <v>10126.460697066235</v>
      </c>
      <c r="BA716" s="14">
        <f t="shared" si="78"/>
        <v>5.4331503926556834E-2</v>
      </c>
      <c r="BB716" s="14">
        <f t="shared" si="61"/>
        <v>186382.85276908186</v>
      </c>
      <c r="BC716" s="302"/>
      <c r="BD716" s="302"/>
      <c r="BE716" s="302"/>
      <c r="BF716" s="302"/>
      <c r="BG716" s="302"/>
      <c r="BH716" s="302"/>
      <c r="BI716" s="302"/>
      <c r="BJ716" s="302"/>
      <c r="BK716" s="302"/>
      <c r="BL716" s="302"/>
      <c r="BM716" s="302"/>
      <c r="BN716" s="302"/>
      <c r="BO716" s="302"/>
      <c r="BP716" s="302"/>
      <c r="BQ716" s="302"/>
      <c r="BR716" s="302"/>
      <c r="BS716" s="302"/>
      <c r="BT716" s="302"/>
      <c r="BU716" s="302"/>
      <c r="BV716" s="302"/>
      <c r="BW716" s="302"/>
      <c r="BX716" s="302"/>
      <c r="BY716" s="302"/>
      <c r="BZ716" s="302"/>
      <c r="CA716" s="302"/>
      <c r="CB716" s="28"/>
      <c r="CC716" s="28"/>
      <c r="CD716" s="28"/>
      <c r="CE716" s="28"/>
      <c r="CF716" s="28"/>
      <c r="CG716" s="28"/>
      <c r="CH716" s="28"/>
      <c r="CI716" s="28"/>
      <c r="CJ716" s="28"/>
      <c r="CK716" s="28"/>
      <c r="CL716" s="28"/>
      <c r="CM716" s="28"/>
      <c r="CN716" s="28"/>
      <c r="CO716" s="28"/>
      <c r="CP716" s="28"/>
      <c r="CQ716" s="28"/>
      <c r="CR716" s="28"/>
      <c r="CS716" s="28"/>
      <c r="CT716" s="28"/>
      <c r="CU716" s="28"/>
      <c r="CV716" s="28"/>
      <c r="CW716" s="28"/>
    </row>
    <row r="717" spans="1:101" ht="14.25" customHeight="1" x14ac:dyDescent="0.2">
      <c r="A717" s="286"/>
      <c r="B717" s="52">
        <v>0.13911280515693872</v>
      </c>
      <c r="C717" s="288">
        <v>0.17877038194181047</v>
      </c>
      <c r="D717" s="288">
        <v>1.5678262164685264E-2</v>
      </c>
      <c r="E717" s="288">
        <v>7.8198858312023504E-3</v>
      </c>
      <c r="F717" s="289">
        <v>0.7946525512024013</v>
      </c>
      <c r="G717" s="92">
        <v>0.34088930220505287</v>
      </c>
      <c r="H717" s="288">
        <v>0.40461547348124871</v>
      </c>
      <c r="I717" s="288">
        <v>1.3832140252262173E-2</v>
      </c>
      <c r="J717" s="288">
        <v>1</v>
      </c>
      <c r="K717" s="288">
        <v>0.66706777542001727</v>
      </c>
      <c r="L717" s="290">
        <v>13123.879495375604</v>
      </c>
      <c r="M717" s="288">
        <v>0</v>
      </c>
      <c r="N717" s="288">
        <v>13980.404185025767</v>
      </c>
      <c r="O717" s="288">
        <v>1045.6314020079944</v>
      </c>
      <c r="P717" s="288">
        <v>36981.875414810536</v>
      </c>
      <c r="Q717" s="291">
        <v>129560.6534421057</v>
      </c>
      <c r="R717" s="288">
        <v>25317.459496815958</v>
      </c>
      <c r="S717" s="288">
        <v>7832.7395479745837</v>
      </c>
      <c r="T717" s="290">
        <v>0.751</v>
      </c>
      <c r="U717" s="288">
        <v>0.75800000000000001</v>
      </c>
      <c r="V717" s="288">
        <v>0.723923076923077</v>
      </c>
      <c r="W717" s="288">
        <v>0.72750000000000004</v>
      </c>
      <c r="X717" s="288">
        <v>0.76</v>
      </c>
      <c r="Y717" s="288">
        <v>0</v>
      </c>
      <c r="Z717" s="289">
        <v>0</v>
      </c>
      <c r="AA717" s="229"/>
      <c r="AB717" s="293">
        <v>75817.274244733359</v>
      </c>
      <c r="AC717" s="294">
        <v>3.2105146470574804</v>
      </c>
      <c r="AD717" s="295">
        <v>56773.708285048102</v>
      </c>
      <c r="AE717" s="294">
        <v>2.6320091045899998</v>
      </c>
      <c r="AF717" s="295">
        <v>19043.565959685257</v>
      </c>
      <c r="AG717" s="296">
        <v>0.57850554246748054</v>
      </c>
      <c r="AH717" s="229"/>
      <c r="AI717" s="205">
        <f t="shared" si="74"/>
        <v>245234.19046101466</v>
      </c>
      <c r="AJ717" s="205">
        <f t="shared" si="75"/>
        <v>206427.20217395187</v>
      </c>
      <c r="AK717" s="205">
        <f t="shared" si="76"/>
        <v>38806.988287062799</v>
      </c>
      <c r="AL717" s="229"/>
      <c r="AM717" s="52">
        <f t="shared" si="58"/>
        <v>1</v>
      </c>
      <c r="AN717" s="52">
        <f t="shared" si="59"/>
        <v>0</v>
      </c>
      <c r="AO717" s="52">
        <f t="shared" si="60"/>
        <v>1</v>
      </c>
      <c r="AP717" s="229"/>
      <c r="AQ717" s="28"/>
      <c r="AR717" s="28"/>
      <c r="AS717" s="28"/>
      <c r="AT717" s="28"/>
      <c r="AU717" s="229"/>
      <c r="AV717" s="318">
        <f t="shared" si="77"/>
        <v>245234.19046101466</v>
      </c>
      <c r="AW717" s="229"/>
      <c r="AX717" s="313"/>
      <c r="AY717" s="302"/>
      <c r="AZ717" s="14">
        <f t="shared" si="79"/>
        <v>19043.565959685257</v>
      </c>
      <c r="BA717" s="14">
        <f t="shared" si="78"/>
        <v>0.57850554246748054</v>
      </c>
      <c r="BB717" s="14">
        <f t="shared" si="61"/>
        <v>32918.554035730347</v>
      </c>
      <c r="BC717" s="302"/>
      <c r="BD717" s="302"/>
      <c r="BE717" s="302"/>
      <c r="BF717" s="302"/>
      <c r="BG717" s="302"/>
      <c r="BH717" s="302"/>
      <c r="BI717" s="302"/>
      <c r="BJ717" s="302"/>
      <c r="BK717" s="302"/>
      <c r="BL717" s="302"/>
      <c r="BM717" s="302"/>
      <c r="BN717" s="302"/>
      <c r="BO717" s="302"/>
      <c r="BP717" s="302"/>
      <c r="BQ717" s="302"/>
      <c r="BR717" s="302"/>
      <c r="BS717" s="302"/>
      <c r="BT717" s="302"/>
      <c r="BU717" s="302"/>
      <c r="BV717" s="302"/>
      <c r="BW717" s="302"/>
      <c r="BX717" s="302"/>
      <c r="BY717" s="302"/>
      <c r="BZ717" s="302"/>
      <c r="CA717" s="302"/>
      <c r="CB717" s="28"/>
      <c r="CC717" s="28"/>
      <c r="CD717" s="28"/>
      <c r="CE717" s="28"/>
      <c r="CF717" s="28"/>
      <c r="CG717" s="28"/>
      <c r="CH717" s="28"/>
      <c r="CI717" s="28"/>
      <c r="CJ717" s="28"/>
      <c r="CK717" s="28"/>
      <c r="CL717" s="28"/>
      <c r="CM717" s="28"/>
      <c r="CN717" s="28"/>
      <c r="CO717" s="28"/>
      <c r="CP717" s="28"/>
      <c r="CQ717" s="28"/>
      <c r="CR717" s="28"/>
      <c r="CS717" s="28"/>
      <c r="CT717" s="28"/>
      <c r="CU717" s="28"/>
      <c r="CV717" s="28"/>
      <c r="CW717" s="28"/>
    </row>
    <row r="718" spans="1:101" ht="14.25" customHeight="1" x14ac:dyDescent="0.2">
      <c r="A718" s="286"/>
      <c r="B718" s="52">
        <v>0.14774194014135708</v>
      </c>
      <c r="C718" s="288">
        <v>0.15335353618115927</v>
      </c>
      <c r="D718" s="288">
        <v>1.9620777134217171E-2</v>
      </c>
      <c r="E718" s="288">
        <v>2.7997712185629742E-2</v>
      </c>
      <c r="F718" s="289">
        <v>0.76252537195829873</v>
      </c>
      <c r="G718" s="92">
        <v>0.39549906233174481</v>
      </c>
      <c r="H718" s="288">
        <v>0.34947776479791648</v>
      </c>
      <c r="I718" s="288">
        <v>1.9217769458279799E-2</v>
      </c>
      <c r="J718" s="288">
        <v>1</v>
      </c>
      <c r="K718" s="288">
        <v>0.78007738256978554</v>
      </c>
      <c r="L718" s="290">
        <v>10148.673398271374</v>
      </c>
      <c r="M718" s="288">
        <v>0</v>
      </c>
      <c r="N718" s="288">
        <v>16467.587088455552</v>
      </c>
      <c r="O718" s="288">
        <v>1560.2049767253543</v>
      </c>
      <c r="P718" s="288">
        <v>52722.595457209281</v>
      </c>
      <c r="Q718" s="291">
        <v>110782.65729444928</v>
      </c>
      <c r="R718" s="288">
        <v>22946.991095751895</v>
      </c>
      <c r="S718" s="288">
        <v>7107.7396004304846</v>
      </c>
      <c r="T718" s="290">
        <v>0.751</v>
      </c>
      <c r="U718" s="288">
        <v>0.75800000000000001</v>
      </c>
      <c r="V718" s="288">
        <v>0.723923076923077</v>
      </c>
      <c r="W718" s="288">
        <v>0.72750000000000004</v>
      </c>
      <c r="X718" s="288">
        <v>0.76</v>
      </c>
      <c r="Y718" s="288">
        <v>0</v>
      </c>
      <c r="Z718" s="289">
        <v>0</v>
      </c>
      <c r="AA718" s="229"/>
      <c r="AB718" s="293">
        <v>64894.561498529794</v>
      </c>
      <c r="AC718" s="294">
        <v>3.0615036672489215</v>
      </c>
      <c r="AD718" s="295">
        <v>60410.543199780732</v>
      </c>
      <c r="AE718" s="294">
        <v>3.1473824337863094</v>
      </c>
      <c r="AF718" s="295">
        <v>4484.0182987490625</v>
      </c>
      <c r="AG718" s="296">
        <v>-8.5878766537387907E-2</v>
      </c>
      <c r="AH718" s="229"/>
      <c r="AI718" s="205">
        <f t="shared" ref="AI718:AI781" si="80">AC718*cRatio-AB718</f>
        <v>241255.80522636237</v>
      </c>
      <c r="AJ718" s="205">
        <f t="shared" ref="AJ718:AJ781" si="81">AE718*cRatio-AD718</f>
        <v>254327.70017885021</v>
      </c>
      <c r="AK718" s="205">
        <f t="shared" ref="AK718:AK781" si="82">AG718*cRatio-AF718</f>
        <v>-13071.894952487854</v>
      </c>
      <c r="AL718" s="229"/>
      <c r="AM718" s="52">
        <f t="shared" si="58"/>
        <v>0</v>
      </c>
      <c r="AN718" s="52">
        <f t="shared" si="59"/>
        <v>1</v>
      </c>
      <c r="AO718" s="52">
        <f t="shared" si="60"/>
        <v>0</v>
      </c>
      <c r="AP718" s="229"/>
      <c r="AQ718" s="28"/>
      <c r="AR718" s="28"/>
      <c r="AS718" s="28"/>
      <c r="AT718" s="28"/>
      <c r="AU718" s="229"/>
      <c r="AV718" s="318">
        <f t="shared" si="77"/>
        <v>254327.70017885021</v>
      </c>
      <c r="AW718" s="229"/>
      <c r="AX718" s="313"/>
      <c r="AY718" s="302"/>
      <c r="AZ718" s="14">
        <f t="shared" si="79"/>
        <v>4484.0182987490625</v>
      </c>
      <c r="BA718" s="14">
        <f t="shared" si="78"/>
        <v>-8.5878766537387907E-2</v>
      </c>
      <c r="BB718" s="14">
        <f t="shared" si="61"/>
        <v>-52213.352375024093</v>
      </c>
      <c r="BC718" s="302"/>
      <c r="BD718" s="302"/>
      <c r="BE718" s="302"/>
      <c r="BF718" s="302"/>
      <c r="BG718" s="302"/>
      <c r="BH718" s="302"/>
      <c r="BI718" s="302"/>
      <c r="BJ718" s="302"/>
      <c r="BK718" s="302"/>
      <c r="BL718" s="302"/>
      <c r="BM718" s="302"/>
      <c r="BN718" s="302"/>
      <c r="BO718" s="302"/>
      <c r="BP718" s="302"/>
      <c r="BQ718" s="302"/>
      <c r="BR718" s="302"/>
      <c r="BS718" s="302"/>
      <c r="BT718" s="302"/>
      <c r="BU718" s="302"/>
      <c r="BV718" s="302"/>
      <c r="BW718" s="302"/>
      <c r="BX718" s="302"/>
      <c r="BY718" s="302"/>
      <c r="BZ718" s="302"/>
      <c r="CA718" s="302"/>
      <c r="CB718" s="28"/>
      <c r="CC718" s="28"/>
      <c r="CD718" s="28"/>
      <c r="CE718" s="28"/>
      <c r="CF718" s="28"/>
      <c r="CG718" s="28"/>
      <c r="CH718" s="28"/>
      <c r="CI718" s="28"/>
      <c r="CJ718" s="28"/>
      <c r="CK718" s="28"/>
      <c r="CL718" s="28"/>
      <c r="CM718" s="28"/>
      <c r="CN718" s="28"/>
      <c r="CO718" s="28"/>
      <c r="CP718" s="28"/>
      <c r="CQ718" s="28"/>
      <c r="CR718" s="28"/>
      <c r="CS718" s="28"/>
      <c r="CT718" s="28"/>
      <c r="CU718" s="28"/>
      <c r="CV718" s="28"/>
      <c r="CW718" s="28"/>
    </row>
    <row r="719" spans="1:101" ht="14.25" customHeight="1" x14ac:dyDescent="0.2">
      <c r="A719" s="286"/>
      <c r="B719" s="52">
        <v>0.16355602404367209</v>
      </c>
      <c r="C719" s="288">
        <v>0.13526348903065874</v>
      </c>
      <c r="D719" s="288">
        <v>1.8362387133032065E-2</v>
      </c>
      <c r="E719" s="288">
        <v>1.8904446910258832E-2</v>
      </c>
      <c r="F719" s="289">
        <v>0.7875693584542045</v>
      </c>
      <c r="G719" s="92">
        <v>0.41008447035534934</v>
      </c>
      <c r="H719" s="288">
        <v>0.39477532083072708</v>
      </c>
      <c r="I719" s="288">
        <v>8.4194741945287591E-3</v>
      </c>
      <c r="J719" s="288">
        <v>0.3456200511710722</v>
      </c>
      <c r="K719" s="288">
        <v>0.76101797562624318</v>
      </c>
      <c r="L719" s="290">
        <v>12149.416378244028</v>
      </c>
      <c r="M719" s="288">
        <v>0</v>
      </c>
      <c r="N719" s="288">
        <v>18969.564120404295</v>
      </c>
      <c r="O719" s="288">
        <v>1190.9991702161474</v>
      </c>
      <c r="P719" s="288">
        <v>34424.875590492244</v>
      </c>
      <c r="Q719" s="291">
        <v>76878.556050642102</v>
      </c>
      <c r="R719" s="288">
        <v>16636.369337286673</v>
      </c>
      <c r="S719" s="288">
        <v>7659.3439393542694</v>
      </c>
      <c r="T719" s="290">
        <v>0.751</v>
      </c>
      <c r="U719" s="288">
        <v>0.75800000000000001</v>
      </c>
      <c r="V719" s="288">
        <v>0.723923076923077</v>
      </c>
      <c r="W719" s="288">
        <v>0.72750000000000004</v>
      </c>
      <c r="X719" s="288">
        <v>0.76</v>
      </c>
      <c r="Y719" s="288">
        <v>0</v>
      </c>
      <c r="Z719" s="289">
        <v>0</v>
      </c>
      <c r="AA719" s="229"/>
      <c r="AB719" s="293">
        <v>72679.387016301422</v>
      </c>
      <c r="AC719" s="294">
        <v>3.1775225505287668</v>
      </c>
      <c r="AD719" s="295">
        <v>61619.062391507519</v>
      </c>
      <c r="AE719" s="294">
        <v>3.05905194204141</v>
      </c>
      <c r="AF719" s="295">
        <v>11060.324624793902</v>
      </c>
      <c r="AG719" s="296">
        <v>0.1184706084873568</v>
      </c>
      <c r="AH719" s="229"/>
      <c r="AI719" s="205">
        <f t="shared" si="80"/>
        <v>245072.86803657524</v>
      </c>
      <c r="AJ719" s="205">
        <f t="shared" si="81"/>
        <v>244286.13181263345</v>
      </c>
      <c r="AK719" s="205">
        <f t="shared" si="82"/>
        <v>786.73622394177801</v>
      </c>
      <c r="AL719" s="229"/>
      <c r="AM719" s="52">
        <f t="shared" si="58"/>
        <v>1</v>
      </c>
      <c r="AN719" s="52">
        <f t="shared" si="59"/>
        <v>0</v>
      </c>
      <c r="AO719" s="52">
        <f t="shared" si="60"/>
        <v>1</v>
      </c>
      <c r="AP719" s="229"/>
      <c r="AQ719" s="28"/>
      <c r="AR719" s="28"/>
      <c r="AS719" s="28"/>
      <c r="AT719" s="28"/>
      <c r="AU719" s="229"/>
      <c r="AV719" s="318">
        <f t="shared" ref="AV719:AV782" si="83">MAX(AI719:AJ719)</f>
        <v>245072.86803657524</v>
      </c>
      <c r="AW719" s="229"/>
      <c r="AX719" s="313"/>
      <c r="AY719" s="302"/>
      <c r="AZ719" s="14">
        <f t="shared" si="79"/>
        <v>11060.324624793902</v>
      </c>
      <c r="BA719" s="14">
        <f t="shared" ref="BA719:BA782" si="84">AG719</f>
        <v>0.1184706084873568</v>
      </c>
      <c r="BB719" s="14">
        <f t="shared" si="61"/>
        <v>93359.228639179841</v>
      </c>
      <c r="BC719" s="302"/>
      <c r="BD719" s="302"/>
      <c r="BE719" s="302"/>
      <c r="BF719" s="302"/>
      <c r="BG719" s="302"/>
      <c r="BH719" s="302"/>
      <c r="BI719" s="302"/>
      <c r="BJ719" s="302"/>
      <c r="BK719" s="302"/>
      <c r="BL719" s="302"/>
      <c r="BM719" s="302"/>
      <c r="BN719" s="302"/>
      <c r="BO719" s="302"/>
      <c r="BP719" s="302"/>
      <c r="BQ719" s="302"/>
      <c r="BR719" s="302"/>
      <c r="BS719" s="302"/>
      <c r="BT719" s="302"/>
      <c r="BU719" s="302"/>
      <c r="BV719" s="302"/>
      <c r="BW719" s="302"/>
      <c r="BX719" s="302"/>
      <c r="BY719" s="302"/>
      <c r="BZ719" s="302"/>
      <c r="CA719" s="302"/>
      <c r="CB719" s="28"/>
      <c r="CC719" s="28"/>
      <c r="CD719" s="28"/>
      <c r="CE719" s="28"/>
      <c r="CF719" s="28"/>
      <c r="CG719" s="28"/>
      <c r="CH719" s="28"/>
      <c r="CI719" s="28"/>
      <c r="CJ719" s="28"/>
      <c r="CK719" s="28"/>
      <c r="CL719" s="28"/>
      <c r="CM719" s="28"/>
      <c r="CN719" s="28"/>
      <c r="CO719" s="28"/>
      <c r="CP719" s="28"/>
      <c r="CQ719" s="28"/>
      <c r="CR719" s="28"/>
      <c r="CS719" s="28"/>
      <c r="CT719" s="28"/>
      <c r="CU719" s="28"/>
      <c r="CV719" s="28"/>
      <c r="CW719" s="28"/>
    </row>
    <row r="720" spans="1:101" ht="14.25" customHeight="1" x14ac:dyDescent="0.2">
      <c r="A720" s="286"/>
      <c r="B720" s="52">
        <v>0.14170836697482878</v>
      </c>
      <c r="C720" s="288">
        <v>0.7018991580293521</v>
      </c>
      <c r="D720" s="288">
        <v>1.8230480213957678E-2</v>
      </c>
      <c r="E720" s="288">
        <v>2.080182222641791E-2</v>
      </c>
      <c r="F720" s="289">
        <v>0.75318642627907473</v>
      </c>
      <c r="G720" s="92">
        <v>0.38815249253980993</v>
      </c>
      <c r="H720" s="288">
        <v>9.1374145228465944E-2</v>
      </c>
      <c r="I720" s="288">
        <v>1.4852194002084847E-2</v>
      </c>
      <c r="J720" s="288">
        <v>0.99950203487391165</v>
      </c>
      <c r="K720" s="288">
        <v>0.78779670821878223</v>
      </c>
      <c r="L720" s="290">
        <v>13521.706607175163</v>
      </c>
      <c r="M720" s="288">
        <v>0</v>
      </c>
      <c r="N720" s="288">
        <v>17173.715869884232</v>
      </c>
      <c r="O720" s="288">
        <v>1114.4892645772136</v>
      </c>
      <c r="P720" s="288">
        <v>33591.892599857187</v>
      </c>
      <c r="Q720" s="291">
        <v>122190.05429602256</v>
      </c>
      <c r="R720" s="288">
        <v>27001.715941611128</v>
      </c>
      <c r="S720" s="288">
        <v>11888.748514984205</v>
      </c>
      <c r="T720" s="290">
        <v>0.751</v>
      </c>
      <c r="U720" s="288">
        <v>0.75800000000000001</v>
      </c>
      <c r="V720" s="288">
        <v>0.723923076923077</v>
      </c>
      <c r="W720" s="288">
        <v>0.72750000000000004</v>
      </c>
      <c r="X720" s="288">
        <v>0.76</v>
      </c>
      <c r="Y720" s="288">
        <v>0</v>
      </c>
      <c r="Z720" s="289">
        <v>0</v>
      </c>
      <c r="AA720" s="229"/>
      <c r="AB720" s="293">
        <v>105353.22225058085</v>
      </c>
      <c r="AC720" s="294">
        <v>3.0184918488779973</v>
      </c>
      <c r="AD720" s="295">
        <v>95874.889300606781</v>
      </c>
      <c r="AE720" s="294">
        <v>3.1833204312393444</v>
      </c>
      <c r="AF720" s="295">
        <v>9478.3329499740648</v>
      </c>
      <c r="AG720" s="296">
        <v>-0.16482858236134712</v>
      </c>
      <c r="AH720" s="229"/>
      <c r="AI720" s="205">
        <f t="shared" si="80"/>
        <v>196495.96263721888</v>
      </c>
      <c r="AJ720" s="205">
        <f t="shared" si="81"/>
        <v>222457.15382332762</v>
      </c>
      <c r="AK720" s="205">
        <f t="shared" si="82"/>
        <v>-25961.191186108776</v>
      </c>
      <c r="AL720" s="229"/>
      <c r="AM720" s="52">
        <f t="shared" si="58"/>
        <v>0</v>
      </c>
      <c r="AN720" s="52">
        <f t="shared" si="59"/>
        <v>1</v>
      </c>
      <c r="AO720" s="52">
        <f t="shared" si="60"/>
        <v>0</v>
      </c>
      <c r="AP720" s="229"/>
      <c r="AQ720" s="28"/>
      <c r="AR720" s="28"/>
      <c r="AS720" s="28"/>
      <c r="AT720" s="28"/>
      <c r="AU720" s="229"/>
      <c r="AV720" s="318">
        <f t="shared" si="83"/>
        <v>222457.15382332762</v>
      </c>
      <c r="AW720" s="229"/>
      <c r="AX720" s="313"/>
      <c r="AY720" s="302"/>
      <c r="AZ720" s="14">
        <f t="shared" ref="AZ720:AZ783" si="85">AF720</f>
        <v>9478.3329499740648</v>
      </c>
      <c r="BA720" s="14">
        <f t="shared" si="84"/>
        <v>-0.16482858236134712</v>
      </c>
      <c r="BB720" s="14">
        <f t="shared" si="61"/>
        <v>-57504.182916498634</v>
      </c>
      <c r="BC720" s="302"/>
      <c r="BD720" s="302"/>
      <c r="BE720" s="302"/>
      <c r="BF720" s="302"/>
      <c r="BG720" s="302"/>
      <c r="BH720" s="302"/>
      <c r="BI720" s="302"/>
      <c r="BJ720" s="302"/>
      <c r="BK720" s="302"/>
      <c r="BL720" s="302"/>
      <c r="BM720" s="302"/>
      <c r="BN720" s="302"/>
      <c r="BO720" s="302"/>
      <c r="BP720" s="302"/>
      <c r="BQ720" s="302"/>
      <c r="BR720" s="302"/>
      <c r="BS720" s="302"/>
      <c r="BT720" s="302"/>
      <c r="BU720" s="302"/>
      <c r="BV720" s="302"/>
      <c r="BW720" s="302"/>
      <c r="BX720" s="302"/>
      <c r="BY720" s="302"/>
      <c r="BZ720" s="302"/>
      <c r="CA720" s="302"/>
      <c r="CB720" s="28"/>
      <c r="CC720" s="28"/>
      <c r="CD720" s="28"/>
      <c r="CE720" s="28"/>
      <c r="CF720" s="28"/>
      <c r="CG720" s="28"/>
      <c r="CH720" s="28"/>
      <c r="CI720" s="28"/>
      <c r="CJ720" s="28"/>
      <c r="CK720" s="28"/>
      <c r="CL720" s="28"/>
      <c r="CM720" s="28"/>
      <c r="CN720" s="28"/>
      <c r="CO720" s="28"/>
      <c r="CP720" s="28"/>
      <c r="CQ720" s="28"/>
      <c r="CR720" s="28"/>
      <c r="CS720" s="28"/>
      <c r="CT720" s="28"/>
      <c r="CU720" s="28"/>
      <c r="CV720" s="28"/>
      <c r="CW720" s="28"/>
    </row>
    <row r="721" spans="1:101" ht="14.25" customHeight="1" x14ac:dyDescent="0.2">
      <c r="A721" s="286"/>
      <c r="B721" s="52">
        <v>0.17770514296024686</v>
      </c>
      <c r="C721" s="288">
        <v>0.69796242452649748</v>
      </c>
      <c r="D721" s="288">
        <v>8.3296432314772084E-3</v>
      </c>
      <c r="E721" s="288">
        <v>1.1539593590282523E-2</v>
      </c>
      <c r="F721" s="289">
        <v>0.74657432803137969</v>
      </c>
      <c r="G721" s="92">
        <v>0.38977280971426803</v>
      </c>
      <c r="H721" s="288">
        <v>0.35882225733863399</v>
      </c>
      <c r="I721" s="288">
        <v>1.8431827463956885E-2</v>
      </c>
      <c r="J721" s="288">
        <v>0.99999999999999845</v>
      </c>
      <c r="K721" s="288">
        <v>0.76552001008433157</v>
      </c>
      <c r="L721" s="290">
        <v>11123.162222607092</v>
      </c>
      <c r="M721" s="288">
        <v>0</v>
      </c>
      <c r="N721" s="288">
        <v>24514.606218461275</v>
      </c>
      <c r="O721" s="288">
        <v>1503.7944878893622</v>
      </c>
      <c r="P721" s="288">
        <v>44848.502938367972</v>
      </c>
      <c r="Q721" s="291">
        <v>106681.72690684182</v>
      </c>
      <c r="R721" s="288">
        <v>35160.260302968854</v>
      </c>
      <c r="S721" s="288">
        <v>7232.8851798275382</v>
      </c>
      <c r="T721" s="290">
        <v>0.751</v>
      </c>
      <c r="U721" s="288">
        <v>0.75800000000000001</v>
      </c>
      <c r="V721" s="288">
        <v>0.723923076923077</v>
      </c>
      <c r="W721" s="288">
        <v>0.72750000000000004</v>
      </c>
      <c r="X721" s="288">
        <v>0.76</v>
      </c>
      <c r="Y721" s="288">
        <v>0</v>
      </c>
      <c r="Z721" s="289">
        <v>0</v>
      </c>
      <c r="AA721" s="229"/>
      <c r="AB721" s="293">
        <v>69381.689457230837</v>
      </c>
      <c r="AC721" s="294">
        <v>2.9881216218620126</v>
      </c>
      <c r="AD721" s="295">
        <v>62065.663828881341</v>
      </c>
      <c r="AE721" s="294">
        <v>3.0798648908777704</v>
      </c>
      <c r="AF721" s="295">
        <v>7316.0256283494964</v>
      </c>
      <c r="AG721" s="296">
        <v>-9.17432690157578E-2</v>
      </c>
      <c r="AH721" s="229"/>
      <c r="AI721" s="205">
        <f t="shared" si="80"/>
        <v>229430.4727289704</v>
      </c>
      <c r="AJ721" s="205">
        <f t="shared" si="81"/>
        <v>245920.8252588957</v>
      </c>
      <c r="AK721" s="205">
        <f t="shared" si="82"/>
        <v>-16490.352529925276</v>
      </c>
      <c r="AL721" s="229"/>
      <c r="AM721" s="52">
        <f t="shared" si="58"/>
        <v>0</v>
      </c>
      <c r="AN721" s="52">
        <f t="shared" si="59"/>
        <v>1</v>
      </c>
      <c r="AO721" s="52">
        <f t="shared" si="60"/>
        <v>0</v>
      </c>
      <c r="AP721" s="229"/>
      <c r="AQ721" s="28"/>
      <c r="AR721" s="28"/>
      <c r="AS721" s="28"/>
      <c r="AT721" s="28"/>
      <c r="AU721" s="229"/>
      <c r="AV721" s="318">
        <f t="shared" si="83"/>
        <v>245920.8252588957</v>
      </c>
      <c r="AW721" s="229"/>
      <c r="AX721" s="313"/>
      <c r="AY721" s="302"/>
      <c r="AZ721" s="14">
        <f t="shared" si="85"/>
        <v>7316.0256283494964</v>
      </c>
      <c r="BA721" s="14">
        <f t="shared" si="84"/>
        <v>-9.17432690157578E-2</v>
      </c>
      <c r="BB721" s="14">
        <f t="shared" si="61"/>
        <v>-79744.549184233867</v>
      </c>
      <c r="BC721" s="302"/>
      <c r="BD721" s="302"/>
      <c r="BE721" s="302"/>
      <c r="BF721" s="302"/>
      <c r="BG721" s="302"/>
      <c r="BH721" s="302"/>
      <c r="BI721" s="302"/>
      <c r="BJ721" s="302"/>
      <c r="BK721" s="302"/>
      <c r="BL721" s="302"/>
      <c r="BM721" s="302"/>
      <c r="BN721" s="302"/>
      <c r="BO721" s="302"/>
      <c r="BP721" s="302"/>
      <c r="BQ721" s="302"/>
      <c r="BR721" s="302"/>
      <c r="BS721" s="302"/>
      <c r="BT721" s="302"/>
      <c r="BU721" s="302"/>
      <c r="BV721" s="302"/>
      <c r="BW721" s="302"/>
      <c r="BX721" s="302"/>
      <c r="BY721" s="302"/>
      <c r="BZ721" s="302"/>
      <c r="CA721" s="302"/>
      <c r="CB721" s="28"/>
      <c r="CC721" s="28"/>
      <c r="CD721" s="28"/>
      <c r="CE721" s="28"/>
      <c r="CF721" s="28"/>
      <c r="CG721" s="28"/>
      <c r="CH721" s="28"/>
      <c r="CI721" s="28"/>
      <c r="CJ721" s="28"/>
      <c r="CK721" s="28"/>
      <c r="CL721" s="28"/>
      <c r="CM721" s="28"/>
      <c r="CN721" s="28"/>
      <c r="CO721" s="28"/>
      <c r="CP721" s="28"/>
      <c r="CQ721" s="28"/>
      <c r="CR721" s="28"/>
      <c r="CS721" s="28"/>
      <c r="CT721" s="28"/>
      <c r="CU721" s="28"/>
      <c r="CV721" s="28"/>
      <c r="CW721" s="28"/>
    </row>
    <row r="722" spans="1:101" ht="14.25" customHeight="1" x14ac:dyDescent="0.2">
      <c r="A722" s="286"/>
      <c r="B722" s="52">
        <v>0.1529004006990895</v>
      </c>
      <c r="C722" s="288">
        <v>0.258989583216929</v>
      </c>
      <c r="D722" s="288">
        <v>1.3137345890692672E-2</v>
      </c>
      <c r="E722" s="288">
        <v>2.3240069879800873E-2</v>
      </c>
      <c r="F722" s="289">
        <v>0.77011385573794955</v>
      </c>
      <c r="G722" s="92">
        <v>0.37181939604619985</v>
      </c>
      <c r="H722" s="288">
        <v>3.5925100383510218E-2</v>
      </c>
      <c r="I722" s="288">
        <v>8.7312423300769763E-3</v>
      </c>
      <c r="J722" s="288">
        <v>0.46897824023314888</v>
      </c>
      <c r="K722" s="288">
        <v>0.77628540216774822</v>
      </c>
      <c r="L722" s="290">
        <v>11172.263786215104</v>
      </c>
      <c r="M722" s="288">
        <v>0</v>
      </c>
      <c r="N722" s="288">
        <v>15625.668174976752</v>
      </c>
      <c r="O722" s="288">
        <v>986.63968283727911</v>
      </c>
      <c r="P722" s="288">
        <v>37213.428947223161</v>
      </c>
      <c r="Q722" s="291">
        <v>99407.912771850577</v>
      </c>
      <c r="R722" s="288">
        <v>25718.148224118864</v>
      </c>
      <c r="S722" s="288">
        <v>9419.3944246302144</v>
      </c>
      <c r="T722" s="290">
        <v>0.751</v>
      </c>
      <c r="U722" s="288">
        <v>0.75800000000000001</v>
      </c>
      <c r="V722" s="288">
        <v>0.723923076923077</v>
      </c>
      <c r="W722" s="288">
        <v>0.72750000000000004</v>
      </c>
      <c r="X722" s="288">
        <v>0.76</v>
      </c>
      <c r="Y722" s="288">
        <v>0</v>
      </c>
      <c r="Z722" s="289">
        <v>0</v>
      </c>
      <c r="AA722" s="229"/>
      <c r="AB722" s="293">
        <v>84374.93921765995</v>
      </c>
      <c r="AC722" s="294">
        <v>3.0965542285914238</v>
      </c>
      <c r="AD722" s="295">
        <v>74045.495576097426</v>
      </c>
      <c r="AE722" s="294">
        <v>3.1297629386786392</v>
      </c>
      <c r="AF722" s="295">
        <v>10329.443641562524</v>
      </c>
      <c r="AG722" s="296">
        <v>-3.3208710087215376E-2</v>
      </c>
      <c r="AH722" s="229"/>
      <c r="AI722" s="205">
        <f t="shared" si="80"/>
        <v>225280.48364148242</v>
      </c>
      <c r="AJ722" s="205">
        <f t="shared" si="81"/>
        <v>238930.79829176652</v>
      </c>
      <c r="AK722" s="205">
        <f t="shared" si="82"/>
        <v>-13650.314650284061</v>
      </c>
      <c r="AL722" s="229"/>
      <c r="AM722" s="52">
        <f t="shared" si="58"/>
        <v>0</v>
      </c>
      <c r="AN722" s="52">
        <f t="shared" si="59"/>
        <v>1</v>
      </c>
      <c r="AO722" s="52">
        <f t="shared" si="60"/>
        <v>0</v>
      </c>
      <c r="AP722" s="229"/>
      <c r="AQ722" s="28"/>
      <c r="AR722" s="28"/>
      <c r="AS722" s="28"/>
      <c r="AT722" s="28"/>
      <c r="AU722" s="229"/>
      <c r="AV722" s="318">
        <f t="shared" si="83"/>
        <v>238930.79829176652</v>
      </c>
      <c r="AW722" s="229"/>
      <c r="AX722" s="313"/>
      <c r="AY722" s="302"/>
      <c r="AZ722" s="14">
        <f t="shared" si="85"/>
        <v>10329.443641562524</v>
      </c>
      <c r="BA722" s="14">
        <f t="shared" si="84"/>
        <v>-3.3208710087215376E-2</v>
      </c>
      <c r="BB722" s="14">
        <f t="shared" si="61"/>
        <v>-311046.21692425001</v>
      </c>
      <c r="BC722" s="302"/>
      <c r="BD722" s="302"/>
      <c r="BE722" s="302"/>
      <c r="BF722" s="302"/>
      <c r="BG722" s="302"/>
      <c r="BH722" s="302"/>
      <c r="BI722" s="302"/>
      <c r="BJ722" s="302"/>
      <c r="BK722" s="302"/>
      <c r="BL722" s="302"/>
      <c r="BM722" s="302"/>
      <c r="BN722" s="302"/>
      <c r="BO722" s="302"/>
      <c r="BP722" s="302"/>
      <c r="BQ722" s="302"/>
      <c r="BR722" s="302"/>
      <c r="BS722" s="302"/>
      <c r="BT722" s="302"/>
      <c r="BU722" s="302"/>
      <c r="BV722" s="302"/>
      <c r="BW722" s="302"/>
      <c r="BX722" s="302"/>
      <c r="BY722" s="302"/>
      <c r="BZ722" s="302"/>
      <c r="CA722" s="302"/>
      <c r="CB722" s="28"/>
      <c r="CC722" s="28"/>
      <c r="CD722" s="28"/>
      <c r="CE722" s="28"/>
      <c r="CF722" s="28"/>
      <c r="CG722" s="28"/>
      <c r="CH722" s="28"/>
      <c r="CI722" s="28"/>
      <c r="CJ722" s="28"/>
      <c r="CK722" s="28"/>
      <c r="CL722" s="28"/>
      <c r="CM722" s="28"/>
      <c r="CN722" s="28"/>
      <c r="CO722" s="28"/>
      <c r="CP722" s="28"/>
      <c r="CQ722" s="28"/>
      <c r="CR722" s="28"/>
      <c r="CS722" s="28"/>
      <c r="CT722" s="28"/>
      <c r="CU722" s="28"/>
      <c r="CV722" s="28"/>
      <c r="CW722" s="28"/>
    </row>
    <row r="723" spans="1:101" ht="14.25" customHeight="1" x14ac:dyDescent="0.2">
      <c r="A723" s="286"/>
      <c r="B723" s="52">
        <v>0.15544292689084438</v>
      </c>
      <c r="C723" s="288">
        <v>0.80187930723344147</v>
      </c>
      <c r="D723" s="288">
        <v>1.782759334120021E-2</v>
      </c>
      <c r="E723" s="288">
        <v>1.0629099281568433E-2</v>
      </c>
      <c r="F723" s="289">
        <v>0.78745466342229931</v>
      </c>
      <c r="G723" s="92">
        <v>0.38851915441604995</v>
      </c>
      <c r="H723" s="288">
        <v>7.7716922512512734E-2</v>
      </c>
      <c r="I723" s="288">
        <v>2.9714266890632612E-2</v>
      </c>
      <c r="J723" s="288">
        <v>0.92118063066924116</v>
      </c>
      <c r="K723" s="288">
        <v>0.76290129071269441</v>
      </c>
      <c r="L723" s="290">
        <v>11296.992962102177</v>
      </c>
      <c r="M723" s="288">
        <v>0</v>
      </c>
      <c r="N723" s="288">
        <v>18360.92679237339</v>
      </c>
      <c r="O723" s="288">
        <v>1343.7178413731403</v>
      </c>
      <c r="P723" s="288">
        <v>40971.625182878684</v>
      </c>
      <c r="Q723" s="291">
        <v>93069.660199040271</v>
      </c>
      <c r="R723" s="288">
        <v>21734.852981325359</v>
      </c>
      <c r="S723" s="288">
        <v>8154.4416114732803</v>
      </c>
      <c r="T723" s="290">
        <v>0.751</v>
      </c>
      <c r="U723" s="288">
        <v>0.75800000000000001</v>
      </c>
      <c r="V723" s="288">
        <v>0.723923076923077</v>
      </c>
      <c r="W723" s="288">
        <v>0.72750000000000004</v>
      </c>
      <c r="X723" s="288">
        <v>0.76</v>
      </c>
      <c r="Y723" s="288">
        <v>0</v>
      </c>
      <c r="Z723" s="289">
        <v>0</v>
      </c>
      <c r="AA723" s="229"/>
      <c r="AB723" s="293">
        <v>78059.779168147128</v>
      </c>
      <c r="AC723" s="294">
        <v>3.1769889714343358</v>
      </c>
      <c r="AD723" s="295">
        <v>65098.786912789539</v>
      </c>
      <c r="AE723" s="294">
        <v>3.0677546389655852</v>
      </c>
      <c r="AF723" s="295">
        <v>12960.992255357589</v>
      </c>
      <c r="AG723" s="296">
        <v>0.10923433246875058</v>
      </c>
      <c r="AH723" s="229"/>
      <c r="AI723" s="205">
        <f t="shared" si="80"/>
        <v>239639.11797528644</v>
      </c>
      <c r="AJ723" s="205">
        <f t="shared" si="81"/>
        <v>241676.67698376896</v>
      </c>
      <c r="AK723" s="205">
        <f t="shared" si="82"/>
        <v>-2037.5590084825308</v>
      </c>
      <c r="AL723" s="229"/>
      <c r="AM723" s="52">
        <f t="shared" si="58"/>
        <v>0</v>
      </c>
      <c r="AN723" s="52">
        <f t="shared" si="59"/>
        <v>1</v>
      </c>
      <c r="AO723" s="52">
        <f t="shared" si="60"/>
        <v>0</v>
      </c>
      <c r="AP723" s="229"/>
      <c r="AQ723" s="28"/>
      <c r="AR723" s="28"/>
      <c r="AS723" s="28"/>
      <c r="AT723" s="28"/>
      <c r="AU723" s="229"/>
      <c r="AV723" s="318">
        <f t="shared" si="83"/>
        <v>241676.67698376896</v>
      </c>
      <c r="AW723" s="229"/>
      <c r="AX723" s="313"/>
      <c r="AY723" s="302"/>
      <c r="AZ723" s="14">
        <f t="shared" si="85"/>
        <v>12960.992255357589</v>
      </c>
      <c r="BA723" s="14">
        <f t="shared" si="84"/>
        <v>0.10923433246875058</v>
      </c>
      <c r="BB723" s="14">
        <f t="shared" si="61"/>
        <v>118653.10074619103</v>
      </c>
      <c r="BC723" s="302"/>
      <c r="BD723" s="302"/>
      <c r="BE723" s="302"/>
      <c r="BF723" s="302"/>
      <c r="BG723" s="302"/>
      <c r="BH723" s="302"/>
      <c r="BI723" s="302"/>
      <c r="BJ723" s="302"/>
      <c r="BK723" s="302"/>
      <c r="BL723" s="302"/>
      <c r="BM723" s="302"/>
      <c r="BN723" s="302"/>
      <c r="BO723" s="302"/>
      <c r="BP723" s="302"/>
      <c r="BQ723" s="302"/>
      <c r="BR723" s="302"/>
      <c r="BS723" s="302"/>
      <c r="BT723" s="302"/>
      <c r="BU723" s="302"/>
      <c r="BV723" s="302"/>
      <c r="BW723" s="302"/>
      <c r="BX723" s="302"/>
      <c r="BY723" s="302"/>
      <c r="BZ723" s="302"/>
      <c r="CA723" s="302"/>
      <c r="CB723" s="28"/>
      <c r="CC723" s="28"/>
      <c r="CD723" s="28"/>
      <c r="CE723" s="28"/>
      <c r="CF723" s="28"/>
      <c r="CG723" s="28"/>
      <c r="CH723" s="28"/>
      <c r="CI723" s="28"/>
      <c r="CJ723" s="28"/>
      <c r="CK723" s="28"/>
      <c r="CL723" s="28"/>
      <c r="CM723" s="28"/>
      <c r="CN723" s="28"/>
      <c r="CO723" s="28"/>
      <c r="CP723" s="28"/>
      <c r="CQ723" s="28"/>
      <c r="CR723" s="28"/>
      <c r="CS723" s="28"/>
      <c r="CT723" s="28"/>
      <c r="CU723" s="28"/>
      <c r="CV723" s="28"/>
      <c r="CW723" s="28"/>
    </row>
    <row r="724" spans="1:101" ht="14.25" customHeight="1" x14ac:dyDescent="0.2">
      <c r="A724" s="286"/>
      <c r="B724" s="52">
        <v>0.18857724076854609</v>
      </c>
      <c r="C724" s="288">
        <v>3.2361288401243679E-2</v>
      </c>
      <c r="D724" s="288">
        <v>1.01346577470895E-2</v>
      </c>
      <c r="E724" s="288">
        <v>1.925216864318513E-2</v>
      </c>
      <c r="F724" s="289">
        <v>0.80262918687226503</v>
      </c>
      <c r="G724" s="92">
        <v>0.35588280869870054</v>
      </c>
      <c r="H724" s="288">
        <v>0.74168733896747252</v>
      </c>
      <c r="I724" s="288">
        <v>9.002229505407874E-3</v>
      </c>
      <c r="J724" s="288">
        <v>0.99999999479156998</v>
      </c>
      <c r="K724" s="288">
        <v>0.79922013667667757</v>
      </c>
      <c r="L724" s="290">
        <v>13657.311393454123</v>
      </c>
      <c r="M724" s="288">
        <v>0</v>
      </c>
      <c r="N724" s="288">
        <v>21489.635370131688</v>
      </c>
      <c r="O724" s="288">
        <v>1055.0522717019353</v>
      </c>
      <c r="P724" s="288">
        <v>55510.541613381902</v>
      </c>
      <c r="Q724" s="291">
        <v>115067.50595139351</v>
      </c>
      <c r="R724" s="288">
        <v>32442.175788213724</v>
      </c>
      <c r="S724" s="288">
        <v>10831.148676994246</v>
      </c>
      <c r="T724" s="290">
        <v>0.751</v>
      </c>
      <c r="U724" s="288">
        <v>0.75800000000000001</v>
      </c>
      <c r="V724" s="288">
        <v>0.723923076923077</v>
      </c>
      <c r="W724" s="288">
        <v>0.72750000000000004</v>
      </c>
      <c r="X724" s="288">
        <v>0.76</v>
      </c>
      <c r="Y724" s="288">
        <v>0</v>
      </c>
      <c r="Z724" s="289">
        <v>0</v>
      </c>
      <c r="AA724" s="229"/>
      <c r="AB724" s="293">
        <v>100361.48941601824</v>
      </c>
      <c r="AC724" s="294">
        <v>3.2477624316116169</v>
      </c>
      <c r="AD724" s="295">
        <v>95798.718722751524</v>
      </c>
      <c r="AE724" s="294">
        <v>3.2366755480550089</v>
      </c>
      <c r="AF724" s="295">
        <v>4562.7706932667206</v>
      </c>
      <c r="AG724" s="296">
        <v>1.1086883556608029E-2</v>
      </c>
      <c r="AH724" s="229"/>
      <c r="AI724" s="205">
        <f t="shared" si="80"/>
        <v>224414.75374514348</v>
      </c>
      <c r="AJ724" s="205">
        <f t="shared" si="81"/>
        <v>227868.83608274936</v>
      </c>
      <c r="AK724" s="205">
        <f t="shared" si="82"/>
        <v>-3454.0823376059179</v>
      </c>
      <c r="AL724" s="229"/>
      <c r="AM724" s="52">
        <f t="shared" si="58"/>
        <v>0</v>
      </c>
      <c r="AN724" s="52">
        <f t="shared" si="59"/>
        <v>1</v>
      </c>
      <c r="AO724" s="52">
        <f t="shared" si="60"/>
        <v>0</v>
      </c>
      <c r="AP724" s="229"/>
      <c r="AQ724" s="28"/>
      <c r="AR724" s="28"/>
      <c r="AS724" s="28"/>
      <c r="AT724" s="28"/>
      <c r="AU724" s="229"/>
      <c r="AV724" s="318">
        <f t="shared" si="83"/>
        <v>227868.83608274936</v>
      </c>
      <c r="AW724" s="229"/>
      <c r="AX724" s="313"/>
      <c r="AY724" s="302"/>
      <c r="AZ724" s="14">
        <f t="shared" si="85"/>
        <v>4562.7706932667206</v>
      </c>
      <c r="BA724" s="14">
        <f t="shared" si="84"/>
        <v>1.1086883556608029E-2</v>
      </c>
      <c r="BB724" s="14">
        <f t="shared" si="61"/>
        <v>411546.73177271785</v>
      </c>
      <c r="BC724" s="302"/>
      <c r="BD724" s="302"/>
      <c r="BE724" s="302"/>
      <c r="BF724" s="302"/>
      <c r="BG724" s="302"/>
      <c r="BH724" s="302"/>
      <c r="BI724" s="302"/>
      <c r="BJ724" s="302"/>
      <c r="BK724" s="302"/>
      <c r="BL724" s="302"/>
      <c r="BM724" s="302"/>
      <c r="BN724" s="302"/>
      <c r="BO724" s="302"/>
      <c r="BP724" s="302"/>
      <c r="BQ724" s="302"/>
      <c r="BR724" s="302"/>
      <c r="BS724" s="302"/>
      <c r="BT724" s="302"/>
      <c r="BU724" s="302"/>
      <c r="BV724" s="302"/>
      <c r="BW724" s="302"/>
      <c r="BX724" s="302"/>
      <c r="BY724" s="302"/>
      <c r="BZ724" s="302"/>
      <c r="CA724" s="302"/>
      <c r="CB724" s="28"/>
      <c r="CC724" s="28"/>
      <c r="CD724" s="28"/>
      <c r="CE724" s="28"/>
      <c r="CF724" s="28"/>
      <c r="CG724" s="28"/>
      <c r="CH724" s="28"/>
      <c r="CI724" s="28"/>
      <c r="CJ724" s="28"/>
      <c r="CK724" s="28"/>
      <c r="CL724" s="28"/>
      <c r="CM724" s="28"/>
      <c r="CN724" s="28"/>
      <c r="CO724" s="28"/>
      <c r="CP724" s="28"/>
      <c r="CQ724" s="28"/>
      <c r="CR724" s="28"/>
      <c r="CS724" s="28"/>
      <c r="CT724" s="28"/>
      <c r="CU724" s="28"/>
      <c r="CV724" s="28"/>
      <c r="CW724" s="28"/>
    </row>
    <row r="725" spans="1:101" ht="14.25" customHeight="1" x14ac:dyDescent="0.2">
      <c r="A725" s="286"/>
      <c r="B725" s="52">
        <v>0.14695541354836483</v>
      </c>
      <c r="C725" s="288">
        <v>8.6756884237173149E-2</v>
      </c>
      <c r="D725" s="288">
        <v>1.0523224381879493E-2</v>
      </c>
      <c r="E725" s="288">
        <v>9.2051546357929045E-3</v>
      </c>
      <c r="F725" s="289">
        <v>0.78006023330991914</v>
      </c>
      <c r="G725" s="92">
        <v>0.47928786689477199</v>
      </c>
      <c r="H725" s="288">
        <v>8.0231859721779236E-3</v>
      </c>
      <c r="I725" s="288">
        <v>2.204412760828911E-2</v>
      </c>
      <c r="J725" s="288">
        <v>1</v>
      </c>
      <c r="K725" s="288">
        <v>0.72339230173679736</v>
      </c>
      <c r="L725" s="290">
        <v>13448.349949868216</v>
      </c>
      <c r="M725" s="288">
        <v>0</v>
      </c>
      <c r="N725" s="288">
        <v>13399.928623155156</v>
      </c>
      <c r="O725" s="288">
        <v>1167.076866080411</v>
      </c>
      <c r="P725" s="288">
        <v>39460.162744872439</v>
      </c>
      <c r="Q725" s="291">
        <v>95416.678729546635</v>
      </c>
      <c r="R725" s="288">
        <v>28407.24059981203</v>
      </c>
      <c r="S725" s="288">
        <v>9648.8046186418815</v>
      </c>
      <c r="T725" s="290">
        <v>0.751</v>
      </c>
      <c r="U725" s="288">
        <v>0.75800000000000001</v>
      </c>
      <c r="V725" s="288">
        <v>0.723923076923077</v>
      </c>
      <c r="W725" s="288">
        <v>0.72750000000000004</v>
      </c>
      <c r="X725" s="288">
        <v>0.76</v>
      </c>
      <c r="Y725" s="288">
        <v>0</v>
      </c>
      <c r="Z725" s="289">
        <v>0</v>
      </c>
      <c r="AA725" s="229"/>
      <c r="AB725" s="293">
        <v>88661.368840334704</v>
      </c>
      <c r="AC725" s="294">
        <v>3.1426324806227965</v>
      </c>
      <c r="AD725" s="295">
        <v>71858.945694858092</v>
      </c>
      <c r="AE725" s="294">
        <v>2.8863573316612192</v>
      </c>
      <c r="AF725" s="295">
        <v>16802.423145476612</v>
      </c>
      <c r="AG725" s="296">
        <v>0.25627514896157733</v>
      </c>
      <c r="AH725" s="229"/>
      <c r="AI725" s="205">
        <f t="shared" si="80"/>
        <v>225601.87922194495</v>
      </c>
      <c r="AJ725" s="205">
        <f t="shared" si="81"/>
        <v>216776.78747126384</v>
      </c>
      <c r="AK725" s="205">
        <f t="shared" si="82"/>
        <v>8825.0917506811202</v>
      </c>
      <c r="AL725" s="229"/>
      <c r="AM725" s="52">
        <f t="shared" si="58"/>
        <v>1</v>
      </c>
      <c r="AN725" s="52">
        <f t="shared" si="59"/>
        <v>0</v>
      </c>
      <c r="AO725" s="52">
        <f t="shared" si="60"/>
        <v>1</v>
      </c>
      <c r="AP725" s="229"/>
      <c r="AQ725" s="28"/>
      <c r="AR725" s="28"/>
      <c r="AS725" s="28"/>
      <c r="AT725" s="28"/>
      <c r="AU725" s="229"/>
      <c r="AV725" s="318">
        <f t="shared" si="83"/>
        <v>225601.87922194495</v>
      </c>
      <c r="AW725" s="229"/>
      <c r="AX725" s="313"/>
      <c r="AY725" s="302"/>
      <c r="AZ725" s="14">
        <f t="shared" si="85"/>
        <v>16802.423145476612</v>
      </c>
      <c r="BA725" s="14">
        <f t="shared" si="84"/>
        <v>0.25627514896157733</v>
      </c>
      <c r="BB725" s="14">
        <f t="shared" si="61"/>
        <v>65563.997186460547</v>
      </c>
      <c r="BC725" s="302"/>
      <c r="BD725" s="302"/>
      <c r="BE725" s="302"/>
      <c r="BF725" s="302"/>
      <c r="BG725" s="302"/>
      <c r="BH725" s="302"/>
      <c r="BI725" s="302"/>
      <c r="BJ725" s="302"/>
      <c r="BK725" s="302"/>
      <c r="BL725" s="302"/>
      <c r="BM725" s="302"/>
      <c r="BN725" s="302"/>
      <c r="BO725" s="302"/>
      <c r="BP725" s="302"/>
      <c r="BQ725" s="302"/>
      <c r="BR725" s="302"/>
      <c r="BS725" s="302"/>
      <c r="BT725" s="302"/>
      <c r="BU725" s="302"/>
      <c r="BV725" s="302"/>
      <c r="BW725" s="302"/>
      <c r="BX725" s="302"/>
      <c r="BY725" s="302"/>
      <c r="BZ725" s="302"/>
      <c r="CA725" s="302"/>
      <c r="CB725" s="28"/>
      <c r="CC725" s="28"/>
      <c r="CD725" s="28"/>
      <c r="CE725" s="28"/>
      <c r="CF725" s="28"/>
      <c r="CG725" s="28"/>
      <c r="CH725" s="28"/>
      <c r="CI725" s="28"/>
      <c r="CJ725" s="28"/>
      <c r="CK725" s="28"/>
      <c r="CL725" s="28"/>
      <c r="CM725" s="28"/>
      <c r="CN725" s="28"/>
      <c r="CO725" s="28"/>
      <c r="CP725" s="28"/>
      <c r="CQ725" s="28"/>
      <c r="CR725" s="28"/>
      <c r="CS725" s="28"/>
      <c r="CT725" s="28"/>
      <c r="CU725" s="28"/>
      <c r="CV725" s="28"/>
      <c r="CW725" s="28"/>
    </row>
    <row r="726" spans="1:101" ht="14.25" customHeight="1" x14ac:dyDescent="0.2">
      <c r="A726" s="286"/>
      <c r="B726" s="52">
        <v>0.1575258938192344</v>
      </c>
      <c r="C726" s="288">
        <v>7.7981131866797102E-2</v>
      </c>
      <c r="D726" s="288">
        <v>1.5518830285234375E-2</v>
      </c>
      <c r="E726" s="288">
        <v>8.5902152919265402E-3</v>
      </c>
      <c r="F726" s="289">
        <v>0.80335206297637762</v>
      </c>
      <c r="G726" s="92">
        <v>0.40417712015715768</v>
      </c>
      <c r="H726" s="288">
        <v>0.78852150900560392</v>
      </c>
      <c r="I726" s="288">
        <v>1.1635386437007308E-2</v>
      </c>
      <c r="J726" s="288">
        <v>3.6930930524301929E-2</v>
      </c>
      <c r="K726" s="288">
        <v>0.80430599008834447</v>
      </c>
      <c r="L726" s="290">
        <v>13722.310416420178</v>
      </c>
      <c r="M726" s="288">
        <v>0</v>
      </c>
      <c r="N726" s="288">
        <v>13644.19517217031</v>
      </c>
      <c r="O726" s="288">
        <v>1183.1736236078154</v>
      </c>
      <c r="P726" s="288">
        <v>30881.874297705195</v>
      </c>
      <c r="Q726" s="291">
        <v>105639.3954842536</v>
      </c>
      <c r="R726" s="288">
        <v>17863.299911054328</v>
      </c>
      <c r="S726" s="288">
        <v>6348.1143414624212</v>
      </c>
      <c r="T726" s="290">
        <v>0.751</v>
      </c>
      <c r="U726" s="288">
        <v>0.75800000000000001</v>
      </c>
      <c r="V726" s="288">
        <v>0.723923076923077</v>
      </c>
      <c r="W726" s="288">
        <v>0.72750000000000004</v>
      </c>
      <c r="X726" s="288">
        <v>0.76</v>
      </c>
      <c r="Y726" s="288">
        <v>0</v>
      </c>
      <c r="Z726" s="289">
        <v>0</v>
      </c>
      <c r="AA726" s="229"/>
      <c r="AB726" s="293">
        <v>64886.694362198723</v>
      </c>
      <c r="AC726" s="294">
        <v>3.2511429136069734</v>
      </c>
      <c r="AD726" s="295">
        <v>57529.10305965411</v>
      </c>
      <c r="AE726" s="294">
        <v>3.260496088218416</v>
      </c>
      <c r="AF726" s="295">
        <v>7357.5913025446134</v>
      </c>
      <c r="AG726" s="296">
        <v>-9.3531746114425829E-3</v>
      </c>
      <c r="AH726" s="229"/>
      <c r="AI726" s="205">
        <f t="shared" si="80"/>
        <v>260227.59699849863</v>
      </c>
      <c r="AJ726" s="205">
        <f t="shared" si="81"/>
        <v>268520.50576218747</v>
      </c>
      <c r="AK726" s="205">
        <f t="shared" si="82"/>
        <v>-8292.9087636888726</v>
      </c>
      <c r="AL726" s="229"/>
      <c r="AM726" s="52">
        <f t="shared" si="58"/>
        <v>0</v>
      </c>
      <c r="AN726" s="52">
        <f t="shared" si="59"/>
        <v>1</v>
      </c>
      <c r="AO726" s="52">
        <f t="shared" si="60"/>
        <v>0</v>
      </c>
      <c r="AP726" s="229"/>
      <c r="AQ726" s="28"/>
      <c r="AR726" s="28"/>
      <c r="AS726" s="28"/>
      <c r="AT726" s="28"/>
      <c r="AU726" s="229"/>
      <c r="AV726" s="318">
        <f t="shared" si="83"/>
        <v>268520.50576218747</v>
      </c>
      <c r="AW726" s="229"/>
      <c r="AX726" s="313"/>
      <c r="AY726" s="302"/>
      <c r="AZ726" s="14">
        <f t="shared" si="85"/>
        <v>7357.5913025446134</v>
      </c>
      <c r="BA726" s="14">
        <f t="shared" si="84"/>
        <v>-9.3531746114425829E-3</v>
      </c>
      <c r="BB726" s="14">
        <f t="shared" si="61"/>
        <v>-786641.07195683138</v>
      </c>
      <c r="BC726" s="302"/>
      <c r="BD726" s="302"/>
      <c r="BE726" s="302"/>
      <c r="BF726" s="302"/>
      <c r="BG726" s="302"/>
      <c r="BH726" s="302"/>
      <c r="BI726" s="302"/>
      <c r="BJ726" s="302"/>
      <c r="BK726" s="302"/>
      <c r="BL726" s="302"/>
      <c r="BM726" s="302"/>
      <c r="BN726" s="302"/>
      <c r="BO726" s="302"/>
      <c r="BP726" s="302"/>
      <c r="BQ726" s="302"/>
      <c r="BR726" s="302"/>
      <c r="BS726" s="302"/>
      <c r="BT726" s="302"/>
      <c r="BU726" s="302"/>
      <c r="BV726" s="302"/>
      <c r="BW726" s="302"/>
      <c r="BX726" s="302"/>
      <c r="BY726" s="302"/>
      <c r="BZ726" s="302"/>
      <c r="CA726" s="302"/>
      <c r="CB726" s="28"/>
      <c r="CC726" s="28"/>
      <c r="CD726" s="28"/>
      <c r="CE726" s="28"/>
      <c r="CF726" s="28"/>
      <c r="CG726" s="28"/>
      <c r="CH726" s="28"/>
      <c r="CI726" s="28"/>
      <c r="CJ726" s="28"/>
      <c r="CK726" s="28"/>
      <c r="CL726" s="28"/>
      <c r="CM726" s="28"/>
      <c r="CN726" s="28"/>
      <c r="CO726" s="28"/>
      <c r="CP726" s="28"/>
      <c r="CQ726" s="28"/>
      <c r="CR726" s="28"/>
      <c r="CS726" s="28"/>
      <c r="CT726" s="28"/>
      <c r="CU726" s="28"/>
      <c r="CV726" s="28"/>
      <c r="CW726" s="28"/>
    </row>
    <row r="727" spans="1:101" ht="14.25" customHeight="1" x14ac:dyDescent="0.2">
      <c r="A727" s="286"/>
      <c r="B727" s="52">
        <v>0.16721117330601687</v>
      </c>
      <c r="C727" s="288">
        <v>0.22358305896329109</v>
      </c>
      <c r="D727" s="288">
        <v>6.6977334532106582E-3</v>
      </c>
      <c r="E727" s="288">
        <v>6.9298148269610832E-3</v>
      </c>
      <c r="F727" s="289">
        <v>0.83079500095748982</v>
      </c>
      <c r="G727" s="92">
        <v>0.36217941009051297</v>
      </c>
      <c r="H727" s="288">
        <v>0.53170277725708681</v>
      </c>
      <c r="I727" s="288">
        <v>1.0477458800313727E-2</v>
      </c>
      <c r="J727" s="288">
        <v>1</v>
      </c>
      <c r="K727" s="288">
        <v>0.75375283983570629</v>
      </c>
      <c r="L727" s="290">
        <v>11564.880478209066</v>
      </c>
      <c r="M727" s="288">
        <v>0</v>
      </c>
      <c r="N727" s="288">
        <v>25585.68684734925</v>
      </c>
      <c r="O727" s="288">
        <v>1385.403569041435</v>
      </c>
      <c r="P727" s="288">
        <v>44414.058161501816</v>
      </c>
      <c r="Q727" s="291">
        <v>83460.073811265029</v>
      </c>
      <c r="R727" s="288">
        <v>25283.399737691747</v>
      </c>
      <c r="S727" s="288">
        <v>9716.3195095424799</v>
      </c>
      <c r="T727" s="290">
        <v>0.751</v>
      </c>
      <c r="U727" s="288">
        <v>0.75800000000000001</v>
      </c>
      <c r="V727" s="288">
        <v>0.723923076923077</v>
      </c>
      <c r="W727" s="288">
        <v>0.72750000000000004</v>
      </c>
      <c r="X727" s="288">
        <v>0.76</v>
      </c>
      <c r="Y727" s="288">
        <v>0</v>
      </c>
      <c r="Z727" s="289">
        <v>0</v>
      </c>
      <c r="AA727" s="229"/>
      <c r="AB727" s="293">
        <v>92769.703727537737</v>
      </c>
      <c r="AC727" s="294">
        <v>3.3800841749657882</v>
      </c>
      <c r="AD727" s="295">
        <v>78952.04567941709</v>
      </c>
      <c r="AE727" s="294">
        <v>3.0255325259017245</v>
      </c>
      <c r="AF727" s="295">
        <v>13817.658048120647</v>
      </c>
      <c r="AG727" s="296">
        <v>0.35455164906406367</v>
      </c>
      <c r="AH727" s="229"/>
      <c r="AI727" s="205">
        <f t="shared" si="80"/>
        <v>245238.71376904109</v>
      </c>
      <c r="AJ727" s="205">
        <f t="shared" si="81"/>
        <v>223601.20691075537</v>
      </c>
      <c r="AK727" s="205">
        <f t="shared" si="82"/>
        <v>21637.50685828572</v>
      </c>
      <c r="AL727" s="229"/>
      <c r="AM727" s="52">
        <f t="shared" si="58"/>
        <v>1</v>
      </c>
      <c r="AN727" s="52">
        <f t="shared" si="59"/>
        <v>0</v>
      </c>
      <c r="AO727" s="52">
        <f t="shared" si="60"/>
        <v>1</v>
      </c>
      <c r="AP727" s="229"/>
      <c r="AQ727" s="28"/>
      <c r="AR727" s="28"/>
      <c r="AS727" s="28"/>
      <c r="AT727" s="28"/>
      <c r="AU727" s="229"/>
      <c r="AV727" s="318">
        <f t="shared" si="83"/>
        <v>245238.71376904109</v>
      </c>
      <c r="AW727" s="229"/>
      <c r="AX727" s="313"/>
      <c r="AY727" s="302"/>
      <c r="AZ727" s="14">
        <f t="shared" si="85"/>
        <v>13817.658048120647</v>
      </c>
      <c r="BA727" s="14">
        <f t="shared" si="84"/>
        <v>0.35455164906406367</v>
      </c>
      <c r="BB727" s="14">
        <f t="shared" si="61"/>
        <v>38972.200762839901</v>
      </c>
      <c r="BC727" s="302"/>
      <c r="BD727" s="302"/>
      <c r="BE727" s="302"/>
      <c r="BF727" s="302"/>
      <c r="BG727" s="302"/>
      <c r="BH727" s="302"/>
      <c r="BI727" s="302"/>
      <c r="BJ727" s="302"/>
      <c r="BK727" s="302"/>
      <c r="BL727" s="302"/>
      <c r="BM727" s="302"/>
      <c r="BN727" s="302"/>
      <c r="BO727" s="302"/>
      <c r="BP727" s="302"/>
      <c r="BQ727" s="302"/>
      <c r="BR727" s="302"/>
      <c r="BS727" s="302"/>
      <c r="BT727" s="302"/>
      <c r="BU727" s="302"/>
      <c r="BV727" s="302"/>
      <c r="BW727" s="302"/>
      <c r="BX727" s="302"/>
      <c r="BY727" s="302"/>
      <c r="BZ727" s="302"/>
      <c r="CA727" s="302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</row>
    <row r="728" spans="1:101" ht="14.25" customHeight="1" x14ac:dyDescent="0.2">
      <c r="A728" s="286"/>
      <c r="B728" s="52">
        <v>0.16516564409012124</v>
      </c>
      <c r="C728" s="288">
        <v>8.9166683263492155E-2</v>
      </c>
      <c r="D728" s="288">
        <v>8.9865744863402812E-3</v>
      </c>
      <c r="E728" s="288">
        <v>2.1748654142107249E-2</v>
      </c>
      <c r="F728" s="289">
        <v>0.78661464227497124</v>
      </c>
      <c r="G728" s="92">
        <v>0.3116446193703255</v>
      </c>
      <c r="H728" s="288">
        <v>0.29825392630535019</v>
      </c>
      <c r="I728" s="288">
        <v>8.1026789381929993E-3</v>
      </c>
      <c r="J728" s="288">
        <v>1</v>
      </c>
      <c r="K728" s="288">
        <v>0.75064664933839176</v>
      </c>
      <c r="L728" s="290">
        <v>9072.6099223491328</v>
      </c>
      <c r="M728" s="288">
        <v>0</v>
      </c>
      <c r="N728" s="288">
        <v>14461.567535195163</v>
      </c>
      <c r="O728" s="288">
        <v>1068.9947031503343</v>
      </c>
      <c r="P728" s="288">
        <v>46914.1640983412</v>
      </c>
      <c r="Q728" s="291">
        <v>108761.12149510541</v>
      </c>
      <c r="R728" s="288">
        <v>10377.721694270895</v>
      </c>
      <c r="S728" s="288">
        <v>7791.6023051815837</v>
      </c>
      <c r="T728" s="290">
        <v>0.751</v>
      </c>
      <c r="U728" s="288">
        <v>0.75800000000000001</v>
      </c>
      <c r="V728" s="288">
        <v>0.723923076923077</v>
      </c>
      <c r="W728" s="288">
        <v>0.72750000000000004</v>
      </c>
      <c r="X728" s="288">
        <v>0.76</v>
      </c>
      <c r="Y728" s="288">
        <v>0</v>
      </c>
      <c r="Z728" s="289">
        <v>0</v>
      </c>
      <c r="AA728" s="229"/>
      <c r="AB728" s="293">
        <v>70256.413800457798</v>
      </c>
      <c r="AC728" s="294">
        <v>3.1730816916007867</v>
      </c>
      <c r="AD728" s="295">
        <v>60042.86482894441</v>
      </c>
      <c r="AE728" s="294">
        <v>3.0112267737036351</v>
      </c>
      <c r="AF728" s="295">
        <v>10213.548971513388</v>
      </c>
      <c r="AG728" s="296">
        <v>0.16185491789715156</v>
      </c>
      <c r="AH728" s="229"/>
      <c r="AI728" s="205">
        <f t="shared" si="80"/>
        <v>247051.7553596209</v>
      </c>
      <c r="AJ728" s="205">
        <f t="shared" si="81"/>
        <v>241079.81254141909</v>
      </c>
      <c r="AK728" s="205">
        <f t="shared" si="82"/>
        <v>5971.9428182017673</v>
      </c>
      <c r="AL728" s="229"/>
      <c r="AM728" s="52">
        <f t="shared" si="58"/>
        <v>1</v>
      </c>
      <c r="AN728" s="52">
        <f t="shared" si="59"/>
        <v>0</v>
      </c>
      <c r="AO728" s="52">
        <f t="shared" si="60"/>
        <v>1</v>
      </c>
      <c r="AP728" s="229"/>
      <c r="AQ728" s="28"/>
      <c r="AR728" s="28"/>
      <c r="AS728" s="28"/>
      <c r="AT728" s="28"/>
      <c r="AU728" s="229"/>
      <c r="AV728" s="318">
        <f t="shared" si="83"/>
        <v>247051.7553596209</v>
      </c>
      <c r="AW728" s="229"/>
      <c r="AX728" s="313"/>
      <c r="AY728" s="302"/>
      <c r="AZ728" s="14">
        <f t="shared" si="85"/>
        <v>10213.548971513388</v>
      </c>
      <c r="BA728" s="14">
        <f t="shared" si="84"/>
        <v>0.16185491789715156</v>
      </c>
      <c r="BB728" s="14">
        <f t="shared" si="61"/>
        <v>63103.111751003111</v>
      </c>
      <c r="BC728" s="302"/>
      <c r="BD728" s="302"/>
      <c r="BE728" s="302"/>
      <c r="BF728" s="302"/>
      <c r="BG728" s="302"/>
      <c r="BH728" s="302"/>
      <c r="BI728" s="302"/>
      <c r="BJ728" s="302"/>
      <c r="BK728" s="302"/>
      <c r="BL728" s="302"/>
      <c r="BM728" s="302"/>
      <c r="BN728" s="302"/>
      <c r="BO728" s="302"/>
      <c r="BP728" s="302"/>
      <c r="BQ728" s="302"/>
      <c r="BR728" s="302"/>
      <c r="BS728" s="302"/>
      <c r="BT728" s="302"/>
      <c r="BU728" s="302"/>
      <c r="BV728" s="302"/>
      <c r="BW728" s="302"/>
      <c r="BX728" s="302"/>
      <c r="BY728" s="302"/>
      <c r="BZ728" s="302"/>
      <c r="CA728" s="302"/>
      <c r="CB728" s="28"/>
      <c r="CC728" s="28"/>
      <c r="CD728" s="28"/>
      <c r="CE728" s="28"/>
      <c r="CF728" s="28"/>
      <c r="CG728" s="28"/>
      <c r="CH728" s="28"/>
      <c r="CI728" s="28"/>
      <c r="CJ728" s="28"/>
      <c r="CK728" s="28"/>
      <c r="CL728" s="28"/>
      <c r="CM728" s="28"/>
      <c r="CN728" s="28"/>
      <c r="CO728" s="28"/>
      <c r="CP728" s="28"/>
      <c r="CQ728" s="28"/>
      <c r="CR728" s="28"/>
      <c r="CS728" s="28"/>
      <c r="CT728" s="28"/>
      <c r="CU728" s="28"/>
      <c r="CV728" s="28"/>
      <c r="CW728" s="28"/>
    </row>
    <row r="729" spans="1:101" ht="14.25" customHeight="1" x14ac:dyDescent="0.2">
      <c r="A729" s="286"/>
      <c r="B729" s="52">
        <v>0.16029326445477143</v>
      </c>
      <c r="C729" s="288">
        <v>0.89059041188812282</v>
      </c>
      <c r="D729" s="288">
        <v>1.3082050130863811E-2</v>
      </c>
      <c r="E729" s="288">
        <v>2.0400299356807872E-2</v>
      </c>
      <c r="F729" s="289">
        <v>0.69932999602993451</v>
      </c>
      <c r="G729" s="92">
        <v>0.44763908845945244</v>
      </c>
      <c r="H729" s="288">
        <v>0.58895979785839092</v>
      </c>
      <c r="I729" s="288">
        <v>9.8097256564708638E-3</v>
      </c>
      <c r="J729" s="288">
        <v>0.99990702499643769</v>
      </c>
      <c r="K729" s="288">
        <v>0.78069922906521594</v>
      </c>
      <c r="L729" s="290">
        <v>11801.620513390057</v>
      </c>
      <c r="M729" s="288">
        <v>0</v>
      </c>
      <c r="N729" s="288">
        <v>19854.154234103389</v>
      </c>
      <c r="O729" s="288">
        <v>1324.4690652109875</v>
      </c>
      <c r="P729" s="288">
        <v>49251.899457204781</v>
      </c>
      <c r="Q729" s="291">
        <v>65913.514469343951</v>
      </c>
      <c r="R729" s="288">
        <v>24270.720797028796</v>
      </c>
      <c r="S729" s="288">
        <v>7824.2936358273109</v>
      </c>
      <c r="T729" s="290">
        <v>0.751</v>
      </c>
      <c r="U729" s="288">
        <v>0.75800000000000001</v>
      </c>
      <c r="V729" s="288">
        <v>0.723923076923077</v>
      </c>
      <c r="W729" s="288">
        <v>0.72750000000000004</v>
      </c>
      <c r="X729" s="288">
        <v>0.76</v>
      </c>
      <c r="Y729" s="288">
        <v>0</v>
      </c>
      <c r="Z729" s="289">
        <v>0</v>
      </c>
      <c r="AA729" s="229"/>
      <c r="AB729" s="293">
        <v>69802.843670312272</v>
      </c>
      <c r="AC729" s="294">
        <v>2.7731177162300908</v>
      </c>
      <c r="AD729" s="295">
        <v>68527.054131457073</v>
      </c>
      <c r="AE729" s="294">
        <v>3.1502740162512026</v>
      </c>
      <c r="AF729" s="295">
        <v>1275.7895388551988</v>
      </c>
      <c r="AG729" s="296">
        <v>-0.37715630002111178</v>
      </c>
      <c r="AH729" s="229"/>
      <c r="AI729" s="205">
        <f t="shared" si="80"/>
        <v>207508.9279526968</v>
      </c>
      <c r="AJ729" s="205">
        <f t="shared" si="81"/>
        <v>246500.3474936632</v>
      </c>
      <c r="AK729" s="205">
        <f t="shared" si="82"/>
        <v>-38991.419540966373</v>
      </c>
      <c r="AL729" s="229"/>
      <c r="AM729" s="52">
        <f t="shared" si="58"/>
        <v>0</v>
      </c>
      <c r="AN729" s="52">
        <f t="shared" si="59"/>
        <v>1</v>
      </c>
      <c r="AO729" s="52">
        <f t="shared" si="60"/>
        <v>0</v>
      </c>
      <c r="AP729" s="229"/>
      <c r="AQ729" s="28"/>
      <c r="AR729" s="28"/>
      <c r="AS729" s="28"/>
      <c r="AT729" s="28"/>
      <c r="AU729" s="229"/>
      <c r="AV729" s="318">
        <f t="shared" si="83"/>
        <v>246500.3474936632</v>
      </c>
      <c r="AW729" s="229"/>
      <c r="AX729" s="313"/>
      <c r="AY729" s="302"/>
      <c r="AZ729" s="14">
        <f t="shared" si="85"/>
        <v>1275.7895388551988</v>
      </c>
      <c r="BA729" s="14">
        <f t="shared" si="84"/>
        <v>-0.37715630002111178</v>
      </c>
      <c r="BB729" s="14">
        <f t="shared" si="61"/>
        <v>-3382.6547210898634</v>
      </c>
      <c r="BC729" s="302"/>
      <c r="BD729" s="302"/>
      <c r="BE729" s="302"/>
      <c r="BF729" s="302"/>
      <c r="BG729" s="302"/>
      <c r="BH729" s="302"/>
      <c r="BI729" s="302"/>
      <c r="BJ729" s="302"/>
      <c r="BK729" s="302"/>
      <c r="BL729" s="302"/>
      <c r="BM729" s="302"/>
      <c r="BN729" s="302"/>
      <c r="BO729" s="302"/>
      <c r="BP729" s="302"/>
      <c r="BQ729" s="302"/>
      <c r="BR729" s="302"/>
      <c r="BS729" s="302"/>
      <c r="BT729" s="302"/>
      <c r="BU729" s="302"/>
      <c r="BV729" s="302"/>
      <c r="BW729" s="302"/>
      <c r="BX729" s="302"/>
      <c r="BY729" s="302"/>
      <c r="BZ729" s="302"/>
      <c r="CA729" s="302"/>
      <c r="CB729" s="28"/>
      <c r="CC729" s="28"/>
      <c r="CD729" s="28"/>
      <c r="CE729" s="28"/>
      <c r="CF729" s="28"/>
      <c r="CG729" s="28"/>
      <c r="CH729" s="28"/>
      <c r="CI729" s="28"/>
      <c r="CJ729" s="28"/>
      <c r="CK729" s="28"/>
      <c r="CL729" s="28"/>
      <c r="CM729" s="28"/>
      <c r="CN729" s="28"/>
      <c r="CO729" s="28"/>
      <c r="CP729" s="28"/>
      <c r="CQ729" s="28"/>
      <c r="CR729" s="28"/>
      <c r="CS729" s="28"/>
      <c r="CT729" s="28"/>
      <c r="CU729" s="28"/>
      <c r="CV729" s="28"/>
      <c r="CW729" s="28"/>
    </row>
    <row r="730" spans="1:101" ht="14.25" customHeight="1" x14ac:dyDescent="0.2">
      <c r="A730" s="286"/>
      <c r="B730" s="52">
        <v>0.15206693286636552</v>
      </c>
      <c r="C730" s="288">
        <v>0.81303286172178679</v>
      </c>
      <c r="D730" s="288">
        <v>1.5855067763768993E-2</v>
      </c>
      <c r="E730" s="288">
        <v>1.5685789710030762E-2</v>
      </c>
      <c r="F730" s="289">
        <v>0.79079577412826452</v>
      </c>
      <c r="G730" s="92">
        <v>0.41944231065577697</v>
      </c>
      <c r="H730" s="288">
        <v>0.69447784856531203</v>
      </c>
      <c r="I730" s="288">
        <v>1.4756578472242767E-2</v>
      </c>
      <c r="J730" s="288">
        <v>0.99972072680214819</v>
      </c>
      <c r="K730" s="288">
        <v>0.73948818433856922</v>
      </c>
      <c r="L730" s="290">
        <v>10248.893906946678</v>
      </c>
      <c r="M730" s="288">
        <v>0</v>
      </c>
      <c r="N730" s="288">
        <v>16532.59802286822</v>
      </c>
      <c r="O730" s="288">
        <v>1299.0087449408004</v>
      </c>
      <c r="P730" s="288">
        <v>44136.222774465685</v>
      </c>
      <c r="Q730" s="291">
        <v>113748.54654498167</v>
      </c>
      <c r="R730" s="288">
        <v>21682.617970969502</v>
      </c>
      <c r="S730" s="288">
        <v>8165.7391366927232</v>
      </c>
      <c r="T730" s="290">
        <v>0.751</v>
      </c>
      <c r="U730" s="288">
        <v>0.75800000000000001</v>
      </c>
      <c r="V730" s="288">
        <v>0.723923076923077</v>
      </c>
      <c r="W730" s="288">
        <v>0.72750000000000004</v>
      </c>
      <c r="X730" s="288">
        <v>0.76</v>
      </c>
      <c r="Y730" s="288">
        <v>0</v>
      </c>
      <c r="Z730" s="289">
        <v>0</v>
      </c>
      <c r="AA730" s="229"/>
      <c r="AB730" s="293">
        <v>77347.051805504132</v>
      </c>
      <c r="AC730" s="294">
        <v>3.1925407912019446</v>
      </c>
      <c r="AD730" s="295">
        <v>68169.08044502775</v>
      </c>
      <c r="AE730" s="294">
        <v>2.9599612210764006</v>
      </c>
      <c r="AF730" s="295">
        <v>9177.971360476382</v>
      </c>
      <c r="AG730" s="296">
        <v>0.23257957012554398</v>
      </c>
      <c r="AH730" s="229"/>
      <c r="AI730" s="205">
        <f t="shared" si="80"/>
        <v>241907.02731469035</v>
      </c>
      <c r="AJ730" s="205">
        <f t="shared" si="81"/>
        <v>227827.04166261235</v>
      </c>
      <c r="AK730" s="205">
        <f t="shared" si="82"/>
        <v>14079.985652078016</v>
      </c>
      <c r="AL730" s="229"/>
      <c r="AM730" s="52">
        <f t="shared" si="58"/>
        <v>1</v>
      </c>
      <c r="AN730" s="52">
        <f t="shared" si="59"/>
        <v>0</v>
      </c>
      <c r="AO730" s="52">
        <f t="shared" si="60"/>
        <v>1</v>
      </c>
      <c r="AP730" s="229"/>
      <c r="AQ730" s="28"/>
      <c r="AR730" s="28"/>
      <c r="AS730" s="28"/>
      <c r="AT730" s="28"/>
      <c r="AU730" s="229"/>
      <c r="AV730" s="318">
        <f t="shared" si="83"/>
        <v>241907.02731469035</v>
      </c>
      <c r="AW730" s="229"/>
      <c r="AX730" s="313"/>
      <c r="AY730" s="302"/>
      <c r="AZ730" s="14">
        <f t="shared" si="85"/>
        <v>9177.971360476382</v>
      </c>
      <c r="BA730" s="14">
        <f t="shared" si="84"/>
        <v>0.23257957012554398</v>
      </c>
      <c r="BB730" s="14">
        <f t="shared" si="61"/>
        <v>39461.64039912109</v>
      </c>
      <c r="BC730" s="302"/>
      <c r="BD730" s="302"/>
      <c r="BE730" s="302"/>
      <c r="BF730" s="302"/>
      <c r="BG730" s="302"/>
      <c r="BH730" s="302"/>
      <c r="BI730" s="302"/>
      <c r="BJ730" s="302"/>
      <c r="BK730" s="302"/>
      <c r="BL730" s="302"/>
      <c r="BM730" s="302"/>
      <c r="BN730" s="302"/>
      <c r="BO730" s="302"/>
      <c r="BP730" s="302"/>
      <c r="BQ730" s="302"/>
      <c r="BR730" s="302"/>
      <c r="BS730" s="302"/>
      <c r="BT730" s="302"/>
      <c r="BU730" s="302"/>
      <c r="BV730" s="302"/>
      <c r="BW730" s="302"/>
      <c r="BX730" s="302"/>
      <c r="BY730" s="302"/>
      <c r="BZ730" s="302"/>
      <c r="CA730" s="302"/>
      <c r="CB730" s="28"/>
      <c r="CC730" s="28"/>
      <c r="CD730" s="28"/>
      <c r="CE730" s="28"/>
      <c r="CF730" s="28"/>
      <c r="CG730" s="28"/>
      <c r="CH730" s="28"/>
      <c r="CI730" s="28"/>
      <c r="CJ730" s="28"/>
      <c r="CK730" s="28"/>
      <c r="CL730" s="28"/>
      <c r="CM730" s="28"/>
      <c r="CN730" s="28"/>
      <c r="CO730" s="28"/>
      <c r="CP730" s="28"/>
      <c r="CQ730" s="28"/>
      <c r="CR730" s="28"/>
      <c r="CS730" s="28"/>
      <c r="CT730" s="28"/>
      <c r="CU730" s="28"/>
      <c r="CV730" s="28"/>
      <c r="CW730" s="28"/>
    </row>
    <row r="731" spans="1:101" ht="14.25" customHeight="1" x14ac:dyDescent="0.2">
      <c r="A731" s="286"/>
      <c r="B731" s="52">
        <v>0.17889572894702677</v>
      </c>
      <c r="C731" s="288">
        <v>0.57047812457554781</v>
      </c>
      <c r="D731" s="288">
        <v>1.9228920505768299E-2</v>
      </c>
      <c r="E731" s="288">
        <v>3.0757186245614077E-2</v>
      </c>
      <c r="F731" s="289">
        <v>0.80546352997839832</v>
      </c>
      <c r="G731" s="92">
        <v>0.40619602028159307</v>
      </c>
      <c r="H731" s="288">
        <v>9.5437114607915624E-2</v>
      </c>
      <c r="I731" s="288">
        <v>1.5504629166700829E-2</v>
      </c>
      <c r="J731" s="288">
        <v>0.99999999449469379</v>
      </c>
      <c r="K731" s="288">
        <v>0.74943237152987252</v>
      </c>
      <c r="L731" s="290">
        <v>16498.043912743629</v>
      </c>
      <c r="M731" s="288">
        <v>0</v>
      </c>
      <c r="N731" s="288">
        <v>15081.284288326789</v>
      </c>
      <c r="O731" s="288">
        <v>1332.3286006025307</v>
      </c>
      <c r="P731" s="288">
        <v>52942.462877916587</v>
      </c>
      <c r="Q731" s="291">
        <v>102598.66937054948</v>
      </c>
      <c r="R731" s="288">
        <v>18535.095665369725</v>
      </c>
      <c r="S731" s="288">
        <v>6198.6945746284146</v>
      </c>
      <c r="T731" s="290">
        <v>0.751</v>
      </c>
      <c r="U731" s="288">
        <v>0.75800000000000001</v>
      </c>
      <c r="V731" s="288">
        <v>0.723923076923077</v>
      </c>
      <c r="W731" s="288">
        <v>0.72750000000000004</v>
      </c>
      <c r="X731" s="288">
        <v>0.76</v>
      </c>
      <c r="Y731" s="288">
        <v>0</v>
      </c>
      <c r="Z731" s="289">
        <v>0</v>
      </c>
      <c r="AA731" s="229"/>
      <c r="AB731" s="293">
        <v>68428.498952848182</v>
      </c>
      <c r="AC731" s="294">
        <v>3.2610217419690284</v>
      </c>
      <c r="AD731" s="295">
        <v>48712.574953764153</v>
      </c>
      <c r="AE731" s="294">
        <v>3.0056384769529974</v>
      </c>
      <c r="AF731" s="295">
        <v>19715.923999084029</v>
      </c>
      <c r="AG731" s="296">
        <v>0.25538326501603104</v>
      </c>
      <c r="AH731" s="229"/>
      <c r="AI731" s="205">
        <f t="shared" si="80"/>
        <v>257673.67524405464</v>
      </c>
      <c r="AJ731" s="205">
        <f t="shared" si="81"/>
        <v>251851.27274153556</v>
      </c>
      <c r="AK731" s="205">
        <f t="shared" si="82"/>
        <v>5822.4025025190749</v>
      </c>
      <c r="AL731" s="229"/>
      <c r="AM731" s="52">
        <f t="shared" si="58"/>
        <v>1</v>
      </c>
      <c r="AN731" s="52">
        <f t="shared" si="59"/>
        <v>0</v>
      </c>
      <c r="AO731" s="52">
        <f t="shared" si="60"/>
        <v>1</v>
      </c>
      <c r="AP731" s="229"/>
      <c r="AQ731" s="28"/>
      <c r="AR731" s="28"/>
      <c r="AS731" s="28"/>
      <c r="AT731" s="28"/>
      <c r="AU731" s="229"/>
      <c r="AV731" s="318">
        <f t="shared" si="83"/>
        <v>257673.67524405464</v>
      </c>
      <c r="AW731" s="229"/>
      <c r="AX731" s="313"/>
      <c r="AY731" s="302"/>
      <c r="AZ731" s="14">
        <f t="shared" si="85"/>
        <v>19715.923999084029</v>
      </c>
      <c r="BA731" s="14">
        <f t="shared" si="84"/>
        <v>0.25538326501603104</v>
      </c>
      <c r="BB731" s="14">
        <f t="shared" si="61"/>
        <v>77201.315434064993</v>
      </c>
      <c r="BC731" s="302"/>
      <c r="BD731" s="302"/>
      <c r="BE731" s="302"/>
      <c r="BF731" s="302"/>
      <c r="BG731" s="302"/>
      <c r="BH731" s="302"/>
      <c r="BI731" s="302"/>
      <c r="BJ731" s="302"/>
      <c r="BK731" s="302"/>
      <c r="BL731" s="302"/>
      <c r="BM731" s="302"/>
      <c r="BN731" s="302"/>
      <c r="BO731" s="302"/>
      <c r="BP731" s="302"/>
      <c r="BQ731" s="302"/>
      <c r="BR731" s="302"/>
      <c r="BS731" s="302"/>
      <c r="BT731" s="302"/>
      <c r="BU731" s="302"/>
      <c r="BV731" s="302"/>
      <c r="BW731" s="302"/>
      <c r="BX731" s="302"/>
      <c r="BY731" s="302"/>
      <c r="BZ731" s="302"/>
      <c r="CA731" s="302"/>
      <c r="CB731" s="28"/>
      <c r="CC731" s="28"/>
      <c r="CD731" s="28"/>
      <c r="CE731" s="28"/>
      <c r="CF731" s="28"/>
      <c r="CG731" s="28"/>
      <c r="CH731" s="28"/>
      <c r="CI731" s="28"/>
      <c r="CJ731" s="28"/>
      <c r="CK731" s="28"/>
      <c r="CL731" s="28"/>
      <c r="CM731" s="28"/>
      <c r="CN731" s="28"/>
      <c r="CO731" s="28"/>
      <c r="CP731" s="28"/>
      <c r="CQ731" s="28"/>
      <c r="CR731" s="28"/>
      <c r="CS731" s="28"/>
      <c r="CT731" s="28"/>
      <c r="CU731" s="28"/>
      <c r="CV731" s="28"/>
      <c r="CW731" s="28"/>
    </row>
    <row r="732" spans="1:101" ht="14.25" customHeight="1" x14ac:dyDescent="0.2">
      <c r="A732" s="286"/>
      <c r="B732" s="52">
        <v>0.14089632594159995</v>
      </c>
      <c r="C732" s="288">
        <v>0.81755050218168845</v>
      </c>
      <c r="D732" s="288">
        <v>1.734844079453024E-2</v>
      </c>
      <c r="E732" s="288">
        <v>1.5287338295383535E-2</v>
      </c>
      <c r="F732" s="289">
        <v>0.79597959233694682</v>
      </c>
      <c r="G732" s="92">
        <v>0.42023313456723665</v>
      </c>
      <c r="H732" s="288">
        <v>0.4577333851801858</v>
      </c>
      <c r="I732" s="288">
        <v>3.3700433968087196E-2</v>
      </c>
      <c r="J732" s="288">
        <v>1</v>
      </c>
      <c r="K732" s="288">
        <v>0.76817810544833764</v>
      </c>
      <c r="L732" s="290">
        <v>7635.5019374947988</v>
      </c>
      <c r="M732" s="288">
        <v>0</v>
      </c>
      <c r="N732" s="288">
        <v>20012.318178060312</v>
      </c>
      <c r="O732" s="288">
        <v>1220.1287709297221</v>
      </c>
      <c r="P732" s="288">
        <v>35923.164937121393</v>
      </c>
      <c r="Q732" s="291">
        <v>87404.500912529547</v>
      </c>
      <c r="R732" s="288">
        <v>16461.697337116108</v>
      </c>
      <c r="S732" s="288">
        <v>9289.7931097530582</v>
      </c>
      <c r="T732" s="290">
        <v>0.751</v>
      </c>
      <c r="U732" s="288">
        <v>0.75800000000000001</v>
      </c>
      <c r="V732" s="288">
        <v>0.723923076923077</v>
      </c>
      <c r="W732" s="288">
        <v>0.72750000000000004</v>
      </c>
      <c r="X732" s="288">
        <v>0.76</v>
      </c>
      <c r="Y732" s="288">
        <v>0</v>
      </c>
      <c r="Z732" s="289">
        <v>0</v>
      </c>
      <c r="AA732" s="229"/>
      <c r="AB732" s="293">
        <v>83141.680137425385</v>
      </c>
      <c r="AC732" s="294">
        <v>3.2167044923057788</v>
      </c>
      <c r="AD732" s="295">
        <v>76952.188823538163</v>
      </c>
      <c r="AE732" s="294">
        <v>3.0921682912881523</v>
      </c>
      <c r="AF732" s="295">
        <v>6189.4913138872216</v>
      </c>
      <c r="AG732" s="296">
        <v>0.12453620101762652</v>
      </c>
      <c r="AH732" s="229"/>
      <c r="AI732" s="205">
        <f t="shared" si="80"/>
        <v>238528.76909315248</v>
      </c>
      <c r="AJ732" s="205">
        <f t="shared" si="81"/>
        <v>232264.64030527705</v>
      </c>
      <c r="AK732" s="205">
        <f t="shared" si="82"/>
        <v>6264.1287878754301</v>
      </c>
      <c r="AL732" s="229"/>
      <c r="AM732" s="52">
        <f t="shared" si="58"/>
        <v>1</v>
      </c>
      <c r="AN732" s="52">
        <f t="shared" si="59"/>
        <v>0</v>
      </c>
      <c r="AO732" s="52">
        <f t="shared" si="60"/>
        <v>1</v>
      </c>
      <c r="AP732" s="229"/>
      <c r="AQ732" s="28"/>
      <c r="AR732" s="28"/>
      <c r="AS732" s="28"/>
      <c r="AT732" s="28"/>
      <c r="AU732" s="229"/>
      <c r="AV732" s="318">
        <f t="shared" si="83"/>
        <v>238528.76909315248</v>
      </c>
      <c r="AW732" s="229"/>
      <c r="AX732" s="313"/>
      <c r="AY732" s="302"/>
      <c r="AZ732" s="14">
        <f t="shared" si="85"/>
        <v>6189.4913138872216</v>
      </c>
      <c r="BA732" s="14">
        <f t="shared" si="84"/>
        <v>0.12453620101762652</v>
      </c>
      <c r="BB732" s="14">
        <f t="shared" si="61"/>
        <v>49700.338241497964</v>
      </c>
      <c r="BC732" s="302"/>
      <c r="BD732" s="302"/>
      <c r="BE732" s="302"/>
      <c r="BF732" s="302"/>
      <c r="BG732" s="302"/>
      <c r="BH732" s="302"/>
      <c r="BI732" s="302"/>
      <c r="BJ732" s="302"/>
      <c r="BK732" s="302"/>
      <c r="BL732" s="302"/>
      <c r="BM732" s="302"/>
      <c r="BN732" s="302"/>
      <c r="BO732" s="302"/>
      <c r="BP732" s="302"/>
      <c r="BQ732" s="302"/>
      <c r="BR732" s="302"/>
      <c r="BS732" s="302"/>
      <c r="BT732" s="302"/>
      <c r="BU732" s="302"/>
      <c r="BV732" s="302"/>
      <c r="BW732" s="302"/>
      <c r="BX732" s="302"/>
      <c r="BY732" s="302"/>
      <c r="BZ732" s="302"/>
      <c r="CA732" s="302"/>
      <c r="CB732" s="28"/>
      <c r="CC732" s="28"/>
      <c r="CD732" s="28"/>
      <c r="CE732" s="28"/>
      <c r="CF732" s="28"/>
      <c r="CG732" s="28"/>
      <c r="CH732" s="28"/>
      <c r="CI732" s="28"/>
      <c r="CJ732" s="28"/>
      <c r="CK732" s="28"/>
      <c r="CL732" s="28"/>
      <c r="CM732" s="28"/>
      <c r="CN732" s="28"/>
      <c r="CO732" s="28"/>
      <c r="CP732" s="28"/>
      <c r="CQ732" s="28"/>
      <c r="CR732" s="28"/>
      <c r="CS732" s="28"/>
      <c r="CT732" s="28"/>
      <c r="CU732" s="28"/>
      <c r="CV732" s="28"/>
      <c r="CW732" s="28"/>
    </row>
    <row r="733" spans="1:101" ht="14.25" customHeight="1" x14ac:dyDescent="0.2">
      <c r="A733" s="286"/>
      <c r="B733" s="52">
        <v>0.20476915640822868</v>
      </c>
      <c r="C733" s="288">
        <v>0.50199342530700397</v>
      </c>
      <c r="D733" s="288">
        <v>1.214437269701398E-2</v>
      </c>
      <c r="E733" s="288">
        <v>1.6221669982258158E-2</v>
      </c>
      <c r="F733" s="289">
        <v>0.79755652777108199</v>
      </c>
      <c r="G733" s="92">
        <v>0.33298832643340237</v>
      </c>
      <c r="H733" s="288">
        <v>0.74932362616929771</v>
      </c>
      <c r="I733" s="288">
        <v>2.8964878254186477E-2</v>
      </c>
      <c r="J733" s="288">
        <v>0.99999840420897956</v>
      </c>
      <c r="K733" s="288">
        <v>0.80172445914634882</v>
      </c>
      <c r="L733" s="290">
        <v>18514.370755472228</v>
      </c>
      <c r="M733" s="288">
        <v>0</v>
      </c>
      <c r="N733" s="288">
        <v>12112.432710441582</v>
      </c>
      <c r="O733" s="288">
        <v>1556.162068706813</v>
      </c>
      <c r="P733" s="288">
        <v>48426.692598552625</v>
      </c>
      <c r="Q733" s="291">
        <v>84218.850333975133</v>
      </c>
      <c r="R733" s="288">
        <v>35093.775858622554</v>
      </c>
      <c r="S733" s="288">
        <v>8813.3972659243518</v>
      </c>
      <c r="T733" s="290">
        <v>0.751</v>
      </c>
      <c r="U733" s="288">
        <v>0.75800000000000001</v>
      </c>
      <c r="V733" s="288">
        <v>0.723923076923077</v>
      </c>
      <c r="W733" s="288">
        <v>0.72750000000000004</v>
      </c>
      <c r="X733" s="288">
        <v>0.76</v>
      </c>
      <c r="Y733" s="288">
        <v>0</v>
      </c>
      <c r="Z733" s="289">
        <v>0</v>
      </c>
      <c r="AA733" s="229"/>
      <c r="AB733" s="293">
        <v>92257.261574108721</v>
      </c>
      <c r="AC733" s="294">
        <v>3.2240635348860618</v>
      </c>
      <c r="AD733" s="295">
        <v>81045.211112785721</v>
      </c>
      <c r="AE733" s="294">
        <v>3.248399912801176</v>
      </c>
      <c r="AF733" s="295">
        <v>11212.050461323</v>
      </c>
      <c r="AG733" s="296">
        <v>-2.4336377915114227E-2</v>
      </c>
      <c r="AH733" s="229"/>
      <c r="AI733" s="205">
        <f t="shared" si="80"/>
        <v>230149.09191449743</v>
      </c>
      <c r="AJ733" s="205">
        <f t="shared" si="81"/>
        <v>243794.78016733186</v>
      </c>
      <c r="AK733" s="205">
        <f t="shared" si="82"/>
        <v>-13645.688252834423</v>
      </c>
      <c r="AL733" s="229"/>
      <c r="AM733" s="52">
        <f t="shared" si="58"/>
        <v>0</v>
      </c>
      <c r="AN733" s="52">
        <f t="shared" si="59"/>
        <v>1</v>
      </c>
      <c r="AO733" s="52">
        <f t="shared" si="60"/>
        <v>0</v>
      </c>
      <c r="AP733" s="229"/>
      <c r="AQ733" s="28"/>
      <c r="AR733" s="28"/>
      <c r="AS733" s="28"/>
      <c r="AT733" s="28"/>
      <c r="AU733" s="229"/>
      <c r="AV733" s="318">
        <f t="shared" si="83"/>
        <v>243794.78016733186</v>
      </c>
      <c r="AW733" s="229"/>
      <c r="AX733" s="313"/>
      <c r="AY733" s="302"/>
      <c r="AZ733" s="14">
        <f t="shared" si="85"/>
        <v>11212.050461323</v>
      </c>
      <c r="BA733" s="14">
        <f t="shared" si="84"/>
        <v>-2.4336377915114227E-2</v>
      </c>
      <c r="BB733" s="14">
        <f t="shared" si="61"/>
        <v>-460711.552903676</v>
      </c>
      <c r="BC733" s="302"/>
      <c r="BD733" s="302"/>
      <c r="BE733" s="302"/>
      <c r="BF733" s="302"/>
      <c r="BG733" s="302"/>
      <c r="BH733" s="302"/>
      <c r="BI733" s="302"/>
      <c r="BJ733" s="302"/>
      <c r="BK733" s="302"/>
      <c r="BL733" s="302"/>
      <c r="BM733" s="302"/>
      <c r="BN733" s="302"/>
      <c r="BO733" s="302"/>
      <c r="BP733" s="302"/>
      <c r="BQ733" s="302"/>
      <c r="BR733" s="302"/>
      <c r="BS733" s="302"/>
      <c r="BT733" s="302"/>
      <c r="BU733" s="302"/>
      <c r="BV733" s="302"/>
      <c r="BW733" s="302"/>
      <c r="BX733" s="302"/>
      <c r="BY733" s="302"/>
      <c r="BZ733" s="302"/>
      <c r="CA733" s="302"/>
      <c r="CB733" s="28"/>
      <c r="CC733" s="28"/>
      <c r="CD733" s="28"/>
      <c r="CE733" s="28"/>
      <c r="CF733" s="28"/>
      <c r="CG733" s="28"/>
      <c r="CH733" s="28"/>
      <c r="CI733" s="28"/>
      <c r="CJ733" s="28"/>
      <c r="CK733" s="28"/>
      <c r="CL733" s="28"/>
      <c r="CM733" s="28"/>
      <c r="CN733" s="28"/>
      <c r="CO733" s="28"/>
      <c r="CP733" s="28"/>
      <c r="CQ733" s="28"/>
      <c r="CR733" s="28"/>
      <c r="CS733" s="28"/>
      <c r="CT733" s="28"/>
      <c r="CU733" s="28"/>
      <c r="CV733" s="28"/>
      <c r="CW733" s="28"/>
    </row>
    <row r="734" spans="1:101" ht="14.25" customHeight="1" x14ac:dyDescent="0.2">
      <c r="A734" s="286"/>
      <c r="B734" s="52">
        <v>0.18953383574179028</v>
      </c>
      <c r="C734" s="288">
        <v>0.48843015469888473</v>
      </c>
      <c r="D734" s="288">
        <v>2.4738658221281296E-2</v>
      </c>
      <c r="E734" s="288">
        <v>1.6603858629737678E-2</v>
      </c>
      <c r="F734" s="289">
        <v>0.79068878390632547</v>
      </c>
      <c r="G734" s="92">
        <v>0.51797122374763627</v>
      </c>
      <c r="H734" s="288">
        <v>0.36757668940296262</v>
      </c>
      <c r="I734" s="288">
        <v>1.8050737367966141E-2</v>
      </c>
      <c r="J734" s="288">
        <v>0.99999495009193184</v>
      </c>
      <c r="K734" s="288">
        <v>0.79762688531086279</v>
      </c>
      <c r="L734" s="290">
        <v>11168.785467750045</v>
      </c>
      <c r="M734" s="288">
        <v>0</v>
      </c>
      <c r="N734" s="288">
        <v>25472.469830720689</v>
      </c>
      <c r="O734" s="288">
        <v>1243.2680648503572</v>
      </c>
      <c r="P734" s="288">
        <v>40816.290364024404</v>
      </c>
      <c r="Q734" s="291">
        <v>96949.30410383048</v>
      </c>
      <c r="R734" s="288">
        <v>17958.25501857356</v>
      </c>
      <c r="S734" s="288">
        <v>9401.4746681838169</v>
      </c>
      <c r="T734" s="290">
        <v>0.751</v>
      </c>
      <c r="U734" s="288">
        <v>0.75800000000000001</v>
      </c>
      <c r="V734" s="288">
        <v>0.723923076923077</v>
      </c>
      <c r="W734" s="288">
        <v>0.72750000000000004</v>
      </c>
      <c r="X734" s="288">
        <v>0.76</v>
      </c>
      <c r="Y734" s="288">
        <v>0</v>
      </c>
      <c r="Z734" s="289">
        <v>0</v>
      </c>
      <c r="AA734" s="229"/>
      <c r="AB734" s="293">
        <v>87136.66550290602</v>
      </c>
      <c r="AC734" s="294">
        <v>3.1920425139948891</v>
      </c>
      <c r="AD734" s="295">
        <v>80384.956971803447</v>
      </c>
      <c r="AE734" s="294">
        <v>3.229221645846077</v>
      </c>
      <c r="AF734" s="295">
        <v>6751.708531102573</v>
      </c>
      <c r="AG734" s="296">
        <v>-3.7179131851187819E-2</v>
      </c>
      <c r="AH734" s="229"/>
      <c r="AI734" s="205">
        <f t="shared" si="80"/>
        <v>232067.58589658287</v>
      </c>
      <c r="AJ734" s="205">
        <f t="shared" si="81"/>
        <v>242537.20761280425</v>
      </c>
      <c r="AK734" s="205">
        <f t="shared" si="82"/>
        <v>-10469.621716221354</v>
      </c>
      <c r="AL734" s="229"/>
      <c r="AM734" s="52">
        <f t="shared" si="58"/>
        <v>0</v>
      </c>
      <c r="AN734" s="52">
        <f t="shared" si="59"/>
        <v>1</v>
      </c>
      <c r="AO734" s="52">
        <f t="shared" si="60"/>
        <v>0</v>
      </c>
      <c r="AP734" s="229"/>
      <c r="AQ734" s="28"/>
      <c r="AR734" s="28"/>
      <c r="AS734" s="28"/>
      <c r="AT734" s="28"/>
      <c r="AU734" s="229"/>
      <c r="AV734" s="318">
        <f t="shared" si="83"/>
        <v>242537.20761280425</v>
      </c>
      <c r="AW734" s="229"/>
      <c r="AX734" s="313"/>
      <c r="AY734" s="302"/>
      <c r="AZ734" s="14">
        <f t="shared" si="85"/>
        <v>6751.708531102573</v>
      </c>
      <c r="BA734" s="14">
        <f t="shared" si="84"/>
        <v>-3.7179131851187819E-2</v>
      </c>
      <c r="BB734" s="14">
        <f t="shared" si="61"/>
        <v>-181599.41329794299</v>
      </c>
      <c r="BC734" s="302"/>
      <c r="BD734" s="302"/>
      <c r="BE734" s="302"/>
      <c r="BF734" s="302"/>
      <c r="BG734" s="302"/>
      <c r="BH734" s="302"/>
      <c r="BI734" s="302"/>
      <c r="BJ734" s="302"/>
      <c r="BK734" s="302"/>
      <c r="BL734" s="302"/>
      <c r="BM734" s="302"/>
      <c r="BN734" s="302"/>
      <c r="BO734" s="302"/>
      <c r="BP734" s="302"/>
      <c r="BQ734" s="302"/>
      <c r="BR734" s="302"/>
      <c r="BS734" s="302"/>
      <c r="BT734" s="302"/>
      <c r="BU734" s="302"/>
      <c r="BV734" s="302"/>
      <c r="BW734" s="302"/>
      <c r="BX734" s="302"/>
      <c r="BY734" s="302"/>
      <c r="BZ734" s="302"/>
      <c r="CA734" s="302"/>
      <c r="CB734" s="28"/>
      <c r="CC734" s="28"/>
      <c r="CD734" s="28"/>
      <c r="CE734" s="28"/>
      <c r="CF734" s="28"/>
      <c r="CG734" s="28"/>
      <c r="CH734" s="28"/>
      <c r="CI734" s="28"/>
      <c r="CJ734" s="28"/>
      <c r="CK734" s="28"/>
      <c r="CL734" s="28"/>
      <c r="CM734" s="28"/>
      <c r="CN734" s="28"/>
      <c r="CO734" s="28"/>
      <c r="CP734" s="28"/>
      <c r="CQ734" s="28"/>
      <c r="CR734" s="28"/>
      <c r="CS734" s="28"/>
      <c r="CT734" s="28"/>
      <c r="CU734" s="28"/>
      <c r="CV734" s="28"/>
      <c r="CW734" s="28"/>
    </row>
    <row r="735" spans="1:101" ht="14.25" customHeight="1" x14ac:dyDescent="0.2">
      <c r="A735" s="286"/>
      <c r="B735" s="52">
        <v>0.18184147481640756</v>
      </c>
      <c r="C735" s="288">
        <v>0.2037995442567706</v>
      </c>
      <c r="D735" s="288">
        <v>2.0084678750080687E-2</v>
      </c>
      <c r="E735" s="288">
        <v>9.6344337936551238E-3</v>
      </c>
      <c r="F735" s="289">
        <v>0.8001114153999711</v>
      </c>
      <c r="G735" s="92">
        <v>0.37772261717880934</v>
      </c>
      <c r="H735" s="288">
        <v>0.61662906911922022</v>
      </c>
      <c r="I735" s="288">
        <v>1.6693494945056453E-2</v>
      </c>
      <c r="J735" s="288">
        <v>0.99999999999858447</v>
      </c>
      <c r="K735" s="288">
        <v>0.78923344157260888</v>
      </c>
      <c r="L735" s="290">
        <v>13593.729770567015</v>
      </c>
      <c r="M735" s="288">
        <v>0</v>
      </c>
      <c r="N735" s="288">
        <v>21857.414305035611</v>
      </c>
      <c r="O735" s="288">
        <v>1068.2668009344752</v>
      </c>
      <c r="P735" s="288">
        <v>62231.001908497652</v>
      </c>
      <c r="Q735" s="291">
        <v>104264.38538821932</v>
      </c>
      <c r="R735" s="288">
        <v>24636.221592015732</v>
      </c>
      <c r="S735" s="288">
        <v>8777.3035956823787</v>
      </c>
      <c r="T735" s="290">
        <v>0.751</v>
      </c>
      <c r="U735" s="288">
        <v>0.75800000000000001</v>
      </c>
      <c r="V735" s="288">
        <v>0.723923076923077</v>
      </c>
      <c r="W735" s="288">
        <v>0.72750000000000004</v>
      </c>
      <c r="X735" s="288">
        <v>0.76</v>
      </c>
      <c r="Y735" s="288">
        <v>0</v>
      </c>
      <c r="Z735" s="289">
        <v>0</v>
      </c>
      <c r="AA735" s="229"/>
      <c r="AB735" s="293">
        <v>84626.717831306072</v>
      </c>
      <c r="AC735" s="294">
        <v>3.2359946397330503</v>
      </c>
      <c r="AD735" s="295">
        <v>76341.473753004044</v>
      </c>
      <c r="AE735" s="294">
        <v>3.1900196369915674</v>
      </c>
      <c r="AF735" s="295">
        <v>8285.2440783020284</v>
      </c>
      <c r="AG735" s="296">
        <v>4.5975002741482918E-2</v>
      </c>
      <c r="AH735" s="229"/>
      <c r="AI735" s="205">
        <f t="shared" si="80"/>
        <v>238972.74614199894</v>
      </c>
      <c r="AJ735" s="205">
        <f t="shared" si="81"/>
        <v>242660.48994615272</v>
      </c>
      <c r="AK735" s="205">
        <f t="shared" si="82"/>
        <v>-3687.7438041537362</v>
      </c>
      <c r="AL735" s="229"/>
      <c r="AM735" s="52">
        <f t="shared" si="58"/>
        <v>0</v>
      </c>
      <c r="AN735" s="52">
        <f t="shared" si="59"/>
        <v>1</v>
      </c>
      <c r="AO735" s="52">
        <f t="shared" si="60"/>
        <v>0</v>
      </c>
      <c r="AP735" s="229"/>
      <c r="AQ735" s="28"/>
      <c r="AR735" s="28"/>
      <c r="AS735" s="28"/>
      <c r="AT735" s="28"/>
      <c r="AU735" s="229"/>
      <c r="AV735" s="318">
        <f t="shared" si="83"/>
        <v>242660.48994615272</v>
      </c>
      <c r="AW735" s="229"/>
      <c r="AX735" s="313"/>
      <c r="AY735" s="302"/>
      <c r="AZ735" s="14">
        <f t="shared" si="85"/>
        <v>8285.2440783020284</v>
      </c>
      <c r="BA735" s="14">
        <f t="shared" si="84"/>
        <v>4.5975002741482918E-2</v>
      </c>
      <c r="BB735" s="14">
        <f t="shared" si="61"/>
        <v>180211.93222956161</v>
      </c>
      <c r="BC735" s="302"/>
      <c r="BD735" s="302"/>
      <c r="BE735" s="302"/>
      <c r="BF735" s="302"/>
      <c r="BG735" s="302"/>
      <c r="BH735" s="302"/>
      <c r="BI735" s="302"/>
      <c r="BJ735" s="302"/>
      <c r="BK735" s="302"/>
      <c r="BL735" s="302"/>
      <c r="BM735" s="302"/>
      <c r="BN735" s="302"/>
      <c r="BO735" s="302"/>
      <c r="BP735" s="302"/>
      <c r="BQ735" s="302"/>
      <c r="BR735" s="302"/>
      <c r="BS735" s="302"/>
      <c r="BT735" s="302"/>
      <c r="BU735" s="302"/>
      <c r="BV735" s="302"/>
      <c r="BW735" s="302"/>
      <c r="BX735" s="302"/>
      <c r="BY735" s="302"/>
      <c r="BZ735" s="302"/>
      <c r="CA735" s="302"/>
      <c r="CB735" s="28"/>
      <c r="CC735" s="28"/>
      <c r="CD735" s="28"/>
      <c r="CE735" s="28"/>
      <c r="CF735" s="28"/>
      <c r="CG735" s="28"/>
      <c r="CH735" s="28"/>
      <c r="CI735" s="28"/>
      <c r="CJ735" s="28"/>
      <c r="CK735" s="28"/>
      <c r="CL735" s="28"/>
      <c r="CM735" s="28"/>
      <c r="CN735" s="28"/>
      <c r="CO735" s="28"/>
      <c r="CP735" s="28"/>
      <c r="CQ735" s="28"/>
      <c r="CR735" s="28"/>
      <c r="CS735" s="28"/>
      <c r="CT735" s="28"/>
      <c r="CU735" s="28"/>
      <c r="CV735" s="28"/>
      <c r="CW735" s="28"/>
    </row>
    <row r="736" spans="1:101" ht="14.25" customHeight="1" x14ac:dyDescent="0.2">
      <c r="A736" s="286"/>
      <c r="B736" s="52">
        <v>0.16788652368826329</v>
      </c>
      <c r="C736" s="288">
        <v>0.48389685438570562</v>
      </c>
      <c r="D736" s="288">
        <v>1.9348046230511451E-2</v>
      </c>
      <c r="E736" s="288">
        <v>2.620300763676775E-2</v>
      </c>
      <c r="F736" s="289">
        <v>0.80485667412271322</v>
      </c>
      <c r="G736" s="92">
        <v>0.40258375406134261</v>
      </c>
      <c r="H736" s="288">
        <v>0.99875182343408198</v>
      </c>
      <c r="I736" s="288">
        <v>7.8515357953911086E-3</v>
      </c>
      <c r="J736" s="288">
        <v>0.99999999998043865</v>
      </c>
      <c r="K736" s="288">
        <v>0.73080539382062437</v>
      </c>
      <c r="L736" s="290">
        <v>13713.929236665703</v>
      </c>
      <c r="M736" s="288">
        <v>0</v>
      </c>
      <c r="N736" s="288">
        <v>15459.840817486413</v>
      </c>
      <c r="O736" s="288">
        <v>1456.2591636750892</v>
      </c>
      <c r="P736" s="288">
        <v>40060.23780742049</v>
      </c>
      <c r="Q736" s="291">
        <v>108658.67705826694</v>
      </c>
      <c r="R736" s="288">
        <v>24634.699017154562</v>
      </c>
      <c r="S736" s="288">
        <v>10667.950336401494</v>
      </c>
      <c r="T736" s="290">
        <v>0.751</v>
      </c>
      <c r="U736" s="288">
        <v>0.75800000000000001</v>
      </c>
      <c r="V736" s="288">
        <v>0.723923076923077</v>
      </c>
      <c r="W736" s="288">
        <v>0.72750000000000004</v>
      </c>
      <c r="X736" s="288">
        <v>0.76</v>
      </c>
      <c r="Y736" s="288">
        <v>0</v>
      </c>
      <c r="Z736" s="289">
        <v>0</v>
      </c>
      <c r="AA736" s="229"/>
      <c r="AB736" s="293">
        <v>101340.12992724126</v>
      </c>
      <c r="AC736" s="294">
        <v>3.2581817559203992</v>
      </c>
      <c r="AD736" s="295">
        <v>88710.392838236643</v>
      </c>
      <c r="AE736" s="294">
        <v>2.9202054840163663</v>
      </c>
      <c r="AF736" s="295">
        <v>12629.737089004615</v>
      </c>
      <c r="AG736" s="296">
        <v>0.3379762719040329</v>
      </c>
      <c r="AH736" s="229"/>
      <c r="AI736" s="205">
        <f t="shared" si="80"/>
        <v>224478.0456647987</v>
      </c>
      <c r="AJ736" s="205">
        <f t="shared" si="81"/>
        <v>203310.15556340001</v>
      </c>
      <c r="AK736" s="205">
        <f t="shared" si="82"/>
        <v>21167.890101398676</v>
      </c>
      <c r="AL736" s="229"/>
      <c r="AM736" s="52">
        <f t="shared" si="58"/>
        <v>1</v>
      </c>
      <c r="AN736" s="52">
        <f t="shared" si="59"/>
        <v>0</v>
      </c>
      <c r="AO736" s="52">
        <f t="shared" si="60"/>
        <v>1</v>
      </c>
      <c r="AP736" s="229"/>
      <c r="AQ736" s="28"/>
      <c r="AR736" s="28"/>
      <c r="AS736" s="28"/>
      <c r="AT736" s="28"/>
      <c r="AU736" s="229"/>
      <c r="AV736" s="318">
        <f t="shared" si="83"/>
        <v>224478.0456647987</v>
      </c>
      <c r="AW736" s="229"/>
      <c r="AX736" s="313"/>
      <c r="AY736" s="302"/>
      <c r="AZ736" s="14">
        <f t="shared" si="85"/>
        <v>12629.737089004615</v>
      </c>
      <c r="BA736" s="14">
        <f t="shared" si="84"/>
        <v>0.3379762719040329</v>
      </c>
      <c r="BB736" s="14">
        <f t="shared" si="61"/>
        <v>37368.709400377025</v>
      </c>
      <c r="BC736" s="302"/>
      <c r="BD736" s="302"/>
      <c r="BE736" s="302"/>
      <c r="BF736" s="302"/>
      <c r="BG736" s="302"/>
      <c r="BH736" s="302"/>
      <c r="BI736" s="302"/>
      <c r="BJ736" s="302"/>
      <c r="BK736" s="302"/>
      <c r="BL736" s="302"/>
      <c r="BM736" s="302"/>
      <c r="BN736" s="302"/>
      <c r="BO736" s="302"/>
      <c r="BP736" s="302"/>
      <c r="BQ736" s="302"/>
      <c r="BR736" s="302"/>
      <c r="BS736" s="302"/>
      <c r="BT736" s="302"/>
      <c r="BU736" s="302"/>
      <c r="BV736" s="302"/>
      <c r="BW736" s="302"/>
      <c r="BX736" s="302"/>
      <c r="BY736" s="302"/>
      <c r="BZ736" s="302"/>
      <c r="CA736" s="302"/>
      <c r="CB736" s="28"/>
      <c r="CC736" s="28"/>
      <c r="CD736" s="28"/>
      <c r="CE736" s="28"/>
      <c r="CF736" s="28"/>
      <c r="CG736" s="28"/>
      <c r="CH736" s="28"/>
      <c r="CI736" s="28"/>
      <c r="CJ736" s="28"/>
      <c r="CK736" s="28"/>
      <c r="CL736" s="28"/>
      <c r="CM736" s="28"/>
      <c r="CN736" s="28"/>
      <c r="CO736" s="28"/>
      <c r="CP736" s="28"/>
      <c r="CQ736" s="28"/>
      <c r="CR736" s="28"/>
      <c r="CS736" s="28"/>
      <c r="CT736" s="28"/>
      <c r="CU736" s="28"/>
      <c r="CV736" s="28"/>
      <c r="CW736" s="28"/>
    </row>
    <row r="737" spans="1:101" ht="14.25" customHeight="1" x14ac:dyDescent="0.2">
      <c r="A737" s="286"/>
      <c r="B737" s="52">
        <v>0.11722996188334697</v>
      </c>
      <c r="C737" s="288">
        <v>0.26398239902691262</v>
      </c>
      <c r="D737" s="288">
        <v>3.0589774628854594E-2</v>
      </c>
      <c r="E737" s="288">
        <v>9.1721772161800514E-3</v>
      </c>
      <c r="F737" s="289">
        <v>0.80849723761922532</v>
      </c>
      <c r="G737" s="92">
        <v>0.45280595169555282</v>
      </c>
      <c r="H737" s="288">
        <v>0.76495087135886264</v>
      </c>
      <c r="I737" s="288">
        <v>9.1209631213602666E-3</v>
      </c>
      <c r="J737" s="288">
        <v>0.99984707459539612</v>
      </c>
      <c r="K737" s="288">
        <v>0.75184541932766691</v>
      </c>
      <c r="L737" s="290">
        <v>13288.159105748176</v>
      </c>
      <c r="M737" s="288">
        <v>0</v>
      </c>
      <c r="N737" s="288">
        <v>14665.134475631492</v>
      </c>
      <c r="O737" s="288">
        <v>1474.8213441726657</v>
      </c>
      <c r="P737" s="288">
        <v>42385.999487066001</v>
      </c>
      <c r="Q737" s="291">
        <v>110870.64522556814</v>
      </c>
      <c r="R737" s="288">
        <v>25673.931743280882</v>
      </c>
      <c r="S737" s="288">
        <v>10882.769077944729</v>
      </c>
      <c r="T737" s="290">
        <v>0.751</v>
      </c>
      <c r="U737" s="288">
        <v>0.75800000000000001</v>
      </c>
      <c r="V737" s="288">
        <v>0.723923076923077</v>
      </c>
      <c r="W737" s="288">
        <v>0.72750000000000004</v>
      </c>
      <c r="X737" s="288">
        <v>0.76</v>
      </c>
      <c r="Y737" s="288">
        <v>0</v>
      </c>
      <c r="Z737" s="289">
        <v>0</v>
      </c>
      <c r="AA737" s="229"/>
      <c r="AB737" s="293">
        <v>101782.16677519603</v>
      </c>
      <c r="AC737" s="294">
        <v>3.2752276586166551</v>
      </c>
      <c r="AD737" s="295">
        <v>91789.739139034558</v>
      </c>
      <c r="AE737" s="294">
        <v>3.016745980840799</v>
      </c>
      <c r="AF737" s="295">
        <v>9992.4276361614757</v>
      </c>
      <c r="AG737" s="296">
        <v>0.25848167777585607</v>
      </c>
      <c r="AH737" s="229"/>
      <c r="AI737" s="205">
        <f t="shared" si="80"/>
        <v>225740.5990864695</v>
      </c>
      <c r="AJ737" s="205">
        <f t="shared" si="81"/>
        <v>209884.85894504536</v>
      </c>
      <c r="AK737" s="205">
        <f t="shared" si="82"/>
        <v>15855.740141424132</v>
      </c>
      <c r="AL737" s="229"/>
      <c r="AM737" s="52">
        <f t="shared" si="58"/>
        <v>1</v>
      </c>
      <c r="AN737" s="52">
        <f t="shared" si="59"/>
        <v>0</v>
      </c>
      <c r="AO737" s="52">
        <f t="shared" si="60"/>
        <v>1</v>
      </c>
      <c r="AP737" s="229"/>
      <c r="AQ737" s="28"/>
      <c r="AR737" s="28"/>
      <c r="AS737" s="28"/>
      <c r="AT737" s="28"/>
      <c r="AU737" s="229"/>
      <c r="AV737" s="318">
        <f t="shared" si="83"/>
        <v>225740.5990864695</v>
      </c>
      <c r="AW737" s="229"/>
      <c r="AX737" s="313"/>
      <c r="AY737" s="302"/>
      <c r="AZ737" s="14">
        <f t="shared" si="85"/>
        <v>9992.4276361614757</v>
      </c>
      <c r="BA737" s="14">
        <f t="shared" si="84"/>
        <v>0.25848167777585607</v>
      </c>
      <c r="BB737" s="14">
        <f t="shared" si="61"/>
        <v>38658.166111202932</v>
      </c>
      <c r="BC737" s="302"/>
      <c r="BD737" s="302"/>
      <c r="BE737" s="302"/>
      <c r="BF737" s="302"/>
      <c r="BG737" s="302"/>
      <c r="BH737" s="302"/>
      <c r="BI737" s="302"/>
      <c r="BJ737" s="302"/>
      <c r="BK737" s="302"/>
      <c r="BL737" s="302"/>
      <c r="BM737" s="302"/>
      <c r="BN737" s="302"/>
      <c r="BO737" s="302"/>
      <c r="BP737" s="302"/>
      <c r="BQ737" s="302"/>
      <c r="BR737" s="302"/>
      <c r="BS737" s="302"/>
      <c r="BT737" s="302"/>
      <c r="BU737" s="302"/>
      <c r="BV737" s="302"/>
      <c r="BW737" s="302"/>
      <c r="BX737" s="302"/>
      <c r="BY737" s="302"/>
      <c r="BZ737" s="302"/>
      <c r="CA737" s="302"/>
      <c r="CB737" s="28"/>
      <c r="CC737" s="28"/>
      <c r="CD737" s="28"/>
      <c r="CE737" s="28"/>
      <c r="CF737" s="28"/>
      <c r="CG737" s="28"/>
      <c r="CH737" s="28"/>
      <c r="CI737" s="28"/>
      <c r="CJ737" s="28"/>
      <c r="CK737" s="28"/>
      <c r="CL737" s="28"/>
      <c r="CM737" s="28"/>
      <c r="CN737" s="28"/>
      <c r="CO737" s="28"/>
      <c r="CP737" s="28"/>
      <c r="CQ737" s="28"/>
      <c r="CR737" s="28"/>
      <c r="CS737" s="28"/>
      <c r="CT737" s="28"/>
      <c r="CU737" s="28"/>
      <c r="CV737" s="28"/>
      <c r="CW737" s="28"/>
    </row>
    <row r="738" spans="1:101" ht="14.25" customHeight="1" x14ac:dyDescent="0.2">
      <c r="A738" s="286"/>
      <c r="B738" s="52">
        <v>0.17660888423414078</v>
      </c>
      <c r="C738" s="288">
        <v>2.0143399112327501E-2</v>
      </c>
      <c r="D738" s="288">
        <v>1.2171636759837972E-2</v>
      </c>
      <c r="E738" s="288">
        <v>1.7312205448727802E-2</v>
      </c>
      <c r="F738" s="289">
        <v>0.81992838222034858</v>
      </c>
      <c r="G738" s="92">
        <v>0.41911422429148293</v>
      </c>
      <c r="H738" s="288">
        <v>7.5832113122537058E-3</v>
      </c>
      <c r="I738" s="288">
        <v>1.2362160065835051E-2</v>
      </c>
      <c r="J738" s="288">
        <v>0.9999999952614409</v>
      </c>
      <c r="K738" s="288">
        <v>0.77156777044566982</v>
      </c>
      <c r="L738" s="290">
        <v>11844.987784458774</v>
      </c>
      <c r="M738" s="288">
        <v>0</v>
      </c>
      <c r="N738" s="288">
        <v>16778.136044719889</v>
      </c>
      <c r="O738" s="288">
        <v>1391.444998751922</v>
      </c>
      <c r="P738" s="288">
        <v>46408.672867214074</v>
      </c>
      <c r="Q738" s="291">
        <v>90576.161746617203</v>
      </c>
      <c r="R738" s="288">
        <v>23102.99498789632</v>
      </c>
      <c r="S738" s="288">
        <v>10643.815347333639</v>
      </c>
      <c r="T738" s="290">
        <v>0.751</v>
      </c>
      <c r="U738" s="288">
        <v>0.75800000000000001</v>
      </c>
      <c r="V738" s="288">
        <v>0.723923076923077</v>
      </c>
      <c r="W738" s="288">
        <v>0.72750000000000004</v>
      </c>
      <c r="X738" s="288">
        <v>0.76</v>
      </c>
      <c r="Y738" s="288">
        <v>0</v>
      </c>
      <c r="Z738" s="289">
        <v>0</v>
      </c>
      <c r="AA738" s="229"/>
      <c r="AB738" s="293">
        <v>98788.867876783683</v>
      </c>
      <c r="AC738" s="294">
        <v>3.3288858566056643</v>
      </c>
      <c r="AD738" s="295">
        <v>83345.33668056922</v>
      </c>
      <c r="AE738" s="294">
        <v>3.1078740299611933</v>
      </c>
      <c r="AF738" s="295">
        <v>15443.531196214462</v>
      </c>
      <c r="AG738" s="296">
        <v>0.22101182664447094</v>
      </c>
      <c r="AH738" s="229"/>
      <c r="AI738" s="205">
        <f t="shared" si="80"/>
        <v>234099.71778378272</v>
      </c>
      <c r="AJ738" s="205">
        <f t="shared" si="81"/>
        <v>227442.06631555012</v>
      </c>
      <c r="AK738" s="205">
        <f t="shared" si="82"/>
        <v>6657.6514682326306</v>
      </c>
      <c r="AL738" s="229"/>
      <c r="AM738" s="52">
        <f t="shared" si="58"/>
        <v>1</v>
      </c>
      <c r="AN738" s="52">
        <f t="shared" si="59"/>
        <v>0</v>
      </c>
      <c r="AO738" s="52">
        <f t="shared" si="60"/>
        <v>1</v>
      </c>
      <c r="AP738" s="229"/>
      <c r="AQ738" s="28"/>
      <c r="AR738" s="28"/>
      <c r="AS738" s="28"/>
      <c r="AT738" s="28"/>
      <c r="AU738" s="229"/>
      <c r="AV738" s="318">
        <f t="shared" si="83"/>
        <v>234099.71778378272</v>
      </c>
      <c r="AW738" s="229"/>
      <c r="AX738" s="313"/>
      <c r="AY738" s="302"/>
      <c r="AZ738" s="14">
        <f t="shared" si="85"/>
        <v>15443.531196214462</v>
      </c>
      <c r="BA738" s="14">
        <f t="shared" si="84"/>
        <v>0.22101182664447094</v>
      </c>
      <c r="BB738" s="14">
        <f t="shared" si="61"/>
        <v>69876.492270513583</v>
      </c>
      <c r="BC738" s="302"/>
      <c r="BD738" s="302"/>
      <c r="BE738" s="302"/>
      <c r="BF738" s="302"/>
      <c r="BG738" s="302"/>
      <c r="BH738" s="302"/>
      <c r="BI738" s="302"/>
      <c r="BJ738" s="302"/>
      <c r="BK738" s="302"/>
      <c r="BL738" s="302"/>
      <c r="BM738" s="302"/>
      <c r="BN738" s="302"/>
      <c r="BO738" s="302"/>
      <c r="BP738" s="302"/>
      <c r="BQ738" s="302"/>
      <c r="BR738" s="302"/>
      <c r="BS738" s="302"/>
      <c r="BT738" s="302"/>
      <c r="BU738" s="302"/>
      <c r="BV738" s="302"/>
      <c r="BW738" s="302"/>
      <c r="BX738" s="302"/>
      <c r="BY738" s="302"/>
      <c r="BZ738" s="302"/>
      <c r="CA738" s="302"/>
      <c r="CB738" s="28"/>
      <c r="CC738" s="28"/>
      <c r="CD738" s="28"/>
      <c r="CE738" s="28"/>
      <c r="CF738" s="28"/>
      <c r="CG738" s="28"/>
      <c r="CH738" s="28"/>
      <c r="CI738" s="28"/>
      <c r="CJ738" s="28"/>
      <c r="CK738" s="28"/>
      <c r="CL738" s="28"/>
      <c r="CM738" s="28"/>
      <c r="CN738" s="28"/>
      <c r="CO738" s="28"/>
      <c r="CP738" s="28"/>
      <c r="CQ738" s="28"/>
      <c r="CR738" s="28"/>
      <c r="CS738" s="28"/>
      <c r="CT738" s="28"/>
      <c r="CU738" s="28"/>
      <c r="CV738" s="28"/>
      <c r="CW738" s="28"/>
    </row>
    <row r="739" spans="1:101" ht="14.25" customHeight="1" x14ac:dyDescent="0.2">
      <c r="A739" s="286"/>
      <c r="B739" s="52">
        <v>0.13932678179414323</v>
      </c>
      <c r="C739" s="288">
        <v>0.31310995891738613</v>
      </c>
      <c r="D739" s="288">
        <v>3.5267240716235992E-2</v>
      </c>
      <c r="E739" s="288">
        <v>1.4515167163846598E-2</v>
      </c>
      <c r="F739" s="289">
        <v>0.79193148273927305</v>
      </c>
      <c r="G739" s="92">
        <v>0.33055637349224665</v>
      </c>
      <c r="H739" s="288">
        <v>0.66145431179470382</v>
      </c>
      <c r="I739" s="288">
        <v>4.5556289607699887E-3</v>
      </c>
      <c r="J739" s="288">
        <v>0.83450491522260173</v>
      </c>
      <c r="K739" s="288">
        <v>0.79779759870388101</v>
      </c>
      <c r="L739" s="290">
        <v>11317.07706429923</v>
      </c>
      <c r="M739" s="288">
        <v>0</v>
      </c>
      <c r="N739" s="288">
        <v>20753.784841809349</v>
      </c>
      <c r="O739" s="288">
        <v>1215.7120420057538</v>
      </c>
      <c r="P739" s="288">
        <v>28474.013298240599</v>
      </c>
      <c r="Q739" s="291">
        <v>107660.40822897822</v>
      </c>
      <c r="R739" s="288">
        <v>16542.937245979036</v>
      </c>
      <c r="S739" s="288">
        <v>9437.9773142534614</v>
      </c>
      <c r="T739" s="290">
        <v>0.751</v>
      </c>
      <c r="U739" s="288">
        <v>0.75800000000000001</v>
      </c>
      <c r="V739" s="288">
        <v>0.723923076923077</v>
      </c>
      <c r="W739" s="288">
        <v>0.72750000000000004</v>
      </c>
      <c r="X739" s="288">
        <v>0.76</v>
      </c>
      <c r="Y739" s="288">
        <v>0</v>
      </c>
      <c r="Z739" s="289">
        <v>0</v>
      </c>
      <c r="AA739" s="229"/>
      <c r="AB739" s="293">
        <v>86752.630507988186</v>
      </c>
      <c r="AC739" s="294">
        <v>3.1978311450885339</v>
      </c>
      <c r="AD739" s="295">
        <v>79315.950610302083</v>
      </c>
      <c r="AE739" s="294">
        <v>3.2300201237429667</v>
      </c>
      <c r="AF739" s="295">
        <v>7436.6798976861028</v>
      </c>
      <c r="AG739" s="296">
        <v>-3.2188978654432709E-2</v>
      </c>
      <c r="AH739" s="229"/>
      <c r="AI739" s="205">
        <f t="shared" si="80"/>
        <v>233030.48400086522</v>
      </c>
      <c r="AJ739" s="205">
        <f t="shared" si="81"/>
        <v>243686.06176399457</v>
      </c>
      <c r="AK739" s="205">
        <f t="shared" si="82"/>
        <v>-10655.577763129373</v>
      </c>
      <c r="AL739" s="229"/>
      <c r="AM739" s="52">
        <f t="shared" si="58"/>
        <v>0</v>
      </c>
      <c r="AN739" s="52">
        <f t="shared" si="59"/>
        <v>1</v>
      </c>
      <c r="AO739" s="52">
        <f t="shared" si="60"/>
        <v>0</v>
      </c>
      <c r="AP739" s="229"/>
      <c r="AQ739" s="28"/>
      <c r="AR739" s="28"/>
      <c r="AS739" s="28"/>
      <c r="AT739" s="28"/>
      <c r="AU739" s="229"/>
      <c r="AV739" s="318">
        <f t="shared" si="83"/>
        <v>243686.06176399457</v>
      </c>
      <c r="AW739" s="229"/>
      <c r="AX739" s="313"/>
      <c r="AY739" s="302"/>
      <c r="AZ739" s="14">
        <f t="shared" si="85"/>
        <v>7436.6798976861028</v>
      </c>
      <c r="BA739" s="14">
        <f t="shared" si="84"/>
        <v>-3.2188978654432709E-2</v>
      </c>
      <c r="BB739" s="14">
        <f t="shared" si="61"/>
        <v>-231031.86893635738</v>
      </c>
      <c r="BC739" s="302"/>
      <c r="BD739" s="302"/>
      <c r="BE739" s="302"/>
      <c r="BF739" s="302"/>
      <c r="BG739" s="302"/>
      <c r="BH739" s="302"/>
      <c r="BI739" s="302"/>
      <c r="BJ739" s="302"/>
      <c r="BK739" s="302"/>
      <c r="BL739" s="302"/>
      <c r="BM739" s="302"/>
      <c r="BN739" s="302"/>
      <c r="BO739" s="302"/>
      <c r="BP739" s="302"/>
      <c r="BQ739" s="302"/>
      <c r="BR739" s="302"/>
      <c r="BS739" s="302"/>
      <c r="BT739" s="302"/>
      <c r="BU739" s="302"/>
      <c r="BV739" s="302"/>
      <c r="BW739" s="302"/>
      <c r="BX739" s="302"/>
      <c r="BY739" s="302"/>
      <c r="BZ739" s="302"/>
      <c r="CA739" s="302"/>
      <c r="CB739" s="28"/>
      <c r="CC739" s="28"/>
      <c r="CD739" s="28"/>
      <c r="CE739" s="28"/>
      <c r="CF739" s="28"/>
      <c r="CG739" s="28"/>
      <c r="CH739" s="28"/>
      <c r="CI739" s="28"/>
      <c r="CJ739" s="28"/>
      <c r="CK739" s="28"/>
      <c r="CL739" s="28"/>
      <c r="CM739" s="28"/>
      <c r="CN739" s="28"/>
      <c r="CO739" s="28"/>
      <c r="CP739" s="28"/>
      <c r="CQ739" s="28"/>
      <c r="CR739" s="28"/>
      <c r="CS739" s="28"/>
      <c r="CT739" s="28"/>
      <c r="CU739" s="28"/>
      <c r="CV739" s="28"/>
      <c r="CW739" s="28"/>
    </row>
    <row r="740" spans="1:101" ht="14.25" customHeight="1" x14ac:dyDescent="0.2">
      <c r="A740" s="286"/>
      <c r="B740" s="52">
        <v>0.17159080086900447</v>
      </c>
      <c r="C740" s="288">
        <v>0.14349423437159195</v>
      </c>
      <c r="D740" s="288">
        <v>2.233233435449089E-2</v>
      </c>
      <c r="E740" s="288">
        <v>2.8692381450197368E-2</v>
      </c>
      <c r="F740" s="289">
        <v>0.74342031516686435</v>
      </c>
      <c r="G740" s="92">
        <v>0.4176879010805773</v>
      </c>
      <c r="H740" s="288">
        <v>0.70966119157583907</v>
      </c>
      <c r="I740" s="288">
        <v>1.0624494950407541E-2</v>
      </c>
      <c r="J740" s="288">
        <v>0.99999973515249541</v>
      </c>
      <c r="K740" s="288">
        <v>0.74200101621211334</v>
      </c>
      <c r="L740" s="290">
        <v>13047.669835033344</v>
      </c>
      <c r="M740" s="288">
        <v>0</v>
      </c>
      <c r="N740" s="288">
        <v>16473.12384678084</v>
      </c>
      <c r="O740" s="288">
        <v>1004.7557814496721</v>
      </c>
      <c r="P740" s="288">
        <v>46648.245403749133</v>
      </c>
      <c r="Q740" s="291">
        <v>87430.454178241765</v>
      </c>
      <c r="R740" s="288">
        <v>16748.795210544617</v>
      </c>
      <c r="S740" s="288">
        <v>8193.6017537924399</v>
      </c>
      <c r="T740" s="290">
        <v>0.751</v>
      </c>
      <c r="U740" s="288">
        <v>0.75800000000000001</v>
      </c>
      <c r="V740" s="288">
        <v>0.723923076923077</v>
      </c>
      <c r="W740" s="288">
        <v>0.72750000000000004</v>
      </c>
      <c r="X740" s="288">
        <v>0.76</v>
      </c>
      <c r="Y740" s="288">
        <v>0</v>
      </c>
      <c r="Z740" s="289">
        <v>0</v>
      </c>
      <c r="AA740" s="229"/>
      <c r="AB740" s="293">
        <v>74292.139797472511</v>
      </c>
      <c r="AC740" s="294">
        <v>2.9736589874758907</v>
      </c>
      <c r="AD740" s="295">
        <v>66633.936105231725</v>
      </c>
      <c r="AE740" s="294">
        <v>2.971488851359668</v>
      </c>
      <c r="AF740" s="295">
        <v>7658.203692240786</v>
      </c>
      <c r="AG740" s="296">
        <v>2.1701361162227428E-3</v>
      </c>
      <c r="AH740" s="229"/>
      <c r="AI740" s="205">
        <f t="shared" si="80"/>
        <v>223073.75895011658</v>
      </c>
      <c r="AJ740" s="205">
        <f t="shared" si="81"/>
        <v>230514.94903073509</v>
      </c>
      <c r="AK740" s="205">
        <f t="shared" si="82"/>
        <v>-7441.1900806185122</v>
      </c>
      <c r="AL740" s="229"/>
      <c r="AM740" s="52">
        <f t="shared" si="58"/>
        <v>0</v>
      </c>
      <c r="AN740" s="52">
        <f t="shared" si="59"/>
        <v>1</v>
      </c>
      <c r="AO740" s="52">
        <f t="shared" si="60"/>
        <v>0</v>
      </c>
      <c r="AP740" s="229"/>
      <c r="AQ740" s="28"/>
      <c r="AR740" s="28"/>
      <c r="AS740" s="28"/>
      <c r="AT740" s="28"/>
      <c r="AU740" s="229"/>
      <c r="AV740" s="318">
        <f t="shared" si="83"/>
        <v>230514.94903073509</v>
      </c>
      <c r="AW740" s="229"/>
      <c r="AX740" s="313"/>
      <c r="AY740" s="302"/>
      <c r="AZ740" s="14">
        <f t="shared" si="85"/>
        <v>7658.203692240786</v>
      </c>
      <c r="BA740" s="14">
        <f t="shared" si="84"/>
        <v>2.1701361162227428E-3</v>
      </c>
      <c r="BB740" s="14">
        <f t="shared" si="61"/>
        <v>3528904.770070537</v>
      </c>
      <c r="BC740" s="302"/>
      <c r="BD740" s="302"/>
      <c r="BE740" s="302"/>
      <c r="BF740" s="302"/>
      <c r="BG740" s="302"/>
      <c r="BH740" s="302"/>
      <c r="BI740" s="302"/>
      <c r="BJ740" s="302"/>
      <c r="BK740" s="302"/>
      <c r="BL740" s="302"/>
      <c r="BM740" s="302"/>
      <c r="BN740" s="302"/>
      <c r="BO740" s="302"/>
      <c r="BP740" s="302"/>
      <c r="BQ740" s="302"/>
      <c r="BR740" s="302"/>
      <c r="BS740" s="302"/>
      <c r="BT740" s="302"/>
      <c r="BU740" s="302"/>
      <c r="BV740" s="302"/>
      <c r="BW740" s="302"/>
      <c r="BX740" s="302"/>
      <c r="BY740" s="302"/>
      <c r="BZ740" s="302"/>
      <c r="CA740" s="302"/>
      <c r="CB740" s="28"/>
      <c r="CC740" s="28"/>
      <c r="CD740" s="28"/>
      <c r="CE740" s="28"/>
      <c r="CF740" s="28"/>
      <c r="CG740" s="28"/>
      <c r="CH740" s="28"/>
      <c r="CI740" s="28"/>
      <c r="CJ740" s="28"/>
      <c r="CK740" s="28"/>
      <c r="CL740" s="28"/>
      <c r="CM740" s="28"/>
      <c r="CN740" s="28"/>
      <c r="CO740" s="28"/>
      <c r="CP740" s="28"/>
      <c r="CQ740" s="28"/>
      <c r="CR740" s="28"/>
      <c r="CS740" s="28"/>
      <c r="CT740" s="28"/>
      <c r="CU740" s="28"/>
      <c r="CV740" s="28"/>
      <c r="CW740" s="28"/>
    </row>
    <row r="741" spans="1:101" ht="14.25" customHeight="1" x14ac:dyDescent="0.2">
      <c r="A741" s="286"/>
      <c r="B741" s="52">
        <v>0.14118377251105887</v>
      </c>
      <c r="C741" s="288">
        <v>0.59782933012002215</v>
      </c>
      <c r="D741" s="288">
        <v>2.4640826565870633E-2</v>
      </c>
      <c r="E741" s="288">
        <v>1.6918954943619613E-2</v>
      </c>
      <c r="F741" s="289">
        <v>0.80640005299495099</v>
      </c>
      <c r="G741" s="92">
        <v>0.41458600052685146</v>
      </c>
      <c r="H741" s="288">
        <v>0.73712720118521968</v>
      </c>
      <c r="I741" s="288">
        <v>4.3385823383860322E-2</v>
      </c>
      <c r="J741" s="288">
        <v>1.0100111185243722E-2</v>
      </c>
      <c r="K741" s="288">
        <v>0.7641576887539997</v>
      </c>
      <c r="L741" s="290">
        <v>12870.308793709153</v>
      </c>
      <c r="M741" s="288">
        <v>0</v>
      </c>
      <c r="N741" s="288">
        <v>16405.136359818793</v>
      </c>
      <c r="O741" s="288">
        <v>1666.181417243974</v>
      </c>
      <c r="P741" s="288">
        <v>31508.740812014279</v>
      </c>
      <c r="Q741" s="291">
        <v>90111.16673714215</v>
      </c>
      <c r="R741" s="288">
        <v>24040.893690850673</v>
      </c>
      <c r="S741" s="288">
        <v>9284.0510671027823</v>
      </c>
      <c r="T741" s="290">
        <v>0.751</v>
      </c>
      <c r="U741" s="288">
        <v>0.75800000000000001</v>
      </c>
      <c r="V741" s="288">
        <v>0.723923076923077</v>
      </c>
      <c r="W741" s="288">
        <v>0.72750000000000004</v>
      </c>
      <c r="X741" s="288">
        <v>0.76</v>
      </c>
      <c r="Y741" s="288">
        <v>0</v>
      </c>
      <c r="Z741" s="289">
        <v>0</v>
      </c>
      <c r="AA741" s="229"/>
      <c r="AB741" s="293">
        <v>89586.034778643443</v>
      </c>
      <c r="AC741" s="294">
        <v>3.2654056499192388</v>
      </c>
      <c r="AD741" s="295">
        <v>80349.962278381296</v>
      </c>
      <c r="AE741" s="294">
        <v>3.0735634951477939</v>
      </c>
      <c r="AF741" s="295">
        <v>9236.0725002621475</v>
      </c>
      <c r="AG741" s="296">
        <v>0.19184215477144484</v>
      </c>
      <c r="AH741" s="229"/>
      <c r="AI741" s="205">
        <f t="shared" si="80"/>
        <v>236954.53021328041</v>
      </c>
      <c r="AJ741" s="205">
        <f t="shared" si="81"/>
        <v>227006.38723639812</v>
      </c>
      <c r="AK741" s="205">
        <f t="shared" si="82"/>
        <v>9948.1429768823364</v>
      </c>
      <c r="AL741" s="229"/>
      <c r="AM741" s="52">
        <f t="shared" si="58"/>
        <v>1</v>
      </c>
      <c r="AN741" s="52">
        <f t="shared" si="59"/>
        <v>0</v>
      </c>
      <c r="AO741" s="52">
        <f t="shared" si="60"/>
        <v>1</v>
      </c>
      <c r="AP741" s="229"/>
      <c r="AQ741" s="28"/>
      <c r="AR741" s="28"/>
      <c r="AS741" s="28"/>
      <c r="AT741" s="28"/>
      <c r="AU741" s="229"/>
      <c r="AV741" s="318">
        <f t="shared" si="83"/>
        <v>236954.53021328041</v>
      </c>
      <c r="AW741" s="229"/>
      <c r="AX741" s="313"/>
      <c r="AY741" s="302"/>
      <c r="AZ741" s="14">
        <f t="shared" si="85"/>
        <v>9236.0725002621475</v>
      </c>
      <c r="BA741" s="14">
        <f t="shared" si="84"/>
        <v>0.19184215477144484</v>
      </c>
      <c r="BB741" s="14">
        <f t="shared" si="61"/>
        <v>48144.124065254247</v>
      </c>
      <c r="BC741" s="302"/>
      <c r="BD741" s="302"/>
      <c r="BE741" s="302"/>
      <c r="BF741" s="302"/>
      <c r="BG741" s="302"/>
      <c r="BH741" s="302"/>
      <c r="BI741" s="302"/>
      <c r="BJ741" s="302"/>
      <c r="BK741" s="302"/>
      <c r="BL741" s="302"/>
      <c r="BM741" s="302"/>
      <c r="BN741" s="302"/>
      <c r="BO741" s="302"/>
      <c r="BP741" s="302"/>
      <c r="BQ741" s="302"/>
      <c r="BR741" s="302"/>
      <c r="BS741" s="302"/>
      <c r="BT741" s="302"/>
      <c r="BU741" s="302"/>
      <c r="BV741" s="302"/>
      <c r="BW741" s="302"/>
      <c r="BX741" s="302"/>
      <c r="BY741" s="302"/>
      <c r="BZ741" s="302"/>
      <c r="CA741" s="302"/>
      <c r="CB741" s="28"/>
      <c r="CC741" s="28"/>
      <c r="CD741" s="28"/>
      <c r="CE741" s="28"/>
      <c r="CF741" s="28"/>
      <c r="CG741" s="28"/>
      <c r="CH741" s="28"/>
      <c r="CI741" s="28"/>
      <c r="CJ741" s="28"/>
      <c r="CK741" s="28"/>
      <c r="CL741" s="28"/>
      <c r="CM741" s="28"/>
      <c r="CN741" s="28"/>
      <c r="CO741" s="28"/>
      <c r="CP741" s="28"/>
      <c r="CQ741" s="28"/>
      <c r="CR741" s="28"/>
      <c r="CS741" s="28"/>
      <c r="CT741" s="28"/>
      <c r="CU741" s="28"/>
      <c r="CV741" s="28"/>
      <c r="CW741" s="28"/>
    </row>
    <row r="742" spans="1:101" ht="14.25" customHeight="1" x14ac:dyDescent="0.2">
      <c r="A742" s="286"/>
      <c r="B742" s="52">
        <v>0.15282311589301009</v>
      </c>
      <c r="C742" s="288">
        <v>0.33677465706731979</v>
      </c>
      <c r="D742" s="288">
        <v>1.7389254428324952E-2</v>
      </c>
      <c r="E742" s="288">
        <v>9.8370221220301698E-3</v>
      </c>
      <c r="F742" s="289">
        <v>0.77864326462243572</v>
      </c>
      <c r="G742" s="92">
        <v>0.37476359674578508</v>
      </c>
      <c r="H742" s="288">
        <v>0.32380338598338376</v>
      </c>
      <c r="I742" s="288">
        <v>1.5482404370104419E-2</v>
      </c>
      <c r="J742" s="288">
        <v>0.99999909887615379</v>
      </c>
      <c r="K742" s="288">
        <v>0.75854800919123178</v>
      </c>
      <c r="L742" s="290">
        <v>9810.3258212477558</v>
      </c>
      <c r="M742" s="288">
        <v>0</v>
      </c>
      <c r="N742" s="288">
        <v>22140.450436981886</v>
      </c>
      <c r="O742" s="288">
        <v>1232.0991639613678</v>
      </c>
      <c r="P742" s="288">
        <v>45287.248311390591</v>
      </c>
      <c r="Q742" s="291">
        <v>84284.575602824043</v>
      </c>
      <c r="R742" s="288">
        <v>25543.462021507894</v>
      </c>
      <c r="S742" s="288">
        <v>6876.016153501896</v>
      </c>
      <c r="T742" s="290">
        <v>0.751</v>
      </c>
      <c r="U742" s="288">
        <v>0.75800000000000001</v>
      </c>
      <c r="V742" s="288">
        <v>0.723923076923077</v>
      </c>
      <c r="W742" s="288">
        <v>0.72750000000000004</v>
      </c>
      <c r="X742" s="288">
        <v>0.76</v>
      </c>
      <c r="Y742" s="288">
        <v>0</v>
      </c>
      <c r="Z742" s="289">
        <v>0</v>
      </c>
      <c r="AA742" s="229"/>
      <c r="AB742" s="293">
        <v>64555.488168065713</v>
      </c>
      <c r="AC742" s="294">
        <v>3.1360586586169021</v>
      </c>
      <c r="AD742" s="295">
        <v>56453.098301768056</v>
      </c>
      <c r="AE742" s="294">
        <v>3.0476468353185409</v>
      </c>
      <c r="AF742" s="295">
        <v>8102.3898662976571</v>
      </c>
      <c r="AG742" s="296">
        <v>8.8411823298361281E-2</v>
      </c>
      <c r="AH742" s="229"/>
      <c r="AI742" s="205">
        <f t="shared" si="80"/>
        <v>249050.37769362447</v>
      </c>
      <c r="AJ742" s="205">
        <f t="shared" si="81"/>
        <v>248311.585230086</v>
      </c>
      <c r="AK742" s="205">
        <f t="shared" si="82"/>
        <v>738.79246353847157</v>
      </c>
      <c r="AL742" s="229"/>
      <c r="AM742" s="52">
        <f t="shared" si="58"/>
        <v>1</v>
      </c>
      <c r="AN742" s="52">
        <f t="shared" si="59"/>
        <v>0</v>
      </c>
      <c r="AO742" s="52">
        <f t="shared" si="60"/>
        <v>1</v>
      </c>
      <c r="AP742" s="229"/>
      <c r="AQ742" s="28"/>
      <c r="AR742" s="28"/>
      <c r="AS742" s="28"/>
      <c r="AT742" s="28"/>
      <c r="AU742" s="229"/>
      <c r="AV742" s="318">
        <f t="shared" si="83"/>
        <v>249050.37769362447</v>
      </c>
      <c r="AW742" s="229"/>
      <c r="AX742" s="313"/>
      <c r="AY742" s="302"/>
      <c r="AZ742" s="14">
        <f t="shared" si="85"/>
        <v>8102.3898662976571</v>
      </c>
      <c r="BA742" s="14">
        <f t="shared" si="84"/>
        <v>8.8411823298361281E-2</v>
      </c>
      <c r="BB742" s="14">
        <f t="shared" si="61"/>
        <v>91643.73682188087</v>
      </c>
      <c r="BC742" s="302"/>
      <c r="BD742" s="302"/>
      <c r="BE742" s="302"/>
      <c r="BF742" s="302"/>
      <c r="BG742" s="302"/>
      <c r="BH742" s="302"/>
      <c r="BI742" s="302"/>
      <c r="BJ742" s="302"/>
      <c r="BK742" s="302"/>
      <c r="BL742" s="302"/>
      <c r="BM742" s="302"/>
      <c r="BN742" s="302"/>
      <c r="BO742" s="302"/>
      <c r="BP742" s="302"/>
      <c r="BQ742" s="302"/>
      <c r="BR742" s="302"/>
      <c r="BS742" s="302"/>
      <c r="BT742" s="302"/>
      <c r="BU742" s="302"/>
      <c r="BV742" s="302"/>
      <c r="BW742" s="302"/>
      <c r="BX742" s="302"/>
      <c r="BY742" s="302"/>
      <c r="BZ742" s="302"/>
      <c r="CA742" s="302"/>
      <c r="CB742" s="28"/>
      <c r="CC742" s="28"/>
      <c r="CD742" s="28"/>
      <c r="CE742" s="28"/>
      <c r="CF742" s="28"/>
      <c r="CG742" s="28"/>
      <c r="CH742" s="28"/>
      <c r="CI742" s="28"/>
      <c r="CJ742" s="28"/>
      <c r="CK742" s="28"/>
      <c r="CL742" s="28"/>
      <c r="CM742" s="28"/>
      <c r="CN742" s="28"/>
      <c r="CO742" s="28"/>
      <c r="CP742" s="28"/>
      <c r="CQ742" s="28"/>
      <c r="CR742" s="28"/>
      <c r="CS742" s="28"/>
      <c r="CT742" s="28"/>
      <c r="CU742" s="28"/>
      <c r="CV742" s="28"/>
      <c r="CW742" s="28"/>
    </row>
    <row r="743" spans="1:101" ht="14.25" customHeight="1" x14ac:dyDescent="0.2">
      <c r="A743" s="286"/>
      <c r="B743" s="52">
        <v>0.17373006869001928</v>
      </c>
      <c r="C743" s="288">
        <v>0.33144231715742711</v>
      </c>
      <c r="D743" s="288">
        <v>6.1236896878177141E-3</v>
      </c>
      <c r="E743" s="288">
        <v>2.0468084063185787E-2</v>
      </c>
      <c r="F743" s="289">
        <v>0.76348229794854161</v>
      </c>
      <c r="G743" s="92">
        <v>0.40210034872973099</v>
      </c>
      <c r="H743" s="288">
        <v>0.81228732716754404</v>
      </c>
      <c r="I743" s="288">
        <v>3.3911180283351716E-2</v>
      </c>
      <c r="J743" s="288">
        <v>0.99999924380055072</v>
      </c>
      <c r="K743" s="288">
        <v>0.81371637832456745</v>
      </c>
      <c r="L743" s="290">
        <v>9357.7597144893007</v>
      </c>
      <c r="M743" s="288">
        <v>0</v>
      </c>
      <c r="N743" s="288">
        <v>15957.446199704524</v>
      </c>
      <c r="O743" s="288">
        <v>968.11750073027554</v>
      </c>
      <c r="P743" s="288">
        <v>37131.532631767375</v>
      </c>
      <c r="Q743" s="291">
        <v>83825.648383416614</v>
      </c>
      <c r="R743" s="288">
        <v>23041.126923230833</v>
      </c>
      <c r="S743" s="288">
        <v>7232.3545840486213</v>
      </c>
      <c r="T743" s="290">
        <v>0.751</v>
      </c>
      <c r="U743" s="288">
        <v>0.75800000000000001</v>
      </c>
      <c r="V743" s="288">
        <v>0.723923076923077</v>
      </c>
      <c r="W743" s="288">
        <v>0.72750000000000004</v>
      </c>
      <c r="X743" s="288">
        <v>0.76</v>
      </c>
      <c r="Y743" s="288">
        <v>0</v>
      </c>
      <c r="Z743" s="289">
        <v>0</v>
      </c>
      <c r="AA743" s="229"/>
      <c r="AB743" s="293">
        <v>65621.219442788832</v>
      </c>
      <c r="AC743" s="294">
        <v>3.065918650252164</v>
      </c>
      <c r="AD743" s="295">
        <v>68314.241951604912</v>
      </c>
      <c r="AE743" s="294">
        <v>3.3046789036542572</v>
      </c>
      <c r="AF743" s="295">
        <v>-2693.0225088160805</v>
      </c>
      <c r="AG743" s="296">
        <v>-0.23876025340209317</v>
      </c>
      <c r="AH743" s="229"/>
      <c r="AI743" s="205">
        <f t="shared" si="80"/>
        <v>240970.64558242759</v>
      </c>
      <c r="AJ743" s="205">
        <f t="shared" si="81"/>
        <v>262153.64841382083</v>
      </c>
      <c r="AK743" s="205">
        <f t="shared" si="82"/>
        <v>-21183.002831393238</v>
      </c>
      <c r="AL743" s="229"/>
      <c r="AM743" s="52">
        <f t="shared" si="58"/>
        <v>0</v>
      </c>
      <c r="AN743" s="52">
        <f t="shared" si="59"/>
        <v>1</v>
      </c>
      <c r="AO743" s="52">
        <f t="shared" si="60"/>
        <v>0</v>
      </c>
      <c r="AP743" s="229"/>
      <c r="AQ743" s="28"/>
      <c r="AR743" s="28"/>
      <c r="AS743" s="28"/>
      <c r="AT743" s="28"/>
      <c r="AU743" s="229"/>
      <c r="AV743" s="318">
        <f t="shared" si="83"/>
        <v>262153.64841382083</v>
      </c>
      <c r="AW743" s="229"/>
      <c r="AX743" s="313"/>
      <c r="AY743" s="302"/>
      <c r="AZ743" s="14">
        <f t="shared" si="85"/>
        <v>-2693.0225088160805</v>
      </c>
      <c r="BA743" s="14">
        <f t="shared" si="84"/>
        <v>-0.23876025340209317</v>
      </c>
      <c r="BB743" s="14">
        <f t="shared" si="61"/>
        <v>11279.191031351414</v>
      </c>
      <c r="BC743" s="302"/>
      <c r="BD743" s="302"/>
      <c r="BE743" s="302"/>
      <c r="BF743" s="302"/>
      <c r="BG743" s="302"/>
      <c r="BH743" s="302"/>
      <c r="BI743" s="302"/>
      <c r="BJ743" s="302"/>
      <c r="BK743" s="302"/>
      <c r="BL743" s="302"/>
      <c r="BM743" s="302"/>
      <c r="BN743" s="302"/>
      <c r="BO743" s="302"/>
      <c r="BP743" s="302"/>
      <c r="BQ743" s="302"/>
      <c r="BR743" s="302"/>
      <c r="BS743" s="302"/>
      <c r="BT743" s="302"/>
      <c r="BU743" s="302"/>
      <c r="BV743" s="302"/>
      <c r="BW743" s="302"/>
      <c r="BX743" s="302"/>
      <c r="BY743" s="302"/>
      <c r="BZ743" s="302"/>
      <c r="CA743" s="302"/>
      <c r="CB743" s="28"/>
      <c r="CC743" s="28"/>
      <c r="CD743" s="28"/>
      <c r="CE743" s="28"/>
      <c r="CF743" s="28"/>
      <c r="CG743" s="28"/>
      <c r="CH743" s="28"/>
      <c r="CI743" s="28"/>
      <c r="CJ743" s="28"/>
      <c r="CK743" s="28"/>
      <c r="CL743" s="28"/>
      <c r="CM743" s="28"/>
      <c r="CN743" s="28"/>
      <c r="CO743" s="28"/>
      <c r="CP743" s="28"/>
      <c r="CQ743" s="28"/>
      <c r="CR743" s="28"/>
      <c r="CS743" s="28"/>
      <c r="CT743" s="28"/>
      <c r="CU743" s="28"/>
      <c r="CV743" s="28"/>
      <c r="CW743" s="28"/>
    </row>
    <row r="744" spans="1:101" ht="14.25" customHeight="1" x14ac:dyDescent="0.2">
      <c r="A744" s="286"/>
      <c r="B744" s="52">
        <v>0.19091563394875588</v>
      </c>
      <c r="C744" s="288">
        <v>0.1838536791265851</v>
      </c>
      <c r="D744" s="288">
        <v>1.6496274589677173E-2</v>
      </c>
      <c r="E744" s="288">
        <v>1.7762058701032535E-2</v>
      </c>
      <c r="F744" s="289">
        <v>0.79232596746291373</v>
      </c>
      <c r="G744" s="92">
        <v>0.47396927771687203</v>
      </c>
      <c r="H744" s="288">
        <v>0.62479911842385571</v>
      </c>
      <c r="I744" s="288">
        <v>1.4272030875243629E-2</v>
      </c>
      <c r="J744" s="288">
        <v>0.33183641688828541</v>
      </c>
      <c r="K744" s="288">
        <v>0.73502085085931768</v>
      </c>
      <c r="L744" s="290">
        <v>16525.778543691224</v>
      </c>
      <c r="M744" s="288">
        <v>0</v>
      </c>
      <c r="N744" s="288">
        <v>15765.409759979828</v>
      </c>
      <c r="O744" s="288">
        <v>1110.6116549790854</v>
      </c>
      <c r="P744" s="288">
        <v>35403.228309416343</v>
      </c>
      <c r="Q744" s="291">
        <v>110711.67779989504</v>
      </c>
      <c r="R744" s="288">
        <v>23029.612625693288</v>
      </c>
      <c r="S744" s="288">
        <v>7753.5287945281298</v>
      </c>
      <c r="T744" s="290">
        <v>0.751</v>
      </c>
      <c r="U744" s="288">
        <v>0.75800000000000001</v>
      </c>
      <c r="V744" s="288">
        <v>0.723923076923077</v>
      </c>
      <c r="W744" s="288">
        <v>0.72750000000000004</v>
      </c>
      <c r="X744" s="288">
        <v>0.76</v>
      </c>
      <c r="Y744" s="288">
        <v>0</v>
      </c>
      <c r="Z744" s="289">
        <v>0</v>
      </c>
      <c r="AA744" s="229"/>
      <c r="AB744" s="293">
        <v>78730.63236840599</v>
      </c>
      <c r="AC744" s="294">
        <v>3.1996692058539113</v>
      </c>
      <c r="AD744" s="295">
        <v>64969.246366250314</v>
      </c>
      <c r="AE744" s="294">
        <v>2.9394918796245535</v>
      </c>
      <c r="AF744" s="295">
        <v>13761.386002155676</v>
      </c>
      <c r="AG744" s="296">
        <v>0.26017732622935785</v>
      </c>
      <c r="AH744" s="229"/>
      <c r="AI744" s="205">
        <f t="shared" si="80"/>
        <v>241236.28821698512</v>
      </c>
      <c r="AJ744" s="205">
        <f t="shared" si="81"/>
        <v>228979.941596205</v>
      </c>
      <c r="AK744" s="205">
        <f t="shared" si="82"/>
        <v>12256.34662078011</v>
      </c>
      <c r="AL744" s="229"/>
      <c r="AM744" s="52">
        <f t="shared" si="58"/>
        <v>1</v>
      </c>
      <c r="AN744" s="52">
        <f t="shared" si="59"/>
        <v>0</v>
      </c>
      <c r="AO744" s="52">
        <f t="shared" si="60"/>
        <v>1</v>
      </c>
      <c r="AP744" s="229"/>
      <c r="AQ744" s="28"/>
      <c r="AR744" s="28"/>
      <c r="AS744" s="28"/>
      <c r="AT744" s="28"/>
      <c r="AU744" s="229"/>
      <c r="AV744" s="318">
        <f t="shared" si="83"/>
        <v>241236.28821698512</v>
      </c>
      <c r="AW744" s="229"/>
      <c r="AX744" s="313"/>
      <c r="AY744" s="302"/>
      <c r="AZ744" s="14">
        <f t="shared" si="85"/>
        <v>13761.386002155676</v>
      </c>
      <c r="BA744" s="14">
        <f t="shared" si="84"/>
        <v>0.26017732622935785</v>
      </c>
      <c r="BB744" s="14">
        <f t="shared" si="61"/>
        <v>52892.333861654042</v>
      </c>
      <c r="BC744" s="302"/>
      <c r="BD744" s="302"/>
      <c r="BE744" s="302"/>
      <c r="BF744" s="302"/>
      <c r="BG744" s="302"/>
      <c r="BH744" s="302"/>
      <c r="BI744" s="302"/>
      <c r="BJ744" s="302"/>
      <c r="BK744" s="302"/>
      <c r="BL744" s="302"/>
      <c r="BM744" s="302"/>
      <c r="BN744" s="302"/>
      <c r="BO744" s="302"/>
      <c r="BP744" s="302"/>
      <c r="BQ744" s="302"/>
      <c r="BR744" s="302"/>
      <c r="BS744" s="302"/>
      <c r="BT744" s="302"/>
      <c r="BU744" s="302"/>
      <c r="BV744" s="302"/>
      <c r="BW744" s="302"/>
      <c r="BX744" s="302"/>
      <c r="BY744" s="302"/>
      <c r="BZ744" s="302"/>
      <c r="CA744" s="302"/>
      <c r="CB744" s="28"/>
      <c r="CC744" s="28"/>
      <c r="CD744" s="28"/>
      <c r="CE744" s="28"/>
      <c r="CF744" s="28"/>
      <c r="CG744" s="28"/>
      <c r="CH744" s="28"/>
      <c r="CI744" s="28"/>
      <c r="CJ744" s="28"/>
      <c r="CK744" s="28"/>
      <c r="CL744" s="28"/>
      <c r="CM744" s="28"/>
      <c r="CN744" s="28"/>
      <c r="CO744" s="28"/>
      <c r="CP744" s="28"/>
      <c r="CQ744" s="28"/>
      <c r="CR744" s="28"/>
      <c r="CS744" s="28"/>
      <c r="CT744" s="28"/>
      <c r="CU744" s="28"/>
      <c r="CV744" s="28"/>
      <c r="CW744" s="28"/>
    </row>
    <row r="745" spans="1:101" ht="14.25" customHeight="1" x14ac:dyDescent="0.2">
      <c r="A745" s="286"/>
      <c r="B745" s="52">
        <v>0.15184713258218718</v>
      </c>
      <c r="C745" s="288">
        <v>0.91970549128145274</v>
      </c>
      <c r="D745" s="288">
        <v>1.4954622261418637E-2</v>
      </c>
      <c r="E745" s="288">
        <v>2.0618323318326137E-2</v>
      </c>
      <c r="F745" s="289">
        <v>0.76940575252620802</v>
      </c>
      <c r="G745" s="92">
        <v>0.43701873343783004</v>
      </c>
      <c r="H745" s="288">
        <v>0.41652199782081928</v>
      </c>
      <c r="I745" s="288">
        <v>6.9311702794396151E-3</v>
      </c>
      <c r="J745" s="288">
        <v>0.99999357494829111</v>
      </c>
      <c r="K745" s="288">
        <v>0.75567525939364644</v>
      </c>
      <c r="L745" s="290">
        <v>16640.667666361878</v>
      </c>
      <c r="M745" s="288">
        <v>0</v>
      </c>
      <c r="N745" s="288">
        <v>19864.694050158163</v>
      </c>
      <c r="O745" s="288">
        <v>1329.5515477115148</v>
      </c>
      <c r="P745" s="288">
        <v>50793.328908837662</v>
      </c>
      <c r="Q745" s="291">
        <v>94196.616068429255</v>
      </c>
      <c r="R745" s="288">
        <v>28995.921770652054</v>
      </c>
      <c r="S745" s="288">
        <v>10334.555002184068</v>
      </c>
      <c r="T745" s="290">
        <v>0.751</v>
      </c>
      <c r="U745" s="288">
        <v>0.75800000000000001</v>
      </c>
      <c r="V745" s="288">
        <v>0.723923076923077</v>
      </c>
      <c r="W745" s="288">
        <v>0.72750000000000004</v>
      </c>
      <c r="X745" s="288">
        <v>0.76</v>
      </c>
      <c r="Y745" s="288">
        <v>0</v>
      </c>
      <c r="Z745" s="289">
        <v>0</v>
      </c>
      <c r="AA745" s="229"/>
      <c r="AB745" s="293">
        <v>99846.871349057386</v>
      </c>
      <c r="AC745" s="294">
        <v>3.0932797391838314</v>
      </c>
      <c r="AD745" s="295">
        <v>84276.104610172435</v>
      </c>
      <c r="AE745" s="294">
        <v>3.0343939668014004</v>
      </c>
      <c r="AF745" s="295">
        <v>15570.766738884951</v>
      </c>
      <c r="AG745" s="296">
        <v>5.8885772382430979E-2</v>
      </c>
      <c r="AH745" s="229"/>
      <c r="AI745" s="205">
        <f t="shared" si="80"/>
        <v>209481.10256932574</v>
      </c>
      <c r="AJ745" s="205">
        <f t="shared" si="81"/>
        <v>219163.2920699676</v>
      </c>
      <c r="AK745" s="205">
        <f t="shared" si="82"/>
        <v>-9682.1895006418526</v>
      </c>
      <c r="AL745" s="229"/>
      <c r="AM745" s="52">
        <f t="shared" si="58"/>
        <v>0</v>
      </c>
      <c r="AN745" s="52">
        <f t="shared" si="59"/>
        <v>1</v>
      </c>
      <c r="AO745" s="52">
        <f t="shared" si="60"/>
        <v>0</v>
      </c>
      <c r="AP745" s="229"/>
      <c r="AQ745" s="28"/>
      <c r="AR745" s="28"/>
      <c r="AS745" s="28"/>
      <c r="AT745" s="28"/>
      <c r="AU745" s="229"/>
      <c r="AV745" s="318">
        <f t="shared" si="83"/>
        <v>219163.2920699676</v>
      </c>
      <c r="AW745" s="229"/>
      <c r="AX745" s="313"/>
      <c r="AY745" s="302"/>
      <c r="AZ745" s="14">
        <f t="shared" si="85"/>
        <v>15570.766738884951</v>
      </c>
      <c r="BA745" s="14">
        <f t="shared" si="84"/>
        <v>5.8885772382430979E-2</v>
      </c>
      <c r="BB745" s="14">
        <f t="shared" si="61"/>
        <v>264423.24026525987</v>
      </c>
      <c r="BC745" s="302"/>
      <c r="BD745" s="302"/>
      <c r="BE745" s="302"/>
      <c r="BF745" s="302"/>
      <c r="BG745" s="302"/>
      <c r="BH745" s="302"/>
      <c r="BI745" s="302"/>
      <c r="BJ745" s="302"/>
      <c r="BK745" s="302"/>
      <c r="BL745" s="302"/>
      <c r="BM745" s="302"/>
      <c r="BN745" s="302"/>
      <c r="BO745" s="302"/>
      <c r="BP745" s="302"/>
      <c r="BQ745" s="302"/>
      <c r="BR745" s="302"/>
      <c r="BS745" s="302"/>
      <c r="BT745" s="302"/>
      <c r="BU745" s="302"/>
      <c r="BV745" s="302"/>
      <c r="BW745" s="302"/>
      <c r="BX745" s="302"/>
      <c r="BY745" s="302"/>
      <c r="BZ745" s="302"/>
      <c r="CA745" s="302"/>
      <c r="CB745" s="28"/>
      <c r="CC745" s="28"/>
      <c r="CD745" s="28"/>
      <c r="CE745" s="28"/>
      <c r="CF745" s="28"/>
      <c r="CG745" s="28"/>
      <c r="CH745" s="28"/>
      <c r="CI745" s="28"/>
      <c r="CJ745" s="28"/>
      <c r="CK745" s="28"/>
      <c r="CL745" s="28"/>
      <c r="CM745" s="28"/>
      <c r="CN745" s="28"/>
      <c r="CO745" s="28"/>
      <c r="CP745" s="28"/>
      <c r="CQ745" s="28"/>
      <c r="CR745" s="28"/>
      <c r="CS745" s="28"/>
      <c r="CT745" s="28"/>
      <c r="CU745" s="28"/>
      <c r="CV745" s="28"/>
      <c r="CW745" s="28"/>
    </row>
    <row r="746" spans="1:101" ht="14.25" customHeight="1" x14ac:dyDescent="0.2">
      <c r="A746" s="286"/>
      <c r="B746" s="52">
        <v>0.16348813019810282</v>
      </c>
      <c r="C746" s="288">
        <v>0.67434572663348291</v>
      </c>
      <c r="D746" s="288">
        <v>1.1899160593576022E-2</v>
      </c>
      <c r="E746" s="288">
        <v>1.4280875404082974E-2</v>
      </c>
      <c r="F746" s="289">
        <v>0.77057750856286633</v>
      </c>
      <c r="G746" s="92">
        <v>0.40152394445040496</v>
      </c>
      <c r="H746" s="288">
        <v>0.24400594708761067</v>
      </c>
      <c r="I746" s="288">
        <v>2.1553337243367721E-2</v>
      </c>
      <c r="J746" s="288">
        <v>1</v>
      </c>
      <c r="K746" s="288">
        <v>0.79341366672705804</v>
      </c>
      <c r="L746" s="290">
        <v>11036.116303952098</v>
      </c>
      <c r="M746" s="288">
        <v>0</v>
      </c>
      <c r="N746" s="288">
        <v>17689.320223079638</v>
      </c>
      <c r="O746" s="288">
        <v>1391.8086207460597</v>
      </c>
      <c r="P746" s="288">
        <v>38225.87193280978</v>
      </c>
      <c r="Q746" s="291">
        <v>102314.01960349553</v>
      </c>
      <c r="R746" s="288">
        <v>23567.422298657668</v>
      </c>
      <c r="S746" s="288">
        <v>11395.7853668182</v>
      </c>
      <c r="T746" s="290">
        <v>0.751</v>
      </c>
      <c r="U746" s="288">
        <v>0.75800000000000001</v>
      </c>
      <c r="V746" s="288">
        <v>0.723923076923077</v>
      </c>
      <c r="W746" s="288">
        <v>0.72750000000000004</v>
      </c>
      <c r="X746" s="288">
        <v>0.76</v>
      </c>
      <c r="Y746" s="288">
        <v>0</v>
      </c>
      <c r="Z746" s="289">
        <v>0</v>
      </c>
      <c r="AA746" s="229"/>
      <c r="AB746" s="293">
        <v>101017.79925887744</v>
      </c>
      <c r="AC746" s="294">
        <v>3.0986987294818342</v>
      </c>
      <c r="AD746" s="295">
        <v>94483.397701653783</v>
      </c>
      <c r="AE746" s="294">
        <v>3.2095297120510873</v>
      </c>
      <c r="AF746" s="295">
        <v>6534.4015572236531</v>
      </c>
      <c r="AG746" s="296">
        <v>-0.11083098256925306</v>
      </c>
      <c r="AH746" s="229"/>
      <c r="AI746" s="205">
        <f t="shared" si="80"/>
        <v>208852.07368930601</v>
      </c>
      <c r="AJ746" s="205">
        <f t="shared" si="81"/>
        <v>226469.57350345497</v>
      </c>
      <c r="AK746" s="205">
        <f t="shared" si="82"/>
        <v>-17617.49981414896</v>
      </c>
      <c r="AL746" s="229"/>
      <c r="AM746" s="52">
        <f t="shared" si="58"/>
        <v>0</v>
      </c>
      <c r="AN746" s="52">
        <f t="shared" si="59"/>
        <v>1</v>
      </c>
      <c r="AO746" s="52">
        <f t="shared" si="60"/>
        <v>0</v>
      </c>
      <c r="AP746" s="229"/>
      <c r="AQ746" s="28"/>
      <c r="AR746" s="28"/>
      <c r="AS746" s="28"/>
      <c r="AT746" s="28"/>
      <c r="AU746" s="229"/>
      <c r="AV746" s="318">
        <f t="shared" si="83"/>
        <v>226469.57350345497</v>
      </c>
      <c r="AW746" s="229"/>
      <c r="AX746" s="313"/>
      <c r="AY746" s="302"/>
      <c r="AZ746" s="14">
        <f t="shared" si="85"/>
        <v>6534.4015572236531</v>
      </c>
      <c r="BA746" s="14">
        <f t="shared" si="84"/>
        <v>-0.11083098256925306</v>
      </c>
      <c r="BB746" s="14">
        <f t="shared" si="61"/>
        <v>-58958.257030164052</v>
      </c>
      <c r="BC746" s="302"/>
      <c r="BD746" s="302"/>
      <c r="BE746" s="302"/>
      <c r="BF746" s="302"/>
      <c r="BG746" s="302"/>
      <c r="BH746" s="302"/>
      <c r="BI746" s="302"/>
      <c r="BJ746" s="302"/>
      <c r="BK746" s="302"/>
      <c r="BL746" s="302"/>
      <c r="BM746" s="302"/>
      <c r="BN746" s="302"/>
      <c r="BO746" s="302"/>
      <c r="BP746" s="302"/>
      <c r="BQ746" s="302"/>
      <c r="BR746" s="302"/>
      <c r="BS746" s="302"/>
      <c r="BT746" s="302"/>
      <c r="BU746" s="302"/>
      <c r="BV746" s="302"/>
      <c r="BW746" s="302"/>
      <c r="BX746" s="302"/>
      <c r="BY746" s="302"/>
      <c r="BZ746" s="302"/>
      <c r="CA746" s="302"/>
      <c r="CB746" s="28"/>
      <c r="CC746" s="28"/>
      <c r="CD746" s="28"/>
      <c r="CE746" s="28"/>
      <c r="CF746" s="28"/>
      <c r="CG746" s="28"/>
      <c r="CH746" s="28"/>
      <c r="CI746" s="28"/>
      <c r="CJ746" s="28"/>
      <c r="CK746" s="28"/>
      <c r="CL746" s="28"/>
      <c r="CM746" s="28"/>
      <c r="CN746" s="28"/>
      <c r="CO746" s="28"/>
      <c r="CP746" s="28"/>
      <c r="CQ746" s="28"/>
      <c r="CR746" s="28"/>
      <c r="CS746" s="28"/>
      <c r="CT746" s="28"/>
      <c r="CU746" s="28"/>
      <c r="CV746" s="28"/>
      <c r="CW746" s="28"/>
    </row>
    <row r="747" spans="1:101" ht="14.25" customHeight="1" x14ac:dyDescent="0.2">
      <c r="A747" s="286"/>
      <c r="B747" s="52">
        <v>0.14903490092038407</v>
      </c>
      <c r="C747" s="288">
        <v>0.54202457927503578</v>
      </c>
      <c r="D747" s="288">
        <v>1.6267178903794144E-2</v>
      </c>
      <c r="E747" s="288">
        <v>2.8394415930328987E-2</v>
      </c>
      <c r="F747" s="289">
        <v>0.7610846450260581</v>
      </c>
      <c r="G747" s="92">
        <v>0.33398323768897825</v>
      </c>
      <c r="H747" s="288">
        <v>0.39052342000883777</v>
      </c>
      <c r="I747" s="288">
        <v>1.7738265126706954E-2</v>
      </c>
      <c r="J747" s="288">
        <v>1</v>
      </c>
      <c r="K747" s="288">
        <v>0.77820947355450276</v>
      </c>
      <c r="L747" s="290">
        <v>10738.59707702911</v>
      </c>
      <c r="M747" s="288">
        <v>0</v>
      </c>
      <c r="N747" s="288">
        <v>18303.313301733469</v>
      </c>
      <c r="O747" s="288">
        <v>1250.4879730276855</v>
      </c>
      <c r="P747" s="288">
        <v>49741.377396386772</v>
      </c>
      <c r="Q747" s="291">
        <v>101115.59343891173</v>
      </c>
      <c r="R747" s="288">
        <v>19845.602026056866</v>
      </c>
      <c r="S747" s="288">
        <v>6874.2672825045192</v>
      </c>
      <c r="T747" s="290">
        <v>0.751</v>
      </c>
      <c r="U747" s="288">
        <v>0.75800000000000001</v>
      </c>
      <c r="V747" s="288">
        <v>0.723923076923077</v>
      </c>
      <c r="W747" s="288">
        <v>0.72750000000000004</v>
      </c>
      <c r="X747" s="288">
        <v>0.76</v>
      </c>
      <c r="Y747" s="288">
        <v>0</v>
      </c>
      <c r="Z747" s="289">
        <v>0</v>
      </c>
      <c r="AA747" s="229"/>
      <c r="AB747" s="293">
        <v>64585.690379917956</v>
      </c>
      <c r="AC747" s="294">
        <v>3.0548592740671974</v>
      </c>
      <c r="AD747" s="295">
        <v>57370.009639101787</v>
      </c>
      <c r="AE747" s="294">
        <v>3.138700333379171</v>
      </c>
      <c r="AF747" s="295">
        <v>7215.6807408161694</v>
      </c>
      <c r="AG747" s="296">
        <v>-8.3841059311973609E-2</v>
      </c>
      <c r="AH747" s="229"/>
      <c r="AI747" s="205">
        <f t="shared" si="80"/>
        <v>240900.23702680174</v>
      </c>
      <c r="AJ747" s="205">
        <f t="shared" si="81"/>
        <v>256500.02369881532</v>
      </c>
      <c r="AK747" s="205">
        <f t="shared" si="82"/>
        <v>-15599.78667201353</v>
      </c>
      <c r="AL747" s="229"/>
      <c r="AM747" s="52">
        <f t="shared" si="58"/>
        <v>0</v>
      </c>
      <c r="AN747" s="52">
        <f t="shared" si="59"/>
        <v>1</v>
      </c>
      <c r="AO747" s="52">
        <f t="shared" si="60"/>
        <v>0</v>
      </c>
      <c r="AP747" s="229"/>
      <c r="AQ747" s="28"/>
      <c r="AR747" s="28"/>
      <c r="AS747" s="28"/>
      <c r="AT747" s="28"/>
      <c r="AU747" s="229"/>
      <c r="AV747" s="318">
        <f t="shared" si="83"/>
        <v>256500.02369881532</v>
      </c>
      <c r="AW747" s="229"/>
      <c r="AX747" s="313"/>
      <c r="AY747" s="302"/>
      <c r="AZ747" s="14">
        <f t="shared" si="85"/>
        <v>7215.6807408161694</v>
      </c>
      <c r="BA747" s="14">
        <f t="shared" si="84"/>
        <v>-8.3841059311973609E-2</v>
      </c>
      <c r="BB747" s="14">
        <f t="shared" si="61"/>
        <v>-86063.806922650314</v>
      </c>
      <c r="BC747" s="302"/>
      <c r="BD747" s="302"/>
      <c r="BE747" s="302"/>
      <c r="BF747" s="302"/>
      <c r="BG747" s="302"/>
      <c r="BH747" s="302"/>
      <c r="BI747" s="302"/>
      <c r="BJ747" s="302"/>
      <c r="BK747" s="302"/>
      <c r="BL747" s="302"/>
      <c r="BM747" s="302"/>
      <c r="BN747" s="302"/>
      <c r="BO747" s="302"/>
      <c r="BP747" s="302"/>
      <c r="BQ747" s="302"/>
      <c r="BR747" s="302"/>
      <c r="BS747" s="302"/>
      <c r="BT747" s="302"/>
      <c r="BU747" s="302"/>
      <c r="BV747" s="302"/>
      <c r="BW747" s="302"/>
      <c r="BX747" s="302"/>
      <c r="BY747" s="302"/>
      <c r="BZ747" s="302"/>
      <c r="CA747" s="302"/>
      <c r="CB747" s="28"/>
      <c r="CC747" s="28"/>
      <c r="CD747" s="28"/>
      <c r="CE747" s="28"/>
      <c r="CF747" s="28"/>
      <c r="CG747" s="28"/>
      <c r="CH747" s="28"/>
      <c r="CI747" s="28"/>
      <c r="CJ747" s="28"/>
      <c r="CK747" s="28"/>
      <c r="CL747" s="28"/>
      <c r="CM747" s="28"/>
      <c r="CN747" s="28"/>
      <c r="CO747" s="28"/>
      <c r="CP747" s="28"/>
      <c r="CQ747" s="28"/>
      <c r="CR747" s="28"/>
      <c r="CS747" s="28"/>
      <c r="CT747" s="28"/>
      <c r="CU747" s="28"/>
      <c r="CV747" s="28"/>
      <c r="CW747" s="28"/>
    </row>
    <row r="748" spans="1:101" ht="14.25" customHeight="1" x14ac:dyDescent="0.2">
      <c r="A748" s="286"/>
      <c r="B748" s="52">
        <v>0.1707401081418739</v>
      </c>
      <c r="C748" s="288">
        <v>0.34097308768245449</v>
      </c>
      <c r="D748" s="288">
        <v>1.8973307172408971E-2</v>
      </c>
      <c r="E748" s="288">
        <v>1.3515719892359314E-2</v>
      </c>
      <c r="F748" s="289">
        <v>0.77049437052426462</v>
      </c>
      <c r="G748" s="92">
        <v>0.42470490396374261</v>
      </c>
      <c r="H748" s="288">
        <v>0.62563266203863943</v>
      </c>
      <c r="I748" s="288">
        <v>1.8752184444810194E-2</v>
      </c>
      <c r="J748" s="288">
        <v>1</v>
      </c>
      <c r="K748" s="288">
        <v>0.74968173800998394</v>
      </c>
      <c r="L748" s="290">
        <v>13879.287431727176</v>
      </c>
      <c r="M748" s="288">
        <v>0</v>
      </c>
      <c r="N748" s="288">
        <v>18021.886839958825</v>
      </c>
      <c r="O748" s="288">
        <v>1081.8584759584226</v>
      </c>
      <c r="P748" s="288">
        <v>44012.829119265967</v>
      </c>
      <c r="Q748" s="291">
        <v>123961.90155519531</v>
      </c>
      <c r="R748" s="288">
        <v>33071.935279524478</v>
      </c>
      <c r="S748" s="288">
        <v>8864.3245252296383</v>
      </c>
      <c r="T748" s="290">
        <v>0.751</v>
      </c>
      <c r="U748" s="288">
        <v>0.75800000000000001</v>
      </c>
      <c r="V748" s="288">
        <v>0.723923076923077</v>
      </c>
      <c r="W748" s="288">
        <v>0.72750000000000004</v>
      </c>
      <c r="X748" s="288">
        <v>0.76</v>
      </c>
      <c r="Y748" s="288">
        <v>0</v>
      </c>
      <c r="Z748" s="289">
        <v>0</v>
      </c>
      <c r="AA748" s="229"/>
      <c r="AB748" s="293">
        <v>84025.411269456497</v>
      </c>
      <c r="AC748" s="294">
        <v>3.0983141721332546</v>
      </c>
      <c r="AD748" s="295">
        <v>76918.442541285534</v>
      </c>
      <c r="AE748" s="294">
        <v>3.0067859109339787</v>
      </c>
      <c r="AF748" s="295">
        <v>7106.968728170963</v>
      </c>
      <c r="AG748" s="296">
        <v>9.1528261199275818E-2</v>
      </c>
      <c r="AH748" s="229"/>
      <c r="AI748" s="205">
        <f t="shared" si="80"/>
        <v>225806.00594386895</v>
      </c>
      <c r="AJ748" s="205">
        <f t="shared" si="81"/>
        <v>223760.14855211234</v>
      </c>
      <c r="AK748" s="205">
        <f t="shared" si="82"/>
        <v>2045.8573917566191</v>
      </c>
      <c r="AL748" s="229"/>
      <c r="AM748" s="52">
        <f t="shared" si="58"/>
        <v>1</v>
      </c>
      <c r="AN748" s="52">
        <f t="shared" si="59"/>
        <v>0</v>
      </c>
      <c r="AO748" s="52">
        <f t="shared" si="60"/>
        <v>1</v>
      </c>
      <c r="AP748" s="229"/>
      <c r="AQ748" s="28"/>
      <c r="AR748" s="28"/>
      <c r="AS748" s="28"/>
      <c r="AT748" s="28"/>
      <c r="AU748" s="229"/>
      <c r="AV748" s="318">
        <f t="shared" si="83"/>
        <v>225806.00594386895</v>
      </c>
      <c r="AW748" s="229"/>
      <c r="AX748" s="313"/>
      <c r="AY748" s="302"/>
      <c r="AZ748" s="14">
        <f t="shared" si="85"/>
        <v>7106.968728170963</v>
      </c>
      <c r="BA748" s="14">
        <f t="shared" si="84"/>
        <v>9.1528261199275818E-2</v>
      </c>
      <c r="BB748" s="14">
        <f t="shared" si="61"/>
        <v>77647.806645180695</v>
      </c>
      <c r="BC748" s="302"/>
      <c r="BD748" s="302"/>
      <c r="BE748" s="302"/>
      <c r="BF748" s="302"/>
      <c r="BG748" s="302"/>
      <c r="BH748" s="302"/>
      <c r="BI748" s="302"/>
      <c r="BJ748" s="302"/>
      <c r="BK748" s="302"/>
      <c r="BL748" s="302"/>
      <c r="BM748" s="302"/>
      <c r="BN748" s="302"/>
      <c r="BO748" s="302"/>
      <c r="BP748" s="302"/>
      <c r="BQ748" s="302"/>
      <c r="BR748" s="302"/>
      <c r="BS748" s="302"/>
      <c r="BT748" s="302"/>
      <c r="BU748" s="302"/>
      <c r="BV748" s="302"/>
      <c r="BW748" s="302"/>
      <c r="BX748" s="302"/>
      <c r="BY748" s="302"/>
      <c r="BZ748" s="302"/>
      <c r="CA748" s="302"/>
      <c r="CB748" s="28"/>
      <c r="CC748" s="28"/>
      <c r="CD748" s="28"/>
      <c r="CE748" s="28"/>
      <c r="CF748" s="28"/>
      <c r="CG748" s="28"/>
      <c r="CH748" s="28"/>
      <c r="CI748" s="28"/>
      <c r="CJ748" s="28"/>
      <c r="CK748" s="28"/>
      <c r="CL748" s="28"/>
      <c r="CM748" s="28"/>
      <c r="CN748" s="28"/>
      <c r="CO748" s="28"/>
      <c r="CP748" s="28"/>
      <c r="CQ748" s="28"/>
      <c r="CR748" s="28"/>
      <c r="CS748" s="28"/>
      <c r="CT748" s="28"/>
      <c r="CU748" s="28"/>
      <c r="CV748" s="28"/>
      <c r="CW748" s="28"/>
    </row>
    <row r="749" spans="1:101" ht="14.25" customHeight="1" x14ac:dyDescent="0.2">
      <c r="A749" s="286"/>
      <c r="B749" s="52">
        <v>0.18481932290375513</v>
      </c>
      <c r="C749" s="288">
        <v>0.43836959000700071</v>
      </c>
      <c r="D749" s="288">
        <v>1.6181815297689917E-2</v>
      </c>
      <c r="E749" s="288">
        <v>1.8686546850329333E-2</v>
      </c>
      <c r="F749" s="289">
        <v>0.7439750062760363</v>
      </c>
      <c r="G749" s="92">
        <v>0.44109560528186231</v>
      </c>
      <c r="H749" s="288">
        <v>0.15414130197179324</v>
      </c>
      <c r="I749" s="288">
        <v>1.4645142599391071E-2</v>
      </c>
      <c r="J749" s="288">
        <v>0.99999999990198085</v>
      </c>
      <c r="K749" s="288">
        <v>0.79785897674118234</v>
      </c>
      <c r="L749" s="290">
        <v>15691.090826812453</v>
      </c>
      <c r="M749" s="288">
        <v>0</v>
      </c>
      <c r="N749" s="288">
        <v>16109.249481218032</v>
      </c>
      <c r="O749" s="288">
        <v>1084.1828616182145</v>
      </c>
      <c r="P749" s="288">
        <v>56337.389968323623</v>
      </c>
      <c r="Q749" s="291">
        <v>111027.44326806742</v>
      </c>
      <c r="R749" s="288">
        <v>25679.40576004648</v>
      </c>
      <c r="S749" s="288">
        <v>7137.7136799305072</v>
      </c>
      <c r="T749" s="290">
        <v>0.751</v>
      </c>
      <c r="U749" s="288">
        <v>0.75800000000000001</v>
      </c>
      <c r="V749" s="288">
        <v>0.723923076923077</v>
      </c>
      <c r="W749" s="288">
        <v>0.72750000000000004</v>
      </c>
      <c r="X749" s="288">
        <v>0.76</v>
      </c>
      <c r="Y749" s="288">
        <v>0</v>
      </c>
      <c r="Z749" s="289">
        <v>0</v>
      </c>
      <c r="AA749" s="229"/>
      <c r="AB749" s="293">
        <v>70892.008137103971</v>
      </c>
      <c r="AC749" s="294">
        <v>2.9762013766988722</v>
      </c>
      <c r="AD749" s="295">
        <v>60243.413208769329</v>
      </c>
      <c r="AE749" s="294">
        <v>3.230307218515601</v>
      </c>
      <c r="AF749" s="295">
        <v>10648.594928334642</v>
      </c>
      <c r="AG749" s="296">
        <v>-0.25410584181672879</v>
      </c>
      <c r="AH749" s="229"/>
      <c r="AI749" s="205">
        <f t="shared" si="80"/>
        <v>226728.12953278323</v>
      </c>
      <c r="AJ749" s="205">
        <f t="shared" si="81"/>
        <v>262787.30864279077</v>
      </c>
      <c r="AK749" s="205">
        <f t="shared" si="82"/>
        <v>-36059.179110007521</v>
      </c>
      <c r="AL749" s="229"/>
      <c r="AM749" s="52">
        <f t="shared" si="58"/>
        <v>0</v>
      </c>
      <c r="AN749" s="52">
        <f t="shared" si="59"/>
        <v>1</v>
      </c>
      <c r="AO749" s="52">
        <f t="shared" si="60"/>
        <v>0</v>
      </c>
      <c r="AP749" s="229"/>
      <c r="AQ749" s="28"/>
      <c r="AR749" s="28"/>
      <c r="AS749" s="28"/>
      <c r="AT749" s="28"/>
      <c r="AU749" s="229"/>
      <c r="AV749" s="318">
        <f t="shared" si="83"/>
        <v>262787.30864279077</v>
      </c>
      <c r="AW749" s="229"/>
      <c r="AX749" s="313"/>
      <c r="AY749" s="302"/>
      <c r="AZ749" s="14">
        <f t="shared" si="85"/>
        <v>10648.594928334642</v>
      </c>
      <c r="BA749" s="14">
        <f t="shared" si="84"/>
        <v>-0.25410584181672879</v>
      </c>
      <c r="BB749" s="14">
        <f t="shared" si="61"/>
        <v>-41906.139788847635</v>
      </c>
      <c r="BC749" s="302"/>
      <c r="BD749" s="302"/>
      <c r="BE749" s="302"/>
      <c r="BF749" s="302"/>
      <c r="BG749" s="302"/>
      <c r="BH749" s="302"/>
      <c r="BI749" s="302"/>
      <c r="BJ749" s="302"/>
      <c r="BK749" s="302"/>
      <c r="BL749" s="302"/>
      <c r="BM749" s="302"/>
      <c r="BN749" s="302"/>
      <c r="BO749" s="302"/>
      <c r="BP749" s="302"/>
      <c r="BQ749" s="302"/>
      <c r="BR749" s="302"/>
      <c r="BS749" s="302"/>
      <c r="BT749" s="302"/>
      <c r="BU749" s="302"/>
      <c r="BV749" s="302"/>
      <c r="BW749" s="302"/>
      <c r="BX749" s="302"/>
      <c r="BY749" s="302"/>
      <c r="BZ749" s="302"/>
      <c r="CA749" s="302"/>
      <c r="CB749" s="28"/>
      <c r="CC749" s="28"/>
      <c r="CD749" s="28"/>
      <c r="CE749" s="28"/>
      <c r="CF749" s="28"/>
      <c r="CG749" s="28"/>
      <c r="CH749" s="28"/>
      <c r="CI749" s="28"/>
      <c r="CJ749" s="28"/>
      <c r="CK749" s="28"/>
      <c r="CL749" s="28"/>
      <c r="CM749" s="28"/>
      <c r="CN749" s="28"/>
      <c r="CO749" s="28"/>
      <c r="CP749" s="28"/>
      <c r="CQ749" s="28"/>
      <c r="CR749" s="28"/>
      <c r="CS749" s="28"/>
      <c r="CT749" s="28"/>
      <c r="CU749" s="28"/>
      <c r="CV749" s="28"/>
      <c r="CW749" s="28"/>
    </row>
    <row r="750" spans="1:101" ht="14.25" customHeight="1" x14ac:dyDescent="0.2">
      <c r="A750" s="286"/>
      <c r="B750" s="52">
        <v>0.16527794762233439</v>
      </c>
      <c r="C750" s="288">
        <v>0.60114118014826579</v>
      </c>
      <c r="D750" s="288">
        <v>6.5243583778063566E-3</v>
      </c>
      <c r="E750" s="288">
        <v>1.2883004441826815E-2</v>
      </c>
      <c r="F750" s="289">
        <v>0.81051260068955622</v>
      </c>
      <c r="G750" s="92">
        <v>0.41295847387814766</v>
      </c>
      <c r="H750" s="288">
        <v>0.48010426034214992</v>
      </c>
      <c r="I750" s="288">
        <v>1.5978675716016744E-2</v>
      </c>
      <c r="J750" s="288">
        <v>1</v>
      </c>
      <c r="K750" s="288">
        <v>0.75834021988607159</v>
      </c>
      <c r="L750" s="290">
        <v>10210.705828586142</v>
      </c>
      <c r="M750" s="288">
        <v>0</v>
      </c>
      <c r="N750" s="288">
        <v>17378.761175702766</v>
      </c>
      <c r="O750" s="288">
        <v>948.90284402487657</v>
      </c>
      <c r="P750" s="288">
        <v>41968.492376774579</v>
      </c>
      <c r="Q750" s="291">
        <v>108511.82918882844</v>
      </c>
      <c r="R750" s="288">
        <v>26779.332537688915</v>
      </c>
      <c r="S750" s="288">
        <v>8724.0683829776117</v>
      </c>
      <c r="T750" s="290">
        <v>0.751</v>
      </c>
      <c r="U750" s="288">
        <v>0.75800000000000001</v>
      </c>
      <c r="V750" s="288">
        <v>0.723923076923077</v>
      </c>
      <c r="W750" s="288">
        <v>0.72750000000000004</v>
      </c>
      <c r="X750" s="288">
        <v>0.76</v>
      </c>
      <c r="Y750" s="288">
        <v>0</v>
      </c>
      <c r="Z750" s="289">
        <v>0</v>
      </c>
      <c r="AA750" s="229"/>
      <c r="AB750" s="293">
        <v>83164.784363224069</v>
      </c>
      <c r="AC750" s="294">
        <v>3.2846729622136657</v>
      </c>
      <c r="AD750" s="295">
        <v>72800.08709698038</v>
      </c>
      <c r="AE750" s="294">
        <v>3.0466878036335978</v>
      </c>
      <c r="AF750" s="295">
        <v>10364.697266243689</v>
      </c>
      <c r="AG750" s="296">
        <v>0.23798515858006786</v>
      </c>
      <c r="AH750" s="229"/>
      <c r="AI750" s="205">
        <f t="shared" si="80"/>
        <v>245302.5118581425</v>
      </c>
      <c r="AJ750" s="205">
        <f t="shared" si="81"/>
        <v>231868.69326637941</v>
      </c>
      <c r="AK750" s="205">
        <f t="shared" si="82"/>
        <v>13433.818591763098</v>
      </c>
      <c r="AL750" s="229"/>
      <c r="AM750" s="52">
        <f t="shared" si="58"/>
        <v>1</v>
      </c>
      <c r="AN750" s="52">
        <f t="shared" si="59"/>
        <v>0</v>
      </c>
      <c r="AO750" s="52">
        <f t="shared" si="60"/>
        <v>1</v>
      </c>
      <c r="AP750" s="229"/>
      <c r="AQ750" s="28"/>
      <c r="AR750" s="28"/>
      <c r="AS750" s="28"/>
      <c r="AT750" s="28"/>
      <c r="AU750" s="229"/>
      <c r="AV750" s="318">
        <f t="shared" si="83"/>
        <v>245302.5118581425</v>
      </c>
      <c r="AW750" s="229"/>
      <c r="AX750" s="313"/>
      <c r="AY750" s="302"/>
      <c r="AZ750" s="14">
        <f t="shared" si="85"/>
        <v>10364.697266243689</v>
      </c>
      <c r="BA750" s="14">
        <f t="shared" si="84"/>
        <v>0.23798515858006786</v>
      </c>
      <c r="BB750" s="14">
        <f t="shared" si="61"/>
        <v>43551.864024144954</v>
      </c>
      <c r="BC750" s="302"/>
      <c r="BD750" s="302"/>
      <c r="BE750" s="302"/>
      <c r="BF750" s="302"/>
      <c r="BG750" s="302"/>
      <c r="BH750" s="302"/>
      <c r="BI750" s="302"/>
      <c r="BJ750" s="302"/>
      <c r="BK750" s="302"/>
      <c r="BL750" s="302"/>
      <c r="BM750" s="302"/>
      <c r="BN750" s="302"/>
      <c r="BO750" s="302"/>
      <c r="BP750" s="302"/>
      <c r="BQ750" s="302"/>
      <c r="BR750" s="302"/>
      <c r="BS750" s="302"/>
      <c r="BT750" s="302"/>
      <c r="BU750" s="302"/>
      <c r="BV750" s="302"/>
      <c r="BW750" s="302"/>
      <c r="BX750" s="302"/>
      <c r="BY750" s="302"/>
      <c r="BZ750" s="302"/>
      <c r="CA750" s="302"/>
      <c r="CB750" s="28"/>
      <c r="CC750" s="28"/>
      <c r="CD750" s="28"/>
      <c r="CE750" s="28"/>
      <c r="CF750" s="28"/>
      <c r="CG750" s="28"/>
      <c r="CH750" s="28"/>
      <c r="CI750" s="28"/>
      <c r="CJ750" s="28"/>
      <c r="CK750" s="28"/>
      <c r="CL750" s="28"/>
      <c r="CM750" s="28"/>
      <c r="CN750" s="28"/>
      <c r="CO750" s="28"/>
      <c r="CP750" s="28"/>
      <c r="CQ750" s="28"/>
      <c r="CR750" s="28"/>
      <c r="CS750" s="28"/>
      <c r="CT750" s="28"/>
      <c r="CU750" s="28"/>
      <c r="CV750" s="28"/>
      <c r="CW750" s="28"/>
    </row>
    <row r="751" spans="1:101" ht="14.25" customHeight="1" x14ac:dyDescent="0.2">
      <c r="A751" s="286"/>
      <c r="B751" s="52">
        <v>0.15994322947184303</v>
      </c>
      <c r="C751" s="288">
        <v>0.70037106543653915</v>
      </c>
      <c r="D751" s="288">
        <v>1.607834207013803E-2</v>
      </c>
      <c r="E751" s="288">
        <v>2.783852166439349E-2</v>
      </c>
      <c r="F751" s="289">
        <v>0.73765082363906487</v>
      </c>
      <c r="G751" s="92">
        <v>0.38424957601412102</v>
      </c>
      <c r="H751" s="288">
        <v>0.63623878450707205</v>
      </c>
      <c r="I751" s="288">
        <v>2.2440770518715181E-2</v>
      </c>
      <c r="J751" s="288">
        <v>0.99999999999999944</v>
      </c>
      <c r="K751" s="288">
        <v>0.76335621235224194</v>
      </c>
      <c r="L751" s="290">
        <v>10407.430095783422</v>
      </c>
      <c r="M751" s="288">
        <v>0</v>
      </c>
      <c r="N751" s="288">
        <v>23910.354875017463</v>
      </c>
      <c r="O751" s="288">
        <v>1511.455612269797</v>
      </c>
      <c r="P751" s="288">
        <v>41880.645314043781</v>
      </c>
      <c r="Q751" s="291">
        <v>129065.01923210194</v>
      </c>
      <c r="R751" s="288">
        <v>24468.636358244283</v>
      </c>
      <c r="S751" s="288">
        <v>10460.313072603902</v>
      </c>
      <c r="T751" s="290">
        <v>0.751</v>
      </c>
      <c r="U751" s="288">
        <v>0.75800000000000001</v>
      </c>
      <c r="V751" s="288">
        <v>0.723923076923077</v>
      </c>
      <c r="W751" s="288">
        <v>0.72750000000000004</v>
      </c>
      <c r="X751" s="288">
        <v>0.76</v>
      </c>
      <c r="Y751" s="288">
        <v>0</v>
      </c>
      <c r="Z751" s="289">
        <v>0</v>
      </c>
      <c r="AA751" s="229"/>
      <c r="AB751" s="293">
        <v>90133.37680991985</v>
      </c>
      <c r="AC751" s="294">
        <v>2.9472435280344582</v>
      </c>
      <c r="AD751" s="295">
        <v>87878.716108176144</v>
      </c>
      <c r="AE751" s="294">
        <v>3.069857645541624</v>
      </c>
      <c r="AF751" s="295">
        <v>2254.6607017437054</v>
      </c>
      <c r="AG751" s="296">
        <v>-0.12261411750716578</v>
      </c>
      <c r="AH751" s="229"/>
      <c r="AI751" s="205">
        <f t="shared" si="80"/>
        <v>204590.97599352599</v>
      </c>
      <c r="AJ751" s="205">
        <f t="shared" si="81"/>
        <v>219107.04844598623</v>
      </c>
      <c r="AK751" s="205">
        <f t="shared" si="82"/>
        <v>-14516.072452460283</v>
      </c>
      <c r="AL751" s="229"/>
      <c r="AM751" s="52">
        <f t="shared" si="58"/>
        <v>0</v>
      </c>
      <c r="AN751" s="52">
        <f t="shared" si="59"/>
        <v>1</v>
      </c>
      <c r="AO751" s="52">
        <f t="shared" si="60"/>
        <v>0</v>
      </c>
      <c r="AP751" s="229"/>
      <c r="AQ751" s="28"/>
      <c r="AR751" s="28"/>
      <c r="AS751" s="28"/>
      <c r="AT751" s="28"/>
      <c r="AU751" s="229"/>
      <c r="AV751" s="318">
        <f t="shared" si="83"/>
        <v>219107.04844598623</v>
      </c>
      <c r="AW751" s="229"/>
      <c r="AX751" s="313"/>
      <c r="AY751" s="302"/>
      <c r="AZ751" s="14">
        <f t="shared" si="85"/>
        <v>2254.6607017437054</v>
      </c>
      <c r="BA751" s="14">
        <f t="shared" si="84"/>
        <v>-0.12261411750716578</v>
      </c>
      <c r="BB751" s="14">
        <f t="shared" si="61"/>
        <v>-18388.263501647267</v>
      </c>
      <c r="BC751" s="302"/>
      <c r="BD751" s="302"/>
      <c r="BE751" s="302"/>
      <c r="BF751" s="302"/>
      <c r="BG751" s="302"/>
      <c r="BH751" s="302"/>
      <c r="BI751" s="302"/>
      <c r="BJ751" s="302"/>
      <c r="BK751" s="302"/>
      <c r="BL751" s="302"/>
      <c r="BM751" s="302"/>
      <c r="BN751" s="302"/>
      <c r="BO751" s="302"/>
      <c r="BP751" s="302"/>
      <c r="BQ751" s="302"/>
      <c r="BR751" s="302"/>
      <c r="BS751" s="302"/>
      <c r="BT751" s="302"/>
      <c r="BU751" s="302"/>
      <c r="BV751" s="302"/>
      <c r="BW751" s="302"/>
      <c r="BX751" s="302"/>
      <c r="BY751" s="302"/>
      <c r="BZ751" s="302"/>
      <c r="CA751" s="302"/>
      <c r="CB751" s="28"/>
      <c r="CC751" s="28"/>
      <c r="CD751" s="28"/>
      <c r="CE751" s="28"/>
      <c r="CF751" s="28"/>
      <c r="CG751" s="28"/>
      <c r="CH751" s="28"/>
      <c r="CI751" s="28"/>
      <c r="CJ751" s="28"/>
      <c r="CK751" s="28"/>
      <c r="CL751" s="28"/>
      <c r="CM751" s="28"/>
      <c r="CN751" s="28"/>
      <c r="CO751" s="28"/>
      <c r="CP751" s="28"/>
      <c r="CQ751" s="28"/>
      <c r="CR751" s="28"/>
      <c r="CS751" s="28"/>
      <c r="CT751" s="28"/>
      <c r="CU751" s="28"/>
      <c r="CV751" s="28"/>
      <c r="CW751" s="28"/>
    </row>
    <row r="752" spans="1:101" ht="14.25" customHeight="1" x14ac:dyDescent="0.2">
      <c r="A752" s="286"/>
      <c r="B752" s="52">
        <v>0.17017849069958058</v>
      </c>
      <c r="C752" s="288">
        <v>8.5745456002207912E-2</v>
      </c>
      <c r="D752" s="288">
        <v>1.9754256282045968E-2</v>
      </c>
      <c r="E752" s="288">
        <v>1.0632690993557006E-2</v>
      </c>
      <c r="F752" s="289">
        <v>0.80975230513118268</v>
      </c>
      <c r="G752" s="92">
        <v>0.45726526860578642</v>
      </c>
      <c r="H752" s="288">
        <v>0.83254768759627107</v>
      </c>
      <c r="I752" s="288">
        <v>1.8386501832798996E-2</v>
      </c>
      <c r="J752" s="288">
        <v>0.99999856136625009</v>
      </c>
      <c r="K752" s="288">
        <v>0.80656688436950108</v>
      </c>
      <c r="L752" s="290">
        <v>9655.4354261574681</v>
      </c>
      <c r="M752" s="288">
        <v>0</v>
      </c>
      <c r="N752" s="288">
        <v>18322.604642220613</v>
      </c>
      <c r="O752" s="288">
        <v>1112.530816403631</v>
      </c>
      <c r="P752" s="288">
        <v>60965.120432233343</v>
      </c>
      <c r="Q752" s="291">
        <v>116768.93139967155</v>
      </c>
      <c r="R752" s="288">
        <v>23949.93924439956</v>
      </c>
      <c r="S752" s="288">
        <v>8617.8753402624461</v>
      </c>
      <c r="T752" s="290">
        <v>0.751</v>
      </c>
      <c r="U752" s="288">
        <v>0.75800000000000001</v>
      </c>
      <c r="V752" s="288">
        <v>0.723923076923077</v>
      </c>
      <c r="W752" s="288">
        <v>0.72750000000000004</v>
      </c>
      <c r="X752" s="288">
        <v>0.76</v>
      </c>
      <c r="Y752" s="288">
        <v>0</v>
      </c>
      <c r="Z752" s="289">
        <v>0</v>
      </c>
      <c r="AA752" s="229"/>
      <c r="AB752" s="293">
        <v>79691.184540162489</v>
      </c>
      <c r="AC752" s="294">
        <v>3.2811089738323256</v>
      </c>
      <c r="AD752" s="295">
        <v>80435.457859939663</v>
      </c>
      <c r="AE752" s="294">
        <v>3.2710984979249846</v>
      </c>
      <c r="AF752" s="295">
        <v>-744.27331977717404</v>
      </c>
      <c r="AG752" s="296">
        <v>1.0010475907340943E-2</v>
      </c>
      <c r="AH752" s="229"/>
      <c r="AI752" s="205">
        <f t="shared" si="80"/>
        <v>248419.71284307004</v>
      </c>
      <c r="AJ752" s="205">
        <f t="shared" si="81"/>
        <v>246674.39193255879</v>
      </c>
      <c r="AK752" s="205">
        <f t="shared" si="82"/>
        <v>1745.3209105112683</v>
      </c>
      <c r="AL752" s="229"/>
      <c r="AM752" s="52">
        <f t="shared" si="58"/>
        <v>1</v>
      </c>
      <c r="AN752" s="52">
        <f t="shared" si="59"/>
        <v>0</v>
      </c>
      <c r="AO752" s="52">
        <f t="shared" si="60"/>
        <v>1</v>
      </c>
      <c r="AP752" s="229"/>
      <c r="AQ752" s="28"/>
      <c r="AR752" s="28"/>
      <c r="AS752" s="28"/>
      <c r="AT752" s="28"/>
      <c r="AU752" s="229"/>
      <c r="AV752" s="318">
        <f t="shared" si="83"/>
        <v>248419.71284307004</v>
      </c>
      <c r="AW752" s="229"/>
      <c r="AX752" s="313"/>
      <c r="AY752" s="302"/>
      <c r="AZ752" s="14">
        <f t="shared" si="85"/>
        <v>-744.27331977717404</v>
      </c>
      <c r="BA752" s="14">
        <f t="shared" si="84"/>
        <v>1.0010475907340943E-2</v>
      </c>
      <c r="BB752" s="14">
        <f t="shared" si="61"/>
        <v>-74349.444188900045</v>
      </c>
      <c r="BC752" s="302"/>
      <c r="BD752" s="302"/>
      <c r="BE752" s="302"/>
      <c r="BF752" s="302"/>
      <c r="BG752" s="302"/>
      <c r="BH752" s="302"/>
      <c r="BI752" s="302"/>
      <c r="BJ752" s="302"/>
      <c r="BK752" s="302"/>
      <c r="BL752" s="302"/>
      <c r="BM752" s="302"/>
      <c r="BN752" s="302"/>
      <c r="BO752" s="302"/>
      <c r="BP752" s="302"/>
      <c r="BQ752" s="302"/>
      <c r="BR752" s="302"/>
      <c r="BS752" s="302"/>
      <c r="BT752" s="302"/>
      <c r="BU752" s="302"/>
      <c r="BV752" s="302"/>
      <c r="BW752" s="302"/>
      <c r="BX752" s="302"/>
      <c r="BY752" s="302"/>
      <c r="BZ752" s="302"/>
      <c r="CA752" s="302"/>
      <c r="CB752" s="28"/>
      <c r="CC752" s="28"/>
      <c r="CD752" s="28"/>
      <c r="CE752" s="28"/>
      <c r="CF752" s="28"/>
      <c r="CG752" s="28"/>
      <c r="CH752" s="28"/>
      <c r="CI752" s="28"/>
      <c r="CJ752" s="28"/>
      <c r="CK752" s="28"/>
      <c r="CL752" s="28"/>
      <c r="CM752" s="28"/>
      <c r="CN752" s="28"/>
      <c r="CO752" s="28"/>
      <c r="CP752" s="28"/>
      <c r="CQ752" s="28"/>
      <c r="CR752" s="28"/>
      <c r="CS752" s="28"/>
      <c r="CT752" s="28"/>
      <c r="CU752" s="28"/>
      <c r="CV752" s="28"/>
      <c r="CW752" s="28"/>
    </row>
    <row r="753" spans="1:101" ht="14.25" customHeight="1" x14ac:dyDescent="0.2">
      <c r="A753" s="286"/>
      <c r="B753" s="52">
        <v>0.18834077108914749</v>
      </c>
      <c r="C753" s="288">
        <v>0.46307718494363825</v>
      </c>
      <c r="D753" s="288">
        <v>2.0505757281083059E-2</v>
      </c>
      <c r="E753" s="288">
        <v>1.165173370112616E-2</v>
      </c>
      <c r="F753" s="289">
        <v>0.78028279610690177</v>
      </c>
      <c r="G753" s="92">
        <v>0.3938628324098179</v>
      </c>
      <c r="H753" s="288">
        <v>0.41797660868402731</v>
      </c>
      <c r="I753" s="288">
        <v>1.6816296526692476E-2</v>
      </c>
      <c r="J753" s="288">
        <v>0.99999999999267231</v>
      </c>
      <c r="K753" s="288">
        <v>0.7897963845215944</v>
      </c>
      <c r="L753" s="290">
        <v>12025.442681460767</v>
      </c>
      <c r="M753" s="288">
        <v>0</v>
      </c>
      <c r="N753" s="288">
        <v>20050.382444648927</v>
      </c>
      <c r="O753" s="288">
        <v>1392.5124826218148</v>
      </c>
      <c r="P753" s="288">
        <v>46723.52479194921</v>
      </c>
      <c r="Q753" s="291">
        <v>98433.385127046189</v>
      </c>
      <c r="R753" s="288">
        <v>26370.553143251862</v>
      </c>
      <c r="S753" s="288">
        <v>11100.477027297113</v>
      </c>
      <c r="T753" s="290">
        <v>0.751</v>
      </c>
      <c r="U753" s="288">
        <v>0.75800000000000001</v>
      </c>
      <c r="V753" s="288">
        <v>0.723923076923077</v>
      </c>
      <c r="W753" s="288">
        <v>0.72750000000000004</v>
      </c>
      <c r="X753" s="288">
        <v>0.76</v>
      </c>
      <c r="Y753" s="288">
        <v>0</v>
      </c>
      <c r="Z753" s="289">
        <v>0</v>
      </c>
      <c r="AA753" s="229"/>
      <c r="AB753" s="293">
        <v>100739.57227051526</v>
      </c>
      <c r="AC753" s="294">
        <v>3.1436653148144931</v>
      </c>
      <c r="AD753" s="295">
        <v>93413.51581481121</v>
      </c>
      <c r="AE753" s="294">
        <v>3.1926454167125682</v>
      </c>
      <c r="AF753" s="295">
        <v>7326.0564557040489</v>
      </c>
      <c r="AG753" s="296">
        <v>-4.8980101898075112E-2</v>
      </c>
      <c r="AH753" s="229"/>
      <c r="AI753" s="205">
        <f t="shared" si="80"/>
        <v>213626.95921093406</v>
      </c>
      <c r="AJ753" s="205">
        <f t="shared" si="81"/>
        <v>225851.0258564456</v>
      </c>
      <c r="AK753" s="205">
        <f t="shared" si="82"/>
        <v>-12224.066645511561</v>
      </c>
      <c r="AL753" s="229"/>
      <c r="AM753" s="52">
        <f t="shared" si="58"/>
        <v>0</v>
      </c>
      <c r="AN753" s="52">
        <f t="shared" si="59"/>
        <v>1</v>
      </c>
      <c r="AO753" s="52">
        <f t="shared" si="60"/>
        <v>0</v>
      </c>
      <c r="AP753" s="229"/>
      <c r="AQ753" s="28"/>
      <c r="AR753" s="28"/>
      <c r="AS753" s="28"/>
      <c r="AT753" s="28"/>
      <c r="AU753" s="229"/>
      <c r="AV753" s="318">
        <f t="shared" si="83"/>
        <v>225851.0258564456</v>
      </c>
      <c r="AW753" s="229"/>
      <c r="AX753" s="313"/>
      <c r="AY753" s="302"/>
      <c r="AZ753" s="14">
        <f t="shared" si="85"/>
        <v>7326.0564557040489</v>
      </c>
      <c r="BA753" s="14">
        <f t="shared" si="84"/>
        <v>-4.8980101898075112E-2</v>
      </c>
      <c r="BB753" s="14">
        <f t="shared" si="61"/>
        <v>-149572.09503053236</v>
      </c>
      <c r="BC753" s="302"/>
      <c r="BD753" s="302"/>
      <c r="BE753" s="302"/>
      <c r="BF753" s="302"/>
      <c r="BG753" s="302"/>
      <c r="BH753" s="302"/>
      <c r="BI753" s="302"/>
      <c r="BJ753" s="302"/>
      <c r="BK753" s="302"/>
      <c r="BL753" s="302"/>
      <c r="BM753" s="302"/>
      <c r="BN753" s="302"/>
      <c r="BO753" s="302"/>
      <c r="BP753" s="302"/>
      <c r="BQ753" s="302"/>
      <c r="BR753" s="302"/>
      <c r="BS753" s="302"/>
      <c r="BT753" s="302"/>
      <c r="BU753" s="302"/>
      <c r="BV753" s="302"/>
      <c r="BW753" s="302"/>
      <c r="BX753" s="302"/>
      <c r="BY753" s="302"/>
      <c r="BZ753" s="302"/>
      <c r="CA753" s="302"/>
      <c r="CB753" s="28"/>
      <c r="CC753" s="28"/>
      <c r="CD753" s="28"/>
      <c r="CE753" s="28"/>
      <c r="CF753" s="28"/>
      <c r="CG753" s="28"/>
      <c r="CH753" s="28"/>
      <c r="CI753" s="28"/>
      <c r="CJ753" s="28"/>
      <c r="CK753" s="28"/>
      <c r="CL753" s="28"/>
      <c r="CM753" s="28"/>
      <c r="CN753" s="28"/>
      <c r="CO753" s="28"/>
      <c r="CP753" s="28"/>
      <c r="CQ753" s="28"/>
      <c r="CR753" s="28"/>
      <c r="CS753" s="28"/>
      <c r="CT753" s="28"/>
      <c r="CU753" s="28"/>
      <c r="CV753" s="28"/>
      <c r="CW753" s="28"/>
    </row>
    <row r="754" spans="1:101" ht="14.25" customHeight="1" x14ac:dyDescent="0.2">
      <c r="A754" s="286"/>
      <c r="B754" s="52">
        <v>0.182486639830021</v>
      </c>
      <c r="C754" s="288">
        <v>1.2750247522063557E-2</v>
      </c>
      <c r="D754" s="288">
        <v>7.8786106936324339E-3</v>
      </c>
      <c r="E754" s="288">
        <v>1.3858398682167159E-2</v>
      </c>
      <c r="F754" s="289">
        <v>0.76551994526669476</v>
      </c>
      <c r="G754" s="92">
        <v>0.42011201227744932</v>
      </c>
      <c r="H754" s="288">
        <v>0.66654839453855286</v>
      </c>
      <c r="I754" s="288">
        <v>2.5288043838915031E-2</v>
      </c>
      <c r="J754" s="288">
        <v>0.9999999998821012</v>
      </c>
      <c r="K754" s="288">
        <v>0.79138017566807428</v>
      </c>
      <c r="L754" s="290">
        <v>14936.036259786204</v>
      </c>
      <c r="M754" s="288">
        <v>0</v>
      </c>
      <c r="N754" s="288">
        <v>19114.06616171162</v>
      </c>
      <c r="O754" s="288">
        <v>864.62055140452765</v>
      </c>
      <c r="P754" s="288">
        <v>42209.579628016894</v>
      </c>
      <c r="Q754" s="291">
        <v>108747.15196240753</v>
      </c>
      <c r="R754" s="288">
        <v>22608.289586012674</v>
      </c>
      <c r="S754" s="288">
        <v>8008.765723537942</v>
      </c>
      <c r="T754" s="290">
        <v>0.751</v>
      </c>
      <c r="U754" s="288">
        <v>0.75800000000000001</v>
      </c>
      <c r="V754" s="288">
        <v>0.723923076923077</v>
      </c>
      <c r="W754" s="288">
        <v>0.72750000000000004</v>
      </c>
      <c r="X754" s="288">
        <v>0.76</v>
      </c>
      <c r="Y754" s="288">
        <v>0</v>
      </c>
      <c r="Z754" s="289">
        <v>0</v>
      </c>
      <c r="AA754" s="229"/>
      <c r="AB754" s="293">
        <v>76013.619092958397</v>
      </c>
      <c r="AC754" s="294">
        <v>3.0753245579652764</v>
      </c>
      <c r="AD754" s="295">
        <v>71543.32560825687</v>
      </c>
      <c r="AE754" s="294">
        <v>3.2000354997550287</v>
      </c>
      <c r="AF754" s="295">
        <v>4470.2934847015276</v>
      </c>
      <c r="AG754" s="296">
        <v>-0.12471094178975228</v>
      </c>
      <c r="AH754" s="229"/>
      <c r="AI754" s="205">
        <f t="shared" si="80"/>
        <v>231518.83670356922</v>
      </c>
      <c r="AJ754" s="205">
        <f t="shared" si="81"/>
        <v>248460.22436724603</v>
      </c>
      <c r="AK754" s="205">
        <f t="shared" si="82"/>
        <v>-16941.387663676756</v>
      </c>
      <c r="AL754" s="229"/>
      <c r="AM754" s="52">
        <f t="shared" si="58"/>
        <v>0</v>
      </c>
      <c r="AN754" s="52">
        <f t="shared" si="59"/>
        <v>1</v>
      </c>
      <c r="AO754" s="52">
        <f t="shared" si="60"/>
        <v>0</v>
      </c>
      <c r="AP754" s="229"/>
      <c r="AQ754" s="28"/>
      <c r="AR754" s="28"/>
      <c r="AS754" s="28"/>
      <c r="AT754" s="28"/>
      <c r="AU754" s="229"/>
      <c r="AV754" s="318">
        <f t="shared" si="83"/>
        <v>248460.22436724603</v>
      </c>
      <c r="AW754" s="229"/>
      <c r="AX754" s="313"/>
      <c r="AY754" s="302"/>
      <c r="AZ754" s="14">
        <f t="shared" si="85"/>
        <v>4470.2934847015276</v>
      </c>
      <c r="BA754" s="14">
        <f t="shared" si="84"/>
        <v>-0.12471094178975228</v>
      </c>
      <c r="BB754" s="14">
        <f t="shared" si="61"/>
        <v>-35845.238762112043</v>
      </c>
      <c r="BC754" s="302"/>
      <c r="BD754" s="302"/>
      <c r="BE754" s="302"/>
      <c r="BF754" s="302"/>
      <c r="BG754" s="302"/>
      <c r="BH754" s="302"/>
      <c r="BI754" s="302"/>
      <c r="BJ754" s="302"/>
      <c r="BK754" s="302"/>
      <c r="BL754" s="302"/>
      <c r="BM754" s="302"/>
      <c r="BN754" s="302"/>
      <c r="BO754" s="302"/>
      <c r="BP754" s="302"/>
      <c r="BQ754" s="302"/>
      <c r="BR754" s="302"/>
      <c r="BS754" s="302"/>
      <c r="BT754" s="302"/>
      <c r="BU754" s="302"/>
      <c r="BV754" s="302"/>
      <c r="BW754" s="302"/>
      <c r="BX754" s="302"/>
      <c r="BY754" s="302"/>
      <c r="BZ754" s="302"/>
      <c r="CA754" s="302"/>
      <c r="CB754" s="28"/>
      <c r="CC754" s="28"/>
      <c r="CD754" s="28"/>
      <c r="CE754" s="28"/>
      <c r="CF754" s="28"/>
      <c r="CG754" s="28"/>
      <c r="CH754" s="28"/>
      <c r="CI754" s="28"/>
      <c r="CJ754" s="28"/>
      <c r="CK754" s="28"/>
      <c r="CL754" s="28"/>
      <c r="CM754" s="28"/>
      <c r="CN754" s="28"/>
      <c r="CO754" s="28"/>
      <c r="CP754" s="28"/>
      <c r="CQ754" s="28"/>
      <c r="CR754" s="28"/>
      <c r="CS754" s="28"/>
      <c r="CT754" s="28"/>
      <c r="CU754" s="28"/>
      <c r="CV754" s="28"/>
      <c r="CW754" s="28"/>
    </row>
    <row r="755" spans="1:101" ht="14.25" customHeight="1" x14ac:dyDescent="0.2">
      <c r="A755" s="286"/>
      <c r="B755" s="52">
        <v>0.14772941829793243</v>
      </c>
      <c r="C755" s="288">
        <v>3.4479723288795973E-3</v>
      </c>
      <c r="D755" s="288">
        <v>1.142200506714822E-2</v>
      </c>
      <c r="E755" s="288">
        <v>1.3891039549634117E-2</v>
      </c>
      <c r="F755" s="289">
        <v>0.80147945437958967</v>
      </c>
      <c r="G755" s="92">
        <v>0.37340821760024379</v>
      </c>
      <c r="H755" s="288">
        <v>0.5835159003277941</v>
      </c>
      <c r="I755" s="288">
        <v>1.1536402911133425E-2</v>
      </c>
      <c r="J755" s="288">
        <v>0.99999957220313174</v>
      </c>
      <c r="K755" s="288">
        <v>0.74693454278272364</v>
      </c>
      <c r="L755" s="290">
        <v>13105.507881076932</v>
      </c>
      <c r="M755" s="288">
        <v>0</v>
      </c>
      <c r="N755" s="288">
        <v>22966.866844344724</v>
      </c>
      <c r="O755" s="288">
        <v>700.30213786571846</v>
      </c>
      <c r="P755" s="288">
        <v>36863.888487967379</v>
      </c>
      <c r="Q755" s="291">
        <v>108258.13900199479</v>
      </c>
      <c r="R755" s="288">
        <v>21301.641512737227</v>
      </c>
      <c r="S755" s="288">
        <v>10157.143097139713</v>
      </c>
      <c r="T755" s="290">
        <v>0.751</v>
      </c>
      <c r="U755" s="288">
        <v>0.75800000000000001</v>
      </c>
      <c r="V755" s="288">
        <v>0.723923076923077</v>
      </c>
      <c r="W755" s="288">
        <v>0.72750000000000004</v>
      </c>
      <c r="X755" s="288">
        <v>0.76</v>
      </c>
      <c r="Y755" s="288">
        <v>0</v>
      </c>
      <c r="Z755" s="289">
        <v>0</v>
      </c>
      <c r="AA755" s="229"/>
      <c r="AB755" s="293">
        <v>94015.834997809769</v>
      </c>
      <c r="AC755" s="294">
        <v>3.2423874726107593</v>
      </c>
      <c r="AD755" s="295">
        <v>81225.096023484235</v>
      </c>
      <c r="AE755" s="294">
        <v>2.9941503853096592</v>
      </c>
      <c r="AF755" s="295">
        <v>12790.738974325533</v>
      </c>
      <c r="AG755" s="296">
        <v>0.24823708730110017</v>
      </c>
      <c r="AH755" s="229"/>
      <c r="AI755" s="205">
        <f t="shared" si="80"/>
        <v>230222.91226326616</v>
      </c>
      <c r="AJ755" s="205">
        <f t="shared" si="81"/>
        <v>218189.94250748167</v>
      </c>
      <c r="AK755" s="205">
        <f t="shared" si="82"/>
        <v>12032.969755784485</v>
      </c>
      <c r="AL755" s="229"/>
      <c r="AM755" s="52">
        <f t="shared" si="58"/>
        <v>1</v>
      </c>
      <c r="AN755" s="52">
        <f t="shared" si="59"/>
        <v>0</v>
      </c>
      <c r="AO755" s="52">
        <f t="shared" si="60"/>
        <v>1</v>
      </c>
      <c r="AP755" s="229"/>
      <c r="AQ755" s="28"/>
      <c r="AR755" s="28"/>
      <c r="AS755" s="28"/>
      <c r="AT755" s="28"/>
      <c r="AU755" s="229"/>
      <c r="AV755" s="318">
        <f t="shared" si="83"/>
        <v>230222.91226326616</v>
      </c>
      <c r="AW755" s="229"/>
      <c r="AX755" s="313"/>
      <c r="AY755" s="302"/>
      <c r="AZ755" s="14">
        <f t="shared" si="85"/>
        <v>12790.738974325533</v>
      </c>
      <c r="BA755" s="14">
        <f t="shared" si="84"/>
        <v>0.24823708730110017</v>
      </c>
      <c r="BB755" s="14">
        <f t="shared" si="61"/>
        <v>51526.301381432808</v>
      </c>
      <c r="BC755" s="302"/>
      <c r="BD755" s="302"/>
      <c r="BE755" s="302"/>
      <c r="BF755" s="302"/>
      <c r="BG755" s="302"/>
      <c r="BH755" s="302"/>
      <c r="BI755" s="302"/>
      <c r="BJ755" s="302"/>
      <c r="BK755" s="302"/>
      <c r="BL755" s="302"/>
      <c r="BM755" s="302"/>
      <c r="BN755" s="302"/>
      <c r="BO755" s="302"/>
      <c r="BP755" s="302"/>
      <c r="BQ755" s="302"/>
      <c r="BR755" s="302"/>
      <c r="BS755" s="302"/>
      <c r="BT755" s="302"/>
      <c r="BU755" s="302"/>
      <c r="BV755" s="302"/>
      <c r="BW755" s="302"/>
      <c r="BX755" s="302"/>
      <c r="BY755" s="302"/>
      <c r="BZ755" s="302"/>
      <c r="CA755" s="302"/>
      <c r="CB755" s="28"/>
      <c r="CC755" s="28"/>
      <c r="CD755" s="28"/>
      <c r="CE755" s="28"/>
      <c r="CF755" s="28"/>
      <c r="CG755" s="28"/>
      <c r="CH755" s="28"/>
      <c r="CI755" s="28"/>
      <c r="CJ755" s="28"/>
      <c r="CK755" s="28"/>
      <c r="CL755" s="28"/>
      <c r="CM755" s="28"/>
      <c r="CN755" s="28"/>
      <c r="CO755" s="28"/>
      <c r="CP755" s="28"/>
      <c r="CQ755" s="28"/>
      <c r="CR755" s="28"/>
      <c r="CS755" s="28"/>
      <c r="CT755" s="28"/>
      <c r="CU755" s="28"/>
      <c r="CV755" s="28"/>
      <c r="CW755" s="28"/>
    </row>
    <row r="756" spans="1:101" ht="14.25" customHeight="1" x14ac:dyDescent="0.2">
      <c r="A756" s="286"/>
      <c r="B756" s="52">
        <v>0.15191500488114401</v>
      </c>
      <c r="C756" s="288">
        <v>0.43679508324387484</v>
      </c>
      <c r="D756" s="288">
        <v>1.8191038165140228E-2</v>
      </c>
      <c r="E756" s="288">
        <v>8.9464377154375285E-3</v>
      </c>
      <c r="F756" s="289">
        <v>0.82042909711779433</v>
      </c>
      <c r="G756" s="92">
        <v>0.43734059323567787</v>
      </c>
      <c r="H756" s="288">
        <v>9.6593319383771928E-2</v>
      </c>
      <c r="I756" s="288">
        <v>1.8319254707826915E-2</v>
      </c>
      <c r="J756" s="288">
        <v>0.99999993604412696</v>
      </c>
      <c r="K756" s="288">
        <v>0.72604522858040266</v>
      </c>
      <c r="L756" s="290">
        <v>7883.2452050756538</v>
      </c>
      <c r="M756" s="288">
        <v>0</v>
      </c>
      <c r="N756" s="288">
        <v>19037.493042451755</v>
      </c>
      <c r="O756" s="288">
        <v>1424.9567643217194</v>
      </c>
      <c r="P756" s="288">
        <v>54719.053451005973</v>
      </c>
      <c r="Q756" s="291">
        <v>79555.406274632827</v>
      </c>
      <c r="R756" s="288">
        <v>18212.133787943931</v>
      </c>
      <c r="S756" s="288">
        <v>10742.124234122944</v>
      </c>
      <c r="T756" s="290">
        <v>0.751</v>
      </c>
      <c r="U756" s="288">
        <v>0.75800000000000001</v>
      </c>
      <c r="V756" s="288">
        <v>0.723923076923077</v>
      </c>
      <c r="W756" s="288">
        <v>0.72750000000000004</v>
      </c>
      <c r="X756" s="288">
        <v>0.76</v>
      </c>
      <c r="Y756" s="288">
        <v>0</v>
      </c>
      <c r="Z756" s="289">
        <v>0</v>
      </c>
      <c r="AA756" s="229"/>
      <c r="AB756" s="293">
        <v>96800.212864781744</v>
      </c>
      <c r="AC756" s="294">
        <v>3.3312409155546026</v>
      </c>
      <c r="AD756" s="295">
        <v>80441.235102886101</v>
      </c>
      <c r="AE756" s="294">
        <v>2.8984606335546212</v>
      </c>
      <c r="AF756" s="295">
        <v>16358.977761895643</v>
      </c>
      <c r="AG756" s="296">
        <v>0.43278028199998131</v>
      </c>
      <c r="AH756" s="229"/>
      <c r="AI756" s="205">
        <f t="shared" si="80"/>
        <v>236323.87869067851</v>
      </c>
      <c r="AJ756" s="205">
        <f t="shared" si="81"/>
        <v>209404.828252576</v>
      </c>
      <c r="AK756" s="205">
        <f t="shared" si="82"/>
        <v>26919.050438102488</v>
      </c>
      <c r="AL756" s="229"/>
      <c r="AM756" s="52">
        <f t="shared" si="58"/>
        <v>1</v>
      </c>
      <c r="AN756" s="52">
        <f t="shared" si="59"/>
        <v>0</v>
      </c>
      <c r="AO756" s="52">
        <f t="shared" si="60"/>
        <v>1</v>
      </c>
      <c r="AP756" s="229"/>
      <c r="AQ756" s="28"/>
      <c r="AR756" s="28"/>
      <c r="AS756" s="28"/>
      <c r="AT756" s="28"/>
      <c r="AU756" s="229"/>
      <c r="AV756" s="318">
        <f t="shared" si="83"/>
        <v>236323.87869067851</v>
      </c>
      <c r="AW756" s="229"/>
      <c r="AX756" s="313"/>
      <c r="AY756" s="302"/>
      <c r="AZ756" s="14">
        <f t="shared" si="85"/>
        <v>16358.977761895643</v>
      </c>
      <c r="BA756" s="14">
        <f t="shared" si="84"/>
        <v>0.43278028199998131</v>
      </c>
      <c r="BB756" s="14">
        <f t="shared" si="61"/>
        <v>37799.72989133629</v>
      </c>
      <c r="BC756" s="302"/>
      <c r="BD756" s="302"/>
      <c r="BE756" s="302"/>
      <c r="BF756" s="302"/>
      <c r="BG756" s="302"/>
      <c r="BH756" s="302"/>
      <c r="BI756" s="302"/>
      <c r="BJ756" s="302"/>
      <c r="BK756" s="302"/>
      <c r="BL756" s="302"/>
      <c r="BM756" s="302"/>
      <c r="BN756" s="302"/>
      <c r="BO756" s="302"/>
      <c r="BP756" s="302"/>
      <c r="BQ756" s="302"/>
      <c r="BR756" s="302"/>
      <c r="BS756" s="302"/>
      <c r="BT756" s="302"/>
      <c r="BU756" s="302"/>
      <c r="BV756" s="302"/>
      <c r="BW756" s="302"/>
      <c r="BX756" s="302"/>
      <c r="BY756" s="302"/>
      <c r="BZ756" s="302"/>
      <c r="CA756" s="302"/>
      <c r="CB756" s="28"/>
      <c r="CC756" s="28"/>
      <c r="CD756" s="28"/>
      <c r="CE756" s="28"/>
      <c r="CF756" s="28"/>
      <c r="CG756" s="28"/>
      <c r="CH756" s="28"/>
      <c r="CI756" s="28"/>
      <c r="CJ756" s="28"/>
      <c r="CK756" s="28"/>
      <c r="CL756" s="28"/>
      <c r="CM756" s="28"/>
      <c r="CN756" s="28"/>
      <c r="CO756" s="28"/>
      <c r="CP756" s="28"/>
      <c r="CQ756" s="28"/>
      <c r="CR756" s="28"/>
      <c r="CS756" s="28"/>
      <c r="CT756" s="28"/>
      <c r="CU756" s="28"/>
      <c r="CV756" s="28"/>
      <c r="CW756" s="28"/>
    </row>
    <row r="757" spans="1:101" ht="14.25" customHeight="1" x14ac:dyDescent="0.2">
      <c r="A757" s="286"/>
      <c r="B757" s="52">
        <v>0.15182560991494015</v>
      </c>
      <c r="C757" s="288">
        <v>0.51470874489786222</v>
      </c>
      <c r="D757" s="288">
        <v>2.4899814199185188E-2</v>
      </c>
      <c r="E757" s="288">
        <v>3.4204522936071124E-2</v>
      </c>
      <c r="F757" s="289">
        <v>0.79757197709347871</v>
      </c>
      <c r="G757" s="92">
        <v>0.36519710950569084</v>
      </c>
      <c r="H757" s="288">
        <v>0.55686595907827741</v>
      </c>
      <c r="I757" s="288">
        <v>1.6198243744287244E-2</v>
      </c>
      <c r="J757" s="288">
        <v>0.35954776211790529</v>
      </c>
      <c r="K757" s="288">
        <v>0.75456838560341444</v>
      </c>
      <c r="L757" s="290">
        <v>11464.21446024579</v>
      </c>
      <c r="M757" s="288">
        <v>0</v>
      </c>
      <c r="N757" s="288">
        <v>15803.424780364663</v>
      </c>
      <c r="O757" s="288">
        <v>1273.2209546808522</v>
      </c>
      <c r="P757" s="288">
        <v>54753.276002591439</v>
      </c>
      <c r="Q757" s="291">
        <v>110431.81792363524</v>
      </c>
      <c r="R757" s="288">
        <v>15878.280302971025</v>
      </c>
      <c r="S757" s="288">
        <v>5985.0275780594093</v>
      </c>
      <c r="T757" s="290">
        <v>0.751</v>
      </c>
      <c r="U757" s="288">
        <v>0.75800000000000001</v>
      </c>
      <c r="V757" s="288">
        <v>0.723923076923077</v>
      </c>
      <c r="W757" s="288">
        <v>0.72750000000000004</v>
      </c>
      <c r="X757" s="288">
        <v>0.76</v>
      </c>
      <c r="Y757" s="288">
        <v>0</v>
      </c>
      <c r="Z757" s="289">
        <v>0</v>
      </c>
      <c r="AA757" s="229"/>
      <c r="AB757" s="293">
        <v>60593.413252222046</v>
      </c>
      <c r="AC757" s="294">
        <v>3.2241356511208541</v>
      </c>
      <c r="AD757" s="295">
        <v>49526.069262378354</v>
      </c>
      <c r="AE757" s="294">
        <v>3.0292910930132706</v>
      </c>
      <c r="AF757" s="295">
        <v>11067.343989843692</v>
      </c>
      <c r="AG757" s="296">
        <v>0.1948445581075835</v>
      </c>
      <c r="AH757" s="229"/>
      <c r="AI757" s="205">
        <f t="shared" si="80"/>
        <v>261820.15185986337</v>
      </c>
      <c r="AJ757" s="205">
        <f t="shared" si="81"/>
        <v>253403.04003894873</v>
      </c>
      <c r="AK757" s="205">
        <f t="shared" si="82"/>
        <v>8417.1118209146589</v>
      </c>
      <c r="AL757" s="229"/>
      <c r="AM757" s="52">
        <f t="shared" si="58"/>
        <v>1</v>
      </c>
      <c r="AN757" s="52">
        <f t="shared" si="59"/>
        <v>0</v>
      </c>
      <c r="AO757" s="52">
        <f t="shared" si="60"/>
        <v>1</v>
      </c>
      <c r="AP757" s="229"/>
      <c r="AQ757" s="28"/>
      <c r="AR757" s="28"/>
      <c r="AS757" s="28"/>
      <c r="AT757" s="28"/>
      <c r="AU757" s="229"/>
      <c r="AV757" s="318">
        <f t="shared" si="83"/>
        <v>261820.15185986337</v>
      </c>
      <c r="AW757" s="229"/>
      <c r="AX757" s="313"/>
      <c r="AY757" s="302"/>
      <c r="AZ757" s="14">
        <f t="shared" si="85"/>
        <v>11067.343989843692</v>
      </c>
      <c r="BA757" s="14">
        <f t="shared" si="84"/>
        <v>0.1948445581075835</v>
      </c>
      <c r="BB757" s="14">
        <f t="shared" si="61"/>
        <v>56800.888345738931</v>
      </c>
      <c r="BC757" s="302"/>
      <c r="BD757" s="302"/>
      <c r="BE757" s="302"/>
      <c r="BF757" s="302"/>
      <c r="BG757" s="302"/>
      <c r="BH757" s="302"/>
      <c r="BI757" s="302"/>
      <c r="BJ757" s="302"/>
      <c r="BK757" s="302"/>
      <c r="BL757" s="302"/>
      <c r="BM757" s="302"/>
      <c r="BN757" s="302"/>
      <c r="BO757" s="302"/>
      <c r="BP757" s="302"/>
      <c r="BQ757" s="302"/>
      <c r="BR757" s="302"/>
      <c r="BS757" s="302"/>
      <c r="BT757" s="302"/>
      <c r="BU757" s="302"/>
      <c r="BV757" s="302"/>
      <c r="BW757" s="302"/>
      <c r="BX757" s="302"/>
      <c r="BY757" s="302"/>
      <c r="BZ757" s="302"/>
      <c r="CA757" s="302"/>
      <c r="CB757" s="28"/>
      <c r="CC757" s="28"/>
      <c r="CD757" s="28"/>
      <c r="CE757" s="28"/>
      <c r="CF757" s="28"/>
      <c r="CG757" s="28"/>
      <c r="CH757" s="28"/>
      <c r="CI757" s="28"/>
      <c r="CJ757" s="28"/>
      <c r="CK757" s="28"/>
      <c r="CL757" s="28"/>
      <c r="CM757" s="28"/>
      <c r="CN757" s="28"/>
      <c r="CO757" s="28"/>
      <c r="CP757" s="28"/>
      <c r="CQ757" s="28"/>
      <c r="CR757" s="28"/>
      <c r="CS757" s="28"/>
      <c r="CT757" s="28"/>
      <c r="CU757" s="28"/>
      <c r="CV757" s="28"/>
      <c r="CW757" s="28"/>
    </row>
    <row r="758" spans="1:101" ht="14.25" customHeight="1" x14ac:dyDescent="0.2">
      <c r="A758" s="286"/>
      <c r="B758" s="52">
        <v>0.13547389425020626</v>
      </c>
      <c r="C758" s="288">
        <v>5.1183127730787127E-2</v>
      </c>
      <c r="D758" s="288">
        <v>2.709620911809385E-2</v>
      </c>
      <c r="E758" s="288">
        <v>1.2958705147024139E-2</v>
      </c>
      <c r="F758" s="289">
        <v>0.82941428893499969</v>
      </c>
      <c r="G758" s="92">
        <v>0.44916701515302437</v>
      </c>
      <c r="H758" s="288">
        <v>5.6899774380625989E-2</v>
      </c>
      <c r="I758" s="288">
        <v>3.7001579179646929E-3</v>
      </c>
      <c r="J758" s="288">
        <v>0.99995937442537364</v>
      </c>
      <c r="K758" s="288">
        <v>0.74419633563510512</v>
      </c>
      <c r="L758" s="290">
        <v>15933.553976004849</v>
      </c>
      <c r="M758" s="288">
        <v>0</v>
      </c>
      <c r="N758" s="288">
        <v>23167.596759564207</v>
      </c>
      <c r="O758" s="288">
        <v>1482.9588012065217</v>
      </c>
      <c r="P758" s="288">
        <v>51420.282916477066</v>
      </c>
      <c r="Q758" s="291">
        <v>92772.561928960917</v>
      </c>
      <c r="R758" s="288">
        <v>17981.348793869925</v>
      </c>
      <c r="S758" s="288">
        <v>8813.7133708612273</v>
      </c>
      <c r="T758" s="290">
        <v>0.751</v>
      </c>
      <c r="U758" s="288">
        <v>0.75800000000000001</v>
      </c>
      <c r="V758" s="288">
        <v>0.723923076923077</v>
      </c>
      <c r="W758" s="288">
        <v>0.72750000000000004</v>
      </c>
      <c r="X758" s="288">
        <v>0.76</v>
      </c>
      <c r="Y758" s="288">
        <v>0</v>
      </c>
      <c r="Z758" s="289">
        <v>0</v>
      </c>
      <c r="AA758" s="229"/>
      <c r="AB758" s="293">
        <v>88991.123644302061</v>
      </c>
      <c r="AC758" s="294">
        <v>3.3735686476845217</v>
      </c>
      <c r="AD758" s="295">
        <v>66808.319924788724</v>
      </c>
      <c r="AE758" s="294">
        <v>2.9815680374770532</v>
      </c>
      <c r="AF758" s="295">
        <v>22182.803719513337</v>
      </c>
      <c r="AG758" s="296">
        <v>0.39200061020746846</v>
      </c>
      <c r="AH758" s="229"/>
      <c r="AI758" s="205">
        <f t="shared" si="80"/>
        <v>248365.74112415011</v>
      </c>
      <c r="AJ758" s="205">
        <f t="shared" si="81"/>
        <v>231348.48382291658</v>
      </c>
      <c r="AK758" s="205">
        <f t="shared" si="82"/>
        <v>17017.257301233512</v>
      </c>
      <c r="AL758" s="229"/>
      <c r="AM758" s="52">
        <f t="shared" si="58"/>
        <v>1</v>
      </c>
      <c r="AN758" s="52">
        <f t="shared" si="59"/>
        <v>0</v>
      </c>
      <c r="AO758" s="52">
        <f t="shared" si="60"/>
        <v>1</v>
      </c>
      <c r="AP758" s="229"/>
      <c r="AQ758" s="28"/>
      <c r="AR758" s="28"/>
      <c r="AS758" s="28"/>
      <c r="AT758" s="28"/>
      <c r="AU758" s="229"/>
      <c r="AV758" s="318">
        <f t="shared" si="83"/>
        <v>248365.74112415011</v>
      </c>
      <c r="AW758" s="229"/>
      <c r="AX758" s="313"/>
      <c r="AY758" s="302"/>
      <c r="AZ758" s="14">
        <f t="shared" si="85"/>
        <v>22182.803719513337</v>
      </c>
      <c r="BA758" s="14">
        <f t="shared" si="84"/>
        <v>0.39200061020746846</v>
      </c>
      <c r="BB758" s="14">
        <f t="shared" si="61"/>
        <v>56588.696909866972</v>
      </c>
      <c r="BC758" s="302"/>
      <c r="BD758" s="302"/>
      <c r="BE758" s="302"/>
      <c r="BF758" s="302"/>
      <c r="BG758" s="302"/>
      <c r="BH758" s="302"/>
      <c r="BI758" s="302"/>
      <c r="BJ758" s="302"/>
      <c r="BK758" s="302"/>
      <c r="BL758" s="302"/>
      <c r="BM758" s="302"/>
      <c r="BN758" s="302"/>
      <c r="BO758" s="302"/>
      <c r="BP758" s="302"/>
      <c r="BQ758" s="302"/>
      <c r="BR758" s="302"/>
      <c r="BS758" s="302"/>
      <c r="BT758" s="302"/>
      <c r="BU758" s="302"/>
      <c r="BV758" s="302"/>
      <c r="BW758" s="302"/>
      <c r="BX758" s="302"/>
      <c r="BY758" s="302"/>
      <c r="BZ758" s="302"/>
      <c r="CA758" s="302"/>
      <c r="CB758" s="28"/>
      <c r="CC758" s="28"/>
      <c r="CD758" s="28"/>
      <c r="CE758" s="28"/>
      <c r="CF758" s="28"/>
      <c r="CG758" s="28"/>
      <c r="CH758" s="28"/>
      <c r="CI758" s="28"/>
      <c r="CJ758" s="28"/>
      <c r="CK758" s="28"/>
      <c r="CL758" s="28"/>
      <c r="CM758" s="28"/>
      <c r="CN758" s="28"/>
      <c r="CO758" s="28"/>
      <c r="CP758" s="28"/>
      <c r="CQ758" s="28"/>
      <c r="CR758" s="28"/>
      <c r="CS758" s="28"/>
      <c r="CT758" s="28"/>
      <c r="CU758" s="28"/>
      <c r="CV758" s="28"/>
      <c r="CW758" s="28"/>
    </row>
    <row r="759" spans="1:101" ht="14.25" customHeight="1" x14ac:dyDescent="0.2">
      <c r="A759" s="286"/>
      <c r="B759" s="52">
        <v>0.17177498286929482</v>
      </c>
      <c r="C759" s="288">
        <v>0.30667568798870914</v>
      </c>
      <c r="D759" s="288">
        <v>1.0986600602448379E-2</v>
      </c>
      <c r="E759" s="288">
        <v>2.2331654238329834E-2</v>
      </c>
      <c r="F759" s="289">
        <v>0.76590937202182185</v>
      </c>
      <c r="G759" s="92">
        <v>0.35618671470296526</v>
      </c>
      <c r="H759" s="288">
        <v>0.35450889843556482</v>
      </c>
      <c r="I759" s="288">
        <v>2.0977947269954722E-2</v>
      </c>
      <c r="J759" s="288">
        <v>1</v>
      </c>
      <c r="K759" s="288">
        <v>0.68505979537145478</v>
      </c>
      <c r="L759" s="290">
        <v>11475.309565635231</v>
      </c>
      <c r="M759" s="288">
        <v>0</v>
      </c>
      <c r="N759" s="288">
        <v>18061.846858957644</v>
      </c>
      <c r="O759" s="288">
        <v>1222.2897098145233</v>
      </c>
      <c r="P759" s="288">
        <v>30493.5564911402</v>
      </c>
      <c r="Q759" s="291">
        <v>118167.83810766418</v>
      </c>
      <c r="R759" s="288">
        <v>25438.48804302658</v>
      </c>
      <c r="S759" s="288">
        <v>7618.9916373636988</v>
      </c>
      <c r="T759" s="290">
        <v>0.751</v>
      </c>
      <c r="U759" s="288">
        <v>0.75800000000000001</v>
      </c>
      <c r="V759" s="288">
        <v>0.723923076923077</v>
      </c>
      <c r="W759" s="288">
        <v>0.72750000000000004</v>
      </c>
      <c r="X759" s="288">
        <v>0.76</v>
      </c>
      <c r="Y759" s="288">
        <v>0</v>
      </c>
      <c r="Z759" s="289">
        <v>0</v>
      </c>
      <c r="AA759" s="229"/>
      <c r="AB759" s="293">
        <v>71034.766537691379</v>
      </c>
      <c r="AC759" s="294">
        <v>3.0771229175186856</v>
      </c>
      <c r="AD759" s="295">
        <v>56930.318145623365</v>
      </c>
      <c r="AE759" s="294">
        <v>2.7127132539826491</v>
      </c>
      <c r="AF759" s="295">
        <v>14104.448392068014</v>
      </c>
      <c r="AG759" s="296">
        <v>0.36440966353603654</v>
      </c>
      <c r="AH759" s="229"/>
      <c r="AI759" s="205">
        <f t="shared" si="80"/>
        <v>236677.52521417718</v>
      </c>
      <c r="AJ759" s="205">
        <f t="shared" si="81"/>
        <v>214341.00725264155</v>
      </c>
      <c r="AK759" s="205">
        <f t="shared" si="82"/>
        <v>22336.517961535639</v>
      </c>
      <c r="AL759" s="229"/>
      <c r="AM759" s="52">
        <f t="shared" si="58"/>
        <v>1</v>
      </c>
      <c r="AN759" s="52">
        <f t="shared" si="59"/>
        <v>0</v>
      </c>
      <c r="AO759" s="52">
        <f t="shared" si="60"/>
        <v>1</v>
      </c>
      <c r="AP759" s="229"/>
      <c r="AQ759" s="28"/>
      <c r="AR759" s="28"/>
      <c r="AS759" s="28"/>
      <c r="AT759" s="28"/>
      <c r="AU759" s="229"/>
      <c r="AV759" s="318">
        <f t="shared" si="83"/>
        <v>236677.52521417718</v>
      </c>
      <c r="AW759" s="229"/>
      <c r="AX759" s="313"/>
      <c r="AY759" s="302"/>
      <c r="AZ759" s="14">
        <f t="shared" si="85"/>
        <v>14104.448392068014</v>
      </c>
      <c r="BA759" s="14">
        <f t="shared" si="84"/>
        <v>0.36440966353603654</v>
      </c>
      <c r="BB759" s="14">
        <f t="shared" si="61"/>
        <v>38704.924164760036</v>
      </c>
      <c r="BC759" s="302"/>
      <c r="BD759" s="302"/>
      <c r="BE759" s="302"/>
      <c r="BF759" s="302"/>
      <c r="BG759" s="302"/>
      <c r="BH759" s="302"/>
      <c r="BI759" s="302"/>
      <c r="BJ759" s="302"/>
      <c r="BK759" s="302"/>
      <c r="BL759" s="302"/>
      <c r="BM759" s="302"/>
      <c r="BN759" s="302"/>
      <c r="BO759" s="302"/>
      <c r="BP759" s="302"/>
      <c r="BQ759" s="302"/>
      <c r="BR759" s="302"/>
      <c r="BS759" s="302"/>
      <c r="BT759" s="302"/>
      <c r="BU759" s="302"/>
      <c r="BV759" s="302"/>
      <c r="BW759" s="302"/>
      <c r="BX759" s="302"/>
      <c r="BY759" s="302"/>
      <c r="BZ759" s="302"/>
      <c r="CA759" s="302"/>
      <c r="CB759" s="28"/>
      <c r="CC759" s="28"/>
      <c r="CD759" s="28"/>
      <c r="CE759" s="28"/>
      <c r="CF759" s="28"/>
      <c r="CG759" s="28"/>
      <c r="CH759" s="28"/>
      <c r="CI759" s="28"/>
      <c r="CJ759" s="28"/>
      <c r="CK759" s="28"/>
      <c r="CL759" s="28"/>
      <c r="CM759" s="28"/>
      <c r="CN759" s="28"/>
      <c r="CO759" s="28"/>
      <c r="CP759" s="28"/>
      <c r="CQ759" s="28"/>
      <c r="CR759" s="28"/>
      <c r="CS759" s="28"/>
      <c r="CT759" s="28"/>
      <c r="CU759" s="28"/>
      <c r="CV759" s="28"/>
      <c r="CW759" s="28"/>
    </row>
    <row r="760" spans="1:101" ht="14.25" customHeight="1" x14ac:dyDescent="0.2">
      <c r="A760" s="286"/>
      <c r="B760" s="52">
        <v>0.13635955822992354</v>
      </c>
      <c r="C760" s="288">
        <v>0.17092281320950251</v>
      </c>
      <c r="D760" s="288">
        <v>1.6123779147286132E-2</v>
      </c>
      <c r="E760" s="288">
        <v>1.4694981133367202E-2</v>
      </c>
      <c r="F760" s="289">
        <v>0.81922892414459736</v>
      </c>
      <c r="G760" s="92">
        <v>0.40594014930799449</v>
      </c>
      <c r="H760" s="288">
        <v>0.66522980369529505</v>
      </c>
      <c r="I760" s="288">
        <v>3.773021691622535E-3</v>
      </c>
      <c r="J760" s="288">
        <v>0.9987768605952495</v>
      </c>
      <c r="K760" s="288">
        <v>0.73660833289941408</v>
      </c>
      <c r="L760" s="290">
        <v>11908.830598875749</v>
      </c>
      <c r="M760" s="288">
        <v>0</v>
      </c>
      <c r="N760" s="288">
        <v>22307.565735676057</v>
      </c>
      <c r="O760" s="288">
        <v>1239.6508048122196</v>
      </c>
      <c r="P760" s="288">
        <v>30203.903440163769</v>
      </c>
      <c r="Q760" s="291">
        <v>66341.342468914881</v>
      </c>
      <c r="R760" s="288">
        <v>21836.696320165356</v>
      </c>
      <c r="S760" s="288">
        <v>9372.3173705049576</v>
      </c>
      <c r="T760" s="290">
        <v>0.751</v>
      </c>
      <c r="U760" s="288">
        <v>0.75800000000000001</v>
      </c>
      <c r="V760" s="288">
        <v>0.723923076923077</v>
      </c>
      <c r="W760" s="288">
        <v>0.72750000000000004</v>
      </c>
      <c r="X760" s="288">
        <v>0.76</v>
      </c>
      <c r="Y760" s="288">
        <v>0</v>
      </c>
      <c r="Z760" s="289">
        <v>0</v>
      </c>
      <c r="AA760" s="229"/>
      <c r="AB760" s="293">
        <v>88764.849578279987</v>
      </c>
      <c r="AC760" s="294">
        <v>3.325596688735871</v>
      </c>
      <c r="AD760" s="295">
        <v>75406.311710047841</v>
      </c>
      <c r="AE760" s="294">
        <v>2.9467621261630033</v>
      </c>
      <c r="AF760" s="295">
        <v>13358.537868232146</v>
      </c>
      <c r="AG760" s="296">
        <v>0.37883456257286774</v>
      </c>
      <c r="AH760" s="229"/>
      <c r="AI760" s="205">
        <f t="shared" si="80"/>
        <v>243794.8192953071</v>
      </c>
      <c r="AJ760" s="205">
        <f t="shared" si="81"/>
        <v>219269.9009062525</v>
      </c>
      <c r="AK760" s="205">
        <f t="shared" si="82"/>
        <v>24524.918389054626</v>
      </c>
      <c r="AL760" s="229"/>
      <c r="AM760" s="52">
        <f t="shared" si="58"/>
        <v>1</v>
      </c>
      <c r="AN760" s="52">
        <f t="shared" si="59"/>
        <v>0</v>
      </c>
      <c r="AO760" s="52">
        <f t="shared" si="60"/>
        <v>1</v>
      </c>
      <c r="AP760" s="229"/>
      <c r="AQ760" s="28"/>
      <c r="AR760" s="28"/>
      <c r="AS760" s="28"/>
      <c r="AT760" s="28"/>
      <c r="AU760" s="229"/>
      <c r="AV760" s="318">
        <f t="shared" si="83"/>
        <v>243794.8192953071</v>
      </c>
      <c r="AW760" s="229"/>
      <c r="AX760" s="313"/>
      <c r="AY760" s="302"/>
      <c r="AZ760" s="14">
        <f t="shared" si="85"/>
        <v>13358.537868232146</v>
      </c>
      <c r="BA760" s="14">
        <f t="shared" si="84"/>
        <v>0.37883456257286774</v>
      </c>
      <c r="BB760" s="14">
        <f t="shared" si="61"/>
        <v>35262.194076240521</v>
      </c>
      <c r="BC760" s="302"/>
      <c r="BD760" s="302"/>
      <c r="BE760" s="302"/>
      <c r="BF760" s="302"/>
      <c r="BG760" s="302"/>
      <c r="BH760" s="302"/>
      <c r="BI760" s="302"/>
      <c r="BJ760" s="302"/>
      <c r="BK760" s="302"/>
      <c r="BL760" s="302"/>
      <c r="BM760" s="302"/>
      <c r="BN760" s="302"/>
      <c r="BO760" s="302"/>
      <c r="BP760" s="302"/>
      <c r="BQ760" s="302"/>
      <c r="BR760" s="302"/>
      <c r="BS760" s="302"/>
      <c r="BT760" s="302"/>
      <c r="BU760" s="302"/>
      <c r="BV760" s="302"/>
      <c r="BW760" s="302"/>
      <c r="BX760" s="302"/>
      <c r="BY760" s="302"/>
      <c r="BZ760" s="302"/>
      <c r="CA760" s="302"/>
      <c r="CB760" s="28"/>
      <c r="CC760" s="28"/>
      <c r="CD760" s="28"/>
      <c r="CE760" s="28"/>
      <c r="CF760" s="28"/>
      <c r="CG760" s="28"/>
      <c r="CH760" s="28"/>
      <c r="CI760" s="28"/>
      <c r="CJ760" s="28"/>
      <c r="CK760" s="28"/>
      <c r="CL760" s="28"/>
      <c r="CM760" s="28"/>
      <c r="CN760" s="28"/>
      <c r="CO760" s="28"/>
      <c r="CP760" s="28"/>
      <c r="CQ760" s="28"/>
      <c r="CR760" s="28"/>
      <c r="CS760" s="28"/>
      <c r="CT760" s="28"/>
      <c r="CU760" s="28"/>
      <c r="CV760" s="28"/>
      <c r="CW760" s="28"/>
    </row>
    <row r="761" spans="1:101" ht="14.25" customHeight="1" x14ac:dyDescent="0.2">
      <c r="A761" s="286"/>
      <c r="B761" s="52">
        <v>0.10315731701779032</v>
      </c>
      <c r="C761" s="288">
        <v>0.74608926169686529</v>
      </c>
      <c r="D761" s="288">
        <v>1.3027284447332227E-2</v>
      </c>
      <c r="E761" s="288">
        <v>1.3014498759266175E-2</v>
      </c>
      <c r="F761" s="289">
        <v>0.80930910342658091</v>
      </c>
      <c r="G761" s="92">
        <v>0.44782003829079331</v>
      </c>
      <c r="H761" s="288">
        <v>0.44581441403810534</v>
      </c>
      <c r="I761" s="288">
        <v>4.2209802786700501E-2</v>
      </c>
      <c r="J761" s="288">
        <v>0.99999986516508832</v>
      </c>
      <c r="K761" s="288">
        <v>0.76284517635542226</v>
      </c>
      <c r="L761" s="290">
        <v>10817.488245213075</v>
      </c>
      <c r="M761" s="288">
        <v>0</v>
      </c>
      <c r="N761" s="288">
        <v>16519.971803334</v>
      </c>
      <c r="O761" s="288">
        <v>1067.3333545229691</v>
      </c>
      <c r="P761" s="288">
        <v>40720.820102592705</v>
      </c>
      <c r="Q761" s="291">
        <v>103966.3469172496</v>
      </c>
      <c r="R761" s="288">
        <v>21681.525799331444</v>
      </c>
      <c r="S761" s="288">
        <v>6273.0239786990996</v>
      </c>
      <c r="T761" s="290">
        <v>0.751</v>
      </c>
      <c r="U761" s="288">
        <v>0.75800000000000001</v>
      </c>
      <c r="V761" s="288">
        <v>0.723923076923077</v>
      </c>
      <c r="W761" s="288">
        <v>0.72750000000000004</v>
      </c>
      <c r="X761" s="288">
        <v>0.76</v>
      </c>
      <c r="Y761" s="288">
        <v>0</v>
      </c>
      <c r="Z761" s="289">
        <v>0</v>
      </c>
      <c r="AA761" s="229"/>
      <c r="AB761" s="293">
        <v>63009.09456824349</v>
      </c>
      <c r="AC761" s="294">
        <v>3.2790318241408638</v>
      </c>
      <c r="AD761" s="295">
        <v>55694.129387970213</v>
      </c>
      <c r="AE761" s="294">
        <v>3.0674952567542788</v>
      </c>
      <c r="AF761" s="295">
        <v>7314.9651802732769</v>
      </c>
      <c r="AG761" s="296">
        <v>0.21153656738658499</v>
      </c>
      <c r="AH761" s="229"/>
      <c r="AI761" s="205">
        <f t="shared" si="80"/>
        <v>264894.08784584288</v>
      </c>
      <c r="AJ761" s="205">
        <f t="shared" si="81"/>
        <v>251055.39628745767</v>
      </c>
      <c r="AK761" s="205">
        <f t="shared" si="82"/>
        <v>13838.691558385224</v>
      </c>
      <c r="AL761" s="229"/>
      <c r="AM761" s="52">
        <f t="shared" si="58"/>
        <v>1</v>
      </c>
      <c r="AN761" s="52">
        <f t="shared" si="59"/>
        <v>0</v>
      </c>
      <c r="AO761" s="52">
        <f t="shared" si="60"/>
        <v>1</v>
      </c>
      <c r="AP761" s="229"/>
      <c r="AQ761" s="28"/>
      <c r="AR761" s="28"/>
      <c r="AS761" s="28"/>
      <c r="AT761" s="28"/>
      <c r="AU761" s="229"/>
      <c r="AV761" s="318">
        <f t="shared" si="83"/>
        <v>264894.08784584288</v>
      </c>
      <c r="AW761" s="229"/>
      <c r="AX761" s="313"/>
      <c r="AY761" s="302"/>
      <c r="AZ761" s="14">
        <f t="shared" si="85"/>
        <v>7314.9651802732769</v>
      </c>
      <c r="BA761" s="14">
        <f t="shared" si="84"/>
        <v>0.21153656738658499</v>
      </c>
      <c r="BB761" s="14">
        <f t="shared" si="61"/>
        <v>34580.145034239453</v>
      </c>
      <c r="BC761" s="302"/>
      <c r="BD761" s="302"/>
      <c r="BE761" s="302"/>
      <c r="BF761" s="302"/>
      <c r="BG761" s="302"/>
      <c r="BH761" s="302"/>
      <c r="BI761" s="302"/>
      <c r="BJ761" s="302"/>
      <c r="BK761" s="302"/>
      <c r="BL761" s="302"/>
      <c r="BM761" s="302"/>
      <c r="BN761" s="302"/>
      <c r="BO761" s="302"/>
      <c r="BP761" s="302"/>
      <c r="BQ761" s="302"/>
      <c r="BR761" s="302"/>
      <c r="BS761" s="302"/>
      <c r="BT761" s="302"/>
      <c r="BU761" s="302"/>
      <c r="BV761" s="302"/>
      <c r="BW761" s="302"/>
      <c r="BX761" s="302"/>
      <c r="BY761" s="302"/>
      <c r="BZ761" s="302"/>
      <c r="CA761" s="302"/>
      <c r="CB761" s="28"/>
      <c r="CC761" s="28"/>
      <c r="CD761" s="28"/>
      <c r="CE761" s="28"/>
      <c r="CF761" s="28"/>
      <c r="CG761" s="28"/>
      <c r="CH761" s="28"/>
      <c r="CI761" s="28"/>
      <c r="CJ761" s="28"/>
      <c r="CK761" s="28"/>
      <c r="CL761" s="28"/>
      <c r="CM761" s="28"/>
      <c r="CN761" s="28"/>
      <c r="CO761" s="28"/>
      <c r="CP761" s="28"/>
      <c r="CQ761" s="28"/>
      <c r="CR761" s="28"/>
      <c r="CS761" s="28"/>
      <c r="CT761" s="28"/>
      <c r="CU761" s="28"/>
      <c r="CV761" s="28"/>
      <c r="CW761" s="28"/>
    </row>
    <row r="762" spans="1:101" ht="14.25" customHeight="1" x14ac:dyDescent="0.2">
      <c r="A762" s="286"/>
      <c r="B762" s="52">
        <v>0.115306334790064</v>
      </c>
      <c r="C762" s="288">
        <v>6.2104924033753159E-2</v>
      </c>
      <c r="D762" s="288">
        <v>6.5233994492347475E-3</v>
      </c>
      <c r="E762" s="288">
        <v>1.2783570843337012E-2</v>
      </c>
      <c r="F762" s="289">
        <v>0.78451952680829995</v>
      </c>
      <c r="G762" s="92">
        <v>0.39834651489676609</v>
      </c>
      <c r="H762" s="288">
        <v>0.8036987429999819</v>
      </c>
      <c r="I762" s="288">
        <v>3.0197804902892145E-2</v>
      </c>
      <c r="J762" s="288">
        <v>0.99999999999991118</v>
      </c>
      <c r="K762" s="288">
        <v>0.70867893826769546</v>
      </c>
      <c r="L762" s="290">
        <v>13989.74547337231</v>
      </c>
      <c r="M762" s="288">
        <v>0</v>
      </c>
      <c r="N762" s="288">
        <v>15612.728413354322</v>
      </c>
      <c r="O762" s="288">
        <v>1325.1204936970685</v>
      </c>
      <c r="P762" s="288">
        <v>33418.147507517213</v>
      </c>
      <c r="Q762" s="291">
        <v>65811.878385843811</v>
      </c>
      <c r="R762" s="288">
        <v>19426.236125726453</v>
      </c>
      <c r="S762" s="288">
        <v>11020.335922058366</v>
      </c>
      <c r="T762" s="290">
        <v>0.751</v>
      </c>
      <c r="U762" s="288">
        <v>0.75800000000000001</v>
      </c>
      <c r="V762" s="288">
        <v>0.723923076923077</v>
      </c>
      <c r="W762" s="288">
        <v>0.72750000000000004</v>
      </c>
      <c r="X762" s="288">
        <v>0.76</v>
      </c>
      <c r="Y762" s="288">
        <v>0</v>
      </c>
      <c r="Z762" s="289">
        <v>0</v>
      </c>
      <c r="AA762" s="229"/>
      <c r="AB762" s="293">
        <v>99943.509321330785</v>
      </c>
      <c r="AC762" s="294">
        <v>3.1633412805853376</v>
      </c>
      <c r="AD762" s="295">
        <v>85831.91386814315</v>
      </c>
      <c r="AE762" s="294">
        <v>2.8194327435688979</v>
      </c>
      <c r="AF762" s="295">
        <v>14111.595453187634</v>
      </c>
      <c r="AG762" s="296">
        <v>0.34390853701643964</v>
      </c>
      <c r="AH762" s="229"/>
      <c r="AI762" s="205">
        <f t="shared" si="80"/>
        <v>216390.61873720298</v>
      </c>
      <c r="AJ762" s="205">
        <f t="shared" si="81"/>
        <v>196111.36048874661</v>
      </c>
      <c r="AK762" s="205">
        <f t="shared" si="82"/>
        <v>20279.258248456332</v>
      </c>
      <c r="AL762" s="229"/>
      <c r="AM762" s="52">
        <f t="shared" si="58"/>
        <v>1</v>
      </c>
      <c r="AN762" s="52">
        <f t="shared" si="59"/>
        <v>0</v>
      </c>
      <c r="AO762" s="52">
        <f t="shared" si="60"/>
        <v>1</v>
      </c>
      <c r="AP762" s="229"/>
      <c r="AQ762" s="28"/>
      <c r="AR762" s="28"/>
      <c r="AS762" s="28"/>
      <c r="AT762" s="28"/>
      <c r="AU762" s="229"/>
      <c r="AV762" s="318">
        <f t="shared" si="83"/>
        <v>216390.61873720298</v>
      </c>
      <c r="AW762" s="229"/>
      <c r="AX762" s="313"/>
      <c r="AY762" s="302"/>
      <c r="AZ762" s="14">
        <f t="shared" si="85"/>
        <v>14111.595453187634</v>
      </c>
      <c r="BA762" s="14">
        <f t="shared" si="84"/>
        <v>0.34390853701643964</v>
      </c>
      <c r="BB762" s="14">
        <f t="shared" si="61"/>
        <v>41032.989688514383</v>
      </c>
      <c r="BC762" s="302"/>
      <c r="BD762" s="302"/>
      <c r="BE762" s="302"/>
      <c r="BF762" s="302"/>
      <c r="BG762" s="302"/>
      <c r="BH762" s="302"/>
      <c r="BI762" s="302"/>
      <c r="BJ762" s="302"/>
      <c r="BK762" s="302"/>
      <c r="BL762" s="302"/>
      <c r="BM762" s="302"/>
      <c r="BN762" s="302"/>
      <c r="BO762" s="302"/>
      <c r="BP762" s="302"/>
      <c r="BQ762" s="302"/>
      <c r="BR762" s="302"/>
      <c r="BS762" s="302"/>
      <c r="BT762" s="302"/>
      <c r="BU762" s="302"/>
      <c r="BV762" s="302"/>
      <c r="BW762" s="302"/>
      <c r="BX762" s="302"/>
      <c r="BY762" s="302"/>
      <c r="BZ762" s="302"/>
      <c r="CA762" s="302"/>
      <c r="CB762" s="28"/>
      <c r="CC762" s="28"/>
      <c r="CD762" s="28"/>
      <c r="CE762" s="28"/>
      <c r="CF762" s="28"/>
      <c r="CG762" s="28"/>
      <c r="CH762" s="28"/>
      <c r="CI762" s="28"/>
      <c r="CJ762" s="28"/>
      <c r="CK762" s="28"/>
      <c r="CL762" s="28"/>
      <c r="CM762" s="28"/>
      <c r="CN762" s="28"/>
      <c r="CO762" s="28"/>
      <c r="CP762" s="28"/>
      <c r="CQ762" s="28"/>
      <c r="CR762" s="28"/>
      <c r="CS762" s="28"/>
      <c r="CT762" s="28"/>
      <c r="CU762" s="28"/>
      <c r="CV762" s="28"/>
      <c r="CW762" s="28"/>
    </row>
    <row r="763" spans="1:101" ht="14.25" customHeight="1" x14ac:dyDescent="0.2">
      <c r="A763" s="286"/>
      <c r="B763" s="52">
        <v>0.14945727220426788</v>
      </c>
      <c r="C763" s="288">
        <v>0.22240881901293855</v>
      </c>
      <c r="D763" s="288">
        <v>8.1400124508006835E-3</v>
      </c>
      <c r="E763" s="288">
        <v>2.0400204532636246E-2</v>
      </c>
      <c r="F763" s="289">
        <v>0.82778301849143388</v>
      </c>
      <c r="G763" s="92">
        <v>0.40454726067007207</v>
      </c>
      <c r="H763" s="288">
        <v>0.56577458778091771</v>
      </c>
      <c r="I763" s="288">
        <v>7.2562720898452174E-3</v>
      </c>
      <c r="J763" s="288">
        <v>0.99690744229736838</v>
      </c>
      <c r="K763" s="288">
        <v>0.8226938777823749</v>
      </c>
      <c r="L763" s="290">
        <v>13009.073071158053</v>
      </c>
      <c r="M763" s="288">
        <v>0</v>
      </c>
      <c r="N763" s="288">
        <v>15464.828640447357</v>
      </c>
      <c r="O763" s="288">
        <v>1405.5667999103994</v>
      </c>
      <c r="P763" s="288">
        <v>37711.384374854366</v>
      </c>
      <c r="Q763" s="291">
        <v>106123.27711519643</v>
      </c>
      <c r="R763" s="288">
        <v>17801.992337676853</v>
      </c>
      <c r="S763" s="288">
        <v>12072.830328900669</v>
      </c>
      <c r="T763" s="290">
        <v>0.751</v>
      </c>
      <c r="U763" s="288">
        <v>0.75800000000000001</v>
      </c>
      <c r="V763" s="288">
        <v>0.723923076923077</v>
      </c>
      <c r="W763" s="288">
        <v>0.72750000000000004</v>
      </c>
      <c r="X763" s="288">
        <v>0.76</v>
      </c>
      <c r="Y763" s="288">
        <v>0</v>
      </c>
      <c r="Z763" s="289">
        <v>0</v>
      </c>
      <c r="AA763" s="229"/>
      <c r="AB763" s="293">
        <v>112901.63532624637</v>
      </c>
      <c r="AC763" s="294">
        <v>3.3658745980882747</v>
      </c>
      <c r="AD763" s="295">
        <v>104132.19330326284</v>
      </c>
      <c r="AE763" s="294">
        <v>3.346959359820632</v>
      </c>
      <c r="AF763" s="295">
        <v>8769.4420229835232</v>
      </c>
      <c r="AG763" s="296">
        <v>1.8915238267642742E-2</v>
      </c>
      <c r="AH763" s="229"/>
      <c r="AI763" s="205">
        <f t="shared" si="80"/>
        <v>223685.82448258111</v>
      </c>
      <c r="AJ763" s="205">
        <f t="shared" si="81"/>
        <v>230563.74267880034</v>
      </c>
      <c r="AK763" s="205">
        <f t="shared" si="82"/>
        <v>-6877.9181962192488</v>
      </c>
      <c r="AL763" s="229"/>
      <c r="AM763" s="52">
        <f t="shared" si="58"/>
        <v>0</v>
      </c>
      <c r="AN763" s="52">
        <f t="shared" si="59"/>
        <v>1</v>
      </c>
      <c r="AO763" s="52">
        <f t="shared" si="60"/>
        <v>0</v>
      </c>
      <c r="AP763" s="229"/>
      <c r="AQ763" s="28"/>
      <c r="AR763" s="28"/>
      <c r="AS763" s="28"/>
      <c r="AT763" s="28"/>
      <c r="AU763" s="229"/>
      <c r="AV763" s="318">
        <f t="shared" si="83"/>
        <v>230563.74267880034</v>
      </c>
      <c r="AW763" s="229"/>
      <c r="AX763" s="313"/>
      <c r="AY763" s="302"/>
      <c r="AZ763" s="14">
        <f t="shared" si="85"/>
        <v>8769.4420229835232</v>
      </c>
      <c r="BA763" s="14">
        <f t="shared" si="84"/>
        <v>1.8915238267642742E-2</v>
      </c>
      <c r="BB763" s="14">
        <f t="shared" si="61"/>
        <v>463617.84604029678</v>
      </c>
      <c r="BC763" s="302"/>
      <c r="BD763" s="302"/>
      <c r="BE763" s="302"/>
      <c r="BF763" s="302"/>
      <c r="BG763" s="302"/>
      <c r="BH763" s="302"/>
      <c r="BI763" s="302"/>
      <c r="BJ763" s="302"/>
      <c r="BK763" s="302"/>
      <c r="BL763" s="302"/>
      <c r="BM763" s="302"/>
      <c r="BN763" s="302"/>
      <c r="BO763" s="302"/>
      <c r="BP763" s="302"/>
      <c r="BQ763" s="302"/>
      <c r="BR763" s="302"/>
      <c r="BS763" s="302"/>
      <c r="BT763" s="302"/>
      <c r="BU763" s="302"/>
      <c r="BV763" s="302"/>
      <c r="BW763" s="302"/>
      <c r="BX763" s="302"/>
      <c r="BY763" s="302"/>
      <c r="BZ763" s="302"/>
      <c r="CA763" s="302"/>
      <c r="CB763" s="28"/>
      <c r="CC763" s="28"/>
      <c r="CD763" s="28"/>
      <c r="CE763" s="28"/>
      <c r="CF763" s="28"/>
      <c r="CG763" s="28"/>
      <c r="CH763" s="28"/>
      <c r="CI763" s="28"/>
      <c r="CJ763" s="28"/>
      <c r="CK763" s="28"/>
      <c r="CL763" s="28"/>
      <c r="CM763" s="28"/>
      <c r="CN763" s="28"/>
      <c r="CO763" s="28"/>
      <c r="CP763" s="28"/>
      <c r="CQ763" s="28"/>
      <c r="CR763" s="28"/>
      <c r="CS763" s="28"/>
      <c r="CT763" s="28"/>
      <c r="CU763" s="28"/>
      <c r="CV763" s="28"/>
      <c r="CW763" s="28"/>
    </row>
    <row r="764" spans="1:101" ht="14.25" customHeight="1" x14ac:dyDescent="0.2">
      <c r="A764" s="286"/>
      <c r="B764" s="52">
        <v>0.21012540428855364</v>
      </c>
      <c r="C764" s="288">
        <v>0.19854440568983939</v>
      </c>
      <c r="D764" s="288">
        <v>1.5660031936652663E-2</v>
      </c>
      <c r="E764" s="288">
        <v>2.5412744581184477E-2</v>
      </c>
      <c r="F764" s="289">
        <v>0.74798444765755046</v>
      </c>
      <c r="G764" s="92">
        <v>0.40291642561125074</v>
      </c>
      <c r="H764" s="288">
        <v>0.71974792958115619</v>
      </c>
      <c r="I764" s="288">
        <v>8.977515746511941E-3</v>
      </c>
      <c r="J764" s="288">
        <v>0.82761166562551247</v>
      </c>
      <c r="K764" s="288">
        <v>0.75975113445083942</v>
      </c>
      <c r="L764" s="290">
        <v>10233.405720381617</v>
      </c>
      <c r="M764" s="288">
        <v>0</v>
      </c>
      <c r="N764" s="288">
        <v>17459.991847893918</v>
      </c>
      <c r="O764" s="288">
        <v>1518.7399317331308</v>
      </c>
      <c r="P764" s="288">
        <v>40050.935517433812</v>
      </c>
      <c r="Q764" s="291">
        <v>102147.82927881526</v>
      </c>
      <c r="R764" s="288">
        <v>23037.67694901325</v>
      </c>
      <c r="S764" s="288">
        <v>9315.6824800074683</v>
      </c>
      <c r="T764" s="290">
        <v>0.751</v>
      </c>
      <c r="U764" s="288">
        <v>0.75800000000000001</v>
      </c>
      <c r="V764" s="288">
        <v>0.723923076923077</v>
      </c>
      <c r="W764" s="288">
        <v>0.72750000000000004</v>
      </c>
      <c r="X764" s="288">
        <v>0.76</v>
      </c>
      <c r="Y764" s="288">
        <v>0</v>
      </c>
      <c r="Z764" s="289">
        <v>0</v>
      </c>
      <c r="AA764" s="229"/>
      <c r="AB764" s="293">
        <v>80853.563541698139</v>
      </c>
      <c r="AC764" s="294">
        <v>2.9945927318644401</v>
      </c>
      <c r="AD764" s="295">
        <v>78365.641421237873</v>
      </c>
      <c r="AE764" s="294">
        <v>3.0532010828505101</v>
      </c>
      <c r="AF764" s="295">
        <v>2487.9221204602654</v>
      </c>
      <c r="AG764" s="296">
        <v>-5.8608350986069979E-2</v>
      </c>
      <c r="AH764" s="229"/>
      <c r="AI764" s="205">
        <f t="shared" si="80"/>
        <v>218605.70964474586</v>
      </c>
      <c r="AJ764" s="205">
        <f t="shared" si="81"/>
        <v>226954.46686381314</v>
      </c>
      <c r="AK764" s="205">
        <f t="shared" si="82"/>
        <v>-8348.7572190672636</v>
      </c>
      <c r="AL764" s="229"/>
      <c r="AM764" s="52">
        <f t="shared" si="58"/>
        <v>0</v>
      </c>
      <c r="AN764" s="52">
        <f t="shared" si="59"/>
        <v>1</v>
      </c>
      <c r="AO764" s="52">
        <f t="shared" si="60"/>
        <v>0</v>
      </c>
      <c r="AP764" s="229"/>
      <c r="AQ764" s="28"/>
      <c r="AR764" s="28"/>
      <c r="AS764" s="28"/>
      <c r="AT764" s="28"/>
      <c r="AU764" s="229"/>
      <c r="AV764" s="318">
        <f t="shared" si="83"/>
        <v>226954.46686381314</v>
      </c>
      <c r="AW764" s="229"/>
      <c r="AX764" s="313"/>
      <c r="AY764" s="302"/>
      <c r="AZ764" s="14">
        <f t="shared" si="85"/>
        <v>2487.9221204602654</v>
      </c>
      <c r="BA764" s="14">
        <f t="shared" si="84"/>
        <v>-5.8608350986069979E-2</v>
      </c>
      <c r="BB764" s="14">
        <f t="shared" si="61"/>
        <v>-42449.959410248455</v>
      </c>
      <c r="BC764" s="302"/>
      <c r="BD764" s="302"/>
      <c r="BE764" s="302"/>
      <c r="BF764" s="302"/>
      <c r="BG764" s="302"/>
      <c r="BH764" s="302"/>
      <c r="BI764" s="302"/>
      <c r="BJ764" s="302"/>
      <c r="BK764" s="302"/>
      <c r="BL764" s="302"/>
      <c r="BM764" s="302"/>
      <c r="BN764" s="302"/>
      <c r="BO764" s="302"/>
      <c r="BP764" s="302"/>
      <c r="BQ764" s="302"/>
      <c r="BR764" s="302"/>
      <c r="BS764" s="302"/>
      <c r="BT764" s="302"/>
      <c r="BU764" s="302"/>
      <c r="BV764" s="302"/>
      <c r="BW764" s="302"/>
      <c r="BX764" s="302"/>
      <c r="BY764" s="302"/>
      <c r="BZ764" s="302"/>
      <c r="CA764" s="302"/>
      <c r="CB764" s="28"/>
      <c r="CC764" s="28"/>
      <c r="CD764" s="28"/>
      <c r="CE764" s="28"/>
      <c r="CF764" s="28"/>
      <c r="CG764" s="28"/>
      <c r="CH764" s="28"/>
      <c r="CI764" s="28"/>
      <c r="CJ764" s="28"/>
      <c r="CK764" s="28"/>
      <c r="CL764" s="28"/>
      <c r="CM764" s="28"/>
      <c r="CN764" s="28"/>
      <c r="CO764" s="28"/>
      <c r="CP764" s="28"/>
      <c r="CQ764" s="28"/>
      <c r="CR764" s="28"/>
      <c r="CS764" s="28"/>
      <c r="CT764" s="28"/>
      <c r="CU764" s="28"/>
      <c r="CV764" s="28"/>
      <c r="CW764" s="28"/>
    </row>
    <row r="765" spans="1:101" ht="14.25" customHeight="1" x14ac:dyDescent="0.2">
      <c r="A765" s="286"/>
      <c r="B765" s="52">
        <v>0.18046395314941421</v>
      </c>
      <c r="C765" s="288">
        <v>0.29430696586117544</v>
      </c>
      <c r="D765" s="288">
        <v>9.7810693228718316E-3</v>
      </c>
      <c r="E765" s="288">
        <v>1.8299392650840907E-2</v>
      </c>
      <c r="F765" s="289">
        <v>0.78293120536097449</v>
      </c>
      <c r="G765" s="92">
        <v>0.36505232838777557</v>
      </c>
      <c r="H765" s="288">
        <v>0.31866248118646051</v>
      </c>
      <c r="I765" s="288">
        <v>1.0213910480779194E-2</v>
      </c>
      <c r="J765" s="288">
        <v>0.99135463696498149</v>
      </c>
      <c r="K765" s="288">
        <v>0.84006794029732479</v>
      </c>
      <c r="L765" s="290">
        <v>11407.184957119955</v>
      </c>
      <c r="M765" s="288">
        <v>0</v>
      </c>
      <c r="N765" s="288">
        <v>15601.918616114315</v>
      </c>
      <c r="O765" s="288">
        <v>1331.0151171137957</v>
      </c>
      <c r="P765" s="288">
        <v>40355.076891461431</v>
      </c>
      <c r="Q765" s="291">
        <v>85824.896590830787</v>
      </c>
      <c r="R765" s="288">
        <v>28975.14085985256</v>
      </c>
      <c r="S765" s="288">
        <v>7801.3364637871646</v>
      </c>
      <c r="T765" s="290">
        <v>0.751</v>
      </c>
      <c r="U765" s="288">
        <v>0.75800000000000001</v>
      </c>
      <c r="V765" s="288">
        <v>0.723923076923077</v>
      </c>
      <c r="W765" s="288">
        <v>0.72750000000000004</v>
      </c>
      <c r="X765" s="288">
        <v>0.76</v>
      </c>
      <c r="Y765" s="288">
        <v>0</v>
      </c>
      <c r="Z765" s="289">
        <v>0</v>
      </c>
      <c r="AA765" s="229"/>
      <c r="AB765" s="293">
        <v>73821.873983920508</v>
      </c>
      <c r="AC765" s="294">
        <v>3.1559615962318253</v>
      </c>
      <c r="AD765" s="295">
        <v>69730.779468412307</v>
      </c>
      <c r="AE765" s="294">
        <v>3.4291451226542358</v>
      </c>
      <c r="AF765" s="295">
        <v>4091.0945155082009</v>
      </c>
      <c r="AG765" s="296">
        <v>-0.27318352642241051</v>
      </c>
      <c r="AH765" s="229"/>
      <c r="AI765" s="205">
        <f t="shared" si="80"/>
        <v>241774.28563926206</v>
      </c>
      <c r="AJ765" s="205">
        <f t="shared" si="81"/>
        <v>273183.73279701127</v>
      </c>
      <c r="AK765" s="205">
        <f t="shared" si="82"/>
        <v>-31409.447157749251</v>
      </c>
      <c r="AL765" s="229"/>
      <c r="AM765" s="52">
        <f t="shared" si="58"/>
        <v>0</v>
      </c>
      <c r="AN765" s="52">
        <f t="shared" si="59"/>
        <v>1</v>
      </c>
      <c r="AO765" s="52">
        <f t="shared" si="60"/>
        <v>0</v>
      </c>
      <c r="AP765" s="229"/>
      <c r="AQ765" s="28"/>
      <c r="AR765" s="28"/>
      <c r="AS765" s="28"/>
      <c r="AT765" s="28"/>
      <c r="AU765" s="229"/>
      <c r="AV765" s="318">
        <f t="shared" si="83"/>
        <v>273183.73279701127</v>
      </c>
      <c r="AW765" s="229"/>
      <c r="AX765" s="313"/>
      <c r="AY765" s="302"/>
      <c r="AZ765" s="14">
        <f t="shared" si="85"/>
        <v>4091.0945155082009</v>
      </c>
      <c r="BA765" s="14">
        <f t="shared" si="84"/>
        <v>-0.27318352642241051</v>
      </c>
      <c r="BB765" s="14">
        <f t="shared" si="61"/>
        <v>-14975.626711774483</v>
      </c>
      <c r="BC765" s="302"/>
      <c r="BD765" s="302"/>
      <c r="BE765" s="302"/>
      <c r="BF765" s="302"/>
      <c r="BG765" s="302"/>
      <c r="BH765" s="302"/>
      <c r="BI765" s="302"/>
      <c r="BJ765" s="302"/>
      <c r="BK765" s="302"/>
      <c r="BL765" s="302"/>
      <c r="BM765" s="302"/>
      <c r="BN765" s="302"/>
      <c r="BO765" s="302"/>
      <c r="BP765" s="302"/>
      <c r="BQ765" s="302"/>
      <c r="BR765" s="302"/>
      <c r="BS765" s="302"/>
      <c r="BT765" s="302"/>
      <c r="BU765" s="302"/>
      <c r="BV765" s="302"/>
      <c r="BW765" s="302"/>
      <c r="BX765" s="302"/>
      <c r="BY765" s="302"/>
      <c r="BZ765" s="302"/>
      <c r="CA765" s="302"/>
      <c r="CB765" s="28"/>
      <c r="CC765" s="28"/>
      <c r="CD765" s="28"/>
      <c r="CE765" s="28"/>
      <c r="CF765" s="28"/>
      <c r="CG765" s="28"/>
      <c r="CH765" s="28"/>
      <c r="CI765" s="28"/>
      <c r="CJ765" s="28"/>
      <c r="CK765" s="28"/>
      <c r="CL765" s="28"/>
      <c r="CM765" s="28"/>
      <c r="CN765" s="28"/>
      <c r="CO765" s="28"/>
      <c r="CP765" s="28"/>
      <c r="CQ765" s="28"/>
      <c r="CR765" s="28"/>
      <c r="CS765" s="28"/>
      <c r="CT765" s="28"/>
      <c r="CU765" s="28"/>
      <c r="CV765" s="28"/>
      <c r="CW765" s="28"/>
    </row>
    <row r="766" spans="1:101" ht="14.25" customHeight="1" x14ac:dyDescent="0.2">
      <c r="A766" s="286"/>
      <c r="B766" s="52">
        <v>0.13436659883277149</v>
      </c>
      <c r="C766" s="288">
        <v>0.92849049511524684</v>
      </c>
      <c r="D766" s="288">
        <v>3.2032725595737325E-3</v>
      </c>
      <c r="E766" s="288">
        <v>1.2334621932304833E-2</v>
      </c>
      <c r="F766" s="289">
        <v>0.80799980858744314</v>
      </c>
      <c r="G766" s="92">
        <v>0.38307004401523387</v>
      </c>
      <c r="H766" s="288">
        <v>0.89268250021733908</v>
      </c>
      <c r="I766" s="288">
        <v>5.4521289415268237E-2</v>
      </c>
      <c r="J766" s="288">
        <v>0.89084041835532768</v>
      </c>
      <c r="K766" s="288">
        <v>0.7558749659773627</v>
      </c>
      <c r="L766" s="290">
        <v>10619.187262070003</v>
      </c>
      <c r="M766" s="288">
        <v>0</v>
      </c>
      <c r="N766" s="288">
        <v>14315.181284973196</v>
      </c>
      <c r="O766" s="288">
        <v>1268.0547220931933</v>
      </c>
      <c r="P766" s="288">
        <v>36316.016393750913</v>
      </c>
      <c r="Q766" s="291">
        <v>127828.91681864006</v>
      </c>
      <c r="R766" s="288">
        <v>16935.734681077302</v>
      </c>
      <c r="S766" s="288">
        <v>9173.728205620353</v>
      </c>
      <c r="T766" s="290">
        <v>0.751</v>
      </c>
      <c r="U766" s="288">
        <v>0.75800000000000001</v>
      </c>
      <c r="V766" s="288">
        <v>0.723923076923077</v>
      </c>
      <c r="W766" s="288">
        <v>0.72750000000000004</v>
      </c>
      <c r="X766" s="288">
        <v>0.76</v>
      </c>
      <c r="Y766" s="288">
        <v>0</v>
      </c>
      <c r="Z766" s="289">
        <v>0</v>
      </c>
      <c r="AA766" s="229"/>
      <c r="AB766" s="293">
        <v>86357.141277874849</v>
      </c>
      <c r="AC766" s="294">
        <v>3.2728973625483011</v>
      </c>
      <c r="AD766" s="295">
        <v>79046.155061452097</v>
      </c>
      <c r="AE766" s="294">
        <v>3.0353148532893468</v>
      </c>
      <c r="AF766" s="295">
        <v>7310.9862164227525</v>
      </c>
      <c r="AG766" s="296">
        <v>0.2375825092589543</v>
      </c>
      <c r="AH766" s="229"/>
      <c r="AI766" s="205">
        <f t="shared" si="80"/>
        <v>240932.59497695524</v>
      </c>
      <c r="AJ766" s="205">
        <f t="shared" si="81"/>
        <v>224485.33026748258</v>
      </c>
      <c r="AK766" s="205">
        <f t="shared" si="82"/>
        <v>16447.264709472678</v>
      </c>
      <c r="AL766" s="229"/>
      <c r="AM766" s="52">
        <f t="shared" si="58"/>
        <v>1</v>
      </c>
      <c r="AN766" s="52">
        <f t="shared" si="59"/>
        <v>0</v>
      </c>
      <c r="AO766" s="52">
        <f t="shared" si="60"/>
        <v>1</v>
      </c>
      <c r="AP766" s="229"/>
      <c r="AQ766" s="28"/>
      <c r="AR766" s="28"/>
      <c r="AS766" s="28"/>
      <c r="AT766" s="28"/>
      <c r="AU766" s="229"/>
      <c r="AV766" s="318">
        <f t="shared" si="83"/>
        <v>240932.59497695524</v>
      </c>
      <c r="AW766" s="229"/>
      <c r="AX766" s="313"/>
      <c r="AY766" s="302"/>
      <c r="AZ766" s="14">
        <f t="shared" si="85"/>
        <v>7310.9862164227525</v>
      </c>
      <c r="BA766" s="14">
        <f t="shared" si="84"/>
        <v>0.2375825092589543</v>
      </c>
      <c r="BB766" s="14">
        <f t="shared" si="61"/>
        <v>30772.409295728521</v>
      </c>
      <c r="BC766" s="302"/>
      <c r="BD766" s="302"/>
      <c r="BE766" s="302"/>
      <c r="BF766" s="302"/>
      <c r="BG766" s="302"/>
      <c r="BH766" s="302"/>
      <c r="BI766" s="302"/>
      <c r="BJ766" s="302"/>
      <c r="BK766" s="302"/>
      <c r="BL766" s="302"/>
      <c r="BM766" s="302"/>
      <c r="BN766" s="302"/>
      <c r="BO766" s="302"/>
      <c r="BP766" s="302"/>
      <c r="BQ766" s="302"/>
      <c r="BR766" s="302"/>
      <c r="BS766" s="302"/>
      <c r="BT766" s="302"/>
      <c r="BU766" s="302"/>
      <c r="BV766" s="302"/>
      <c r="BW766" s="302"/>
      <c r="BX766" s="302"/>
      <c r="BY766" s="302"/>
      <c r="BZ766" s="302"/>
      <c r="CA766" s="302"/>
      <c r="CB766" s="28"/>
      <c r="CC766" s="28"/>
      <c r="CD766" s="28"/>
      <c r="CE766" s="28"/>
      <c r="CF766" s="28"/>
      <c r="CG766" s="28"/>
      <c r="CH766" s="28"/>
      <c r="CI766" s="28"/>
      <c r="CJ766" s="28"/>
      <c r="CK766" s="28"/>
      <c r="CL766" s="28"/>
      <c r="CM766" s="28"/>
      <c r="CN766" s="28"/>
      <c r="CO766" s="28"/>
      <c r="CP766" s="28"/>
      <c r="CQ766" s="28"/>
      <c r="CR766" s="28"/>
      <c r="CS766" s="28"/>
      <c r="CT766" s="28"/>
      <c r="CU766" s="28"/>
      <c r="CV766" s="28"/>
      <c r="CW766" s="28"/>
    </row>
    <row r="767" spans="1:101" ht="14.25" customHeight="1" x14ac:dyDescent="0.2">
      <c r="A767" s="286"/>
      <c r="B767" s="52">
        <v>0.16587444403270513</v>
      </c>
      <c r="C767" s="288">
        <v>0.60197674505913379</v>
      </c>
      <c r="D767" s="288">
        <v>4.288105156020694E-2</v>
      </c>
      <c r="E767" s="288">
        <v>2.1335221081071332E-2</v>
      </c>
      <c r="F767" s="289">
        <v>0.78488004511908016</v>
      </c>
      <c r="G767" s="92">
        <v>0.40344714415060456</v>
      </c>
      <c r="H767" s="288">
        <v>3.6358384712396684E-2</v>
      </c>
      <c r="I767" s="288">
        <v>9.2795964767551503E-3</v>
      </c>
      <c r="J767" s="288">
        <v>0.99999999999999578</v>
      </c>
      <c r="K767" s="288">
        <v>0.75260788311031468</v>
      </c>
      <c r="L767" s="290">
        <v>16648.43297908509</v>
      </c>
      <c r="M767" s="288">
        <v>0</v>
      </c>
      <c r="N767" s="288">
        <v>18958.686184789247</v>
      </c>
      <c r="O767" s="288">
        <v>1020.6039065023227</v>
      </c>
      <c r="P767" s="288">
        <v>41441.880198838298</v>
      </c>
      <c r="Q767" s="291">
        <v>119941.54154663216</v>
      </c>
      <c r="R767" s="288">
        <v>23492.398235838704</v>
      </c>
      <c r="S767" s="288">
        <v>10966.216699854351</v>
      </c>
      <c r="T767" s="290">
        <v>0.751</v>
      </c>
      <c r="U767" s="288">
        <v>0.75800000000000001</v>
      </c>
      <c r="V767" s="288">
        <v>0.723923076923077</v>
      </c>
      <c r="W767" s="288">
        <v>0.72750000000000004</v>
      </c>
      <c r="X767" s="288">
        <v>0.76</v>
      </c>
      <c r="Y767" s="288">
        <v>0</v>
      </c>
      <c r="Z767" s="289">
        <v>0</v>
      </c>
      <c r="AA767" s="229"/>
      <c r="AB767" s="293">
        <v>105256.39918148592</v>
      </c>
      <c r="AC767" s="294">
        <v>3.1650168774991045</v>
      </c>
      <c r="AD767" s="295">
        <v>83779.041559127538</v>
      </c>
      <c r="AE767" s="294">
        <v>3.020257587224823</v>
      </c>
      <c r="AF767" s="295">
        <v>21477.35762235838</v>
      </c>
      <c r="AG767" s="296">
        <v>0.14475929027428158</v>
      </c>
      <c r="AH767" s="229"/>
      <c r="AI767" s="205">
        <f t="shared" si="80"/>
        <v>211245.28856842453</v>
      </c>
      <c r="AJ767" s="205">
        <f t="shared" si="81"/>
        <v>218246.71716335477</v>
      </c>
      <c r="AK767" s="205">
        <f t="shared" si="82"/>
        <v>-7001.428594930223</v>
      </c>
      <c r="AL767" s="229"/>
      <c r="AM767" s="52">
        <f t="shared" si="58"/>
        <v>0</v>
      </c>
      <c r="AN767" s="52">
        <f t="shared" si="59"/>
        <v>1</v>
      </c>
      <c r="AO767" s="52">
        <f t="shared" si="60"/>
        <v>0</v>
      </c>
      <c r="AP767" s="229"/>
      <c r="AQ767" s="28"/>
      <c r="AR767" s="28"/>
      <c r="AS767" s="28"/>
      <c r="AT767" s="28"/>
      <c r="AU767" s="229"/>
      <c r="AV767" s="318">
        <f t="shared" si="83"/>
        <v>218246.71716335477</v>
      </c>
      <c r="AW767" s="229"/>
      <c r="AX767" s="313"/>
      <c r="AY767" s="302"/>
      <c r="AZ767" s="14">
        <f t="shared" si="85"/>
        <v>21477.35762235838</v>
      </c>
      <c r="BA767" s="14">
        <f t="shared" si="84"/>
        <v>0.14475929027428158</v>
      </c>
      <c r="BB767" s="14">
        <f t="shared" si="61"/>
        <v>148366.00526062484</v>
      </c>
      <c r="BC767" s="302"/>
      <c r="BD767" s="302"/>
      <c r="BE767" s="302"/>
      <c r="BF767" s="302"/>
      <c r="BG767" s="302"/>
      <c r="BH767" s="302"/>
      <c r="BI767" s="302"/>
      <c r="BJ767" s="302"/>
      <c r="BK767" s="302"/>
      <c r="BL767" s="302"/>
      <c r="BM767" s="302"/>
      <c r="BN767" s="302"/>
      <c r="BO767" s="302"/>
      <c r="BP767" s="302"/>
      <c r="BQ767" s="302"/>
      <c r="BR767" s="302"/>
      <c r="BS767" s="302"/>
      <c r="BT767" s="302"/>
      <c r="BU767" s="302"/>
      <c r="BV767" s="302"/>
      <c r="BW767" s="302"/>
      <c r="BX767" s="302"/>
      <c r="BY767" s="302"/>
      <c r="BZ767" s="302"/>
      <c r="CA767" s="302"/>
      <c r="CB767" s="28"/>
      <c r="CC767" s="28"/>
      <c r="CD767" s="28"/>
      <c r="CE767" s="28"/>
      <c r="CF767" s="28"/>
      <c r="CG767" s="28"/>
      <c r="CH767" s="28"/>
      <c r="CI767" s="28"/>
      <c r="CJ767" s="28"/>
      <c r="CK767" s="28"/>
      <c r="CL767" s="28"/>
      <c r="CM767" s="28"/>
      <c r="CN767" s="28"/>
      <c r="CO767" s="28"/>
      <c r="CP767" s="28"/>
      <c r="CQ767" s="28"/>
      <c r="CR767" s="28"/>
      <c r="CS767" s="28"/>
      <c r="CT767" s="28"/>
      <c r="CU767" s="28"/>
      <c r="CV767" s="28"/>
      <c r="CW767" s="28"/>
    </row>
    <row r="768" spans="1:101" ht="14.25" customHeight="1" x14ac:dyDescent="0.2">
      <c r="A768" s="286"/>
      <c r="B768" s="52">
        <v>0.19198544848145493</v>
      </c>
      <c r="C768" s="288">
        <v>0.46629573984651007</v>
      </c>
      <c r="D768" s="288">
        <v>2.5479748197132945E-2</v>
      </c>
      <c r="E768" s="288">
        <v>1.8462982056622002E-2</v>
      </c>
      <c r="F768" s="289">
        <v>0.78242985017640743</v>
      </c>
      <c r="G768" s="92">
        <v>0.37473995077934513</v>
      </c>
      <c r="H768" s="288">
        <v>0.94670078971969662</v>
      </c>
      <c r="I768" s="288">
        <v>3.8607636605741513E-2</v>
      </c>
      <c r="J768" s="288">
        <v>0.39305035235712388</v>
      </c>
      <c r="K768" s="288">
        <v>0.7654797849615147</v>
      </c>
      <c r="L768" s="290">
        <v>11183.834626402393</v>
      </c>
      <c r="M768" s="288">
        <v>0</v>
      </c>
      <c r="N768" s="288">
        <v>17174.114298766057</v>
      </c>
      <c r="O768" s="288">
        <v>796.15466685487525</v>
      </c>
      <c r="P768" s="288">
        <v>36876.387532205765</v>
      </c>
      <c r="Q768" s="291">
        <v>100380.56013479925</v>
      </c>
      <c r="R768" s="288">
        <v>25182.451857396671</v>
      </c>
      <c r="S768" s="288">
        <v>11395.143562024219</v>
      </c>
      <c r="T768" s="290">
        <v>0.751</v>
      </c>
      <c r="U768" s="288">
        <v>0.75800000000000001</v>
      </c>
      <c r="V768" s="288">
        <v>0.723923076923077</v>
      </c>
      <c r="W768" s="288">
        <v>0.72750000000000004</v>
      </c>
      <c r="X768" s="288">
        <v>0.76</v>
      </c>
      <c r="Y768" s="288">
        <v>0</v>
      </c>
      <c r="Z768" s="289">
        <v>0</v>
      </c>
      <c r="AA768" s="229"/>
      <c r="AB768" s="293">
        <v>102374.77894999948</v>
      </c>
      <c r="AC768" s="294">
        <v>3.1536330134400608</v>
      </c>
      <c r="AD768" s="295">
        <v>97796.178628665002</v>
      </c>
      <c r="AE768" s="294">
        <v>3.0796787882958188</v>
      </c>
      <c r="AF768" s="295">
        <v>4578.6003213344811</v>
      </c>
      <c r="AG768" s="296">
        <v>7.3954225144241992E-2</v>
      </c>
      <c r="AH768" s="229"/>
      <c r="AI768" s="205">
        <f t="shared" si="80"/>
        <v>212988.52239400661</v>
      </c>
      <c r="AJ768" s="205">
        <f t="shared" si="81"/>
        <v>210171.70020091691</v>
      </c>
      <c r="AK768" s="205">
        <f t="shared" si="82"/>
        <v>2816.822193089718</v>
      </c>
      <c r="AL768" s="229"/>
      <c r="AM768" s="52">
        <f t="shared" si="58"/>
        <v>1</v>
      </c>
      <c r="AN768" s="52">
        <f t="shared" si="59"/>
        <v>0</v>
      </c>
      <c r="AO768" s="52">
        <f t="shared" si="60"/>
        <v>1</v>
      </c>
      <c r="AP768" s="229"/>
      <c r="AQ768" s="28"/>
      <c r="AR768" s="28"/>
      <c r="AS768" s="28"/>
      <c r="AT768" s="28"/>
      <c r="AU768" s="229"/>
      <c r="AV768" s="318">
        <f t="shared" si="83"/>
        <v>212988.52239400661</v>
      </c>
      <c r="AW768" s="229"/>
      <c r="AX768" s="313"/>
      <c r="AY768" s="302"/>
      <c r="AZ768" s="14">
        <f t="shared" si="85"/>
        <v>4578.6003213344811</v>
      </c>
      <c r="BA768" s="14">
        <f t="shared" si="84"/>
        <v>7.3954225144241992E-2</v>
      </c>
      <c r="BB768" s="14">
        <f t="shared" si="61"/>
        <v>61911.274337663272</v>
      </c>
      <c r="BC768" s="302"/>
      <c r="BD768" s="302"/>
      <c r="BE768" s="302"/>
      <c r="BF768" s="302"/>
      <c r="BG768" s="302"/>
      <c r="BH768" s="302"/>
      <c r="BI768" s="302"/>
      <c r="BJ768" s="302"/>
      <c r="BK768" s="302"/>
      <c r="BL768" s="302"/>
      <c r="BM768" s="302"/>
      <c r="BN768" s="302"/>
      <c r="BO768" s="302"/>
      <c r="BP768" s="302"/>
      <c r="BQ768" s="302"/>
      <c r="BR768" s="302"/>
      <c r="BS768" s="302"/>
      <c r="BT768" s="302"/>
      <c r="BU768" s="302"/>
      <c r="BV768" s="302"/>
      <c r="BW768" s="302"/>
      <c r="BX768" s="302"/>
      <c r="BY768" s="302"/>
      <c r="BZ768" s="302"/>
      <c r="CA768" s="302"/>
      <c r="CB768" s="28"/>
      <c r="CC768" s="28"/>
      <c r="CD768" s="28"/>
      <c r="CE768" s="28"/>
      <c r="CF768" s="28"/>
      <c r="CG768" s="28"/>
      <c r="CH768" s="28"/>
      <c r="CI768" s="28"/>
      <c r="CJ768" s="28"/>
      <c r="CK768" s="28"/>
      <c r="CL768" s="28"/>
      <c r="CM768" s="28"/>
      <c r="CN768" s="28"/>
      <c r="CO768" s="28"/>
      <c r="CP768" s="28"/>
      <c r="CQ768" s="28"/>
      <c r="CR768" s="28"/>
      <c r="CS768" s="28"/>
      <c r="CT768" s="28"/>
      <c r="CU768" s="28"/>
      <c r="CV768" s="28"/>
      <c r="CW768" s="28"/>
    </row>
    <row r="769" spans="1:101" ht="14.25" customHeight="1" x14ac:dyDescent="0.2">
      <c r="A769" s="286"/>
      <c r="B769" s="52">
        <v>0.1298792864859506</v>
      </c>
      <c r="C769" s="288">
        <v>0.10425563651819875</v>
      </c>
      <c r="D769" s="288">
        <v>1.021299085903838E-2</v>
      </c>
      <c r="E769" s="288">
        <v>1.0740402934507877E-2</v>
      </c>
      <c r="F769" s="289">
        <v>0.8183194833679186</v>
      </c>
      <c r="G769" s="92">
        <v>0.38425883180376408</v>
      </c>
      <c r="H769" s="288">
        <v>0.17548661915006594</v>
      </c>
      <c r="I769" s="288">
        <v>1.1426748681587183E-2</v>
      </c>
      <c r="J769" s="288">
        <v>4.1026712410767408E-4</v>
      </c>
      <c r="K769" s="288">
        <v>0.78765565663091719</v>
      </c>
      <c r="L769" s="290">
        <v>13187.870726981244</v>
      </c>
      <c r="M769" s="288">
        <v>0</v>
      </c>
      <c r="N769" s="288">
        <v>24331.427635525564</v>
      </c>
      <c r="O769" s="288">
        <v>1080.271493325494</v>
      </c>
      <c r="P769" s="288">
        <v>29778.239903553585</v>
      </c>
      <c r="Q769" s="291">
        <v>100899.01722581014</v>
      </c>
      <c r="R769" s="288">
        <v>16199.328506951319</v>
      </c>
      <c r="S769" s="288">
        <v>8303.3983042699892</v>
      </c>
      <c r="T769" s="290">
        <v>0.751</v>
      </c>
      <c r="U769" s="288">
        <v>0.75800000000000001</v>
      </c>
      <c r="V769" s="288">
        <v>0.723923076923077</v>
      </c>
      <c r="W769" s="288">
        <v>0.72750000000000004</v>
      </c>
      <c r="X769" s="288">
        <v>0.76</v>
      </c>
      <c r="Y769" s="288">
        <v>0</v>
      </c>
      <c r="Z769" s="289">
        <v>0</v>
      </c>
      <c r="AA769" s="229"/>
      <c r="AB769" s="293">
        <v>80966.507638120049</v>
      </c>
      <c r="AC769" s="294">
        <v>3.3213212348546008</v>
      </c>
      <c r="AD769" s="295">
        <v>67161.605623895259</v>
      </c>
      <c r="AE769" s="294">
        <v>3.182662910754916</v>
      </c>
      <c r="AF769" s="295">
        <v>13804.90201422479</v>
      </c>
      <c r="AG769" s="296">
        <v>0.13865832409968482</v>
      </c>
      <c r="AH769" s="229"/>
      <c r="AI769" s="205">
        <f t="shared" si="80"/>
        <v>251165.61584734003</v>
      </c>
      <c r="AJ769" s="205">
        <f t="shared" si="81"/>
        <v>251104.68545159634</v>
      </c>
      <c r="AK769" s="205">
        <f t="shared" si="82"/>
        <v>60.930395743691406</v>
      </c>
      <c r="AL769" s="229"/>
      <c r="AM769" s="52">
        <f t="shared" si="58"/>
        <v>1</v>
      </c>
      <c r="AN769" s="52">
        <f t="shared" si="59"/>
        <v>0</v>
      </c>
      <c r="AO769" s="52">
        <f t="shared" si="60"/>
        <v>1</v>
      </c>
      <c r="AP769" s="229"/>
      <c r="AQ769" s="28"/>
      <c r="AR769" s="28"/>
      <c r="AS769" s="28"/>
      <c r="AT769" s="28"/>
      <c r="AU769" s="229"/>
      <c r="AV769" s="318">
        <f t="shared" si="83"/>
        <v>251165.61584734003</v>
      </c>
      <c r="AW769" s="229"/>
      <c r="AX769" s="313"/>
      <c r="AY769" s="302"/>
      <c r="AZ769" s="14">
        <f t="shared" si="85"/>
        <v>13804.90201422479</v>
      </c>
      <c r="BA769" s="14">
        <f t="shared" si="84"/>
        <v>0.13865832409968482</v>
      </c>
      <c r="BB769" s="14">
        <f t="shared" si="61"/>
        <v>99560.571670404097</v>
      </c>
      <c r="BC769" s="302"/>
      <c r="BD769" s="302"/>
      <c r="BE769" s="302"/>
      <c r="BF769" s="302"/>
      <c r="BG769" s="302"/>
      <c r="BH769" s="302"/>
      <c r="BI769" s="302"/>
      <c r="BJ769" s="302"/>
      <c r="BK769" s="302"/>
      <c r="BL769" s="302"/>
      <c r="BM769" s="302"/>
      <c r="BN769" s="302"/>
      <c r="BO769" s="302"/>
      <c r="BP769" s="302"/>
      <c r="BQ769" s="302"/>
      <c r="BR769" s="302"/>
      <c r="BS769" s="302"/>
      <c r="BT769" s="302"/>
      <c r="BU769" s="302"/>
      <c r="BV769" s="302"/>
      <c r="BW769" s="302"/>
      <c r="BX769" s="302"/>
      <c r="BY769" s="302"/>
      <c r="BZ769" s="302"/>
      <c r="CA769" s="302"/>
      <c r="CB769" s="28"/>
      <c r="CC769" s="28"/>
      <c r="CD769" s="28"/>
      <c r="CE769" s="28"/>
      <c r="CF769" s="28"/>
      <c r="CG769" s="28"/>
      <c r="CH769" s="28"/>
      <c r="CI769" s="28"/>
      <c r="CJ769" s="28"/>
      <c r="CK769" s="28"/>
      <c r="CL769" s="28"/>
      <c r="CM769" s="28"/>
      <c r="CN769" s="28"/>
      <c r="CO769" s="28"/>
      <c r="CP769" s="28"/>
      <c r="CQ769" s="28"/>
      <c r="CR769" s="28"/>
      <c r="CS769" s="28"/>
      <c r="CT769" s="28"/>
      <c r="CU769" s="28"/>
      <c r="CV769" s="28"/>
      <c r="CW769" s="28"/>
    </row>
    <row r="770" spans="1:101" ht="14.25" customHeight="1" x14ac:dyDescent="0.2">
      <c r="A770" s="286"/>
      <c r="B770" s="52">
        <v>0.1619756004306262</v>
      </c>
      <c r="C770" s="288">
        <v>0.71113881794529932</v>
      </c>
      <c r="D770" s="288">
        <v>2.8493869641516567E-2</v>
      </c>
      <c r="E770" s="288">
        <v>8.3233406881552102E-3</v>
      </c>
      <c r="F770" s="289">
        <v>0.77643951446565562</v>
      </c>
      <c r="G770" s="92">
        <v>0.41357534658124129</v>
      </c>
      <c r="H770" s="288">
        <v>8.3383010322450636E-3</v>
      </c>
      <c r="I770" s="288">
        <v>2.8547100876720077E-2</v>
      </c>
      <c r="J770" s="288">
        <v>1</v>
      </c>
      <c r="K770" s="288">
        <v>0.76287488301405437</v>
      </c>
      <c r="L770" s="290">
        <v>18795.206203470832</v>
      </c>
      <c r="M770" s="288">
        <v>0</v>
      </c>
      <c r="N770" s="288">
        <v>23936.156437172256</v>
      </c>
      <c r="O770" s="288">
        <v>1143.0785384951437</v>
      </c>
      <c r="P770" s="288">
        <v>34573.688600990274</v>
      </c>
      <c r="Q770" s="291">
        <v>110520.36873379625</v>
      </c>
      <c r="R770" s="288">
        <v>25958.30416860796</v>
      </c>
      <c r="S770" s="288">
        <v>7424.5726786534333</v>
      </c>
      <c r="T770" s="290">
        <v>0.751</v>
      </c>
      <c r="U770" s="288">
        <v>0.75800000000000001</v>
      </c>
      <c r="V770" s="288">
        <v>0.723923076923077</v>
      </c>
      <c r="W770" s="288">
        <v>0.72750000000000004</v>
      </c>
      <c r="X770" s="288">
        <v>0.76</v>
      </c>
      <c r="Y770" s="288">
        <v>0</v>
      </c>
      <c r="Z770" s="289">
        <v>0</v>
      </c>
      <c r="AA770" s="229"/>
      <c r="AB770" s="293">
        <v>79566.772573548646</v>
      </c>
      <c r="AC770" s="294">
        <v>3.1258409350345784</v>
      </c>
      <c r="AD770" s="295">
        <v>59252.319882948606</v>
      </c>
      <c r="AE770" s="294">
        <v>3.0676325717746611</v>
      </c>
      <c r="AF770" s="295">
        <v>20314.452690600039</v>
      </c>
      <c r="AG770" s="296">
        <v>5.8208363259917295E-2</v>
      </c>
      <c r="AH770" s="229"/>
      <c r="AI770" s="205">
        <f t="shared" si="80"/>
        <v>233017.32092990918</v>
      </c>
      <c r="AJ770" s="205">
        <f t="shared" si="81"/>
        <v>247510.93729451753</v>
      </c>
      <c r="AK770" s="205">
        <f t="shared" si="82"/>
        <v>-14493.61636460831</v>
      </c>
      <c r="AL770" s="229"/>
      <c r="AM770" s="52">
        <f t="shared" si="58"/>
        <v>0</v>
      </c>
      <c r="AN770" s="52">
        <f t="shared" si="59"/>
        <v>1</v>
      </c>
      <c r="AO770" s="52">
        <f t="shared" si="60"/>
        <v>0</v>
      </c>
      <c r="AP770" s="229"/>
      <c r="AQ770" s="28"/>
      <c r="AR770" s="28"/>
      <c r="AS770" s="28"/>
      <c r="AT770" s="28"/>
      <c r="AU770" s="229"/>
      <c r="AV770" s="318">
        <f t="shared" si="83"/>
        <v>247510.93729451753</v>
      </c>
      <c r="AW770" s="229"/>
      <c r="AX770" s="313"/>
      <c r="AY770" s="302"/>
      <c r="AZ770" s="14">
        <f t="shared" si="85"/>
        <v>20314.452690600039</v>
      </c>
      <c r="BA770" s="14">
        <f t="shared" si="84"/>
        <v>5.8208363259917295E-2</v>
      </c>
      <c r="BB770" s="14">
        <f t="shared" si="61"/>
        <v>348995.42871339794</v>
      </c>
      <c r="BC770" s="302"/>
      <c r="BD770" s="302"/>
      <c r="BE770" s="302"/>
      <c r="BF770" s="302"/>
      <c r="BG770" s="302"/>
      <c r="BH770" s="302"/>
      <c r="BI770" s="302"/>
      <c r="BJ770" s="302"/>
      <c r="BK770" s="302"/>
      <c r="BL770" s="302"/>
      <c r="BM770" s="302"/>
      <c r="BN770" s="302"/>
      <c r="BO770" s="302"/>
      <c r="BP770" s="302"/>
      <c r="BQ770" s="302"/>
      <c r="BR770" s="302"/>
      <c r="BS770" s="302"/>
      <c r="BT770" s="302"/>
      <c r="BU770" s="302"/>
      <c r="BV770" s="302"/>
      <c r="BW770" s="302"/>
      <c r="BX770" s="302"/>
      <c r="BY770" s="302"/>
      <c r="BZ770" s="302"/>
      <c r="CA770" s="302"/>
      <c r="CB770" s="28"/>
      <c r="CC770" s="28"/>
      <c r="CD770" s="28"/>
      <c r="CE770" s="28"/>
      <c r="CF770" s="28"/>
      <c r="CG770" s="28"/>
      <c r="CH770" s="28"/>
      <c r="CI770" s="28"/>
      <c r="CJ770" s="28"/>
      <c r="CK770" s="28"/>
      <c r="CL770" s="28"/>
      <c r="CM770" s="28"/>
      <c r="CN770" s="28"/>
      <c r="CO770" s="28"/>
      <c r="CP770" s="28"/>
      <c r="CQ770" s="28"/>
      <c r="CR770" s="28"/>
      <c r="CS770" s="28"/>
      <c r="CT770" s="28"/>
      <c r="CU770" s="28"/>
      <c r="CV770" s="28"/>
      <c r="CW770" s="28"/>
    </row>
    <row r="771" spans="1:101" ht="14.25" customHeight="1" x14ac:dyDescent="0.2">
      <c r="A771" s="286"/>
      <c r="B771" s="52">
        <v>0.15889148212419357</v>
      </c>
      <c r="C771" s="288">
        <v>0.30900068103430767</v>
      </c>
      <c r="D771" s="288">
        <v>5.9363800420962533E-3</v>
      </c>
      <c r="E771" s="288">
        <v>1.7640301064709929E-2</v>
      </c>
      <c r="F771" s="289">
        <v>0.75923920109422438</v>
      </c>
      <c r="G771" s="92">
        <v>0.42537152770268893</v>
      </c>
      <c r="H771" s="288">
        <v>5.3093974095401522E-2</v>
      </c>
      <c r="I771" s="288">
        <v>1.6004629719412411E-2</v>
      </c>
      <c r="J771" s="288">
        <v>0.14062352520560714</v>
      </c>
      <c r="K771" s="288">
        <v>0.78746829706587129</v>
      </c>
      <c r="L771" s="290">
        <v>16007.652537262225</v>
      </c>
      <c r="M771" s="288">
        <v>0</v>
      </c>
      <c r="N771" s="288">
        <v>23431.606589361556</v>
      </c>
      <c r="O771" s="288">
        <v>1401.5667733349349</v>
      </c>
      <c r="P771" s="288">
        <v>48149.550220587516</v>
      </c>
      <c r="Q771" s="291">
        <v>92791.396602411289</v>
      </c>
      <c r="R771" s="288">
        <v>34914.299094792419</v>
      </c>
      <c r="S771" s="288">
        <v>11014.630355755038</v>
      </c>
      <c r="T771" s="290">
        <v>0.751</v>
      </c>
      <c r="U771" s="288">
        <v>0.75800000000000001</v>
      </c>
      <c r="V771" s="288">
        <v>0.723923076923077</v>
      </c>
      <c r="W771" s="288">
        <v>0.72750000000000004</v>
      </c>
      <c r="X771" s="288">
        <v>0.76</v>
      </c>
      <c r="Y771" s="288">
        <v>0</v>
      </c>
      <c r="Z771" s="289">
        <v>0</v>
      </c>
      <c r="AA771" s="229"/>
      <c r="AB771" s="293">
        <v>100843.50475708337</v>
      </c>
      <c r="AC771" s="294">
        <v>3.0463531493822296</v>
      </c>
      <c r="AD771" s="295">
        <v>88635.696427673742</v>
      </c>
      <c r="AE771" s="294">
        <v>3.1817895713358664</v>
      </c>
      <c r="AF771" s="295">
        <v>12207.808329409629</v>
      </c>
      <c r="AG771" s="296">
        <v>-0.13543642195363681</v>
      </c>
      <c r="AH771" s="229"/>
      <c r="AI771" s="205">
        <f t="shared" si="80"/>
        <v>203791.81018113956</v>
      </c>
      <c r="AJ771" s="205">
        <f t="shared" si="81"/>
        <v>229543.26070591289</v>
      </c>
      <c r="AK771" s="205">
        <f t="shared" si="82"/>
        <v>-25751.45052477331</v>
      </c>
      <c r="AL771" s="229"/>
      <c r="AM771" s="52">
        <f t="shared" si="58"/>
        <v>0</v>
      </c>
      <c r="AN771" s="52">
        <f t="shared" si="59"/>
        <v>1</v>
      </c>
      <c r="AO771" s="52">
        <f t="shared" si="60"/>
        <v>0</v>
      </c>
      <c r="AP771" s="229"/>
      <c r="AQ771" s="28"/>
      <c r="AR771" s="28"/>
      <c r="AS771" s="28"/>
      <c r="AT771" s="28"/>
      <c r="AU771" s="229"/>
      <c r="AV771" s="318">
        <f t="shared" si="83"/>
        <v>229543.26070591289</v>
      </c>
      <c r="AW771" s="229"/>
      <c r="AX771" s="313"/>
      <c r="AY771" s="302"/>
      <c r="AZ771" s="14">
        <f t="shared" si="85"/>
        <v>12207.808329409629</v>
      </c>
      <c r="BA771" s="14">
        <f t="shared" si="84"/>
        <v>-0.13543642195363681</v>
      </c>
      <c r="BB771" s="14">
        <f t="shared" si="61"/>
        <v>-90136.819574195921</v>
      </c>
      <c r="BC771" s="302"/>
      <c r="BD771" s="302"/>
      <c r="BE771" s="302"/>
      <c r="BF771" s="302"/>
      <c r="BG771" s="302"/>
      <c r="BH771" s="302"/>
      <c r="BI771" s="302"/>
      <c r="BJ771" s="302"/>
      <c r="BK771" s="302"/>
      <c r="BL771" s="302"/>
      <c r="BM771" s="302"/>
      <c r="BN771" s="302"/>
      <c r="BO771" s="302"/>
      <c r="BP771" s="302"/>
      <c r="BQ771" s="302"/>
      <c r="BR771" s="302"/>
      <c r="BS771" s="302"/>
      <c r="BT771" s="302"/>
      <c r="BU771" s="302"/>
      <c r="BV771" s="302"/>
      <c r="BW771" s="302"/>
      <c r="BX771" s="302"/>
      <c r="BY771" s="302"/>
      <c r="BZ771" s="302"/>
      <c r="CA771" s="302"/>
      <c r="CB771" s="28"/>
      <c r="CC771" s="28"/>
      <c r="CD771" s="28"/>
      <c r="CE771" s="28"/>
      <c r="CF771" s="28"/>
      <c r="CG771" s="28"/>
      <c r="CH771" s="28"/>
      <c r="CI771" s="28"/>
      <c r="CJ771" s="28"/>
      <c r="CK771" s="28"/>
      <c r="CL771" s="28"/>
      <c r="CM771" s="28"/>
      <c r="CN771" s="28"/>
      <c r="CO771" s="28"/>
      <c r="CP771" s="28"/>
      <c r="CQ771" s="28"/>
      <c r="CR771" s="28"/>
      <c r="CS771" s="28"/>
      <c r="CT771" s="28"/>
      <c r="CU771" s="28"/>
      <c r="CV771" s="28"/>
      <c r="CW771" s="28"/>
    </row>
    <row r="772" spans="1:101" ht="14.25" customHeight="1" x14ac:dyDescent="0.2">
      <c r="A772" s="286"/>
      <c r="B772" s="52">
        <v>0.21381721598904913</v>
      </c>
      <c r="C772" s="288">
        <v>0.88689346102995659</v>
      </c>
      <c r="D772" s="288">
        <v>1.5911409203483329E-2</v>
      </c>
      <c r="E772" s="288">
        <v>1.0131444598932584E-2</v>
      </c>
      <c r="F772" s="289">
        <v>0.77012645200236185</v>
      </c>
      <c r="G772" s="92">
        <v>0.36779732324667036</v>
      </c>
      <c r="H772" s="288">
        <v>0.79249371973207694</v>
      </c>
      <c r="I772" s="288">
        <v>3.8989162060922178E-2</v>
      </c>
      <c r="J772" s="288">
        <v>0.41629224877143139</v>
      </c>
      <c r="K772" s="288">
        <v>0.75547808254787763</v>
      </c>
      <c r="L772" s="290">
        <v>8041.9198951667895</v>
      </c>
      <c r="M772" s="288">
        <v>0</v>
      </c>
      <c r="N772" s="288">
        <v>17627.610600574018</v>
      </c>
      <c r="O772" s="288">
        <v>1261.746335580671</v>
      </c>
      <c r="P772" s="288">
        <v>53421.281865074707</v>
      </c>
      <c r="Q772" s="291">
        <v>115844.18235007417</v>
      </c>
      <c r="R772" s="288">
        <v>25631.034691252611</v>
      </c>
      <c r="S772" s="288">
        <v>9824.9474055520168</v>
      </c>
      <c r="T772" s="290">
        <v>0.751</v>
      </c>
      <c r="U772" s="288">
        <v>0.75800000000000001</v>
      </c>
      <c r="V772" s="288">
        <v>0.723923076923077</v>
      </c>
      <c r="W772" s="288">
        <v>0.72750000000000004</v>
      </c>
      <c r="X772" s="288">
        <v>0.76</v>
      </c>
      <c r="Y772" s="288">
        <v>0</v>
      </c>
      <c r="Z772" s="289">
        <v>0</v>
      </c>
      <c r="AA772" s="229"/>
      <c r="AB772" s="293">
        <v>88493.929740972017</v>
      </c>
      <c r="AC772" s="294">
        <v>3.0966124847538881</v>
      </c>
      <c r="AD772" s="295">
        <v>84069.093889500902</v>
      </c>
      <c r="AE772" s="294">
        <v>3.033484807110292</v>
      </c>
      <c r="AF772" s="295">
        <v>4424.8358514711144</v>
      </c>
      <c r="AG772" s="296">
        <v>6.3127677643596058E-2</v>
      </c>
      <c r="AH772" s="229"/>
      <c r="AI772" s="205">
        <f t="shared" si="80"/>
        <v>221167.3187344168</v>
      </c>
      <c r="AJ772" s="205">
        <f t="shared" si="81"/>
        <v>219279.38682152831</v>
      </c>
      <c r="AK772" s="205">
        <f t="shared" si="82"/>
        <v>1887.9319128884918</v>
      </c>
      <c r="AL772" s="229"/>
      <c r="AM772" s="52">
        <f t="shared" si="58"/>
        <v>1</v>
      </c>
      <c r="AN772" s="52">
        <f t="shared" si="59"/>
        <v>0</v>
      </c>
      <c r="AO772" s="52">
        <f t="shared" si="60"/>
        <v>1</v>
      </c>
      <c r="AP772" s="229"/>
      <c r="AQ772" s="28"/>
      <c r="AR772" s="28"/>
      <c r="AS772" s="28"/>
      <c r="AT772" s="28"/>
      <c r="AU772" s="229"/>
      <c r="AV772" s="318">
        <f t="shared" si="83"/>
        <v>221167.3187344168</v>
      </c>
      <c r="AW772" s="229"/>
      <c r="AX772" s="313"/>
      <c r="AY772" s="302"/>
      <c r="AZ772" s="14">
        <f t="shared" si="85"/>
        <v>4424.8358514711144</v>
      </c>
      <c r="BA772" s="14">
        <f t="shared" si="84"/>
        <v>6.3127677643596058E-2</v>
      </c>
      <c r="BB772" s="14">
        <f t="shared" si="61"/>
        <v>70093.436296717453</v>
      </c>
      <c r="BC772" s="302"/>
      <c r="BD772" s="302"/>
      <c r="BE772" s="302"/>
      <c r="BF772" s="302"/>
      <c r="BG772" s="302"/>
      <c r="BH772" s="302"/>
      <c r="BI772" s="302"/>
      <c r="BJ772" s="302"/>
      <c r="BK772" s="302"/>
      <c r="BL772" s="302"/>
      <c r="BM772" s="302"/>
      <c r="BN772" s="302"/>
      <c r="BO772" s="302"/>
      <c r="BP772" s="302"/>
      <c r="BQ772" s="302"/>
      <c r="BR772" s="302"/>
      <c r="BS772" s="302"/>
      <c r="BT772" s="302"/>
      <c r="BU772" s="302"/>
      <c r="BV772" s="302"/>
      <c r="BW772" s="302"/>
      <c r="BX772" s="302"/>
      <c r="BY772" s="302"/>
      <c r="BZ772" s="302"/>
      <c r="CA772" s="302"/>
      <c r="CB772" s="28"/>
      <c r="CC772" s="28"/>
      <c r="CD772" s="28"/>
      <c r="CE772" s="28"/>
      <c r="CF772" s="28"/>
      <c r="CG772" s="28"/>
      <c r="CH772" s="28"/>
      <c r="CI772" s="28"/>
      <c r="CJ772" s="28"/>
      <c r="CK772" s="28"/>
      <c r="CL772" s="28"/>
      <c r="CM772" s="28"/>
      <c r="CN772" s="28"/>
      <c r="CO772" s="28"/>
      <c r="CP772" s="28"/>
      <c r="CQ772" s="28"/>
      <c r="CR772" s="28"/>
      <c r="CS772" s="28"/>
      <c r="CT772" s="28"/>
      <c r="CU772" s="28"/>
      <c r="CV772" s="28"/>
      <c r="CW772" s="28"/>
    </row>
    <row r="773" spans="1:101" ht="14.25" customHeight="1" x14ac:dyDescent="0.2">
      <c r="A773" s="286"/>
      <c r="B773" s="52">
        <v>0.1498255195399501</v>
      </c>
      <c r="C773" s="288">
        <v>0.15671111775777641</v>
      </c>
      <c r="D773" s="288">
        <v>1.4631315125603894E-2</v>
      </c>
      <c r="E773" s="288">
        <v>1.3727704454644423E-2</v>
      </c>
      <c r="F773" s="289">
        <v>0.78390371134496373</v>
      </c>
      <c r="G773" s="92">
        <v>0.40165029708817945</v>
      </c>
      <c r="H773" s="288">
        <v>0.13877586209664838</v>
      </c>
      <c r="I773" s="288">
        <v>2.1202225416723675E-2</v>
      </c>
      <c r="J773" s="288">
        <v>0.95827565291523409</v>
      </c>
      <c r="K773" s="288">
        <v>0.78939329595507279</v>
      </c>
      <c r="L773" s="290">
        <v>11306.695653417601</v>
      </c>
      <c r="M773" s="288">
        <v>0</v>
      </c>
      <c r="N773" s="288">
        <v>14637.8706597319</v>
      </c>
      <c r="O773" s="288">
        <v>1199.6340810304994</v>
      </c>
      <c r="P773" s="288">
        <v>42182.053733673572</v>
      </c>
      <c r="Q773" s="291">
        <v>82003.130196536818</v>
      </c>
      <c r="R773" s="288">
        <v>24576.830687937265</v>
      </c>
      <c r="S773" s="288">
        <v>9947.2324816910041</v>
      </c>
      <c r="T773" s="290">
        <v>0.751</v>
      </c>
      <c r="U773" s="288">
        <v>0.75800000000000001</v>
      </c>
      <c r="V773" s="288">
        <v>0.723923076923077</v>
      </c>
      <c r="W773" s="288">
        <v>0.72750000000000004</v>
      </c>
      <c r="X773" s="288">
        <v>0.76</v>
      </c>
      <c r="Y773" s="288">
        <v>0</v>
      </c>
      <c r="Z773" s="289">
        <v>0</v>
      </c>
      <c r="AA773" s="229"/>
      <c r="AB773" s="293">
        <v>89459.731740813411</v>
      </c>
      <c r="AC773" s="294">
        <v>3.1604795993167989</v>
      </c>
      <c r="AD773" s="295">
        <v>81316.843029715194</v>
      </c>
      <c r="AE773" s="294">
        <v>3.1907652077612072</v>
      </c>
      <c r="AF773" s="295">
        <v>8142.8887110982178</v>
      </c>
      <c r="AG773" s="296">
        <v>-3.0285608444408307E-2</v>
      </c>
      <c r="AH773" s="229"/>
      <c r="AI773" s="205">
        <f t="shared" si="80"/>
        <v>226588.22819086647</v>
      </c>
      <c r="AJ773" s="205">
        <f t="shared" si="81"/>
        <v>237759.67774640553</v>
      </c>
      <c r="AK773" s="205">
        <f t="shared" si="82"/>
        <v>-11171.449555539049</v>
      </c>
      <c r="AL773" s="229"/>
      <c r="AM773" s="52">
        <f t="shared" si="58"/>
        <v>0</v>
      </c>
      <c r="AN773" s="52">
        <f t="shared" si="59"/>
        <v>1</v>
      </c>
      <c r="AO773" s="52">
        <f t="shared" si="60"/>
        <v>0</v>
      </c>
      <c r="AP773" s="229"/>
      <c r="AQ773" s="28"/>
      <c r="AR773" s="28"/>
      <c r="AS773" s="28"/>
      <c r="AT773" s="28"/>
      <c r="AU773" s="229"/>
      <c r="AV773" s="318">
        <f t="shared" si="83"/>
        <v>237759.67774640553</v>
      </c>
      <c r="AW773" s="229"/>
      <c r="AX773" s="313"/>
      <c r="AY773" s="302"/>
      <c r="AZ773" s="14">
        <f t="shared" si="85"/>
        <v>8142.8887110982178</v>
      </c>
      <c r="BA773" s="14">
        <f t="shared" si="84"/>
        <v>-3.0285608444408307E-2</v>
      </c>
      <c r="BB773" s="14">
        <f t="shared" si="61"/>
        <v>-268869.90651170677</v>
      </c>
      <c r="BC773" s="302"/>
      <c r="BD773" s="302"/>
      <c r="BE773" s="302"/>
      <c r="BF773" s="302"/>
      <c r="BG773" s="302"/>
      <c r="BH773" s="302"/>
      <c r="BI773" s="302"/>
      <c r="BJ773" s="302"/>
      <c r="BK773" s="302"/>
      <c r="BL773" s="302"/>
      <c r="BM773" s="302"/>
      <c r="BN773" s="302"/>
      <c r="BO773" s="302"/>
      <c r="BP773" s="302"/>
      <c r="BQ773" s="302"/>
      <c r="BR773" s="302"/>
      <c r="BS773" s="302"/>
      <c r="BT773" s="302"/>
      <c r="BU773" s="302"/>
      <c r="BV773" s="302"/>
      <c r="BW773" s="302"/>
      <c r="BX773" s="302"/>
      <c r="BY773" s="302"/>
      <c r="BZ773" s="302"/>
      <c r="CA773" s="302"/>
      <c r="CB773" s="28"/>
      <c r="CC773" s="28"/>
      <c r="CD773" s="28"/>
      <c r="CE773" s="28"/>
      <c r="CF773" s="28"/>
      <c r="CG773" s="28"/>
      <c r="CH773" s="28"/>
      <c r="CI773" s="28"/>
      <c r="CJ773" s="28"/>
      <c r="CK773" s="28"/>
      <c r="CL773" s="28"/>
      <c r="CM773" s="28"/>
      <c r="CN773" s="28"/>
      <c r="CO773" s="28"/>
      <c r="CP773" s="28"/>
      <c r="CQ773" s="28"/>
      <c r="CR773" s="28"/>
      <c r="CS773" s="28"/>
      <c r="CT773" s="28"/>
      <c r="CU773" s="28"/>
      <c r="CV773" s="28"/>
      <c r="CW773" s="28"/>
    </row>
    <row r="774" spans="1:101" ht="14.25" customHeight="1" x14ac:dyDescent="0.2">
      <c r="A774" s="286"/>
      <c r="B774" s="52">
        <v>0.12356475571014956</v>
      </c>
      <c r="C774" s="288">
        <v>0.22438266174769309</v>
      </c>
      <c r="D774" s="288">
        <v>1.8688488390531055E-2</v>
      </c>
      <c r="E774" s="288">
        <v>1.5838635096912079E-2</v>
      </c>
      <c r="F774" s="289">
        <v>0.81498053120334257</v>
      </c>
      <c r="G774" s="92">
        <v>0.4333103574212237</v>
      </c>
      <c r="H774" s="288">
        <v>0.34692898972733416</v>
      </c>
      <c r="I774" s="288">
        <v>4.4988706777191578E-2</v>
      </c>
      <c r="J774" s="288">
        <v>0.99999999999963818</v>
      </c>
      <c r="K774" s="288">
        <v>0.71549651986651075</v>
      </c>
      <c r="L774" s="290">
        <v>13303.061738584311</v>
      </c>
      <c r="M774" s="288">
        <v>0</v>
      </c>
      <c r="N774" s="288">
        <v>15853.928862137864</v>
      </c>
      <c r="O774" s="288">
        <v>1343.2613826180586</v>
      </c>
      <c r="P774" s="288">
        <v>38902.060158629487</v>
      </c>
      <c r="Q774" s="291">
        <v>102068.52898242175</v>
      </c>
      <c r="R774" s="288">
        <v>26205.422644757513</v>
      </c>
      <c r="S774" s="288">
        <v>7239.7336487593002</v>
      </c>
      <c r="T774" s="290">
        <v>0.751</v>
      </c>
      <c r="U774" s="288">
        <v>0.75800000000000001</v>
      </c>
      <c r="V774" s="288">
        <v>0.723923076923077</v>
      </c>
      <c r="W774" s="288">
        <v>0.72750000000000004</v>
      </c>
      <c r="X774" s="288">
        <v>0.76</v>
      </c>
      <c r="Y774" s="288">
        <v>0</v>
      </c>
      <c r="Z774" s="289">
        <v>0</v>
      </c>
      <c r="AA774" s="229"/>
      <c r="AB774" s="293">
        <v>72859.192399882944</v>
      </c>
      <c r="AC774" s="294">
        <v>3.3056353110694427</v>
      </c>
      <c r="AD774" s="295">
        <v>59168.645485237539</v>
      </c>
      <c r="AE774" s="294">
        <v>2.8504004844671504</v>
      </c>
      <c r="AF774" s="295">
        <v>13690.546914645405</v>
      </c>
      <c r="AG774" s="296">
        <v>0.45523482660229231</v>
      </c>
      <c r="AH774" s="229"/>
      <c r="AI774" s="205">
        <f t="shared" si="80"/>
        <v>257704.33870706131</v>
      </c>
      <c r="AJ774" s="205">
        <f t="shared" si="81"/>
        <v>225871.40296147752</v>
      </c>
      <c r="AK774" s="205">
        <f t="shared" si="82"/>
        <v>31832.935745583825</v>
      </c>
      <c r="AL774" s="229"/>
      <c r="AM774" s="52">
        <f t="shared" si="58"/>
        <v>1</v>
      </c>
      <c r="AN774" s="52">
        <f t="shared" si="59"/>
        <v>0</v>
      </c>
      <c r="AO774" s="52">
        <f t="shared" si="60"/>
        <v>1</v>
      </c>
      <c r="AP774" s="229"/>
      <c r="AQ774" s="28"/>
      <c r="AR774" s="28"/>
      <c r="AS774" s="28"/>
      <c r="AT774" s="28"/>
      <c r="AU774" s="229"/>
      <c r="AV774" s="318">
        <f t="shared" si="83"/>
        <v>257704.33870706131</v>
      </c>
      <c r="AW774" s="229"/>
      <c r="AX774" s="313"/>
      <c r="AY774" s="302"/>
      <c r="AZ774" s="14">
        <f t="shared" si="85"/>
        <v>13690.546914645405</v>
      </c>
      <c r="BA774" s="14">
        <f t="shared" si="84"/>
        <v>0.45523482660229231</v>
      </c>
      <c r="BB774" s="14">
        <f t="shared" si="61"/>
        <v>30073.593043894914</v>
      </c>
      <c r="BC774" s="302"/>
      <c r="BD774" s="302"/>
      <c r="BE774" s="302"/>
      <c r="BF774" s="302"/>
      <c r="BG774" s="302"/>
      <c r="BH774" s="302"/>
      <c r="BI774" s="302"/>
      <c r="BJ774" s="302"/>
      <c r="BK774" s="302"/>
      <c r="BL774" s="302"/>
      <c r="BM774" s="302"/>
      <c r="BN774" s="302"/>
      <c r="BO774" s="302"/>
      <c r="BP774" s="302"/>
      <c r="BQ774" s="302"/>
      <c r="BR774" s="302"/>
      <c r="BS774" s="302"/>
      <c r="BT774" s="302"/>
      <c r="BU774" s="302"/>
      <c r="BV774" s="302"/>
      <c r="BW774" s="302"/>
      <c r="BX774" s="302"/>
      <c r="BY774" s="302"/>
      <c r="BZ774" s="302"/>
      <c r="CA774" s="302"/>
      <c r="CB774" s="28"/>
      <c r="CC774" s="28"/>
      <c r="CD774" s="28"/>
      <c r="CE774" s="28"/>
      <c r="CF774" s="28"/>
      <c r="CG774" s="28"/>
      <c r="CH774" s="28"/>
      <c r="CI774" s="28"/>
      <c r="CJ774" s="28"/>
      <c r="CK774" s="28"/>
      <c r="CL774" s="28"/>
      <c r="CM774" s="28"/>
      <c r="CN774" s="28"/>
      <c r="CO774" s="28"/>
      <c r="CP774" s="28"/>
      <c r="CQ774" s="28"/>
      <c r="CR774" s="28"/>
      <c r="CS774" s="28"/>
      <c r="CT774" s="28"/>
      <c r="CU774" s="28"/>
      <c r="CV774" s="28"/>
      <c r="CW774" s="28"/>
    </row>
    <row r="775" spans="1:101" ht="14.25" customHeight="1" x14ac:dyDescent="0.2">
      <c r="A775" s="286"/>
      <c r="B775" s="52">
        <v>0.16209487617408314</v>
      </c>
      <c r="C775" s="288">
        <v>0.477121557628851</v>
      </c>
      <c r="D775" s="288">
        <v>2.1077006362217432E-2</v>
      </c>
      <c r="E775" s="288">
        <v>1.6447378521717737E-2</v>
      </c>
      <c r="F775" s="289">
        <v>0.7557164505187175</v>
      </c>
      <c r="G775" s="92">
        <v>0.37771417374943744</v>
      </c>
      <c r="H775" s="288">
        <v>0.39202463857780401</v>
      </c>
      <c r="I775" s="288">
        <v>1.385298314480515E-2</v>
      </c>
      <c r="J775" s="288">
        <v>0.99998486150962029</v>
      </c>
      <c r="K775" s="288">
        <v>0.79011182389429824</v>
      </c>
      <c r="L775" s="290">
        <v>14670.436161982107</v>
      </c>
      <c r="M775" s="288">
        <v>0</v>
      </c>
      <c r="N775" s="288">
        <v>20216.01937855946</v>
      </c>
      <c r="O775" s="288">
        <v>728.41230633629721</v>
      </c>
      <c r="P775" s="288">
        <v>48004.220549567552</v>
      </c>
      <c r="Q775" s="291">
        <v>111440.29316661562</v>
      </c>
      <c r="R775" s="288">
        <v>19764.348175352879</v>
      </c>
      <c r="S775" s="288">
        <v>6211.7034591187212</v>
      </c>
      <c r="T775" s="290">
        <v>0.751</v>
      </c>
      <c r="U775" s="288">
        <v>0.75800000000000001</v>
      </c>
      <c r="V775" s="288">
        <v>0.723923076923077</v>
      </c>
      <c r="W775" s="288">
        <v>0.72750000000000004</v>
      </c>
      <c r="X775" s="288">
        <v>0.76</v>
      </c>
      <c r="Y775" s="288">
        <v>0</v>
      </c>
      <c r="Z775" s="289">
        <v>0</v>
      </c>
      <c r="AA775" s="229"/>
      <c r="AB775" s="293">
        <v>63185.794445069921</v>
      </c>
      <c r="AC775" s="294">
        <v>3.030130718726102</v>
      </c>
      <c r="AD775" s="295">
        <v>53090.312937431278</v>
      </c>
      <c r="AE775" s="294">
        <v>3.1941169641222205</v>
      </c>
      <c r="AF775" s="295">
        <v>10095.481507638644</v>
      </c>
      <c r="AG775" s="296">
        <v>-0.1639862453961185</v>
      </c>
      <c r="AH775" s="229"/>
      <c r="AI775" s="205">
        <f t="shared" si="80"/>
        <v>239827.27742754028</v>
      </c>
      <c r="AJ775" s="205">
        <f t="shared" si="81"/>
        <v>266321.38347479078</v>
      </c>
      <c r="AK775" s="205">
        <f t="shared" si="82"/>
        <v>-26494.106047250494</v>
      </c>
      <c r="AL775" s="229"/>
      <c r="AM775" s="52">
        <f t="shared" si="58"/>
        <v>0</v>
      </c>
      <c r="AN775" s="52">
        <f t="shared" si="59"/>
        <v>1</v>
      </c>
      <c r="AO775" s="52">
        <f t="shared" si="60"/>
        <v>0</v>
      </c>
      <c r="AP775" s="229"/>
      <c r="AQ775" s="28"/>
      <c r="AR775" s="28"/>
      <c r="AS775" s="28"/>
      <c r="AT775" s="28"/>
      <c r="AU775" s="229"/>
      <c r="AV775" s="318">
        <f t="shared" si="83"/>
        <v>266321.38347479078</v>
      </c>
      <c r="AW775" s="229"/>
      <c r="AX775" s="313"/>
      <c r="AY775" s="302"/>
      <c r="AZ775" s="14">
        <f t="shared" si="85"/>
        <v>10095.481507638644</v>
      </c>
      <c r="BA775" s="14">
        <f t="shared" si="84"/>
        <v>-0.1639862453961185</v>
      </c>
      <c r="BB775" s="14">
        <f t="shared" si="61"/>
        <v>-61562.977329302281</v>
      </c>
      <c r="BC775" s="302"/>
      <c r="BD775" s="302"/>
      <c r="BE775" s="302"/>
      <c r="BF775" s="302"/>
      <c r="BG775" s="302"/>
      <c r="BH775" s="302"/>
      <c r="BI775" s="302"/>
      <c r="BJ775" s="302"/>
      <c r="BK775" s="302"/>
      <c r="BL775" s="302"/>
      <c r="BM775" s="302"/>
      <c r="BN775" s="302"/>
      <c r="BO775" s="302"/>
      <c r="BP775" s="302"/>
      <c r="BQ775" s="302"/>
      <c r="BR775" s="302"/>
      <c r="BS775" s="302"/>
      <c r="BT775" s="302"/>
      <c r="BU775" s="302"/>
      <c r="BV775" s="302"/>
      <c r="BW775" s="302"/>
      <c r="BX775" s="302"/>
      <c r="BY775" s="302"/>
      <c r="BZ775" s="302"/>
      <c r="CA775" s="302"/>
      <c r="CB775" s="28"/>
      <c r="CC775" s="28"/>
      <c r="CD775" s="28"/>
      <c r="CE775" s="28"/>
      <c r="CF775" s="28"/>
      <c r="CG775" s="28"/>
      <c r="CH775" s="28"/>
      <c r="CI775" s="28"/>
      <c r="CJ775" s="28"/>
      <c r="CK775" s="28"/>
      <c r="CL775" s="28"/>
      <c r="CM775" s="28"/>
      <c r="CN775" s="28"/>
      <c r="CO775" s="28"/>
      <c r="CP775" s="28"/>
      <c r="CQ775" s="28"/>
      <c r="CR775" s="28"/>
      <c r="CS775" s="28"/>
      <c r="CT775" s="28"/>
      <c r="CU775" s="28"/>
      <c r="CV775" s="28"/>
      <c r="CW775" s="28"/>
    </row>
    <row r="776" spans="1:101" ht="14.25" customHeight="1" x14ac:dyDescent="0.2">
      <c r="A776" s="286"/>
      <c r="B776" s="52">
        <v>0.1578766137533551</v>
      </c>
      <c r="C776" s="288">
        <v>0.36080571331081956</v>
      </c>
      <c r="D776" s="288">
        <v>6.5991221974116693E-3</v>
      </c>
      <c r="E776" s="288">
        <v>8.8429474789851348E-3</v>
      </c>
      <c r="F776" s="289">
        <v>0.75808036160245929</v>
      </c>
      <c r="G776" s="92">
        <v>0.36650585474608466</v>
      </c>
      <c r="H776" s="288">
        <v>0.64072426176167319</v>
      </c>
      <c r="I776" s="288">
        <v>3.4676533625517788E-3</v>
      </c>
      <c r="J776" s="288">
        <v>5.3106716722766456E-6</v>
      </c>
      <c r="K776" s="288">
        <v>0.70134511638637431</v>
      </c>
      <c r="L776" s="290">
        <v>13278.191606794593</v>
      </c>
      <c r="M776" s="288">
        <v>0</v>
      </c>
      <c r="N776" s="288">
        <v>22288.105214866177</v>
      </c>
      <c r="O776" s="288">
        <v>984.29021902312354</v>
      </c>
      <c r="P776" s="288">
        <v>42728.851766788757</v>
      </c>
      <c r="Q776" s="291">
        <v>68998.411635167227</v>
      </c>
      <c r="R776" s="288">
        <v>27839.401717245804</v>
      </c>
      <c r="S776" s="288">
        <v>5848.2371243676535</v>
      </c>
      <c r="T776" s="290">
        <v>0.751</v>
      </c>
      <c r="U776" s="288">
        <v>0.75800000000000001</v>
      </c>
      <c r="V776" s="288">
        <v>0.723923076923077</v>
      </c>
      <c r="W776" s="288">
        <v>0.72750000000000004</v>
      </c>
      <c r="X776" s="288">
        <v>0.76</v>
      </c>
      <c r="Y776" s="288">
        <v>0</v>
      </c>
      <c r="Z776" s="289">
        <v>0</v>
      </c>
      <c r="AA776" s="229"/>
      <c r="AB776" s="293">
        <v>58993.009804920504</v>
      </c>
      <c r="AC776" s="294">
        <v>3.0410144911198698</v>
      </c>
      <c r="AD776" s="295">
        <v>47875.652432824609</v>
      </c>
      <c r="AE776" s="294">
        <v>2.7862018609265231</v>
      </c>
      <c r="AF776" s="295">
        <v>11117.357372095896</v>
      </c>
      <c r="AG776" s="296">
        <v>0.25481263019334666</v>
      </c>
      <c r="AH776" s="229"/>
      <c r="AI776" s="205">
        <f t="shared" si="80"/>
        <v>245108.43930706647</v>
      </c>
      <c r="AJ776" s="205">
        <f t="shared" si="81"/>
        <v>230744.53365982772</v>
      </c>
      <c r="AK776" s="205">
        <f t="shared" si="82"/>
        <v>14363.905647238771</v>
      </c>
      <c r="AL776" s="229"/>
      <c r="AM776" s="52">
        <f t="shared" si="58"/>
        <v>1</v>
      </c>
      <c r="AN776" s="52">
        <f t="shared" si="59"/>
        <v>0</v>
      </c>
      <c r="AO776" s="52">
        <f t="shared" si="60"/>
        <v>1</v>
      </c>
      <c r="AP776" s="229"/>
      <c r="AQ776" s="28"/>
      <c r="AR776" s="28"/>
      <c r="AS776" s="28"/>
      <c r="AT776" s="28"/>
      <c r="AU776" s="229"/>
      <c r="AV776" s="318">
        <f t="shared" si="83"/>
        <v>245108.43930706647</v>
      </c>
      <c r="AW776" s="229"/>
      <c r="AX776" s="313"/>
      <c r="AY776" s="302"/>
      <c r="AZ776" s="14">
        <f t="shared" si="85"/>
        <v>11117.357372095896</v>
      </c>
      <c r="BA776" s="14">
        <f t="shared" si="84"/>
        <v>0.25481263019334666</v>
      </c>
      <c r="BB776" s="14">
        <f t="shared" si="61"/>
        <v>43629.538157744653</v>
      </c>
      <c r="BC776" s="302"/>
      <c r="BD776" s="302"/>
      <c r="BE776" s="302"/>
      <c r="BF776" s="302"/>
      <c r="BG776" s="302"/>
      <c r="BH776" s="302"/>
      <c r="BI776" s="302"/>
      <c r="BJ776" s="302"/>
      <c r="BK776" s="302"/>
      <c r="BL776" s="302"/>
      <c r="BM776" s="302"/>
      <c r="BN776" s="302"/>
      <c r="BO776" s="302"/>
      <c r="BP776" s="302"/>
      <c r="BQ776" s="302"/>
      <c r="BR776" s="302"/>
      <c r="BS776" s="302"/>
      <c r="BT776" s="302"/>
      <c r="BU776" s="302"/>
      <c r="BV776" s="302"/>
      <c r="BW776" s="302"/>
      <c r="BX776" s="302"/>
      <c r="BY776" s="302"/>
      <c r="BZ776" s="302"/>
      <c r="CA776" s="302"/>
      <c r="CB776" s="28"/>
      <c r="CC776" s="28"/>
      <c r="CD776" s="28"/>
      <c r="CE776" s="28"/>
      <c r="CF776" s="28"/>
      <c r="CG776" s="28"/>
      <c r="CH776" s="28"/>
      <c r="CI776" s="28"/>
      <c r="CJ776" s="28"/>
      <c r="CK776" s="28"/>
      <c r="CL776" s="28"/>
      <c r="CM776" s="28"/>
      <c r="CN776" s="28"/>
      <c r="CO776" s="28"/>
      <c r="CP776" s="28"/>
      <c r="CQ776" s="28"/>
      <c r="CR776" s="28"/>
      <c r="CS776" s="28"/>
      <c r="CT776" s="28"/>
      <c r="CU776" s="28"/>
      <c r="CV776" s="28"/>
      <c r="CW776" s="28"/>
    </row>
    <row r="777" spans="1:101" ht="14.25" customHeight="1" x14ac:dyDescent="0.2">
      <c r="A777" s="286"/>
      <c r="B777" s="52">
        <v>0.16729083612456341</v>
      </c>
      <c r="C777" s="288">
        <v>0.2780207363521614</v>
      </c>
      <c r="D777" s="288">
        <v>1.3937466394658265E-2</v>
      </c>
      <c r="E777" s="288">
        <v>1.7497467551197854E-2</v>
      </c>
      <c r="F777" s="289">
        <v>0.77874336471109629</v>
      </c>
      <c r="G777" s="92">
        <v>0.40150984354097563</v>
      </c>
      <c r="H777" s="288">
        <v>0.81233758146195612</v>
      </c>
      <c r="I777" s="288">
        <v>1.980506499763568E-2</v>
      </c>
      <c r="J777" s="288">
        <v>0.99999999999432099</v>
      </c>
      <c r="K777" s="288">
        <v>0.7725796226558489</v>
      </c>
      <c r="L777" s="290">
        <v>11164.283781507385</v>
      </c>
      <c r="M777" s="288">
        <v>0</v>
      </c>
      <c r="N777" s="288">
        <v>17214.35819698251</v>
      </c>
      <c r="O777" s="288">
        <v>1827.2987895038009</v>
      </c>
      <c r="P777" s="288">
        <v>44925.613801665604</v>
      </c>
      <c r="Q777" s="291">
        <v>87277.178575203798</v>
      </c>
      <c r="R777" s="288">
        <v>18780.785765987472</v>
      </c>
      <c r="S777" s="288">
        <v>8495.5822024099489</v>
      </c>
      <c r="T777" s="290">
        <v>0.751</v>
      </c>
      <c r="U777" s="288">
        <v>0.75800000000000001</v>
      </c>
      <c r="V777" s="288">
        <v>0.723923076923077</v>
      </c>
      <c r="W777" s="288">
        <v>0.72750000000000004</v>
      </c>
      <c r="X777" s="288">
        <v>0.76</v>
      </c>
      <c r="Y777" s="288">
        <v>0</v>
      </c>
      <c r="Z777" s="289">
        <v>0</v>
      </c>
      <c r="AA777" s="229"/>
      <c r="AB777" s="293">
        <v>78061.822652396106</v>
      </c>
      <c r="AC777" s="294">
        <v>3.1365229551725955</v>
      </c>
      <c r="AD777" s="295">
        <v>73415.976553798668</v>
      </c>
      <c r="AE777" s="294">
        <v>3.1125658754179799</v>
      </c>
      <c r="AF777" s="295">
        <v>4645.846098597438</v>
      </c>
      <c r="AG777" s="296">
        <v>2.3957079754615584E-2</v>
      </c>
      <c r="AH777" s="229"/>
      <c r="AI777" s="205">
        <f t="shared" si="80"/>
        <v>235590.47286486346</v>
      </c>
      <c r="AJ777" s="205">
        <f t="shared" si="81"/>
        <v>237840.61098799936</v>
      </c>
      <c r="AK777" s="205">
        <f t="shared" si="82"/>
        <v>-2250.1381231358796</v>
      </c>
      <c r="AL777" s="229"/>
      <c r="AM777" s="52">
        <f t="shared" si="58"/>
        <v>0</v>
      </c>
      <c r="AN777" s="52">
        <f t="shared" si="59"/>
        <v>1</v>
      </c>
      <c r="AO777" s="52">
        <f t="shared" si="60"/>
        <v>0</v>
      </c>
      <c r="AP777" s="229"/>
      <c r="AQ777" s="28"/>
      <c r="AR777" s="28"/>
      <c r="AS777" s="28"/>
      <c r="AT777" s="28"/>
      <c r="AU777" s="229"/>
      <c r="AV777" s="318">
        <f t="shared" si="83"/>
        <v>237840.61098799936</v>
      </c>
      <c r="AW777" s="229"/>
      <c r="AX777" s="313"/>
      <c r="AY777" s="302"/>
      <c r="AZ777" s="14">
        <f t="shared" si="85"/>
        <v>4645.846098597438</v>
      </c>
      <c r="BA777" s="14">
        <f t="shared" si="84"/>
        <v>2.3957079754615584E-2</v>
      </c>
      <c r="BB777" s="14">
        <f t="shared" si="61"/>
        <v>193923.72301563036</v>
      </c>
      <c r="BC777" s="302"/>
      <c r="BD777" s="302"/>
      <c r="BE777" s="302"/>
      <c r="BF777" s="302"/>
      <c r="BG777" s="302"/>
      <c r="BH777" s="302"/>
      <c r="BI777" s="302"/>
      <c r="BJ777" s="302"/>
      <c r="BK777" s="302"/>
      <c r="BL777" s="302"/>
      <c r="BM777" s="302"/>
      <c r="BN777" s="302"/>
      <c r="BO777" s="302"/>
      <c r="BP777" s="302"/>
      <c r="BQ777" s="302"/>
      <c r="BR777" s="302"/>
      <c r="BS777" s="302"/>
      <c r="BT777" s="302"/>
      <c r="BU777" s="302"/>
      <c r="BV777" s="302"/>
      <c r="BW777" s="302"/>
      <c r="BX777" s="302"/>
      <c r="BY777" s="302"/>
      <c r="BZ777" s="302"/>
      <c r="CA777" s="302"/>
      <c r="CB777" s="28"/>
      <c r="CC777" s="28"/>
      <c r="CD777" s="28"/>
      <c r="CE777" s="28"/>
      <c r="CF777" s="28"/>
      <c r="CG777" s="28"/>
      <c r="CH777" s="28"/>
      <c r="CI777" s="28"/>
      <c r="CJ777" s="28"/>
      <c r="CK777" s="28"/>
      <c r="CL777" s="28"/>
      <c r="CM777" s="28"/>
      <c r="CN777" s="28"/>
      <c r="CO777" s="28"/>
      <c r="CP777" s="28"/>
      <c r="CQ777" s="28"/>
      <c r="CR777" s="28"/>
      <c r="CS777" s="28"/>
      <c r="CT777" s="28"/>
      <c r="CU777" s="28"/>
      <c r="CV777" s="28"/>
      <c r="CW777" s="28"/>
    </row>
    <row r="778" spans="1:101" ht="14.25" customHeight="1" x14ac:dyDescent="0.2">
      <c r="A778" s="286"/>
      <c r="B778" s="52">
        <v>0.16348784814211392</v>
      </c>
      <c r="C778" s="288">
        <v>0.483140180506614</v>
      </c>
      <c r="D778" s="288">
        <v>4.8481291204025166E-3</v>
      </c>
      <c r="E778" s="288">
        <v>5.0701584119887443E-3</v>
      </c>
      <c r="F778" s="289">
        <v>0.8123539650710101</v>
      </c>
      <c r="G778" s="92">
        <v>0.34654487164464387</v>
      </c>
      <c r="H778" s="288">
        <v>0.55627895480858247</v>
      </c>
      <c r="I778" s="288">
        <v>2.0307675834033811E-2</v>
      </c>
      <c r="J778" s="288">
        <v>0.98902431380949762</v>
      </c>
      <c r="K778" s="288">
        <v>0.76165755081606612</v>
      </c>
      <c r="L778" s="290">
        <v>14291.637990876601</v>
      </c>
      <c r="M778" s="288">
        <v>0</v>
      </c>
      <c r="N778" s="288">
        <v>20308.613233086726</v>
      </c>
      <c r="O778" s="288">
        <v>1919.8160252588088</v>
      </c>
      <c r="P778" s="288">
        <v>40938.554916878318</v>
      </c>
      <c r="Q778" s="291">
        <v>86200.181059906885</v>
      </c>
      <c r="R778" s="288">
        <v>21919.524446899617</v>
      </c>
      <c r="S778" s="288">
        <v>9036.1604904709911</v>
      </c>
      <c r="T778" s="290">
        <v>0.751</v>
      </c>
      <c r="U778" s="288">
        <v>0.75800000000000001</v>
      </c>
      <c r="V778" s="288">
        <v>0.723923076923077</v>
      </c>
      <c r="W778" s="288">
        <v>0.72750000000000004</v>
      </c>
      <c r="X778" s="288">
        <v>0.76</v>
      </c>
      <c r="Y778" s="288">
        <v>0</v>
      </c>
      <c r="Z778" s="289">
        <v>0</v>
      </c>
      <c r="AA778" s="229"/>
      <c r="AB778" s="293">
        <v>89093.773457496427</v>
      </c>
      <c r="AC778" s="294">
        <v>3.2933083641216441</v>
      </c>
      <c r="AD778" s="295">
        <v>74541.259411522682</v>
      </c>
      <c r="AE778" s="294">
        <v>3.0620067573976426</v>
      </c>
      <c r="AF778" s="295">
        <v>14552.514045973745</v>
      </c>
      <c r="AG778" s="296">
        <v>0.23130160672400146</v>
      </c>
      <c r="AH778" s="229"/>
      <c r="AI778" s="205">
        <f t="shared" si="80"/>
        <v>240237.06295466796</v>
      </c>
      <c r="AJ778" s="205">
        <f t="shared" si="81"/>
        <v>231659.41632824155</v>
      </c>
      <c r="AK778" s="205">
        <f t="shared" si="82"/>
        <v>8577.6466264264018</v>
      </c>
      <c r="AL778" s="229"/>
      <c r="AM778" s="52">
        <f t="shared" si="58"/>
        <v>1</v>
      </c>
      <c r="AN778" s="52">
        <f t="shared" si="59"/>
        <v>0</v>
      </c>
      <c r="AO778" s="52">
        <f t="shared" si="60"/>
        <v>1</v>
      </c>
      <c r="AP778" s="229"/>
      <c r="AQ778" s="28"/>
      <c r="AR778" s="28"/>
      <c r="AS778" s="28"/>
      <c r="AT778" s="28"/>
      <c r="AU778" s="229"/>
      <c r="AV778" s="318">
        <f t="shared" si="83"/>
        <v>240237.06295466796</v>
      </c>
      <c r="AW778" s="229"/>
      <c r="AX778" s="313"/>
      <c r="AY778" s="302"/>
      <c r="AZ778" s="14">
        <f t="shared" si="85"/>
        <v>14552.514045973745</v>
      </c>
      <c r="BA778" s="14">
        <f t="shared" si="84"/>
        <v>0.23130160672400146</v>
      </c>
      <c r="BB778" s="14">
        <f t="shared" si="61"/>
        <v>62915.749925327582</v>
      </c>
      <c r="BC778" s="302"/>
      <c r="BD778" s="302"/>
      <c r="BE778" s="302"/>
      <c r="BF778" s="302"/>
      <c r="BG778" s="302"/>
      <c r="BH778" s="302"/>
      <c r="BI778" s="302"/>
      <c r="BJ778" s="302"/>
      <c r="BK778" s="302"/>
      <c r="BL778" s="302"/>
      <c r="BM778" s="302"/>
      <c r="BN778" s="302"/>
      <c r="BO778" s="302"/>
      <c r="BP778" s="302"/>
      <c r="BQ778" s="302"/>
      <c r="BR778" s="302"/>
      <c r="BS778" s="302"/>
      <c r="BT778" s="302"/>
      <c r="BU778" s="302"/>
      <c r="BV778" s="302"/>
      <c r="BW778" s="302"/>
      <c r="BX778" s="302"/>
      <c r="BY778" s="302"/>
      <c r="BZ778" s="302"/>
      <c r="CA778" s="302"/>
      <c r="CB778" s="28"/>
      <c r="CC778" s="28"/>
      <c r="CD778" s="28"/>
      <c r="CE778" s="28"/>
      <c r="CF778" s="28"/>
      <c r="CG778" s="28"/>
      <c r="CH778" s="28"/>
      <c r="CI778" s="28"/>
      <c r="CJ778" s="28"/>
      <c r="CK778" s="28"/>
      <c r="CL778" s="28"/>
      <c r="CM778" s="28"/>
      <c r="CN778" s="28"/>
      <c r="CO778" s="28"/>
      <c r="CP778" s="28"/>
      <c r="CQ778" s="28"/>
      <c r="CR778" s="28"/>
      <c r="CS778" s="28"/>
      <c r="CT778" s="28"/>
      <c r="CU778" s="28"/>
      <c r="CV778" s="28"/>
      <c r="CW778" s="28"/>
    </row>
    <row r="779" spans="1:101" ht="14.25" customHeight="1" x14ac:dyDescent="0.2">
      <c r="A779" s="286"/>
      <c r="B779" s="52">
        <v>0.15155677943193457</v>
      </c>
      <c r="C779" s="288">
        <v>7.6443825950096009E-2</v>
      </c>
      <c r="D779" s="288">
        <v>1.684049444994884E-2</v>
      </c>
      <c r="E779" s="288">
        <v>1.3479399358732427E-2</v>
      </c>
      <c r="F779" s="289">
        <v>0.73051906462565019</v>
      </c>
      <c r="G779" s="92">
        <v>0.40623723288757208</v>
      </c>
      <c r="H779" s="288">
        <v>0.19961802109715499</v>
      </c>
      <c r="I779" s="288">
        <v>3.9154674440646353E-2</v>
      </c>
      <c r="J779" s="288">
        <v>0.99978825227034507</v>
      </c>
      <c r="K779" s="288">
        <v>0.75541889080840297</v>
      </c>
      <c r="L779" s="290">
        <v>11624.665910620544</v>
      </c>
      <c r="M779" s="288">
        <v>0</v>
      </c>
      <c r="N779" s="288">
        <v>13484.935484830701</v>
      </c>
      <c r="O779" s="288">
        <v>1024.5382674783573</v>
      </c>
      <c r="P779" s="288">
        <v>46038.022902260716</v>
      </c>
      <c r="Q779" s="291">
        <v>101357.71285766528</v>
      </c>
      <c r="R779" s="288">
        <v>22819.64365311342</v>
      </c>
      <c r="S779" s="288">
        <v>7603.2224412272499</v>
      </c>
      <c r="T779" s="290">
        <v>0.751</v>
      </c>
      <c r="U779" s="288">
        <v>0.75800000000000001</v>
      </c>
      <c r="V779" s="288">
        <v>0.723923076923077</v>
      </c>
      <c r="W779" s="288">
        <v>0.72750000000000004</v>
      </c>
      <c r="X779" s="288">
        <v>0.76</v>
      </c>
      <c r="Y779" s="288">
        <v>0</v>
      </c>
      <c r="Z779" s="289">
        <v>0</v>
      </c>
      <c r="AA779" s="229"/>
      <c r="AB779" s="293">
        <v>67305.317513124028</v>
      </c>
      <c r="AC779" s="294">
        <v>2.9146631218550136</v>
      </c>
      <c r="AD779" s="295">
        <v>62053.517545330928</v>
      </c>
      <c r="AE779" s="294">
        <v>3.0332118927871767</v>
      </c>
      <c r="AF779" s="295">
        <v>5251.7999677931002</v>
      </c>
      <c r="AG779" s="296">
        <v>-0.11854877093216309</v>
      </c>
      <c r="AH779" s="229"/>
      <c r="AI779" s="205">
        <f t="shared" si="80"/>
        <v>224160.99467237736</v>
      </c>
      <c r="AJ779" s="205">
        <f t="shared" si="81"/>
        <v>241267.67173338676</v>
      </c>
      <c r="AK779" s="205">
        <f t="shared" si="82"/>
        <v>-17106.67706100941</v>
      </c>
      <c r="AL779" s="229"/>
      <c r="AM779" s="52">
        <f t="shared" ref="AM779:AM1013" si="86">IF(MAX(AI779:AJ779)=AI779,1,0)</f>
        <v>0</v>
      </c>
      <c r="AN779" s="52">
        <f t="shared" ref="AN779:AN1013" si="87">IF(MAX(AI779:AJ779)=AJ779,1,0)</f>
        <v>1</v>
      </c>
      <c r="AO779" s="52">
        <f t="shared" ref="AO779:AO1013" si="88">IF(AK779&gt;0,1,0)</f>
        <v>0</v>
      </c>
      <c r="AP779" s="229"/>
      <c r="AQ779" s="28"/>
      <c r="AR779" s="28"/>
      <c r="AS779" s="28"/>
      <c r="AT779" s="28"/>
      <c r="AU779" s="229"/>
      <c r="AV779" s="318">
        <f t="shared" si="83"/>
        <v>241267.67173338676</v>
      </c>
      <c r="AW779" s="229"/>
      <c r="AX779" s="313"/>
      <c r="AY779" s="302"/>
      <c r="AZ779" s="14">
        <f t="shared" si="85"/>
        <v>5251.7999677931002</v>
      </c>
      <c r="BA779" s="14">
        <f t="shared" si="84"/>
        <v>-0.11854877093216309</v>
      </c>
      <c r="BB779" s="14">
        <f t="shared" ref="BB779:BB1013" si="89">AZ779/BA779</f>
        <v>-44300.754250740618</v>
      </c>
      <c r="BC779" s="302"/>
      <c r="BD779" s="302"/>
      <c r="BE779" s="302"/>
      <c r="BF779" s="302"/>
      <c r="BG779" s="302"/>
      <c r="BH779" s="302"/>
      <c r="BI779" s="302"/>
      <c r="BJ779" s="302"/>
      <c r="BK779" s="302"/>
      <c r="BL779" s="302"/>
      <c r="BM779" s="302"/>
      <c r="BN779" s="302"/>
      <c r="BO779" s="302"/>
      <c r="BP779" s="302"/>
      <c r="BQ779" s="302"/>
      <c r="BR779" s="302"/>
      <c r="BS779" s="302"/>
      <c r="BT779" s="302"/>
      <c r="BU779" s="302"/>
      <c r="BV779" s="302"/>
      <c r="BW779" s="302"/>
      <c r="BX779" s="302"/>
      <c r="BY779" s="302"/>
      <c r="BZ779" s="302"/>
      <c r="CA779" s="302"/>
      <c r="CB779" s="28"/>
      <c r="CC779" s="28"/>
      <c r="CD779" s="28"/>
      <c r="CE779" s="28"/>
      <c r="CF779" s="28"/>
      <c r="CG779" s="28"/>
      <c r="CH779" s="28"/>
      <c r="CI779" s="28"/>
      <c r="CJ779" s="28"/>
      <c r="CK779" s="28"/>
      <c r="CL779" s="28"/>
      <c r="CM779" s="28"/>
      <c r="CN779" s="28"/>
      <c r="CO779" s="28"/>
      <c r="CP779" s="28"/>
      <c r="CQ779" s="28"/>
      <c r="CR779" s="28"/>
      <c r="CS779" s="28"/>
      <c r="CT779" s="28"/>
      <c r="CU779" s="28"/>
      <c r="CV779" s="28"/>
      <c r="CW779" s="28"/>
    </row>
    <row r="780" spans="1:101" ht="14.25" customHeight="1" x14ac:dyDescent="0.2">
      <c r="A780" s="286"/>
      <c r="B780" s="52">
        <v>0.10953274362145322</v>
      </c>
      <c r="C780" s="288">
        <v>0.17572174101304303</v>
      </c>
      <c r="D780" s="288">
        <v>6.2415779521011053E-3</v>
      </c>
      <c r="E780" s="288">
        <v>5.1880470200005415E-3</v>
      </c>
      <c r="F780" s="289">
        <v>0.78728005327567974</v>
      </c>
      <c r="G780" s="92">
        <v>0.41464604514989523</v>
      </c>
      <c r="H780" s="288">
        <v>2.2333029828347346E-2</v>
      </c>
      <c r="I780" s="288">
        <v>1.3723878098322172E-2</v>
      </c>
      <c r="J780" s="288">
        <v>0.91844310850363453</v>
      </c>
      <c r="K780" s="288">
        <v>0.81828034750850431</v>
      </c>
      <c r="L780" s="290">
        <v>9822.667113508498</v>
      </c>
      <c r="M780" s="288">
        <v>0</v>
      </c>
      <c r="N780" s="288">
        <v>12841.031602056397</v>
      </c>
      <c r="O780" s="288">
        <v>1377.6757234608692</v>
      </c>
      <c r="P780" s="288">
        <v>65345.742578149577</v>
      </c>
      <c r="Q780" s="291">
        <v>121135.73398683946</v>
      </c>
      <c r="R780" s="288">
        <v>30484.808622376942</v>
      </c>
      <c r="S780" s="288">
        <v>7456.7546238042769</v>
      </c>
      <c r="T780" s="290">
        <v>0.751</v>
      </c>
      <c r="U780" s="288">
        <v>0.75800000000000001</v>
      </c>
      <c r="V780" s="288">
        <v>0.723923076923077</v>
      </c>
      <c r="W780" s="288">
        <v>0.72750000000000004</v>
      </c>
      <c r="X780" s="288">
        <v>0.76</v>
      </c>
      <c r="Y780" s="288">
        <v>0</v>
      </c>
      <c r="Z780" s="289">
        <v>0</v>
      </c>
      <c r="AA780" s="229"/>
      <c r="AB780" s="293">
        <v>68775.31467048428</v>
      </c>
      <c r="AC780" s="294">
        <v>3.1761766975415124</v>
      </c>
      <c r="AD780" s="295">
        <v>62821.655503161201</v>
      </c>
      <c r="AE780" s="294">
        <v>3.3261575101177496</v>
      </c>
      <c r="AF780" s="295">
        <v>5953.6591673230796</v>
      </c>
      <c r="AG780" s="296">
        <v>-0.14998081257623719</v>
      </c>
      <c r="AH780" s="229"/>
      <c r="AI780" s="205">
        <f t="shared" si="80"/>
        <v>248842.35508366697</v>
      </c>
      <c r="AJ780" s="205">
        <f t="shared" si="81"/>
        <v>269794.0955086138</v>
      </c>
      <c r="AK780" s="205">
        <f t="shared" si="82"/>
        <v>-20951.740424946798</v>
      </c>
      <c r="AL780" s="229"/>
      <c r="AM780" s="52">
        <f t="shared" si="86"/>
        <v>0</v>
      </c>
      <c r="AN780" s="52">
        <f t="shared" si="87"/>
        <v>1</v>
      </c>
      <c r="AO780" s="52">
        <f t="shared" si="88"/>
        <v>0</v>
      </c>
      <c r="AP780" s="229"/>
      <c r="AQ780" s="28"/>
      <c r="AR780" s="28"/>
      <c r="AS780" s="28"/>
      <c r="AT780" s="28"/>
      <c r="AU780" s="229"/>
      <c r="AV780" s="318">
        <f t="shared" si="83"/>
        <v>269794.0955086138</v>
      </c>
      <c r="AW780" s="229"/>
      <c r="AX780" s="313"/>
      <c r="AY780" s="302"/>
      <c r="AZ780" s="14">
        <f t="shared" si="85"/>
        <v>5953.6591673230796</v>
      </c>
      <c r="BA780" s="14">
        <f t="shared" si="84"/>
        <v>-0.14998081257623719</v>
      </c>
      <c r="BB780" s="14">
        <f t="shared" si="89"/>
        <v>-39696.13889307846</v>
      </c>
      <c r="BC780" s="302"/>
      <c r="BD780" s="302"/>
      <c r="BE780" s="302"/>
      <c r="BF780" s="302"/>
      <c r="BG780" s="302"/>
      <c r="BH780" s="302"/>
      <c r="BI780" s="302"/>
      <c r="BJ780" s="302"/>
      <c r="BK780" s="302"/>
      <c r="BL780" s="302"/>
      <c r="BM780" s="302"/>
      <c r="BN780" s="302"/>
      <c r="BO780" s="302"/>
      <c r="BP780" s="302"/>
      <c r="BQ780" s="302"/>
      <c r="BR780" s="302"/>
      <c r="BS780" s="302"/>
      <c r="BT780" s="302"/>
      <c r="BU780" s="302"/>
      <c r="BV780" s="302"/>
      <c r="BW780" s="302"/>
      <c r="BX780" s="302"/>
      <c r="BY780" s="302"/>
      <c r="BZ780" s="302"/>
      <c r="CA780" s="302"/>
      <c r="CB780" s="28"/>
      <c r="CC780" s="28"/>
      <c r="CD780" s="28"/>
      <c r="CE780" s="28"/>
      <c r="CF780" s="28"/>
      <c r="CG780" s="28"/>
      <c r="CH780" s="28"/>
      <c r="CI780" s="28"/>
      <c r="CJ780" s="28"/>
      <c r="CK780" s="28"/>
      <c r="CL780" s="28"/>
      <c r="CM780" s="28"/>
      <c r="CN780" s="28"/>
      <c r="CO780" s="28"/>
      <c r="CP780" s="28"/>
      <c r="CQ780" s="28"/>
      <c r="CR780" s="28"/>
      <c r="CS780" s="28"/>
      <c r="CT780" s="28"/>
      <c r="CU780" s="28"/>
      <c r="CV780" s="28"/>
      <c r="CW780" s="28"/>
    </row>
    <row r="781" spans="1:101" ht="14.25" customHeight="1" x14ac:dyDescent="0.2">
      <c r="A781" s="286"/>
      <c r="B781" s="52">
        <v>0.15716127535991567</v>
      </c>
      <c r="C781" s="288">
        <v>1.3779584977770009E-3</v>
      </c>
      <c r="D781" s="288">
        <v>1.2219709290270274E-2</v>
      </c>
      <c r="E781" s="288">
        <v>2.211313017838179E-2</v>
      </c>
      <c r="F781" s="289">
        <v>0.80728088101113959</v>
      </c>
      <c r="G781" s="92">
        <v>0.4112196329583524</v>
      </c>
      <c r="H781" s="288">
        <v>7.6296875698493083E-2</v>
      </c>
      <c r="I781" s="288">
        <v>3.2173401180615957E-2</v>
      </c>
      <c r="J781" s="288">
        <v>0.99999997489447456</v>
      </c>
      <c r="K781" s="288">
        <v>0.77076663898301978</v>
      </c>
      <c r="L781" s="290">
        <v>15264.465119599292</v>
      </c>
      <c r="M781" s="288">
        <v>0</v>
      </c>
      <c r="N781" s="288">
        <v>23206.895086198605</v>
      </c>
      <c r="O781" s="288">
        <v>1579.1348447601658</v>
      </c>
      <c r="P781" s="288">
        <v>42847.353265859085</v>
      </c>
      <c r="Q781" s="291">
        <v>95179.666822126048</v>
      </c>
      <c r="R781" s="288">
        <v>15509.470644026564</v>
      </c>
      <c r="S781" s="288">
        <v>8905.9465578619547</v>
      </c>
      <c r="T781" s="290">
        <v>0.751</v>
      </c>
      <c r="U781" s="288">
        <v>0.75800000000000001</v>
      </c>
      <c r="V781" s="288">
        <v>0.723923076923077</v>
      </c>
      <c r="W781" s="288">
        <v>0.72750000000000004</v>
      </c>
      <c r="X781" s="288">
        <v>0.76</v>
      </c>
      <c r="Y781" s="288">
        <v>0</v>
      </c>
      <c r="Z781" s="289">
        <v>0</v>
      </c>
      <c r="AA781" s="229"/>
      <c r="AB781" s="293">
        <v>86895.074007551899</v>
      </c>
      <c r="AC781" s="294">
        <v>3.2695301023801093</v>
      </c>
      <c r="AD781" s="295">
        <v>71702.519373165516</v>
      </c>
      <c r="AE781" s="294">
        <v>3.1041604177307125</v>
      </c>
      <c r="AF781" s="295">
        <v>15192.554634386383</v>
      </c>
      <c r="AG781" s="296">
        <v>0.16536968464939683</v>
      </c>
      <c r="AH781" s="229"/>
      <c r="AI781" s="205">
        <f t="shared" si="80"/>
        <v>240057.93623045908</v>
      </c>
      <c r="AJ781" s="205">
        <f t="shared" si="81"/>
        <v>238713.52239990572</v>
      </c>
      <c r="AK781" s="205">
        <f t="shared" si="82"/>
        <v>1344.4138305533015</v>
      </c>
      <c r="AL781" s="229"/>
      <c r="AM781" s="52">
        <f t="shared" si="86"/>
        <v>1</v>
      </c>
      <c r="AN781" s="52">
        <f t="shared" si="87"/>
        <v>0</v>
      </c>
      <c r="AO781" s="52">
        <f t="shared" si="88"/>
        <v>1</v>
      </c>
      <c r="AP781" s="229"/>
      <c r="AQ781" s="28"/>
      <c r="AR781" s="28"/>
      <c r="AS781" s="28"/>
      <c r="AT781" s="28"/>
      <c r="AU781" s="229"/>
      <c r="AV781" s="318">
        <f t="shared" si="83"/>
        <v>240057.93623045908</v>
      </c>
      <c r="AW781" s="229"/>
      <c r="AX781" s="313"/>
      <c r="AY781" s="302"/>
      <c r="AZ781" s="14">
        <f t="shared" si="85"/>
        <v>15192.554634386383</v>
      </c>
      <c r="BA781" s="14">
        <f t="shared" si="84"/>
        <v>0.16536968464939683</v>
      </c>
      <c r="BB781" s="14">
        <f t="shared" si="89"/>
        <v>91870.252196443282</v>
      </c>
      <c r="BC781" s="302"/>
      <c r="BD781" s="302"/>
      <c r="BE781" s="302"/>
      <c r="BF781" s="302"/>
      <c r="BG781" s="302"/>
      <c r="BH781" s="302"/>
      <c r="BI781" s="302"/>
      <c r="BJ781" s="302"/>
      <c r="BK781" s="302"/>
      <c r="BL781" s="302"/>
      <c r="BM781" s="302"/>
      <c r="BN781" s="302"/>
      <c r="BO781" s="302"/>
      <c r="BP781" s="302"/>
      <c r="BQ781" s="302"/>
      <c r="BR781" s="302"/>
      <c r="BS781" s="302"/>
      <c r="BT781" s="302"/>
      <c r="BU781" s="302"/>
      <c r="BV781" s="302"/>
      <c r="BW781" s="302"/>
      <c r="BX781" s="302"/>
      <c r="BY781" s="302"/>
      <c r="BZ781" s="302"/>
      <c r="CA781" s="302"/>
      <c r="CB781" s="28"/>
      <c r="CC781" s="28"/>
      <c r="CD781" s="28"/>
      <c r="CE781" s="28"/>
      <c r="CF781" s="28"/>
      <c r="CG781" s="28"/>
      <c r="CH781" s="28"/>
      <c r="CI781" s="28"/>
      <c r="CJ781" s="28"/>
      <c r="CK781" s="28"/>
      <c r="CL781" s="28"/>
      <c r="CM781" s="28"/>
      <c r="CN781" s="28"/>
      <c r="CO781" s="28"/>
      <c r="CP781" s="28"/>
      <c r="CQ781" s="28"/>
      <c r="CR781" s="28"/>
      <c r="CS781" s="28"/>
      <c r="CT781" s="28"/>
      <c r="CU781" s="28"/>
      <c r="CV781" s="28"/>
      <c r="CW781" s="28"/>
    </row>
    <row r="782" spans="1:101" ht="14.25" customHeight="1" x14ac:dyDescent="0.2">
      <c r="A782" s="286"/>
      <c r="B782" s="52">
        <v>0.17151996945434922</v>
      </c>
      <c r="C782" s="288">
        <v>0.28574903422218245</v>
      </c>
      <c r="D782" s="288">
        <v>2.4191344433577733E-2</v>
      </c>
      <c r="E782" s="288">
        <v>6.3199452109577942E-3</v>
      </c>
      <c r="F782" s="289">
        <v>0.78594865162347205</v>
      </c>
      <c r="G782" s="92">
        <v>0.43589887442012376</v>
      </c>
      <c r="H782" s="288">
        <v>0.10626969113541947</v>
      </c>
      <c r="I782" s="288">
        <v>2.0770476182817021E-2</v>
      </c>
      <c r="J782" s="288">
        <v>0.92878747077305035</v>
      </c>
      <c r="K782" s="288">
        <v>0.78393989823701438</v>
      </c>
      <c r="L782" s="290">
        <v>12737.540523712245</v>
      </c>
      <c r="M782" s="288">
        <v>0</v>
      </c>
      <c r="N782" s="288">
        <v>13445.261355221101</v>
      </c>
      <c r="O782" s="288">
        <v>1277.9358914605605</v>
      </c>
      <c r="P782" s="288">
        <v>37883.490365291982</v>
      </c>
      <c r="Q782" s="291">
        <v>113170.33838852777</v>
      </c>
      <c r="R782" s="288">
        <v>26394.1733597981</v>
      </c>
      <c r="S782" s="288">
        <v>8957.7759557070913</v>
      </c>
      <c r="T782" s="290">
        <v>0.751</v>
      </c>
      <c r="U782" s="288">
        <v>0.75800000000000001</v>
      </c>
      <c r="V782" s="288">
        <v>0.723923076923077</v>
      </c>
      <c r="W782" s="288">
        <v>0.72750000000000004</v>
      </c>
      <c r="X782" s="288">
        <v>0.76</v>
      </c>
      <c r="Y782" s="288">
        <v>0</v>
      </c>
      <c r="Z782" s="289">
        <v>0</v>
      </c>
      <c r="AA782" s="229"/>
      <c r="AB782" s="293">
        <v>84436.8541060508</v>
      </c>
      <c r="AC782" s="294">
        <v>3.169984684943274</v>
      </c>
      <c r="AD782" s="295">
        <v>73302.602718241935</v>
      </c>
      <c r="AE782" s="294">
        <v>3.1653529734828774</v>
      </c>
      <c r="AF782" s="295">
        <v>11134.251387808865</v>
      </c>
      <c r="AG782" s="296">
        <v>4.6317114603966481E-3</v>
      </c>
      <c r="AH782" s="229"/>
      <c r="AI782" s="205">
        <f t="shared" ref="AI782:AI845" si="90">AC782*cRatio-AB782</f>
        <v>232561.61438827659</v>
      </c>
      <c r="AJ782" s="205">
        <f t="shared" ref="AJ782:AJ845" si="91">AE782*cRatio-AD782</f>
        <v>243232.69463004579</v>
      </c>
      <c r="AK782" s="205">
        <f t="shared" ref="AK782:AK845" si="92">AG782*cRatio-AF782</f>
        <v>-10671.080241769199</v>
      </c>
      <c r="AL782" s="229"/>
      <c r="AM782" s="52">
        <f t="shared" si="86"/>
        <v>0</v>
      </c>
      <c r="AN782" s="52">
        <f t="shared" si="87"/>
        <v>1</v>
      </c>
      <c r="AO782" s="52">
        <f t="shared" si="88"/>
        <v>0</v>
      </c>
      <c r="AP782" s="229"/>
      <c r="AQ782" s="28"/>
      <c r="AR782" s="28"/>
      <c r="AS782" s="28"/>
      <c r="AT782" s="28"/>
      <c r="AU782" s="229"/>
      <c r="AV782" s="318">
        <f t="shared" si="83"/>
        <v>243232.69463004579</v>
      </c>
      <c r="AW782" s="229"/>
      <c r="AX782" s="313"/>
      <c r="AY782" s="302"/>
      <c r="AZ782" s="14">
        <f t="shared" si="85"/>
        <v>11134.251387808865</v>
      </c>
      <c r="BA782" s="14">
        <f t="shared" si="84"/>
        <v>4.6317114603966481E-3</v>
      </c>
      <c r="BB782" s="14">
        <f t="shared" si="89"/>
        <v>2403917.3171757455</v>
      </c>
      <c r="BC782" s="302"/>
      <c r="BD782" s="302"/>
      <c r="BE782" s="302"/>
      <c r="BF782" s="302"/>
      <c r="BG782" s="302"/>
      <c r="BH782" s="302"/>
      <c r="BI782" s="302"/>
      <c r="BJ782" s="302"/>
      <c r="BK782" s="302"/>
      <c r="BL782" s="302"/>
      <c r="BM782" s="302"/>
      <c r="BN782" s="302"/>
      <c r="BO782" s="302"/>
      <c r="BP782" s="302"/>
      <c r="BQ782" s="302"/>
      <c r="BR782" s="302"/>
      <c r="BS782" s="302"/>
      <c r="BT782" s="302"/>
      <c r="BU782" s="302"/>
      <c r="BV782" s="302"/>
      <c r="BW782" s="302"/>
      <c r="BX782" s="302"/>
      <c r="BY782" s="302"/>
      <c r="BZ782" s="302"/>
      <c r="CA782" s="302"/>
      <c r="CB782" s="28"/>
      <c r="CC782" s="28"/>
      <c r="CD782" s="28"/>
      <c r="CE782" s="28"/>
      <c r="CF782" s="28"/>
      <c r="CG782" s="28"/>
      <c r="CH782" s="28"/>
      <c r="CI782" s="28"/>
      <c r="CJ782" s="28"/>
      <c r="CK782" s="28"/>
      <c r="CL782" s="28"/>
      <c r="CM782" s="28"/>
      <c r="CN782" s="28"/>
      <c r="CO782" s="28"/>
      <c r="CP782" s="28"/>
      <c r="CQ782" s="28"/>
      <c r="CR782" s="28"/>
      <c r="CS782" s="28"/>
      <c r="CT782" s="28"/>
      <c r="CU782" s="28"/>
      <c r="CV782" s="28"/>
      <c r="CW782" s="28"/>
    </row>
    <row r="783" spans="1:101" ht="14.25" customHeight="1" x14ac:dyDescent="0.2">
      <c r="A783" s="286"/>
      <c r="B783" s="52">
        <v>0.15444645296218526</v>
      </c>
      <c r="C783" s="288">
        <v>0.19802813334548527</v>
      </c>
      <c r="D783" s="288">
        <v>8.0952562567835114E-3</v>
      </c>
      <c r="E783" s="288">
        <v>1.4956566283378159E-2</v>
      </c>
      <c r="F783" s="289">
        <v>0.77682026469631738</v>
      </c>
      <c r="G783" s="92">
        <v>0.34564619891890214</v>
      </c>
      <c r="H783" s="288">
        <v>1.1306602127874585E-2</v>
      </c>
      <c r="I783" s="288">
        <v>9.8030358274218948E-3</v>
      </c>
      <c r="J783" s="288">
        <v>0.99972866278795736</v>
      </c>
      <c r="K783" s="288">
        <v>0.74773579228866616</v>
      </c>
      <c r="L783" s="290">
        <v>9474.2371559191834</v>
      </c>
      <c r="M783" s="288">
        <v>0</v>
      </c>
      <c r="N783" s="288">
        <v>20105.34240396056</v>
      </c>
      <c r="O783" s="288">
        <v>1129.7646901703179</v>
      </c>
      <c r="P783" s="288">
        <v>57382.943401317752</v>
      </c>
      <c r="Q783" s="291">
        <v>69505.756746760351</v>
      </c>
      <c r="R783" s="288">
        <v>21580.326354531935</v>
      </c>
      <c r="S783" s="288">
        <v>10521.3877983404</v>
      </c>
      <c r="T783" s="290">
        <v>0.751</v>
      </c>
      <c r="U783" s="288">
        <v>0.75800000000000001</v>
      </c>
      <c r="V783" s="288">
        <v>0.723923076923077</v>
      </c>
      <c r="W783" s="288">
        <v>0.72750000000000004</v>
      </c>
      <c r="X783" s="288">
        <v>0.76</v>
      </c>
      <c r="Y783" s="288">
        <v>0</v>
      </c>
      <c r="Z783" s="289">
        <v>0</v>
      </c>
      <c r="AA783" s="229"/>
      <c r="AB783" s="293">
        <v>91330.736145218674</v>
      </c>
      <c r="AC783" s="294">
        <v>3.1276057453415973</v>
      </c>
      <c r="AD783" s="295">
        <v>79434.809505049823</v>
      </c>
      <c r="AE783" s="294">
        <v>2.9978344455881265</v>
      </c>
      <c r="AF783" s="295">
        <v>11895.926640168851</v>
      </c>
      <c r="AG783" s="296">
        <v>0.12977129975347079</v>
      </c>
      <c r="AH783" s="229"/>
      <c r="AI783" s="205">
        <f t="shared" si="90"/>
        <v>221429.83838894108</v>
      </c>
      <c r="AJ783" s="205">
        <f t="shared" si="91"/>
        <v>220348.63505376282</v>
      </c>
      <c r="AK783" s="205">
        <f t="shared" si="92"/>
        <v>1081.2033351782284</v>
      </c>
      <c r="AL783" s="229"/>
      <c r="AM783" s="52">
        <f t="shared" si="86"/>
        <v>1</v>
      </c>
      <c r="AN783" s="52">
        <f t="shared" si="87"/>
        <v>0</v>
      </c>
      <c r="AO783" s="52">
        <f t="shared" si="88"/>
        <v>1</v>
      </c>
      <c r="AP783" s="229"/>
      <c r="AQ783" s="28"/>
      <c r="AR783" s="28"/>
      <c r="AS783" s="28"/>
      <c r="AT783" s="28"/>
      <c r="AU783" s="229"/>
      <c r="AV783" s="318">
        <f t="shared" ref="AV783:AV846" si="93">MAX(AI783:AJ783)</f>
        <v>221429.83838894108</v>
      </c>
      <c r="AW783" s="229"/>
      <c r="AX783" s="313"/>
      <c r="AY783" s="302"/>
      <c r="AZ783" s="14">
        <f t="shared" si="85"/>
        <v>11895.926640168851</v>
      </c>
      <c r="BA783" s="14">
        <f t="shared" ref="BA783:BA846" si="94">AG783</f>
        <v>0.12977129975347079</v>
      </c>
      <c r="BB783" s="14">
        <f t="shared" si="89"/>
        <v>91668.394034488272</v>
      </c>
      <c r="BC783" s="302"/>
      <c r="BD783" s="302"/>
      <c r="BE783" s="302"/>
      <c r="BF783" s="302"/>
      <c r="BG783" s="302"/>
      <c r="BH783" s="302"/>
      <c r="BI783" s="302"/>
      <c r="BJ783" s="302"/>
      <c r="BK783" s="302"/>
      <c r="BL783" s="302"/>
      <c r="BM783" s="302"/>
      <c r="BN783" s="302"/>
      <c r="BO783" s="302"/>
      <c r="BP783" s="302"/>
      <c r="BQ783" s="302"/>
      <c r="BR783" s="302"/>
      <c r="BS783" s="302"/>
      <c r="BT783" s="302"/>
      <c r="BU783" s="302"/>
      <c r="BV783" s="302"/>
      <c r="BW783" s="302"/>
      <c r="BX783" s="302"/>
      <c r="BY783" s="302"/>
      <c r="BZ783" s="302"/>
      <c r="CA783" s="302"/>
      <c r="CB783" s="28"/>
      <c r="CC783" s="28"/>
      <c r="CD783" s="28"/>
      <c r="CE783" s="28"/>
      <c r="CF783" s="28"/>
      <c r="CG783" s="28"/>
      <c r="CH783" s="28"/>
      <c r="CI783" s="28"/>
      <c r="CJ783" s="28"/>
      <c r="CK783" s="28"/>
      <c r="CL783" s="28"/>
      <c r="CM783" s="28"/>
      <c r="CN783" s="28"/>
      <c r="CO783" s="28"/>
      <c r="CP783" s="28"/>
      <c r="CQ783" s="28"/>
      <c r="CR783" s="28"/>
      <c r="CS783" s="28"/>
      <c r="CT783" s="28"/>
      <c r="CU783" s="28"/>
      <c r="CV783" s="28"/>
      <c r="CW783" s="28"/>
    </row>
    <row r="784" spans="1:101" ht="14.25" customHeight="1" x14ac:dyDescent="0.2">
      <c r="A784" s="286"/>
      <c r="B784" s="52">
        <v>0.1450972554405438</v>
      </c>
      <c r="C784" s="288">
        <v>4.1887400504180175E-2</v>
      </c>
      <c r="D784" s="288">
        <v>2.1094834761244963E-2</v>
      </c>
      <c r="E784" s="288">
        <v>2.081007288320158E-2</v>
      </c>
      <c r="F784" s="289">
        <v>0.78878696468721476</v>
      </c>
      <c r="G784" s="92">
        <v>0.37869443665277747</v>
      </c>
      <c r="H784" s="288">
        <v>0.63274463765610789</v>
      </c>
      <c r="I784" s="288">
        <v>1.9191592279242053E-2</v>
      </c>
      <c r="J784" s="288">
        <v>0.99999999999999978</v>
      </c>
      <c r="K784" s="288">
        <v>0.78197873510402005</v>
      </c>
      <c r="L784" s="290">
        <v>11911.7289090303</v>
      </c>
      <c r="M784" s="288">
        <v>0</v>
      </c>
      <c r="N784" s="288">
        <v>18660.85648253611</v>
      </c>
      <c r="O784" s="288">
        <v>945.74877856600369</v>
      </c>
      <c r="P784" s="288">
        <v>43307.113290630536</v>
      </c>
      <c r="Q784" s="291">
        <v>89612.351556703914</v>
      </c>
      <c r="R784" s="288">
        <v>21299.359595216079</v>
      </c>
      <c r="S784" s="288">
        <v>9119.2620834004356</v>
      </c>
      <c r="T784" s="290">
        <v>0.751</v>
      </c>
      <c r="U784" s="288">
        <v>0.75800000000000001</v>
      </c>
      <c r="V784" s="288">
        <v>0.723923076923077</v>
      </c>
      <c r="W784" s="288">
        <v>0.72750000000000004</v>
      </c>
      <c r="X784" s="288">
        <v>0.76</v>
      </c>
      <c r="Y784" s="288">
        <v>0</v>
      </c>
      <c r="Z784" s="289">
        <v>0</v>
      </c>
      <c r="AA784" s="229"/>
      <c r="AB784" s="293">
        <v>83685.315690258998</v>
      </c>
      <c r="AC784" s="294">
        <v>3.1831883159786289</v>
      </c>
      <c r="AD784" s="295">
        <v>77579.793614148162</v>
      </c>
      <c r="AE784" s="294">
        <v>3.1562256289828308</v>
      </c>
      <c r="AF784" s="295">
        <v>6105.5220761108358</v>
      </c>
      <c r="AG784" s="296">
        <v>2.696268699579818E-2</v>
      </c>
      <c r="AH784" s="229"/>
      <c r="AI784" s="205">
        <f t="shared" si="90"/>
        <v>234633.5159076039</v>
      </c>
      <c r="AJ784" s="205">
        <f t="shared" si="91"/>
        <v>238042.76928413491</v>
      </c>
      <c r="AK784" s="205">
        <f t="shared" si="92"/>
        <v>-3409.2533765310177</v>
      </c>
      <c r="AL784" s="229"/>
      <c r="AM784" s="52">
        <f t="shared" si="86"/>
        <v>0</v>
      </c>
      <c r="AN784" s="52">
        <f t="shared" si="87"/>
        <v>1</v>
      </c>
      <c r="AO784" s="52">
        <f t="shared" si="88"/>
        <v>0</v>
      </c>
      <c r="AP784" s="229"/>
      <c r="AQ784" s="28"/>
      <c r="AR784" s="28"/>
      <c r="AS784" s="28"/>
      <c r="AT784" s="28"/>
      <c r="AU784" s="229"/>
      <c r="AV784" s="318">
        <f t="shared" si="93"/>
        <v>238042.76928413491</v>
      </c>
      <c r="AW784" s="229"/>
      <c r="AX784" s="313"/>
      <c r="AY784" s="302"/>
      <c r="AZ784" s="14">
        <f t="shared" ref="AZ784:AZ847" si="95">AF784</f>
        <v>6105.5220761108358</v>
      </c>
      <c r="BA784" s="14">
        <f t="shared" si="94"/>
        <v>2.696268699579818E-2</v>
      </c>
      <c r="BB784" s="14">
        <f t="shared" si="89"/>
        <v>226443.38366804132</v>
      </c>
      <c r="BC784" s="302"/>
      <c r="BD784" s="302"/>
      <c r="BE784" s="302"/>
      <c r="BF784" s="302"/>
      <c r="BG784" s="302"/>
      <c r="BH784" s="302"/>
      <c r="BI784" s="302"/>
      <c r="BJ784" s="302"/>
      <c r="BK784" s="302"/>
      <c r="BL784" s="302"/>
      <c r="BM784" s="302"/>
      <c r="BN784" s="302"/>
      <c r="BO784" s="302"/>
      <c r="BP784" s="302"/>
      <c r="BQ784" s="302"/>
      <c r="BR784" s="302"/>
      <c r="BS784" s="302"/>
      <c r="BT784" s="302"/>
      <c r="BU784" s="302"/>
      <c r="BV784" s="302"/>
      <c r="BW784" s="302"/>
      <c r="BX784" s="302"/>
      <c r="BY784" s="302"/>
      <c r="BZ784" s="302"/>
      <c r="CA784" s="302"/>
      <c r="CB784" s="28"/>
      <c r="CC784" s="28"/>
      <c r="CD784" s="28"/>
      <c r="CE784" s="28"/>
      <c r="CF784" s="28"/>
      <c r="CG784" s="28"/>
      <c r="CH784" s="28"/>
      <c r="CI784" s="28"/>
      <c r="CJ784" s="28"/>
      <c r="CK784" s="28"/>
      <c r="CL784" s="28"/>
      <c r="CM784" s="28"/>
      <c r="CN784" s="28"/>
      <c r="CO784" s="28"/>
      <c r="CP784" s="28"/>
      <c r="CQ784" s="28"/>
      <c r="CR784" s="28"/>
      <c r="CS784" s="28"/>
      <c r="CT784" s="28"/>
      <c r="CU784" s="28"/>
      <c r="CV784" s="28"/>
      <c r="CW784" s="28"/>
    </row>
    <row r="785" spans="1:101" ht="14.25" customHeight="1" x14ac:dyDescent="0.2">
      <c r="A785" s="286"/>
      <c r="B785" s="52">
        <v>0.1406395889210868</v>
      </c>
      <c r="C785" s="288">
        <v>5.6500810982255234E-2</v>
      </c>
      <c r="D785" s="288">
        <v>1.1410252708544445E-2</v>
      </c>
      <c r="E785" s="288">
        <v>1.2227039655094016E-2</v>
      </c>
      <c r="F785" s="289">
        <v>0.7887254282618289</v>
      </c>
      <c r="G785" s="92">
        <v>0.40627809441504481</v>
      </c>
      <c r="H785" s="288">
        <v>0.77184260726400611</v>
      </c>
      <c r="I785" s="288">
        <v>1.2152312480219949E-2</v>
      </c>
      <c r="J785" s="288">
        <v>0.99999999953944418</v>
      </c>
      <c r="K785" s="288">
        <v>0.7721064604387945</v>
      </c>
      <c r="L785" s="290">
        <v>8158.5969307645146</v>
      </c>
      <c r="M785" s="288">
        <v>0</v>
      </c>
      <c r="N785" s="288">
        <v>26396.129018877094</v>
      </c>
      <c r="O785" s="288">
        <v>1219.6577909581251</v>
      </c>
      <c r="P785" s="288">
        <v>49697.342895975962</v>
      </c>
      <c r="Q785" s="291">
        <v>111189.98711805382</v>
      </c>
      <c r="R785" s="288">
        <v>19836.609436285704</v>
      </c>
      <c r="S785" s="288">
        <v>7946.0611972389361</v>
      </c>
      <c r="T785" s="290">
        <v>0.751</v>
      </c>
      <c r="U785" s="288">
        <v>0.75800000000000001</v>
      </c>
      <c r="V785" s="288">
        <v>0.723923076923077</v>
      </c>
      <c r="W785" s="288">
        <v>0.72750000000000004</v>
      </c>
      <c r="X785" s="288">
        <v>0.76</v>
      </c>
      <c r="Y785" s="288">
        <v>0</v>
      </c>
      <c r="Z785" s="289">
        <v>0</v>
      </c>
      <c r="AA785" s="229"/>
      <c r="AB785" s="293">
        <v>70727.883171746435</v>
      </c>
      <c r="AC785" s="294">
        <v>3.1829019188857726</v>
      </c>
      <c r="AD785" s="295">
        <v>68748.012049554847</v>
      </c>
      <c r="AE785" s="294">
        <v>3.1103716742882117</v>
      </c>
      <c r="AF785" s="295">
        <v>1979.8711221915873</v>
      </c>
      <c r="AG785" s="296">
        <v>7.2530244597560856E-2</v>
      </c>
      <c r="AH785" s="229"/>
      <c r="AI785" s="205">
        <f t="shared" si="90"/>
        <v>247562.3087168308</v>
      </c>
      <c r="AJ785" s="205">
        <f t="shared" si="91"/>
        <v>242289.1553792663</v>
      </c>
      <c r="AK785" s="205">
        <f t="shared" si="92"/>
        <v>5273.1533375644985</v>
      </c>
      <c r="AL785" s="229"/>
      <c r="AM785" s="52">
        <f t="shared" si="86"/>
        <v>1</v>
      </c>
      <c r="AN785" s="52">
        <f t="shared" si="87"/>
        <v>0</v>
      </c>
      <c r="AO785" s="52">
        <f t="shared" si="88"/>
        <v>1</v>
      </c>
      <c r="AP785" s="229"/>
      <c r="AQ785" s="28"/>
      <c r="AR785" s="28"/>
      <c r="AS785" s="28"/>
      <c r="AT785" s="28"/>
      <c r="AU785" s="229"/>
      <c r="AV785" s="318">
        <f t="shared" si="93"/>
        <v>247562.3087168308</v>
      </c>
      <c r="AW785" s="229"/>
      <c r="AX785" s="313"/>
      <c r="AY785" s="302"/>
      <c r="AZ785" s="14">
        <f t="shared" si="95"/>
        <v>1979.8711221915873</v>
      </c>
      <c r="BA785" s="14">
        <f t="shared" si="94"/>
        <v>7.2530244597560856E-2</v>
      </c>
      <c r="BB785" s="14">
        <f t="shared" si="89"/>
        <v>27297.179723810958</v>
      </c>
      <c r="BC785" s="302"/>
      <c r="BD785" s="302"/>
      <c r="BE785" s="302"/>
      <c r="BF785" s="302"/>
      <c r="BG785" s="302"/>
      <c r="BH785" s="302"/>
      <c r="BI785" s="302"/>
      <c r="BJ785" s="302"/>
      <c r="BK785" s="302"/>
      <c r="BL785" s="302"/>
      <c r="BM785" s="302"/>
      <c r="BN785" s="302"/>
      <c r="BO785" s="302"/>
      <c r="BP785" s="302"/>
      <c r="BQ785" s="302"/>
      <c r="BR785" s="302"/>
      <c r="BS785" s="302"/>
      <c r="BT785" s="302"/>
      <c r="BU785" s="302"/>
      <c r="BV785" s="302"/>
      <c r="BW785" s="302"/>
      <c r="BX785" s="302"/>
      <c r="BY785" s="302"/>
      <c r="BZ785" s="302"/>
      <c r="CA785" s="302"/>
      <c r="CB785" s="28"/>
      <c r="CC785" s="28"/>
      <c r="CD785" s="28"/>
      <c r="CE785" s="28"/>
      <c r="CF785" s="28"/>
      <c r="CG785" s="28"/>
      <c r="CH785" s="28"/>
      <c r="CI785" s="28"/>
      <c r="CJ785" s="28"/>
      <c r="CK785" s="28"/>
      <c r="CL785" s="28"/>
      <c r="CM785" s="28"/>
      <c r="CN785" s="28"/>
      <c r="CO785" s="28"/>
      <c r="CP785" s="28"/>
      <c r="CQ785" s="28"/>
      <c r="CR785" s="28"/>
      <c r="CS785" s="28"/>
      <c r="CT785" s="28"/>
      <c r="CU785" s="28"/>
      <c r="CV785" s="28"/>
      <c r="CW785" s="28"/>
    </row>
    <row r="786" spans="1:101" ht="14.25" customHeight="1" x14ac:dyDescent="0.2">
      <c r="A786" s="286"/>
      <c r="B786" s="52">
        <v>0.15322086790363679</v>
      </c>
      <c r="C786" s="288">
        <v>9.5697468331429572E-2</v>
      </c>
      <c r="D786" s="288">
        <v>1.696430322533593E-2</v>
      </c>
      <c r="E786" s="288">
        <v>1.8438449357364606E-2</v>
      </c>
      <c r="F786" s="289">
        <v>0.7912850544378881</v>
      </c>
      <c r="G786" s="92">
        <v>0.3565636445955353</v>
      </c>
      <c r="H786" s="288">
        <v>0.78530847139917415</v>
      </c>
      <c r="I786" s="288">
        <v>1.2875795265771126E-2</v>
      </c>
      <c r="J786" s="288">
        <v>0.97021259146015293</v>
      </c>
      <c r="K786" s="288">
        <v>0.78598540690016472</v>
      </c>
      <c r="L786" s="290">
        <v>13059.796545225476</v>
      </c>
      <c r="M786" s="288">
        <v>0</v>
      </c>
      <c r="N786" s="288">
        <v>23268.561779256626</v>
      </c>
      <c r="O786" s="288">
        <v>1083.2541507909316</v>
      </c>
      <c r="P786" s="288">
        <v>45170.488303940947</v>
      </c>
      <c r="Q786" s="291">
        <v>128515.16038163201</v>
      </c>
      <c r="R786" s="288">
        <v>26669.626723549969</v>
      </c>
      <c r="S786" s="288">
        <v>7436.8358512350151</v>
      </c>
      <c r="T786" s="290">
        <v>0.751</v>
      </c>
      <c r="U786" s="288">
        <v>0.75800000000000001</v>
      </c>
      <c r="V786" s="288">
        <v>0.723923076923077</v>
      </c>
      <c r="W786" s="288">
        <v>0.72750000000000004</v>
      </c>
      <c r="X786" s="288">
        <v>0.76</v>
      </c>
      <c r="Y786" s="288">
        <v>0</v>
      </c>
      <c r="Z786" s="289">
        <v>0</v>
      </c>
      <c r="AA786" s="229"/>
      <c r="AB786" s="293">
        <v>72225.70935723772</v>
      </c>
      <c r="AC786" s="294">
        <v>3.1948197069857338</v>
      </c>
      <c r="AD786" s="295">
        <v>66950.621605431341</v>
      </c>
      <c r="AE786" s="294">
        <v>3.1748793252277703</v>
      </c>
      <c r="AF786" s="295">
        <v>5275.0877518063789</v>
      </c>
      <c r="AG786" s="296">
        <v>1.9940381757963532E-2</v>
      </c>
      <c r="AH786" s="229"/>
      <c r="AI786" s="205">
        <f t="shared" si="90"/>
        <v>247256.26134133566</v>
      </c>
      <c r="AJ786" s="205">
        <f t="shared" si="91"/>
        <v>250537.31091734566</v>
      </c>
      <c r="AK786" s="205">
        <f t="shared" si="92"/>
        <v>-3281.0495760100257</v>
      </c>
      <c r="AL786" s="229"/>
      <c r="AM786" s="52">
        <f t="shared" si="86"/>
        <v>0</v>
      </c>
      <c r="AN786" s="52">
        <f t="shared" si="87"/>
        <v>1</v>
      </c>
      <c r="AO786" s="52">
        <f t="shared" si="88"/>
        <v>0</v>
      </c>
      <c r="AP786" s="229"/>
      <c r="AQ786" s="28"/>
      <c r="AR786" s="28"/>
      <c r="AS786" s="28"/>
      <c r="AT786" s="28"/>
      <c r="AU786" s="229"/>
      <c r="AV786" s="318">
        <f t="shared" si="93"/>
        <v>250537.31091734566</v>
      </c>
      <c r="AW786" s="229"/>
      <c r="AX786" s="313"/>
      <c r="AY786" s="302"/>
      <c r="AZ786" s="14">
        <f t="shared" si="95"/>
        <v>5275.0877518063789</v>
      </c>
      <c r="BA786" s="14">
        <f t="shared" si="94"/>
        <v>1.9940381757963532E-2</v>
      </c>
      <c r="BB786" s="14">
        <f t="shared" si="89"/>
        <v>264542.96692186862</v>
      </c>
      <c r="BC786" s="302"/>
      <c r="BD786" s="302"/>
      <c r="BE786" s="302"/>
      <c r="BF786" s="302"/>
      <c r="BG786" s="302"/>
      <c r="BH786" s="302"/>
      <c r="BI786" s="302"/>
      <c r="BJ786" s="302"/>
      <c r="BK786" s="302"/>
      <c r="BL786" s="302"/>
      <c r="BM786" s="302"/>
      <c r="BN786" s="302"/>
      <c r="BO786" s="302"/>
      <c r="BP786" s="302"/>
      <c r="BQ786" s="302"/>
      <c r="BR786" s="302"/>
      <c r="BS786" s="302"/>
      <c r="BT786" s="302"/>
      <c r="BU786" s="302"/>
      <c r="BV786" s="302"/>
      <c r="BW786" s="302"/>
      <c r="BX786" s="302"/>
      <c r="BY786" s="302"/>
      <c r="BZ786" s="302"/>
      <c r="CA786" s="302"/>
      <c r="CB786" s="28"/>
      <c r="CC786" s="28"/>
      <c r="CD786" s="28"/>
      <c r="CE786" s="28"/>
      <c r="CF786" s="28"/>
      <c r="CG786" s="28"/>
      <c r="CH786" s="28"/>
      <c r="CI786" s="28"/>
      <c r="CJ786" s="28"/>
      <c r="CK786" s="28"/>
      <c r="CL786" s="28"/>
      <c r="CM786" s="28"/>
      <c r="CN786" s="28"/>
      <c r="CO786" s="28"/>
      <c r="CP786" s="28"/>
      <c r="CQ786" s="28"/>
      <c r="CR786" s="28"/>
      <c r="CS786" s="28"/>
      <c r="CT786" s="28"/>
      <c r="CU786" s="28"/>
      <c r="CV786" s="28"/>
      <c r="CW786" s="28"/>
    </row>
    <row r="787" spans="1:101" ht="14.25" customHeight="1" x14ac:dyDescent="0.2">
      <c r="A787" s="286"/>
      <c r="B787" s="52">
        <v>0.14952130585820794</v>
      </c>
      <c r="C787" s="288">
        <v>7.6111455118702098E-2</v>
      </c>
      <c r="D787" s="288">
        <v>1.6870249026142869E-2</v>
      </c>
      <c r="E787" s="288">
        <v>1.4498125078281965E-2</v>
      </c>
      <c r="F787" s="289">
        <v>0.77487873220273906</v>
      </c>
      <c r="G787" s="92">
        <v>0.40051648141885487</v>
      </c>
      <c r="H787" s="288">
        <v>0.86384895837653242</v>
      </c>
      <c r="I787" s="288">
        <v>3.0877284204986699E-2</v>
      </c>
      <c r="J787" s="288">
        <v>0.99999651709708437</v>
      </c>
      <c r="K787" s="288">
        <v>0.77045151394289535</v>
      </c>
      <c r="L787" s="290">
        <v>12533.415404045052</v>
      </c>
      <c r="M787" s="288">
        <v>0</v>
      </c>
      <c r="N787" s="288">
        <v>13648.005709510531</v>
      </c>
      <c r="O787" s="288">
        <v>1241.5168325386492</v>
      </c>
      <c r="P787" s="288">
        <v>38064.10604046518</v>
      </c>
      <c r="Q787" s="291">
        <v>87670.684044020876</v>
      </c>
      <c r="R787" s="288">
        <v>16692.605210762347</v>
      </c>
      <c r="S787" s="288">
        <v>5714.4146581239729</v>
      </c>
      <c r="T787" s="290">
        <v>0.751</v>
      </c>
      <c r="U787" s="288">
        <v>0.75800000000000001</v>
      </c>
      <c r="V787" s="288">
        <v>0.723923076923077</v>
      </c>
      <c r="W787" s="288">
        <v>0.72750000000000004</v>
      </c>
      <c r="X787" s="288">
        <v>0.76</v>
      </c>
      <c r="Y787" s="288">
        <v>0</v>
      </c>
      <c r="Z787" s="289">
        <v>0</v>
      </c>
      <c r="AA787" s="229"/>
      <c r="AB787" s="293">
        <v>56979.159257912681</v>
      </c>
      <c r="AC787" s="294">
        <v>3.1186089505412289</v>
      </c>
      <c r="AD787" s="295">
        <v>51735.275020382833</v>
      </c>
      <c r="AE787" s="294">
        <v>3.1026999456869939</v>
      </c>
      <c r="AF787" s="295">
        <v>5243.8842375298482</v>
      </c>
      <c r="AG787" s="296">
        <v>1.5909004854234965E-2</v>
      </c>
      <c r="AH787" s="229"/>
      <c r="AI787" s="205">
        <f t="shared" si="90"/>
        <v>254881.73579621021</v>
      </c>
      <c r="AJ787" s="205">
        <f t="shared" si="91"/>
        <v>258534.71954831656</v>
      </c>
      <c r="AK787" s="205">
        <f t="shared" si="92"/>
        <v>-3652.9837521063519</v>
      </c>
      <c r="AL787" s="229"/>
      <c r="AM787" s="52">
        <f t="shared" si="86"/>
        <v>0</v>
      </c>
      <c r="AN787" s="52">
        <f t="shared" si="87"/>
        <v>1</v>
      </c>
      <c r="AO787" s="52">
        <f t="shared" si="88"/>
        <v>0</v>
      </c>
      <c r="AP787" s="229"/>
      <c r="AQ787" s="28"/>
      <c r="AR787" s="28"/>
      <c r="AS787" s="28"/>
      <c r="AT787" s="28"/>
      <c r="AU787" s="229"/>
      <c r="AV787" s="318">
        <f t="shared" si="93"/>
        <v>258534.71954831656</v>
      </c>
      <c r="AW787" s="229"/>
      <c r="AX787" s="313"/>
      <c r="AY787" s="302"/>
      <c r="AZ787" s="14">
        <f t="shared" si="95"/>
        <v>5243.8842375298482</v>
      </c>
      <c r="BA787" s="14">
        <f t="shared" si="94"/>
        <v>1.5909004854234965E-2</v>
      </c>
      <c r="BB787" s="14">
        <f t="shared" si="89"/>
        <v>329617.36359857419</v>
      </c>
      <c r="BC787" s="302"/>
      <c r="BD787" s="302"/>
      <c r="BE787" s="302"/>
      <c r="BF787" s="302"/>
      <c r="BG787" s="302"/>
      <c r="BH787" s="302"/>
      <c r="BI787" s="302"/>
      <c r="BJ787" s="302"/>
      <c r="BK787" s="302"/>
      <c r="BL787" s="302"/>
      <c r="BM787" s="302"/>
      <c r="BN787" s="302"/>
      <c r="BO787" s="302"/>
      <c r="BP787" s="302"/>
      <c r="BQ787" s="302"/>
      <c r="BR787" s="302"/>
      <c r="BS787" s="302"/>
      <c r="BT787" s="302"/>
      <c r="BU787" s="302"/>
      <c r="BV787" s="302"/>
      <c r="BW787" s="302"/>
      <c r="BX787" s="302"/>
      <c r="BY787" s="302"/>
      <c r="BZ787" s="302"/>
      <c r="CA787" s="302"/>
      <c r="CB787" s="28"/>
      <c r="CC787" s="28"/>
      <c r="CD787" s="28"/>
      <c r="CE787" s="28"/>
      <c r="CF787" s="28"/>
      <c r="CG787" s="28"/>
      <c r="CH787" s="28"/>
      <c r="CI787" s="28"/>
      <c r="CJ787" s="28"/>
      <c r="CK787" s="28"/>
      <c r="CL787" s="28"/>
      <c r="CM787" s="28"/>
      <c r="CN787" s="28"/>
      <c r="CO787" s="28"/>
      <c r="CP787" s="28"/>
      <c r="CQ787" s="28"/>
      <c r="CR787" s="28"/>
      <c r="CS787" s="28"/>
      <c r="CT787" s="28"/>
      <c r="CU787" s="28"/>
      <c r="CV787" s="28"/>
      <c r="CW787" s="28"/>
    </row>
    <row r="788" spans="1:101" ht="14.25" customHeight="1" x14ac:dyDescent="0.2">
      <c r="A788" s="286"/>
      <c r="B788" s="52">
        <v>0.1593002791493035</v>
      </c>
      <c r="C788" s="288">
        <v>0.54673789778905402</v>
      </c>
      <c r="D788" s="288">
        <v>1.6822988896108781E-2</v>
      </c>
      <c r="E788" s="288">
        <v>1.4393006161714622E-2</v>
      </c>
      <c r="F788" s="289">
        <v>0.79773714579199473</v>
      </c>
      <c r="G788" s="92">
        <v>0.46261657273398271</v>
      </c>
      <c r="H788" s="288">
        <v>0.43592116972927958</v>
      </c>
      <c r="I788" s="288">
        <v>7.6978179055872363E-3</v>
      </c>
      <c r="J788" s="288">
        <v>5.6986624528252622E-2</v>
      </c>
      <c r="K788" s="288">
        <v>0.78490704249332555</v>
      </c>
      <c r="L788" s="290">
        <v>13639.48404393981</v>
      </c>
      <c r="M788" s="288">
        <v>0</v>
      </c>
      <c r="N788" s="288">
        <v>17378.885381631713</v>
      </c>
      <c r="O788" s="288">
        <v>1042.4833001858112</v>
      </c>
      <c r="P788" s="288">
        <v>30458.76347701639</v>
      </c>
      <c r="Q788" s="291">
        <v>93158.810382658005</v>
      </c>
      <c r="R788" s="288">
        <v>25673.782789753634</v>
      </c>
      <c r="S788" s="288">
        <v>8958.1628017678504</v>
      </c>
      <c r="T788" s="290">
        <v>0.751</v>
      </c>
      <c r="U788" s="288">
        <v>0.75800000000000001</v>
      </c>
      <c r="V788" s="288">
        <v>0.723923076923077</v>
      </c>
      <c r="W788" s="288">
        <v>0.72750000000000004</v>
      </c>
      <c r="X788" s="288">
        <v>0.76</v>
      </c>
      <c r="Y788" s="288">
        <v>0</v>
      </c>
      <c r="Z788" s="289">
        <v>0</v>
      </c>
      <c r="AA788" s="229"/>
      <c r="AB788" s="293">
        <v>87057.425353907573</v>
      </c>
      <c r="AC788" s="294">
        <v>3.2249066691494068</v>
      </c>
      <c r="AD788" s="295">
        <v>76124.520635284556</v>
      </c>
      <c r="AE788" s="294">
        <v>3.1698563399112829</v>
      </c>
      <c r="AF788" s="295">
        <v>10932.904718623016</v>
      </c>
      <c r="AG788" s="296">
        <v>5.5050329238123918E-2</v>
      </c>
      <c r="AH788" s="229"/>
      <c r="AI788" s="205">
        <f t="shared" si="90"/>
        <v>235433.24156103312</v>
      </c>
      <c r="AJ788" s="205">
        <f t="shared" si="91"/>
        <v>240861.11335584376</v>
      </c>
      <c r="AK788" s="205">
        <f t="shared" si="92"/>
        <v>-5427.8717948106241</v>
      </c>
      <c r="AL788" s="229"/>
      <c r="AM788" s="52">
        <f t="shared" si="86"/>
        <v>0</v>
      </c>
      <c r="AN788" s="52">
        <f t="shared" si="87"/>
        <v>1</v>
      </c>
      <c r="AO788" s="52">
        <f t="shared" si="88"/>
        <v>0</v>
      </c>
      <c r="AP788" s="229"/>
      <c r="AQ788" s="28"/>
      <c r="AR788" s="28"/>
      <c r="AS788" s="28"/>
      <c r="AT788" s="28"/>
      <c r="AU788" s="229"/>
      <c r="AV788" s="318">
        <f t="shared" si="93"/>
        <v>240861.11335584376</v>
      </c>
      <c r="AW788" s="229"/>
      <c r="AX788" s="313"/>
      <c r="AY788" s="302"/>
      <c r="AZ788" s="14">
        <f t="shared" si="95"/>
        <v>10932.904718623016</v>
      </c>
      <c r="BA788" s="14">
        <f t="shared" si="94"/>
        <v>5.5050329238123918E-2</v>
      </c>
      <c r="BB788" s="14">
        <f t="shared" si="89"/>
        <v>198598.35299680041</v>
      </c>
      <c r="BC788" s="302"/>
      <c r="BD788" s="302"/>
      <c r="BE788" s="302"/>
      <c r="BF788" s="302"/>
      <c r="BG788" s="302"/>
      <c r="BH788" s="302"/>
      <c r="BI788" s="302"/>
      <c r="BJ788" s="302"/>
      <c r="BK788" s="302"/>
      <c r="BL788" s="302"/>
      <c r="BM788" s="302"/>
      <c r="BN788" s="302"/>
      <c r="BO788" s="302"/>
      <c r="BP788" s="302"/>
      <c r="BQ788" s="302"/>
      <c r="BR788" s="302"/>
      <c r="BS788" s="302"/>
      <c r="BT788" s="302"/>
      <c r="BU788" s="302"/>
      <c r="BV788" s="302"/>
      <c r="BW788" s="302"/>
      <c r="BX788" s="302"/>
      <c r="BY788" s="302"/>
      <c r="BZ788" s="302"/>
      <c r="CA788" s="302"/>
      <c r="CB788" s="28"/>
      <c r="CC788" s="28"/>
      <c r="CD788" s="28"/>
      <c r="CE788" s="28"/>
      <c r="CF788" s="28"/>
      <c r="CG788" s="28"/>
      <c r="CH788" s="28"/>
      <c r="CI788" s="28"/>
      <c r="CJ788" s="28"/>
      <c r="CK788" s="28"/>
      <c r="CL788" s="28"/>
      <c r="CM788" s="28"/>
      <c r="CN788" s="28"/>
      <c r="CO788" s="28"/>
      <c r="CP788" s="28"/>
      <c r="CQ788" s="28"/>
      <c r="CR788" s="28"/>
      <c r="CS788" s="28"/>
      <c r="CT788" s="28"/>
      <c r="CU788" s="28"/>
      <c r="CV788" s="28"/>
      <c r="CW788" s="28"/>
    </row>
    <row r="789" spans="1:101" ht="14.25" customHeight="1" x14ac:dyDescent="0.2">
      <c r="A789" s="286"/>
      <c r="B789" s="52">
        <v>0.14533988323726599</v>
      </c>
      <c r="C789" s="288">
        <v>0.56103655459541391</v>
      </c>
      <c r="D789" s="288">
        <v>2.0669123978017012E-2</v>
      </c>
      <c r="E789" s="288">
        <v>6.5833024656771124E-3</v>
      </c>
      <c r="F789" s="289">
        <v>0.7777491464759626</v>
      </c>
      <c r="G789" s="92">
        <v>0.44999555908612821</v>
      </c>
      <c r="H789" s="288">
        <v>0.44737251366448189</v>
      </c>
      <c r="I789" s="288">
        <v>1.6389436893639919E-2</v>
      </c>
      <c r="J789" s="288">
        <v>0.99999999463191602</v>
      </c>
      <c r="K789" s="288">
        <v>0.78025671196437707</v>
      </c>
      <c r="L789" s="290">
        <v>8662.6401526862082</v>
      </c>
      <c r="M789" s="288">
        <v>0</v>
      </c>
      <c r="N789" s="288">
        <v>17222.403011013492</v>
      </c>
      <c r="O789" s="288">
        <v>1310.4485634636496</v>
      </c>
      <c r="P789" s="288">
        <v>51680.297805225229</v>
      </c>
      <c r="Q789" s="291">
        <v>86656.517867301111</v>
      </c>
      <c r="R789" s="288">
        <v>23553.344100714621</v>
      </c>
      <c r="S789" s="288">
        <v>12608.8944936726</v>
      </c>
      <c r="T789" s="290">
        <v>0.751</v>
      </c>
      <c r="U789" s="288">
        <v>0.75800000000000001</v>
      </c>
      <c r="V789" s="288">
        <v>0.723923076923077</v>
      </c>
      <c r="W789" s="288">
        <v>0.72750000000000004</v>
      </c>
      <c r="X789" s="288">
        <v>0.76</v>
      </c>
      <c r="Y789" s="288">
        <v>0</v>
      </c>
      <c r="Z789" s="289">
        <v>0</v>
      </c>
      <c r="AA789" s="229"/>
      <c r="AB789" s="293">
        <v>108142.67475931635</v>
      </c>
      <c r="AC789" s="294">
        <v>3.1319121469027142</v>
      </c>
      <c r="AD789" s="295">
        <v>104600.17127496105</v>
      </c>
      <c r="AE789" s="294">
        <v>3.1482162518502381</v>
      </c>
      <c r="AF789" s="295">
        <v>3542.5034843553003</v>
      </c>
      <c r="AG789" s="296">
        <v>-1.6304104947523879E-2</v>
      </c>
      <c r="AH789" s="229"/>
      <c r="AI789" s="205">
        <f t="shared" si="90"/>
        <v>205048.53993095507</v>
      </c>
      <c r="AJ789" s="205">
        <f t="shared" si="91"/>
        <v>210221.45391006279</v>
      </c>
      <c r="AK789" s="205">
        <f t="shared" si="92"/>
        <v>-5172.9139791076886</v>
      </c>
      <c r="AL789" s="229"/>
      <c r="AM789" s="52">
        <f t="shared" si="86"/>
        <v>0</v>
      </c>
      <c r="AN789" s="52">
        <f t="shared" si="87"/>
        <v>1</v>
      </c>
      <c r="AO789" s="52">
        <f t="shared" si="88"/>
        <v>0</v>
      </c>
      <c r="AP789" s="229"/>
      <c r="AQ789" s="28"/>
      <c r="AR789" s="28"/>
      <c r="AS789" s="28"/>
      <c r="AT789" s="28"/>
      <c r="AU789" s="229"/>
      <c r="AV789" s="318">
        <f t="shared" si="93"/>
        <v>210221.45391006279</v>
      </c>
      <c r="AW789" s="229"/>
      <c r="AX789" s="313"/>
      <c r="AY789" s="302"/>
      <c r="AZ789" s="14">
        <f t="shared" si="95"/>
        <v>3542.5034843553003</v>
      </c>
      <c r="BA789" s="14">
        <f t="shared" si="94"/>
        <v>-1.6304104947523879E-2</v>
      </c>
      <c r="BB789" s="14">
        <f t="shared" si="89"/>
        <v>-217276.7837153369</v>
      </c>
      <c r="BC789" s="302"/>
      <c r="BD789" s="302"/>
      <c r="BE789" s="302"/>
      <c r="BF789" s="302"/>
      <c r="BG789" s="302"/>
      <c r="BH789" s="302"/>
      <c r="BI789" s="302"/>
      <c r="BJ789" s="302"/>
      <c r="BK789" s="302"/>
      <c r="BL789" s="302"/>
      <c r="BM789" s="302"/>
      <c r="BN789" s="302"/>
      <c r="BO789" s="302"/>
      <c r="BP789" s="302"/>
      <c r="BQ789" s="302"/>
      <c r="BR789" s="302"/>
      <c r="BS789" s="302"/>
      <c r="BT789" s="302"/>
      <c r="BU789" s="302"/>
      <c r="BV789" s="302"/>
      <c r="BW789" s="302"/>
      <c r="BX789" s="302"/>
      <c r="BY789" s="302"/>
      <c r="BZ789" s="302"/>
      <c r="CA789" s="302"/>
      <c r="CB789" s="28"/>
      <c r="CC789" s="28"/>
      <c r="CD789" s="28"/>
      <c r="CE789" s="28"/>
      <c r="CF789" s="28"/>
      <c r="CG789" s="28"/>
      <c r="CH789" s="28"/>
      <c r="CI789" s="28"/>
      <c r="CJ789" s="28"/>
      <c r="CK789" s="28"/>
      <c r="CL789" s="28"/>
      <c r="CM789" s="28"/>
      <c r="CN789" s="28"/>
      <c r="CO789" s="28"/>
      <c r="CP789" s="28"/>
      <c r="CQ789" s="28"/>
      <c r="CR789" s="28"/>
      <c r="CS789" s="28"/>
      <c r="CT789" s="28"/>
      <c r="CU789" s="28"/>
      <c r="CV789" s="28"/>
      <c r="CW789" s="28"/>
    </row>
    <row r="790" spans="1:101" ht="14.25" customHeight="1" x14ac:dyDescent="0.2">
      <c r="A790" s="286"/>
      <c r="B790" s="52">
        <v>0.12802337170533878</v>
      </c>
      <c r="C790" s="288">
        <v>0.13553416118161576</v>
      </c>
      <c r="D790" s="288">
        <v>1.0318521483420473E-2</v>
      </c>
      <c r="E790" s="288">
        <v>1.6176084651952416E-2</v>
      </c>
      <c r="F790" s="289">
        <v>0.80169274987831529</v>
      </c>
      <c r="G790" s="92">
        <v>0.38016758960864794</v>
      </c>
      <c r="H790" s="288">
        <v>0.89328171550965274</v>
      </c>
      <c r="I790" s="288">
        <v>3.0401172017160416E-2</v>
      </c>
      <c r="J790" s="288">
        <v>1</v>
      </c>
      <c r="K790" s="288">
        <v>0.74153051807357373</v>
      </c>
      <c r="L790" s="290">
        <v>12738.336092370964</v>
      </c>
      <c r="M790" s="288">
        <v>0</v>
      </c>
      <c r="N790" s="288">
        <v>19897.733010987497</v>
      </c>
      <c r="O790" s="288">
        <v>1014.1444698985446</v>
      </c>
      <c r="P790" s="288">
        <v>41251.369246329792</v>
      </c>
      <c r="Q790" s="291">
        <v>104105.40594454542</v>
      </c>
      <c r="R790" s="288">
        <v>36118.409119189768</v>
      </c>
      <c r="S790" s="288">
        <v>6990.5538242841958</v>
      </c>
      <c r="T790" s="290">
        <v>0.751</v>
      </c>
      <c r="U790" s="288">
        <v>0.75800000000000001</v>
      </c>
      <c r="V790" s="288">
        <v>0.723923076923077</v>
      </c>
      <c r="W790" s="288">
        <v>0.72750000000000004</v>
      </c>
      <c r="X790" s="288">
        <v>0.76</v>
      </c>
      <c r="Y790" s="288">
        <v>0</v>
      </c>
      <c r="Z790" s="289">
        <v>0</v>
      </c>
      <c r="AA790" s="229"/>
      <c r="AB790" s="293">
        <v>69128.856599353676</v>
      </c>
      <c r="AC790" s="294">
        <v>3.2433844649275847</v>
      </c>
      <c r="AD790" s="295">
        <v>65934.44715393825</v>
      </c>
      <c r="AE790" s="294">
        <v>2.9693296811953949</v>
      </c>
      <c r="AF790" s="295">
        <v>3194.4094454154256</v>
      </c>
      <c r="AG790" s="296">
        <v>0.27405478373218983</v>
      </c>
      <c r="AH790" s="229"/>
      <c r="AI790" s="205">
        <f t="shared" si="90"/>
        <v>255209.5898934048</v>
      </c>
      <c r="AJ790" s="205">
        <f t="shared" si="91"/>
        <v>230998.52096560126</v>
      </c>
      <c r="AK790" s="205">
        <f t="shared" si="92"/>
        <v>24211.068927803557</v>
      </c>
      <c r="AL790" s="229"/>
      <c r="AM790" s="52">
        <f t="shared" si="86"/>
        <v>1</v>
      </c>
      <c r="AN790" s="52">
        <f t="shared" si="87"/>
        <v>0</v>
      </c>
      <c r="AO790" s="52">
        <f t="shared" si="88"/>
        <v>1</v>
      </c>
      <c r="AP790" s="229"/>
      <c r="AQ790" s="28"/>
      <c r="AR790" s="28"/>
      <c r="AS790" s="28"/>
      <c r="AT790" s="28"/>
      <c r="AU790" s="229"/>
      <c r="AV790" s="318">
        <f t="shared" si="93"/>
        <v>255209.5898934048</v>
      </c>
      <c r="AW790" s="229"/>
      <c r="AX790" s="313"/>
      <c r="AY790" s="302"/>
      <c r="AZ790" s="14">
        <f t="shared" si="95"/>
        <v>3194.4094454154256</v>
      </c>
      <c r="BA790" s="14">
        <f t="shared" si="94"/>
        <v>0.27405478373218983</v>
      </c>
      <c r="BB790" s="14">
        <f t="shared" si="89"/>
        <v>11656.098105322793</v>
      </c>
      <c r="BC790" s="302"/>
      <c r="BD790" s="302"/>
      <c r="BE790" s="302"/>
      <c r="BF790" s="302"/>
      <c r="BG790" s="302"/>
      <c r="BH790" s="302"/>
      <c r="BI790" s="302"/>
      <c r="BJ790" s="302"/>
      <c r="BK790" s="302"/>
      <c r="BL790" s="302"/>
      <c r="BM790" s="302"/>
      <c r="BN790" s="302"/>
      <c r="BO790" s="302"/>
      <c r="BP790" s="302"/>
      <c r="BQ790" s="302"/>
      <c r="BR790" s="302"/>
      <c r="BS790" s="302"/>
      <c r="BT790" s="302"/>
      <c r="BU790" s="302"/>
      <c r="BV790" s="302"/>
      <c r="BW790" s="302"/>
      <c r="BX790" s="302"/>
      <c r="BY790" s="302"/>
      <c r="BZ790" s="302"/>
      <c r="CA790" s="302"/>
      <c r="CB790" s="28"/>
      <c r="CC790" s="28"/>
      <c r="CD790" s="28"/>
      <c r="CE790" s="28"/>
      <c r="CF790" s="28"/>
      <c r="CG790" s="28"/>
      <c r="CH790" s="28"/>
      <c r="CI790" s="28"/>
      <c r="CJ790" s="28"/>
      <c r="CK790" s="28"/>
      <c r="CL790" s="28"/>
      <c r="CM790" s="28"/>
      <c r="CN790" s="28"/>
      <c r="CO790" s="28"/>
      <c r="CP790" s="28"/>
      <c r="CQ790" s="28"/>
      <c r="CR790" s="28"/>
      <c r="CS790" s="28"/>
      <c r="CT790" s="28"/>
      <c r="CU790" s="28"/>
      <c r="CV790" s="28"/>
      <c r="CW790" s="28"/>
    </row>
    <row r="791" spans="1:101" ht="14.25" customHeight="1" x14ac:dyDescent="0.2">
      <c r="A791" s="286"/>
      <c r="B791" s="52">
        <v>0.18089695660054883</v>
      </c>
      <c r="C791" s="288">
        <v>8.6349183993934819E-3</v>
      </c>
      <c r="D791" s="288">
        <v>1.5686457420145294E-2</v>
      </c>
      <c r="E791" s="288">
        <v>1.4742568899200115E-2</v>
      </c>
      <c r="F791" s="289">
        <v>0.7890231194044085</v>
      </c>
      <c r="G791" s="92">
        <v>0.43223530125711751</v>
      </c>
      <c r="H791" s="288">
        <v>0.96807241579534442</v>
      </c>
      <c r="I791" s="288">
        <v>1.963309701480398E-2</v>
      </c>
      <c r="J791" s="288">
        <v>0.99999999855966593</v>
      </c>
      <c r="K791" s="288">
        <v>0.80529423646677556</v>
      </c>
      <c r="L791" s="290">
        <v>12599.348318626822</v>
      </c>
      <c r="M791" s="288">
        <v>0</v>
      </c>
      <c r="N791" s="288">
        <v>19492.261376981573</v>
      </c>
      <c r="O791" s="288">
        <v>1446.9757883409143</v>
      </c>
      <c r="P791" s="288">
        <v>31862.978694708374</v>
      </c>
      <c r="Q791" s="291">
        <v>132443.78076795503</v>
      </c>
      <c r="R791" s="288">
        <v>23911.449942813935</v>
      </c>
      <c r="S791" s="288">
        <v>7396.5220769419857</v>
      </c>
      <c r="T791" s="290">
        <v>0.751</v>
      </c>
      <c r="U791" s="288">
        <v>0.75800000000000001</v>
      </c>
      <c r="V791" s="288">
        <v>0.723923076923077</v>
      </c>
      <c r="W791" s="288">
        <v>0.72750000000000004</v>
      </c>
      <c r="X791" s="288">
        <v>0.76</v>
      </c>
      <c r="Y791" s="288">
        <v>0</v>
      </c>
      <c r="Z791" s="289">
        <v>0</v>
      </c>
      <c r="AA791" s="229"/>
      <c r="AB791" s="293">
        <v>71066.433204181259</v>
      </c>
      <c r="AC791" s="294">
        <v>3.1842874603760265</v>
      </c>
      <c r="AD791" s="295">
        <v>71390.154503479484</v>
      </c>
      <c r="AE791" s="294">
        <v>3.2651294547788718</v>
      </c>
      <c r="AF791" s="295">
        <v>-323.72129929822404</v>
      </c>
      <c r="AG791" s="296">
        <v>-8.0841994402845341E-2</v>
      </c>
      <c r="AH791" s="229"/>
      <c r="AI791" s="205">
        <f t="shared" si="90"/>
        <v>247362.3128334214</v>
      </c>
      <c r="AJ791" s="205">
        <f t="shared" si="91"/>
        <v>255122.79097440769</v>
      </c>
      <c r="AK791" s="205">
        <f t="shared" si="92"/>
        <v>-7760.4781409863099</v>
      </c>
      <c r="AL791" s="229"/>
      <c r="AM791" s="52">
        <f t="shared" si="86"/>
        <v>0</v>
      </c>
      <c r="AN791" s="52">
        <f t="shared" si="87"/>
        <v>1</v>
      </c>
      <c r="AO791" s="52">
        <f t="shared" si="88"/>
        <v>0</v>
      </c>
      <c r="AP791" s="229"/>
      <c r="AQ791" s="28"/>
      <c r="AR791" s="28"/>
      <c r="AS791" s="28"/>
      <c r="AT791" s="28"/>
      <c r="AU791" s="229"/>
      <c r="AV791" s="318">
        <f t="shared" si="93"/>
        <v>255122.79097440769</v>
      </c>
      <c r="AW791" s="229"/>
      <c r="AX791" s="313"/>
      <c r="AY791" s="302"/>
      <c r="AZ791" s="14">
        <f t="shared" si="95"/>
        <v>-323.72129929822404</v>
      </c>
      <c r="BA791" s="14">
        <f t="shared" si="94"/>
        <v>-8.0841994402845341E-2</v>
      </c>
      <c r="BB791" s="14">
        <f t="shared" si="89"/>
        <v>4004.3705216509384</v>
      </c>
      <c r="BC791" s="302"/>
      <c r="BD791" s="302"/>
      <c r="BE791" s="302"/>
      <c r="BF791" s="302"/>
      <c r="BG791" s="302"/>
      <c r="BH791" s="302"/>
      <c r="BI791" s="302"/>
      <c r="BJ791" s="302"/>
      <c r="BK791" s="302"/>
      <c r="BL791" s="302"/>
      <c r="BM791" s="302"/>
      <c r="BN791" s="302"/>
      <c r="BO791" s="302"/>
      <c r="BP791" s="302"/>
      <c r="BQ791" s="302"/>
      <c r="BR791" s="302"/>
      <c r="BS791" s="302"/>
      <c r="BT791" s="302"/>
      <c r="BU791" s="302"/>
      <c r="BV791" s="302"/>
      <c r="BW791" s="302"/>
      <c r="BX791" s="302"/>
      <c r="BY791" s="302"/>
      <c r="BZ791" s="302"/>
      <c r="CA791" s="302"/>
      <c r="CB791" s="28"/>
      <c r="CC791" s="28"/>
      <c r="CD791" s="28"/>
      <c r="CE791" s="28"/>
      <c r="CF791" s="28"/>
      <c r="CG791" s="28"/>
      <c r="CH791" s="28"/>
      <c r="CI791" s="28"/>
      <c r="CJ791" s="28"/>
      <c r="CK791" s="28"/>
      <c r="CL791" s="28"/>
      <c r="CM791" s="28"/>
      <c r="CN791" s="28"/>
      <c r="CO791" s="28"/>
      <c r="CP791" s="28"/>
      <c r="CQ791" s="28"/>
      <c r="CR791" s="28"/>
      <c r="CS791" s="28"/>
      <c r="CT791" s="28"/>
      <c r="CU791" s="28"/>
      <c r="CV791" s="28"/>
      <c r="CW791" s="28"/>
    </row>
    <row r="792" spans="1:101" ht="14.25" customHeight="1" x14ac:dyDescent="0.2">
      <c r="A792" s="286"/>
      <c r="B792" s="52">
        <v>0.18807402722708677</v>
      </c>
      <c r="C792" s="288">
        <v>4.5384419579611789E-5</v>
      </c>
      <c r="D792" s="288">
        <v>2.7453559740990952E-2</v>
      </c>
      <c r="E792" s="288">
        <v>1.3449438373177807E-2</v>
      </c>
      <c r="F792" s="289">
        <v>0.77488003998631005</v>
      </c>
      <c r="G792" s="92">
        <v>0.41814437371326518</v>
      </c>
      <c r="H792" s="288">
        <v>0.78898579844846195</v>
      </c>
      <c r="I792" s="288">
        <v>2.3021588375615742E-2</v>
      </c>
      <c r="J792" s="288">
        <v>0.99999999387609451</v>
      </c>
      <c r="K792" s="288">
        <v>0.69271110184026952</v>
      </c>
      <c r="L792" s="290">
        <v>11878.445436864542</v>
      </c>
      <c r="M792" s="288">
        <v>0</v>
      </c>
      <c r="N792" s="288">
        <v>21455.667861682297</v>
      </c>
      <c r="O792" s="288">
        <v>1134.8779820001735</v>
      </c>
      <c r="P792" s="288">
        <v>48054.121475073793</v>
      </c>
      <c r="Q792" s="291">
        <v>118190.96475893402</v>
      </c>
      <c r="R792" s="288">
        <v>25193.225064073882</v>
      </c>
      <c r="S792" s="288">
        <v>8634.424657673886</v>
      </c>
      <c r="T792" s="290">
        <v>0.751</v>
      </c>
      <c r="U792" s="288">
        <v>0.75800000000000001</v>
      </c>
      <c r="V792" s="288">
        <v>0.723923076923077</v>
      </c>
      <c r="W792" s="288">
        <v>0.72750000000000004</v>
      </c>
      <c r="X792" s="288">
        <v>0.76</v>
      </c>
      <c r="Y792" s="288">
        <v>0</v>
      </c>
      <c r="Z792" s="289">
        <v>0</v>
      </c>
      <c r="AA792" s="229"/>
      <c r="AB792" s="293">
        <v>78959.845697991143</v>
      </c>
      <c r="AC792" s="294">
        <v>3.1186150086406497</v>
      </c>
      <c r="AD792" s="295">
        <v>70043.001551750873</v>
      </c>
      <c r="AE792" s="294">
        <v>2.7471882245783714</v>
      </c>
      <c r="AF792" s="295">
        <v>8916.8441462402698</v>
      </c>
      <c r="AG792" s="296">
        <v>0.37142678406227825</v>
      </c>
      <c r="AH792" s="229"/>
      <c r="AI792" s="205">
        <f t="shared" si="90"/>
        <v>232901.65516607382</v>
      </c>
      <c r="AJ792" s="205">
        <f t="shared" si="91"/>
        <v>204675.82090608624</v>
      </c>
      <c r="AK792" s="205">
        <f t="shared" si="92"/>
        <v>28225.834259987554</v>
      </c>
      <c r="AL792" s="229"/>
      <c r="AM792" s="52">
        <f t="shared" si="86"/>
        <v>1</v>
      </c>
      <c r="AN792" s="52">
        <f t="shared" si="87"/>
        <v>0</v>
      </c>
      <c r="AO792" s="52">
        <f t="shared" si="88"/>
        <v>1</v>
      </c>
      <c r="AP792" s="229"/>
      <c r="AQ792" s="28"/>
      <c r="AR792" s="28"/>
      <c r="AS792" s="28"/>
      <c r="AT792" s="28"/>
      <c r="AU792" s="229"/>
      <c r="AV792" s="318">
        <f t="shared" si="93"/>
        <v>232901.65516607382</v>
      </c>
      <c r="AW792" s="229"/>
      <c r="AX792" s="313"/>
      <c r="AY792" s="302"/>
      <c r="AZ792" s="14">
        <f t="shared" si="95"/>
        <v>8916.8441462402698</v>
      </c>
      <c r="BA792" s="14">
        <f t="shared" si="94"/>
        <v>0.37142678406227825</v>
      </c>
      <c r="BB792" s="14">
        <f t="shared" si="89"/>
        <v>24007.003611094337</v>
      </c>
      <c r="BC792" s="302"/>
      <c r="BD792" s="302"/>
      <c r="BE792" s="302"/>
      <c r="BF792" s="302"/>
      <c r="BG792" s="302"/>
      <c r="BH792" s="302"/>
      <c r="BI792" s="302"/>
      <c r="BJ792" s="302"/>
      <c r="BK792" s="302"/>
      <c r="BL792" s="302"/>
      <c r="BM792" s="302"/>
      <c r="BN792" s="302"/>
      <c r="BO792" s="302"/>
      <c r="BP792" s="302"/>
      <c r="BQ792" s="302"/>
      <c r="BR792" s="302"/>
      <c r="BS792" s="302"/>
      <c r="BT792" s="302"/>
      <c r="BU792" s="302"/>
      <c r="BV792" s="302"/>
      <c r="BW792" s="302"/>
      <c r="BX792" s="302"/>
      <c r="BY792" s="302"/>
      <c r="BZ792" s="302"/>
      <c r="CA792" s="302"/>
      <c r="CB792" s="28"/>
      <c r="CC792" s="28"/>
      <c r="CD792" s="28"/>
      <c r="CE792" s="28"/>
      <c r="CF792" s="28"/>
      <c r="CG792" s="28"/>
      <c r="CH792" s="28"/>
      <c r="CI792" s="28"/>
      <c r="CJ792" s="28"/>
      <c r="CK792" s="28"/>
      <c r="CL792" s="28"/>
      <c r="CM792" s="28"/>
      <c r="CN792" s="28"/>
      <c r="CO792" s="28"/>
      <c r="CP792" s="28"/>
      <c r="CQ792" s="28"/>
      <c r="CR792" s="28"/>
      <c r="CS792" s="28"/>
      <c r="CT792" s="28"/>
      <c r="CU792" s="28"/>
      <c r="CV792" s="28"/>
      <c r="CW792" s="28"/>
    </row>
    <row r="793" spans="1:101" ht="14.25" customHeight="1" x14ac:dyDescent="0.2">
      <c r="A793" s="286"/>
      <c r="B793" s="52">
        <v>0.16568731499760758</v>
      </c>
      <c r="C793" s="288">
        <v>4.2847250212631046E-3</v>
      </c>
      <c r="D793" s="288">
        <v>1.8342678104473764E-2</v>
      </c>
      <c r="E793" s="288">
        <v>2.3274540705775504E-2</v>
      </c>
      <c r="F793" s="289">
        <v>0.79169037570407241</v>
      </c>
      <c r="G793" s="92">
        <v>0.44387067132286695</v>
      </c>
      <c r="H793" s="288">
        <v>0.72032510087950408</v>
      </c>
      <c r="I793" s="288">
        <v>2.6587357726389427E-2</v>
      </c>
      <c r="J793" s="288">
        <v>0.99999999999999645</v>
      </c>
      <c r="K793" s="288">
        <v>0.79907384221191635</v>
      </c>
      <c r="L793" s="290">
        <v>8349.8215844934366</v>
      </c>
      <c r="M793" s="288">
        <v>0</v>
      </c>
      <c r="N793" s="288">
        <v>19593.665440298711</v>
      </c>
      <c r="O793" s="288">
        <v>1410.3865090035299</v>
      </c>
      <c r="P793" s="288">
        <v>24461.987899779542</v>
      </c>
      <c r="Q793" s="291">
        <v>106264.98165516034</v>
      </c>
      <c r="R793" s="288">
        <v>22099.565085218932</v>
      </c>
      <c r="S793" s="288">
        <v>8857.9372660167264</v>
      </c>
      <c r="T793" s="290">
        <v>0.751</v>
      </c>
      <c r="U793" s="288">
        <v>0.75800000000000001</v>
      </c>
      <c r="V793" s="288">
        <v>0.723923076923077</v>
      </c>
      <c r="W793" s="288">
        <v>0.72750000000000004</v>
      </c>
      <c r="X793" s="288">
        <v>0.76</v>
      </c>
      <c r="Y793" s="288">
        <v>0</v>
      </c>
      <c r="Z793" s="289">
        <v>0</v>
      </c>
      <c r="AA793" s="229"/>
      <c r="AB793" s="293">
        <v>78367.456469316487</v>
      </c>
      <c r="AC793" s="294">
        <v>3.1967078519803676</v>
      </c>
      <c r="AD793" s="295">
        <v>79859.238008978296</v>
      </c>
      <c r="AE793" s="294">
        <v>3.2359909539838618</v>
      </c>
      <c r="AF793" s="295">
        <v>-1491.7815396618098</v>
      </c>
      <c r="AG793" s="296">
        <v>-3.9283102003494275E-2</v>
      </c>
      <c r="AH793" s="229"/>
      <c r="AI793" s="205">
        <f t="shared" si="90"/>
        <v>241303.32872872025</v>
      </c>
      <c r="AJ793" s="205">
        <f t="shared" si="91"/>
        <v>243739.85738940787</v>
      </c>
      <c r="AK793" s="205">
        <f t="shared" si="92"/>
        <v>-2436.5286606876175</v>
      </c>
      <c r="AL793" s="229"/>
      <c r="AM793" s="52">
        <f t="shared" si="86"/>
        <v>0</v>
      </c>
      <c r="AN793" s="52">
        <f t="shared" si="87"/>
        <v>1</v>
      </c>
      <c r="AO793" s="52">
        <f t="shared" si="88"/>
        <v>0</v>
      </c>
      <c r="AP793" s="229"/>
      <c r="AQ793" s="28"/>
      <c r="AR793" s="28"/>
      <c r="AS793" s="28"/>
      <c r="AT793" s="28"/>
      <c r="AU793" s="229"/>
      <c r="AV793" s="318">
        <f t="shared" si="93"/>
        <v>243739.85738940787</v>
      </c>
      <c r="AW793" s="229"/>
      <c r="AX793" s="313"/>
      <c r="AY793" s="302"/>
      <c r="AZ793" s="14">
        <f t="shared" si="95"/>
        <v>-1491.7815396618098</v>
      </c>
      <c r="BA793" s="14">
        <f t="shared" si="94"/>
        <v>-3.9283102003494275E-2</v>
      </c>
      <c r="BB793" s="14">
        <f t="shared" si="89"/>
        <v>37975.146146277199</v>
      </c>
      <c r="BC793" s="302"/>
      <c r="BD793" s="302"/>
      <c r="BE793" s="302"/>
      <c r="BF793" s="302"/>
      <c r="BG793" s="302"/>
      <c r="BH793" s="302"/>
      <c r="BI793" s="302"/>
      <c r="BJ793" s="302"/>
      <c r="BK793" s="302"/>
      <c r="BL793" s="302"/>
      <c r="BM793" s="302"/>
      <c r="BN793" s="302"/>
      <c r="BO793" s="302"/>
      <c r="BP793" s="302"/>
      <c r="BQ793" s="302"/>
      <c r="BR793" s="302"/>
      <c r="BS793" s="302"/>
      <c r="BT793" s="302"/>
      <c r="BU793" s="302"/>
      <c r="BV793" s="302"/>
      <c r="BW793" s="302"/>
      <c r="BX793" s="302"/>
      <c r="BY793" s="302"/>
      <c r="BZ793" s="302"/>
      <c r="CA793" s="302"/>
      <c r="CB793" s="28"/>
      <c r="CC793" s="28"/>
      <c r="CD793" s="28"/>
      <c r="CE793" s="28"/>
      <c r="CF793" s="28"/>
      <c r="CG793" s="28"/>
      <c r="CH793" s="28"/>
      <c r="CI793" s="28"/>
      <c r="CJ793" s="28"/>
      <c r="CK793" s="28"/>
      <c r="CL793" s="28"/>
      <c r="CM793" s="28"/>
      <c r="CN793" s="28"/>
      <c r="CO793" s="28"/>
      <c r="CP793" s="28"/>
      <c r="CQ793" s="28"/>
      <c r="CR793" s="28"/>
      <c r="CS793" s="28"/>
      <c r="CT793" s="28"/>
      <c r="CU793" s="28"/>
      <c r="CV793" s="28"/>
      <c r="CW793" s="28"/>
    </row>
    <row r="794" spans="1:101" ht="14.25" customHeight="1" x14ac:dyDescent="0.2">
      <c r="A794" s="286"/>
      <c r="B794" s="52">
        <v>0.15825306039500645</v>
      </c>
      <c r="C794" s="288">
        <v>2.3047347122468559E-2</v>
      </c>
      <c r="D794" s="288">
        <v>1.0784736195828938E-2</v>
      </c>
      <c r="E794" s="288">
        <v>1.1841685761447401E-2</v>
      </c>
      <c r="F794" s="289">
        <v>0.79305213401060581</v>
      </c>
      <c r="G794" s="92">
        <v>0.34780576932095369</v>
      </c>
      <c r="H794" s="288">
        <v>0.7199323851010313</v>
      </c>
      <c r="I794" s="288">
        <v>3.0579503897786631E-2</v>
      </c>
      <c r="J794" s="288">
        <v>3.974359483994043E-2</v>
      </c>
      <c r="K794" s="288">
        <v>0.7495229705192703</v>
      </c>
      <c r="L794" s="290">
        <v>10710.766829264148</v>
      </c>
      <c r="M794" s="288">
        <v>0</v>
      </c>
      <c r="N794" s="288">
        <v>16972.07733105134</v>
      </c>
      <c r="O794" s="288">
        <v>1005.6740306003604</v>
      </c>
      <c r="P794" s="288">
        <v>53005.484574962938</v>
      </c>
      <c r="Q794" s="291">
        <v>93554.06479559766</v>
      </c>
      <c r="R794" s="288">
        <v>20955.812066312403</v>
      </c>
      <c r="S794" s="288">
        <v>9619.088205720358</v>
      </c>
      <c r="T794" s="290">
        <v>0.751</v>
      </c>
      <c r="U794" s="288">
        <v>0.75800000000000001</v>
      </c>
      <c r="V794" s="288">
        <v>0.723923076923077</v>
      </c>
      <c r="W794" s="288">
        <v>0.72750000000000004</v>
      </c>
      <c r="X794" s="288">
        <v>0.76</v>
      </c>
      <c r="Y794" s="288">
        <v>0</v>
      </c>
      <c r="Z794" s="289">
        <v>0</v>
      </c>
      <c r="AA794" s="229"/>
      <c r="AB794" s="293">
        <v>86646.411456647431</v>
      </c>
      <c r="AC794" s="294">
        <v>3.2030533419767369</v>
      </c>
      <c r="AD794" s="295">
        <v>78358.438333636775</v>
      </c>
      <c r="AE794" s="294">
        <v>3.0060553474645459</v>
      </c>
      <c r="AF794" s="295">
        <v>8287.9731230106554</v>
      </c>
      <c r="AG794" s="296">
        <v>0.19699799451219091</v>
      </c>
      <c r="AH794" s="229"/>
      <c r="AI794" s="205">
        <f t="shared" si="90"/>
        <v>233658.92274102627</v>
      </c>
      <c r="AJ794" s="205">
        <f t="shared" si="91"/>
        <v>222247.09641281783</v>
      </c>
      <c r="AK794" s="205">
        <f t="shared" si="92"/>
        <v>11411.826328208437</v>
      </c>
      <c r="AL794" s="229"/>
      <c r="AM794" s="52">
        <f t="shared" si="86"/>
        <v>1</v>
      </c>
      <c r="AN794" s="52">
        <f t="shared" si="87"/>
        <v>0</v>
      </c>
      <c r="AO794" s="52">
        <f t="shared" si="88"/>
        <v>1</v>
      </c>
      <c r="AP794" s="229"/>
      <c r="AQ794" s="28"/>
      <c r="AR794" s="28"/>
      <c r="AS794" s="28"/>
      <c r="AT794" s="28"/>
      <c r="AU794" s="229"/>
      <c r="AV794" s="318">
        <f t="shared" si="93"/>
        <v>233658.92274102627</v>
      </c>
      <c r="AW794" s="229"/>
      <c r="AX794" s="313"/>
      <c r="AY794" s="302"/>
      <c r="AZ794" s="14">
        <f t="shared" si="95"/>
        <v>8287.9731230106554</v>
      </c>
      <c r="BA794" s="14">
        <f t="shared" si="94"/>
        <v>0.19699799451219091</v>
      </c>
      <c r="BB794" s="14">
        <f t="shared" si="89"/>
        <v>42071.357850791559</v>
      </c>
      <c r="BC794" s="302"/>
      <c r="BD794" s="302"/>
      <c r="BE794" s="302"/>
      <c r="BF794" s="302"/>
      <c r="BG794" s="302"/>
      <c r="BH794" s="302"/>
      <c r="BI794" s="302"/>
      <c r="BJ794" s="302"/>
      <c r="BK794" s="302"/>
      <c r="BL794" s="302"/>
      <c r="BM794" s="302"/>
      <c r="BN794" s="302"/>
      <c r="BO794" s="302"/>
      <c r="BP794" s="302"/>
      <c r="BQ794" s="302"/>
      <c r="BR794" s="302"/>
      <c r="BS794" s="302"/>
      <c r="BT794" s="302"/>
      <c r="BU794" s="302"/>
      <c r="BV794" s="302"/>
      <c r="BW794" s="302"/>
      <c r="BX794" s="302"/>
      <c r="BY794" s="302"/>
      <c r="BZ794" s="302"/>
      <c r="CA794" s="302"/>
      <c r="CB794" s="28"/>
      <c r="CC794" s="28"/>
      <c r="CD794" s="28"/>
      <c r="CE794" s="28"/>
      <c r="CF794" s="28"/>
      <c r="CG794" s="28"/>
      <c r="CH794" s="28"/>
      <c r="CI794" s="28"/>
      <c r="CJ794" s="28"/>
      <c r="CK794" s="28"/>
      <c r="CL794" s="28"/>
      <c r="CM794" s="28"/>
      <c r="CN794" s="28"/>
      <c r="CO794" s="28"/>
      <c r="CP794" s="28"/>
      <c r="CQ794" s="28"/>
      <c r="CR794" s="28"/>
      <c r="CS794" s="28"/>
      <c r="CT794" s="28"/>
      <c r="CU794" s="28"/>
      <c r="CV794" s="28"/>
      <c r="CW794" s="28"/>
    </row>
    <row r="795" spans="1:101" ht="14.25" customHeight="1" x14ac:dyDescent="0.2">
      <c r="A795" s="286"/>
      <c r="B795" s="52">
        <v>0.14350062510800093</v>
      </c>
      <c r="C795" s="288">
        <v>0.16001365031570819</v>
      </c>
      <c r="D795" s="288">
        <v>1.372776452806315E-2</v>
      </c>
      <c r="E795" s="288">
        <v>5.9801872944326645E-3</v>
      </c>
      <c r="F795" s="289">
        <v>0.80650023068985477</v>
      </c>
      <c r="G795" s="92">
        <v>0.34775727706616588</v>
      </c>
      <c r="H795" s="288">
        <v>0.47873065846475499</v>
      </c>
      <c r="I795" s="288">
        <v>3.900749075425489E-3</v>
      </c>
      <c r="J795" s="288">
        <v>0.99997695755556959</v>
      </c>
      <c r="K795" s="288">
        <v>0.79523944813387071</v>
      </c>
      <c r="L795" s="290">
        <v>9811.2277403245625</v>
      </c>
      <c r="M795" s="288">
        <v>0</v>
      </c>
      <c r="N795" s="288">
        <v>19217.095541014518</v>
      </c>
      <c r="O795" s="288">
        <v>1003.1677558764494</v>
      </c>
      <c r="P795" s="288">
        <v>50316.541717863875</v>
      </c>
      <c r="Q795" s="291">
        <v>87390.733350583221</v>
      </c>
      <c r="R795" s="288">
        <v>32024.0701055319</v>
      </c>
      <c r="S795" s="288">
        <v>8745.1150006168355</v>
      </c>
      <c r="T795" s="290">
        <v>0.751</v>
      </c>
      <c r="U795" s="288">
        <v>0.75800000000000001</v>
      </c>
      <c r="V795" s="288">
        <v>0.723923076923077</v>
      </c>
      <c r="W795" s="288">
        <v>0.72750000000000004</v>
      </c>
      <c r="X795" s="288">
        <v>0.76</v>
      </c>
      <c r="Y795" s="288">
        <v>0</v>
      </c>
      <c r="Z795" s="289">
        <v>0</v>
      </c>
      <c r="AA795" s="229"/>
      <c r="AB795" s="293">
        <v>80703.695078885008</v>
      </c>
      <c r="AC795" s="294">
        <v>3.2658746678323367</v>
      </c>
      <c r="AD795" s="295">
        <v>75226.028137000641</v>
      </c>
      <c r="AE795" s="294">
        <v>3.2180596973414941</v>
      </c>
      <c r="AF795" s="295">
        <v>5477.6669418843667</v>
      </c>
      <c r="AG795" s="296">
        <v>4.7814970490842601E-2</v>
      </c>
      <c r="AH795" s="229"/>
      <c r="AI795" s="205">
        <f t="shared" si="90"/>
        <v>245883.77170434868</v>
      </c>
      <c r="AJ795" s="205">
        <f t="shared" si="91"/>
        <v>246579.94159714878</v>
      </c>
      <c r="AK795" s="205">
        <f t="shared" si="92"/>
        <v>-696.16989280010694</v>
      </c>
      <c r="AL795" s="229"/>
      <c r="AM795" s="52">
        <f t="shared" si="86"/>
        <v>0</v>
      </c>
      <c r="AN795" s="52">
        <f t="shared" si="87"/>
        <v>1</v>
      </c>
      <c r="AO795" s="52">
        <f t="shared" si="88"/>
        <v>0</v>
      </c>
      <c r="AP795" s="229"/>
      <c r="AQ795" s="28"/>
      <c r="AR795" s="28"/>
      <c r="AS795" s="28"/>
      <c r="AT795" s="28"/>
      <c r="AU795" s="229"/>
      <c r="AV795" s="318">
        <f t="shared" si="93"/>
        <v>246579.94159714878</v>
      </c>
      <c r="AW795" s="229"/>
      <c r="AX795" s="313"/>
      <c r="AY795" s="302"/>
      <c r="AZ795" s="14">
        <f t="shared" si="95"/>
        <v>5477.6669418843667</v>
      </c>
      <c r="BA795" s="14">
        <f t="shared" si="94"/>
        <v>4.7814970490842601E-2</v>
      </c>
      <c r="BB795" s="14">
        <f t="shared" si="89"/>
        <v>114559.66375496217</v>
      </c>
      <c r="BC795" s="302"/>
      <c r="BD795" s="302"/>
      <c r="BE795" s="302"/>
      <c r="BF795" s="302"/>
      <c r="BG795" s="302"/>
      <c r="BH795" s="302"/>
      <c r="BI795" s="302"/>
      <c r="BJ795" s="302"/>
      <c r="BK795" s="302"/>
      <c r="BL795" s="302"/>
      <c r="BM795" s="302"/>
      <c r="BN795" s="302"/>
      <c r="BO795" s="302"/>
      <c r="BP795" s="302"/>
      <c r="BQ795" s="302"/>
      <c r="BR795" s="302"/>
      <c r="BS795" s="302"/>
      <c r="BT795" s="302"/>
      <c r="BU795" s="302"/>
      <c r="BV795" s="302"/>
      <c r="BW795" s="302"/>
      <c r="BX795" s="302"/>
      <c r="BY795" s="302"/>
      <c r="BZ795" s="302"/>
      <c r="CA795" s="302"/>
      <c r="CB795" s="28"/>
      <c r="CC795" s="28"/>
      <c r="CD795" s="28"/>
      <c r="CE795" s="28"/>
      <c r="CF795" s="28"/>
      <c r="CG795" s="28"/>
      <c r="CH795" s="28"/>
      <c r="CI795" s="28"/>
      <c r="CJ795" s="28"/>
      <c r="CK795" s="28"/>
      <c r="CL795" s="28"/>
      <c r="CM795" s="28"/>
      <c r="CN795" s="28"/>
      <c r="CO795" s="28"/>
      <c r="CP795" s="28"/>
      <c r="CQ795" s="28"/>
      <c r="CR795" s="28"/>
      <c r="CS795" s="28"/>
      <c r="CT795" s="28"/>
      <c r="CU795" s="28"/>
      <c r="CV795" s="28"/>
      <c r="CW795" s="28"/>
    </row>
    <row r="796" spans="1:101" ht="14.25" customHeight="1" x14ac:dyDescent="0.2">
      <c r="A796" s="286"/>
      <c r="B796" s="52">
        <v>0.14045731826983565</v>
      </c>
      <c r="C796" s="288">
        <v>0.60999890625280473</v>
      </c>
      <c r="D796" s="288">
        <v>1.1368035796379241E-2</v>
      </c>
      <c r="E796" s="288">
        <v>2.6445018502158302E-2</v>
      </c>
      <c r="F796" s="289">
        <v>0.80308162388775317</v>
      </c>
      <c r="G796" s="92">
        <v>0.40792148714208953</v>
      </c>
      <c r="H796" s="288">
        <v>0.36277537054141806</v>
      </c>
      <c r="I796" s="288">
        <v>1.2913537422243675E-3</v>
      </c>
      <c r="J796" s="288">
        <v>0.99999999948185114</v>
      </c>
      <c r="K796" s="288">
        <v>0.767212554087499</v>
      </c>
      <c r="L796" s="290">
        <v>8170.8210439816366</v>
      </c>
      <c r="M796" s="288">
        <v>0</v>
      </c>
      <c r="N796" s="288">
        <v>17556.487259277354</v>
      </c>
      <c r="O796" s="288">
        <v>1342.3980222108219</v>
      </c>
      <c r="P796" s="288">
        <v>47995.169079437466</v>
      </c>
      <c r="Q796" s="291">
        <v>87897.28468106022</v>
      </c>
      <c r="R796" s="288">
        <v>19513.626724502476</v>
      </c>
      <c r="S796" s="288">
        <v>7371.4207711337876</v>
      </c>
      <c r="T796" s="290">
        <v>0.751</v>
      </c>
      <c r="U796" s="288">
        <v>0.75800000000000001</v>
      </c>
      <c r="V796" s="288">
        <v>0.723923076923077</v>
      </c>
      <c r="W796" s="288">
        <v>0.72750000000000004</v>
      </c>
      <c r="X796" s="288">
        <v>0.76</v>
      </c>
      <c r="Y796" s="288">
        <v>0</v>
      </c>
      <c r="Z796" s="289">
        <v>0</v>
      </c>
      <c r="AA796" s="229"/>
      <c r="AB796" s="293">
        <v>68794.461874183587</v>
      </c>
      <c r="AC796" s="294">
        <v>3.2498781272478312</v>
      </c>
      <c r="AD796" s="295">
        <v>59912.207025036987</v>
      </c>
      <c r="AE796" s="294">
        <v>3.0876978013447594</v>
      </c>
      <c r="AF796" s="295">
        <v>8882.2548491466005</v>
      </c>
      <c r="AG796" s="296">
        <v>0.16218032590307185</v>
      </c>
      <c r="AH796" s="229"/>
      <c r="AI796" s="205">
        <f t="shared" si="90"/>
        <v>256193.35085059956</v>
      </c>
      <c r="AJ796" s="205">
        <f t="shared" si="91"/>
        <v>248857.57310943893</v>
      </c>
      <c r="AK796" s="205">
        <f t="shared" si="92"/>
        <v>7335.7777411605857</v>
      </c>
      <c r="AL796" s="229"/>
      <c r="AM796" s="52">
        <f t="shared" si="86"/>
        <v>1</v>
      </c>
      <c r="AN796" s="52">
        <f t="shared" si="87"/>
        <v>0</v>
      </c>
      <c r="AO796" s="52">
        <f t="shared" si="88"/>
        <v>1</v>
      </c>
      <c r="AP796" s="229"/>
      <c r="AQ796" s="28"/>
      <c r="AR796" s="28"/>
      <c r="AS796" s="28"/>
      <c r="AT796" s="28"/>
      <c r="AU796" s="229"/>
      <c r="AV796" s="318">
        <f t="shared" si="93"/>
        <v>256193.35085059956</v>
      </c>
      <c r="AW796" s="229"/>
      <c r="AX796" s="313"/>
      <c r="AY796" s="302"/>
      <c r="AZ796" s="14">
        <f t="shared" si="95"/>
        <v>8882.2548491466005</v>
      </c>
      <c r="BA796" s="14">
        <f t="shared" si="94"/>
        <v>0.16218032590307185</v>
      </c>
      <c r="BB796" s="14">
        <f t="shared" si="89"/>
        <v>54767.770379590547</v>
      </c>
      <c r="BC796" s="302"/>
      <c r="BD796" s="302"/>
      <c r="BE796" s="302"/>
      <c r="BF796" s="302"/>
      <c r="BG796" s="302"/>
      <c r="BH796" s="302"/>
      <c r="BI796" s="302"/>
      <c r="BJ796" s="302"/>
      <c r="BK796" s="302"/>
      <c r="BL796" s="302"/>
      <c r="BM796" s="302"/>
      <c r="BN796" s="302"/>
      <c r="BO796" s="302"/>
      <c r="BP796" s="302"/>
      <c r="BQ796" s="302"/>
      <c r="BR796" s="302"/>
      <c r="BS796" s="302"/>
      <c r="BT796" s="302"/>
      <c r="BU796" s="302"/>
      <c r="BV796" s="302"/>
      <c r="BW796" s="302"/>
      <c r="BX796" s="302"/>
      <c r="BY796" s="302"/>
      <c r="BZ796" s="302"/>
      <c r="CA796" s="302"/>
      <c r="CB796" s="28"/>
      <c r="CC796" s="28"/>
      <c r="CD796" s="28"/>
      <c r="CE796" s="28"/>
      <c r="CF796" s="28"/>
      <c r="CG796" s="28"/>
      <c r="CH796" s="28"/>
      <c r="CI796" s="28"/>
      <c r="CJ796" s="28"/>
      <c r="CK796" s="28"/>
      <c r="CL796" s="28"/>
      <c r="CM796" s="28"/>
      <c r="CN796" s="28"/>
      <c r="CO796" s="28"/>
      <c r="CP796" s="28"/>
      <c r="CQ796" s="28"/>
      <c r="CR796" s="28"/>
      <c r="CS796" s="28"/>
      <c r="CT796" s="28"/>
      <c r="CU796" s="28"/>
      <c r="CV796" s="28"/>
      <c r="CW796" s="28"/>
    </row>
    <row r="797" spans="1:101" ht="14.25" customHeight="1" x14ac:dyDescent="0.2">
      <c r="A797" s="286"/>
      <c r="B797" s="52">
        <v>0.1520391793049039</v>
      </c>
      <c r="C797" s="288">
        <v>0.43832228515199978</v>
      </c>
      <c r="D797" s="288">
        <v>1.1858882851129219E-2</v>
      </c>
      <c r="E797" s="288">
        <v>1.4342857925349709E-2</v>
      </c>
      <c r="F797" s="289">
        <v>0.78871423026539023</v>
      </c>
      <c r="G797" s="92">
        <v>0.42555304177746278</v>
      </c>
      <c r="H797" s="288">
        <v>0.83521854205611124</v>
      </c>
      <c r="I797" s="288">
        <v>7.8783241227334926E-3</v>
      </c>
      <c r="J797" s="288">
        <v>0.36127342324261785</v>
      </c>
      <c r="K797" s="288">
        <v>0.77409708563320911</v>
      </c>
      <c r="L797" s="290">
        <v>11954.187642366443</v>
      </c>
      <c r="M797" s="288">
        <v>0</v>
      </c>
      <c r="N797" s="288">
        <v>15990.155339596884</v>
      </c>
      <c r="O797" s="288">
        <v>1254.4732329409014</v>
      </c>
      <c r="P797" s="288">
        <v>42525.752986096202</v>
      </c>
      <c r="Q797" s="291">
        <v>121448.43668179805</v>
      </c>
      <c r="R797" s="288">
        <v>20360.91099957929</v>
      </c>
      <c r="S797" s="288">
        <v>10820.04073360047</v>
      </c>
      <c r="T797" s="290">
        <v>0.751</v>
      </c>
      <c r="U797" s="288">
        <v>0.75800000000000001</v>
      </c>
      <c r="V797" s="288">
        <v>0.723923076923077</v>
      </c>
      <c r="W797" s="288">
        <v>0.72750000000000004</v>
      </c>
      <c r="X797" s="288">
        <v>0.76</v>
      </c>
      <c r="Y797" s="288">
        <v>0</v>
      </c>
      <c r="Z797" s="289">
        <v>0</v>
      </c>
      <c r="AA797" s="229"/>
      <c r="AB797" s="293">
        <v>98227.613154794875</v>
      </c>
      <c r="AC797" s="294">
        <v>3.1828498028536996</v>
      </c>
      <c r="AD797" s="295">
        <v>91740.960613228861</v>
      </c>
      <c r="AE797" s="294">
        <v>3.1196052063523565</v>
      </c>
      <c r="AF797" s="295">
        <v>6486.6525415660144</v>
      </c>
      <c r="AG797" s="296">
        <v>6.3244596501343064E-2</v>
      </c>
      <c r="AH797" s="229"/>
      <c r="AI797" s="205">
        <f t="shared" si="90"/>
        <v>220057.36713057509</v>
      </c>
      <c r="AJ797" s="205">
        <f t="shared" si="91"/>
        <v>220219.5600220068</v>
      </c>
      <c r="AK797" s="205">
        <f t="shared" si="92"/>
        <v>-162.19289143170772</v>
      </c>
      <c r="AL797" s="229"/>
      <c r="AM797" s="52">
        <f t="shared" si="86"/>
        <v>0</v>
      </c>
      <c r="AN797" s="52">
        <f t="shared" si="87"/>
        <v>1</v>
      </c>
      <c r="AO797" s="52">
        <f t="shared" si="88"/>
        <v>0</v>
      </c>
      <c r="AP797" s="229"/>
      <c r="AQ797" s="28"/>
      <c r="AR797" s="28"/>
      <c r="AS797" s="28"/>
      <c r="AT797" s="28"/>
      <c r="AU797" s="229"/>
      <c r="AV797" s="318">
        <f t="shared" si="93"/>
        <v>220219.5600220068</v>
      </c>
      <c r="AW797" s="229"/>
      <c r="AX797" s="313"/>
      <c r="AY797" s="302"/>
      <c r="AZ797" s="14">
        <f t="shared" si="95"/>
        <v>6486.6525415660144</v>
      </c>
      <c r="BA797" s="14">
        <f t="shared" si="94"/>
        <v>6.3244596501343064E-2</v>
      </c>
      <c r="BB797" s="14">
        <f t="shared" si="89"/>
        <v>102564.53357921675</v>
      </c>
      <c r="BC797" s="302"/>
      <c r="BD797" s="302"/>
      <c r="BE797" s="302"/>
      <c r="BF797" s="302"/>
      <c r="BG797" s="302"/>
      <c r="BH797" s="302"/>
      <c r="BI797" s="302"/>
      <c r="BJ797" s="302"/>
      <c r="BK797" s="302"/>
      <c r="BL797" s="302"/>
      <c r="BM797" s="302"/>
      <c r="BN797" s="302"/>
      <c r="BO797" s="302"/>
      <c r="BP797" s="302"/>
      <c r="BQ797" s="302"/>
      <c r="BR797" s="302"/>
      <c r="BS797" s="302"/>
      <c r="BT797" s="302"/>
      <c r="BU797" s="302"/>
      <c r="BV797" s="302"/>
      <c r="BW797" s="302"/>
      <c r="BX797" s="302"/>
      <c r="BY797" s="302"/>
      <c r="BZ797" s="302"/>
      <c r="CA797" s="302"/>
      <c r="CB797" s="28"/>
      <c r="CC797" s="28"/>
      <c r="CD797" s="28"/>
      <c r="CE797" s="28"/>
      <c r="CF797" s="28"/>
      <c r="CG797" s="28"/>
      <c r="CH797" s="28"/>
      <c r="CI797" s="28"/>
      <c r="CJ797" s="28"/>
      <c r="CK797" s="28"/>
      <c r="CL797" s="28"/>
      <c r="CM797" s="28"/>
      <c r="CN797" s="28"/>
      <c r="CO797" s="28"/>
      <c r="CP797" s="28"/>
      <c r="CQ797" s="28"/>
      <c r="CR797" s="28"/>
      <c r="CS797" s="28"/>
      <c r="CT797" s="28"/>
      <c r="CU797" s="28"/>
      <c r="CV797" s="28"/>
      <c r="CW797" s="28"/>
    </row>
    <row r="798" spans="1:101" ht="14.25" customHeight="1" x14ac:dyDescent="0.2">
      <c r="A798" s="286"/>
      <c r="B798" s="52">
        <v>0.15153846867656404</v>
      </c>
      <c r="C798" s="288">
        <v>0.15523331930292425</v>
      </c>
      <c r="D798" s="288">
        <v>1.4683627859016668E-2</v>
      </c>
      <c r="E798" s="288">
        <v>1.134193856654799E-2</v>
      </c>
      <c r="F798" s="289">
        <v>0.8042558025330282</v>
      </c>
      <c r="G798" s="92">
        <v>0.3245606194049685</v>
      </c>
      <c r="H798" s="288">
        <v>0.47055048986294018</v>
      </c>
      <c r="I798" s="288">
        <v>2.7022175303980656E-2</v>
      </c>
      <c r="J798" s="288">
        <v>0.99999996909999211</v>
      </c>
      <c r="K798" s="288">
        <v>0.72534397954348617</v>
      </c>
      <c r="L798" s="290">
        <v>10317.50627397714</v>
      </c>
      <c r="M798" s="288">
        <v>0</v>
      </c>
      <c r="N798" s="288">
        <v>23954.044461189085</v>
      </c>
      <c r="O798" s="288">
        <v>973.7304215415179</v>
      </c>
      <c r="P798" s="288">
        <v>44069.186822921642</v>
      </c>
      <c r="Q798" s="291">
        <v>118912.59972060431</v>
      </c>
      <c r="R798" s="288">
        <v>23456.12322837767</v>
      </c>
      <c r="S798" s="288">
        <v>9182.8479538181818</v>
      </c>
      <c r="T798" s="290">
        <v>0.751</v>
      </c>
      <c r="U798" s="288">
        <v>0.75800000000000001</v>
      </c>
      <c r="V798" s="288">
        <v>0.723923076923077</v>
      </c>
      <c r="W798" s="288">
        <v>0.72750000000000004</v>
      </c>
      <c r="X798" s="288">
        <v>0.76</v>
      </c>
      <c r="Y798" s="288">
        <v>0</v>
      </c>
      <c r="Z798" s="289">
        <v>0</v>
      </c>
      <c r="AA798" s="229"/>
      <c r="AB798" s="293">
        <v>84415.086923970288</v>
      </c>
      <c r="AC798" s="294">
        <v>3.2553703443785738</v>
      </c>
      <c r="AD798" s="295">
        <v>71890.629676874407</v>
      </c>
      <c r="AE798" s="294">
        <v>2.8952602850930576</v>
      </c>
      <c r="AF798" s="295">
        <v>12524.457247095881</v>
      </c>
      <c r="AG798" s="296">
        <v>0.3601100592855162</v>
      </c>
      <c r="AH798" s="229"/>
      <c r="AI798" s="205">
        <f t="shared" si="90"/>
        <v>241121.94751388711</v>
      </c>
      <c r="AJ798" s="205">
        <f t="shared" si="91"/>
        <v>217635.39883243132</v>
      </c>
      <c r="AK798" s="205">
        <f t="shared" si="92"/>
        <v>23486.548681455737</v>
      </c>
      <c r="AL798" s="229"/>
      <c r="AM798" s="52">
        <f t="shared" si="86"/>
        <v>1</v>
      </c>
      <c r="AN798" s="52">
        <f t="shared" si="87"/>
        <v>0</v>
      </c>
      <c r="AO798" s="52">
        <f t="shared" si="88"/>
        <v>1</v>
      </c>
      <c r="AP798" s="229"/>
      <c r="AQ798" s="28"/>
      <c r="AR798" s="28"/>
      <c r="AS798" s="28"/>
      <c r="AT798" s="28"/>
      <c r="AU798" s="229"/>
      <c r="AV798" s="318">
        <f t="shared" si="93"/>
        <v>241121.94751388711</v>
      </c>
      <c r="AW798" s="229"/>
      <c r="AX798" s="313"/>
      <c r="AY798" s="302"/>
      <c r="AZ798" s="14">
        <f t="shared" si="95"/>
        <v>12524.457247095881</v>
      </c>
      <c r="BA798" s="14">
        <f t="shared" si="94"/>
        <v>0.3601100592855162</v>
      </c>
      <c r="BB798" s="14">
        <f t="shared" si="89"/>
        <v>34779.526214694721</v>
      </c>
      <c r="BC798" s="302"/>
      <c r="BD798" s="302"/>
      <c r="BE798" s="302"/>
      <c r="BF798" s="302"/>
      <c r="BG798" s="302"/>
      <c r="BH798" s="302"/>
      <c r="BI798" s="302"/>
      <c r="BJ798" s="302"/>
      <c r="BK798" s="302"/>
      <c r="BL798" s="302"/>
      <c r="BM798" s="302"/>
      <c r="BN798" s="302"/>
      <c r="BO798" s="302"/>
      <c r="BP798" s="302"/>
      <c r="BQ798" s="302"/>
      <c r="BR798" s="302"/>
      <c r="BS798" s="302"/>
      <c r="BT798" s="302"/>
      <c r="BU798" s="302"/>
      <c r="BV798" s="302"/>
      <c r="BW798" s="302"/>
      <c r="BX798" s="302"/>
      <c r="BY798" s="302"/>
      <c r="BZ798" s="302"/>
      <c r="CA798" s="302"/>
      <c r="CB798" s="28"/>
      <c r="CC798" s="28"/>
      <c r="CD798" s="28"/>
      <c r="CE798" s="28"/>
      <c r="CF798" s="28"/>
      <c r="CG798" s="28"/>
      <c r="CH798" s="28"/>
      <c r="CI798" s="28"/>
      <c r="CJ798" s="28"/>
      <c r="CK798" s="28"/>
      <c r="CL798" s="28"/>
      <c r="CM798" s="28"/>
      <c r="CN798" s="28"/>
      <c r="CO798" s="28"/>
      <c r="CP798" s="28"/>
      <c r="CQ798" s="28"/>
      <c r="CR798" s="28"/>
      <c r="CS798" s="28"/>
      <c r="CT798" s="28"/>
      <c r="CU798" s="28"/>
      <c r="CV798" s="28"/>
      <c r="CW798" s="28"/>
    </row>
    <row r="799" spans="1:101" ht="14.25" customHeight="1" x14ac:dyDescent="0.2">
      <c r="A799" s="286"/>
      <c r="B799" s="52">
        <v>0.14475534748974386</v>
      </c>
      <c r="C799" s="288">
        <v>0.60589767397956196</v>
      </c>
      <c r="D799" s="288">
        <v>1.4136073828088482E-2</v>
      </c>
      <c r="E799" s="288">
        <v>1.1114368030570315E-2</v>
      </c>
      <c r="F799" s="289">
        <v>0.82579411794608992</v>
      </c>
      <c r="G799" s="92">
        <v>0.39571980012832902</v>
      </c>
      <c r="H799" s="288">
        <v>0.48379563209240073</v>
      </c>
      <c r="I799" s="288">
        <v>1.4643037346491789E-2</v>
      </c>
      <c r="J799" s="288">
        <v>0.99989927171666626</v>
      </c>
      <c r="K799" s="288">
        <v>0.74125949860098672</v>
      </c>
      <c r="L799" s="290">
        <v>14689.337031166851</v>
      </c>
      <c r="M799" s="288">
        <v>0</v>
      </c>
      <c r="N799" s="288">
        <v>16556.519349344926</v>
      </c>
      <c r="O799" s="288">
        <v>1045.8608066011386</v>
      </c>
      <c r="P799" s="288">
        <v>61389.471201889661</v>
      </c>
      <c r="Q799" s="291">
        <v>109666.17578932985</v>
      </c>
      <c r="R799" s="288">
        <v>21334.634562136303</v>
      </c>
      <c r="S799" s="288">
        <v>10290.969958990838</v>
      </c>
      <c r="T799" s="290">
        <v>0.751</v>
      </c>
      <c r="U799" s="288">
        <v>0.75800000000000001</v>
      </c>
      <c r="V799" s="288">
        <v>0.723923076923077</v>
      </c>
      <c r="W799" s="288">
        <v>0.72750000000000004</v>
      </c>
      <c r="X799" s="288">
        <v>0.76</v>
      </c>
      <c r="Y799" s="288">
        <v>0</v>
      </c>
      <c r="Z799" s="289">
        <v>0</v>
      </c>
      <c r="AA799" s="229"/>
      <c r="AB799" s="293">
        <v>101089.93236651186</v>
      </c>
      <c r="AC799" s="294">
        <v>3.3564993972061949</v>
      </c>
      <c r="AD799" s="295">
        <v>81666.233595360522</v>
      </c>
      <c r="AE799" s="294">
        <v>2.9680860999973948</v>
      </c>
      <c r="AF799" s="295">
        <v>19423.698771151336</v>
      </c>
      <c r="AG799" s="296">
        <v>0.38841329720880013</v>
      </c>
      <c r="AH799" s="229"/>
      <c r="AI799" s="205">
        <f t="shared" si="90"/>
        <v>234560.00735410763</v>
      </c>
      <c r="AJ799" s="205">
        <f t="shared" si="91"/>
        <v>215142.37640437897</v>
      </c>
      <c r="AK799" s="205">
        <f t="shared" si="92"/>
        <v>19417.630949728678</v>
      </c>
      <c r="AL799" s="229"/>
      <c r="AM799" s="52">
        <f t="shared" si="86"/>
        <v>1</v>
      </c>
      <c r="AN799" s="52">
        <f t="shared" si="87"/>
        <v>0</v>
      </c>
      <c r="AO799" s="52">
        <f t="shared" si="88"/>
        <v>1</v>
      </c>
      <c r="AP799" s="229"/>
      <c r="AQ799" s="28"/>
      <c r="AR799" s="28"/>
      <c r="AS799" s="28"/>
      <c r="AT799" s="28"/>
      <c r="AU799" s="229"/>
      <c r="AV799" s="318">
        <f t="shared" si="93"/>
        <v>234560.00735410763</v>
      </c>
      <c r="AW799" s="229"/>
      <c r="AX799" s="313"/>
      <c r="AY799" s="302"/>
      <c r="AZ799" s="14">
        <f t="shared" si="95"/>
        <v>19423.698771151336</v>
      </c>
      <c r="BA799" s="14">
        <f t="shared" si="94"/>
        <v>0.38841329720880013</v>
      </c>
      <c r="BB799" s="14">
        <f t="shared" si="89"/>
        <v>50007.811037194479</v>
      </c>
      <c r="BC799" s="302"/>
      <c r="BD799" s="302"/>
      <c r="BE799" s="302"/>
      <c r="BF799" s="302"/>
      <c r="BG799" s="302"/>
      <c r="BH799" s="302"/>
      <c r="BI799" s="302"/>
      <c r="BJ799" s="302"/>
      <c r="BK799" s="302"/>
      <c r="BL799" s="302"/>
      <c r="BM799" s="302"/>
      <c r="BN799" s="302"/>
      <c r="BO799" s="302"/>
      <c r="BP799" s="302"/>
      <c r="BQ799" s="302"/>
      <c r="BR799" s="302"/>
      <c r="BS799" s="302"/>
      <c r="BT799" s="302"/>
      <c r="BU799" s="302"/>
      <c r="BV799" s="302"/>
      <c r="BW799" s="302"/>
      <c r="BX799" s="302"/>
      <c r="BY799" s="302"/>
      <c r="BZ799" s="302"/>
      <c r="CA799" s="302"/>
      <c r="CB799" s="28"/>
      <c r="CC799" s="28"/>
      <c r="CD799" s="28"/>
      <c r="CE799" s="28"/>
      <c r="CF799" s="28"/>
      <c r="CG799" s="28"/>
      <c r="CH799" s="28"/>
      <c r="CI799" s="28"/>
      <c r="CJ799" s="28"/>
      <c r="CK799" s="28"/>
      <c r="CL799" s="28"/>
      <c r="CM799" s="28"/>
      <c r="CN799" s="28"/>
      <c r="CO799" s="28"/>
      <c r="CP799" s="28"/>
      <c r="CQ799" s="28"/>
      <c r="CR799" s="28"/>
      <c r="CS799" s="28"/>
      <c r="CT799" s="28"/>
      <c r="CU799" s="28"/>
      <c r="CV799" s="28"/>
      <c r="CW799" s="28"/>
    </row>
    <row r="800" spans="1:101" ht="14.25" customHeight="1" x14ac:dyDescent="0.2">
      <c r="A800" s="286"/>
      <c r="B800" s="52">
        <v>0.1383301900835682</v>
      </c>
      <c r="C800" s="288">
        <v>0.18135228048301366</v>
      </c>
      <c r="D800" s="288">
        <v>1.5364476703077834E-2</v>
      </c>
      <c r="E800" s="288">
        <v>1.5259150072813088E-2</v>
      </c>
      <c r="F800" s="289">
        <v>0.7679142610699804</v>
      </c>
      <c r="G800" s="92">
        <v>0.40961889190035394</v>
      </c>
      <c r="H800" s="288">
        <v>0.20759369626933258</v>
      </c>
      <c r="I800" s="288">
        <v>1.0809700359124826E-2</v>
      </c>
      <c r="J800" s="288">
        <v>0.99999998627526487</v>
      </c>
      <c r="K800" s="288">
        <v>0.80280336759172921</v>
      </c>
      <c r="L800" s="290">
        <v>16870.206116898389</v>
      </c>
      <c r="M800" s="288">
        <v>0</v>
      </c>
      <c r="N800" s="288">
        <v>19005.939885997603</v>
      </c>
      <c r="O800" s="288">
        <v>955.7279565477404</v>
      </c>
      <c r="P800" s="288">
        <v>53497.76372574245</v>
      </c>
      <c r="Q800" s="291">
        <v>117163.35985185254</v>
      </c>
      <c r="R800" s="288">
        <v>23066.191968934847</v>
      </c>
      <c r="S800" s="288">
        <v>8155.2831931267147</v>
      </c>
      <c r="T800" s="290">
        <v>0.751</v>
      </c>
      <c r="U800" s="288">
        <v>0.75800000000000001</v>
      </c>
      <c r="V800" s="288">
        <v>0.723923076923077</v>
      </c>
      <c r="W800" s="288">
        <v>0.72750000000000004</v>
      </c>
      <c r="X800" s="288">
        <v>0.76</v>
      </c>
      <c r="Y800" s="288">
        <v>0</v>
      </c>
      <c r="Z800" s="289">
        <v>0</v>
      </c>
      <c r="AA800" s="229"/>
      <c r="AB800" s="293">
        <v>79846.07009174554</v>
      </c>
      <c r="AC800" s="294">
        <v>3.0863851918410177</v>
      </c>
      <c r="AD800" s="295">
        <v>68474.629268912424</v>
      </c>
      <c r="AE800" s="294">
        <v>3.2534540328874</v>
      </c>
      <c r="AF800" s="295">
        <v>11371.440822833116</v>
      </c>
      <c r="AG800" s="296">
        <v>-0.16706884104638231</v>
      </c>
      <c r="AH800" s="229"/>
      <c r="AI800" s="205">
        <f t="shared" si="90"/>
        <v>228792.44909235626</v>
      </c>
      <c r="AJ800" s="205">
        <f t="shared" si="91"/>
        <v>256870.7740198276</v>
      </c>
      <c r="AK800" s="205">
        <f t="shared" si="92"/>
        <v>-28078.324927471345</v>
      </c>
      <c r="AL800" s="229"/>
      <c r="AM800" s="52">
        <f t="shared" si="86"/>
        <v>0</v>
      </c>
      <c r="AN800" s="52">
        <f t="shared" si="87"/>
        <v>1</v>
      </c>
      <c r="AO800" s="52">
        <f t="shared" si="88"/>
        <v>0</v>
      </c>
      <c r="AP800" s="229"/>
      <c r="AQ800" s="28"/>
      <c r="AR800" s="28"/>
      <c r="AS800" s="28"/>
      <c r="AT800" s="28"/>
      <c r="AU800" s="229"/>
      <c r="AV800" s="318">
        <f t="shared" si="93"/>
        <v>256870.7740198276</v>
      </c>
      <c r="AW800" s="229"/>
      <c r="AX800" s="313"/>
      <c r="AY800" s="302"/>
      <c r="AZ800" s="14">
        <f t="shared" si="95"/>
        <v>11371.440822833116</v>
      </c>
      <c r="BA800" s="14">
        <f t="shared" si="94"/>
        <v>-0.16706884104638231</v>
      </c>
      <c r="BB800" s="14">
        <f t="shared" si="89"/>
        <v>-68064.402384141344</v>
      </c>
      <c r="BC800" s="302"/>
      <c r="BD800" s="302"/>
      <c r="BE800" s="302"/>
      <c r="BF800" s="302"/>
      <c r="BG800" s="302"/>
      <c r="BH800" s="302"/>
      <c r="BI800" s="302"/>
      <c r="BJ800" s="302"/>
      <c r="BK800" s="302"/>
      <c r="BL800" s="302"/>
      <c r="BM800" s="302"/>
      <c r="BN800" s="302"/>
      <c r="BO800" s="302"/>
      <c r="BP800" s="302"/>
      <c r="BQ800" s="302"/>
      <c r="BR800" s="302"/>
      <c r="BS800" s="302"/>
      <c r="BT800" s="302"/>
      <c r="BU800" s="302"/>
      <c r="BV800" s="302"/>
      <c r="BW800" s="302"/>
      <c r="BX800" s="302"/>
      <c r="BY800" s="302"/>
      <c r="BZ800" s="302"/>
      <c r="CA800" s="302"/>
      <c r="CB800" s="28"/>
      <c r="CC800" s="28"/>
      <c r="CD800" s="28"/>
      <c r="CE800" s="28"/>
      <c r="CF800" s="28"/>
      <c r="CG800" s="28"/>
      <c r="CH800" s="28"/>
      <c r="CI800" s="28"/>
      <c r="CJ800" s="28"/>
      <c r="CK800" s="28"/>
      <c r="CL800" s="28"/>
      <c r="CM800" s="28"/>
      <c r="CN800" s="28"/>
      <c r="CO800" s="28"/>
      <c r="CP800" s="28"/>
      <c r="CQ800" s="28"/>
      <c r="CR800" s="28"/>
      <c r="CS800" s="28"/>
      <c r="CT800" s="28"/>
      <c r="CU800" s="28"/>
      <c r="CV800" s="28"/>
      <c r="CW800" s="28"/>
    </row>
    <row r="801" spans="1:101" ht="14.25" customHeight="1" x14ac:dyDescent="0.2">
      <c r="A801" s="286"/>
      <c r="B801" s="52">
        <v>0.17429544907018435</v>
      </c>
      <c r="C801" s="288">
        <v>0.45883273696230176</v>
      </c>
      <c r="D801" s="288">
        <v>1.1360956562696688E-2</v>
      </c>
      <c r="E801" s="288">
        <v>7.4868305146959125E-3</v>
      </c>
      <c r="F801" s="289">
        <v>0.8201047111375106</v>
      </c>
      <c r="G801" s="92">
        <v>0.40227516651767747</v>
      </c>
      <c r="H801" s="288">
        <v>0.12168390923065218</v>
      </c>
      <c r="I801" s="288">
        <v>1.883583654683707E-2</v>
      </c>
      <c r="J801" s="288">
        <v>0.16571384754126944</v>
      </c>
      <c r="K801" s="288">
        <v>0.72766783890602593</v>
      </c>
      <c r="L801" s="290">
        <v>11908.351454548223</v>
      </c>
      <c r="M801" s="288">
        <v>0</v>
      </c>
      <c r="N801" s="288">
        <v>19518.980006552247</v>
      </c>
      <c r="O801" s="288">
        <v>900.27223939446253</v>
      </c>
      <c r="P801" s="288">
        <v>40028.17430475822</v>
      </c>
      <c r="Q801" s="291">
        <v>73918.280361478377</v>
      </c>
      <c r="R801" s="288">
        <v>15395.971388422962</v>
      </c>
      <c r="S801" s="288">
        <v>11630.501826376811</v>
      </c>
      <c r="T801" s="290">
        <v>0.751</v>
      </c>
      <c r="U801" s="288">
        <v>0.75800000000000001</v>
      </c>
      <c r="V801" s="288">
        <v>0.723923076923077</v>
      </c>
      <c r="W801" s="288">
        <v>0.72750000000000004</v>
      </c>
      <c r="X801" s="288">
        <v>0.76</v>
      </c>
      <c r="Y801" s="288">
        <v>0</v>
      </c>
      <c r="Z801" s="289">
        <v>0</v>
      </c>
      <c r="AA801" s="229"/>
      <c r="AB801" s="293">
        <v>107894.04330461709</v>
      </c>
      <c r="AC801" s="294">
        <v>3.329715155944184</v>
      </c>
      <c r="AD801" s="295">
        <v>86180.590775909484</v>
      </c>
      <c r="AE801" s="294">
        <v>2.9058688468366638</v>
      </c>
      <c r="AF801" s="295">
        <v>21713.45252870761</v>
      </c>
      <c r="AG801" s="296">
        <v>0.42384630910752019</v>
      </c>
      <c r="AH801" s="229"/>
      <c r="AI801" s="205">
        <f t="shared" si="90"/>
        <v>225077.47228980128</v>
      </c>
      <c r="AJ801" s="205">
        <f t="shared" si="91"/>
        <v>204406.29390775692</v>
      </c>
      <c r="AK801" s="205">
        <f t="shared" si="92"/>
        <v>20671.178382044411</v>
      </c>
      <c r="AL801" s="229"/>
      <c r="AM801" s="52">
        <f t="shared" si="86"/>
        <v>1</v>
      </c>
      <c r="AN801" s="52">
        <f t="shared" si="87"/>
        <v>0</v>
      </c>
      <c r="AO801" s="52">
        <f t="shared" si="88"/>
        <v>1</v>
      </c>
      <c r="AP801" s="229"/>
      <c r="AQ801" s="28"/>
      <c r="AR801" s="28"/>
      <c r="AS801" s="28"/>
      <c r="AT801" s="28"/>
      <c r="AU801" s="229"/>
      <c r="AV801" s="318">
        <f t="shared" si="93"/>
        <v>225077.47228980128</v>
      </c>
      <c r="AW801" s="229"/>
      <c r="AX801" s="313"/>
      <c r="AY801" s="302"/>
      <c r="AZ801" s="14">
        <f t="shared" si="95"/>
        <v>21713.45252870761</v>
      </c>
      <c r="BA801" s="14">
        <f t="shared" si="94"/>
        <v>0.42384630910752019</v>
      </c>
      <c r="BB801" s="14">
        <f t="shared" si="89"/>
        <v>51229.542553830288</v>
      </c>
      <c r="BC801" s="302"/>
      <c r="BD801" s="302"/>
      <c r="BE801" s="302"/>
      <c r="BF801" s="302"/>
      <c r="BG801" s="302"/>
      <c r="BH801" s="302"/>
      <c r="BI801" s="302"/>
      <c r="BJ801" s="302"/>
      <c r="BK801" s="302"/>
      <c r="BL801" s="302"/>
      <c r="BM801" s="302"/>
      <c r="BN801" s="302"/>
      <c r="BO801" s="302"/>
      <c r="BP801" s="302"/>
      <c r="BQ801" s="302"/>
      <c r="BR801" s="302"/>
      <c r="BS801" s="302"/>
      <c r="BT801" s="302"/>
      <c r="BU801" s="302"/>
      <c r="BV801" s="302"/>
      <c r="BW801" s="302"/>
      <c r="BX801" s="302"/>
      <c r="BY801" s="302"/>
      <c r="BZ801" s="302"/>
      <c r="CA801" s="302"/>
      <c r="CB801" s="28"/>
      <c r="CC801" s="28"/>
      <c r="CD801" s="28"/>
      <c r="CE801" s="28"/>
      <c r="CF801" s="28"/>
      <c r="CG801" s="28"/>
      <c r="CH801" s="28"/>
      <c r="CI801" s="28"/>
      <c r="CJ801" s="28"/>
      <c r="CK801" s="28"/>
      <c r="CL801" s="28"/>
      <c r="CM801" s="28"/>
      <c r="CN801" s="28"/>
      <c r="CO801" s="28"/>
      <c r="CP801" s="28"/>
      <c r="CQ801" s="28"/>
      <c r="CR801" s="28"/>
      <c r="CS801" s="28"/>
      <c r="CT801" s="28"/>
      <c r="CU801" s="28"/>
      <c r="CV801" s="28"/>
      <c r="CW801" s="28"/>
    </row>
    <row r="802" spans="1:101" ht="14.25" customHeight="1" x14ac:dyDescent="0.2">
      <c r="A802" s="286"/>
      <c r="B802" s="52">
        <v>0.18233206335403918</v>
      </c>
      <c r="C802" s="288">
        <v>9.9337365953204609E-2</v>
      </c>
      <c r="D802" s="288">
        <v>2.877611905429156E-2</v>
      </c>
      <c r="E802" s="288">
        <v>1.4444726545041031E-2</v>
      </c>
      <c r="F802" s="289">
        <v>0.77569189267372596</v>
      </c>
      <c r="G802" s="92">
        <v>0.42033067955740122</v>
      </c>
      <c r="H802" s="288">
        <v>0.77396557327913684</v>
      </c>
      <c r="I802" s="288">
        <v>1.7985291695099104E-2</v>
      </c>
      <c r="J802" s="288">
        <v>0.99999999996946964</v>
      </c>
      <c r="K802" s="288">
        <v>0.77500371660321232</v>
      </c>
      <c r="L802" s="290">
        <v>9387.7436881054855</v>
      </c>
      <c r="M802" s="288">
        <v>0</v>
      </c>
      <c r="N802" s="288">
        <v>24475.580216705919</v>
      </c>
      <c r="O802" s="288">
        <v>1354.1024191011295</v>
      </c>
      <c r="P802" s="288">
        <v>49724.097326666342</v>
      </c>
      <c r="Q802" s="291">
        <v>132397.22918334807</v>
      </c>
      <c r="R802" s="288">
        <v>26460.500525222262</v>
      </c>
      <c r="S802" s="288">
        <v>11478.354374052042</v>
      </c>
      <c r="T802" s="290">
        <v>0.751</v>
      </c>
      <c r="U802" s="288">
        <v>0.75800000000000001</v>
      </c>
      <c r="V802" s="288">
        <v>0.723923076923077</v>
      </c>
      <c r="W802" s="288">
        <v>0.72750000000000004</v>
      </c>
      <c r="X802" s="288">
        <v>0.76</v>
      </c>
      <c r="Y802" s="288">
        <v>0</v>
      </c>
      <c r="Z802" s="289">
        <v>0</v>
      </c>
      <c r="AA802" s="229"/>
      <c r="AB802" s="293">
        <v>98980.837844366441</v>
      </c>
      <c r="AC802" s="294">
        <v>3.1223763048454058</v>
      </c>
      <c r="AD802" s="295">
        <v>99308.757079843039</v>
      </c>
      <c r="AE802" s="294">
        <v>3.1238126920960232</v>
      </c>
      <c r="AF802" s="295">
        <v>-327.91923547659826</v>
      </c>
      <c r="AG802" s="296">
        <v>-1.4363872506173436E-3</v>
      </c>
      <c r="AH802" s="229"/>
      <c r="AI802" s="205">
        <f t="shared" si="90"/>
        <v>213256.79264017416</v>
      </c>
      <c r="AJ802" s="205">
        <f t="shared" si="91"/>
        <v>213072.5121297593</v>
      </c>
      <c r="AK802" s="205">
        <f t="shared" si="92"/>
        <v>184.2805104148639</v>
      </c>
      <c r="AL802" s="229"/>
      <c r="AM802" s="52">
        <f t="shared" si="86"/>
        <v>1</v>
      </c>
      <c r="AN802" s="52">
        <f t="shared" si="87"/>
        <v>0</v>
      </c>
      <c r="AO802" s="52">
        <f t="shared" si="88"/>
        <v>1</v>
      </c>
      <c r="AP802" s="229"/>
      <c r="AQ802" s="28"/>
      <c r="AR802" s="28"/>
      <c r="AS802" s="28"/>
      <c r="AT802" s="28"/>
      <c r="AU802" s="229"/>
      <c r="AV802" s="318">
        <f t="shared" si="93"/>
        <v>213256.79264017416</v>
      </c>
      <c r="AW802" s="229"/>
      <c r="AX802" s="313"/>
      <c r="AY802" s="302"/>
      <c r="AZ802" s="14">
        <f t="shared" si="95"/>
        <v>-327.91923547659826</v>
      </c>
      <c r="BA802" s="14">
        <f t="shared" si="94"/>
        <v>-1.4363872506173436E-3</v>
      </c>
      <c r="BB802" s="14">
        <f t="shared" si="89"/>
        <v>228294.44868412896</v>
      </c>
      <c r="BC802" s="302"/>
      <c r="BD802" s="302"/>
      <c r="BE802" s="302"/>
      <c r="BF802" s="302"/>
      <c r="BG802" s="302"/>
      <c r="BH802" s="302"/>
      <c r="BI802" s="302"/>
      <c r="BJ802" s="302"/>
      <c r="BK802" s="302"/>
      <c r="BL802" s="302"/>
      <c r="BM802" s="302"/>
      <c r="BN802" s="302"/>
      <c r="BO802" s="302"/>
      <c r="BP802" s="302"/>
      <c r="BQ802" s="302"/>
      <c r="BR802" s="302"/>
      <c r="BS802" s="302"/>
      <c r="BT802" s="302"/>
      <c r="BU802" s="302"/>
      <c r="BV802" s="302"/>
      <c r="BW802" s="302"/>
      <c r="BX802" s="302"/>
      <c r="BY802" s="302"/>
      <c r="BZ802" s="302"/>
      <c r="CA802" s="302"/>
      <c r="CB802" s="28"/>
      <c r="CC802" s="28"/>
      <c r="CD802" s="28"/>
      <c r="CE802" s="28"/>
      <c r="CF802" s="28"/>
      <c r="CG802" s="28"/>
      <c r="CH802" s="28"/>
      <c r="CI802" s="28"/>
      <c r="CJ802" s="28"/>
      <c r="CK802" s="28"/>
      <c r="CL802" s="28"/>
      <c r="CM802" s="28"/>
      <c r="CN802" s="28"/>
      <c r="CO802" s="28"/>
      <c r="CP802" s="28"/>
      <c r="CQ802" s="28"/>
      <c r="CR802" s="28"/>
      <c r="CS802" s="28"/>
      <c r="CT802" s="28"/>
      <c r="CU802" s="28"/>
      <c r="CV802" s="28"/>
      <c r="CW802" s="28"/>
    </row>
    <row r="803" spans="1:101" ht="14.25" customHeight="1" x14ac:dyDescent="0.2">
      <c r="A803" s="286"/>
      <c r="B803" s="52">
        <v>0.16502917071731571</v>
      </c>
      <c r="C803" s="288">
        <v>1.7392920981499832E-2</v>
      </c>
      <c r="D803" s="288">
        <v>1.2559049722096458E-2</v>
      </c>
      <c r="E803" s="288">
        <v>1.6643850505320024E-2</v>
      </c>
      <c r="F803" s="289">
        <v>0.8259845411063742</v>
      </c>
      <c r="G803" s="92">
        <v>0.39018822249453738</v>
      </c>
      <c r="H803" s="288">
        <v>0.80080555264329778</v>
      </c>
      <c r="I803" s="288">
        <v>8.4692403092837768E-3</v>
      </c>
      <c r="J803" s="288">
        <v>1</v>
      </c>
      <c r="K803" s="288">
        <v>0.72666778643786534</v>
      </c>
      <c r="L803" s="290">
        <v>10804.021797063227</v>
      </c>
      <c r="M803" s="288">
        <v>0</v>
      </c>
      <c r="N803" s="288">
        <v>21748.71139363568</v>
      </c>
      <c r="O803" s="288">
        <v>956.55861713860895</v>
      </c>
      <c r="P803" s="288">
        <v>34397.815428792499</v>
      </c>
      <c r="Q803" s="291">
        <v>106411.20935575302</v>
      </c>
      <c r="R803" s="288">
        <v>19248.342680221092</v>
      </c>
      <c r="S803" s="288">
        <v>8163.8436943446241</v>
      </c>
      <c r="T803" s="290">
        <v>0.751</v>
      </c>
      <c r="U803" s="288">
        <v>0.75800000000000001</v>
      </c>
      <c r="V803" s="288">
        <v>0.723923076923077</v>
      </c>
      <c r="W803" s="288">
        <v>0.72750000000000004</v>
      </c>
      <c r="X803" s="288">
        <v>0.76</v>
      </c>
      <c r="Y803" s="288">
        <v>0</v>
      </c>
      <c r="Z803" s="289">
        <v>0</v>
      </c>
      <c r="AA803" s="229"/>
      <c r="AB803" s="293">
        <v>78012.795680209863</v>
      </c>
      <c r="AC803" s="294">
        <v>3.3573967377990348</v>
      </c>
      <c r="AD803" s="295">
        <v>66030.240081930664</v>
      </c>
      <c r="AE803" s="294">
        <v>2.9013025020763576</v>
      </c>
      <c r="AF803" s="295">
        <v>11982.555598279199</v>
      </c>
      <c r="AG803" s="296">
        <v>0.45609423572267715</v>
      </c>
      <c r="AH803" s="229"/>
      <c r="AI803" s="205">
        <f t="shared" si="90"/>
        <v>257726.87809969363</v>
      </c>
      <c r="AJ803" s="205">
        <f t="shared" si="91"/>
        <v>224100.0101257051</v>
      </c>
      <c r="AK803" s="205">
        <f t="shared" si="92"/>
        <v>33626.867973988519</v>
      </c>
      <c r="AL803" s="229"/>
      <c r="AM803" s="52">
        <f t="shared" si="86"/>
        <v>1</v>
      </c>
      <c r="AN803" s="52">
        <f t="shared" si="87"/>
        <v>0</v>
      </c>
      <c r="AO803" s="52">
        <f t="shared" si="88"/>
        <v>1</v>
      </c>
      <c r="AP803" s="229"/>
      <c r="AQ803" s="28"/>
      <c r="AR803" s="28"/>
      <c r="AS803" s="28"/>
      <c r="AT803" s="28"/>
      <c r="AU803" s="229"/>
      <c r="AV803" s="318">
        <f t="shared" si="93"/>
        <v>257726.87809969363</v>
      </c>
      <c r="AW803" s="229"/>
      <c r="AX803" s="313"/>
      <c r="AY803" s="302"/>
      <c r="AZ803" s="14">
        <f t="shared" si="95"/>
        <v>11982.555598279199</v>
      </c>
      <c r="BA803" s="14">
        <f t="shared" si="94"/>
        <v>0.45609423572267715</v>
      </c>
      <c r="BB803" s="14">
        <f t="shared" si="89"/>
        <v>26272.104884844575</v>
      </c>
      <c r="BC803" s="302"/>
      <c r="BD803" s="302"/>
      <c r="BE803" s="302"/>
      <c r="BF803" s="302"/>
      <c r="BG803" s="302"/>
      <c r="BH803" s="302"/>
      <c r="BI803" s="302"/>
      <c r="BJ803" s="302"/>
      <c r="BK803" s="302"/>
      <c r="BL803" s="302"/>
      <c r="BM803" s="302"/>
      <c r="BN803" s="302"/>
      <c r="BO803" s="302"/>
      <c r="BP803" s="302"/>
      <c r="BQ803" s="302"/>
      <c r="BR803" s="302"/>
      <c r="BS803" s="302"/>
      <c r="BT803" s="302"/>
      <c r="BU803" s="302"/>
      <c r="BV803" s="302"/>
      <c r="BW803" s="302"/>
      <c r="BX803" s="302"/>
      <c r="BY803" s="302"/>
      <c r="BZ803" s="302"/>
      <c r="CA803" s="302"/>
      <c r="CB803" s="28"/>
      <c r="CC803" s="28"/>
      <c r="CD803" s="28"/>
      <c r="CE803" s="28"/>
      <c r="CF803" s="28"/>
      <c r="CG803" s="28"/>
      <c r="CH803" s="28"/>
      <c r="CI803" s="28"/>
      <c r="CJ803" s="28"/>
      <c r="CK803" s="28"/>
      <c r="CL803" s="28"/>
      <c r="CM803" s="28"/>
      <c r="CN803" s="28"/>
      <c r="CO803" s="28"/>
      <c r="CP803" s="28"/>
      <c r="CQ803" s="28"/>
      <c r="CR803" s="28"/>
      <c r="CS803" s="28"/>
      <c r="CT803" s="28"/>
      <c r="CU803" s="28"/>
      <c r="CV803" s="28"/>
      <c r="CW803" s="28"/>
    </row>
    <row r="804" spans="1:101" ht="14.25" customHeight="1" x14ac:dyDescent="0.2">
      <c r="A804" s="286"/>
      <c r="B804" s="52">
        <v>0.16089079365012282</v>
      </c>
      <c r="C804" s="288">
        <v>0.9153186813972034</v>
      </c>
      <c r="D804" s="288">
        <v>1.6706100460950335E-2</v>
      </c>
      <c r="E804" s="288">
        <v>1.9330406483713869E-2</v>
      </c>
      <c r="F804" s="289">
        <v>0.80658075565066933</v>
      </c>
      <c r="G804" s="92">
        <v>0.39574475947720955</v>
      </c>
      <c r="H804" s="288">
        <v>1.2440294005361589E-2</v>
      </c>
      <c r="I804" s="288">
        <v>3.2492193709113665E-3</v>
      </c>
      <c r="J804" s="288">
        <v>0.99998050239103842</v>
      </c>
      <c r="K804" s="288">
        <v>0.78453743986646651</v>
      </c>
      <c r="L804" s="290">
        <v>12509.779597858982</v>
      </c>
      <c r="M804" s="288">
        <v>0</v>
      </c>
      <c r="N804" s="288">
        <v>19806.826521245912</v>
      </c>
      <c r="O804" s="288">
        <v>1371.4268888425786</v>
      </c>
      <c r="P804" s="288">
        <v>46430.534281672488</v>
      </c>
      <c r="Q804" s="291">
        <v>103111.34839383104</v>
      </c>
      <c r="R804" s="288">
        <v>18700.021221596424</v>
      </c>
      <c r="S804" s="288">
        <v>11054.508376050113</v>
      </c>
      <c r="T804" s="290">
        <v>0.751</v>
      </c>
      <c r="U804" s="288">
        <v>0.75800000000000001</v>
      </c>
      <c r="V804" s="288">
        <v>0.723923076923077</v>
      </c>
      <c r="W804" s="288">
        <v>0.72750000000000004</v>
      </c>
      <c r="X804" s="288">
        <v>0.76</v>
      </c>
      <c r="Y804" s="288">
        <v>0</v>
      </c>
      <c r="Z804" s="289">
        <v>0</v>
      </c>
      <c r="AA804" s="229"/>
      <c r="AB804" s="293">
        <v>104057.18529194919</v>
      </c>
      <c r="AC804" s="294">
        <v>3.2662516858132919</v>
      </c>
      <c r="AD804" s="295">
        <v>87354.239943730834</v>
      </c>
      <c r="AE804" s="294">
        <v>3.1681351650279521</v>
      </c>
      <c r="AF804" s="295">
        <v>16702.94534821836</v>
      </c>
      <c r="AG804" s="296">
        <v>9.8116520785339834E-2</v>
      </c>
      <c r="AH804" s="229"/>
      <c r="AI804" s="205">
        <f t="shared" si="90"/>
        <v>222567.98328937998</v>
      </c>
      <c r="AJ804" s="205">
        <f t="shared" si="91"/>
        <v>229459.2765590644</v>
      </c>
      <c r="AK804" s="205">
        <f t="shared" si="92"/>
        <v>-6891.2932696843764</v>
      </c>
      <c r="AL804" s="229"/>
      <c r="AM804" s="52">
        <f t="shared" si="86"/>
        <v>0</v>
      </c>
      <c r="AN804" s="52">
        <f t="shared" si="87"/>
        <v>1</v>
      </c>
      <c r="AO804" s="52">
        <f t="shared" si="88"/>
        <v>0</v>
      </c>
      <c r="AP804" s="229"/>
      <c r="AQ804" s="28"/>
      <c r="AR804" s="28"/>
      <c r="AS804" s="28"/>
      <c r="AT804" s="28"/>
      <c r="AU804" s="229"/>
      <c r="AV804" s="318">
        <f t="shared" si="93"/>
        <v>229459.2765590644</v>
      </c>
      <c r="AW804" s="229"/>
      <c r="AX804" s="313"/>
      <c r="AY804" s="302"/>
      <c r="AZ804" s="14">
        <f t="shared" si="95"/>
        <v>16702.94534821836</v>
      </c>
      <c r="BA804" s="14">
        <f t="shared" si="94"/>
        <v>9.8116520785339834E-2</v>
      </c>
      <c r="BB804" s="14">
        <f t="shared" si="89"/>
        <v>170235.80957136879</v>
      </c>
      <c r="BC804" s="302"/>
      <c r="BD804" s="302"/>
      <c r="BE804" s="302"/>
      <c r="BF804" s="302"/>
      <c r="BG804" s="302"/>
      <c r="BH804" s="302"/>
      <c r="BI804" s="302"/>
      <c r="BJ804" s="302"/>
      <c r="BK804" s="302"/>
      <c r="BL804" s="302"/>
      <c r="BM804" s="302"/>
      <c r="BN804" s="302"/>
      <c r="BO804" s="302"/>
      <c r="BP804" s="302"/>
      <c r="BQ804" s="302"/>
      <c r="BR804" s="302"/>
      <c r="BS804" s="302"/>
      <c r="BT804" s="302"/>
      <c r="BU804" s="302"/>
      <c r="BV804" s="302"/>
      <c r="BW804" s="302"/>
      <c r="BX804" s="302"/>
      <c r="BY804" s="302"/>
      <c r="BZ804" s="302"/>
      <c r="CA804" s="302"/>
      <c r="CB804" s="28"/>
      <c r="CC804" s="28"/>
      <c r="CD804" s="28"/>
      <c r="CE804" s="28"/>
      <c r="CF804" s="28"/>
      <c r="CG804" s="28"/>
      <c r="CH804" s="28"/>
      <c r="CI804" s="28"/>
      <c r="CJ804" s="28"/>
      <c r="CK804" s="28"/>
      <c r="CL804" s="28"/>
      <c r="CM804" s="28"/>
      <c r="CN804" s="28"/>
      <c r="CO804" s="28"/>
      <c r="CP804" s="28"/>
      <c r="CQ804" s="28"/>
      <c r="CR804" s="28"/>
      <c r="CS804" s="28"/>
      <c r="CT804" s="28"/>
      <c r="CU804" s="28"/>
      <c r="CV804" s="28"/>
      <c r="CW804" s="28"/>
    </row>
    <row r="805" spans="1:101" ht="14.25" customHeight="1" x14ac:dyDescent="0.2">
      <c r="A805" s="286"/>
      <c r="B805" s="52">
        <v>0.15568086284327576</v>
      </c>
      <c r="C805" s="288">
        <v>0.24500350485644806</v>
      </c>
      <c r="D805" s="288">
        <v>1.4614435505309165E-2</v>
      </c>
      <c r="E805" s="288">
        <v>7.1476862124609294E-3</v>
      </c>
      <c r="F805" s="289">
        <v>0.80151741589121817</v>
      </c>
      <c r="G805" s="92">
        <v>0.35226892839384155</v>
      </c>
      <c r="H805" s="288">
        <v>0.33970431540055862</v>
      </c>
      <c r="I805" s="288">
        <v>8.9095457716739431E-3</v>
      </c>
      <c r="J805" s="288">
        <v>0.99999549853470004</v>
      </c>
      <c r="K805" s="288">
        <v>0.7431604318092645</v>
      </c>
      <c r="L805" s="290">
        <v>10460.22565987029</v>
      </c>
      <c r="M805" s="288">
        <v>0</v>
      </c>
      <c r="N805" s="288">
        <v>18424.199949935621</v>
      </c>
      <c r="O805" s="288">
        <v>1574.7708570044886</v>
      </c>
      <c r="P805" s="288">
        <v>42310.416867027554</v>
      </c>
      <c r="Q805" s="291">
        <v>115418.26966637101</v>
      </c>
      <c r="R805" s="288">
        <v>33528.989094890989</v>
      </c>
      <c r="S805" s="288">
        <v>9163.6313370981588</v>
      </c>
      <c r="T805" s="290">
        <v>0.751</v>
      </c>
      <c r="U805" s="288">
        <v>0.75800000000000001</v>
      </c>
      <c r="V805" s="288">
        <v>0.723923076923077</v>
      </c>
      <c r="W805" s="288">
        <v>0.72750000000000004</v>
      </c>
      <c r="X805" s="288">
        <v>0.76</v>
      </c>
      <c r="Y805" s="288">
        <v>0</v>
      </c>
      <c r="Z805" s="289">
        <v>0</v>
      </c>
      <c r="AA805" s="229"/>
      <c r="AB805" s="293">
        <v>84978.255903700279</v>
      </c>
      <c r="AC805" s="294">
        <v>3.242564908244745</v>
      </c>
      <c r="AD805" s="295">
        <v>73016.665354044788</v>
      </c>
      <c r="AE805" s="294">
        <v>2.9768110324694868</v>
      </c>
      <c r="AF805" s="295">
        <v>11961.590549655491</v>
      </c>
      <c r="AG805" s="296">
        <v>0.26575387577525822</v>
      </c>
      <c r="AH805" s="229"/>
      <c r="AI805" s="205">
        <f t="shared" si="90"/>
        <v>239278.23492077421</v>
      </c>
      <c r="AJ805" s="205">
        <f t="shared" si="91"/>
        <v>224664.43789290389</v>
      </c>
      <c r="AK805" s="205">
        <f t="shared" si="92"/>
        <v>14613.797027870329</v>
      </c>
      <c r="AL805" s="229"/>
      <c r="AM805" s="52">
        <f t="shared" si="86"/>
        <v>1</v>
      </c>
      <c r="AN805" s="52">
        <f t="shared" si="87"/>
        <v>0</v>
      </c>
      <c r="AO805" s="52">
        <f t="shared" si="88"/>
        <v>1</v>
      </c>
      <c r="AP805" s="229"/>
      <c r="AQ805" s="28"/>
      <c r="AR805" s="28"/>
      <c r="AS805" s="28"/>
      <c r="AT805" s="28"/>
      <c r="AU805" s="229"/>
      <c r="AV805" s="318">
        <f t="shared" si="93"/>
        <v>239278.23492077421</v>
      </c>
      <c r="AW805" s="229"/>
      <c r="AX805" s="313"/>
      <c r="AY805" s="302"/>
      <c r="AZ805" s="14">
        <f t="shared" si="95"/>
        <v>11961.590549655491</v>
      </c>
      <c r="BA805" s="14">
        <f t="shared" si="94"/>
        <v>0.26575387577525822</v>
      </c>
      <c r="BB805" s="14">
        <f t="shared" si="89"/>
        <v>45010.03236457453</v>
      </c>
      <c r="BC805" s="302"/>
      <c r="BD805" s="302"/>
      <c r="BE805" s="302"/>
      <c r="BF805" s="302"/>
      <c r="BG805" s="302"/>
      <c r="BH805" s="302"/>
      <c r="BI805" s="302"/>
      <c r="BJ805" s="302"/>
      <c r="BK805" s="302"/>
      <c r="BL805" s="302"/>
      <c r="BM805" s="302"/>
      <c r="BN805" s="302"/>
      <c r="BO805" s="302"/>
      <c r="BP805" s="302"/>
      <c r="BQ805" s="302"/>
      <c r="BR805" s="302"/>
      <c r="BS805" s="302"/>
      <c r="BT805" s="302"/>
      <c r="BU805" s="302"/>
      <c r="BV805" s="302"/>
      <c r="BW805" s="302"/>
      <c r="BX805" s="302"/>
      <c r="BY805" s="302"/>
      <c r="BZ805" s="302"/>
      <c r="CA805" s="302"/>
      <c r="CB805" s="28"/>
      <c r="CC805" s="28"/>
      <c r="CD805" s="28"/>
      <c r="CE805" s="28"/>
      <c r="CF805" s="28"/>
      <c r="CG805" s="28"/>
      <c r="CH805" s="28"/>
      <c r="CI805" s="28"/>
      <c r="CJ805" s="28"/>
      <c r="CK805" s="28"/>
      <c r="CL805" s="28"/>
      <c r="CM805" s="28"/>
      <c r="CN805" s="28"/>
      <c r="CO805" s="28"/>
      <c r="CP805" s="28"/>
      <c r="CQ805" s="28"/>
      <c r="CR805" s="28"/>
      <c r="CS805" s="28"/>
      <c r="CT805" s="28"/>
      <c r="CU805" s="28"/>
      <c r="CV805" s="28"/>
      <c r="CW805" s="28"/>
    </row>
    <row r="806" spans="1:101" ht="14.25" customHeight="1" x14ac:dyDescent="0.2">
      <c r="A806" s="286"/>
      <c r="B806" s="52">
        <v>0.19574878899917725</v>
      </c>
      <c r="C806" s="288">
        <v>0.29059080941100812</v>
      </c>
      <c r="D806" s="288">
        <v>3.8632840137451034E-3</v>
      </c>
      <c r="E806" s="288">
        <v>1.8101316655927402E-2</v>
      </c>
      <c r="F806" s="289">
        <v>0.80381716369440692</v>
      </c>
      <c r="G806" s="92">
        <v>0.38802828109447862</v>
      </c>
      <c r="H806" s="288">
        <v>1.5833618258926749E-2</v>
      </c>
      <c r="I806" s="288">
        <v>1.5018202764494826E-2</v>
      </c>
      <c r="J806" s="288">
        <v>0.94425000379337776</v>
      </c>
      <c r="K806" s="288">
        <v>0.72534336352072837</v>
      </c>
      <c r="L806" s="290">
        <v>11720.862220529305</v>
      </c>
      <c r="M806" s="288">
        <v>0</v>
      </c>
      <c r="N806" s="288">
        <v>16849.566563713433</v>
      </c>
      <c r="O806" s="288">
        <v>1258.5746317154963</v>
      </c>
      <c r="P806" s="288">
        <v>43890.76855908212</v>
      </c>
      <c r="Q806" s="291">
        <v>92316.349123642591</v>
      </c>
      <c r="R806" s="288">
        <v>25765.672618348362</v>
      </c>
      <c r="S806" s="288">
        <v>9136.629407377708</v>
      </c>
      <c r="T806" s="290">
        <v>0.751</v>
      </c>
      <c r="U806" s="288">
        <v>0.75800000000000001</v>
      </c>
      <c r="V806" s="288">
        <v>0.723923076923077</v>
      </c>
      <c r="W806" s="288">
        <v>0.72750000000000004</v>
      </c>
      <c r="X806" s="288">
        <v>0.76</v>
      </c>
      <c r="Y806" s="288">
        <v>0</v>
      </c>
      <c r="Z806" s="289">
        <v>0</v>
      </c>
      <c r="AA806" s="229"/>
      <c r="AB806" s="293">
        <v>86227.658231915921</v>
      </c>
      <c r="AC806" s="294">
        <v>3.2533183594843553</v>
      </c>
      <c r="AD806" s="295">
        <v>67643.477557232109</v>
      </c>
      <c r="AE806" s="294">
        <v>2.8952574740396022</v>
      </c>
      <c r="AF806" s="295">
        <v>18584.180674683812</v>
      </c>
      <c r="AG806" s="296">
        <v>0.35806088544475312</v>
      </c>
      <c r="AH806" s="229"/>
      <c r="AI806" s="205">
        <f t="shared" si="90"/>
        <v>239104.17771651963</v>
      </c>
      <c r="AJ806" s="205">
        <f t="shared" si="91"/>
        <v>221882.2698467281</v>
      </c>
      <c r="AK806" s="205">
        <f t="shared" si="92"/>
        <v>17221.907869791503</v>
      </c>
      <c r="AL806" s="229"/>
      <c r="AM806" s="52">
        <f t="shared" si="86"/>
        <v>1</v>
      </c>
      <c r="AN806" s="52">
        <f t="shared" si="87"/>
        <v>0</v>
      </c>
      <c r="AO806" s="52">
        <f t="shared" si="88"/>
        <v>1</v>
      </c>
      <c r="AP806" s="229"/>
      <c r="AQ806" s="28"/>
      <c r="AR806" s="28"/>
      <c r="AS806" s="28"/>
      <c r="AT806" s="28"/>
      <c r="AU806" s="229"/>
      <c r="AV806" s="318">
        <f t="shared" si="93"/>
        <v>239104.17771651963</v>
      </c>
      <c r="AW806" s="229"/>
      <c r="AX806" s="313"/>
      <c r="AY806" s="302"/>
      <c r="AZ806" s="14">
        <f t="shared" si="95"/>
        <v>18584.180674683812</v>
      </c>
      <c r="BA806" s="14">
        <f t="shared" si="94"/>
        <v>0.35806088544475312</v>
      </c>
      <c r="BB806" s="14">
        <f t="shared" si="89"/>
        <v>51902.292124424886</v>
      </c>
      <c r="BC806" s="302"/>
      <c r="BD806" s="302"/>
      <c r="BE806" s="302"/>
      <c r="BF806" s="302"/>
      <c r="BG806" s="302"/>
      <c r="BH806" s="302"/>
      <c r="BI806" s="302"/>
      <c r="BJ806" s="302"/>
      <c r="BK806" s="302"/>
      <c r="BL806" s="302"/>
      <c r="BM806" s="302"/>
      <c r="BN806" s="302"/>
      <c r="BO806" s="302"/>
      <c r="BP806" s="302"/>
      <c r="BQ806" s="302"/>
      <c r="BR806" s="302"/>
      <c r="BS806" s="302"/>
      <c r="BT806" s="302"/>
      <c r="BU806" s="302"/>
      <c r="BV806" s="302"/>
      <c r="BW806" s="302"/>
      <c r="BX806" s="302"/>
      <c r="BY806" s="302"/>
      <c r="BZ806" s="302"/>
      <c r="CA806" s="302"/>
      <c r="CB806" s="28"/>
      <c r="CC806" s="28"/>
      <c r="CD806" s="28"/>
      <c r="CE806" s="28"/>
      <c r="CF806" s="28"/>
      <c r="CG806" s="28"/>
      <c r="CH806" s="28"/>
      <c r="CI806" s="28"/>
      <c r="CJ806" s="28"/>
      <c r="CK806" s="28"/>
      <c r="CL806" s="28"/>
      <c r="CM806" s="28"/>
      <c r="CN806" s="28"/>
      <c r="CO806" s="28"/>
      <c r="CP806" s="28"/>
      <c r="CQ806" s="28"/>
      <c r="CR806" s="28"/>
      <c r="CS806" s="28"/>
      <c r="CT806" s="28"/>
      <c r="CU806" s="28"/>
      <c r="CV806" s="28"/>
      <c r="CW806" s="28"/>
    </row>
    <row r="807" spans="1:101" ht="14.25" customHeight="1" x14ac:dyDescent="0.2">
      <c r="A807" s="286"/>
      <c r="B807" s="52">
        <v>0.14655460489881064</v>
      </c>
      <c r="C807" s="288">
        <v>0.17167911544110129</v>
      </c>
      <c r="D807" s="288">
        <v>5.3558252124823466E-3</v>
      </c>
      <c r="E807" s="288">
        <v>1.5856293358936457E-2</v>
      </c>
      <c r="F807" s="289">
        <v>0.7597001117463057</v>
      </c>
      <c r="G807" s="92">
        <v>0.37985566609534721</v>
      </c>
      <c r="H807" s="288">
        <v>0.59225319510876662</v>
      </c>
      <c r="I807" s="288">
        <v>4.0855638787986003E-3</v>
      </c>
      <c r="J807" s="288">
        <v>0.99999999992385991</v>
      </c>
      <c r="K807" s="288">
        <v>0.78264581060349103</v>
      </c>
      <c r="L807" s="290">
        <v>12745.63046128353</v>
      </c>
      <c r="M807" s="288">
        <v>0</v>
      </c>
      <c r="N807" s="288">
        <v>17367.130351351316</v>
      </c>
      <c r="O807" s="288">
        <v>1310.5772228844689</v>
      </c>
      <c r="P807" s="288">
        <v>44920.959228152249</v>
      </c>
      <c r="Q807" s="291">
        <v>103646.29803339754</v>
      </c>
      <c r="R807" s="288">
        <v>31756.756675702101</v>
      </c>
      <c r="S807" s="288">
        <v>8816.1031166327102</v>
      </c>
      <c r="T807" s="290">
        <v>0.751</v>
      </c>
      <c r="U807" s="288">
        <v>0.75800000000000001</v>
      </c>
      <c r="V807" s="288">
        <v>0.723923076923077</v>
      </c>
      <c r="W807" s="288">
        <v>0.72750000000000004</v>
      </c>
      <c r="X807" s="288">
        <v>0.76</v>
      </c>
      <c r="Y807" s="288">
        <v>0</v>
      </c>
      <c r="Z807" s="289">
        <v>0</v>
      </c>
      <c r="AA807" s="229"/>
      <c r="AB807" s="293">
        <v>80140.336860642274</v>
      </c>
      <c r="AC807" s="294">
        <v>3.048477104396782</v>
      </c>
      <c r="AD807" s="295">
        <v>76681.484642036448</v>
      </c>
      <c r="AE807" s="294">
        <v>3.159329549053115</v>
      </c>
      <c r="AF807" s="295">
        <v>3458.8522186058253</v>
      </c>
      <c r="AG807" s="296">
        <v>-0.11085244465633304</v>
      </c>
      <c r="AH807" s="229"/>
      <c r="AI807" s="205">
        <f t="shared" si="90"/>
        <v>224707.37357903595</v>
      </c>
      <c r="AJ807" s="205">
        <f t="shared" si="91"/>
        <v>239251.47026327509</v>
      </c>
      <c r="AK807" s="205">
        <f t="shared" si="92"/>
        <v>-14544.09668423913</v>
      </c>
      <c r="AL807" s="229"/>
      <c r="AM807" s="52">
        <f t="shared" si="86"/>
        <v>0</v>
      </c>
      <c r="AN807" s="52">
        <f t="shared" si="87"/>
        <v>1</v>
      </c>
      <c r="AO807" s="52">
        <f t="shared" si="88"/>
        <v>0</v>
      </c>
      <c r="AP807" s="229"/>
      <c r="AQ807" s="28"/>
      <c r="AR807" s="28"/>
      <c r="AS807" s="28"/>
      <c r="AT807" s="28"/>
      <c r="AU807" s="229"/>
      <c r="AV807" s="318">
        <f t="shared" si="93"/>
        <v>239251.47026327509</v>
      </c>
      <c r="AW807" s="229"/>
      <c r="AX807" s="313"/>
      <c r="AY807" s="302"/>
      <c r="AZ807" s="14">
        <f t="shared" si="95"/>
        <v>3458.8522186058253</v>
      </c>
      <c r="BA807" s="14">
        <f t="shared" si="94"/>
        <v>-0.11085244465633304</v>
      </c>
      <c r="BB807" s="14">
        <f t="shared" si="89"/>
        <v>-31202.3088830294</v>
      </c>
      <c r="BC807" s="302"/>
      <c r="BD807" s="302"/>
      <c r="BE807" s="302"/>
      <c r="BF807" s="302"/>
      <c r="BG807" s="302"/>
      <c r="BH807" s="302"/>
      <c r="BI807" s="302"/>
      <c r="BJ807" s="302"/>
      <c r="BK807" s="302"/>
      <c r="BL807" s="302"/>
      <c r="BM807" s="302"/>
      <c r="BN807" s="302"/>
      <c r="BO807" s="302"/>
      <c r="BP807" s="302"/>
      <c r="BQ807" s="302"/>
      <c r="BR807" s="302"/>
      <c r="BS807" s="302"/>
      <c r="BT807" s="302"/>
      <c r="BU807" s="302"/>
      <c r="BV807" s="302"/>
      <c r="BW807" s="302"/>
      <c r="BX807" s="302"/>
      <c r="BY807" s="302"/>
      <c r="BZ807" s="302"/>
      <c r="CA807" s="302"/>
      <c r="CB807" s="28"/>
      <c r="CC807" s="28"/>
      <c r="CD807" s="28"/>
      <c r="CE807" s="28"/>
      <c r="CF807" s="28"/>
      <c r="CG807" s="28"/>
      <c r="CH807" s="28"/>
      <c r="CI807" s="28"/>
      <c r="CJ807" s="28"/>
      <c r="CK807" s="28"/>
      <c r="CL807" s="28"/>
      <c r="CM807" s="28"/>
      <c r="CN807" s="28"/>
      <c r="CO807" s="28"/>
      <c r="CP807" s="28"/>
      <c r="CQ807" s="28"/>
      <c r="CR807" s="28"/>
      <c r="CS807" s="28"/>
      <c r="CT807" s="28"/>
      <c r="CU807" s="28"/>
      <c r="CV807" s="28"/>
      <c r="CW807" s="28"/>
    </row>
    <row r="808" spans="1:101" ht="14.25" customHeight="1" x14ac:dyDescent="0.2">
      <c r="A808" s="286"/>
      <c r="B808" s="52">
        <v>0.16502598658694101</v>
      </c>
      <c r="C808" s="288">
        <v>0.14478558440415154</v>
      </c>
      <c r="D808" s="288">
        <v>1.0083807130949763E-2</v>
      </c>
      <c r="E808" s="288">
        <v>1.3009592075000409E-2</v>
      </c>
      <c r="F808" s="289">
        <v>0.77060682675423209</v>
      </c>
      <c r="G808" s="92">
        <v>0.45426875007516088</v>
      </c>
      <c r="H808" s="288">
        <v>2.5409108484968922E-2</v>
      </c>
      <c r="I808" s="288">
        <v>4.1180352919206409E-2</v>
      </c>
      <c r="J808" s="288">
        <v>0.99989054364638641</v>
      </c>
      <c r="K808" s="288">
        <v>0.78034526358345824</v>
      </c>
      <c r="L808" s="290">
        <v>7107.8876185545196</v>
      </c>
      <c r="M808" s="288">
        <v>0</v>
      </c>
      <c r="N808" s="288">
        <v>15277.079785514683</v>
      </c>
      <c r="O808" s="288">
        <v>1083.2008079157806</v>
      </c>
      <c r="P808" s="288">
        <v>39909.264269377018</v>
      </c>
      <c r="Q808" s="291">
        <v>136031.77842561551</v>
      </c>
      <c r="R808" s="288">
        <v>22695.336090551489</v>
      </c>
      <c r="S808" s="288">
        <v>8439.7469742278718</v>
      </c>
      <c r="T808" s="290">
        <v>0.751</v>
      </c>
      <c r="U808" s="288">
        <v>0.75800000000000001</v>
      </c>
      <c r="V808" s="288">
        <v>0.723923076923077</v>
      </c>
      <c r="W808" s="288">
        <v>0.72750000000000004</v>
      </c>
      <c r="X808" s="288">
        <v>0.76</v>
      </c>
      <c r="Y808" s="288">
        <v>0</v>
      </c>
      <c r="Z808" s="289">
        <v>0</v>
      </c>
      <c r="AA808" s="229"/>
      <c r="AB808" s="293">
        <v>72458.235264034069</v>
      </c>
      <c r="AC808" s="294">
        <v>3.0988343441907551</v>
      </c>
      <c r="AD808" s="295">
        <v>70053.465324919031</v>
      </c>
      <c r="AE808" s="294">
        <v>3.1486280041587413</v>
      </c>
      <c r="AF808" s="295">
        <v>2404.7699391150381</v>
      </c>
      <c r="AG808" s="296">
        <v>-4.9793659967986237E-2</v>
      </c>
      <c r="AH808" s="229"/>
      <c r="AI808" s="205">
        <f t="shared" si="90"/>
        <v>237425.19915504142</v>
      </c>
      <c r="AJ808" s="205">
        <f t="shared" si="91"/>
        <v>244809.33509095508</v>
      </c>
      <c r="AK808" s="205">
        <f t="shared" si="92"/>
        <v>-7384.1359359136623</v>
      </c>
      <c r="AL808" s="229"/>
      <c r="AM808" s="52">
        <f t="shared" si="86"/>
        <v>0</v>
      </c>
      <c r="AN808" s="52">
        <f t="shared" si="87"/>
        <v>1</v>
      </c>
      <c r="AO808" s="52">
        <f t="shared" si="88"/>
        <v>0</v>
      </c>
      <c r="AP808" s="229"/>
      <c r="AQ808" s="28"/>
      <c r="AR808" s="28"/>
      <c r="AS808" s="28"/>
      <c r="AT808" s="28"/>
      <c r="AU808" s="229"/>
      <c r="AV808" s="318">
        <f t="shared" si="93"/>
        <v>244809.33509095508</v>
      </c>
      <c r="AW808" s="229"/>
      <c r="AX808" s="313"/>
      <c r="AY808" s="302"/>
      <c r="AZ808" s="14">
        <f t="shared" si="95"/>
        <v>2404.7699391150381</v>
      </c>
      <c r="BA808" s="14">
        <f t="shared" si="94"/>
        <v>-4.9793659967986237E-2</v>
      </c>
      <c r="BB808" s="14">
        <f t="shared" si="89"/>
        <v>-48294.701386906148</v>
      </c>
      <c r="BC808" s="302"/>
      <c r="BD808" s="302"/>
      <c r="BE808" s="302"/>
      <c r="BF808" s="302"/>
      <c r="BG808" s="302"/>
      <c r="BH808" s="302"/>
      <c r="BI808" s="302"/>
      <c r="BJ808" s="302"/>
      <c r="BK808" s="302"/>
      <c r="BL808" s="302"/>
      <c r="BM808" s="302"/>
      <c r="BN808" s="302"/>
      <c r="BO808" s="302"/>
      <c r="BP808" s="302"/>
      <c r="BQ808" s="302"/>
      <c r="BR808" s="302"/>
      <c r="BS808" s="302"/>
      <c r="BT808" s="302"/>
      <c r="BU808" s="302"/>
      <c r="BV808" s="302"/>
      <c r="BW808" s="302"/>
      <c r="BX808" s="302"/>
      <c r="BY808" s="302"/>
      <c r="BZ808" s="302"/>
      <c r="CA808" s="302"/>
      <c r="CB808" s="28"/>
      <c r="CC808" s="28"/>
      <c r="CD808" s="28"/>
      <c r="CE808" s="28"/>
      <c r="CF808" s="28"/>
      <c r="CG808" s="28"/>
      <c r="CH808" s="28"/>
      <c r="CI808" s="28"/>
      <c r="CJ808" s="28"/>
      <c r="CK808" s="28"/>
      <c r="CL808" s="28"/>
      <c r="CM808" s="28"/>
      <c r="CN808" s="28"/>
      <c r="CO808" s="28"/>
      <c r="CP808" s="28"/>
      <c r="CQ808" s="28"/>
      <c r="CR808" s="28"/>
      <c r="CS808" s="28"/>
      <c r="CT808" s="28"/>
      <c r="CU808" s="28"/>
      <c r="CV808" s="28"/>
      <c r="CW808" s="28"/>
    </row>
    <row r="809" spans="1:101" ht="14.25" customHeight="1" x14ac:dyDescent="0.2">
      <c r="A809" s="286"/>
      <c r="B809" s="52">
        <v>0.15227136037936978</v>
      </c>
      <c r="C809" s="288">
        <v>0.34099118187912325</v>
      </c>
      <c r="D809" s="288">
        <v>2.2704928355711695E-2</v>
      </c>
      <c r="E809" s="288">
        <v>2.629029109162162E-2</v>
      </c>
      <c r="F809" s="289">
        <v>0.80490145704347127</v>
      </c>
      <c r="G809" s="92">
        <v>0.40341563732738017</v>
      </c>
      <c r="H809" s="288">
        <v>0.13202192575820199</v>
      </c>
      <c r="I809" s="288">
        <v>1.1045663396946815E-2</v>
      </c>
      <c r="J809" s="288">
        <v>0.99999999792854566</v>
      </c>
      <c r="K809" s="288">
        <v>0.69955905046599531</v>
      </c>
      <c r="L809" s="290">
        <v>10577.577536018956</v>
      </c>
      <c r="M809" s="288">
        <v>0</v>
      </c>
      <c r="N809" s="288">
        <v>13201.054424718865</v>
      </c>
      <c r="O809" s="288">
        <v>1482.2663789619075</v>
      </c>
      <c r="P809" s="288">
        <v>49512.916307730928</v>
      </c>
      <c r="Q809" s="291">
        <v>96371.651161175701</v>
      </c>
      <c r="R809" s="288">
        <v>18404.243099547366</v>
      </c>
      <c r="S809" s="288">
        <v>12665.268157885434</v>
      </c>
      <c r="T809" s="290">
        <v>0.751</v>
      </c>
      <c r="U809" s="288">
        <v>0.75800000000000001</v>
      </c>
      <c r="V809" s="288">
        <v>0.723923076923077</v>
      </c>
      <c r="W809" s="288">
        <v>0.72750000000000004</v>
      </c>
      <c r="X809" s="288">
        <v>0.76</v>
      </c>
      <c r="Y809" s="288">
        <v>0</v>
      </c>
      <c r="Z809" s="289">
        <v>0</v>
      </c>
      <c r="AA809" s="229"/>
      <c r="AB809" s="293">
        <v>113044.57781411154</v>
      </c>
      <c r="AC809" s="294">
        <v>3.2583913129170066</v>
      </c>
      <c r="AD809" s="295">
        <v>90653.109040955096</v>
      </c>
      <c r="AE809" s="294">
        <v>2.7781217084958265</v>
      </c>
      <c r="AF809" s="295">
        <v>22391.468773156448</v>
      </c>
      <c r="AG809" s="296">
        <v>0.48026960442118005</v>
      </c>
      <c r="AH809" s="229"/>
      <c r="AI809" s="205">
        <f t="shared" si="90"/>
        <v>212794.5534775891</v>
      </c>
      <c r="AJ809" s="205">
        <f t="shared" si="91"/>
        <v>187159.06180862756</v>
      </c>
      <c r="AK809" s="205">
        <f t="shared" si="92"/>
        <v>25635.491668961557</v>
      </c>
      <c r="AL809" s="229"/>
      <c r="AM809" s="52">
        <f t="shared" si="86"/>
        <v>1</v>
      </c>
      <c r="AN809" s="52">
        <f t="shared" si="87"/>
        <v>0</v>
      </c>
      <c r="AO809" s="52">
        <f t="shared" si="88"/>
        <v>1</v>
      </c>
      <c r="AP809" s="229"/>
      <c r="AQ809" s="28"/>
      <c r="AR809" s="28"/>
      <c r="AS809" s="28"/>
      <c r="AT809" s="28"/>
      <c r="AU809" s="229"/>
      <c r="AV809" s="318">
        <f t="shared" si="93"/>
        <v>212794.5534775891</v>
      </c>
      <c r="AW809" s="229"/>
      <c r="AX809" s="313"/>
      <c r="AY809" s="302"/>
      <c r="AZ809" s="14">
        <f t="shared" si="95"/>
        <v>22391.468773156448</v>
      </c>
      <c r="BA809" s="14">
        <f t="shared" si="94"/>
        <v>0.48026960442118005</v>
      </c>
      <c r="BB809" s="14">
        <f t="shared" si="89"/>
        <v>46622.706427866906</v>
      </c>
      <c r="BC809" s="302"/>
      <c r="BD809" s="302"/>
      <c r="BE809" s="302"/>
      <c r="BF809" s="302"/>
      <c r="BG809" s="302"/>
      <c r="BH809" s="302"/>
      <c r="BI809" s="302"/>
      <c r="BJ809" s="302"/>
      <c r="BK809" s="302"/>
      <c r="BL809" s="302"/>
      <c r="BM809" s="302"/>
      <c r="BN809" s="302"/>
      <c r="BO809" s="302"/>
      <c r="BP809" s="302"/>
      <c r="BQ809" s="302"/>
      <c r="BR809" s="302"/>
      <c r="BS809" s="302"/>
      <c r="BT809" s="302"/>
      <c r="BU809" s="302"/>
      <c r="BV809" s="302"/>
      <c r="BW809" s="302"/>
      <c r="BX809" s="302"/>
      <c r="BY809" s="302"/>
      <c r="BZ809" s="302"/>
      <c r="CA809" s="302"/>
      <c r="CB809" s="28"/>
      <c r="CC809" s="28"/>
      <c r="CD809" s="28"/>
      <c r="CE809" s="28"/>
      <c r="CF809" s="28"/>
      <c r="CG809" s="28"/>
      <c r="CH809" s="28"/>
      <c r="CI809" s="28"/>
      <c r="CJ809" s="28"/>
      <c r="CK809" s="28"/>
      <c r="CL809" s="28"/>
      <c r="CM809" s="28"/>
      <c r="CN809" s="28"/>
      <c r="CO809" s="28"/>
      <c r="CP809" s="28"/>
      <c r="CQ809" s="28"/>
      <c r="CR809" s="28"/>
      <c r="CS809" s="28"/>
      <c r="CT809" s="28"/>
      <c r="CU809" s="28"/>
      <c r="CV809" s="28"/>
      <c r="CW809" s="28"/>
    </row>
    <row r="810" spans="1:101" ht="14.25" customHeight="1" x14ac:dyDescent="0.2">
      <c r="A810" s="286"/>
      <c r="B810" s="52">
        <v>0.14488232029849724</v>
      </c>
      <c r="C810" s="288">
        <v>0.22301412821059771</v>
      </c>
      <c r="D810" s="288">
        <v>4.8545987191069874E-3</v>
      </c>
      <c r="E810" s="288">
        <v>2.6063040148661454E-2</v>
      </c>
      <c r="F810" s="289">
        <v>0.78629319013668442</v>
      </c>
      <c r="G810" s="92">
        <v>0.44679079949647305</v>
      </c>
      <c r="H810" s="288">
        <v>0.2560282721593527</v>
      </c>
      <c r="I810" s="288">
        <v>1.6282620436728235E-2</v>
      </c>
      <c r="J810" s="288">
        <v>0.385251915793559</v>
      </c>
      <c r="K810" s="288">
        <v>0.72114697826019958</v>
      </c>
      <c r="L810" s="290">
        <v>10743.077933729885</v>
      </c>
      <c r="M810" s="288">
        <v>0</v>
      </c>
      <c r="N810" s="288">
        <v>25001.840472597309</v>
      </c>
      <c r="O810" s="288">
        <v>760.33619551076072</v>
      </c>
      <c r="P810" s="288">
        <v>53497.822327767099</v>
      </c>
      <c r="Q810" s="291">
        <v>97663.504906756832</v>
      </c>
      <c r="R810" s="288">
        <v>27246.191514110506</v>
      </c>
      <c r="S810" s="288">
        <v>11666.523257161827</v>
      </c>
      <c r="T810" s="290">
        <v>0.751</v>
      </c>
      <c r="U810" s="288">
        <v>0.75800000000000001</v>
      </c>
      <c r="V810" s="288">
        <v>0.723923076923077</v>
      </c>
      <c r="W810" s="288">
        <v>0.72750000000000004</v>
      </c>
      <c r="X810" s="288">
        <v>0.76</v>
      </c>
      <c r="Y810" s="288">
        <v>0</v>
      </c>
      <c r="Z810" s="289">
        <v>0</v>
      </c>
      <c r="AA810" s="229"/>
      <c r="AB810" s="293">
        <v>102640.42809411851</v>
      </c>
      <c r="AC810" s="294">
        <v>3.1715867798380466</v>
      </c>
      <c r="AD810" s="295">
        <v>88273.770433813654</v>
      </c>
      <c r="AE810" s="294">
        <v>2.8761222840616263</v>
      </c>
      <c r="AF810" s="295">
        <v>14366.65766030486</v>
      </c>
      <c r="AG810" s="296">
        <v>0.29546449577642031</v>
      </c>
      <c r="AH810" s="229"/>
      <c r="AI810" s="205">
        <f t="shared" si="90"/>
        <v>214518.24988968615</v>
      </c>
      <c r="AJ810" s="205">
        <f t="shared" si="91"/>
        <v>199338.45797234899</v>
      </c>
      <c r="AK810" s="205">
        <f t="shared" si="92"/>
        <v>15179.79191733717</v>
      </c>
      <c r="AL810" s="229"/>
      <c r="AM810" s="52">
        <f t="shared" si="86"/>
        <v>1</v>
      </c>
      <c r="AN810" s="52">
        <f t="shared" si="87"/>
        <v>0</v>
      </c>
      <c r="AO810" s="52">
        <f t="shared" si="88"/>
        <v>1</v>
      </c>
      <c r="AP810" s="229"/>
      <c r="AQ810" s="28"/>
      <c r="AR810" s="28"/>
      <c r="AS810" s="28"/>
      <c r="AT810" s="28"/>
      <c r="AU810" s="229"/>
      <c r="AV810" s="318">
        <f t="shared" si="93"/>
        <v>214518.24988968615</v>
      </c>
      <c r="AW810" s="229"/>
      <c r="AX810" s="313"/>
      <c r="AY810" s="302"/>
      <c r="AZ810" s="14">
        <f t="shared" si="95"/>
        <v>14366.65766030486</v>
      </c>
      <c r="BA810" s="14">
        <f t="shared" si="94"/>
        <v>0.29546449577642031</v>
      </c>
      <c r="BB810" s="14">
        <f t="shared" si="89"/>
        <v>48623.97298380037</v>
      </c>
      <c r="BC810" s="302"/>
      <c r="BD810" s="302"/>
      <c r="BE810" s="302"/>
      <c r="BF810" s="302"/>
      <c r="BG810" s="302"/>
      <c r="BH810" s="302"/>
      <c r="BI810" s="302"/>
      <c r="BJ810" s="302"/>
      <c r="BK810" s="302"/>
      <c r="BL810" s="302"/>
      <c r="BM810" s="302"/>
      <c r="BN810" s="302"/>
      <c r="BO810" s="302"/>
      <c r="BP810" s="302"/>
      <c r="BQ810" s="302"/>
      <c r="BR810" s="302"/>
      <c r="BS810" s="302"/>
      <c r="BT810" s="302"/>
      <c r="BU810" s="302"/>
      <c r="BV810" s="302"/>
      <c r="BW810" s="302"/>
      <c r="BX810" s="302"/>
      <c r="BY810" s="302"/>
      <c r="BZ810" s="302"/>
      <c r="CA810" s="302"/>
      <c r="CB810" s="28"/>
      <c r="CC810" s="28"/>
      <c r="CD810" s="28"/>
      <c r="CE810" s="28"/>
      <c r="CF810" s="28"/>
      <c r="CG810" s="28"/>
      <c r="CH810" s="28"/>
      <c r="CI810" s="28"/>
      <c r="CJ810" s="28"/>
      <c r="CK810" s="28"/>
      <c r="CL810" s="28"/>
      <c r="CM810" s="28"/>
      <c r="CN810" s="28"/>
      <c r="CO810" s="28"/>
      <c r="CP810" s="28"/>
      <c r="CQ810" s="28"/>
      <c r="CR810" s="28"/>
      <c r="CS810" s="28"/>
      <c r="CT810" s="28"/>
      <c r="CU810" s="28"/>
      <c r="CV810" s="28"/>
      <c r="CW810" s="28"/>
    </row>
    <row r="811" spans="1:101" ht="14.25" customHeight="1" x14ac:dyDescent="0.2">
      <c r="A811" s="286"/>
      <c r="B811" s="52">
        <v>0.13566899591400702</v>
      </c>
      <c r="C811" s="288">
        <v>6.6882941917630293E-2</v>
      </c>
      <c r="D811" s="288">
        <v>6.9101081217862468E-3</v>
      </c>
      <c r="E811" s="288">
        <v>1.1366807739510041E-2</v>
      </c>
      <c r="F811" s="289">
        <v>0.7711699289155407</v>
      </c>
      <c r="G811" s="92">
        <v>0.38247030829941336</v>
      </c>
      <c r="H811" s="288">
        <v>0.67892394352632279</v>
      </c>
      <c r="I811" s="288">
        <v>1.5055961786868298E-3</v>
      </c>
      <c r="J811" s="288">
        <v>0.99984873822392251</v>
      </c>
      <c r="K811" s="288">
        <v>0.74644891270696534</v>
      </c>
      <c r="L811" s="290">
        <v>14058.421409670749</v>
      </c>
      <c r="M811" s="288">
        <v>0</v>
      </c>
      <c r="N811" s="288">
        <v>14403.276200449465</v>
      </c>
      <c r="O811" s="288">
        <v>1533.8900129148694</v>
      </c>
      <c r="P811" s="288">
        <v>47362.635012219529</v>
      </c>
      <c r="Q811" s="291">
        <v>72519.604309642207</v>
      </c>
      <c r="R811" s="288">
        <v>29422.045097296461</v>
      </c>
      <c r="S811" s="288">
        <v>6705.6727168081989</v>
      </c>
      <c r="T811" s="290">
        <v>0.751</v>
      </c>
      <c r="U811" s="288">
        <v>0.75800000000000001</v>
      </c>
      <c r="V811" s="288">
        <v>0.723923076923077</v>
      </c>
      <c r="W811" s="288">
        <v>0.72750000000000004</v>
      </c>
      <c r="X811" s="288">
        <v>0.76</v>
      </c>
      <c r="Y811" s="288">
        <v>0</v>
      </c>
      <c r="Z811" s="289">
        <v>0</v>
      </c>
      <c r="AA811" s="229"/>
      <c r="AB811" s="293">
        <v>65808.970984813699</v>
      </c>
      <c r="AC811" s="294">
        <v>3.1014393004441847</v>
      </c>
      <c r="AD811" s="295">
        <v>58205.581089011408</v>
      </c>
      <c r="AE811" s="294">
        <v>2.9919180022453533</v>
      </c>
      <c r="AF811" s="295">
        <v>7603.389895802291</v>
      </c>
      <c r="AG811" s="296">
        <v>0.10952129819883138</v>
      </c>
      <c r="AH811" s="229"/>
      <c r="AI811" s="205">
        <f t="shared" si="90"/>
        <v>244334.95905960479</v>
      </c>
      <c r="AJ811" s="205">
        <f t="shared" si="91"/>
        <v>240986.21913552395</v>
      </c>
      <c r="AK811" s="205">
        <f t="shared" si="92"/>
        <v>3348.7399240808481</v>
      </c>
      <c r="AL811" s="229"/>
      <c r="AM811" s="52">
        <f t="shared" si="86"/>
        <v>1</v>
      </c>
      <c r="AN811" s="52">
        <f t="shared" si="87"/>
        <v>0</v>
      </c>
      <c r="AO811" s="52">
        <f t="shared" si="88"/>
        <v>1</v>
      </c>
      <c r="AP811" s="229"/>
      <c r="AQ811" s="28"/>
      <c r="AR811" s="28"/>
      <c r="AS811" s="28"/>
      <c r="AT811" s="28"/>
      <c r="AU811" s="229"/>
      <c r="AV811" s="318">
        <f t="shared" si="93"/>
        <v>244334.95905960479</v>
      </c>
      <c r="AW811" s="229"/>
      <c r="AX811" s="313"/>
      <c r="AY811" s="302"/>
      <c r="AZ811" s="14">
        <f t="shared" si="95"/>
        <v>7603.389895802291</v>
      </c>
      <c r="BA811" s="14">
        <f t="shared" si="94"/>
        <v>0.10952129819883138</v>
      </c>
      <c r="BB811" s="14">
        <f t="shared" si="89"/>
        <v>69423.847423709783</v>
      </c>
      <c r="BC811" s="302"/>
      <c r="BD811" s="302"/>
      <c r="BE811" s="302"/>
      <c r="BF811" s="302"/>
      <c r="BG811" s="302"/>
      <c r="BH811" s="302"/>
      <c r="BI811" s="302"/>
      <c r="BJ811" s="302"/>
      <c r="BK811" s="302"/>
      <c r="BL811" s="302"/>
      <c r="BM811" s="302"/>
      <c r="BN811" s="302"/>
      <c r="BO811" s="302"/>
      <c r="BP811" s="302"/>
      <c r="BQ811" s="302"/>
      <c r="BR811" s="302"/>
      <c r="BS811" s="302"/>
      <c r="BT811" s="302"/>
      <c r="BU811" s="302"/>
      <c r="BV811" s="302"/>
      <c r="BW811" s="302"/>
      <c r="BX811" s="302"/>
      <c r="BY811" s="302"/>
      <c r="BZ811" s="302"/>
      <c r="CA811" s="302"/>
      <c r="CB811" s="28"/>
      <c r="CC811" s="28"/>
      <c r="CD811" s="28"/>
      <c r="CE811" s="28"/>
      <c r="CF811" s="28"/>
      <c r="CG811" s="28"/>
      <c r="CH811" s="28"/>
      <c r="CI811" s="28"/>
      <c r="CJ811" s="28"/>
      <c r="CK811" s="28"/>
      <c r="CL811" s="28"/>
      <c r="CM811" s="28"/>
      <c r="CN811" s="28"/>
      <c r="CO811" s="28"/>
      <c r="CP811" s="28"/>
      <c r="CQ811" s="28"/>
      <c r="CR811" s="28"/>
      <c r="CS811" s="28"/>
      <c r="CT811" s="28"/>
      <c r="CU811" s="28"/>
      <c r="CV811" s="28"/>
      <c r="CW811" s="28"/>
    </row>
    <row r="812" spans="1:101" ht="14.25" customHeight="1" x14ac:dyDescent="0.2">
      <c r="A812" s="286"/>
      <c r="B812" s="52">
        <v>0.11951539239434056</v>
      </c>
      <c r="C812" s="288">
        <v>0.22579825298195055</v>
      </c>
      <c r="D812" s="288">
        <v>1.4146361848143E-2</v>
      </c>
      <c r="E812" s="288">
        <v>4.8469206208961906E-3</v>
      </c>
      <c r="F812" s="289">
        <v>0.81180696653604567</v>
      </c>
      <c r="G812" s="92">
        <v>0.40876227349312177</v>
      </c>
      <c r="H812" s="288">
        <v>6.5975914826661181E-2</v>
      </c>
      <c r="I812" s="288">
        <v>1.5017512578028993E-2</v>
      </c>
      <c r="J812" s="288">
        <v>0.9999999978984444</v>
      </c>
      <c r="K812" s="288">
        <v>0.73367861931016709</v>
      </c>
      <c r="L812" s="290">
        <v>9338.5255858275541</v>
      </c>
      <c r="M812" s="288">
        <v>0</v>
      </c>
      <c r="N812" s="288">
        <v>18146.765825534319</v>
      </c>
      <c r="O812" s="288">
        <v>1356.499823123002</v>
      </c>
      <c r="P812" s="288">
        <v>44793.017243619273</v>
      </c>
      <c r="Q812" s="291">
        <v>72990.360146380102</v>
      </c>
      <c r="R812" s="288">
        <v>19468.100311001803</v>
      </c>
      <c r="S812" s="288">
        <v>6475.6159917190907</v>
      </c>
      <c r="T812" s="290">
        <v>0.751</v>
      </c>
      <c r="U812" s="288">
        <v>0.75800000000000001</v>
      </c>
      <c r="V812" s="288">
        <v>0.723923076923077</v>
      </c>
      <c r="W812" s="288">
        <v>0.72750000000000004</v>
      </c>
      <c r="X812" s="288">
        <v>0.76</v>
      </c>
      <c r="Y812" s="288">
        <v>0</v>
      </c>
      <c r="Z812" s="289">
        <v>0</v>
      </c>
      <c r="AA812" s="229"/>
      <c r="AB812" s="293">
        <v>62205.765067220418</v>
      </c>
      <c r="AC812" s="294">
        <v>3.2907425630888665</v>
      </c>
      <c r="AD812" s="295">
        <v>49308.0487911167</v>
      </c>
      <c r="AE812" s="294">
        <v>2.9333479144490449</v>
      </c>
      <c r="AF812" s="295">
        <v>12897.716276103718</v>
      </c>
      <c r="AG812" s="296">
        <v>0.35739464863982162</v>
      </c>
      <c r="AH812" s="229"/>
      <c r="AI812" s="205">
        <f t="shared" si="90"/>
        <v>266868.4912416662</v>
      </c>
      <c r="AJ812" s="205">
        <f t="shared" si="91"/>
        <v>244026.74265378778</v>
      </c>
      <c r="AK812" s="205">
        <f t="shared" si="92"/>
        <v>22841.748587878443</v>
      </c>
      <c r="AL812" s="229"/>
      <c r="AM812" s="52">
        <f t="shared" si="86"/>
        <v>1</v>
      </c>
      <c r="AN812" s="52">
        <f t="shared" si="87"/>
        <v>0</v>
      </c>
      <c r="AO812" s="52">
        <f t="shared" si="88"/>
        <v>1</v>
      </c>
      <c r="AP812" s="229"/>
      <c r="AQ812" s="28"/>
      <c r="AR812" s="28"/>
      <c r="AS812" s="28"/>
      <c r="AT812" s="28"/>
      <c r="AU812" s="229"/>
      <c r="AV812" s="318">
        <f t="shared" si="93"/>
        <v>266868.4912416662</v>
      </c>
      <c r="AW812" s="229"/>
      <c r="AX812" s="313"/>
      <c r="AY812" s="302"/>
      <c r="AZ812" s="14">
        <f t="shared" si="95"/>
        <v>12897.716276103718</v>
      </c>
      <c r="BA812" s="14">
        <f t="shared" si="94"/>
        <v>0.35739464863982162</v>
      </c>
      <c r="BB812" s="14">
        <f t="shared" si="89"/>
        <v>36088.16283397095</v>
      </c>
      <c r="BC812" s="302"/>
      <c r="BD812" s="302"/>
      <c r="BE812" s="302"/>
      <c r="BF812" s="302"/>
      <c r="BG812" s="302"/>
      <c r="BH812" s="302"/>
      <c r="BI812" s="302"/>
      <c r="BJ812" s="302"/>
      <c r="BK812" s="302"/>
      <c r="BL812" s="302"/>
      <c r="BM812" s="302"/>
      <c r="BN812" s="302"/>
      <c r="BO812" s="302"/>
      <c r="BP812" s="302"/>
      <c r="BQ812" s="302"/>
      <c r="BR812" s="302"/>
      <c r="BS812" s="302"/>
      <c r="BT812" s="302"/>
      <c r="BU812" s="302"/>
      <c r="BV812" s="302"/>
      <c r="BW812" s="302"/>
      <c r="BX812" s="302"/>
      <c r="BY812" s="302"/>
      <c r="BZ812" s="302"/>
      <c r="CA812" s="302"/>
      <c r="CB812" s="28"/>
      <c r="CC812" s="28"/>
      <c r="CD812" s="28"/>
      <c r="CE812" s="28"/>
      <c r="CF812" s="28"/>
      <c r="CG812" s="28"/>
      <c r="CH812" s="28"/>
      <c r="CI812" s="28"/>
      <c r="CJ812" s="28"/>
      <c r="CK812" s="28"/>
      <c r="CL812" s="28"/>
      <c r="CM812" s="28"/>
      <c r="CN812" s="28"/>
      <c r="CO812" s="28"/>
      <c r="CP812" s="28"/>
      <c r="CQ812" s="28"/>
      <c r="CR812" s="28"/>
      <c r="CS812" s="28"/>
      <c r="CT812" s="28"/>
      <c r="CU812" s="28"/>
      <c r="CV812" s="28"/>
      <c r="CW812" s="28"/>
    </row>
    <row r="813" spans="1:101" ht="14.25" customHeight="1" x14ac:dyDescent="0.2">
      <c r="A813" s="286"/>
      <c r="B813" s="52">
        <v>0.14508217870457973</v>
      </c>
      <c r="C813" s="288">
        <v>9.8948830809524213E-2</v>
      </c>
      <c r="D813" s="288">
        <v>1.3657270755352263E-2</v>
      </c>
      <c r="E813" s="288">
        <v>8.9351132449954958E-3</v>
      </c>
      <c r="F813" s="289">
        <v>0.80334951219078377</v>
      </c>
      <c r="G813" s="92">
        <v>0.42448753889411928</v>
      </c>
      <c r="H813" s="288">
        <v>0.10293043811000953</v>
      </c>
      <c r="I813" s="288">
        <v>1.1723798560877709E-2</v>
      </c>
      <c r="J813" s="288">
        <v>0.99999535692364816</v>
      </c>
      <c r="K813" s="288">
        <v>0.75783769895943209</v>
      </c>
      <c r="L813" s="290">
        <v>13652.008075448693</v>
      </c>
      <c r="M813" s="288">
        <v>0</v>
      </c>
      <c r="N813" s="288">
        <v>19175.069871933654</v>
      </c>
      <c r="O813" s="288">
        <v>1358.7736735784104</v>
      </c>
      <c r="P813" s="288">
        <v>43113.699913383396</v>
      </c>
      <c r="Q813" s="291">
        <v>81811.470657036756</v>
      </c>
      <c r="R813" s="288">
        <v>15939.21669421707</v>
      </c>
      <c r="S813" s="288">
        <v>8584.7651508702693</v>
      </c>
      <c r="T813" s="290">
        <v>0.751</v>
      </c>
      <c r="U813" s="288">
        <v>0.75800000000000001</v>
      </c>
      <c r="V813" s="288">
        <v>0.723923076923077</v>
      </c>
      <c r="W813" s="288">
        <v>0.72750000000000004</v>
      </c>
      <c r="X813" s="288">
        <v>0.76</v>
      </c>
      <c r="Y813" s="288">
        <v>0</v>
      </c>
      <c r="Z813" s="289">
        <v>0</v>
      </c>
      <c r="AA813" s="229"/>
      <c r="AB813" s="293">
        <v>82532.94251935916</v>
      </c>
      <c r="AC813" s="294">
        <v>3.2511309835869113</v>
      </c>
      <c r="AD813" s="295">
        <v>66863.483381991493</v>
      </c>
      <c r="AE813" s="294">
        <v>3.0443687476274368</v>
      </c>
      <c r="AF813" s="295">
        <v>15669.459137367667</v>
      </c>
      <c r="AG813" s="296">
        <v>0.20676223595947452</v>
      </c>
      <c r="AH813" s="229"/>
      <c r="AI813" s="205">
        <f t="shared" si="90"/>
        <v>242580.15583933197</v>
      </c>
      <c r="AJ813" s="205">
        <f t="shared" si="91"/>
        <v>237573.39138075215</v>
      </c>
      <c r="AK813" s="205">
        <f t="shared" si="92"/>
        <v>5006.7644585797862</v>
      </c>
      <c r="AL813" s="229"/>
      <c r="AM813" s="52">
        <f t="shared" si="86"/>
        <v>1</v>
      </c>
      <c r="AN813" s="52">
        <f t="shared" si="87"/>
        <v>0</v>
      </c>
      <c r="AO813" s="52">
        <f t="shared" si="88"/>
        <v>1</v>
      </c>
      <c r="AP813" s="229"/>
      <c r="AQ813" s="28"/>
      <c r="AR813" s="28"/>
      <c r="AS813" s="28"/>
      <c r="AT813" s="28"/>
      <c r="AU813" s="229"/>
      <c r="AV813" s="318">
        <f t="shared" si="93"/>
        <v>242580.15583933197</v>
      </c>
      <c r="AW813" s="229"/>
      <c r="AX813" s="313"/>
      <c r="AY813" s="302"/>
      <c r="AZ813" s="14">
        <f t="shared" si="95"/>
        <v>15669.459137367667</v>
      </c>
      <c r="BA813" s="14">
        <f t="shared" si="94"/>
        <v>0.20676223595947452</v>
      </c>
      <c r="BB813" s="14">
        <f t="shared" si="89"/>
        <v>75784.918191922086</v>
      </c>
      <c r="BC813" s="302"/>
      <c r="BD813" s="302"/>
      <c r="BE813" s="302"/>
      <c r="BF813" s="302"/>
      <c r="BG813" s="302"/>
      <c r="BH813" s="302"/>
      <c r="BI813" s="302"/>
      <c r="BJ813" s="302"/>
      <c r="BK813" s="302"/>
      <c r="BL813" s="302"/>
      <c r="BM813" s="302"/>
      <c r="BN813" s="302"/>
      <c r="BO813" s="302"/>
      <c r="BP813" s="302"/>
      <c r="BQ813" s="302"/>
      <c r="BR813" s="302"/>
      <c r="BS813" s="302"/>
      <c r="BT813" s="302"/>
      <c r="BU813" s="302"/>
      <c r="BV813" s="302"/>
      <c r="BW813" s="302"/>
      <c r="BX813" s="302"/>
      <c r="BY813" s="302"/>
      <c r="BZ813" s="302"/>
      <c r="CA813" s="302"/>
      <c r="CB813" s="28"/>
      <c r="CC813" s="28"/>
      <c r="CD813" s="28"/>
      <c r="CE813" s="28"/>
      <c r="CF813" s="28"/>
      <c r="CG813" s="28"/>
      <c r="CH813" s="28"/>
      <c r="CI813" s="28"/>
      <c r="CJ813" s="28"/>
      <c r="CK813" s="28"/>
      <c r="CL813" s="28"/>
      <c r="CM813" s="28"/>
      <c r="CN813" s="28"/>
      <c r="CO813" s="28"/>
      <c r="CP813" s="28"/>
      <c r="CQ813" s="28"/>
      <c r="CR813" s="28"/>
      <c r="CS813" s="28"/>
      <c r="CT813" s="28"/>
      <c r="CU813" s="28"/>
      <c r="CV813" s="28"/>
      <c r="CW813" s="28"/>
    </row>
    <row r="814" spans="1:101" ht="14.25" customHeight="1" x14ac:dyDescent="0.2">
      <c r="A814" s="286"/>
      <c r="B814" s="52">
        <v>0.16581314204333564</v>
      </c>
      <c r="C814" s="288">
        <v>0.18425193345259205</v>
      </c>
      <c r="D814" s="288">
        <v>2.0600013796206462E-2</v>
      </c>
      <c r="E814" s="288">
        <v>1.1965629377102199E-2</v>
      </c>
      <c r="F814" s="289">
        <v>0.79566303623169965</v>
      </c>
      <c r="G814" s="92">
        <v>0.44887829624121978</v>
      </c>
      <c r="H814" s="288">
        <v>0.98650920336439096</v>
      </c>
      <c r="I814" s="288">
        <v>1.5502453128839978E-2</v>
      </c>
      <c r="J814" s="288">
        <v>7.4589343510598891E-6</v>
      </c>
      <c r="K814" s="288">
        <v>0.72280178875039347</v>
      </c>
      <c r="L814" s="290">
        <v>15970.057387184532</v>
      </c>
      <c r="M814" s="288">
        <v>0</v>
      </c>
      <c r="N814" s="288">
        <v>14096.193436066063</v>
      </c>
      <c r="O814" s="288">
        <v>1263.7987493122912</v>
      </c>
      <c r="P814" s="288">
        <v>37508.190394679819</v>
      </c>
      <c r="Q814" s="291">
        <v>114594.18308668927</v>
      </c>
      <c r="R814" s="288">
        <v>24688.457536201618</v>
      </c>
      <c r="S814" s="288">
        <v>6154.6165089762344</v>
      </c>
      <c r="T814" s="290">
        <v>0.751</v>
      </c>
      <c r="U814" s="288">
        <v>0.75800000000000001</v>
      </c>
      <c r="V814" s="288">
        <v>0.723923076923077</v>
      </c>
      <c r="W814" s="288">
        <v>0.72750000000000004</v>
      </c>
      <c r="X814" s="288">
        <v>0.76</v>
      </c>
      <c r="Y814" s="288">
        <v>0</v>
      </c>
      <c r="Z814" s="289">
        <v>0</v>
      </c>
      <c r="AA814" s="229"/>
      <c r="AB814" s="293">
        <v>65818.914613064</v>
      </c>
      <c r="AC814" s="294">
        <v>3.2152276984391586</v>
      </c>
      <c r="AD814" s="295">
        <v>56518.594267479588</v>
      </c>
      <c r="AE814" s="294">
        <v>2.883664776306516</v>
      </c>
      <c r="AF814" s="295">
        <v>9300.3203455844123</v>
      </c>
      <c r="AG814" s="296">
        <v>0.3315629221326426</v>
      </c>
      <c r="AH814" s="229"/>
      <c r="AI814" s="205">
        <f t="shared" si="90"/>
        <v>255703.85523085188</v>
      </c>
      <c r="AJ814" s="205">
        <f t="shared" si="91"/>
        <v>231847.88336317203</v>
      </c>
      <c r="AK814" s="205">
        <f t="shared" si="92"/>
        <v>23855.971867679851</v>
      </c>
      <c r="AL814" s="229"/>
      <c r="AM814" s="52">
        <f t="shared" si="86"/>
        <v>1</v>
      </c>
      <c r="AN814" s="52">
        <f t="shared" si="87"/>
        <v>0</v>
      </c>
      <c r="AO814" s="52">
        <f t="shared" si="88"/>
        <v>1</v>
      </c>
      <c r="AP814" s="229"/>
      <c r="AQ814" s="28"/>
      <c r="AR814" s="28"/>
      <c r="AS814" s="28"/>
      <c r="AT814" s="28"/>
      <c r="AU814" s="229"/>
      <c r="AV814" s="318">
        <f t="shared" si="93"/>
        <v>255703.85523085188</v>
      </c>
      <c r="AW814" s="229"/>
      <c r="AX814" s="313"/>
      <c r="AY814" s="302"/>
      <c r="AZ814" s="14">
        <f t="shared" si="95"/>
        <v>9300.3203455844123</v>
      </c>
      <c r="BA814" s="14">
        <f t="shared" si="94"/>
        <v>0.3315629221326426</v>
      </c>
      <c r="BB814" s="14">
        <f t="shared" si="89"/>
        <v>28049.94082499911</v>
      </c>
      <c r="BC814" s="302"/>
      <c r="BD814" s="302"/>
      <c r="BE814" s="302"/>
      <c r="BF814" s="302"/>
      <c r="BG814" s="302"/>
      <c r="BH814" s="302"/>
      <c r="BI814" s="302"/>
      <c r="BJ814" s="302"/>
      <c r="BK814" s="302"/>
      <c r="BL814" s="302"/>
      <c r="BM814" s="302"/>
      <c r="BN814" s="302"/>
      <c r="BO814" s="302"/>
      <c r="BP814" s="302"/>
      <c r="BQ814" s="302"/>
      <c r="BR814" s="302"/>
      <c r="BS814" s="302"/>
      <c r="BT814" s="302"/>
      <c r="BU814" s="302"/>
      <c r="BV814" s="302"/>
      <c r="BW814" s="302"/>
      <c r="BX814" s="302"/>
      <c r="BY814" s="302"/>
      <c r="BZ814" s="302"/>
      <c r="CA814" s="302"/>
      <c r="CB814" s="28"/>
      <c r="CC814" s="28"/>
      <c r="CD814" s="28"/>
      <c r="CE814" s="28"/>
      <c r="CF814" s="28"/>
      <c r="CG814" s="28"/>
      <c r="CH814" s="28"/>
      <c r="CI814" s="28"/>
      <c r="CJ814" s="28"/>
      <c r="CK814" s="28"/>
      <c r="CL814" s="28"/>
      <c r="CM814" s="28"/>
      <c r="CN814" s="28"/>
      <c r="CO814" s="28"/>
      <c r="CP814" s="28"/>
      <c r="CQ814" s="28"/>
      <c r="CR814" s="28"/>
      <c r="CS814" s="28"/>
      <c r="CT814" s="28"/>
      <c r="CU814" s="28"/>
      <c r="CV814" s="28"/>
      <c r="CW814" s="28"/>
    </row>
    <row r="815" spans="1:101" ht="14.25" customHeight="1" x14ac:dyDescent="0.2">
      <c r="A815" s="286"/>
      <c r="B815" s="52">
        <v>0.15748021719313354</v>
      </c>
      <c r="C815" s="288">
        <v>5.0649467009676763E-2</v>
      </c>
      <c r="D815" s="288">
        <v>1.0399515986207643E-2</v>
      </c>
      <c r="E815" s="288">
        <v>2.3476279918343224E-2</v>
      </c>
      <c r="F815" s="289">
        <v>0.77731109439477397</v>
      </c>
      <c r="G815" s="92">
        <v>0.43408326668706165</v>
      </c>
      <c r="H815" s="288">
        <v>0.46826336091598547</v>
      </c>
      <c r="I815" s="288">
        <v>1.1093862762798327E-2</v>
      </c>
      <c r="J815" s="288">
        <v>0.98860819128376931</v>
      </c>
      <c r="K815" s="288">
        <v>0.76594328427964886</v>
      </c>
      <c r="L815" s="290">
        <v>9765.8703593729297</v>
      </c>
      <c r="M815" s="288">
        <v>0</v>
      </c>
      <c r="N815" s="288">
        <v>14273.675010901008</v>
      </c>
      <c r="O815" s="288">
        <v>1190.1807507199028</v>
      </c>
      <c r="P815" s="288">
        <v>33177.962251807454</v>
      </c>
      <c r="Q815" s="291">
        <v>109652.13002062026</v>
      </c>
      <c r="R815" s="288">
        <v>29881.980905931247</v>
      </c>
      <c r="S815" s="288">
        <v>12552.872381289058</v>
      </c>
      <c r="T815" s="290">
        <v>0.751</v>
      </c>
      <c r="U815" s="288">
        <v>0.75800000000000001</v>
      </c>
      <c r="V815" s="288">
        <v>0.723923076923077</v>
      </c>
      <c r="W815" s="288">
        <v>0.72750000000000004</v>
      </c>
      <c r="X815" s="288">
        <v>0.76</v>
      </c>
      <c r="Y815" s="288">
        <v>0</v>
      </c>
      <c r="Z815" s="289">
        <v>0</v>
      </c>
      <c r="AA815" s="229"/>
      <c r="AB815" s="293">
        <v>106994.47471702642</v>
      </c>
      <c r="AC815" s="294">
        <v>3.1298811190190814</v>
      </c>
      <c r="AD815" s="295">
        <v>103158.75864939806</v>
      </c>
      <c r="AE815" s="294">
        <v>3.0818233346243331</v>
      </c>
      <c r="AF815" s="295">
        <v>3835.7160676283529</v>
      </c>
      <c r="AG815" s="296">
        <v>4.8057784394748282E-2</v>
      </c>
      <c r="AH815" s="229"/>
      <c r="AI815" s="205">
        <f t="shared" si="90"/>
        <v>205993.63718488172</v>
      </c>
      <c r="AJ815" s="205">
        <f t="shared" si="91"/>
        <v>205023.57481303526</v>
      </c>
      <c r="AK815" s="205">
        <f t="shared" si="92"/>
        <v>970.06237184647489</v>
      </c>
      <c r="AL815" s="229"/>
      <c r="AM815" s="52">
        <f t="shared" si="86"/>
        <v>1</v>
      </c>
      <c r="AN815" s="52">
        <f t="shared" si="87"/>
        <v>0</v>
      </c>
      <c r="AO815" s="52">
        <f t="shared" si="88"/>
        <v>1</v>
      </c>
      <c r="AP815" s="229"/>
      <c r="AQ815" s="28"/>
      <c r="AR815" s="28"/>
      <c r="AS815" s="28"/>
      <c r="AT815" s="28"/>
      <c r="AU815" s="229"/>
      <c r="AV815" s="318">
        <f t="shared" si="93"/>
        <v>205993.63718488172</v>
      </c>
      <c r="AW815" s="229"/>
      <c r="AX815" s="313"/>
      <c r="AY815" s="302"/>
      <c r="AZ815" s="14">
        <f t="shared" si="95"/>
        <v>3835.7160676283529</v>
      </c>
      <c r="BA815" s="14">
        <f t="shared" si="94"/>
        <v>4.8057784394748282E-2</v>
      </c>
      <c r="BB815" s="14">
        <f t="shared" si="89"/>
        <v>79814.667195675313</v>
      </c>
      <c r="BC815" s="302"/>
      <c r="BD815" s="302"/>
      <c r="BE815" s="302"/>
      <c r="BF815" s="302"/>
      <c r="BG815" s="302"/>
      <c r="BH815" s="302"/>
      <c r="BI815" s="302"/>
      <c r="BJ815" s="302"/>
      <c r="BK815" s="302"/>
      <c r="BL815" s="302"/>
      <c r="BM815" s="302"/>
      <c r="BN815" s="302"/>
      <c r="BO815" s="302"/>
      <c r="BP815" s="302"/>
      <c r="BQ815" s="302"/>
      <c r="BR815" s="302"/>
      <c r="BS815" s="302"/>
      <c r="BT815" s="302"/>
      <c r="BU815" s="302"/>
      <c r="BV815" s="302"/>
      <c r="BW815" s="302"/>
      <c r="BX815" s="302"/>
      <c r="BY815" s="302"/>
      <c r="BZ815" s="302"/>
      <c r="CA815" s="302"/>
      <c r="CB815" s="28"/>
      <c r="CC815" s="28"/>
      <c r="CD815" s="28"/>
      <c r="CE815" s="28"/>
      <c r="CF815" s="28"/>
      <c r="CG815" s="28"/>
      <c r="CH815" s="28"/>
      <c r="CI815" s="28"/>
      <c r="CJ815" s="28"/>
      <c r="CK815" s="28"/>
      <c r="CL815" s="28"/>
      <c r="CM815" s="28"/>
      <c r="CN815" s="28"/>
      <c r="CO815" s="28"/>
      <c r="CP815" s="28"/>
      <c r="CQ815" s="28"/>
      <c r="CR815" s="28"/>
      <c r="CS815" s="28"/>
      <c r="CT815" s="28"/>
      <c r="CU815" s="28"/>
      <c r="CV815" s="28"/>
      <c r="CW815" s="28"/>
    </row>
    <row r="816" spans="1:101" ht="14.25" customHeight="1" x14ac:dyDescent="0.2">
      <c r="A816" s="286"/>
      <c r="B816" s="52">
        <v>0.14028928631329815</v>
      </c>
      <c r="C816" s="288">
        <v>0.67078928676102167</v>
      </c>
      <c r="D816" s="288">
        <v>1.9997957708046799E-2</v>
      </c>
      <c r="E816" s="288">
        <v>1.2032386466973752E-2</v>
      </c>
      <c r="F816" s="289">
        <v>0.73054063064630503</v>
      </c>
      <c r="G816" s="92">
        <v>0.42184305974420833</v>
      </c>
      <c r="H816" s="288">
        <v>2.7207639301141021E-2</v>
      </c>
      <c r="I816" s="288">
        <v>3.4265987334890946E-2</v>
      </c>
      <c r="J816" s="288">
        <v>7.0551111462084315E-2</v>
      </c>
      <c r="K816" s="288">
        <v>0.75104200106424412</v>
      </c>
      <c r="L816" s="290">
        <v>10255.159176452325</v>
      </c>
      <c r="M816" s="288">
        <v>0</v>
      </c>
      <c r="N816" s="288">
        <v>14070.765425359126</v>
      </c>
      <c r="O816" s="288">
        <v>1313.5689461112024</v>
      </c>
      <c r="P816" s="288">
        <v>43090.116551718304</v>
      </c>
      <c r="Q816" s="291">
        <v>92477.114149875983</v>
      </c>
      <c r="R816" s="288">
        <v>20509.322930462215</v>
      </c>
      <c r="S816" s="288">
        <v>9797.4353617133238</v>
      </c>
      <c r="T816" s="290">
        <v>0.751</v>
      </c>
      <c r="U816" s="288">
        <v>0.75800000000000001</v>
      </c>
      <c r="V816" s="288">
        <v>0.723923076923077</v>
      </c>
      <c r="W816" s="288">
        <v>0.72750000000000004</v>
      </c>
      <c r="X816" s="288">
        <v>0.76</v>
      </c>
      <c r="Y816" s="288">
        <v>0</v>
      </c>
      <c r="Z816" s="289">
        <v>0</v>
      </c>
      <c r="AA816" s="229"/>
      <c r="AB816" s="293">
        <v>83505.696656187691</v>
      </c>
      <c r="AC816" s="294">
        <v>2.9147615228352071</v>
      </c>
      <c r="AD816" s="295">
        <v>75748.818918134028</v>
      </c>
      <c r="AE816" s="294">
        <v>3.0130467458360952</v>
      </c>
      <c r="AF816" s="295">
        <v>7756.8777380536631</v>
      </c>
      <c r="AG816" s="296">
        <v>-9.8285223000888156E-2</v>
      </c>
      <c r="AH816" s="229"/>
      <c r="AI816" s="205">
        <f t="shared" si="90"/>
        <v>207970.45562733302</v>
      </c>
      <c r="AJ816" s="205">
        <f t="shared" si="91"/>
        <v>225555.85566547548</v>
      </c>
      <c r="AK816" s="205">
        <f t="shared" si="92"/>
        <v>-17585.400038142478</v>
      </c>
      <c r="AL816" s="229"/>
      <c r="AM816" s="52">
        <f t="shared" si="86"/>
        <v>0</v>
      </c>
      <c r="AN816" s="52">
        <f t="shared" si="87"/>
        <v>1</v>
      </c>
      <c r="AO816" s="52">
        <f t="shared" si="88"/>
        <v>0</v>
      </c>
      <c r="AP816" s="229"/>
      <c r="AQ816" s="28"/>
      <c r="AR816" s="28"/>
      <c r="AS816" s="28"/>
      <c r="AT816" s="28"/>
      <c r="AU816" s="229"/>
      <c r="AV816" s="318">
        <f t="shared" si="93"/>
        <v>225555.85566547548</v>
      </c>
      <c r="AW816" s="229"/>
      <c r="AX816" s="313"/>
      <c r="AY816" s="302"/>
      <c r="AZ816" s="14">
        <f t="shared" si="95"/>
        <v>7756.8777380536631</v>
      </c>
      <c r="BA816" s="14">
        <f t="shared" si="94"/>
        <v>-9.8285223000888156E-2</v>
      </c>
      <c r="BB816" s="14">
        <f t="shared" si="89"/>
        <v>-78922.115667210397</v>
      </c>
      <c r="BC816" s="302"/>
      <c r="BD816" s="302"/>
      <c r="BE816" s="302"/>
      <c r="BF816" s="302"/>
      <c r="BG816" s="302"/>
      <c r="BH816" s="302"/>
      <c r="BI816" s="302"/>
      <c r="BJ816" s="302"/>
      <c r="BK816" s="302"/>
      <c r="BL816" s="302"/>
      <c r="BM816" s="302"/>
      <c r="BN816" s="302"/>
      <c r="BO816" s="302"/>
      <c r="BP816" s="302"/>
      <c r="BQ816" s="302"/>
      <c r="BR816" s="302"/>
      <c r="BS816" s="302"/>
      <c r="BT816" s="302"/>
      <c r="BU816" s="302"/>
      <c r="BV816" s="302"/>
      <c r="BW816" s="302"/>
      <c r="BX816" s="302"/>
      <c r="BY816" s="302"/>
      <c r="BZ816" s="302"/>
      <c r="CA816" s="302"/>
      <c r="CB816" s="28"/>
      <c r="CC816" s="28"/>
      <c r="CD816" s="28"/>
      <c r="CE816" s="28"/>
      <c r="CF816" s="28"/>
      <c r="CG816" s="28"/>
      <c r="CH816" s="28"/>
      <c r="CI816" s="28"/>
      <c r="CJ816" s="28"/>
      <c r="CK816" s="28"/>
      <c r="CL816" s="28"/>
      <c r="CM816" s="28"/>
      <c r="CN816" s="28"/>
      <c r="CO816" s="28"/>
      <c r="CP816" s="28"/>
      <c r="CQ816" s="28"/>
      <c r="CR816" s="28"/>
      <c r="CS816" s="28"/>
      <c r="CT816" s="28"/>
      <c r="CU816" s="28"/>
      <c r="CV816" s="28"/>
      <c r="CW816" s="28"/>
    </row>
    <row r="817" spans="1:101" ht="14.25" customHeight="1" x14ac:dyDescent="0.2">
      <c r="A817" s="286"/>
      <c r="B817" s="52">
        <v>0.17686375794647569</v>
      </c>
      <c r="C817" s="288">
        <v>0.37866443505015546</v>
      </c>
      <c r="D817" s="288">
        <v>1.0142838793539303E-2</v>
      </c>
      <c r="E817" s="288">
        <v>2.2858094964250841E-2</v>
      </c>
      <c r="F817" s="289">
        <v>0.82140632915871259</v>
      </c>
      <c r="G817" s="92">
        <v>0.31999126834495217</v>
      </c>
      <c r="H817" s="288">
        <v>0.1831436897613187</v>
      </c>
      <c r="I817" s="288">
        <v>5.7270482801343614E-2</v>
      </c>
      <c r="J817" s="288">
        <v>5.0077268255646332E-2</v>
      </c>
      <c r="K817" s="288">
        <v>0.76759688427465489</v>
      </c>
      <c r="L817" s="290">
        <v>9891.9199449391745</v>
      </c>
      <c r="M817" s="288">
        <v>0</v>
      </c>
      <c r="N817" s="288">
        <v>9864.34271407081</v>
      </c>
      <c r="O817" s="288">
        <v>745.74652365166412</v>
      </c>
      <c r="P817" s="288">
        <v>47115.350314739349</v>
      </c>
      <c r="Q817" s="291">
        <v>94512.488087155813</v>
      </c>
      <c r="R817" s="288">
        <v>27908.108217236371</v>
      </c>
      <c r="S817" s="288">
        <v>9654.2909908007168</v>
      </c>
      <c r="T817" s="290">
        <v>0.751</v>
      </c>
      <c r="U817" s="288">
        <v>0.75800000000000001</v>
      </c>
      <c r="V817" s="288">
        <v>0.723923076923077</v>
      </c>
      <c r="W817" s="288">
        <v>0.72750000000000004</v>
      </c>
      <c r="X817" s="288">
        <v>0.76</v>
      </c>
      <c r="Y817" s="288">
        <v>0</v>
      </c>
      <c r="Z817" s="289">
        <v>0</v>
      </c>
      <c r="AA817" s="229"/>
      <c r="AB817" s="293">
        <v>90590.833483607435</v>
      </c>
      <c r="AC817" s="294">
        <v>3.3358383545955688</v>
      </c>
      <c r="AD817" s="295">
        <v>77653.666501905522</v>
      </c>
      <c r="AE817" s="294">
        <v>3.0894770689415205</v>
      </c>
      <c r="AF817" s="295">
        <v>12937.166981701914</v>
      </c>
      <c r="AG817" s="296">
        <v>0.24636128565404825</v>
      </c>
      <c r="AH817" s="229"/>
      <c r="AI817" s="205">
        <f t="shared" si="90"/>
        <v>242993.00197594945</v>
      </c>
      <c r="AJ817" s="205">
        <f t="shared" si="91"/>
        <v>231294.0403922465</v>
      </c>
      <c r="AK817" s="205">
        <f t="shared" si="92"/>
        <v>11698.961583702912</v>
      </c>
      <c r="AL817" s="229"/>
      <c r="AM817" s="52">
        <f t="shared" si="86"/>
        <v>1</v>
      </c>
      <c r="AN817" s="52">
        <f t="shared" si="87"/>
        <v>0</v>
      </c>
      <c r="AO817" s="52">
        <f t="shared" si="88"/>
        <v>1</v>
      </c>
      <c r="AP817" s="229"/>
      <c r="AQ817" s="28"/>
      <c r="AR817" s="28"/>
      <c r="AS817" s="28"/>
      <c r="AT817" s="28"/>
      <c r="AU817" s="229"/>
      <c r="AV817" s="318">
        <f t="shared" si="93"/>
        <v>242993.00197594945</v>
      </c>
      <c r="AW817" s="229"/>
      <c r="AX817" s="313"/>
      <c r="AY817" s="302"/>
      <c r="AZ817" s="14">
        <f t="shared" si="95"/>
        <v>12937.166981701914</v>
      </c>
      <c r="BA817" s="14">
        <f t="shared" si="94"/>
        <v>0.24636128565404825</v>
      </c>
      <c r="BB817" s="14">
        <f t="shared" si="89"/>
        <v>52512.986962849645</v>
      </c>
      <c r="BC817" s="302"/>
      <c r="BD817" s="302"/>
      <c r="BE817" s="302"/>
      <c r="BF817" s="302"/>
      <c r="BG817" s="302"/>
      <c r="BH817" s="302"/>
      <c r="BI817" s="302"/>
      <c r="BJ817" s="302"/>
      <c r="BK817" s="302"/>
      <c r="BL817" s="302"/>
      <c r="BM817" s="302"/>
      <c r="BN817" s="302"/>
      <c r="BO817" s="302"/>
      <c r="BP817" s="302"/>
      <c r="BQ817" s="302"/>
      <c r="BR817" s="302"/>
      <c r="BS817" s="302"/>
      <c r="BT817" s="302"/>
      <c r="BU817" s="302"/>
      <c r="BV817" s="302"/>
      <c r="BW817" s="302"/>
      <c r="BX817" s="302"/>
      <c r="BY817" s="302"/>
      <c r="BZ817" s="302"/>
      <c r="CA817" s="302"/>
      <c r="CB817" s="28"/>
      <c r="CC817" s="28"/>
      <c r="CD817" s="28"/>
      <c r="CE817" s="28"/>
      <c r="CF817" s="28"/>
      <c r="CG817" s="28"/>
      <c r="CH817" s="28"/>
      <c r="CI817" s="28"/>
      <c r="CJ817" s="28"/>
      <c r="CK817" s="28"/>
      <c r="CL817" s="28"/>
      <c r="CM817" s="28"/>
      <c r="CN817" s="28"/>
      <c r="CO817" s="28"/>
      <c r="CP817" s="28"/>
      <c r="CQ817" s="28"/>
      <c r="CR817" s="28"/>
      <c r="CS817" s="28"/>
      <c r="CT817" s="28"/>
      <c r="CU817" s="28"/>
      <c r="CV817" s="28"/>
      <c r="CW817" s="28"/>
    </row>
    <row r="818" spans="1:101" ht="14.25" customHeight="1" x14ac:dyDescent="0.2">
      <c r="A818" s="286"/>
      <c r="B818" s="52">
        <v>0.14290428797309832</v>
      </c>
      <c r="C818" s="288">
        <v>0.50536391869891162</v>
      </c>
      <c r="D818" s="288">
        <v>1.5181073909432685E-2</v>
      </c>
      <c r="E818" s="288">
        <v>1.0356038736385546E-2</v>
      </c>
      <c r="F818" s="289">
        <v>0.78814179757175373</v>
      </c>
      <c r="G818" s="92">
        <v>0.45345311595069526</v>
      </c>
      <c r="H818" s="288">
        <v>0.99356315790121186</v>
      </c>
      <c r="I818" s="288">
        <v>1.6787852906452905E-2</v>
      </c>
      <c r="J818" s="288">
        <v>0.99999999954297047</v>
      </c>
      <c r="K818" s="288">
        <v>0.75387786521235345</v>
      </c>
      <c r="L818" s="290">
        <v>17953.509668754701</v>
      </c>
      <c r="M818" s="288">
        <v>0</v>
      </c>
      <c r="N818" s="288">
        <v>23095.237585092545</v>
      </c>
      <c r="O818" s="288">
        <v>1409.2149498073718</v>
      </c>
      <c r="P818" s="288">
        <v>54222.049295159282</v>
      </c>
      <c r="Q818" s="291">
        <v>126863.17527389558</v>
      </c>
      <c r="R818" s="288">
        <v>30220.739011210128</v>
      </c>
      <c r="S818" s="288">
        <v>9623.9841079897724</v>
      </c>
      <c r="T818" s="290">
        <v>0.751</v>
      </c>
      <c r="U818" s="288">
        <v>0.75800000000000001</v>
      </c>
      <c r="V818" s="288">
        <v>0.723923076923077</v>
      </c>
      <c r="W818" s="288">
        <v>0.72750000000000004</v>
      </c>
      <c r="X818" s="288">
        <v>0.76</v>
      </c>
      <c r="Y818" s="288">
        <v>0</v>
      </c>
      <c r="Z818" s="289">
        <v>0</v>
      </c>
      <c r="AA818" s="229"/>
      <c r="AB818" s="293">
        <v>95723.825262306666</v>
      </c>
      <c r="AC818" s="294">
        <v>3.1801859346516403</v>
      </c>
      <c r="AD818" s="295">
        <v>88043.138631969385</v>
      </c>
      <c r="AE818" s="294">
        <v>3.0261086563862953</v>
      </c>
      <c r="AF818" s="295">
        <v>7680.6866303372808</v>
      </c>
      <c r="AG818" s="296">
        <v>0.15407727826534501</v>
      </c>
      <c r="AH818" s="229"/>
      <c r="AI818" s="205">
        <f t="shared" si="90"/>
        <v>222294.76820285735</v>
      </c>
      <c r="AJ818" s="205">
        <f t="shared" si="91"/>
        <v>214567.72700666013</v>
      </c>
      <c r="AK818" s="205">
        <f t="shared" si="92"/>
        <v>7727.0411961972204</v>
      </c>
      <c r="AL818" s="229"/>
      <c r="AM818" s="52">
        <f t="shared" si="86"/>
        <v>1</v>
      </c>
      <c r="AN818" s="52">
        <f t="shared" si="87"/>
        <v>0</v>
      </c>
      <c r="AO818" s="52">
        <f t="shared" si="88"/>
        <v>1</v>
      </c>
      <c r="AP818" s="229"/>
      <c r="AQ818" s="28"/>
      <c r="AR818" s="28"/>
      <c r="AS818" s="28"/>
      <c r="AT818" s="28"/>
      <c r="AU818" s="229"/>
      <c r="AV818" s="318">
        <f t="shared" si="93"/>
        <v>222294.76820285735</v>
      </c>
      <c r="AW818" s="229"/>
      <c r="AX818" s="313"/>
      <c r="AY818" s="302"/>
      <c r="AZ818" s="14">
        <f t="shared" si="95"/>
        <v>7680.6866303372808</v>
      </c>
      <c r="BA818" s="14">
        <f t="shared" si="94"/>
        <v>0.15407727826534501</v>
      </c>
      <c r="BB818" s="14">
        <f t="shared" si="89"/>
        <v>49849.573647776575</v>
      </c>
      <c r="BC818" s="302"/>
      <c r="BD818" s="302"/>
      <c r="BE818" s="302"/>
      <c r="BF818" s="302"/>
      <c r="BG818" s="302"/>
      <c r="BH818" s="302"/>
      <c r="BI818" s="302"/>
      <c r="BJ818" s="302"/>
      <c r="BK818" s="302"/>
      <c r="BL818" s="302"/>
      <c r="BM818" s="302"/>
      <c r="BN818" s="302"/>
      <c r="BO818" s="302"/>
      <c r="BP818" s="302"/>
      <c r="BQ818" s="302"/>
      <c r="BR818" s="302"/>
      <c r="BS818" s="302"/>
      <c r="BT818" s="302"/>
      <c r="BU818" s="302"/>
      <c r="BV818" s="302"/>
      <c r="BW818" s="302"/>
      <c r="BX818" s="302"/>
      <c r="BY818" s="302"/>
      <c r="BZ818" s="302"/>
      <c r="CA818" s="302"/>
      <c r="CB818" s="28"/>
      <c r="CC818" s="28"/>
      <c r="CD818" s="28"/>
      <c r="CE818" s="28"/>
      <c r="CF818" s="28"/>
      <c r="CG818" s="28"/>
      <c r="CH818" s="28"/>
      <c r="CI818" s="28"/>
      <c r="CJ818" s="28"/>
      <c r="CK818" s="28"/>
      <c r="CL818" s="28"/>
      <c r="CM818" s="28"/>
      <c r="CN818" s="28"/>
      <c r="CO818" s="28"/>
      <c r="CP818" s="28"/>
      <c r="CQ818" s="28"/>
      <c r="CR818" s="28"/>
      <c r="CS818" s="28"/>
      <c r="CT818" s="28"/>
      <c r="CU818" s="28"/>
      <c r="CV818" s="28"/>
      <c r="CW818" s="28"/>
    </row>
    <row r="819" spans="1:101" ht="14.25" customHeight="1" x14ac:dyDescent="0.2">
      <c r="A819" s="286"/>
      <c r="B819" s="52">
        <v>0.15794944191053478</v>
      </c>
      <c r="C819" s="288">
        <v>0.86158592096492215</v>
      </c>
      <c r="D819" s="288">
        <v>1.208277278941277E-2</v>
      </c>
      <c r="E819" s="288">
        <v>1.1579292572939258E-2</v>
      </c>
      <c r="F819" s="289">
        <v>0.76139005924622083</v>
      </c>
      <c r="G819" s="92">
        <v>0.38528790570769955</v>
      </c>
      <c r="H819" s="288">
        <v>0.5424184349896779</v>
      </c>
      <c r="I819" s="288">
        <v>3.0173213544991584E-2</v>
      </c>
      <c r="J819" s="288">
        <v>0.99999767619494495</v>
      </c>
      <c r="K819" s="288">
        <v>0.7655936086798395</v>
      </c>
      <c r="L819" s="290">
        <v>13749.401559945385</v>
      </c>
      <c r="M819" s="288">
        <v>0</v>
      </c>
      <c r="N819" s="288">
        <v>16588.635562864729</v>
      </c>
      <c r="O819" s="288">
        <v>1420.3734575417748</v>
      </c>
      <c r="P819" s="288">
        <v>59645.803487856807</v>
      </c>
      <c r="Q819" s="291">
        <v>57056.843135469317</v>
      </c>
      <c r="R819" s="288">
        <v>26960.661111452773</v>
      </c>
      <c r="S819" s="288">
        <v>11546.257104296703</v>
      </c>
      <c r="T819" s="290">
        <v>0.751</v>
      </c>
      <c r="U819" s="288">
        <v>0.75800000000000001</v>
      </c>
      <c r="V819" s="288">
        <v>0.723923076923077</v>
      </c>
      <c r="W819" s="288">
        <v>0.72750000000000004</v>
      </c>
      <c r="X819" s="288">
        <v>0.76</v>
      </c>
      <c r="Y819" s="288">
        <v>0</v>
      </c>
      <c r="Z819" s="289">
        <v>0</v>
      </c>
      <c r="AA819" s="229"/>
      <c r="AB819" s="293">
        <v>104806.34757633471</v>
      </c>
      <c r="AC819" s="294">
        <v>3.0562675217634285</v>
      </c>
      <c r="AD819" s="295">
        <v>95977.151701990064</v>
      </c>
      <c r="AE819" s="294">
        <v>3.0802054033056394</v>
      </c>
      <c r="AF819" s="295">
        <v>8829.1958743446448</v>
      </c>
      <c r="AG819" s="296">
        <v>-2.3937881542210881E-2</v>
      </c>
      <c r="AH819" s="229"/>
      <c r="AI819" s="205">
        <f t="shared" si="90"/>
        <v>200820.40460000816</v>
      </c>
      <c r="AJ819" s="205">
        <f t="shared" si="91"/>
        <v>212043.38862857391</v>
      </c>
      <c r="AK819" s="205">
        <f t="shared" si="92"/>
        <v>-11222.984028565734</v>
      </c>
      <c r="AL819" s="229"/>
      <c r="AM819" s="52">
        <f t="shared" si="86"/>
        <v>0</v>
      </c>
      <c r="AN819" s="52">
        <f t="shared" si="87"/>
        <v>1</v>
      </c>
      <c r="AO819" s="52">
        <f t="shared" si="88"/>
        <v>0</v>
      </c>
      <c r="AP819" s="229"/>
      <c r="AQ819" s="28"/>
      <c r="AR819" s="28"/>
      <c r="AS819" s="28"/>
      <c r="AT819" s="28"/>
      <c r="AU819" s="229"/>
      <c r="AV819" s="318">
        <f t="shared" si="93"/>
        <v>212043.38862857391</v>
      </c>
      <c r="AW819" s="229"/>
      <c r="AX819" s="313"/>
      <c r="AY819" s="302"/>
      <c r="AZ819" s="14">
        <f t="shared" si="95"/>
        <v>8829.1958743446448</v>
      </c>
      <c r="BA819" s="14">
        <f t="shared" si="94"/>
        <v>-2.3937881542210881E-2</v>
      </c>
      <c r="BB819" s="14">
        <f t="shared" si="89"/>
        <v>-368837.81293577194</v>
      </c>
      <c r="BC819" s="302"/>
      <c r="BD819" s="302"/>
      <c r="BE819" s="302"/>
      <c r="BF819" s="302"/>
      <c r="BG819" s="302"/>
      <c r="BH819" s="302"/>
      <c r="BI819" s="302"/>
      <c r="BJ819" s="302"/>
      <c r="BK819" s="302"/>
      <c r="BL819" s="302"/>
      <c r="BM819" s="302"/>
      <c r="BN819" s="302"/>
      <c r="BO819" s="302"/>
      <c r="BP819" s="302"/>
      <c r="BQ819" s="302"/>
      <c r="BR819" s="302"/>
      <c r="BS819" s="302"/>
      <c r="BT819" s="302"/>
      <c r="BU819" s="302"/>
      <c r="BV819" s="302"/>
      <c r="BW819" s="302"/>
      <c r="BX819" s="302"/>
      <c r="BY819" s="302"/>
      <c r="BZ819" s="302"/>
      <c r="CA819" s="302"/>
      <c r="CB819" s="28"/>
      <c r="CC819" s="28"/>
      <c r="CD819" s="28"/>
      <c r="CE819" s="28"/>
      <c r="CF819" s="28"/>
      <c r="CG819" s="28"/>
      <c r="CH819" s="28"/>
      <c r="CI819" s="28"/>
      <c r="CJ819" s="28"/>
      <c r="CK819" s="28"/>
      <c r="CL819" s="28"/>
      <c r="CM819" s="28"/>
      <c r="CN819" s="28"/>
      <c r="CO819" s="28"/>
      <c r="CP819" s="28"/>
      <c r="CQ819" s="28"/>
      <c r="CR819" s="28"/>
      <c r="CS819" s="28"/>
      <c r="CT819" s="28"/>
      <c r="CU819" s="28"/>
      <c r="CV819" s="28"/>
      <c r="CW819" s="28"/>
    </row>
    <row r="820" spans="1:101" ht="14.25" customHeight="1" x14ac:dyDescent="0.2">
      <c r="A820" s="286"/>
      <c r="B820" s="52">
        <v>0.14826524516156361</v>
      </c>
      <c r="C820" s="288">
        <v>0.47317624645298906</v>
      </c>
      <c r="D820" s="288">
        <v>1.6838155169334623E-2</v>
      </c>
      <c r="E820" s="288">
        <v>9.7218240351802394E-3</v>
      </c>
      <c r="F820" s="289">
        <v>0.79070182060596128</v>
      </c>
      <c r="G820" s="92">
        <v>0.4152305417339095</v>
      </c>
      <c r="H820" s="288">
        <v>0.19279368564876234</v>
      </c>
      <c r="I820" s="288">
        <v>6.4835250503653174E-3</v>
      </c>
      <c r="J820" s="288">
        <v>0.99998951507902012</v>
      </c>
      <c r="K820" s="288">
        <v>0.74263246244664172</v>
      </c>
      <c r="L820" s="290">
        <v>8497.3502933282125</v>
      </c>
      <c r="M820" s="288">
        <v>0</v>
      </c>
      <c r="N820" s="288">
        <v>21698.046781913185</v>
      </c>
      <c r="O820" s="288">
        <v>1241.822985896343</v>
      </c>
      <c r="P820" s="288">
        <v>33718.527468904758</v>
      </c>
      <c r="Q820" s="291">
        <v>64889.884673495246</v>
      </c>
      <c r="R820" s="288">
        <v>19978.978907203211</v>
      </c>
      <c r="S820" s="288">
        <v>9827.8037458164472</v>
      </c>
      <c r="T820" s="290">
        <v>0.751</v>
      </c>
      <c r="U820" s="288">
        <v>0.75800000000000001</v>
      </c>
      <c r="V820" s="288">
        <v>0.723923076923077</v>
      </c>
      <c r="W820" s="288">
        <v>0.72750000000000004</v>
      </c>
      <c r="X820" s="288">
        <v>0.76</v>
      </c>
      <c r="Y820" s="288">
        <v>0</v>
      </c>
      <c r="Z820" s="289">
        <v>0</v>
      </c>
      <c r="AA820" s="229"/>
      <c r="AB820" s="293">
        <v>87195.748620638784</v>
      </c>
      <c r="AC820" s="294">
        <v>3.1921032278376376</v>
      </c>
      <c r="AD820" s="295">
        <v>75230.781495989984</v>
      </c>
      <c r="AE820" s="294">
        <v>2.9743871792714618</v>
      </c>
      <c r="AF820" s="295">
        <v>11964.9671246488</v>
      </c>
      <c r="AG820" s="296">
        <v>0.21771604856617577</v>
      </c>
      <c r="AH820" s="229"/>
      <c r="AI820" s="205">
        <f t="shared" si="90"/>
        <v>232014.57416312495</v>
      </c>
      <c r="AJ820" s="205">
        <f t="shared" si="91"/>
        <v>222207.93643115618</v>
      </c>
      <c r="AK820" s="205">
        <f t="shared" si="92"/>
        <v>9806.6377319687781</v>
      </c>
      <c r="AL820" s="229"/>
      <c r="AM820" s="52">
        <f t="shared" si="86"/>
        <v>1</v>
      </c>
      <c r="AN820" s="52">
        <f t="shared" si="87"/>
        <v>0</v>
      </c>
      <c r="AO820" s="52">
        <f t="shared" si="88"/>
        <v>1</v>
      </c>
      <c r="AP820" s="229"/>
      <c r="AQ820" s="28"/>
      <c r="AR820" s="28"/>
      <c r="AS820" s="28"/>
      <c r="AT820" s="28"/>
      <c r="AU820" s="229"/>
      <c r="AV820" s="318">
        <f t="shared" si="93"/>
        <v>232014.57416312495</v>
      </c>
      <c r="AW820" s="229"/>
      <c r="AX820" s="313"/>
      <c r="AY820" s="302"/>
      <c r="AZ820" s="14">
        <f t="shared" si="95"/>
        <v>11964.9671246488</v>
      </c>
      <c r="BA820" s="14">
        <f t="shared" si="94"/>
        <v>0.21771604856617577</v>
      </c>
      <c r="BB820" s="14">
        <f t="shared" si="89"/>
        <v>54956.753089389247</v>
      </c>
      <c r="BC820" s="302"/>
      <c r="BD820" s="302"/>
      <c r="BE820" s="302"/>
      <c r="BF820" s="302"/>
      <c r="BG820" s="302"/>
      <c r="BH820" s="302"/>
      <c r="BI820" s="302"/>
      <c r="BJ820" s="302"/>
      <c r="BK820" s="302"/>
      <c r="BL820" s="302"/>
      <c r="BM820" s="302"/>
      <c r="BN820" s="302"/>
      <c r="BO820" s="302"/>
      <c r="BP820" s="302"/>
      <c r="BQ820" s="302"/>
      <c r="BR820" s="302"/>
      <c r="BS820" s="302"/>
      <c r="BT820" s="302"/>
      <c r="BU820" s="302"/>
      <c r="BV820" s="302"/>
      <c r="BW820" s="302"/>
      <c r="BX820" s="302"/>
      <c r="BY820" s="302"/>
      <c r="BZ820" s="302"/>
      <c r="CA820" s="302"/>
      <c r="CB820" s="28"/>
      <c r="CC820" s="28"/>
      <c r="CD820" s="28"/>
      <c r="CE820" s="28"/>
      <c r="CF820" s="28"/>
      <c r="CG820" s="28"/>
      <c r="CH820" s="28"/>
      <c r="CI820" s="28"/>
      <c r="CJ820" s="28"/>
      <c r="CK820" s="28"/>
      <c r="CL820" s="28"/>
      <c r="CM820" s="28"/>
      <c r="CN820" s="28"/>
      <c r="CO820" s="28"/>
      <c r="CP820" s="28"/>
      <c r="CQ820" s="28"/>
      <c r="CR820" s="28"/>
      <c r="CS820" s="28"/>
      <c r="CT820" s="28"/>
      <c r="CU820" s="28"/>
      <c r="CV820" s="28"/>
      <c r="CW820" s="28"/>
    </row>
    <row r="821" spans="1:101" ht="14.25" customHeight="1" x14ac:dyDescent="0.2">
      <c r="A821" s="286"/>
      <c r="B821" s="52">
        <v>0.16473267378128476</v>
      </c>
      <c r="C821" s="288">
        <v>5.6208222770605422E-2</v>
      </c>
      <c r="D821" s="288">
        <v>5.600320601557747E-3</v>
      </c>
      <c r="E821" s="288">
        <v>2.0292366067791057E-2</v>
      </c>
      <c r="F821" s="289">
        <v>0.77775539032651797</v>
      </c>
      <c r="G821" s="92">
        <v>0.33736680690760779</v>
      </c>
      <c r="H821" s="288">
        <v>0.72941677582363806</v>
      </c>
      <c r="I821" s="288">
        <v>1.4565596877033698E-2</v>
      </c>
      <c r="J821" s="288">
        <v>0.99999992300322704</v>
      </c>
      <c r="K821" s="288">
        <v>0.74607587840401701</v>
      </c>
      <c r="L821" s="290">
        <v>10812.584269636589</v>
      </c>
      <c r="M821" s="288">
        <v>0</v>
      </c>
      <c r="N821" s="288">
        <v>18351.246958810862</v>
      </c>
      <c r="O821" s="288">
        <v>1006.7395869421102</v>
      </c>
      <c r="P821" s="288">
        <v>52042.845862659386</v>
      </c>
      <c r="Q821" s="291">
        <v>87855.990558113946</v>
      </c>
      <c r="R821" s="288">
        <v>25834.699246482916</v>
      </c>
      <c r="S821" s="288">
        <v>7633.6321804024428</v>
      </c>
      <c r="T821" s="290">
        <v>0.751</v>
      </c>
      <c r="U821" s="288">
        <v>0.75800000000000001</v>
      </c>
      <c r="V821" s="288">
        <v>0.723923076923077</v>
      </c>
      <c r="W821" s="288">
        <v>0.72750000000000004</v>
      </c>
      <c r="X821" s="288">
        <v>0.76</v>
      </c>
      <c r="Y821" s="288">
        <v>0</v>
      </c>
      <c r="Z821" s="289">
        <v>0</v>
      </c>
      <c r="AA821" s="229"/>
      <c r="AB821" s="293">
        <v>70090.855280210526</v>
      </c>
      <c r="AC821" s="294">
        <v>3.1319410986829945</v>
      </c>
      <c r="AD821" s="295">
        <v>64179.866042081267</v>
      </c>
      <c r="AE821" s="294">
        <v>2.9902034608550436</v>
      </c>
      <c r="AF821" s="295">
        <v>5910.9892381292593</v>
      </c>
      <c r="AG821" s="296">
        <v>0.1417376378279509</v>
      </c>
      <c r="AH821" s="229"/>
      <c r="AI821" s="205">
        <f t="shared" si="90"/>
        <v>243103.25458808892</v>
      </c>
      <c r="AJ821" s="205">
        <f t="shared" si="91"/>
        <v>234840.48004342307</v>
      </c>
      <c r="AK821" s="205">
        <f t="shared" si="92"/>
        <v>8262.77454466583</v>
      </c>
      <c r="AL821" s="229"/>
      <c r="AM821" s="52">
        <f t="shared" si="86"/>
        <v>1</v>
      </c>
      <c r="AN821" s="52">
        <f t="shared" si="87"/>
        <v>0</v>
      </c>
      <c r="AO821" s="52">
        <f t="shared" si="88"/>
        <v>1</v>
      </c>
      <c r="AP821" s="229"/>
      <c r="AQ821" s="28"/>
      <c r="AR821" s="28"/>
      <c r="AS821" s="28"/>
      <c r="AT821" s="28"/>
      <c r="AU821" s="229"/>
      <c r="AV821" s="318">
        <f t="shared" si="93"/>
        <v>243103.25458808892</v>
      </c>
      <c r="AW821" s="229"/>
      <c r="AX821" s="313"/>
      <c r="AY821" s="302"/>
      <c r="AZ821" s="14">
        <f t="shared" si="95"/>
        <v>5910.9892381292593</v>
      </c>
      <c r="BA821" s="14">
        <f t="shared" si="94"/>
        <v>0.1417376378279509</v>
      </c>
      <c r="BB821" s="14">
        <f t="shared" si="89"/>
        <v>41703.737473770729</v>
      </c>
      <c r="BC821" s="302"/>
      <c r="BD821" s="302"/>
      <c r="BE821" s="302"/>
      <c r="BF821" s="302"/>
      <c r="BG821" s="302"/>
      <c r="BH821" s="302"/>
      <c r="BI821" s="302"/>
      <c r="BJ821" s="302"/>
      <c r="BK821" s="302"/>
      <c r="BL821" s="302"/>
      <c r="BM821" s="302"/>
      <c r="BN821" s="302"/>
      <c r="BO821" s="302"/>
      <c r="BP821" s="302"/>
      <c r="BQ821" s="302"/>
      <c r="BR821" s="302"/>
      <c r="BS821" s="302"/>
      <c r="BT821" s="302"/>
      <c r="BU821" s="302"/>
      <c r="BV821" s="302"/>
      <c r="BW821" s="302"/>
      <c r="BX821" s="302"/>
      <c r="BY821" s="302"/>
      <c r="BZ821" s="302"/>
      <c r="CA821" s="302"/>
      <c r="CB821" s="28"/>
      <c r="CC821" s="28"/>
      <c r="CD821" s="28"/>
      <c r="CE821" s="28"/>
      <c r="CF821" s="28"/>
      <c r="CG821" s="28"/>
      <c r="CH821" s="28"/>
      <c r="CI821" s="28"/>
      <c r="CJ821" s="28"/>
      <c r="CK821" s="28"/>
      <c r="CL821" s="28"/>
      <c r="CM821" s="28"/>
      <c r="CN821" s="28"/>
      <c r="CO821" s="28"/>
      <c r="CP821" s="28"/>
      <c r="CQ821" s="28"/>
      <c r="CR821" s="28"/>
      <c r="CS821" s="28"/>
      <c r="CT821" s="28"/>
      <c r="CU821" s="28"/>
      <c r="CV821" s="28"/>
      <c r="CW821" s="28"/>
    </row>
    <row r="822" spans="1:101" ht="14.25" customHeight="1" x14ac:dyDescent="0.2">
      <c r="A822" s="286"/>
      <c r="B822" s="52">
        <v>0.12772019579146277</v>
      </c>
      <c r="C822" s="288">
        <v>0.23478577372512632</v>
      </c>
      <c r="D822" s="288">
        <v>1.3268090707820257E-2</v>
      </c>
      <c r="E822" s="288">
        <v>1.6736491646591745E-2</v>
      </c>
      <c r="F822" s="289">
        <v>0.81690295634482202</v>
      </c>
      <c r="G822" s="92">
        <v>0.40405669449255277</v>
      </c>
      <c r="H822" s="288">
        <v>0.74362016663111863</v>
      </c>
      <c r="I822" s="288">
        <v>1.5426330411978958E-2</v>
      </c>
      <c r="J822" s="288">
        <v>0.99999999466852152</v>
      </c>
      <c r="K822" s="288">
        <v>0.72879999702453624</v>
      </c>
      <c r="L822" s="290">
        <v>13979.870764379322</v>
      </c>
      <c r="M822" s="288">
        <v>0</v>
      </c>
      <c r="N822" s="288">
        <v>15856.6792942784</v>
      </c>
      <c r="O822" s="288">
        <v>965.59241630588235</v>
      </c>
      <c r="P822" s="288">
        <v>35133.747860887139</v>
      </c>
      <c r="Q822" s="291">
        <v>98270.816301853818</v>
      </c>
      <c r="R822" s="288">
        <v>20228.161994966715</v>
      </c>
      <c r="S822" s="288">
        <v>11672.861450828254</v>
      </c>
      <c r="T822" s="290">
        <v>0.751</v>
      </c>
      <c r="U822" s="288">
        <v>0.75800000000000001</v>
      </c>
      <c r="V822" s="288">
        <v>0.723923076923077</v>
      </c>
      <c r="W822" s="288">
        <v>0.72750000000000004</v>
      </c>
      <c r="X822" s="288">
        <v>0.76</v>
      </c>
      <c r="Y822" s="288">
        <v>0</v>
      </c>
      <c r="Z822" s="289">
        <v>0</v>
      </c>
      <c r="AA822" s="229"/>
      <c r="AB822" s="293">
        <v>109301.93825959176</v>
      </c>
      <c r="AC822" s="294">
        <v>3.3146644561285181</v>
      </c>
      <c r="AD822" s="295">
        <v>92163.948630729021</v>
      </c>
      <c r="AE822" s="294">
        <v>2.9110403024254001</v>
      </c>
      <c r="AF822" s="295">
        <v>17137.989628862735</v>
      </c>
      <c r="AG822" s="296">
        <v>0.40362415370311799</v>
      </c>
      <c r="AH822" s="229"/>
      <c r="AI822" s="205">
        <f t="shared" si="90"/>
        <v>222164.50735326007</v>
      </c>
      <c r="AJ822" s="205">
        <f t="shared" si="91"/>
        <v>198940.08161181098</v>
      </c>
      <c r="AK822" s="205">
        <f t="shared" si="92"/>
        <v>23224.425741449064</v>
      </c>
      <c r="AL822" s="229"/>
      <c r="AM822" s="52">
        <f t="shared" si="86"/>
        <v>1</v>
      </c>
      <c r="AN822" s="52">
        <f t="shared" si="87"/>
        <v>0</v>
      </c>
      <c r="AO822" s="52">
        <f t="shared" si="88"/>
        <v>1</v>
      </c>
      <c r="AP822" s="229"/>
      <c r="AQ822" s="28"/>
      <c r="AR822" s="28"/>
      <c r="AS822" s="28"/>
      <c r="AT822" s="28"/>
      <c r="AU822" s="229"/>
      <c r="AV822" s="318">
        <f t="shared" si="93"/>
        <v>222164.50735326007</v>
      </c>
      <c r="AW822" s="229"/>
      <c r="AX822" s="313"/>
      <c r="AY822" s="302"/>
      <c r="AZ822" s="14">
        <f t="shared" si="95"/>
        <v>17137.989628862735</v>
      </c>
      <c r="BA822" s="14">
        <f t="shared" si="94"/>
        <v>0.40362415370311799</v>
      </c>
      <c r="BB822" s="14">
        <f t="shared" si="89"/>
        <v>42460.267730826694</v>
      </c>
      <c r="BC822" s="302"/>
      <c r="BD822" s="302"/>
      <c r="BE822" s="302"/>
      <c r="BF822" s="302"/>
      <c r="BG822" s="302"/>
      <c r="BH822" s="302"/>
      <c r="BI822" s="302"/>
      <c r="BJ822" s="302"/>
      <c r="BK822" s="302"/>
      <c r="BL822" s="302"/>
      <c r="BM822" s="302"/>
      <c r="BN822" s="302"/>
      <c r="BO822" s="302"/>
      <c r="BP822" s="302"/>
      <c r="BQ822" s="302"/>
      <c r="BR822" s="302"/>
      <c r="BS822" s="302"/>
      <c r="BT822" s="302"/>
      <c r="BU822" s="302"/>
      <c r="BV822" s="302"/>
      <c r="BW822" s="302"/>
      <c r="BX822" s="302"/>
      <c r="BY822" s="302"/>
      <c r="BZ822" s="302"/>
      <c r="CA822" s="302"/>
      <c r="CB822" s="28"/>
      <c r="CC822" s="28"/>
      <c r="CD822" s="28"/>
      <c r="CE822" s="28"/>
      <c r="CF822" s="28"/>
      <c r="CG822" s="28"/>
      <c r="CH822" s="28"/>
      <c r="CI822" s="28"/>
      <c r="CJ822" s="28"/>
      <c r="CK822" s="28"/>
      <c r="CL822" s="28"/>
      <c r="CM822" s="28"/>
      <c r="CN822" s="28"/>
      <c r="CO822" s="28"/>
      <c r="CP822" s="28"/>
      <c r="CQ822" s="28"/>
      <c r="CR822" s="28"/>
      <c r="CS822" s="28"/>
      <c r="CT822" s="28"/>
      <c r="CU822" s="28"/>
      <c r="CV822" s="28"/>
      <c r="CW822" s="28"/>
    </row>
    <row r="823" spans="1:101" ht="14.25" customHeight="1" x14ac:dyDescent="0.2">
      <c r="A823" s="286"/>
      <c r="B823" s="52">
        <v>0.16092438118494812</v>
      </c>
      <c r="C823" s="288">
        <v>0.40453382676957628</v>
      </c>
      <c r="D823" s="288">
        <v>1.2761241596782272E-2</v>
      </c>
      <c r="E823" s="288">
        <v>2.6719825676224551E-2</v>
      </c>
      <c r="F823" s="289">
        <v>0.78800265559242888</v>
      </c>
      <c r="G823" s="92">
        <v>0.40268326120971254</v>
      </c>
      <c r="H823" s="288">
        <v>0.2787705697523426</v>
      </c>
      <c r="I823" s="288">
        <v>1.3228539366984274E-2</v>
      </c>
      <c r="J823" s="288">
        <v>0.99243586901168634</v>
      </c>
      <c r="K823" s="288">
        <v>0.76444071920533252</v>
      </c>
      <c r="L823" s="290">
        <v>14909.019201231875</v>
      </c>
      <c r="M823" s="288">
        <v>0</v>
      </c>
      <c r="N823" s="288">
        <v>14657.546300729882</v>
      </c>
      <c r="O823" s="288">
        <v>1326.35600142402</v>
      </c>
      <c r="P823" s="288">
        <v>45547.860147278974</v>
      </c>
      <c r="Q823" s="291">
        <v>106262.86985220898</v>
      </c>
      <c r="R823" s="288">
        <v>21525.365217688584</v>
      </c>
      <c r="S823" s="288">
        <v>9422.5710338697809</v>
      </c>
      <c r="T823" s="290">
        <v>0.751</v>
      </c>
      <c r="U823" s="288">
        <v>0.75800000000000001</v>
      </c>
      <c r="V823" s="288">
        <v>0.723923076923077</v>
      </c>
      <c r="W823" s="288">
        <v>0.72750000000000004</v>
      </c>
      <c r="X823" s="288">
        <v>0.76</v>
      </c>
      <c r="Y823" s="288">
        <v>0</v>
      </c>
      <c r="Z823" s="289">
        <v>0</v>
      </c>
      <c r="AA823" s="229"/>
      <c r="AB823" s="293">
        <v>90269.854135174086</v>
      </c>
      <c r="AC823" s="294">
        <v>3.1795385022986942</v>
      </c>
      <c r="AD823" s="295">
        <v>75674.220923589019</v>
      </c>
      <c r="AE823" s="294">
        <v>3.0748724072660716</v>
      </c>
      <c r="AF823" s="295">
        <v>14595.633211585067</v>
      </c>
      <c r="AG823" s="296">
        <v>0.10466609503262259</v>
      </c>
      <c r="AH823" s="229"/>
      <c r="AI823" s="205">
        <f t="shared" si="90"/>
        <v>227683.99609469535</v>
      </c>
      <c r="AJ823" s="205">
        <f t="shared" si="91"/>
        <v>231813.01980301813</v>
      </c>
      <c r="AK823" s="205">
        <f t="shared" si="92"/>
        <v>-4129.0237083228094</v>
      </c>
      <c r="AL823" s="229"/>
      <c r="AM823" s="52">
        <f t="shared" si="86"/>
        <v>0</v>
      </c>
      <c r="AN823" s="52">
        <f t="shared" si="87"/>
        <v>1</v>
      </c>
      <c r="AO823" s="52">
        <f t="shared" si="88"/>
        <v>0</v>
      </c>
      <c r="AP823" s="229"/>
      <c r="AQ823" s="28"/>
      <c r="AR823" s="28"/>
      <c r="AS823" s="28"/>
      <c r="AT823" s="28"/>
      <c r="AU823" s="229"/>
      <c r="AV823" s="318">
        <f t="shared" si="93"/>
        <v>231813.01980301813</v>
      </c>
      <c r="AW823" s="229"/>
      <c r="AX823" s="313"/>
      <c r="AY823" s="302"/>
      <c r="AZ823" s="14">
        <f t="shared" si="95"/>
        <v>14595.633211585067</v>
      </c>
      <c r="BA823" s="14">
        <f t="shared" si="94"/>
        <v>0.10466609503262259</v>
      </c>
      <c r="BB823" s="14">
        <f t="shared" si="89"/>
        <v>139449.48655088225</v>
      </c>
      <c r="BC823" s="302"/>
      <c r="BD823" s="302"/>
      <c r="BE823" s="302"/>
      <c r="BF823" s="302"/>
      <c r="BG823" s="302"/>
      <c r="BH823" s="302"/>
      <c r="BI823" s="302"/>
      <c r="BJ823" s="302"/>
      <c r="BK823" s="302"/>
      <c r="BL823" s="302"/>
      <c r="BM823" s="302"/>
      <c r="BN823" s="302"/>
      <c r="BO823" s="302"/>
      <c r="BP823" s="302"/>
      <c r="BQ823" s="302"/>
      <c r="BR823" s="302"/>
      <c r="BS823" s="302"/>
      <c r="BT823" s="302"/>
      <c r="BU823" s="302"/>
      <c r="BV823" s="302"/>
      <c r="BW823" s="302"/>
      <c r="BX823" s="302"/>
      <c r="BY823" s="302"/>
      <c r="BZ823" s="302"/>
      <c r="CA823" s="302"/>
      <c r="CB823" s="28"/>
      <c r="CC823" s="28"/>
      <c r="CD823" s="28"/>
      <c r="CE823" s="28"/>
      <c r="CF823" s="28"/>
      <c r="CG823" s="28"/>
      <c r="CH823" s="28"/>
      <c r="CI823" s="28"/>
      <c r="CJ823" s="28"/>
      <c r="CK823" s="28"/>
      <c r="CL823" s="28"/>
      <c r="CM823" s="28"/>
      <c r="CN823" s="28"/>
      <c r="CO823" s="28"/>
      <c r="CP823" s="28"/>
      <c r="CQ823" s="28"/>
      <c r="CR823" s="28"/>
      <c r="CS823" s="28"/>
      <c r="CT823" s="28"/>
      <c r="CU823" s="28"/>
      <c r="CV823" s="28"/>
      <c r="CW823" s="28"/>
    </row>
    <row r="824" spans="1:101" ht="14.25" customHeight="1" x14ac:dyDescent="0.2">
      <c r="A824" s="286"/>
      <c r="B824" s="52">
        <v>0.13883097875109665</v>
      </c>
      <c r="C824" s="288">
        <v>0.21796386370052326</v>
      </c>
      <c r="D824" s="288">
        <v>1.2171689746371131E-2</v>
      </c>
      <c r="E824" s="288">
        <v>7.9289162296582328E-3</v>
      </c>
      <c r="F824" s="289">
        <v>0.8245659250642311</v>
      </c>
      <c r="G824" s="92">
        <v>0.34350674988175756</v>
      </c>
      <c r="H824" s="288">
        <v>0.41694441538251586</v>
      </c>
      <c r="I824" s="288">
        <v>3.9780090359690665E-3</v>
      </c>
      <c r="J824" s="288">
        <v>0.19047879858146968</v>
      </c>
      <c r="K824" s="288">
        <v>0.80019086957303109</v>
      </c>
      <c r="L824" s="290">
        <v>8356.9390613092291</v>
      </c>
      <c r="M824" s="288">
        <v>0</v>
      </c>
      <c r="N824" s="288">
        <v>16494.379806147012</v>
      </c>
      <c r="O824" s="288">
        <v>1143.5667798835359</v>
      </c>
      <c r="P824" s="288">
        <v>53082.218743760517</v>
      </c>
      <c r="Q824" s="291">
        <v>89790.745104284986</v>
      </c>
      <c r="R824" s="288">
        <v>27790.297924267838</v>
      </c>
      <c r="S824" s="288">
        <v>9020.972115164479</v>
      </c>
      <c r="T824" s="290">
        <v>0.751</v>
      </c>
      <c r="U824" s="288">
        <v>0.75800000000000001</v>
      </c>
      <c r="V824" s="288">
        <v>0.723923076923077</v>
      </c>
      <c r="W824" s="288">
        <v>0.72750000000000004</v>
      </c>
      <c r="X824" s="288">
        <v>0.76</v>
      </c>
      <c r="Y824" s="288">
        <v>0</v>
      </c>
      <c r="Z824" s="289">
        <v>0</v>
      </c>
      <c r="AA824" s="229"/>
      <c r="AB824" s="293">
        <v>83166.326355530065</v>
      </c>
      <c r="AC824" s="294">
        <v>3.3507130888179941</v>
      </c>
      <c r="AD824" s="295">
        <v>76485.879878404521</v>
      </c>
      <c r="AE824" s="294">
        <v>3.2412190077725653</v>
      </c>
      <c r="AF824" s="295">
        <v>6680.4464771255443</v>
      </c>
      <c r="AG824" s="296">
        <v>0.10949408104542879</v>
      </c>
      <c r="AH824" s="229"/>
      <c r="AI824" s="205">
        <f t="shared" si="90"/>
        <v>251904.98252626933</v>
      </c>
      <c r="AJ824" s="205">
        <f t="shared" si="91"/>
        <v>247636.020898852</v>
      </c>
      <c r="AK824" s="205">
        <f t="shared" si="92"/>
        <v>4268.961627417335</v>
      </c>
      <c r="AL824" s="229"/>
      <c r="AM824" s="52">
        <f t="shared" si="86"/>
        <v>1</v>
      </c>
      <c r="AN824" s="52">
        <f t="shared" si="87"/>
        <v>0</v>
      </c>
      <c r="AO824" s="52">
        <f t="shared" si="88"/>
        <v>1</v>
      </c>
      <c r="AP824" s="229"/>
      <c r="AQ824" s="28"/>
      <c r="AR824" s="28"/>
      <c r="AS824" s="28"/>
      <c r="AT824" s="28"/>
      <c r="AU824" s="229"/>
      <c r="AV824" s="318">
        <f t="shared" si="93"/>
        <v>251904.98252626933</v>
      </c>
      <c r="AW824" s="229"/>
      <c r="AX824" s="313"/>
      <c r="AY824" s="302"/>
      <c r="AZ824" s="14">
        <f t="shared" si="95"/>
        <v>6680.4464771255443</v>
      </c>
      <c r="BA824" s="14">
        <f t="shared" si="94"/>
        <v>0.10949408104542879</v>
      </c>
      <c r="BB824" s="14">
        <f t="shared" si="89"/>
        <v>61011.941589370894</v>
      </c>
      <c r="BC824" s="302"/>
      <c r="BD824" s="302"/>
      <c r="BE824" s="302"/>
      <c r="BF824" s="302"/>
      <c r="BG824" s="302"/>
      <c r="BH824" s="302"/>
      <c r="BI824" s="302"/>
      <c r="BJ824" s="302"/>
      <c r="BK824" s="302"/>
      <c r="BL824" s="302"/>
      <c r="BM824" s="302"/>
      <c r="BN824" s="302"/>
      <c r="BO824" s="302"/>
      <c r="BP824" s="302"/>
      <c r="BQ824" s="302"/>
      <c r="BR824" s="302"/>
      <c r="BS824" s="302"/>
      <c r="BT824" s="302"/>
      <c r="BU824" s="302"/>
      <c r="BV824" s="302"/>
      <c r="BW824" s="302"/>
      <c r="BX824" s="302"/>
      <c r="BY824" s="302"/>
      <c r="BZ824" s="302"/>
      <c r="CA824" s="302"/>
      <c r="CB824" s="28"/>
      <c r="CC824" s="28"/>
      <c r="CD824" s="28"/>
      <c r="CE824" s="28"/>
      <c r="CF824" s="28"/>
      <c r="CG824" s="28"/>
      <c r="CH824" s="28"/>
      <c r="CI824" s="28"/>
      <c r="CJ824" s="28"/>
      <c r="CK824" s="28"/>
      <c r="CL824" s="28"/>
      <c r="CM824" s="28"/>
      <c r="CN824" s="28"/>
      <c r="CO824" s="28"/>
      <c r="CP824" s="28"/>
      <c r="CQ824" s="28"/>
      <c r="CR824" s="28"/>
      <c r="CS824" s="28"/>
      <c r="CT824" s="28"/>
      <c r="CU824" s="28"/>
      <c r="CV824" s="28"/>
      <c r="CW824" s="28"/>
    </row>
    <row r="825" spans="1:101" ht="14.25" customHeight="1" x14ac:dyDescent="0.2">
      <c r="A825" s="286"/>
      <c r="B825" s="52">
        <v>0.16661975972568455</v>
      </c>
      <c r="C825" s="288">
        <v>0.41585830669079193</v>
      </c>
      <c r="D825" s="288">
        <v>7.920221256098349E-3</v>
      </c>
      <c r="E825" s="288">
        <v>1.4000089481566938E-2</v>
      </c>
      <c r="F825" s="289">
        <v>0.78167834024164962</v>
      </c>
      <c r="G825" s="92">
        <v>0.40986076783802428</v>
      </c>
      <c r="H825" s="288">
        <v>0.96640374937058682</v>
      </c>
      <c r="I825" s="288">
        <v>4.7359938038904047E-3</v>
      </c>
      <c r="J825" s="288">
        <v>6.4594068508933337E-4</v>
      </c>
      <c r="K825" s="288">
        <v>0.80185225568341401</v>
      </c>
      <c r="L825" s="290">
        <v>7913.1424172347397</v>
      </c>
      <c r="M825" s="288">
        <v>0</v>
      </c>
      <c r="N825" s="288">
        <v>22417.165826222667</v>
      </c>
      <c r="O825" s="288">
        <v>1518.6900207684826</v>
      </c>
      <c r="P825" s="288">
        <v>55223.259214506521</v>
      </c>
      <c r="Q825" s="291">
        <v>113840.53759567552</v>
      </c>
      <c r="R825" s="288">
        <v>20683.575458523112</v>
      </c>
      <c r="S825" s="288">
        <v>11067.995077092468</v>
      </c>
      <c r="T825" s="290">
        <v>0.751</v>
      </c>
      <c r="U825" s="288">
        <v>0.75800000000000001</v>
      </c>
      <c r="V825" s="288">
        <v>0.723923076923077</v>
      </c>
      <c r="W825" s="288">
        <v>0.72750000000000004</v>
      </c>
      <c r="X825" s="288">
        <v>0.76</v>
      </c>
      <c r="Y825" s="288">
        <v>0</v>
      </c>
      <c r="Z825" s="289">
        <v>0</v>
      </c>
      <c r="AA825" s="229"/>
      <c r="AB825" s="293">
        <v>95421.755150757701</v>
      </c>
      <c r="AC825" s="294">
        <v>3.1501433060360156</v>
      </c>
      <c r="AD825" s="295">
        <v>97510.429072909887</v>
      </c>
      <c r="AE825" s="294">
        <v>3.2489984767413835</v>
      </c>
      <c r="AF825" s="295">
        <v>-2088.6739221521857</v>
      </c>
      <c r="AG825" s="296">
        <v>-9.8855170705367978E-2</v>
      </c>
      <c r="AH825" s="229"/>
      <c r="AI825" s="205">
        <f t="shared" si="90"/>
        <v>219592.57545284383</v>
      </c>
      <c r="AJ825" s="205">
        <f t="shared" si="91"/>
        <v>227389.41860122851</v>
      </c>
      <c r="AK825" s="205">
        <f t="shared" si="92"/>
        <v>-7796.8431483846125</v>
      </c>
      <c r="AL825" s="229"/>
      <c r="AM825" s="52">
        <f t="shared" si="86"/>
        <v>0</v>
      </c>
      <c r="AN825" s="52">
        <f t="shared" si="87"/>
        <v>1</v>
      </c>
      <c r="AO825" s="52">
        <f t="shared" si="88"/>
        <v>0</v>
      </c>
      <c r="AP825" s="229"/>
      <c r="AQ825" s="28"/>
      <c r="AR825" s="28"/>
      <c r="AS825" s="28"/>
      <c r="AT825" s="28"/>
      <c r="AU825" s="229"/>
      <c r="AV825" s="318">
        <f t="shared" si="93"/>
        <v>227389.41860122851</v>
      </c>
      <c r="AW825" s="229"/>
      <c r="AX825" s="313"/>
      <c r="AY825" s="302"/>
      <c r="AZ825" s="14">
        <f t="shared" si="95"/>
        <v>-2088.6739221521857</v>
      </c>
      <c r="BA825" s="14">
        <f t="shared" si="94"/>
        <v>-9.8855170705367978E-2</v>
      </c>
      <c r="BB825" s="14">
        <f t="shared" si="89"/>
        <v>21128.625920614264</v>
      </c>
      <c r="BC825" s="302"/>
      <c r="BD825" s="302"/>
      <c r="BE825" s="302"/>
      <c r="BF825" s="302"/>
      <c r="BG825" s="302"/>
      <c r="BH825" s="302"/>
      <c r="BI825" s="302"/>
      <c r="BJ825" s="302"/>
      <c r="BK825" s="302"/>
      <c r="BL825" s="302"/>
      <c r="BM825" s="302"/>
      <c r="BN825" s="302"/>
      <c r="BO825" s="302"/>
      <c r="BP825" s="302"/>
      <c r="BQ825" s="302"/>
      <c r="BR825" s="302"/>
      <c r="BS825" s="302"/>
      <c r="BT825" s="302"/>
      <c r="BU825" s="302"/>
      <c r="BV825" s="302"/>
      <c r="BW825" s="302"/>
      <c r="BX825" s="302"/>
      <c r="BY825" s="302"/>
      <c r="BZ825" s="302"/>
      <c r="CA825" s="302"/>
      <c r="CB825" s="28"/>
      <c r="CC825" s="28"/>
      <c r="CD825" s="28"/>
      <c r="CE825" s="28"/>
      <c r="CF825" s="28"/>
      <c r="CG825" s="28"/>
      <c r="CH825" s="28"/>
      <c r="CI825" s="28"/>
      <c r="CJ825" s="28"/>
      <c r="CK825" s="28"/>
      <c r="CL825" s="28"/>
      <c r="CM825" s="28"/>
      <c r="CN825" s="28"/>
      <c r="CO825" s="28"/>
      <c r="CP825" s="28"/>
      <c r="CQ825" s="28"/>
      <c r="CR825" s="28"/>
      <c r="CS825" s="28"/>
      <c r="CT825" s="28"/>
      <c r="CU825" s="28"/>
      <c r="CV825" s="28"/>
      <c r="CW825" s="28"/>
    </row>
    <row r="826" spans="1:101" ht="14.25" customHeight="1" x14ac:dyDescent="0.2">
      <c r="A826" s="286"/>
      <c r="B826" s="52">
        <v>0.1499654272653265</v>
      </c>
      <c r="C826" s="288">
        <v>0.20859187626173509</v>
      </c>
      <c r="D826" s="288">
        <v>1.0715842426887581E-2</v>
      </c>
      <c r="E826" s="288">
        <v>2.3539086906577023E-2</v>
      </c>
      <c r="F826" s="289">
        <v>0.81383575390373519</v>
      </c>
      <c r="G826" s="92">
        <v>0.37275635720404232</v>
      </c>
      <c r="H826" s="288">
        <v>0.11845621582950741</v>
      </c>
      <c r="I826" s="288">
        <v>1.0867014212365677E-2</v>
      </c>
      <c r="J826" s="288">
        <v>0.99999999999999956</v>
      </c>
      <c r="K826" s="288">
        <v>0.75129105882232283</v>
      </c>
      <c r="L826" s="290">
        <v>15995.696675679055</v>
      </c>
      <c r="M826" s="288">
        <v>0</v>
      </c>
      <c r="N826" s="288">
        <v>15376.637065415311</v>
      </c>
      <c r="O826" s="288">
        <v>1852.9825390798449</v>
      </c>
      <c r="P826" s="288">
        <v>37268.725966364735</v>
      </c>
      <c r="Q826" s="291">
        <v>92918.849584546158</v>
      </c>
      <c r="R826" s="288">
        <v>26745.218303428042</v>
      </c>
      <c r="S826" s="288">
        <v>6709.1565282448473</v>
      </c>
      <c r="T826" s="290">
        <v>0.751</v>
      </c>
      <c r="U826" s="288">
        <v>0.75800000000000001</v>
      </c>
      <c r="V826" s="288">
        <v>0.723923076923077</v>
      </c>
      <c r="W826" s="288">
        <v>0.72750000000000004</v>
      </c>
      <c r="X826" s="288">
        <v>0.76</v>
      </c>
      <c r="Y826" s="288">
        <v>0</v>
      </c>
      <c r="Z826" s="289">
        <v>0</v>
      </c>
      <c r="AA826" s="229"/>
      <c r="AB826" s="293">
        <v>71329.504593177669</v>
      </c>
      <c r="AC826" s="294">
        <v>3.30026133510701</v>
      </c>
      <c r="AD826" s="295">
        <v>52732.927054300759</v>
      </c>
      <c r="AE826" s="294">
        <v>3.0141933911080847</v>
      </c>
      <c r="AF826" s="295">
        <v>18596.577538876911</v>
      </c>
      <c r="AG826" s="296">
        <v>0.28606794399892532</v>
      </c>
      <c r="AH826" s="229"/>
      <c r="AI826" s="205">
        <f t="shared" si="90"/>
        <v>258696.62891752334</v>
      </c>
      <c r="AJ826" s="205">
        <f t="shared" si="91"/>
        <v>248686.41205650769</v>
      </c>
      <c r="AK826" s="205">
        <f t="shared" si="92"/>
        <v>10010.216861015622</v>
      </c>
      <c r="AL826" s="229"/>
      <c r="AM826" s="52">
        <f t="shared" si="86"/>
        <v>1</v>
      </c>
      <c r="AN826" s="52">
        <f t="shared" si="87"/>
        <v>0</v>
      </c>
      <c r="AO826" s="52">
        <f t="shared" si="88"/>
        <v>1</v>
      </c>
      <c r="AP826" s="229"/>
      <c r="AQ826" s="28"/>
      <c r="AR826" s="28"/>
      <c r="AS826" s="28"/>
      <c r="AT826" s="28"/>
      <c r="AU826" s="229"/>
      <c r="AV826" s="318">
        <f t="shared" si="93"/>
        <v>258696.62891752334</v>
      </c>
      <c r="AW826" s="229"/>
      <c r="AX826" s="313"/>
      <c r="AY826" s="302"/>
      <c r="AZ826" s="14">
        <f t="shared" si="95"/>
        <v>18596.577538876911</v>
      </c>
      <c r="BA826" s="14">
        <f t="shared" si="94"/>
        <v>0.28606794399892532</v>
      </c>
      <c r="BB826" s="14">
        <f t="shared" si="89"/>
        <v>65007.554774983015</v>
      </c>
      <c r="BC826" s="302"/>
      <c r="BD826" s="302"/>
      <c r="BE826" s="302"/>
      <c r="BF826" s="302"/>
      <c r="BG826" s="302"/>
      <c r="BH826" s="302"/>
      <c r="BI826" s="302"/>
      <c r="BJ826" s="302"/>
      <c r="BK826" s="302"/>
      <c r="BL826" s="302"/>
      <c r="BM826" s="302"/>
      <c r="BN826" s="302"/>
      <c r="BO826" s="302"/>
      <c r="BP826" s="302"/>
      <c r="BQ826" s="302"/>
      <c r="BR826" s="302"/>
      <c r="BS826" s="302"/>
      <c r="BT826" s="302"/>
      <c r="BU826" s="302"/>
      <c r="BV826" s="302"/>
      <c r="BW826" s="302"/>
      <c r="BX826" s="302"/>
      <c r="BY826" s="302"/>
      <c r="BZ826" s="302"/>
      <c r="CA826" s="302"/>
      <c r="CB826" s="28"/>
      <c r="CC826" s="28"/>
      <c r="CD826" s="28"/>
      <c r="CE826" s="28"/>
      <c r="CF826" s="28"/>
      <c r="CG826" s="28"/>
      <c r="CH826" s="28"/>
      <c r="CI826" s="28"/>
      <c r="CJ826" s="28"/>
      <c r="CK826" s="28"/>
      <c r="CL826" s="28"/>
      <c r="CM826" s="28"/>
      <c r="CN826" s="28"/>
      <c r="CO826" s="28"/>
      <c r="CP826" s="28"/>
      <c r="CQ826" s="28"/>
      <c r="CR826" s="28"/>
      <c r="CS826" s="28"/>
      <c r="CT826" s="28"/>
      <c r="CU826" s="28"/>
      <c r="CV826" s="28"/>
      <c r="CW826" s="28"/>
    </row>
    <row r="827" spans="1:101" ht="14.25" customHeight="1" x14ac:dyDescent="0.2">
      <c r="A827" s="286"/>
      <c r="B827" s="52">
        <v>0.13834447361189622</v>
      </c>
      <c r="C827" s="288">
        <v>1.1485593374100316E-2</v>
      </c>
      <c r="D827" s="288">
        <v>1.5784628308728066E-2</v>
      </c>
      <c r="E827" s="288">
        <v>1.9316439889488501E-2</v>
      </c>
      <c r="F827" s="289">
        <v>0.73172794182618406</v>
      </c>
      <c r="G827" s="92">
        <v>0.46806554317399196</v>
      </c>
      <c r="H827" s="288">
        <v>0.64759839673191044</v>
      </c>
      <c r="I827" s="288">
        <v>7.2796271560720263E-3</v>
      </c>
      <c r="J827" s="288">
        <v>0.99999999999999267</v>
      </c>
      <c r="K827" s="288">
        <v>0.80317670537809716</v>
      </c>
      <c r="L827" s="290">
        <v>8789.6897476957311</v>
      </c>
      <c r="M827" s="288">
        <v>0</v>
      </c>
      <c r="N827" s="288">
        <v>18698.649675397355</v>
      </c>
      <c r="O827" s="288">
        <v>1102.8435262066616</v>
      </c>
      <c r="P827" s="288">
        <v>43261.075881169214</v>
      </c>
      <c r="Q827" s="291">
        <v>101339.19722863029</v>
      </c>
      <c r="R827" s="288">
        <v>27285.897020129574</v>
      </c>
      <c r="S827" s="288">
        <v>11602.542121564557</v>
      </c>
      <c r="T827" s="290">
        <v>0.751</v>
      </c>
      <c r="U827" s="288">
        <v>0.75800000000000001</v>
      </c>
      <c r="V827" s="288">
        <v>0.723923076923077</v>
      </c>
      <c r="W827" s="288">
        <v>0.72750000000000004</v>
      </c>
      <c r="X827" s="288">
        <v>0.76</v>
      </c>
      <c r="Y827" s="288">
        <v>0</v>
      </c>
      <c r="Z827" s="289">
        <v>0</v>
      </c>
      <c r="AA827" s="229"/>
      <c r="AB827" s="293">
        <v>93278.98549429384</v>
      </c>
      <c r="AC827" s="294">
        <v>2.9201800866693826</v>
      </c>
      <c r="AD827" s="295">
        <v>102208.08158629303</v>
      </c>
      <c r="AE827" s="294">
        <v>3.255203351873067</v>
      </c>
      <c r="AF827" s="295">
        <v>-8929.0960919991921</v>
      </c>
      <c r="AG827" s="296">
        <v>-0.33502326520368442</v>
      </c>
      <c r="AH827" s="229"/>
      <c r="AI827" s="205">
        <f t="shared" si="90"/>
        <v>198739.02317264437</v>
      </c>
      <c r="AJ827" s="205">
        <f t="shared" si="91"/>
        <v>223312.25360101365</v>
      </c>
      <c r="AK827" s="205">
        <f t="shared" si="92"/>
        <v>-24573.23042836925</v>
      </c>
      <c r="AL827" s="229"/>
      <c r="AM827" s="52">
        <f t="shared" si="86"/>
        <v>0</v>
      </c>
      <c r="AN827" s="52">
        <f t="shared" si="87"/>
        <v>1</v>
      </c>
      <c r="AO827" s="52">
        <f t="shared" si="88"/>
        <v>0</v>
      </c>
      <c r="AP827" s="229"/>
      <c r="AQ827" s="28"/>
      <c r="AR827" s="28"/>
      <c r="AS827" s="28"/>
      <c r="AT827" s="28"/>
      <c r="AU827" s="229"/>
      <c r="AV827" s="318">
        <f t="shared" si="93"/>
        <v>223312.25360101365</v>
      </c>
      <c r="AW827" s="229"/>
      <c r="AX827" s="313"/>
      <c r="AY827" s="302"/>
      <c r="AZ827" s="14">
        <f t="shared" si="95"/>
        <v>-8929.0960919991921</v>
      </c>
      <c r="BA827" s="14">
        <f t="shared" si="94"/>
        <v>-0.33502326520368442</v>
      </c>
      <c r="BB827" s="14">
        <f t="shared" si="89"/>
        <v>26652.167235521869</v>
      </c>
      <c r="BC827" s="302"/>
      <c r="BD827" s="302"/>
      <c r="BE827" s="302"/>
      <c r="BF827" s="302"/>
      <c r="BG827" s="302"/>
      <c r="BH827" s="302"/>
      <c r="BI827" s="302"/>
      <c r="BJ827" s="302"/>
      <c r="BK827" s="302"/>
      <c r="BL827" s="302"/>
      <c r="BM827" s="302"/>
      <c r="BN827" s="302"/>
      <c r="BO827" s="302"/>
      <c r="BP827" s="302"/>
      <c r="BQ827" s="302"/>
      <c r="BR827" s="302"/>
      <c r="BS827" s="302"/>
      <c r="BT827" s="302"/>
      <c r="BU827" s="302"/>
      <c r="BV827" s="302"/>
      <c r="BW827" s="302"/>
      <c r="BX827" s="302"/>
      <c r="BY827" s="302"/>
      <c r="BZ827" s="302"/>
      <c r="CA827" s="302"/>
      <c r="CB827" s="28"/>
      <c r="CC827" s="28"/>
      <c r="CD827" s="28"/>
      <c r="CE827" s="28"/>
      <c r="CF827" s="28"/>
      <c r="CG827" s="28"/>
      <c r="CH827" s="28"/>
      <c r="CI827" s="28"/>
      <c r="CJ827" s="28"/>
      <c r="CK827" s="28"/>
      <c r="CL827" s="28"/>
      <c r="CM827" s="28"/>
      <c r="CN827" s="28"/>
      <c r="CO827" s="28"/>
      <c r="CP827" s="28"/>
      <c r="CQ827" s="28"/>
      <c r="CR827" s="28"/>
      <c r="CS827" s="28"/>
      <c r="CT827" s="28"/>
      <c r="CU827" s="28"/>
      <c r="CV827" s="28"/>
      <c r="CW827" s="28"/>
    </row>
    <row r="828" spans="1:101" ht="14.25" customHeight="1" x14ac:dyDescent="0.2">
      <c r="A828" s="286"/>
      <c r="B828" s="52">
        <v>0.1702248413777161</v>
      </c>
      <c r="C828" s="288">
        <v>1.0012911748915835E-2</v>
      </c>
      <c r="D828" s="288">
        <v>6.7217493278288647E-3</v>
      </c>
      <c r="E828" s="288">
        <v>8.108185094751974E-3</v>
      </c>
      <c r="F828" s="289">
        <v>0.7976271799873591</v>
      </c>
      <c r="G828" s="92">
        <v>0.43188171868064618</v>
      </c>
      <c r="H828" s="288">
        <v>0.81014991192310248</v>
      </c>
      <c r="I828" s="288">
        <v>2.0988482335789094E-2</v>
      </c>
      <c r="J828" s="288">
        <v>1</v>
      </c>
      <c r="K828" s="288">
        <v>0.720304871364292</v>
      </c>
      <c r="L828" s="290">
        <v>17144.462305607067</v>
      </c>
      <c r="M828" s="288">
        <v>0</v>
      </c>
      <c r="N828" s="288">
        <v>21893.365402631949</v>
      </c>
      <c r="O828" s="288">
        <v>1097.4702742083916</v>
      </c>
      <c r="P828" s="288">
        <v>48102.482299825584</v>
      </c>
      <c r="Q828" s="291">
        <v>80916.739000416652</v>
      </c>
      <c r="R828" s="288">
        <v>26912.644402271915</v>
      </c>
      <c r="S828" s="288">
        <v>11321.744719480937</v>
      </c>
      <c r="T828" s="290">
        <v>0.751</v>
      </c>
      <c r="U828" s="288">
        <v>0.75800000000000001</v>
      </c>
      <c r="V828" s="288">
        <v>0.723923076923077</v>
      </c>
      <c r="W828" s="288">
        <v>0.72750000000000004</v>
      </c>
      <c r="X828" s="288">
        <v>0.76</v>
      </c>
      <c r="Y828" s="288">
        <v>0</v>
      </c>
      <c r="Z828" s="289">
        <v>0</v>
      </c>
      <c r="AA828" s="229"/>
      <c r="AB828" s="293">
        <v>106893.28606192264</v>
      </c>
      <c r="AC828" s="294">
        <v>3.2243933369927418</v>
      </c>
      <c r="AD828" s="295">
        <v>92382.19626534346</v>
      </c>
      <c r="AE828" s="294">
        <v>2.8722856861728543</v>
      </c>
      <c r="AF828" s="295">
        <v>14511.089796579181</v>
      </c>
      <c r="AG828" s="296">
        <v>0.35210765081988749</v>
      </c>
      <c r="AH828" s="229"/>
      <c r="AI828" s="205">
        <f t="shared" si="90"/>
        <v>215546.04763735153</v>
      </c>
      <c r="AJ828" s="205">
        <f t="shared" si="91"/>
        <v>194846.37235194194</v>
      </c>
      <c r="AK828" s="205">
        <f t="shared" si="92"/>
        <v>20699.675285409568</v>
      </c>
      <c r="AL828" s="229"/>
      <c r="AM828" s="52">
        <f t="shared" si="86"/>
        <v>1</v>
      </c>
      <c r="AN828" s="52">
        <f t="shared" si="87"/>
        <v>0</v>
      </c>
      <c r="AO828" s="52">
        <f t="shared" si="88"/>
        <v>1</v>
      </c>
      <c r="AP828" s="229"/>
      <c r="AQ828" s="28"/>
      <c r="AR828" s="28"/>
      <c r="AS828" s="28"/>
      <c r="AT828" s="28"/>
      <c r="AU828" s="229"/>
      <c r="AV828" s="318">
        <f t="shared" si="93"/>
        <v>215546.04763735153</v>
      </c>
      <c r="AW828" s="229"/>
      <c r="AX828" s="313"/>
      <c r="AY828" s="302"/>
      <c r="AZ828" s="14">
        <f t="shared" si="95"/>
        <v>14511.089796579181</v>
      </c>
      <c r="BA828" s="14">
        <f t="shared" si="94"/>
        <v>0.35210765081988749</v>
      </c>
      <c r="BB828" s="14">
        <f t="shared" si="89"/>
        <v>41212.083187598764</v>
      </c>
      <c r="BC828" s="302"/>
      <c r="BD828" s="302"/>
      <c r="BE828" s="302"/>
      <c r="BF828" s="302"/>
      <c r="BG828" s="302"/>
      <c r="BH828" s="302"/>
      <c r="BI828" s="302"/>
      <c r="BJ828" s="302"/>
      <c r="BK828" s="302"/>
      <c r="BL828" s="302"/>
      <c r="BM828" s="302"/>
      <c r="BN828" s="302"/>
      <c r="BO828" s="302"/>
      <c r="BP828" s="302"/>
      <c r="BQ828" s="302"/>
      <c r="BR828" s="302"/>
      <c r="BS828" s="302"/>
      <c r="BT828" s="302"/>
      <c r="BU828" s="302"/>
      <c r="BV828" s="302"/>
      <c r="BW828" s="302"/>
      <c r="BX828" s="302"/>
      <c r="BY828" s="302"/>
      <c r="BZ828" s="302"/>
      <c r="CA828" s="302"/>
      <c r="CB828" s="28"/>
      <c r="CC828" s="28"/>
      <c r="CD828" s="28"/>
      <c r="CE828" s="28"/>
      <c r="CF828" s="28"/>
      <c r="CG828" s="28"/>
      <c r="CH828" s="28"/>
      <c r="CI828" s="28"/>
      <c r="CJ828" s="28"/>
      <c r="CK828" s="28"/>
      <c r="CL828" s="28"/>
      <c r="CM828" s="28"/>
      <c r="CN828" s="28"/>
      <c r="CO828" s="28"/>
      <c r="CP828" s="28"/>
      <c r="CQ828" s="28"/>
      <c r="CR828" s="28"/>
      <c r="CS828" s="28"/>
      <c r="CT828" s="28"/>
      <c r="CU828" s="28"/>
      <c r="CV828" s="28"/>
      <c r="CW828" s="28"/>
    </row>
    <row r="829" spans="1:101" ht="14.25" customHeight="1" x14ac:dyDescent="0.2">
      <c r="A829" s="286"/>
      <c r="B829" s="52">
        <v>0.18546040381127027</v>
      </c>
      <c r="C829" s="288">
        <v>0.57042280603319107</v>
      </c>
      <c r="D829" s="288">
        <v>1.0443840083227025E-2</v>
      </c>
      <c r="E829" s="288">
        <v>2.0839949255553547E-2</v>
      </c>
      <c r="F829" s="289">
        <v>0.80812119005437488</v>
      </c>
      <c r="G829" s="92">
        <v>0.36869016266156679</v>
      </c>
      <c r="H829" s="288">
        <v>6.9354107095320694E-2</v>
      </c>
      <c r="I829" s="288">
        <v>5.1632386881578759E-3</v>
      </c>
      <c r="J829" s="288">
        <v>0.99997621424947136</v>
      </c>
      <c r="K829" s="288">
        <v>0.75397133251658355</v>
      </c>
      <c r="L829" s="290">
        <v>15441.047658461432</v>
      </c>
      <c r="M829" s="288">
        <v>0</v>
      </c>
      <c r="N829" s="288">
        <v>16555.582630090266</v>
      </c>
      <c r="O829" s="288">
        <v>994.36427522675115</v>
      </c>
      <c r="P829" s="288">
        <v>39619.332861161354</v>
      </c>
      <c r="Q829" s="291">
        <v>87967.772882528647</v>
      </c>
      <c r="R829" s="288">
        <v>27750.356974058548</v>
      </c>
      <c r="S829" s="288">
        <v>12036.177148759507</v>
      </c>
      <c r="T829" s="290">
        <v>0.751</v>
      </c>
      <c r="U829" s="288">
        <v>0.75800000000000001</v>
      </c>
      <c r="V829" s="288">
        <v>0.723923076923077</v>
      </c>
      <c r="W829" s="288">
        <v>0.72750000000000004</v>
      </c>
      <c r="X829" s="288">
        <v>0.76</v>
      </c>
      <c r="Y829" s="288">
        <v>0</v>
      </c>
      <c r="Z829" s="289">
        <v>0</v>
      </c>
      <c r="AA829" s="229"/>
      <c r="AB829" s="293">
        <v>115050.31159125273</v>
      </c>
      <c r="AC829" s="294">
        <v>3.2734659601381044</v>
      </c>
      <c r="AD829" s="295">
        <v>91868.151804736219</v>
      </c>
      <c r="AE829" s="294">
        <v>3.0265393799482556</v>
      </c>
      <c r="AF829" s="295">
        <v>23182.159786516509</v>
      </c>
      <c r="AG829" s="296">
        <v>0.24692658018984881</v>
      </c>
      <c r="AH829" s="229"/>
      <c r="AI829" s="205">
        <f t="shared" si="90"/>
        <v>212296.28442255768</v>
      </c>
      <c r="AJ829" s="205">
        <f t="shared" si="91"/>
        <v>210785.7861900893</v>
      </c>
      <c r="AK829" s="205">
        <f t="shared" si="92"/>
        <v>1510.4982324683733</v>
      </c>
      <c r="AL829" s="229"/>
      <c r="AM829" s="52">
        <f t="shared" si="86"/>
        <v>1</v>
      </c>
      <c r="AN829" s="52">
        <f t="shared" si="87"/>
        <v>0</v>
      </c>
      <c r="AO829" s="52">
        <f t="shared" si="88"/>
        <v>1</v>
      </c>
      <c r="AP829" s="229"/>
      <c r="AQ829" s="28"/>
      <c r="AR829" s="28"/>
      <c r="AS829" s="28"/>
      <c r="AT829" s="28"/>
      <c r="AU829" s="229"/>
      <c r="AV829" s="318">
        <f t="shared" si="93"/>
        <v>212296.28442255768</v>
      </c>
      <c r="AW829" s="229"/>
      <c r="AX829" s="313"/>
      <c r="AY829" s="302"/>
      <c r="AZ829" s="14">
        <f t="shared" si="95"/>
        <v>23182.159786516509</v>
      </c>
      <c r="BA829" s="14">
        <f t="shared" si="94"/>
        <v>0.24692658018984881</v>
      </c>
      <c r="BB829" s="14">
        <f t="shared" si="89"/>
        <v>93882.804227446759</v>
      </c>
      <c r="BC829" s="302"/>
      <c r="BD829" s="302"/>
      <c r="BE829" s="302"/>
      <c r="BF829" s="302"/>
      <c r="BG829" s="302"/>
      <c r="BH829" s="302"/>
      <c r="BI829" s="302"/>
      <c r="BJ829" s="302"/>
      <c r="BK829" s="302"/>
      <c r="BL829" s="302"/>
      <c r="BM829" s="302"/>
      <c r="BN829" s="302"/>
      <c r="BO829" s="302"/>
      <c r="BP829" s="302"/>
      <c r="BQ829" s="302"/>
      <c r="BR829" s="302"/>
      <c r="BS829" s="302"/>
      <c r="BT829" s="302"/>
      <c r="BU829" s="302"/>
      <c r="BV829" s="302"/>
      <c r="BW829" s="302"/>
      <c r="BX829" s="302"/>
      <c r="BY829" s="302"/>
      <c r="BZ829" s="302"/>
      <c r="CA829" s="302"/>
      <c r="CB829" s="28"/>
      <c r="CC829" s="28"/>
      <c r="CD829" s="28"/>
      <c r="CE829" s="28"/>
      <c r="CF829" s="28"/>
      <c r="CG829" s="28"/>
      <c r="CH829" s="28"/>
      <c r="CI829" s="28"/>
      <c r="CJ829" s="28"/>
      <c r="CK829" s="28"/>
      <c r="CL829" s="28"/>
      <c r="CM829" s="28"/>
      <c r="CN829" s="28"/>
      <c r="CO829" s="28"/>
      <c r="CP829" s="28"/>
      <c r="CQ829" s="28"/>
      <c r="CR829" s="28"/>
      <c r="CS829" s="28"/>
      <c r="CT829" s="28"/>
      <c r="CU829" s="28"/>
      <c r="CV829" s="28"/>
      <c r="CW829" s="28"/>
    </row>
    <row r="830" spans="1:101" ht="14.25" customHeight="1" x14ac:dyDescent="0.2">
      <c r="A830" s="286"/>
      <c r="B830" s="52">
        <v>0.18240495809867563</v>
      </c>
      <c r="C830" s="288">
        <v>0.42478249249336519</v>
      </c>
      <c r="D830" s="288">
        <v>1.5111654308684885E-2</v>
      </c>
      <c r="E830" s="288">
        <v>1.1072092313859347E-2</v>
      </c>
      <c r="F830" s="289">
        <v>0.78159793510708775</v>
      </c>
      <c r="G830" s="92">
        <v>0.44049083189612903</v>
      </c>
      <c r="H830" s="288">
        <v>0.94839165971299932</v>
      </c>
      <c r="I830" s="288">
        <v>2.2741378194903739E-2</v>
      </c>
      <c r="J830" s="288">
        <v>0.36934950852676479</v>
      </c>
      <c r="K830" s="288">
        <v>0.75501680875132249</v>
      </c>
      <c r="L830" s="290">
        <v>15083.294854481239</v>
      </c>
      <c r="M830" s="288">
        <v>0</v>
      </c>
      <c r="N830" s="288">
        <v>26754.936935167225</v>
      </c>
      <c r="O830" s="288">
        <v>1244.0979444820202</v>
      </c>
      <c r="P830" s="288">
        <v>54911.840205400797</v>
      </c>
      <c r="Q830" s="291">
        <v>115628.55149390046</v>
      </c>
      <c r="R830" s="288">
        <v>22226.195667203203</v>
      </c>
      <c r="S830" s="288">
        <v>7799.9687124463999</v>
      </c>
      <c r="T830" s="290">
        <v>0.751</v>
      </c>
      <c r="U830" s="288">
        <v>0.75800000000000001</v>
      </c>
      <c r="V830" s="288">
        <v>0.723923076923077</v>
      </c>
      <c r="W830" s="288">
        <v>0.72750000000000004</v>
      </c>
      <c r="X830" s="288">
        <v>0.76</v>
      </c>
      <c r="Y830" s="288">
        <v>0</v>
      </c>
      <c r="Z830" s="289">
        <v>0</v>
      </c>
      <c r="AA830" s="229"/>
      <c r="AB830" s="293">
        <v>77722.264816018389</v>
      </c>
      <c r="AC830" s="294">
        <v>3.1497699896536031</v>
      </c>
      <c r="AD830" s="295">
        <v>69900.552814213792</v>
      </c>
      <c r="AE830" s="294">
        <v>3.0313581662172804</v>
      </c>
      <c r="AF830" s="295">
        <v>7821.7120018045971</v>
      </c>
      <c r="AG830" s="296">
        <v>0.11841182343632273</v>
      </c>
      <c r="AH830" s="229"/>
      <c r="AI830" s="205">
        <f t="shared" si="90"/>
        <v>237254.73414934188</v>
      </c>
      <c r="AJ830" s="205">
        <f t="shared" si="91"/>
        <v>233235.26380751427</v>
      </c>
      <c r="AK830" s="205">
        <f t="shared" si="92"/>
        <v>4019.4703418276749</v>
      </c>
      <c r="AL830" s="229"/>
      <c r="AM830" s="52">
        <f t="shared" si="86"/>
        <v>1</v>
      </c>
      <c r="AN830" s="52">
        <f t="shared" si="87"/>
        <v>0</v>
      </c>
      <c r="AO830" s="52">
        <f t="shared" si="88"/>
        <v>1</v>
      </c>
      <c r="AP830" s="229"/>
      <c r="AQ830" s="28"/>
      <c r="AR830" s="28"/>
      <c r="AS830" s="28"/>
      <c r="AT830" s="28"/>
      <c r="AU830" s="229"/>
      <c r="AV830" s="318">
        <f t="shared" si="93"/>
        <v>237254.73414934188</v>
      </c>
      <c r="AW830" s="229"/>
      <c r="AX830" s="313"/>
      <c r="AY830" s="302"/>
      <c r="AZ830" s="14">
        <f t="shared" si="95"/>
        <v>7821.7120018045971</v>
      </c>
      <c r="BA830" s="14">
        <f t="shared" si="94"/>
        <v>0.11841182343632273</v>
      </c>
      <c r="BB830" s="14">
        <f t="shared" si="89"/>
        <v>66055.160496796248</v>
      </c>
      <c r="BC830" s="302"/>
      <c r="BD830" s="302"/>
      <c r="BE830" s="302"/>
      <c r="BF830" s="302"/>
      <c r="BG830" s="302"/>
      <c r="BH830" s="302"/>
      <c r="BI830" s="302"/>
      <c r="BJ830" s="302"/>
      <c r="BK830" s="302"/>
      <c r="BL830" s="302"/>
      <c r="BM830" s="302"/>
      <c r="BN830" s="302"/>
      <c r="BO830" s="302"/>
      <c r="BP830" s="302"/>
      <c r="BQ830" s="302"/>
      <c r="BR830" s="302"/>
      <c r="BS830" s="302"/>
      <c r="BT830" s="302"/>
      <c r="BU830" s="302"/>
      <c r="BV830" s="302"/>
      <c r="BW830" s="302"/>
      <c r="BX830" s="302"/>
      <c r="BY830" s="302"/>
      <c r="BZ830" s="302"/>
      <c r="CA830" s="302"/>
      <c r="CB830" s="28"/>
      <c r="CC830" s="28"/>
      <c r="CD830" s="28"/>
      <c r="CE830" s="28"/>
      <c r="CF830" s="28"/>
      <c r="CG830" s="28"/>
      <c r="CH830" s="28"/>
      <c r="CI830" s="28"/>
      <c r="CJ830" s="28"/>
      <c r="CK830" s="28"/>
      <c r="CL830" s="28"/>
      <c r="CM830" s="28"/>
      <c r="CN830" s="28"/>
      <c r="CO830" s="28"/>
      <c r="CP830" s="28"/>
      <c r="CQ830" s="28"/>
      <c r="CR830" s="28"/>
      <c r="CS830" s="28"/>
      <c r="CT830" s="28"/>
      <c r="CU830" s="28"/>
      <c r="CV830" s="28"/>
      <c r="CW830" s="28"/>
    </row>
    <row r="831" spans="1:101" ht="14.25" customHeight="1" x14ac:dyDescent="0.2">
      <c r="A831" s="286"/>
      <c r="B831" s="52">
        <v>0.20414747006485368</v>
      </c>
      <c r="C831" s="288">
        <v>0.72910006707142949</v>
      </c>
      <c r="D831" s="288">
        <v>1.3898222578653724E-2</v>
      </c>
      <c r="E831" s="288">
        <v>3.4252091799275686E-2</v>
      </c>
      <c r="F831" s="289">
        <v>0.77226304523473877</v>
      </c>
      <c r="G831" s="92">
        <v>0.36361772876748333</v>
      </c>
      <c r="H831" s="288">
        <v>0.93042045628526082</v>
      </c>
      <c r="I831" s="288">
        <v>3.6826502911465719E-2</v>
      </c>
      <c r="J831" s="288">
        <v>2.8592922187136507E-3</v>
      </c>
      <c r="K831" s="288">
        <v>0.80114610319315605</v>
      </c>
      <c r="L831" s="290">
        <v>17097.604573298297</v>
      </c>
      <c r="M831" s="288">
        <v>0</v>
      </c>
      <c r="N831" s="288">
        <v>21041.767477543057</v>
      </c>
      <c r="O831" s="288">
        <v>1501.6192643009824</v>
      </c>
      <c r="P831" s="288">
        <v>59663.085227572832</v>
      </c>
      <c r="Q831" s="291">
        <v>149419.21078847448</v>
      </c>
      <c r="R831" s="288">
        <v>26048.531666182287</v>
      </c>
      <c r="S831" s="288">
        <v>9173.0371134087345</v>
      </c>
      <c r="T831" s="290">
        <v>0.751</v>
      </c>
      <c r="U831" s="288">
        <v>0.75800000000000001</v>
      </c>
      <c r="V831" s="288">
        <v>0.723923076923077</v>
      </c>
      <c r="W831" s="288">
        <v>0.72750000000000004</v>
      </c>
      <c r="X831" s="288">
        <v>0.76</v>
      </c>
      <c r="Y831" s="288">
        <v>0</v>
      </c>
      <c r="Z831" s="289">
        <v>0</v>
      </c>
      <c r="AA831" s="229"/>
      <c r="AB831" s="293">
        <v>91860.878322640172</v>
      </c>
      <c r="AC831" s="294">
        <v>3.106497565001658</v>
      </c>
      <c r="AD831" s="295">
        <v>84572.705146811073</v>
      </c>
      <c r="AE831" s="294">
        <v>3.2456913739668978</v>
      </c>
      <c r="AF831" s="295">
        <v>7288.1731758290989</v>
      </c>
      <c r="AG831" s="296">
        <v>-0.13919380896523981</v>
      </c>
      <c r="AH831" s="229"/>
      <c r="AI831" s="205">
        <f t="shared" si="90"/>
        <v>218788.87817752562</v>
      </c>
      <c r="AJ831" s="205">
        <f t="shared" si="91"/>
        <v>239996.43224987871</v>
      </c>
      <c r="AK831" s="205">
        <f t="shared" si="92"/>
        <v>-21207.554072353079</v>
      </c>
      <c r="AL831" s="229"/>
      <c r="AM831" s="52">
        <f t="shared" si="86"/>
        <v>0</v>
      </c>
      <c r="AN831" s="52">
        <f t="shared" si="87"/>
        <v>1</v>
      </c>
      <c r="AO831" s="52">
        <f t="shared" si="88"/>
        <v>0</v>
      </c>
      <c r="AP831" s="229"/>
      <c r="AQ831" s="28"/>
      <c r="AR831" s="28"/>
      <c r="AS831" s="28"/>
      <c r="AT831" s="28"/>
      <c r="AU831" s="229"/>
      <c r="AV831" s="318">
        <f t="shared" si="93"/>
        <v>239996.43224987871</v>
      </c>
      <c r="AW831" s="229"/>
      <c r="AX831" s="313"/>
      <c r="AY831" s="302"/>
      <c r="AZ831" s="14">
        <f t="shared" si="95"/>
        <v>7288.1731758290989</v>
      </c>
      <c r="BA831" s="14">
        <f t="shared" si="94"/>
        <v>-0.13919380896523981</v>
      </c>
      <c r="BB831" s="14">
        <f t="shared" si="89"/>
        <v>-52359.894667794739</v>
      </c>
      <c r="BC831" s="302"/>
      <c r="BD831" s="302"/>
      <c r="BE831" s="302"/>
      <c r="BF831" s="302"/>
      <c r="BG831" s="302"/>
      <c r="BH831" s="302"/>
      <c r="BI831" s="302"/>
      <c r="BJ831" s="302"/>
      <c r="BK831" s="302"/>
      <c r="BL831" s="302"/>
      <c r="BM831" s="302"/>
      <c r="BN831" s="302"/>
      <c r="BO831" s="302"/>
      <c r="BP831" s="302"/>
      <c r="BQ831" s="302"/>
      <c r="BR831" s="302"/>
      <c r="BS831" s="302"/>
      <c r="BT831" s="302"/>
      <c r="BU831" s="302"/>
      <c r="BV831" s="302"/>
      <c r="BW831" s="302"/>
      <c r="BX831" s="302"/>
      <c r="BY831" s="302"/>
      <c r="BZ831" s="302"/>
      <c r="CA831" s="302"/>
      <c r="CB831" s="28"/>
      <c r="CC831" s="28"/>
      <c r="CD831" s="28"/>
      <c r="CE831" s="28"/>
      <c r="CF831" s="28"/>
      <c r="CG831" s="28"/>
      <c r="CH831" s="28"/>
      <c r="CI831" s="28"/>
      <c r="CJ831" s="28"/>
      <c r="CK831" s="28"/>
      <c r="CL831" s="28"/>
      <c r="CM831" s="28"/>
      <c r="CN831" s="28"/>
      <c r="CO831" s="28"/>
      <c r="CP831" s="28"/>
      <c r="CQ831" s="28"/>
      <c r="CR831" s="28"/>
      <c r="CS831" s="28"/>
      <c r="CT831" s="28"/>
      <c r="CU831" s="28"/>
      <c r="CV831" s="28"/>
      <c r="CW831" s="28"/>
    </row>
    <row r="832" spans="1:101" ht="14.25" customHeight="1" x14ac:dyDescent="0.2">
      <c r="A832" s="286"/>
      <c r="B832" s="52">
        <v>0.16821977553378331</v>
      </c>
      <c r="C832" s="288">
        <v>9.6759239821996704E-2</v>
      </c>
      <c r="D832" s="288">
        <v>1.0223356852433108E-2</v>
      </c>
      <c r="E832" s="288">
        <v>2.0598252326886501E-2</v>
      </c>
      <c r="F832" s="289">
        <v>0.75607493574319762</v>
      </c>
      <c r="G832" s="92">
        <v>0.3293240605491457</v>
      </c>
      <c r="H832" s="288">
        <v>0.39811402296879311</v>
      </c>
      <c r="I832" s="288">
        <v>1.6406506241505192E-2</v>
      </c>
      <c r="J832" s="288">
        <v>0.99999999999999978</v>
      </c>
      <c r="K832" s="288">
        <v>0.78870728720579542</v>
      </c>
      <c r="L832" s="290">
        <v>8907.3301780786624</v>
      </c>
      <c r="M832" s="288">
        <v>0</v>
      </c>
      <c r="N832" s="288">
        <v>22207.559880327681</v>
      </c>
      <c r="O832" s="288">
        <v>1248.0352251992556</v>
      </c>
      <c r="P832" s="288">
        <v>47718.336079756256</v>
      </c>
      <c r="Q832" s="291">
        <v>90879.776039158722</v>
      </c>
      <c r="R832" s="288">
        <v>25903.798961740067</v>
      </c>
      <c r="S832" s="288">
        <v>8791.0084560884061</v>
      </c>
      <c r="T832" s="290">
        <v>0.751</v>
      </c>
      <c r="U832" s="288">
        <v>0.75800000000000001</v>
      </c>
      <c r="V832" s="288">
        <v>0.723923076923077</v>
      </c>
      <c r="W832" s="288">
        <v>0.72750000000000004</v>
      </c>
      <c r="X832" s="288">
        <v>0.76</v>
      </c>
      <c r="Y832" s="288">
        <v>0</v>
      </c>
      <c r="Z832" s="289">
        <v>0</v>
      </c>
      <c r="AA832" s="229"/>
      <c r="AB832" s="293">
        <v>75514.812791258766</v>
      </c>
      <c r="AC832" s="294">
        <v>3.0317806702919814</v>
      </c>
      <c r="AD832" s="295">
        <v>73771.910486823152</v>
      </c>
      <c r="AE832" s="294">
        <v>3.1875659048120735</v>
      </c>
      <c r="AF832" s="295">
        <v>1742.9023044356145</v>
      </c>
      <c r="AG832" s="296">
        <v>-0.15578523452009208</v>
      </c>
      <c r="AH832" s="229"/>
      <c r="AI832" s="205">
        <f t="shared" si="90"/>
        <v>227663.2542379394</v>
      </c>
      <c r="AJ832" s="205">
        <f t="shared" si="91"/>
        <v>244984.67999438421</v>
      </c>
      <c r="AK832" s="205">
        <f t="shared" si="92"/>
        <v>-17321.42575644482</v>
      </c>
      <c r="AL832" s="229"/>
      <c r="AM832" s="52">
        <f t="shared" si="86"/>
        <v>0</v>
      </c>
      <c r="AN832" s="52">
        <f t="shared" si="87"/>
        <v>1</v>
      </c>
      <c r="AO832" s="52">
        <f t="shared" si="88"/>
        <v>0</v>
      </c>
      <c r="AP832" s="229"/>
      <c r="AQ832" s="28"/>
      <c r="AR832" s="28"/>
      <c r="AS832" s="28"/>
      <c r="AT832" s="28"/>
      <c r="AU832" s="229"/>
      <c r="AV832" s="318">
        <f t="shared" si="93"/>
        <v>244984.67999438421</v>
      </c>
      <c r="AW832" s="229"/>
      <c r="AX832" s="313"/>
      <c r="AY832" s="302"/>
      <c r="AZ832" s="14">
        <f t="shared" si="95"/>
        <v>1742.9023044356145</v>
      </c>
      <c r="BA832" s="14">
        <f t="shared" si="94"/>
        <v>-0.15578523452009208</v>
      </c>
      <c r="BB832" s="14">
        <f t="shared" si="89"/>
        <v>-11187.853006767642</v>
      </c>
      <c r="BC832" s="302"/>
      <c r="BD832" s="302"/>
      <c r="BE832" s="302"/>
      <c r="BF832" s="302"/>
      <c r="BG832" s="302"/>
      <c r="BH832" s="302"/>
      <c r="BI832" s="302"/>
      <c r="BJ832" s="302"/>
      <c r="BK832" s="302"/>
      <c r="BL832" s="302"/>
      <c r="BM832" s="302"/>
      <c r="BN832" s="302"/>
      <c r="BO832" s="302"/>
      <c r="BP832" s="302"/>
      <c r="BQ832" s="302"/>
      <c r="BR832" s="302"/>
      <c r="BS832" s="302"/>
      <c r="BT832" s="302"/>
      <c r="BU832" s="302"/>
      <c r="BV832" s="302"/>
      <c r="BW832" s="302"/>
      <c r="BX832" s="302"/>
      <c r="BY832" s="302"/>
      <c r="BZ832" s="302"/>
      <c r="CA832" s="302"/>
      <c r="CB832" s="28"/>
      <c r="CC832" s="28"/>
      <c r="CD832" s="28"/>
      <c r="CE832" s="28"/>
      <c r="CF832" s="28"/>
      <c r="CG832" s="28"/>
      <c r="CH832" s="28"/>
      <c r="CI832" s="28"/>
      <c r="CJ832" s="28"/>
      <c r="CK832" s="28"/>
      <c r="CL832" s="28"/>
      <c r="CM832" s="28"/>
      <c r="CN832" s="28"/>
      <c r="CO832" s="28"/>
      <c r="CP832" s="28"/>
      <c r="CQ832" s="28"/>
      <c r="CR832" s="28"/>
      <c r="CS832" s="28"/>
      <c r="CT832" s="28"/>
      <c r="CU832" s="28"/>
      <c r="CV832" s="28"/>
      <c r="CW832" s="28"/>
    </row>
    <row r="833" spans="1:101" ht="14.25" customHeight="1" x14ac:dyDescent="0.2">
      <c r="A833" s="286"/>
      <c r="B833" s="52">
        <v>0.17920371418337377</v>
      </c>
      <c r="C833" s="288">
        <v>0.58709015414090182</v>
      </c>
      <c r="D833" s="288">
        <v>1.2201570779860664E-2</v>
      </c>
      <c r="E833" s="288">
        <v>8.8156225964049935E-3</v>
      </c>
      <c r="F833" s="289">
        <v>0.79141525176017902</v>
      </c>
      <c r="G833" s="92">
        <v>0.39039615609129624</v>
      </c>
      <c r="H833" s="288">
        <v>0.95026894502363046</v>
      </c>
      <c r="I833" s="288">
        <v>2.7637033502402986E-2</v>
      </c>
      <c r="J833" s="288">
        <v>0.99999999999980727</v>
      </c>
      <c r="K833" s="288">
        <v>0.74139108807275189</v>
      </c>
      <c r="L833" s="290">
        <v>12761.626383342838</v>
      </c>
      <c r="M833" s="288">
        <v>0</v>
      </c>
      <c r="N833" s="288">
        <v>21007.831044075672</v>
      </c>
      <c r="O833" s="288">
        <v>994.90945766840389</v>
      </c>
      <c r="P833" s="288">
        <v>47366.86536858647</v>
      </c>
      <c r="Q833" s="291">
        <v>156686.06724182703</v>
      </c>
      <c r="R833" s="288">
        <v>20864.621303815275</v>
      </c>
      <c r="S833" s="288">
        <v>6929.5264784498249</v>
      </c>
      <c r="T833" s="290">
        <v>0.751</v>
      </c>
      <c r="U833" s="288">
        <v>0.75800000000000001</v>
      </c>
      <c r="V833" s="288">
        <v>0.723923076923077</v>
      </c>
      <c r="W833" s="288">
        <v>0.72750000000000004</v>
      </c>
      <c r="X833" s="288">
        <v>0.76</v>
      </c>
      <c r="Y833" s="288">
        <v>0</v>
      </c>
      <c r="Z833" s="289">
        <v>0</v>
      </c>
      <c r="AA833" s="229"/>
      <c r="AB833" s="293">
        <v>69784.431917204711</v>
      </c>
      <c r="AC833" s="294">
        <v>3.1954261889459992</v>
      </c>
      <c r="AD833" s="295">
        <v>61704.008375239078</v>
      </c>
      <c r="AE833" s="294">
        <v>2.9686898878817134</v>
      </c>
      <c r="AF833" s="295">
        <v>8080.4235419656325</v>
      </c>
      <c r="AG833" s="296">
        <v>0.22673630106428577</v>
      </c>
      <c r="AH833" s="229"/>
      <c r="AI833" s="205">
        <f t="shared" si="90"/>
        <v>249758.18697739521</v>
      </c>
      <c r="AJ833" s="205">
        <f t="shared" si="91"/>
        <v>235164.98041293223</v>
      </c>
      <c r="AK833" s="205">
        <f t="shared" si="92"/>
        <v>14593.206564462944</v>
      </c>
      <c r="AL833" s="229"/>
      <c r="AM833" s="52">
        <f t="shared" si="86"/>
        <v>1</v>
      </c>
      <c r="AN833" s="52">
        <f t="shared" si="87"/>
        <v>0</v>
      </c>
      <c r="AO833" s="52">
        <f t="shared" si="88"/>
        <v>1</v>
      </c>
      <c r="AP833" s="229"/>
      <c r="AQ833" s="28"/>
      <c r="AR833" s="28"/>
      <c r="AS833" s="28"/>
      <c r="AT833" s="28"/>
      <c r="AU833" s="229"/>
      <c r="AV833" s="318">
        <f t="shared" si="93"/>
        <v>249758.18697739521</v>
      </c>
      <c r="AW833" s="229"/>
      <c r="AX833" s="313"/>
      <c r="AY833" s="302"/>
      <c r="AZ833" s="14">
        <f t="shared" si="95"/>
        <v>8080.4235419656325</v>
      </c>
      <c r="BA833" s="14">
        <f t="shared" si="94"/>
        <v>0.22673630106428577</v>
      </c>
      <c r="BB833" s="14">
        <f t="shared" si="89"/>
        <v>35637.979026898814</v>
      </c>
      <c r="BC833" s="302"/>
      <c r="BD833" s="302"/>
      <c r="BE833" s="302"/>
      <c r="BF833" s="302"/>
      <c r="BG833" s="302"/>
      <c r="BH833" s="302"/>
      <c r="BI833" s="302"/>
      <c r="BJ833" s="302"/>
      <c r="BK833" s="302"/>
      <c r="BL833" s="302"/>
      <c r="BM833" s="302"/>
      <c r="BN833" s="302"/>
      <c r="BO833" s="302"/>
      <c r="BP833" s="302"/>
      <c r="BQ833" s="302"/>
      <c r="BR833" s="302"/>
      <c r="BS833" s="302"/>
      <c r="BT833" s="302"/>
      <c r="BU833" s="302"/>
      <c r="BV833" s="302"/>
      <c r="BW833" s="302"/>
      <c r="BX833" s="302"/>
      <c r="BY833" s="302"/>
      <c r="BZ833" s="302"/>
      <c r="CA833" s="302"/>
      <c r="CB833" s="28"/>
      <c r="CC833" s="28"/>
      <c r="CD833" s="28"/>
      <c r="CE833" s="28"/>
      <c r="CF833" s="28"/>
      <c r="CG833" s="28"/>
      <c r="CH833" s="28"/>
      <c r="CI833" s="28"/>
      <c r="CJ833" s="28"/>
      <c r="CK833" s="28"/>
      <c r="CL833" s="28"/>
      <c r="CM833" s="28"/>
      <c r="CN833" s="28"/>
      <c r="CO833" s="28"/>
      <c r="CP833" s="28"/>
      <c r="CQ833" s="28"/>
      <c r="CR833" s="28"/>
      <c r="CS833" s="28"/>
      <c r="CT833" s="28"/>
      <c r="CU833" s="28"/>
      <c r="CV833" s="28"/>
      <c r="CW833" s="28"/>
    </row>
    <row r="834" spans="1:101" ht="14.25" customHeight="1" x14ac:dyDescent="0.2">
      <c r="A834" s="286"/>
      <c r="B834" s="52">
        <v>0.1746512078395186</v>
      </c>
      <c r="C834" s="288">
        <v>0.34193159312960819</v>
      </c>
      <c r="D834" s="288">
        <v>3.0659426064755579E-2</v>
      </c>
      <c r="E834" s="288">
        <v>1.5515174317337732E-2</v>
      </c>
      <c r="F834" s="289">
        <v>0.78319317658909082</v>
      </c>
      <c r="G834" s="92">
        <v>0.37919899246162475</v>
      </c>
      <c r="H834" s="288">
        <v>0.40785747755106533</v>
      </c>
      <c r="I834" s="288">
        <v>5.6201240619097748E-3</v>
      </c>
      <c r="J834" s="288">
        <v>0.99999999997061584</v>
      </c>
      <c r="K834" s="288">
        <v>0.78150506672849085</v>
      </c>
      <c r="L834" s="290">
        <v>10662.827736586811</v>
      </c>
      <c r="M834" s="288">
        <v>0</v>
      </c>
      <c r="N834" s="288">
        <v>24480.758469007236</v>
      </c>
      <c r="O834" s="288">
        <v>1197.2444888611547</v>
      </c>
      <c r="P834" s="288">
        <v>49219.009711562598</v>
      </c>
      <c r="Q834" s="291">
        <v>94069.308749130068</v>
      </c>
      <c r="R834" s="288">
        <v>35422.022054453766</v>
      </c>
      <c r="S834" s="288">
        <v>8707.0716499620394</v>
      </c>
      <c r="T834" s="290">
        <v>0.751</v>
      </c>
      <c r="U834" s="288">
        <v>0.75800000000000001</v>
      </c>
      <c r="V834" s="288">
        <v>0.723923076923077</v>
      </c>
      <c r="W834" s="288">
        <v>0.72750000000000004</v>
      </c>
      <c r="X834" s="288">
        <v>0.76</v>
      </c>
      <c r="Y834" s="288">
        <v>0</v>
      </c>
      <c r="Z834" s="289">
        <v>0</v>
      </c>
      <c r="AA834" s="229"/>
      <c r="AB834" s="293">
        <v>81023.969650552855</v>
      </c>
      <c r="AC834" s="294">
        <v>3.157178498615806</v>
      </c>
      <c r="AD834" s="295">
        <v>74137.475950444161</v>
      </c>
      <c r="AE834" s="294">
        <v>3.1540220632636857</v>
      </c>
      <c r="AF834" s="295">
        <v>6886.4937001086946</v>
      </c>
      <c r="AG834" s="296">
        <v>3.1564353521202904E-3</v>
      </c>
      <c r="AH834" s="229"/>
      <c r="AI834" s="205">
        <f t="shared" si="90"/>
        <v>234693.88021102775</v>
      </c>
      <c r="AJ834" s="205">
        <f t="shared" si="91"/>
        <v>241264.73037592438</v>
      </c>
      <c r="AK834" s="205">
        <f t="shared" si="92"/>
        <v>-6570.8501648966658</v>
      </c>
      <c r="AL834" s="229"/>
      <c r="AM834" s="52">
        <f t="shared" si="86"/>
        <v>0</v>
      </c>
      <c r="AN834" s="52">
        <f t="shared" si="87"/>
        <v>1</v>
      </c>
      <c r="AO834" s="52">
        <f t="shared" si="88"/>
        <v>0</v>
      </c>
      <c r="AP834" s="229"/>
      <c r="AQ834" s="28"/>
      <c r="AR834" s="28"/>
      <c r="AS834" s="28"/>
      <c r="AT834" s="28"/>
      <c r="AU834" s="229"/>
      <c r="AV834" s="318">
        <f t="shared" si="93"/>
        <v>241264.73037592438</v>
      </c>
      <c r="AW834" s="229"/>
      <c r="AX834" s="313"/>
      <c r="AY834" s="302"/>
      <c r="AZ834" s="14">
        <f t="shared" si="95"/>
        <v>6886.4937001086946</v>
      </c>
      <c r="BA834" s="14">
        <f t="shared" si="94"/>
        <v>3.1564353521202904E-3</v>
      </c>
      <c r="BB834" s="14">
        <f t="shared" si="89"/>
        <v>2181731.2670391905</v>
      </c>
      <c r="BC834" s="302"/>
      <c r="BD834" s="302"/>
      <c r="BE834" s="302"/>
      <c r="BF834" s="302"/>
      <c r="BG834" s="302"/>
      <c r="BH834" s="302"/>
      <c r="BI834" s="302"/>
      <c r="BJ834" s="302"/>
      <c r="BK834" s="302"/>
      <c r="BL834" s="302"/>
      <c r="BM834" s="302"/>
      <c r="BN834" s="302"/>
      <c r="BO834" s="302"/>
      <c r="BP834" s="302"/>
      <c r="BQ834" s="302"/>
      <c r="BR834" s="302"/>
      <c r="BS834" s="302"/>
      <c r="BT834" s="302"/>
      <c r="BU834" s="302"/>
      <c r="BV834" s="302"/>
      <c r="BW834" s="302"/>
      <c r="BX834" s="302"/>
      <c r="BY834" s="302"/>
      <c r="BZ834" s="302"/>
      <c r="CA834" s="302"/>
      <c r="CB834" s="28"/>
      <c r="CC834" s="28"/>
      <c r="CD834" s="28"/>
      <c r="CE834" s="28"/>
      <c r="CF834" s="28"/>
      <c r="CG834" s="28"/>
      <c r="CH834" s="28"/>
      <c r="CI834" s="28"/>
      <c r="CJ834" s="28"/>
      <c r="CK834" s="28"/>
      <c r="CL834" s="28"/>
      <c r="CM834" s="28"/>
      <c r="CN834" s="28"/>
      <c r="CO834" s="28"/>
      <c r="CP834" s="28"/>
      <c r="CQ834" s="28"/>
      <c r="CR834" s="28"/>
      <c r="CS834" s="28"/>
      <c r="CT834" s="28"/>
      <c r="CU834" s="28"/>
      <c r="CV834" s="28"/>
      <c r="CW834" s="28"/>
    </row>
    <row r="835" spans="1:101" ht="14.25" customHeight="1" x14ac:dyDescent="0.2">
      <c r="A835" s="286"/>
      <c r="B835" s="52">
        <v>0.1624067748053003</v>
      </c>
      <c r="C835" s="288">
        <v>0.32240251276379606</v>
      </c>
      <c r="D835" s="288">
        <v>5.0088376941495689E-3</v>
      </c>
      <c r="E835" s="288">
        <v>1.5567719006884362E-2</v>
      </c>
      <c r="F835" s="289">
        <v>0.81613521470031003</v>
      </c>
      <c r="G835" s="92">
        <v>0.36934806021984995</v>
      </c>
      <c r="H835" s="288">
        <v>0.26454343172424244</v>
      </c>
      <c r="I835" s="288">
        <v>2.3435817444018125E-2</v>
      </c>
      <c r="J835" s="288">
        <v>5.191289208161292E-3</v>
      </c>
      <c r="K835" s="288">
        <v>0.7967350181432743</v>
      </c>
      <c r="L835" s="290">
        <v>16973.227687102393</v>
      </c>
      <c r="M835" s="288">
        <v>0</v>
      </c>
      <c r="N835" s="288">
        <v>21516.291335253234</v>
      </c>
      <c r="O835" s="288">
        <v>2010.0937775794089</v>
      </c>
      <c r="P835" s="288">
        <v>50533.13706596593</v>
      </c>
      <c r="Q835" s="291">
        <v>66343.313955413745</v>
      </c>
      <c r="R835" s="288">
        <v>19628.430635289125</v>
      </c>
      <c r="S835" s="288">
        <v>9689.4777521074648</v>
      </c>
      <c r="T835" s="290">
        <v>0.751</v>
      </c>
      <c r="U835" s="288">
        <v>0.75800000000000001</v>
      </c>
      <c r="V835" s="288">
        <v>0.723923076923077</v>
      </c>
      <c r="W835" s="288">
        <v>0.72750000000000004</v>
      </c>
      <c r="X835" s="288">
        <v>0.76</v>
      </c>
      <c r="Y835" s="288">
        <v>0</v>
      </c>
      <c r="Z835" s="289">
        <v>0</v>
      </c>
      <c r="AA835" s="229"/>
      <c r="AB835" s="293">
        <v>96688.835354071824</v>
      </c>
      <c r="AC835" s="294">
        <v>3.311057872409453</v>
      </c>
      <c r="AD835" s="295">
        <v>80227.414013731861</v>
      </c>
      <c r="AE835" s="294">
        <v>3.2250508616831102</v>
      </c>
      <c r="AF835" s="295">
        <v>16461.421340339963</v>
      </c>
      <c r="AG835" s="296">
        <v>8.600701072634287E-2</v>
      </c>
      <c r="AH835" s="229"/>
      <c r="AI835" s="205">
        <f t="shared" si="90"/>
        <v>234416.95188687352</v>
      </c>
      <c r="AJ835" s="205">
        <f t="shared" si="91"/>
        <v>242277.67215457914</v>
      </c>
      <c r="AK835" s="205">
        <f t="shared" si="92"/>
        <v>-7860.7202677056757</v>
      </c>
      <c r="AL835" s="229"/>
      <c r="AM835" s="52">
        <f t="shared" si="86"/>
        <v>0</v>
      </c>
      <c r="AN835" s="52">
        <f t="shared" si="87"/>
        <v>1</v>
      </c>
      <c r="AO835" s="52">
        <f t="shared" si="88"/>
        <v>0</v>
      </c>
      <c r="AP835" s="229"/>
      <c r="AQ835" s="28"/>
      <c r="AR835" s="28"/>
      <c r="AS835" s="28"/>
      <c r="AT835" s="28"/>
      <c r="AU835" s="229"/>
      <c r="AV835" s="318">
        <f t="shared" si="93"/>
        <v>242277.67215457914</v>
      </c>
      <c r="AW835" s="229"/>
      <c r="AX835" s="313"/>
      <c r="AY835" s="302"/>
      <c r="AZ835" s="14">
        <f t="shared" si="95"/>
        <v>16461.421340339963</v>
      </c>
      <c r="BA835" s="14">
        <f t="shared" si="94"/>
        <v>8.600701072634287E-2</v>
      </c>
      <c r="BB835" s="14">
        <f t="shared" si="89"/>
        <v>191396.27341213982</v>
      </c>
      <c r="BC835" s="302"/>
      <c r="BD835" s="302"/>
      <c r="BE835" s="302"/>
      <c r="BF835" s="302"/>
      <c r="BG835" s="302"/>
      <c r="BH835" s="302"/>
      <c r="BI835" s="302"/>
      <c r="BJ835" s="302"/>
      <c r="BK835" s="302"/>
      <c r="BL835" s="302"/>
      <c r="BM835" s="302"/>
      <c r="BN835" s="302"/>
      <c r="BO835" s="302"/>
      <c r="BP835" s="302"/>
      <c r="BQ835" s="302"/>
      <c r="BR835" s="302"/>
      <c r="BS835" s="302"/>
      <c r="BT835" s="302"/>
      <c r="BU835" s="302"/>
      <c r="BV835" s="302"/>
      <c r="BW835" s="302"/>
      <c r="BX835" s="302"/>
      <c r="BY835" s="302"/>
      <c r="BZ835" s="302"/>
      <c r="CA835" s="302"/>
      <c r="CB835" s="28"/>
      <c r="CC835" s="28"/>
      <c r="CD835" s="28"/>
      <c r="CE835" s="28"/>
      <c r="CF835" s="28"/>
      <c r="CG835" s="28"/>
      <c r="CH835" s="28"/>
      <c r="CI835" s="28"/>
      <c r="CJ835" s="28"/>
      <c r="CK835" s="28"/>
      <c r="CL835" s="28"/>
      <c r="CM835" s="28"/>
      <c r="CN835" s="28"/>
      <c r="CO835" s="28"/>
      <c r="CP835" s="28"/>
      <c r="CQ835" s="28"/>
      <c r="CR835" s="28"/>
      <c r="CS835" s="28"/>
      <c r="CT835" s="28"/>
      <c r="CU835" s="28"/>
      <c r="CV835" s="28"/>
      <c r="CW835" s="28"/>
    </row>
    <row r="836" spans="1:101" ht="14.25" customHeight="1" x14ac:dyDescent="0.2">
      <c r="A836" s="286"/>
      <c r="B836" s="52">
        <v>0.17945630655225309</v>
      </c>
      <c r="C836" s="288">
        <v>0.7518978176295823</v>
      </c>
      <c r="D836" s="288">
        <v>4.0977444988400096E-3</v>
      </c>
      <c r="E836" s="288">
        <v>3.3389753808176104E-2</v>
      </c>
      <c r="F836" s="289">
        <v>0.75837480325936901</v>
      </c>
      <c r="G836" s="92">
        <v>0.44948605175644596</v>
      </c>
      <c r="H836" s="288">
        <v>0.3160037440570807</v>
      </c>
      <c r="I836" s="288">
        <v>1.3531081171995736E-2</v>
      </c>
      <c r="J836" s="288">
        <v>1</v>
      </c>
      <c r="K836" s="288">
        <v>0.75827672040016059</v>
      </c>
      <c r="L836" s="290">
        <v>8873.8497579187551</v>
      </c>
      <c r="M836" s="288">
        <v>0</v>
      </c>
      <c r="N836" s="288">
        <v>23224.22975672095</v>
      </c>
      <c r="O836" s="288">
        <v>817.88219369605679</v>
      </c>
      <c r="P836" s="288">
        <v>43837.301627246867</v>
      </c>
      <c r="Q836" s="291">
        <v>88549.594720594992</v>
      </c>
      <c r="R836" s="288">
        <v>22220.840530204783</v>
      </c>
      <c r="S836" s="288">
        <v>7757.0147149787736</v>
      </c>
      <c r="T836" s="290">
        <v>0.751</v>
      </c>
      <c r="U836" s="288">
        <v>0.75800000000000001</v>
      </c>
      <c r="V836" s="288">
        <v>0.723923076923077</v>
      </c>
      <c r="W836" s="288">
        <v>0.72750000000000004</v>
      </c>
      <c r="X836" s="288">
        <v>0.76</v>
      </c>
      <c r="Y836" s="288">
        <v>0</v>
      </c>
      <c r="Z836" s="289">
        <v>0</v>
      </c>
      <c r="AA836" s="229"/>
      <c r="AB836" s="293">
        <v>70338.125839710774</v>
      </c>
      <c r="AC836" s="294">
        <v>3.0423707549403294</v>
      </c>
      <c r="AD836" s="295">
        <v>63181.464719543772</v>
      </c>
      <c r="AE836" s="294">
        <v>3.0463947414001655</v>
      </c>
      <c r="AF836" s="295">
        <v>7156.6611201670021</v>
      </c>
      <c r="AG836" s="296">
        <v>-4.0239864598361486E-3</v>
      </c>
      <c r="AH836" s="229"/>
      <c r="AI836" s="205">
        <f t="shared" si="90"/>
        <v>233898.94965432218</v>
      </c>
      <c r="AJ836" s="205">
        <f t="shared" si="91"/>
        <v>241458.00942047278</v>
      </c>
      <c r="AK836" s="205">
        <f t="shared" si="92"/>
        <v>-7559.0597661506172</v>
      </c>
      <c r="AL836" s="229"/>
      <c r="AM836" s="52">
        <f t="shared" si="86"/>
        <v>0</v>
      </c>
      <c r="AN836" s="52">
        <f t="shared" si="87"/>
        <v>1</v>
      </c>
      <c r="AO836" s="52">
        <f t="shared" si="88"/>
        <v>0</v>
      </c>
      <c r="AP836" s="229"/>
      <c r="AQ836" s="28"/>
      <c r="AR836" s="28"/>
      <c r="AS836" s="28"/>
      <c r="AT836" s="28"/>
      <c r="AU836" s="229"/>
      <c r="AV836" s="318">
        <f t="shared" si="93"/>
        <v>241458.00942047278</v>
      </c>
      <c r="AW836" s="229"/>
      <c r="AX836" s="313"/>
      <c r="AY836" s="302"/>
      <c r="AZ836" s="14">
        <f t="shared" si="95"/>
        <v>7156.6611201670021</v>
      </c>
      <c r="BA836" s="14">
        <f t="shared" si="94"/>
        <v>-4.0239864598361486E-3</v>
      </c>
      <c r="BB836" s="14">
        <f t="shared" si="89"/>
        <v>-1778500.2985468325</v>
      </c>
      <c r="BC836" s="302"/>
      <c r="BD836" s="302"/>
      <c r="BE836" s="302"/>
      <c r="BF836" s="302"/>
      <c r="BG836" s="302"/>
      <c r="BH836" s="302"/>
      <c r="BI836" s="302"/>
      <c r="BJ836" s="302"/>
      <c r="BK836" s="302"/>
      <c r="BL836" s="302"/>
      <c r="BM836" s="302"/>
      <c r="BN836" s="302"/>
      <c r="BO836" s="302"/>
      <c r="BP836" s="302"/>
      <c r="BQ836" s="302"/>
      <c r="BR836" s="302"/>
      <c r="BS836" s="302"/>
      <c r="BT836" s="302"/>
      <c r="BU836" s="302"/>
      <c r="BV836" s="302"/>
      <c r="BW836" s="302"/>
      <c r="BX836" s="302"/>
      <c r="BY836" s="302"/>
      <c r="BZ836" s="302"/>
      <c r="CA836" s="302"/>
      <c r="CB836" s="28"/>
      <c r="CC836" s="28"/>
      <c r="CD836" s="28"/>
      <c r="CE836" s="28"/>
      <c r="CF836" s="28"/>
      <c r="CG836" s="28"/>
      <c r="CH836" s="28"/>
      <c r="CI836" s="28"/>
      <c r="CJ836" s="28"/>
      <c r="CK836" s="28"/>
      <c r="CL836" s="28"/>
      <c r="CM836" s="28"/>
      <c r="CN836" s="28"/>
      <c r="CO836" s="28"/>
      <c r="CP836" s="28"/>
      <c r="CQ836" s="28"/>
      <c r="CR836" s="28"/>
      <c r="CS836" s="28"/>
      <c r="CT836" s="28"/>
      <c r="CU836" s="28"/>
      <c r="CV836" s="28"/>
      <c r="CW836" s="28"/>
    </row>
    <row r="837" spans="1:101" ht="14.25" customHeight="1" x14ac:dyDescent="0.2">
      <c r="A837" s="286"/>
      <c r="B837" s="52">
        <v>0.15233475062595589</v>
      </c>
      <c r="C837" s="288">
        <v>4.1417662496084348E-2</v>
      </c>
      <c r="D837" s="288">
        <v>1.6212423156395817E-2</v>
      </c>
      <c r="E837" s="288">
        <v>8.7884421682230159E-3</v>
      </c>
      <c r="F837" s="289">
        <v>0.7522963491373541</v>
      </c>
      <c r="G837" s="92">
        <v>0.45297406291611619</v>
      </c>
      <c r="H837" s="288">
        <v>0.93049150913815004</v>
      </c>
      <c r="I837" s="288">
        <v>1.1175059369808027E-2</v>
      </c>
      <c r="J837" s="288">
        <v>0.14526542967850772</v>
      </c>
      <c r="K837" s="288">
        <v>0.75638192099500023</v>
      </c>
      <c r="L837" s="290">
        <v>14154.495844962585</v>
      </c>
      <c r="M837" s="288">
        <v>0</v>
      </c>
      <c r="N837" s="288">
        <v>19050.888964723494</v>
      </c>
      <c r="O837" s="288">
        <v>1195.2770292280911</v>
      </c>
      <c r="P837" s="288">
        <v>33147.92217216429</v>
      </c>
      <c r="Q837" s="291">
        <v>93049.657239774344</v>
      </c>
      <c r="R837" s="288">
        <v>23830.314546733793</v>
      </c>
      <c r="S837" s="288">
        <v>12290.500826143056</v>
      </c>
      <c r="T837" s="290">
        <v>0.751</v>
      </c>
      <c r="U837" s="288">
        <v>0.75800000000000001</v>
      </c>
      <c r="V837" s="288">
        <v>0.723923076923077</v>
      </c>
      <c r="W837" s="288">
        <v>0.72750000000000004</v>
      </c>
      <c r="X837" s="288">
        <v>0.76</v>
      </c>
      <c r="Y837" s="288">
        <v>0</v>
      </c>
      <c r="Z837" s="289">
        <v>0</v>
      </c>
      <c r="AA837" s="229"/>
      <c r="AB837" s="293">
        <v>106275.3837066159</v>
      </c>
      <c r="AC837" s="294">
        <v>3.0143996146134926</v>
      </c>
      <c r="AD837" s="295">
        <v>103686.38443547183</v>
      </c>
      <c r="AE837" s="294">
        <v>3.0376528053121392</v>
      </c>
      <c r="AF837" s="295">
        <v>2588.9992711440718</v>
      </c>
      <c r="AG837" s="296">
        <v>-2.325319069864662E-2</v>
      </c>
      <c r="AH837" s="229"/>
      <c r="AI837" s="205">
        <f t="shared" si="90"/>
        <v>195164.57775473339</v>
      </c>
      <c r="AJ837" s="205">
        <f t="shared" si="91"/>
        <v>200078.89609574206</v>
      </c>
      <c r="AK837" s="205">
        <f t="shared" si="92"/>
        <v>-4914.318341008734</v>
      </c>
      <c r="AL837" s="229"/>
      <c r="AM837" s="52">
        <f t="shared" si="86"/>
        <v>0</v>
      </c>
      <c r="AN837" s="52">
        <f t="shared" si="87"/>
        <v>1</v>
      </c>
      <c r="AO837" s="52">
        <f t="shared" si="88"/>
        <v>0</v>
      </c>
      <c r="AP837" s="229"/>
      <c r="AQ837" s="28"/>
      <c r="AR837" s="28"/>
      <c r="AS837" s="28"/>
      <c r="AT837" s="28"/>
      <c r="AU837" s="229"/>
      <c r="AV837" s="318">
        <f t="shared" si="93"/>
        <v>200078.89609574206</v>
      </c>
      <c r="AW837" s="229"/>
      <c r="AX837" s="313"/>
      <c r="AY837" s="302"/>
      <c r="AZ837" s="14">
        <f t="shared" si="95"/>
        <v>2588.9992711440718</v>
      </c>
      <c r="BA837" s="14">
        <f t="shared" si="94"/>
        <v>-2.325319069864662E-2</v>
      </c>
      <c r="BB837" s="14">
        <f t="shared" si="89"/>
        <v>-111339.52775327115</v>
      </c>
      <c r="BC837" s="302"/>
      <c r="BD837" s="302"/>
      <c r="BE837" s="302"/>
      <c r="BF837" s="302"/>
      <c r="BG837" s="302"/>
      <c r="BH837" s="302"/>
      <c r="BI837" s="302"/>
      <c r="BJ837" s="302"/>
      <c r="BK837" s="302"/>
      <c r="BL837" s="302"/>
      <c r="BM837" s="302"/>
      <c r="BN837" s="302"/>
      <c r="BO837" s="302"/>
      <c r="BP837" s="302"/>
      <c r="BQ837" s="302"/>
      <c r="BR837" s="302"/>
      <c r="BS837" s="302"/>
      <c r="BT837" s="302"/>
      <c r="BU837" s="302"/>
      <c r="BV837" s="302"/>
      <c r="BW837" s="302"/>
      <c r="BX837" s="302"/>
      <c r="BY837" s="302"/>
      <c r="BZ837" s="302"/>
      <c r="CA837" s="302"/>
      <c r="CB837" s="28"/>
      <c r="CC837" s="28"/>
      <c r="CD837" s="28"/>
      <c r="CE837" s="28"/>
      <c r="CF837" s="28"/>
      <c r="CG837" s="28"/>
      <c r="CH837" s="28"/>
      <c r="CI837" s="28"/>
      <c r="CJ837" s="28"/>
      <c r="CK837" s="28"/>
      <c r="CL837" s="28"/>
      <c r="CM837" s="28"/>
      <c r="CN837" s="28"/>
      <c r="CO837" s="28"/>
      <c r="CP837" s="28"/>
      <c r="CQ837" s="28"/>
      <c r="CR837" s="28"/>
      <c r="CS837" s="28"/>
      <c r="CT837" s="28"/>
      <c r="CU837" s="28"/>
      <c r="CV837" s="28"/>
      <c r="CW837" s="28"/>
    </row>
    <row r="838" spans="1:101" ht="14.25" customHeight="1" x14ac:dyDescent="0.2">
      <c r="A838" s="286"/>
      <c r="B838" s="52">
        <v>0.16428432491805789</v>
      </c>
      <c r="C838" s="288">
        <v>0.88953716444120512</v>
      </c>
      <c r="D838" s="288">
        <v>1.1337731447879817E-2</v>
      </c>
      <c r="E838" s="288">
        <v>9.9831730197776445E-3</v>
      </c>
      <c r="F838" s="289">
        <v>0.78909874594410934</v>
      </c>
      <c r="G838" s="92">
        <v>0.37435618792207409</v>
      </c>
      <c r="H838" s="288">
        <v>0.34807449702672261</v>
      </c>
      <c r="I838" s="288">
        <v>4.9298188474333343E-3</v>
      </c>
      <c r="J838" s="288">
        <v>0.99999971720667857</v>
      </c>
      <c r="K838" s="288">
        <v>0.777445046252216</v>
      </c>
      <c r="L838" s="290">
        <v>9773.3962217337885</v>
      </c>
      <c r="M838" s="288">
        <v>0</v>
      </c>
      <c r="N838" s="288">
        <v>12052.505387719053</v>
      </c>
      <c r="O838" s="288">
        <v>1178.9811736286008</v>
      </c>
      <c r="P838" s="288">
        <v>34924.338071531252</v>
      </c>
      <c r="Q838" s="291">
        <v>119117.84984811603</v>
      </c>
      <c r="R838" s="288">
        <v>17895.380098781887</v>
      </c>
      <c r="S838" s="288">
        <v>8555.6354044002055</v>
      </c>
      <c r="T838" s="290">
        <v>0.751</v>
      </c>
      <c r="U838" s="288">
        <v>0.75800000000000001</v>
      </c>
      <c r="V838" s="288">
        <v>0.723923076923077</v>
      </c>
      <c r="W838" s="288">
        <v>0.72750000000000004</v>
      </c>
      <c r="X838" s="288">
        <v>0.76</v>
      </c>
      <c r="Y838" s="288">
        <v>0</v>
      </c>
      <c r="Z838" s="289">
        <v>0</v>
      </c>
      <c r="AA838" s="229"/>
      <c r="AB838" s="293">
        <v>79657.724262385542</v>
      </c>
      <c r="AC838" s="294">
        <v>3.1846394705129257</v>
      </c>
      <c r="AD838" s="295">
        <v>69423.699557934829</v>
      </c>
      <c r="AE838" s="294">
        <v>3.1351488368969669</v>
      </c>
      <c r="AF838" s="295">
        <v>10234.024704450712</v>
      </c>
      <c r="AG838" s="296">
        <v>4.9490633615958846E-2</v>
      </c>
      <c r="AH838" s="229"/>
      <c r="AI838" s="205">
        <f t="shared" si="90"/>
        <v>238806.22278890703</v>
      </c>
      <c r="AJ838" s="205">
        <f t="shared" si="91"/>
        <v>244091.18413176184</v>
      </c>
      <c r="AK838" s="205">
        <f t="shared" si="92"/>
        <v>-5284.9613428548273</v>
      </c>
      <c r="AL838" s="229"/>
      <c r="AM838" s="52">
        <f t="shared" si="86"/>
        <v>0</v>
      </c>
      <c r="AN838" s="52">
        <f t="shared" si="87"/>
        <v>1</v>
      </c>
      <c r="AO838" s="52">
        <f t="shared" si="88"/>
        <v>0</v>
      </c>
      <c r="AP838" s="229"/>
      <c r="AQ838" s="28"/>
      <c r="AR838" s="28"/>
      <c r="AS838" s="28"/>
      <c r="AT838" s="28"/>
      <c r="AU838" s="229"/>
      <c r="AV838" s="318">
        <f t="shared" si="93"/>
        <v>244091.18413176184</v>
      </c>
      <c r="AW838" s="229"/>
      <c r="AX838" s="313"/>
      <c r="AY838" s="302"/>
      <c r="AZ838" s="14">
        <f t="shared" si="95"/>
        <v>10234.024704450712</v>
      </c>
      <c r="BA838" s="14">
        <f t="shared" si="94"/>
        <v>4.9490633615958846E-2</v>
      </c>
      <c r="BB838" s="14">
        <f t="shared" si="89"/>
        <v>206787.10205784533</v>
      </c>
      <c r="BC838" s="302"/>
      <c r="BD838" s="302"/>
      <c r="BE838" s="302"/>
      <c r="BF838" s="302"/>
      <c r="BG838" s="302"/>
      <c r="BH838" s="302"/>
      <c r="BI838" s="302"/>
      <c r="BJ838" s="302"/>
      <c r="BK838" s="302"/>
      <c r="BL838" s="302"/>
      <c r="BM838" s="302"/>
      <c r="BN838" s="302"/>
      <c r="BO838" s="302"/>
      <c r="BP838" s="302"/>
      <c r="BQ838" s="302"/>
      <c r="BR838" s="302"/>
      <c r="BS838" s="302"/>
      <c r="BT838" s="302"/>
      <c r="BU838" s="302"/>
      <c r="BV838" s="302"/>
      <c r="BW838" s="302"/>
      <c r="BX838" s="302"/>
      <c r="BY838" s="302"/>
      <c r="BZ838" s="302"/>
      <c r="CA838" s="302"/>
      <c r="CB838" s="28"/>
      <c r="CC838" s="28"/>
      <c r="CD838" s="28"/>
      <c r="CE838" s="28"/>
      <c r="CF838" s="28"/>
      <c r="CG838" s="28"/>
      <c r="CH838" s="28"/>
      <c r="CI838" s="28"/>
      <c r="CJ838" s="28"/>
      <c r="CK838" s="28"/>
      <c r="CL838" s="28"/>
      <c r="CM838" s="28"/>
      <c r="CN838" s="28"/>
      <c r="CO838" s="28"/>
      <c r="CP838" s="28"/>
      <c r="CQ838" s="28"/>
      <c r="CR838" s="28"/>
      <c r="CS838" s="28"/>
      <c r="CT838" s="28"/>
      <c r="CU838" s="28"/>
      <c r="CV838" s="28"/>
      <c r="CW838" s="28"/>
    </row>
    <row r="839" spans="1:101" ht="14.25" customHeight="1" x14ac:dyDescent="0.2">
      <c r="A839" s="286"/>
      <c r="B839" s="52">
        <v>0.18359139249467116</v>
      </c>
      <c r="C839" s="288">
        <v>3.3947023480149129E-2</v>
      </c>
      <c r="D839" s="288">
        <v>3.5558098303708818E-2</v>
      </c>
      <c r="E839" s="288">
        <v>1.5092302909025079E-2</v>
      </c>
      <c r="F839" s="289">
        <v>0.75735426815032736</v>
      </c>
      <c r="G839" s="92">
        <v>0.39461221832911303</v>
      </c>
      <c r="H839" s="288">
        <v>3.1161679668018884E-2</v>
      </c>
      <c r="I839" s="288">
        <v>2.5293819925472416E-2</v>
      </c>
      <c r="J839" s="288">
        <v>0.99999999954383645</v>
      </c>
      <c r="K839" s="288">
        <v>0.76711854668028012</v>
      </c>
      <c r="L839" s="290">
        <v>10762.798435689932</v>
      </c>
      <c r="M839" s="288">
        <v>0</v>
      </c>
      <c r="N839" s="288">
        <v>22919.492493717131</v>
      </c>
      <c r="O839" s="288">
        <v>820.87971552750298</v>
      </c>
      <c r="P839" s="288">
        <v>44338.314855319557</v>
      </c>
      <c r="Q839" s="291">
        <v>97518.865213807643</v>
      </c>
      <c r="R839" s="288">
        <v>16749.382529682291</v>
      </c>
      <c r="S839" s="288">
        <v>6801.513922629998</v>
      </c>
      <c r="T839" s="290">
        <v>0.751</v>
      </c>
      <c r="U839" s="288">
        <v>0.75800000000000001</v>
      </c>
      <c r="V839" s="288">
        <v>0.723923076923077</v>
      </c>
      <c r="W839" s="288">
        <v>0.72750000000000004</v>
      </c>
      <c r="X839" s="288">
        <v>0.76</v>
      </c>
      <c r="Y839" s="288">
        <v>0</v>
      </c>
      <c r="Z839" s="289">
        <v>0</v>
      </c>
      <c r="AA839" s="229"/>
      <c r="AB839" s="293">
        <v>62669.353137721868</v>
      </c>
      <c r="AC839" s="294">
        <v>3.0376705241683792</v>
      </c>
      <c r="AD839" s="295">
        <v>54202.243007397075</v>
      </c>
      <c r="AE839" s="294">
        <v>3.0872626268034136</v>
      </c>
      <c r="AF839" s="295">
        <v>8467.1101303247924</v>
      </c>
      <c r="AG839" s="296">
        <v>-4.959210263503433E-2</v>
      </c>
      <c r="AH839" s="229"/>
      <c r="AI839" s="205">
        <f t="shared" si="90"/>
        <v>241097.69927911609</v>
      </c>
      <c r="AJ839" s="205">
        <f t="shared" si="91"/>
        <v>254524.0196729443</v>
      </c>
      <c r="AK839" s="205">
        <f t="shared" si="92"/>
        <v>-13426.320393828224</v>
      </c>
      <c r="AL839" s="229"/>
      <c r="AM839" s="52">
        <f t="shared" si="86"/>
        <v>0</v>
      </c>
      <c r="AN839" s="52">
        <f t="shared" si="87"/>
        <v>1</v>
      </c>
      <c r="AO839" s="52">
        <f t="shared" si="88"/>
        <v>0</v>
      </c>
      <c r="AP839" s="229"/>
      <c r="AQ839" s="28"/>
      <c r="AR839" s="28"/>
      <c r="AS839" s="28"/>
      <c r="AT839" s="28"/>
      <c r="AU839" s="229"/>
      <c r="AV839" s="318">
        <f t="shared" si="93"/>
        <v>254524.0196729443</v>
      </c>
      <c r="AW839" s="229"/>
      <c r="AX839" s="313"/>
      <c r="AY839" s="302"/>
      <c r="AZ839" s="14">
        <f t="shared" si="95"/>
        <v>8467.1101303247924</v>
      </c>
      <c r="BA839" s="14">
        <f t="shared" si="94"/>
        <v>-4.959210263503433E-2</v>
      </c>
      <c r="BB839" s="14">
        <f t="shared" si="89"/>
        <v>-170735.05014774681</v>
      </c>
      <c r="BC839" s="302"/>
      <c r="BD839" s="302"/>
      <c r="BE839" s="302"/>
      <c r="BF839" s="302"/>
      <c r="BG839" s="302"/>
      <c r="BH839" s="302"/>
      <c r="BI839" s="302"/>
      <c r="BJ839" s="302"/>
      <c r="BK839" s="302"/>
      <c r="BL839" s="302"/>
      <c r="BM839" s="302"/>
      <c r="BN839" s="302"/>
      <c r="BO839" s="302"/>
      <c r="BP839" s="302"/>
      <c r="BQ839" s="302"/>
      <c r="BR839" s="302"/>
      <c r="BS839" s="302"/>
      <c r="BT839" s="302"/>
      <c r="BU839" s="302"/>
      <c r="BV839" s="302"/>
      <c r="BW839" s="302"/>
      <c r="BX839" s="302"/>
      <c r="BY839" s="302"/>
      <c r="BZ839" s="302"/>
      <c r="CA839" s="302"/>
      <c r="CB839" s="28"/>
      <c r="CC839" s="28"/>
      <c r="CD839" s="28"/>
      <c r="CE839" s="28"/>
      <c r="CF839" s="28"/>
      <c r="CG839" s="28"/>
      <c r="CH839" s="28"/>
      <c r="CI839" s="28"/>
      <c r="CJ839" s="28"/>
      <c r="CK839" s="28"/>
      <c r="CL839" s="28"/>
      <c r="CM839" s="28"/>
      <c r="CN839" s="28"/>
      <c r="CO839" s="28"/>
      <c r="CP839" s="28"/>
      <c r="CQ839" s="28"/>
      <c r="CR839" s="28"/>
      <c r="CS839" s="28"/>
      <c r="CT839" s="28"/>
      <c r="CU839" s="28"/>
      <c r="CV839" s="28"/>
      <c r="CW839" s="28"/>
    </row>
    <row r="840" spans="1:101" ht="14.25" customHeight="1" x14ac:dyDescent="0.2">
      <c r="A840" s="286"/>
      <c r="B840" s="52">
        <v>0.13976233072915084</v>
      </c>
      <c r="C840" s="288">
        <v>4.6370969573381091E-2</v>
      </c>
      <c r="D840" s="288">
        <v>1.53669103924714E-2</v>
      </c>
      <c r="E840" s="288">
        <v>1.1110378514869542E-2</v>
      </c>
      <c r="F840" s="289">
        <v>0.80916611323030707</v>
      </c>
      <c r="G840" s="92">
        <v>0.33858378905993308</v>
      </c>
      <c r="H840" s="288">
        <v>0.13231451220560439</v>
      </c>
      <c r="I840" s="288">
        <v>8.9773022669909636E-3</v>
      </c>
      <c r="J840" s="288">
        <v>1</v>
      </c>
      <c r="K840" s="288">
        <v>0.76310144608094521</v>
      </c>
      <c r="L840" s="290">
        <v>8588.4268242890103</v>
      </c>
      <c r="M840" s="288">
        <v>0</v>
      </c>
      <c r="N840" s="288">
        <v>16400.084187424854</v>
      </c>
      <c r="O840" s="288">
        <v>1258.8998484080853</v>
      </c>
      <c r="P840" s="288">
        <v>40800.472480259959</v>
      </c>
      <c r="Q840" s="291">
        <v>85154.925511707421</v>
      </c>
      <c r="R840" s="288">
        <v>23870.706037589272</v>
      </c>
      <c r="S840" s="288">
        <v>8891.7123923139643</v>
      </c>
      <c r="T840" s="290">
        <v>0.751</v>
      </c>
      <c r="U840" s="288">
        <v>0.75800000000000001</v>
      </c>
      <c r="V840" s="288">
        <v>0.723923076923077</v>
      </c>
      <c r="W840" s="288">
        <v>0.72750000000000004</v>
      </c>
      <c r="X840" s="288">
        <v>0.76</v>
      </c>
      <c r="Y840" s="288">
        <v>0</v>
      </c>
      <c r="Z840" s="289">
        <v>0</v>
      </c>
      <c r="AA840" s="229"/>
      <c r="AB840" s="293">
        <v>80349.012537817252</v>
      </c>
      <c r="AC840" s="294">
        <v>3.2783617389294073</v>
      </c>
      <c r="AD840" s="295">
        <v>69581.812435420637</v>
      </c>
      <c r="AE840" s="294">
        <v>3.0686798747344466</v>
      </c>
      <c r="AF840" s="295">
        <v>10767.200102396615</v>
      </c>
      <c r="AG840" s="296">
        <v>0.20968186419496071</v>
      </c>
      <c r="AH840" s="229"/>
      <c r="AI840" s="205">
        <f t="shared" si="90"/>
        <v>247487.16135512351</v>
      </c>
      <c r="AJ840" s="205">
        <f t="shared" si="91"/>
        <v>237286.17503802403</v>
      </c>
      <c r="AK840" s="205">
        <f t="shared" si="92"/>
        <v>10200.986317099458</v>
      </c>
      <c r="AL840" s="229"/>
      <c r="AM840" s="52">
        <f t="shared" si="86"/>
        <v>1</v>
      </c>
      <c r="AN840" s="52">
        <f t="shared" si="87"/>
        <v>0</v>
      </c>
      <c r="AO840" s="52">
        <f t="shared" si="88"/>
        <v>1</v>
      </c>
      <c r="AP840" s="229"/>
      <c r="AQ840" s="28"/>
      <c r="AR840" s="28"/>
      <c r="AS840" s="28"/>
      <c r="AT840" s="28"/>
      <c r="AU840" s="229"/>
      <c r="AV840" s="318">
        <f t="shared" si="93"/>
        <v>247487.16135512351</v>
      </c>
      <c r="AW840" s="229"/>
      <c r="AX840" s="313"/>
      <c r="AY840" s="302"/>
      <c r="AZ840" s="14">
        <f t="shared" si="95"/>
        <v>10767.200102396615</v>
      </c>
      <c r="BA840" s="14">
        <f t="shared" si="94"/>
        <v>0.20968186419496071</v>
      </c>
      <c r="BB840" s="14">
        <f t="shared" si="89"/>
        <v>51350.1734817912</v>
      </c>
      <c r="BC840" s="302"/>
      <c r="BD840" s="302"/>
      <c r="BE840" s="302"/>
      <c r="BF840" s="302"/>
      <c r="BG840" s="302"/>
      <c r="BH840" s="302"/>
      <c r="BI840" s="302"/>
      <c r="BJ840" s="302"/>
      <c r="BK840" s="302"/>
      <c r="BL840" s="302"/>
      <c r="BM840" s="302"/>
      <c r="BN840" s="302"/>
      <c r="BO840" s="302"/>
      <c r="BP840" s="302"/>
      <c r="BQ840" s="302"/>
      <c r="BR840" s="302"/>
      <c r="BS840" s="302"/>
      <c r="BT840" s="302"/>
      <c r="BU840" s="302"/>
      <c r="BV840" s="302"/>
      <c r="BW840" s="302"/>
      <c r="BX840" s="302"/>
      <c r="BY840" s="302"/>
      <c r="BZ840" s="302"/>
      <c r="CA840" s="302"/>
      <c r="CB840" s="28"/>
      <c r="CC840" s="28"/>
      <c r="CD840" s="28"/>
      <c r="CE840" s="28"/>
      <c r="CF840" s="28"/>
      <c r="CG840" s="28"/>
      <c r="CH840" s="28"/>
      <c r="CI840" s="28"/>
      <c r="CJ840" s="28"/>
      <c r="CK840" s="28"/>
      <c r="CL840" s="28"/>
      <c r="CM840" s="28"/>
      <c r="CN840" s="28"/>
      <c r="CO840" s="28"/>
      <c r="CP840" s="28"/>
      <c r="CQ840" s="28"/>
      <c r="CR840" s="28"/>
      <c r="CS840" s="28"/>
      <c r="CT840" s="28"/>
      <c r="CU840" s="28"/>
      <c r="CV840" s="28"/>
      <c r="CW840" s="28"/>
    </row>
    <row r="841" spans="1:101" ht="14.25" customHeight="1" x14ac:dyDescent="0.2">
      <c r="A841" s="286"/>
      <c r="B841" s="52">
        <v>0.13673367619954072</v>
      </c>
      <c r="C841" s="288">
        <v>0.36289282644897469</v>
      </c>
      <c r="D841" s="288">
        <v>1.0287877827821779E-2</v>
      </c>
      <c r="E841" s="288">
        <v>1.1219492437842997E-2</v>
      </c>
      <c r="F841" s="289">
        <v>0.79159101800095999</v>
      </c>
      <c r="G841" s="92">
        <v>0.4358438569166756</v>
      </c>
      <c r="H841" s="288">
        <v>0.84696984041650547</v>
      </c>
      <c r="I841" s="288">
        <v>2.361113757424759E-3</v>
      </c>
      <c r="J841" s="288">
        <v>0.99935685943050212</v>
      </c>
      <c r="K841" s="288">
        <v>0.73029479682744847</v>
      </c>
      <c r="L841" s="290">
        <v>11649.234002416082</v>
      </c>
      <c r="M841" s="288">
        <v>0</v>
      </c>
      <c r="N841" s="288">
        <v>17256.415902066092</v>
      </c>
      <c r="O841" s="288">
        <v>1816.0396226632186</v>
      </c>
      <c r="P841" s="288">
        <v>49054.722164085331</v>
      </c>
      <c r="Q841" s="291">
        <v>67178.535144341382</v>
      </c>
      <c r="R841" s="288">
        <v>23768.718262272156</v>
      </c>
      <c r="S841" s="288">
        <v>6801.4734411697991</v>
      </c>
      <c r="T841" s="290">
        <v>0.751</v>
      </c>
      <c r="U841" s="288">
        <v>0.75800000000000001</v>
      </c>
      <c r="V841" s="288">
        <v>0.723923076923077</v>
      </c>
      <c r="W841" s="288">
        <v>0.72750000000000004</v>
      </c>
      <c r="X841" s="288">
        <v>0.76</v>
      </c>
      <c r="Y841" s="288">
        <v>0</v>
      </c>
      <c r="Z841" s="289">
        <v>0</v>
      </c>
      <c r="AA841" s="229"/>
      <c r="AB841" s="293">
        <v>66486.250665259853</v>
      </c>
      <c r="AC841" s="294">
        <v>3.1962449810955751</v>
      </c>
      <c r="AD841" s="295">
        <v>59220.605159910512</v>
      </c>
      <c r="AE841" s="294">
        <v>2.9178713222807842</v>
      </c>
      <c r="AF841" s="295">
        <v>7265.645505349341</v>
      </c>
      <c r="AG841" s="296">
        <v>0.27837365881479093</v>
      </c>
      <c r="AH841" s="229"/>
      <c r="AI841" s="205">
        <f t="shared" si="90"/>
        <v>253138.24744429765</v>
      </c>
      <c r="AJ841" s="205">
        <f t="shared" si="91"/>
        <v>232566.52706816792</v>
      </c>
      <c r="AK841" s="205">
        <f t="shared" si="92"/>
        <v>20571.720376129753</v>
      </c>
      <c r="AL841" s="229"/>
      <c r="AM841" s="52">
        <f t="shared" si="86"/>
        <v>1</v>
      </c>
      <c r="AN841" s="52">
        <f t="shared" si="87"/>
        <v>0</v>
      </c>
      <c r="AO841" s="52">
        <f t="shared" si="88"/>
        <v>1</v>
      </c>
      <c r="AP841" s="229"/>
      <c r="AQ841" s="28"/>
      <c r="AR841" s="28"/>
      <c r="AS841" s="28"/>
      <c r="AT841" s="28"/>
      <c r="AU841" s="229"/>
      <c r="AV841" s="318">
        <f t="shared" si="93"/>
        <v>253138.24744429765</v>
      </c>
      <c r="AW841" s="229"/>
      <c r="AX841" s="313"/>
      <c r="AY841" s="302"/>
      <c r="AZ841" s="14">
        <f t="shared" si="95"/>
        <v>7265.645505349341</v>
      </c>
      <c r="BA841" s="14">
        <f t="shared" si="94"/>
        <v>0.27837365881479093</v>
      </c>
      <c r="BB841" s="14">
        <f t="shared" si="89"/>
        <v>26100.334120274503</v>
      </c>
      <c r="BC841" s="302"/>
      <c r="BD841" s="302"/>
      <c r="BE841" s="302"/>
      <c r="BF841" s="302"/>
      <c r="BG841" s="302"/>
      <c r="BH841" s="302"/>
      <c r="BI841" s="302"/>
      <c r="BJ841" s="302"/>
      <c r="BK841" s="302"/>
      <c r="BL841" s="302"/>
      <c r="BM841" s="302"/>
      <c r="BN841" s="302"/>
      <c r="BO841" s="302"/>
      <c r="BP841" s="302"/>
      <c r="BQ841" s="302"/>
      <c r="BR841" s="302"/>
      <c r="BS841" s="302"/>
      <c r="BT841" s="302"/>
      <c r="BU841" s="302"/>
      <c r="BV841" s="302"/>
      <c r="BW841" s="302"/>
      <c r="BX841" s="302"/>
      <c r="BY841" s="302"/>
      <c r="BZ841" s="302"/>
      <c r="CA841" s="302"/>
      <c r="CB841" s="28"/>
      <c r="CC841" s="28"/>
      <c r="CD841" s="28"/>
      <c r="CE841" s="28"/>
      <c r="CF841" s="28"/>
      <c r="CG841" s="28"/>
      <c r="CH841" s="28"/>
      <c r="CI841" s="28"/>
      <c r="CJ841" s="28"/>
      <c r="CK841" s="28"/>
      <c r="CL841" s="28"/>
      <c r="CM841" s="28"/>
      <c r="CN841" s="28"/>
      <c r="CO841" s="28"/>
      <c r="CP841" s="28"/>
      <c r="CQ841" s="28"/>
      <c r="CR841" s="28"/>
      <c r="CS841" s="28"/>
      <c r="CT841" s="28"/>
      <c r="CU841" s="28"/>
      <c r="CV841" s="28"/>
      <c r="CW841" s="28"/>
    </row>
    <row r="842" spans="1:101" ht="14.25" customHeight="1" x14ac:dyDescent="0.2">
      <c r="A842" s="286"/>
      <c r="B842" s="52">
        <v>0.15924565168841562</v>
      </c>
      <c r="C842" s="288">
        <v>0.63398354758850184</v>
      </c>
      <c r="D842" s="288">
        <v>5.3156351139069186E-3</v>
      </c>
      <c r="E842" s="288">
        <v>1.5188910059416694E-2</v>
      </c>
      <c r="F842" s="289">
        <v>0.77219624666510667</v>
      </c>
      <c r="G842" s="92">
        <v>0.4147181599581039</v>
      </c>
      <c r="H842" s="288">
        <v>0.97890234826106082</v>
      </c>
      <c r="I842" s="288">
        <v>9.5020545778036689E-3</v>
      </c>
      <c r="J842" s="288">
        <v>0.7921476089688062</v>
      </c>
      <c r="K842" s="288">
        <v>0.79061383989394307</v>
      </c>
      <c r="L842" s="290">
        <v>16373.458814544887</v>
      </c>
      <c r="M842" s="288">
        <v>0</v>
      </c>
      <c r="N842" s="288">
        <v>16471.379820374841</v>
      </c>
      <c r="O842" s="288">
        <v>1233.257493989687</v>
      </c>
      <c r="P842" s="288">
        <v>81959.002584587477</v>
      </c>
      <c r="Q842" s="291">
        <v>86288.335261591681</v>
      </c>
      <c r="R842" s="288">
        <v>26371.13192883131</v>
      </c>
      <c r="S842" s="288">
        <v>9609.2655732991971</v>
      </c>
      <c r="T842" s="290">
        <v>0.751</v>
      </c>
      <c r="U842" s="288">
        <v>0.75800000000000001</v>
      </c>
      <c r="V842" s="288">
        <v>0.723923076923077</v>
      </c>
      <c r="W842" s="288">
        <v>0.72750000000000004</v>
      </c>
      <c r="X842" s="288">
        <v>0.76</v>
      </c>
      <c r="Y842" s="288">
        <v>0</v>
      </c>
      <c r="Z842" s="289">
        <v>0</v>
      </c>
      <c r="AA842" s="229"/>
      <c r="AB842" s="293">
        <v>92783.888453594816</v>
      </c>
      <c r="AC842" s="294">
        <v>3.1061884088732103</v>
      </c>
      <c r="AD842" s="295">
        <v>87584.758115894889</v>
      </c>
      <c r="AE842" s="294">
        <v>3.1964592283718023</v>
      </c>
      <c r="AF842" s="295">
        <v>5199.1303376999276</v>
      </c>
      <c r="AG842" s="296">
        <v>-9.0270819498591948E-2</v>
      </c>
      <c r="AH842" s="229"/>
      <c r="AI842" s="205">
        <f t="shared" si="90"/>
        <v>217834.95243372623</v>
      </c>
      <c r="AJ842" s="205">
        <f t="shared" si="91"/>
        <v>232061.16472128531</v>
      </c>
      <c r="AK842" s="205">
        <f t="shared" si="92"/>
        <v>-14226.212287559123</v>
      </c>
      <c r="AL842" s="229"/>
      <c r="AM842" s="52">
        <f t="shared" si="86"/>
        <v>0</v>
      </c>
      <c r="AN842" s="52">
        <f t="shared" si="87"/>
        <v>1</v>
      </c>
      <c r="AO842" s="52">
        <f t="shared" si="88"/>
        <v>0</v>
      </c>
      <c r="AP842" s="229"/>
      <c r="AQ842" s="28"/>
      <c r="AR842" s="28"/>
      <c r="AS842" s="28"/>
      <c r="AT842" s="28"/>
      <c r="AU842" s="229"/>
      <c r="AV842" s="318">
        <f t="shared" si="93"/>
        <v>232061.16472128531</v>
      </c>
      <c r="AW842" s="229"/>
      <c r="AX842" s="313"/>
      <c r="AY842" s="302"/>
      <c r="AZ842" s="14">
        <f t="shared" si="95"/>
        <v>5199.1303376999276</v>
      </c>
      <c r="BA842" s="14">
        <f t="shared" si="94"/>
        <v>-9.0270819498591948E-2</v>
      </c>
      <c r="BB842" s="14">
        <f t="shared" si="89"/>
        <v>-57594.806013487272</v>
      </c>
      <c r="BC842" s="302"/>
      <c r="BD842" s="302"/>
      <c r="BE842" s="302"/>
      <c r="BF842" s="302"/>
      <c r="BG842" s="302"/>
      <c r="BH842" s="302"/>
      <c r="BI842" s="302"/>
      <c r="BJ842" s="302"/>
      <c r="BK842" s="302"/>
      <c r="BL842" s="302"/>
      <c r="BM842" s="302"/>
      <c r="BN842" s="302"/>
      <c r="BO842" s="302"/>
      <c r="BP842" s="302"/>
      <c r="BQ842" s="302"/>
      <c r="BR842" s="302"/>
      <c r="BS842" s="302"/>
      <c r="BT842" s="302"/>
      <c r="BU842" s="302"/>
      <c r="BV842" s="302"/>
      <c r="BW842" s="302"/>
      <c r="BX842" s="302"/>
      <c r="BY842" s="302"/>
      <c r="BZ842" s="302"/>
      <c r="CA842" s="302"/>
      <c r="CB842" s="28"/>
      <c r="CC842" s="28"/>
      <c r="CD842" s="28"/>
      <c r="CE842" s="28"/>
      <c r="CF842" s="28"/>
      <c r="CG842" s="28"/>
      <c r="CH842" s="28"/>
      <c r="CI842" s="28"/>
      <c r="CJ842" s="28"/>
      <c r="CK842" s="28"/>
      <c r="CL842" s="28"/>
      <c r="CM842" s="28"/>
      <c r="CN842" s="28"/>
      <c r="CO842" s="28"/>
      <c r="CP842" s="28"/>
      <c r="CQ842" s="28"/>
      <c r="CR842" s="28"/>
      <c r="CS842" s="28"/>
      <c r="CT842" s="28"/>
      <c r="CU842" s="28"/>
      <c r="CV842" s="28"/>
      <c r="CW842" s="28"/>
    </row>
    <row r="843" spans="1:101" ht="14.25" customHeight="1" x14ac:dyDescent="0.2">
      <c r="A843" s="286"/>
      <c r="B843" s="52">
        <v>0.1862810335640841</v>
      </c>
      <c r="C843" s="288">
        <v>0.48483476254514835</v>
      </c>
      <c r="D843" s="288">
        <v>2.4598328364332622E-2</v>
      </c>
      <c r="E843" s="288">
        <v>1.7446714144061959E-2</v>
      </c>
      <c r="F843" s="289">
        <v>0.81315345222203173</v>
      </c>
      <c r="G843" s="92">
        <v>0.38941634373673834</v>
      </c>
      <c r="H843" s="288">
        <v>0.94517337582723271</v>
      </c>
      <c r="I843" s="288">
        <v>2.3651258651517626E-2</v>
      </c>
      <c r="J843" s="288">
        <v>1</v>
      </c>
      <c r="K843" s="288">
        <v>0.74124390771719895</v>
      </c>
      <c r="L843" s="290">
        <v>10329.121217967366</v>
      </c>
      <c r="M843" s="288">
        <v>0</v>
      </c>
      <c r="N843" s="288">
        <v>14531.894200297442</v>
      </c>
      <c r="O843" s="288">
        <v>1527.6823962065407</v>
      </c>
      <c r="P843" s="288">
        <v>47490.384526660186</v>
      </c>
      <c r="Q843" s="291">
        <v>87313.302841865458</v>
      </c>
      <c r="R843" s="288">
        <v>17004.682578139509</v>
      </c>
      <c r="S843" s="288">
        <v>7654.7949435955397</v>
      </c>
      <c r="T843" s="290">
        <v>0.751</v>
      </c>
      <c r="U843" s="288">
        <v>0.75800000000000001</v>
      </c>
      <c r="V843" s="288">
        <v>0.723923076923077</v>
      </c>
      <c r="W843" s="288">
        <v>0.72750000000000004</v>
      </c>
      <c r="X843" s="288">
        <v>0.76</v>
      </c>
      <c r="Y843" s="288">
        <v>0</v>
      </c>
      <c r="Z843" s="289">
        <v>0</v>
      </c>
      <c r="AA843" s="229"/>
      <c r="AB843" s="293">
        <v>74191.536057630059</v>
      </c>
      <c r="AC843" s="294">
        <v>3.2970593554435932</v>
      </c>
      <c r="AD843" s="295">
        <v>64736.305372434726</v>
      </c>
      <c r="AE843" s="294">
        <v>2.968014564268644</v>
      </c>
      <c r="AF843" s="295">
        <v>9455.2306851953326</v>
      </c>
      <c r="AG843" s="296">
        <v>0.32904479117494922</v>
      </c>
      <c r="AH843" s="229"/>
      <c r="AI843" s="205">
        <f t="shared" si="90"/>
        <v>255514.39948672926</v>
      </c>
      <c r="AJ843" s="205">
        <f t="shared" si="91"/>
        <v>232065.15105442965</v>
      </c>
      <c r="AK843" s="205">
        <f t="shared" si="92"/>
        <v>23449.248432299588</v>
      </c>
      <c r="AL843" s="229"/>
      <c r="AM843" s="52">
        <f t="shared" si="86"/>
        <v>1</v>
      </c>
      <c r="AN843" s="52">
        <f t="shared" si="87"/>
        <v>0</v>
      </c>
      <c r="AO843" s="52">
        <f t="shared" si="88"/>
        <v>1</v>
      </c>
      <c r="AP843" s="229"/>
      <c r="AQ843" s="28"/>
      <c r="AR843" s="28"/>
      <c r="AS843" s="28"/>
      <c r="AT843" s="28"/>
      <c r="AU843" s="229"/>
      <c r="AV843" s="318">
        <f t="shared" si="93"/>
        <v>255514.39948672926</v>
      </c>
      <c r="AW843" s="229"/>
      <c r="AX843" s="313"/>
      <c r="AY843" s="302"/>
      <c r="AZ843" s="14">
        <f t="shared" si="95"/>
        <v>9455.2306851953326</v>
      </c>
      <c r="BA843" s="14">
        <f t="shared" si="94"/>
        <v>0.32904479117494922</v>
      </c>
      <c r="BB843" s="14">
        <f t="shared" si="89"/>
        <v>28735.390861021406</v>
      </c>
      <c r="BC843" s="302"/>
      <c r="BD843" s="302"/>
      <c r="BE843" s="302"/>
      <c r="BF843" s="302"/>
      <c r="BG843" s="302"/>
      <c r="BH843" s="302"/>
      <c r="BI843" s="302"/>
      <c r="BJ843" s="302"/>
      <c r="BK843" s="302"/>
      <c r="BL843" s="302"/>
      <c r="BM843" s="302"/>
      <c r="BN843" s="302"/>
      <c r="BO843" s="302"/>
      <c r="BP843" s="302"/>
      <c r="BQ843" s="302"/>
      <c r="BR843" s="302"/>
      <c r="BS843" s="302"/>
      <c r="BT843" s="302"/>
      <c r="BU843" s="302"/>
      <c r="BV843" s="302"/>
      <c r="BW843" s="302"/>
      <c r="BX843" s="302"/>
      <c r="BY843" s="302"/>
      <c r="BZ843" s="302"/>
      <c r="CA843" s="302"/>
      <c r="CB843" s="28"/>
      <c r="CC843" s="28"/>
      <c r="CD843" s="28"/>
      <c r="CE843" s="28"/>
      <c r="CF843" s="28"/>
      <c r="CG843" s="28"/>
      <c r="CH843" s="28"/>
      <c r="CI843" s="28"/>
      <c r="CJ843" s="28"/>
      <c r="CK843" s="28"/>
      <c r="CL843" s="28"/>
      <c r="CM843" s="28"/>
      <c r="CN843" s="28"/>
      <c r="CO843" s="28"/>
      <c r="CP843" s="28"/>
      <c r="CQ843" s="28"/>
      <c r="CR843" s="28"/>
      <c r="CS843" s="28"/>
      <c r="CT843" s="28"/>
      <c r="CU843" s="28"/>
      <c r="CV843" s="28"/>
      <c r="CW843" s="28"/>
    </row>
    <row r="844" spans="1:101" ht="14.25" customHeight="1" x14ac:dyDescent="0.2">
      <c r="A844" s="286"/>
      <c r="B844" s="52">
        <v>0.14242149131301218</v>
      </c>
      <c r="C844" s="288">
        <v>0.94766356835413024</v>
      </c>
      <c r="D844" s="288">
        <v>1.486239854153093E-2</v>
      </c>
      <c r="E844" s="288">
        <v>3.5155430743173954E-2</v>
      </c>
      <c r="F844" s="289">
        <v>0.7688754177983218</v>
      </c>
      <c r="G844" s="92">
        <v>0.39367872869396708</v>
      </c>
      <c r="H844" s="288">
        <v>0.67253427293511536</v>
      </c>
      <c r="I844" s="288">
        <v>7.7676182710022332E-3</v>
      </c>
      <c r="J844" s="288">
        <v>0.99999945987492789</v>
      </c>
      <c r="K844" s="288">
        <v>0.73099742740306084</v>
      </c>
      <c r="L844" s="290">
        <v>12980.851685607777</v>
      </c>
      <c r="M844" s="288">
        <v>0</v>
      </c>
      <c r="N844" s="288">
        <v>18871.813830192055</v>
      </c>
      <c r="O844" s="288">
        <v>1038.5550681735483</v>
      </c>
      <c r="P844" s="288">
        <v>31243.712873169345</v>
      </c>
      <c r="Q844" s="291">
        <v>115307.49919651049</v>
      </c>
      <c r="R844" s="288">
        <v>27230.310878149008</v>
      </c>
      <c r="S844" s="288">
        <v>10324.405692371596</v>
      </c>
      <c r="T844" s="290">
        <v>0.751</v>
      </c>
      <c r="U844" s="288">
        <v>0.75800000000000001</v>
      </c>
      <c r="V844" s="288">
        <v>0.723923076923077</v>
      </c>
      <c r="W844" s="288">
        <v>0.72750000000000004</v>
      </c>
      <c r="X844" s="288">
        <v>0.76</v>
      </c>
      <c r="Y844" s="288">
        <v>0</v>
      </c>
      <c r="Z844" s="289">
        <v>0</v>
      </c>
      <c r="AA844" s="229"/>
      <c r="AB844" s="293">
        <v>95657.922473863029</v>
      </c>
      <c r="AC844" s="294">
        <v>3.0908278216005449</v>
      </c>
      <c r="AD844" s="295">
        <v>83403.569714031124</v>
      </c>
      <c r="AE844" s="294">
        <v>2.9210834596865709</v>
      </c>
      <c r="AF844" s="295">
        <v>12254.352759831905</v>
      </c>
      <c r="AG844" s="296">
        <v>0.16974436191397402</v>
      </c>
      <c r="AH844" s="229"/>
      <c r="AI844" s="205">
        <f t="shared" si="90"/>
        <v>213424.85968619146</v>
      </c>
      <c r="AJ844" s="205">
        <f t="shared" si="91"/>
        <v>208704.77625462599</v>
      </c>
      <c r="AK844" s="205">
        <f t="shared" si="92"/>
        <v>4720.0834315654974</v>
      </c>
      <c r="AL844" s="229"/>
      <c r="AM844" s="52">
        <f t="shared" si="86"/>
        <v>1</v>
      </c>
      <c r="AN844" s="52">
        <f t="shared" si="87"/>
        <v>0</v>
      </c>
      <c r="AO844" s="52">
        <f t="shared" si="88"/>
        <v>1</v>
      </c>
      <c r="AP844" s="229"/>
      <c r="AQ844" s="28"/>
      <c r="AR844" s="28"/>
      <c r="AS844" s="28"/>
      <c r="AT844" s="28"/>
      <c r="AU844" s="229"/>
      <c r="AV844" s="318">
        <f t="shared" si="93"/>
        <v>213424.85968619146</v>
      </c>
      <c r="AW844" s="229"/>
      <c r="AX844" s="313"/>
      <c r="AY844" s="302"/>
      <c r="AZ844" s="14">
        <f t="shared" si="95"/>
        <v>12254.352759831905</v>
      </c>
      <c r="BA844" s="14">
        <f t="shared" si="94"/>
        <v>0.16974436191397402</v>
      </c>
      <c r="BB844" s="14">
        <f t="shared" si="89"/>
        <v>72192.988454263817</v>
      </c>
      <c r="BC844" s="302"/>
      <c r="BD844" s="302"/>
      <c r="BE844" s="302"/>
      <c r="BF844" s="302"/>
      <c r="BG844" s="302"/>
      <c r="BH844" s="302"/>
      <c r="BI844" s="302"/>
      <c r="BJ844" s="302"/>
      <c r="BK844" s="302"/>
      <c r="BL844" s="302"/>
      <c r="BM844" s="302"/>
      <c r="BN844" s="302"/>
      <c r="BO844" s="302"/>
      <c r="BP844" s="302"/>
      <c r="BQ844" s="302"/>
      <c r="BR844" s="302"/>
      <c r="BS844" s="302"/>
      <c r="BT844" s="302"/>
      <c r="BU844" s="302"/>
      <c r="BV844" s="302"/>
      <c r="BW844" s="302"/>
      <c r="BX844" s="302"/>
      <c r="BY844" s="302"/>
      <c r="BZ844" s="302"/>
      <c r="CA844" s="302"/>
      <c r="CB844" s="28"/>
      <c r="CC844" s="28"/>
      <c r="CD844" s="28"/>
      <c r="CE844" s="28"/>
      <c r="CF844" s="28"/>
      <c r="CG844" s="28"/>
      <c r="CH844" s="28"/>
      <c r="CI844" s="28"/>
      <c r="CJ844" s="28"/>
      <c r="CK844" s="28"/>
      <c r="CL844" s="28"/>
      <c r="CM844" s="28"/>
      <c r="CN844" s="28"/>
      <c r="CO844" s="28"/>
      <c r="CP844" s="28"/>
      <c r="CQ844" s="28"/>
      <c r="CR844" s="28"/>
      <c r="CS844" s="28"/>
      <c r="CT844" s="28"/>
      <c r="CU844" s="28"/>
      <c r="CV844" s="28"/>
      <c r="CW844" s="28"/>
    </row>
    <row r="845" spans="1:101" ht="14.25" customHeight="1" x14ac:dyDescent="0.2">
      <c r="A845" s="286"/>
      <c r="B845" s="52">
        <v>0.12267221023591475</v>
      </c>
      <c r="C845" s="288">
        <v>1.3546855917187753E-2</v>
      </c>
      <c r="D845" s="288">
        <v>2.1238655061906253E-2</v>
      </c>
      <c r="E845" s="288">
        <v>1.1765036569681581E-2</v>
      </c>
      <c r="F845" s="289">
        <v>0.82069255731842883</v>
      </c>
      <c r="G845" s="92">
        <v>0.37735353413171013</v>
      </c>
      <c r="H845" s="288">
        <v>0.72941024991631842</v>
      </c>
      <c r="I845" s="288">
        <v>1.4087756196045916E-2</v>
      </c>
      <c r="J845" s="288">
        <v>0.99999994435746786</v>
      </c>
      <c r="K845" s="288">
        <v>0.7697303613838884</v>
      </c>
      <c r="L845" s="290">
        <v>9798.3219979094411</v>
      </c>
      <c r="M845" s="288">
        <v>0</v>
      </c>
      <c r="N845" s="288">
        <v>12486.090453056257</v>
      </c>
      <c r="O845" s="288">
        <v>1187.9091576743861</v>
      </c>
      <c r="P845" s="288">
        <v>38912.807108364308</v>
      </c>
      <c r="Q845" s="291">
        <v>84652.701682705505</v>
      </c>
      <c r="R845" s="288">
        <v>14315.458085989703</v>
      </c>
      <c r="S845" s="288">
        <v>6511.7753221336397</v>
      </c>
      <c r="T845" s="290">
        <v>0.751</v>
      </c>
      <c r="U845" s="288">
        <v>0.75800000000000001</v>
      </c>
      <c r="V845" s="288">
        <v>0.723923076923077</v>
      </c>
      <c r="W845" s="288">
        <v>0.72750000000000004</v>
      </c>
      <c r="X845" s="288">
        <v>0.76</v>
      </c>
      <c r="Y845" s="288">
        <v>0</v>
      </c>
      <c r="Z845" s="289">
        <v>0</v>
      </c>
      <c r="AA845" s="229"/>
      <c r="AB845" s="293">
        <v>63109.418134697386</v>
      </c>
      <c r="AC845" s="294">
        <v>3.3324802303136662</v>
      </c>
      <c r="AD845" s="295">
        <v>55037.793240588762</v>
      </c>
      <c r="AE845" s="294">
        <v>3.0993582958141128</v>
      </c>
      <c r="AF845" s="295">
        <v>8071.6248941086233</v>
      </c>
      <c r="AG845" s="296">
        <v>0.23312193449955343</v>
      </c>
      <c r="AH845" s="229"/>
      <c r="AI845" s="205">
        <f t="shared" si="90"/>
        <v>270138.60489666928</v>
      </c>
      <c r="AJ845" s="205">
        <f t="shared" si="91"/>
        <v>254898.03634082249</v>
      </c>
      <c r="AK845" s="205">
        <f t="shared" si="92"/>
        <v>15240.568555846719</v>
      </c>
      <c r="AL845" s="229"/>
      <c r="AM845" s="52">
        <f t="shared" si="86"/>
        <v>1</v>
      </c>
      <c r="AN845" s="52">
        <f t="shared" si="87"/>
        <v>0</v>
      </c>
      <c r="AO845" s="52">
        <f t="shared" si="88"/>
        <v>1</v>
      </c>
      <c r="AP845" s="229"/>
      <c r="AQ845" s="28"/>
      <c r="AR845" s="28"/>
      <c r="AS845" s="28"/>
      <c r="AT845" s="28"/>
      <c r="AU845" s="229"/>
      <c r="AV845" s="318">
        <f t="shared" si="93"/>
        <v>270138.60489666928</v>
      </c>
      <c r="AW845" s="229"/>
      <c r="AX845" s="313"/>
      <c r="AY845" s="302"/>
      <c r="AZ845" s="14">
        <f t="shared" si="95"/>
        <v>8071.6248941086233</v>
      </c>
      <c r="BA845" s="14">
        <f t="shared" si="94"/>
        <v>0.23312193449955343</v>
      </c>
      <c r="BB845" s="14">
        <f t="shared" si="89"/>
        <v>34624.047331436697</v>
      </c>
      <c r="BC845" s="302"/>
      <c r="BD845" s="302"/>
      <c r="BE845" s="302"/>
      <c r="BF845" s="302"/>
      <c r="BG845" s="302"/>
      <c r="BH845" s="302"/>
      <c r="BI845" s="302"/>
      <c r="BJ845" s="302"/>
      <c r="BK845" s="302"/>
      <c r="BL845" s="302"/>
      <c r="BM845" s="302"/>
      <c r="BN845" s="302"/>
      <c r="BO845" s="302"/>
      <c r="BP845" s="302"/>
      <c r="BQ845" s="302"/>
      <c r="BR845" s="302"/>
      <c r="BS845" s="302"/>
      <c r="BT845" s="302"/>
      <c r="BU845" s="302"/>
      <c r="BV845" s="302"/>
      <c r="BW845" s="302"/>
      <c r="BX845" s="302"/>
      <c r="BY845" s="302"/>
      <c r="BZ845" s="302"/>
      <c r="CA845" s="302"/>
      <c r="CB845" s="28"/>
      <c r="CC845" s="28"/>
      <c r="CD845" s="28"/>
      <c r="CE845" s="28"/>
      <c r="CF845" s="28"/>
      <c r="CG845" s="28"/>
      <c r="CH845" s="28"/>
      <c r="CI845" s="28"/>
      <c r="CJ845" s="28"/>
      <c r="CK845" s="28"/>
      <c r="CL845" s="28"/>
      <c r="CM845" s="28"/>
      <c r="CN845" s="28"/>
      <c r="CO845" s="28"/>
      <c r="CP845" s="28"/>
      <c r="CQ845" s="28"/>
      <c r="CR845" s="28"/>
      <c r="CS845" s="28"/>
      <c r="CT845" s="28"/>
      <c r="CU845" s="28"/>
      <c r="CV845" s="28"/>
      <c r="CW845" s="28"/>
    </row>
    <row r="846" spans="1:101" ht="14.25" customHeight="1" x14ac:dyDescent="0.2">
      <c r="A846" s="286"/>
      <c r="B846" s="52">
        <v>0.16103435360271678</v>
      </c>
      <c r="C846" s="288">
        <v>0.74462007224148907</v>
      </c>
      <c r="D846" s="288">
        <v>2.1100726124942182E-2</v>
      </c>
      <c r="E846" s="288">
        <v>2.0003868860226426E-2</v>
      </c>
      <c r="F846" s="289">
        <v>0.77237248959663196</v>
      </c>
      <c r="G846" s="92">
        <v>0.43703941926014356</v>
      </c>
      <c r="H846" s="288">
        <v>0.7991961993708977</v>
      </c>
      <c r="I846" s="288">
        <v>3.7602735248233765E-2</v>
      </c>
      <c r="J846" s="288">
        <v>0.99999564995278178</v>
      </c>
      <c r="K846" s="288">
        <v>0.73688240971471541</v>
      </c>
      <c r="L846" s="290">
        <v>15007.829238661059</v>
      </c>
      <c r="M846" s="288">
        <v>0</v>
      </c>
      <c r="N846" s="288">
        <v>19852.371326752625</v>
      </c>
      <c r="O846" s="288">
        <v>976.66052827735859</v>
      </c>
      <c r="P846" s="288">
        <v>41021.686879614128</v>
      </c>
      <c r="Q846" s="291">
        <v>127730.21640381354</v>
      </c>
      <c r="R846" s="288">
        <v>18566.339016155747</v>
      </c>
      <c r="S846" s="288">
        <v>8076.1125942230774</v>
      </c>
      <c r="T846" s="290">
        <v>0.751</v>
      </c>
      <c r="U846" s="288">
        <v>0.75800000000000001</v>
      </c>
      <c r="V846" s="288">
        <v>0.723923076923077</v>
      </c>
      <c r="W846" s="288">
        <v>0.72750000000000004</v>
      </c>
      <c r="X846" s="288">
        <v>0.76</v>
      </c>
      <c r="Y846" s="288">
        <v>0</v>
      </c>
      <c r="Z846" s="289">
        <v>0</v>
      </c>
      <c r="AA846" s="229"/>
      <c r="AB846" s="293">
        <v>79597.694207106557</v>
      </c>
      <c r="AC846" s="294">
        <v>3.1070041088673026</v>
      </c>
      <c r="AD846" s="295">
        <v>69336.649343325989</v>
      </c>
      <c r="AE846" s="294">
        <v>2.9480177273658823</v>
      </c>
      <c r="AF846" s="295">
        <v>10261.044863780568</v>
      </c>
      <c r="AG846" s="296">
        <v>0.1589863815014203</v>
      </c>
      <c r="AH846" s="229"/>
      <c r="AI846" s="205">
        <f t="shared" ref="AI846:AI909" si="96">AC846*cRatio-AB846</f>
        <v>231102.7166796237</v>
      </c>
      <c r="AJ846" s="205">
        <f t="shared" ref="AJ846:AJ909" si="97">AE846*cRatio-AD846</f>
        <v>225465.12339326221</v>
      </c>
      <c r="AK846" s="205">
        <f t="shared" ref="AK846:AK909" si="98">AG846*cRatio-AF846</f>
        <v>5637.5932863614635</v>
      </c>
      <c r="AL846" s="229"/>
      <c r="AM846" s="52">
        <f t="shared" si="86"/>
        <v>1</v>
      </c>
      <c r="AN846" s="52">
        <f t="shared" si="87"/>
        <v>0</v>
      </c>
      <c r="AO846" s="52">
        <f t="shared" si="88"/>
        <v>1</v>
      </c>
      <c r="AP846" s="229"/>
      <c r="AQ846" s="28"/>
      <c r="AR846" s="28"/>
      <c r="AS846" s="28"/>
      <c r="AT846" s="28"/>
      <c r="AU846" s="229"/>
      <c r="AV846" s="318">
        <f t="shared" si="93"/>
        <v>231102.7166796237</v>
      </c>
      <c r="AW846" s="229"/>
      <c r="AX846" s="313"/>
      <c r="AY846" s="302"/>
      <c r="AZ846" s="14">
        <f t="shared" si="95"/>
        <v>10261.044863780568</v>
      </c>
      <c r="BA846" s="14">
        <f t="shared" si="94"/>
        <v>0.1589863815014203</v>
      </c>
      <c r="BB846" s="14">
        <f t="shared" si="89"/>
        <v>64540.401302792721</v>
      </c>
      <c r="BC846" s="302"/>
      <c r="BD846" s="302"/>
      <c r="BE846" s="302"/>
      <c r="BF846" s="302"/>
      <c r="BG846" s="302"/>
      <c r="BH846" s="302"/>
      <c r="BI846" s="302"/>
      <c r="BJ846" s="302"/>
      <c r="BK846" s="302"/>
      <c r="BL846" s="302"/>
      <c r="BM846" s="302"/>
      <c r="BN846" s="302"/>
      <c r="BO846" s="302"/>
      <c r="BP846" s="302"/>
      <c r="BQ846" s="302"/>
      <c r="BR846" s="302"/>
      <c r="BS846" s="302"/>
      <c r="BT846" s="302"/>
      <c r="BU846" s="302"/>
      <c r="BV846" s="302"/>
      <c r="BW846" s="302"/>
      <c r="BX846" s="302"/>
      <c r="BY846" s="302"/>
      <c r="BZ846" s="302"/>
      <c r="CA846" s="302"/>
      <c r="CB846" s="28"/>
      <c r="CC846" s="28"/>
      <c r="CD846" s="28"/>
      <c r="CE846" s="28"/>
      <c r="CF846" s="28"/>
      <c r="CG846" s="28"/>
      <c r="CH846" s="28"/>
      <c r="CI846" s="28"/>
      <c r="CJ846" s="28"/>
      <c r="CK846" s="28"/>
      <c r="CL846" s="28"/>
      <c r="CM846" s="28"/>
      <c r="CN846" s="28"/>
      <c r="CO846" s="28"/>
      <c r="CP846" s="28"/>
      <c r="CQ846" s="28"/>
      <c r="CR846" s="28"/>
      <c r="CS846" s="28"/>
      <c r="CT846" s="28"/>
      <c r="CU846" s="28"/>
      <c r="CV846" s="28"/>
      <c r="CW846" s="28"/>
    </row>
    <row r="847" spans="1:101" ht="14.25" customHeight="1" x14ac:dyDescent="0.2">
      <c r="A847" s="286"/>
      <c r="B847" s="52">
        <v>0.18951432073901664</v>
      </c>
      <c r="C847" s="288">
        <v>0.51870353160584326</v>
      </c>
      <c r="D847" s="288">
        <v>1.0390689643501623E-2</v>
      </c>
      <c r="E847" s="288">
        <v>7.7732655509885366E-3</v>
      </c>
      <c r="F847" s="289">
        <v>0.76985653808131072</v>
      </c>
      <c r="G847" s="92">
        <v>0.43314531391309685</v>
      </c>
      <c r="H847" s="288">
        <v>0.89457577863623572</v>
      </c>
      <c r="I847" s="288">
        <v>1.6265579769119687E-2</v>
      </c>
      <c r="J847" s="288">
        <v>0.99999847255963636</v>
      </c>
      <c r="K847" s="288">
        <v>0.79721613578622064</v>
      </c>
      <c r="L847" s="290">
        <v>9988.6169289595036</v>
      </c>
      <c r="M847" s="288">
        <v>0</v>
      </c>
      <c r="N847" s="288">
        <v>18268.165537057484</v>
      </c>
      <c r="O847" s="288">
        <v>1158.297714635768</v>
      </c>
      <c r="P847" s="288">
        <v>44487.552465076158</v>
      </c>
      <c r="Q847" s="291">
        <v>112618.08629013824</v>
      </c>
      <c r="R847" s="288">
        <v>25320.435466475679</v>
      </c>
      <c r="S847" s="288">
        <v>7287.2391632243462</v>
      </c>
      <c r="T847" s="290">
        <v>0.751</v>
      </c>
      <c r="U847" s="288">
        <v>0.75800000000000001</v>
      </c>
      <c r="V847" s="288">
        <v>0.723923076923077</v>
      </c>
      <c r="W847" s="288">
        <v>0.72750000000000004</v>
      </c>
      <c r="X847" s="288">
        <v>0.76</v>
      </c>
      <c r="Y847" s="288">
        <v>0</v>
      </c>
      <c r="Z847" s="289">
        <v>0</v>
      </c>
      <c r="AA847" s="229"/>
      <c r="AB847" s="293">
        <v>68472.997588712125</v>
      </c>
      <c r="AC847" s="294">
        <v>3.0953642207753007</v>
      </c>
      <c r="AD847" s="295">
        <v>69411.160525759537</v>
      </c>
      <c r="AE847" s="294">
        <v>3.2273006349809754</v>
      </c>
      <c r="AF847" s="295">
        <v>-938.16293704741111</v>
      </c>
      <c r="AG847" s="296">
        <v>-0.1319364142056747</v>
      </c>
      <c r="AH847" s="229"/>
      <c r="AI847" s="205">
        <f t="shared" si="96"/>
        <v>241063.42448881792</v>
      </c>
      <c r="AJ847" s="205">
        <f t="shared" si="97"/>
        <v>253318.90297233799</v>
      </c>
      <c r="AK847" s="205">
        <f t="shared" si="98"/>
        <v>-12255.478483520059</v>
      </c>
      <c r="AL847" s="229"/>
      <c r="AM847" s="52">
        <f t="shared" si="86"/>
        <v>0</v>
      </c>
      <c r="AN847" s="52">
        <f t="shared" si="87"/>
        <v>1</v>
      </c>
      <c r="AO847" s="52">
        <f t="shared" si="88"/>
        <v>0</v>
      </c>
      <c r="AP847" s="229"/>
      <c r="AQ847" s="28"/>
      <c r="AR847" s="28"/>
      <c r="AS847" s="28"/>
      <c r="AT847" s="28"/>
      <c r="AU847" s="229"/>
      <c r="AV847" s="318">
        <f t="shared" ref="AV847:AV910" si="99">MAX(AI847:AJ847)</f>
        <v>253318.90297233799</v>
      </c>
      <c r="AW847" s="229"/>
      <c r="AX847" s="313"/>
      <c r="AY847" s="302"/>
      <c r="AZ847" s="14">
        <f t="shared" si="95"/>
        <v>-938.16293704741111</v>
      </c>
      <c r="BA847" s="14">
        <f t="shared" ref="BA847:BA910" si="100">AG847</f>
        <v>-0.1319364142056747</v>
      </c>
      <c r="BB847" s="14">
        <f t="shared" si="89"/>
        <v>7110.7202867050473</v>
      </c>
      <c r="BC847" s="302"/>
      <c r="BD847" s="302"/>
      <c r="BE847" s="302"/>
      <c r="BF847" s="302"/>
      <c r="BG847" s="302"/>
      <c r="BH847" s="302"/>
      <c r="BI847" s="302"/>
      <c r="BJ847" s="302"/>
      <c r="BK847" s="302"/>
      <c r="BL847" s="302"/>
      <c r="BM847" s="302"/>
      <c r="BN847" s="302"/>
      <c r="BO847" s="302"/>
      <c r="BP847" s="302"/>
      <c r="BQ847" s="302"/>
      <c r="BR847" s="302"/>
      <c r="BS847" s="302"/>
      <c r="BT847" s="302"/>
      <c r="BU847" s="302"/>
      <c r="BV847" s="302"/>
      <c r="BW847" s="302"/>
      <c r="BX847" s="302"/>
      <c r="BY847" s="302"/>
      <c r="BZ847" s="302"/>
      <c r="CA847" s="302"/>
      <c r="CB847" s="28"/>
      <c r="CC847" s="28"/>
      <c r="CD847" s="28"/>
      <c r="CE847" s="28"/>
      <c r="CF847" s="28"/>
      <c r="CG847" s="28"/>
      <c r="CH847" s="28"/>
      <c r="CI847" s="28"/>
      <c r="CJ847" s="28"/>
      <c r="CK847" s="28"/>
      <c r="CL847" s="28"/>
      <c r="CM847" s="28"/>
      <c r="CN847" s="28"/>
      <c r="CO847" s="28"/>
      <c r="CP847" s="28"/>
      <c r="CQ847" s="28"/>
      <c r="CR847" s="28"/>
      <c r="CS847" s="28"/>
      <c r="CT847" s="28"/>
      <c r="CU847" s="28"/>
      <c r="CV847" s="28"/>
      <c r="CW847" s="28"/>
    </row>
    <row r="848" spans="1:101" ht="14.25" customHeight="1" x14ac:dyDescent="0.2">
      <c r="A848" s="286"/>
      <c r="B848" s="52">
        <v>0.14090867350851871</v>
      </c>
      <c r="C848" s="288">
        <v>0.34345040843104835</v>
      </c>
      <c r="D848" s="288">
        <v>2.7684467570378457E-2</v>
      </c>
      <c r="E848" s="288">
        <v>1.9476289012780423E-2</v>
      </c>
      <c r="F848" s="289">
        <v>0.75607311815248546</v>
      </c>
      <c r="G848" s="92">
        <v>0.38578821797739393</v>
      </c>
      <c r="H848" s="288">
        <v>0.92595945845410632</v>
      </c>
      <c r="I848" s="288">
        <v>1.7482632605647086E-2</v>
      </c>
      <c r="J848" s="288">
        <v>0.95636407982025828</v>
      </c>
      <c r="K848" s="288">
        <v>0.77929809182937504</v>
      </c>
      <c r="L848" s="290">
        <v>11942.451817078547</v>
      </c>
      <c r="M848" s="288">
        <v>0</v>
      </c>
      <c r="N848" s="288">
        <v>15116.900458461609</v>
      </c>
      <c r="O848" s="288">
        <v>1274.7295814299005</v>
      </c>
      <c r="P848" s="288">
        <v>36859.714887454029</v>
      </c>
      <c r="Q848" s="291">
        <v>138094.51169134874</v>
      </c>
      <c r="R848" s="288">
        <v>31152.804847556112</v>
      </c>
      <c r="S848" s="288">
        <v>9759.8978993441597</v>
      </c>
      <c r="T848" s="290">
        <v>0.751</v>
      </c>
      <c r="U848" s="288">
        <v>0.75800000000000001</v>
      </c>
      <c r="V848" s="288">
        <v>0.723923076923077</v>
      </c>
      <c r="W848" s="288">
        <v>0.72750000000000004</v>
      </c>
      <c r="X848" s="288">
        <v>0.76</v>
      </c>
      <c r="Y848" s="288">
        <v>0</v>
      </c>
      <c r="Z848" s="289">
        <v>0</v>
      </c>
      <c r="AA848" s="229"/>
      <c r="AB848" s="293">
        <v>87243.281016503897</v>
      </c>
      <c r="AC848" s="294">
        <v>3.0317723042040803</v>
      </c>
      <c r="AD848" s="295">
        <v>88606.846778163759</v>
      </c>
      <c r="AE848" s="294">
        <v>3.1437595970772829</v>
      </c>
      <c r="AF848" s="295">
        <v>-1363.5657616598619</v>
      </c>
      <c r="AG848" s="296">
        <v>-0.11198729287320264</v>
      </c>
      <c r="AH848" s="229"/>
      <c r="AI848" s="205">
        <f t="shared" si="96"/>
        <v>215933.94940390412</v>
      </c>
      <c r="AJ848" s="205">
        <f t="shared" si="97"/>
        <v>225769.11292956455</v>
      </c>
      <c r="AK848" s="205">
        <f t="shared" si="98"/>
        <v>-9835.1635256604022</v>
      </c>
      <c r="AL848" s="229"/>
      <c r="AM848" s="52">
        <f t="shared" si="86"/>
        <v>0</v>
      </c>
      <c r="AN848" s="52">
        <f t="shared" si="87"/>
        <v>1</v>
      </c>
      <c r="AO848" s="52">
        <f t="shared" si="88"/>
        <v>0</v>
      </c>
      <c r="AP848" s="229"/>
      <c r="AQ848" s="28"/>
      <c r="AR848" s="28"/>
      <c r="AS848" s="28"/>
      <c r="AT848" s="28"/>
      <c r="AU848" s="229"/>
      <c r="AV848" s="318">
        <f t="shared" si="99"/>
        <v>225769.11292956455</v>
      </c>
      <c r="AW848" s="229"/>
      <c r="AX848" s="313"/>
      <c r="AY848" s="302"/>
      <c r="AZ848" s="14">
        <f t="shared" ref="AZ848:AZ911" si="101">AF848</f>
        <v>-1363.5657616598619</v>
      </c>
      <c r="BA848" s="14">
        <f t="shared" si="100"/>
        <v>-0.11198729287320264</v>
      </c>
      <c r="BB848" s="14">
        <f t="shared" si="89"/>
        <v>12176.075755342672</v>
      </c>
      <c r="BC848" s="302"/>
      <c r="BD848" s="302"/>
      <c r="BE848" s="302"/>
      <c r="BF848" s="302"/>
      <c r="BG848" s="302"/>
      <c r="BH848" s="302"/>
      <c r="BI848" s="302"/>
      <c r="BJ848" s="302"/>
      <c r="BK848" s="302"/>
      <c r="BL848" s="302"/>
      <c r="BM848" s="302"/>
      <c r="BN848" s="302"/>
      <c r="BO848" s="302"/>
      <c r="BP848" s="302"/>
      <c r="BQ848" s="302"/>
      <c r="BR848" s="302"/>
      <c r="BS848" s="302"/>
      <c r="BT848" s="302"/>
      <c r="BU848" s="302"/>
      <c r="BV848" s="302"/>
      <c r="BW848" s="302"/>
      <c r="BX848" s="302"/>
      <c r="BY848" s="302"/>
      <c r="BZ848" s="302"/>
      <c r="CA848" s="302"/>
      <c r="CB848" s="28"/>
      <c r="CC848" s="28"/>
      <c r="CD848" s="28"/>
      <c r="CE848" s="28"/>
      <c r="CF848" s="28"/>
      <c r="CG848" s="28"/>
      <c r="CH848" s="28"/>
      <c r="CI848" s="28"/>
      <c r="CJ848" s="28"/>
      <c r="CK848" s="28"/>
      <c r="CL848" s="28"/>
      <c r="CM848" s="28"/>
      <c r="CN848" s="28"/>
      <c r="CO848" s="28"/>
      <c r="CP848" s="28"/>
      <c r="CQ848" s="28"/>
      <c r="CR848" s="28"/>
      <c r="CS848" s="28"/>
      <c r="CT848" s="28"/>
      <c r="CU848" s="28"/>
      <c r="CV848" s="28"/>
      <c r="CW848" s="28"/>
    </row>
    <row r="849" spans="1:101" ht="14.25" customHeight="1" x14ac:dyDescent="0.2">
      <c r="A849" s="286"/>
      <c r="B849" s="52">
        <v>0.14428393273389314</v>
      </c>
      <c r="C849" s="288">
        <v>3.4928489977126957E-3</v>
      </c>
      <c r="D849" s="288">
        <v>4.2820436563025593E-3</v>
      </c>
      <c r="E849" s="288">
        <v>1.2807393161776081E-2</v>
      </c>
      <c r="F849" s="289">
        <v>0.76164481371796189</v>
      </c>
      <c r="G849" s="92">
        <v>0.39381836535664083</v>
      </c>
      <c r="H849" s="288">
        <v>0.14596645656112858</v>
      </c>
      <c r="I849" s="288">
        <v>2.1484732741539836E-2</v>
      </c>
      <c r="J849" s="288">
        <v>0.99997124740467491</v>
      </c>
      <c r="K849" s="288">
        <v>0.7238270958391817</v>
      </c>
      <c r="L849" s="290">
        <v>13588.499234210922</v>
      </c>
      <c r="M849" s="288">
        <v>0</v>
      </c>
      <c r="N849" s="288">
        <v>26764.974948043517</v>
      </c>
      <c r="O849" s="288">
        <v>1285.9869750388</v>
      </c>
      <c r="P849" s="288">
        <v>40481.962942751343</v>
      </c>
      <c r="Q849" s="291">
        <v>89152.880924796831</v>
      </c>
      <c r="R849" s="288">
        <v>24720.511359344215</v>
      </c>
      <c r="S849" s="288">
        <v>9468.0811766630377</v>
      </c>
      <c r="T849" s="290">
        <v>0.751</v>
      </c>
      <c r="U849" s="288">
        <v>0.75800000000000001</v>
      </c>
      <c r="V849" s="288">
        <v>0.723923076923077</v>
      </c>
      <c r="W849" s="288">
        <v>0.72750000000000004</v>
      </c>
      <c r="X849" s="288">
        <v>0.76</v>
      </c>
      <c r="Y849" s="288">
        <v>0</v>
      </c>
      <c r="Z849" s="289">
        <v>0</v>
      </c>
      <c r="AA849" s="229"/>
      <c r="AB849" s="293">
        <v>85250.618616919717</v>
      </c>
      <c r="AC849" s="294">
        <v>3.0574422921415625</v>
      </c>
      <c r="AD849" s="295">
        <v>71558.507020623016</v>
      </c>
      <c r="AE849" s="294">
        <v>2.8883402087338701</v>
      </c>
      <c r="AF849" s="295">
        <v>13692.111596296701</v>
      </c>
      <c r="AG849" s="296">
        <v>0.16910208340769239</v>
      </c>
      <c r="AH849" s="229"/>
      <c r="AI849" s="205">
        <f t="shared" si="96"/>
        <v>220493.61059723649</v>
      </c>
      <c r="AJ849" s="205">
        <f t="shared" si="97"/>
        <v>217275.51385276398</v>
      </c>
      <c r="AK849" s="205">
        <f t="shared" si="98"/>
        <v>3218.0967444725393</v>
      </c>
      <c r="AL849" s="229"/>
      <c r="AM849" s="52">
        <f t="shared" si="86"/>
        <v>1</v>
      </c>
      <c r="AN849" s="52">
        <f t="shared" si="87"/>
        <v>0</v>
      </c>
      <c r="AO849" s="52">
        <f t="shared" si="88"/>
        <v>1</v>
      </c>
      <c r="AP849" s="229"/>
      <c r="AQ849" s="28"/>
      <c r="AR849" s="28"/>
      <c r="AS849" s="28"/>
      <c r="AT849" s="28"/>
      <c r="AU849" s="229"/>
      <c r="AV849" s="318">
        <f t="shared" si="99"/>
        <v>220493.61059723649</v>
      </c>
      <c r="AW849" s="229"/>
      <c r="AX849" s="313"/>
      <c r="AY849" s="302"/>
      <c r="AZ849" s="14">
        <f t="shared" si="101"/>
        <v>13692.111596296701</v>
      </c>
      <c r="BA849" s="14">
        <f t="shared" si="100"/>
        <v>0.16910208340769239</v>
      </c>
      <c r="BB849" s="14">
        <f t="shared" si="89"/>
        <v>80969.502683689891</v>
      </c>
      <c r="BC849" s="302"/>
      <c r="BD849" s="302"/>
      <c r="BE849" s="302"/>
      <c r="BF849" s="302"/>
      <c r="BG849" s="302"/>
      <c r="BH849" s="302"/>
      <c r="BI849" s="302"/>
      <c r="BJ849" s="302"/>
      <c r="BK849" s="302"/>
      <c r="BL849" s="302"/>
      <c r="BM849" s="302"/>
      <c r="BN849" s="302"/>
      <c r="BO849" s="302"/>
      <c r="BP849" s="302"/>
      <c r="BQ849" s="302"/>
      <c r="BR849" s="302"/>
      <c r="BS849" s="302"/>
      <c r="BT849" s="302"/>
      <c r="BU849" s="302"/>
      <c r="BV849" s="302"/>
      <c r="BW849" s="302"/>
      <c r="BX849" s="302"/>
      <c r="BY849" s="302"/>
      <c r="BZ849" s="302"/>
      <c r="CA849" s="302"/>
      <c r="CB849" s="28"/>
      <c r="CC849" s="28"/>
      <c r="CD849" s="28"/>
      <c r="CE849" s="28"/>
      <c r="CF849" s="28"/>
      <c r="CG849" s="28"/>
      <c r="CH849" s="28"/>
      <c r="CI849" s="28"/>
      <c r="CJ849" s="28"/>
      <c r="CK849" s="28"/>
      <c r="CL849" s="28"/>
      <c r="CM849" s="28"/>
      <c r="CN849" s="28"/>
      <c r="CO849" s="28"/>
      <c r="CP849" s="28"/>
      <c r="CQ849" s="28"/>
      <c r="CR849" s="28"/>
      <c r="CS849" s="28"/>
      <c r="CT849" s="28"/>
      <c r="CU849" s="28"/>
      <c r="CV849" s="28"/>
      <c r="CW849" s="28"/>
    </row>
    <row r="850" spans="1:101" ht="14.25" customHeight="1" x14ac:dyDescent="0.2">
      <c r="A850" s="286"/>
      <c r="B850" s="52">
        <v>0.17008314390034429</v>
      </c>
      <c r="C850" s="288">
        <v>0.10430488702353478</v>
      </c>
      <c r="D850" s="288">
        <v>1.9496169061139268E-2</v>
      </c>
      <c r="E850" s="288">
        <v>9.2981811873638562E-3</v>
      </c>
      <c r="F850" s="289">
        <v>0.78955628449448667</v>
      </c>
      <c r="G850" s="92">
        <v>0.38411206309314477</v>
      </c>
      <c r="H850" s="288">
        <v>0.88229632207847342</v>
      </c>
      <c r="I850" s="288">
        <v>5.0707054198996767E-3</v>
      </c>
      <c r="J850" s="288">
        <v>0.99998560560430483</v>
      </c>
      <c r="K850" s="288">
        <v>0.79663643370918036</v>
      </c>
      <c r="L850" s="290">
        <v>12392.571136799799</v>
      </c>
      <c r="M850" s="288">
        <v>0</v>
      </c>
      <c r="N850" s="288">
        <v>19393.671956553721</v>
      </c>
      <c r="O850" s="288">
        <v>1585.1312706982935</v>
      </c>
      <c r="P850" s="288">
        <v>41713.08948907259</v>
      </c>
      <c r="Q850" s="291">
        <v>76919.634645729617</v>
      </c>
      <c r="R850" s="288">
        <v>28364.890417840856</v>
      </c>
      <c r="S850" s="288">
        <v>12186.990480840283</v>
      </c>
      <c r="T850" s="290">
        <v>0.751</v>
      </c>
      <c r="U850" s="288">
        <v>0.75800000000000001</v>
      </c>
      <c r="V850" s="288">
        <v>0.723923076923077</v>
      </c>
      <c r="W850" s="288">
        <v>0.72750000000000004</v>
      </c>
      <c r="X850" s="288">
        <v>0.76</v>
      </c>
      <c r="Y850" s="288">
        <v>0</v>
      </c>
      <c r="Z850" s="289">
        <v>0</v>
      </c>
      <c r="AA850" s="229"/>
      <c r="AB850" s="293">
        <v>108705.24116689606</v>
      </c>
      <c r="AC850" s="294">
        <v>3.1867693137757898</v>
      </c>
      <c r="AD850" s="295">
        <v>107257.34706280283</v>
      </c>
      <c r="AE850" s="294">
        <v>3.2245899121406691</v>
      </c>
      <c r="AF850" s="295">
        <v>1447.8941040932259</v>
      </c>
      <c r="AG850" s="296">
        <v>-3.7820598364879388E-2</v>
      </c>
      <c r="AH850" s="229"/>
      <c r="AI850" s="205">
        <f t="shared" si="96"/>
        <v>209971.69021068292</v>
      </c>
      <c r="AJ850" s="205">
        <f t="shared" si="97"/>
        <v>215201.6441512641</v>
      </c>
      <c r="AK850" s="205">
        <f t="shared" si="98"/>
        <v>-5229.9539405811647</v>
      </c>
      <c r="AL850" s="229"/>
      <c r="AM850" s="52">
        <f t="shared" si="86"/>
        <v>0</v>
      </c>
      <c r="AN850" s="52">
        <f t="shared" si="87"/>
        <v>1</v>
      </c>
      <c r="AO850" s="52">
        <f t="shared" si="88"/>
        <v>0</v>
      </c>
      <c r="AP850" s="229"/>
      <c r="AQ850" s="28"/>
      <c r="AR850" s="28"/>
      <c r="AS850" s="28"/>
      <c r="AT850" s="28"/>
      <c r="AU850" s="229"/>
      <c r="AV850" s="318">
        <f t="shared" si="99"/>
        <v>215201.6441512641</v>
      </c>
      <c r="AW850" s="229"/>
      <c r="AX850" s="313"/>
      <c r="AY850" s="302"/>
      <c r="AZ850" s="14">
        <f t="shared" si="101"/>
        <v>1447.8941040932259</v>
      </c>
      <c r="BA850" s="14">
        <f t="shared" si="100"/>
        <v>-3.7820598364879388E-2</v>
      </c>
      <c r="BB850" s="14">
        <f t="shared" si="89"/>
        <v>-38283.215144416012</v>
      </c>
      <c r="BC850" s="302"/>
      <c r="BD850" s="302"/>
      <c r="BE850" s="302"/>
      <c r="BF850" s="302"/>
      <c r="BG850" s="302"/>
      <c r="BH850" s="302"/>
      <c r="BI850" s="302"/>
      <c r="BJ850" s="302"/>
      <c r="BK850" s="302"/>
      <c r="BL850" s="302"/>
      <c r="BM850" s="302"/>
      <c r="BN850" s="302"/>
      <c r="BO850" s="302"/>
      <c r="BP850" s="302"/>
      <c r="BQ850" s="302"/>
      <c r="BR850" s="302"/>
      <c r="BS850" s="302"/>
      <c r="BT850" s="302"/>
      <c r="BU850" s="302"/>
      <c r="BV850" s="302"/>
      <c r="BW850" s="302"/>
      <c r="BX850" s="302"/>
      <c r="BY850" s="302"/>
      <c r="BZ850" s="302"/>
      <c r="CA850" s="302"/>
      <c r="CB850" s="28"/>
      <c r="CC850" s="28"/>
      <c r="CD850" s="28"/>
      <c r="CE850" s="28"/>
      <c r="CF850" s="28"/>
      <c r="CG850" s="28"/>
      <c r="CH850" s="28"/>
      <c r="CI850" s="28"/>
      <c r="CJ850" s="28"/>
      <c r="CK850" s="28"/>
      <c r="CL850" s="28"/>
      <c r="CM850" s="28"/>
      <c r="CN850" s="28"/>
      <c r="CO850" s="28"/>
      <c r="CP850" s="28"/>
      <c r="CQ850" s="28"/>
      <c r="CR850" s="28"/>
      <c r="CS850" s="28"/>
      <c r="CT850" s="28"/>
      <c r="CU850" s="28"/>
      <c r="CV850" s="28"/>
      <c r="CW850" s="28"/>
    </row>
    <row r="851" spans="1:101" ht="14.25" customHeight="1" x14ac:dyDescent="0.2">
      <c r="A851" s="286"/>
      <c r="B851" s="52">
        <v>0.14940623284959614</v>
      </c>
      <c r="C851" s="288">
        <v>0.29930338790082628</v>
      </c>
      <c r="D851" s="288">
        <v>6.1404577258186606E-3</v>
      </c>
      <c r="E851" s="288">
        <v>9.8564761650018901E-3</v>
      </c>
      <c r="F851" s="289">
        <v>0.79394059081244728</v>
      </c>
      <c r="G851" s="92">
        <v>0.4124240143047172</v>
      </c>
      <c r="H851" s="288">
        <v>0.40090730450084777</v>
      </c>
      <c r="I851" s="288">
        <v>1.438405239477855E-2</v>
      </c>
      <c r="J851" s="288">
        <v>1</v>
      </c>
      <c r="K851" s="288">
        <v>0.80538698564617173</v>
      </c>
      <c r="L851" s="290">
        <v>15746.844818945841</v>
      </c>
      <c r="M851" s="288">
        <v>0</v>
      </c>
      <c r="N851" s="288">
        <v>14786.946029248549</v>
      </c>
      <c r="O851" s="288">
        <v>934.71206331597307</v>
      </c>
      <c r="P851" s="288">
        <v>54007.066745051779</v>
      </c>
      <c r="Q851" s="291">
        <v>84022.614600906483</v>
      </c>
      <c r="R851" s="288">
        <v>17074.722870530666</v>
      </c>
      <c r="S851" s="288">
        <v>8873.5144550479708</v>
      </c>
      <c r="T851" s="290">
        <v>0.751</v>
      </c>
      <c r="U851" s="288">
        <v>0.75800000000000001</v>
      </c>
      <c r="V851" s="288">
        <v>0.723923076923077</v>
      </c>
      <c r="W851" s="288">
        <v>0.72750000000000004</v>
      </c>
      <c r="X851" s="288">
        <v>0.76</v>
      </c>
      <c r="Y851" s="288">
        <v>0</v>
      </c>
      <c r="Z851" s="289">
        <v>0</v>
      </c>
      <c r="AA851" s="229"/>
      <c r="AB851" s="293">
        <v>86489.778301139304</v>
      </c>
      <c r="AC851" s="294">
        <v>3.2071949204088051</v>
      </c>
      <c r="AD851" s="295">
        <v>75367.73579584356</v>
      </c>
      <c r="AE851" s="294">
        <v>3.2655643858299812</v>
      </c>
      <c r="AF851" s="295">
        <v>11122.042505295743</v>
      </c>
      <c r="AG851" s="296">
        <v>-5.8369465421176159E-2</v>
      </c>
      <c r="AH851" s="229"/>
      <c r="AI851" s="205">
        <f t="shared" si="96"/>
        <v>234229.71373974119</v>
      </c>
      <c r="AJ851" s="205">
        <f t="shared" si="97"/>
        <v>251188.70278715456</v>
      </c>
      <c r="AK851" s="205">
        <f t="shared" si="98"/>
        <v>-16958.989047413357</v>
      </c>
      <c r="AL851" s="229"/>
      <c r="AM851" s="52">
        <f t="shared" si="86"/>
        <v>0</v>
      </c>
      <c r="AN851" s="52">
        <f t="shared" si="87"/>
        <v>1</v>
      </c>
      <c r="AO851" s="52">
        <f t="shared" si="88"/>
        <v>0</v>
      </c>
      <c r="AP851" s="229"/>
      <c r="AQ851" s="28"/>
      <c r="AR851" s="28"/>
      <c r="AS851" s="28"/>
      <c r="AT851" s="28"/>
      <c r="AU851" s="229"/>
      <c r="AV851" s="318">
        <f t="shared" si="99"/>
        <v>251188.70278715456</v>
      </c>
      <c r="AW851" s="229"/>
      <c r="AX851" s="313"/>
      <c r="AY851" s="302"/>
      <c r="AZ851" s="14">
        <f t="shared" si="101"/>
        <v>11122.042505295743</v>
      </c>
      <c r="BA851" s="14">
        <f t="shared" si="100"/>
        <v>-5.8369465421176159E-2</v>
      </c>
      <c r="BB851" s="14">
        <f t="shared" si="89"/>
        <v>-190545.56050912058</v>
      </c>
      <c r="BC851" s="302"/>
      <c r="BD851" s="302"/>
      <c r="BE851" s="302"/>
      <c r="BF851" s="302"/>
      <c r="BG851" s="302"/>
      <c r="BH851" s="302"/>
      <c r="BI851" s="302"/>
      <c r="BJ851" s="302"/>
      <c r="BK851" s="302"/>
      <c r="BL851" s="302"/>
      <c r="BM851" s="302"/>
      <c r="BN851" s="302"/>
      <c r="BO851" s="302"/>
      <c r="BP851" s="302"/>
      <c r="BQ851" s="302"/>
      <c r="BR851" s="302"/>
      <c r="BS851" s="302"/>
      <c r="BT851" s="302"/>
      <c r="BU851" s="302"/>
      <c r="BV851" s="302"/>
      <c r="BW851" s="302"/>
      <c r="BX851" s="302"/>
      <c r="BY851" s="302"/>
      <c r="BZ851" s="302"/>
      <c r="CA851" s="302"/>
      <c r="CB851" s="28"/>
      <c r="CC851" s="28"/>
      <c r="CD851" s="28"/>
      <c r="CE851" s="28"/>
      <c r="CF851" s="28"/>
      <c r="CG851" s="28"/>
      <c r="CH851" s="28"/>
      <c r="CI851" s="28"/>
      <c r="CJ851" s="28"/>
      <c r="CK851" s="28"/>
      <c r="CL851" s="28"/>
      <c r="CM851" s="28"/>
      <c r="CN851" s="28"/>
      <c r="CO851" s="28"/>
      <c r="CP851" s="28"/>
      <c r="CQ851" s="28"/>
      <c r="CR851" s="28"/>
      <c r="CS851" s="28"/>
      <c r="CT851" s="28"/>
      <c r="CU851" s="28"/>
      <c r="CV851" s="28"/>
      <c r="CW851" s="28"/>
    </row>
    <row r="852" spans="1:101" ht="14.25" customHeight="1" x14ac:dyDescent="0.2">
      <c r="A852" s="286"/>
      <c r="B852" s="52">
        <v>0.14713802501096182</v>
      </c>
      <c r="C852" s="288">
        <v>0.21582908935941206</v>
      </c>
      <c r="D852" s="288">
        <v>2.2555105711766887E-2</v>
      </c>
      <c r="E852" s="288">
        <v>4.7959338973304804E-3</v>
      </c>
      <c r="F852" s="289">
        <v>0.81181993178238199</v>
      </c>
      <c r="G852" s="92">
        <v>0.43231322261410687</v>
      </c>
      <c r="H852" s="288">
        <v>9.5243515862538965E-3</v>
      </c>
      <c r="I852" s="288">
        <v>1.1332724368678054E-2</v>
      </c>
      <c r="J852" s="288">
        <v>8.2833985303508114E-4</v>
      </c>
      <c r="K852" s="288">
        <v>0.73466049505366271</v>
      </c>
      <c r="L852" s="290">
        <v>9148.7965095937943</v>
      </c>
      <c r="M852" s="288">
        <v>0</v>
      </c>
      <c r="N852" s="288">
        <v>22892.980855383797</v>
      </c>
      <c r="O852" s="288">
        <v>1430.8040849695706</v>
      </c>
      <c r="P852" s="288">
        <v>43471.70235074441</v>
      </c>
      <c r="Q852" s="291">
        <v>72953.956699609655</v>
      </c>
      <c r="R852" s="288">
        <v>22025.429558537075</v>
      </c>
      <c r="S852" s="288">
        <v>8941.0945790955993</v>
      </c>
      <c r="T852" s="290">
        <v>0.751</v>
      </c>
      <c r="U852" s="288">
        <v>0.75800000000000001</v>
      </c>
      <c r="V852" s="288">
        <v>0.723923076923077</v>
      </c>
      <c r="W852" s="288">
        <v>0.72750000000000004</v>
      </c>
      <c r="X852" s="288">
        <v>0.76</v>
      </c>
      <c r="Y852" s="288">
        <v>0</v>
      </c>
      <c r="Z852" s="289">
        <v>0</v>
      </c>
      <c r="AA852" s="229"/>
      <c r="AB852" s="293">
        <v>82178.268735681166</v>
      </c>
      <c r="AC852" s="294">
        <v>3.2908033736214093</v>
      </c>
      <c r="AD852" s="295">
        <v>66588.975574006792</v>
      </c>
      <c r="AE852" s="294">
        <v>2.9378420988440408</v>
      </c>
      <c r="AF852" s="295">
        <v>15589.293161674374</v>
      </c>
      <c r="AG852" s="296">
        <v>0.35296127477736849</v>
      </c>
      <c r="AH852" s="229"/>
      <c r="AI852" s="205">
        <f t="shared" si="96"/>
        <v>246902.06862645978</v>
      </c>
      <c r="AJ852" s="205">
        <f t="shared" si="97"/>
        <v>227195.2343103973</v>
      </c>
      <c r="AK852" s="205">
        <f t="shared" si="98"/>
        <v>19706.834316062479</v>
      </c>
      <c r="AL852" s="229"/>
      <c r="AM852" s="52">
        <f t="shared" si="86"/>
        <v>1</v>
      </c>
      <c r="AN852" s="52">
        <f t="shared" si="87"/>
        <v>0</v>
      </c>
      <c r="AO852" s="52">
        <f t="shared" si="88"/>
        <v>1</v>
      </c>
      <c r="AP852" s="229"/>
      <c r="AQ852" s="28"/>
      <c r="AR852" s="28"/>
      <c r="AS852" s="28"/>
      <c r="AT852" s="28"/>
      <c r="AU852" s="229"/>
      <c r="AV852" s="318">
        <f t="shared" si="99"/>
        <v>246902.06862645978</v>
      </c>
      <c r="AW852" s="229"/>
      <c r="AX852" s="313"/>
      <c r="AY852" s="302"/>
      <c r="AZ852" s="14">
        <f t="shared" si="101"/>
        <v>15589.293161674374</v>
      </c>
      <c r="BA852" s="14">
        <f t="shared" si="100"/>
        <v>0.35296127477736849</v>
      </c>
      <c r="BB852" s="14">
        <f t="shared" si="89"/>
        <v>44167.148850840284</v>
      </c>
      <c r="BC852" s="302"/>
      <c r="BD852" s="302"/>
      <c r="BE852" s="302"/>
      <c r="BF852" s="302"/>
      <c r="BG852" s="302"/>
      <c r="BH852" s="302"/>
      <c r="BI852" s="302"/>
      <c r="BJ852" s="302"/>
      <c r="BK852" s="302"/>
      <c r="BL852" s="302"/>
      <c r="BM852" s="302"/>
      <c r="BN852" s="302"/>
      <c r="BO852" s="302"/>
      <c r="BP852" s="302"/>
      <c r="BQ852" s="302"/>
      <c r="BR852" s="302"/>
      <c r="BS852" s="302"/>
      <c r="BT852" s="302"/>
      <c r="BU852" s="302"/>
      <c r="BV852" s="302"/>
      <c r="BW852" s="302"/>
      <c r="BX852" s="302"/>
      <c r="BY852" s="302"/>
      <c r="BZ852" s="302"/>
      <c r="CA852" s="302"/>
      <c r="CB852" s="28"/>
      <c r="CC852" s="28"/>
      <c r="CD852" s="28"/>
      <c r="CE852" s="28"/>
      <c r="CF852" s="28"/>
      <c r="CG852" s="28"/>
      <c r="CH852" s="28"/>
      <c r="CI852" s="28"/>
      <c r="CJ852" s="28"/>
      <c r="CK852" s="28"/>
      <c r="CL852" s="28"/>
      <c r="CM852" s="28"/>
      <c r="CN852" s="28"/>
      <c r="CO852" s="28"/>
      <c r="CP852" s="28"/>
      <c r="CQ852" s="28"/>
      <c r="CR852" s="28"/>
      <c r="CS852" s="28"/>
      <c r="CT852" s="28"/>
      <c r="CU852" s="28"/>
      <c r="CV852" s="28"/>
      <c r="CW852" s="28"/>
    </row>
    <row r="853" spans="1:101" ht="14.25" customHeight="1" x14ac:dyDescent="0.2">
      <c r="A853" s="286"/>
      <c r="B853" s="52">
        <v>0.14623432054715543</v>
      </c>
      <c r="C853" s="288">
        <v>4.350139108395739E-2</v>
      </c>
      <c r="D853" s="288">
        <v>1.0700697499602094E-2</v>
      </c>
      <c r="E853" s="288">
        <v>1.3396547668329198E-2</v>
      </c>
      <c r="F853" s="289">
        <v>0.78097905800574852</v>
      </c>
      <c r="G853" s="92">
        <v>0.42208686160118569</v>
      </c>
      <c r="H853" s="288">
        <v>0.99891455386246375</v>
      </c>
      <c r="I853" s="288">
        <v>7.4148963549409905E-3</v>
      </c>
      <c r="J853" s="288">
        <v>1</v>
      </c>
      <c r="K853" s="288">
        <v>0.69575261154012391</v>
      </c>
      <c r="L853" s="290">
        <v>11754.225853779903</v>
      </c>
      <c r="M853" s="288">
        <v>0</v>
      </c>
      <c r="N853" s="288">
        <v>17605.077448720385</v>
      </c>
      <c r="O853" s="288">
        <v>1084.9771545303254</v>
      </c>
      <c r="P853" s="288">
        <v>44692.596689227728</v>
      </c>
      <c r="Q853" s="291">
        <v>80798.714155514375</v>
      </c>
      <c r="R853" s="288">
        <v>20332.352628612814</v>
      </c>
      <c r="S853" s="288">
        <v>7513.5799601404406</v>
      </c>
      <c r="T853" s="290">
        <v>0.751</v>
      </c>
      <c r="U853" s="288">
        <v>0.75800000000000001</v>
      </c>
      <c r="V853" s="288">
        <v>0.723923076923077</v>
      </c>
      <c r="W853" s="288">
        <v>0.72750000000000004</v>
      </c>
      <c r="X853" s="288">
        <v>0.76</v>
      </c>
      <c r="Y853" s="288">
        <v>0</v>
      </c>
      <c r="Z853" s="289">
        <v>0</v>
      </c>
      <c r="AA853" s="229"/>
      <c r="AB853" s="293">
        <v>70276.072795312328</v>
      </c>
      <c r="AC853" s="294">
        <v>3.1468969185193978</v>
      </c>
      <c r="AD853" s="295">
        <v>61544.890051396367</v>
      </c>
      <c r="AE853" s="294">
        <v>2.7609181768992177</v>
      </c>
      <c r="AF853" s="295">
        <v>8731.1827439159606</v>
      </c>
      <c r="AG853" s="296">
        <v>0.38597874162018009</v>
      </c>
      <c r="AH853" s="229"/>
      <c r="AI853" s="205">
        <f t="shared" si="96"/>
        <v>244413.61905662745</v>
      </c>
      <c r="AJ853" s="205">
        <f t="shared" si="97"/>
        <v>214546.92763852541</v>
      </c>
      <c r="AK853" s="205">
        <f t="shared" si="98"/>
        <v>29866.691418102047</v>
      </c>
      <c r="AL853" s="229"/>
      <c r="AM853" s="52">
        <f t="shared" si="86"/>
        <v>1</v>
      </c>
      <c r="AN853" s="52">
        <f t="shared" si="87"/>
        <v>0</v>
      </c>
      <c r="AO853" s="52">
        <f t="shared" si="88"/>
        <v>1</v>
      </c>
      <c r="AP853" s="229"/>
      <c r="AQ853" s="28"/>
      <c r="AR853" s="28"/>
      <c r="AS853" s="28"/>
      <c r="AT853" s="28"/>
      <c r="AU853" s="229"/>
      <c r="AV853" s="318">
        <f t="shared" si="99"/>
        <v>244413.61905662745</v>
      </c>
      <c r="AW853" s="229"/>
      <c r="AX853" s="313"/>
      <c r="AY853" s="302"/>
      <c r="AZ853" s="14">
        <f t="shared" si="101"/>
        <v>8731.1827439159606</v>
      </c>
      <c r="BA853" s="14">
        <f t="shared" si="100"/>
        <v>0.38597874162018009</v>
      </c>
      <c r="BB853" s="14">
        <f t="shared" si="89"/>
        <v>22620.890226404812</v>
      </c>
      <c r="BC853" s="302"/>
      <c r="BD853" s="302"/>
      <c r="BE853" s="302"/>
      <c r="BF853" s="302"/>
      <c r="BG853" s="302"/>
      <c r="BH853" s="302"/>
      <c r="BI853" s="302"/>
      <c r="BJ853" s="302"/>
      <c r="BK853" s="302"/>
      <c r="BL853" s="302"/>
      <c r="BM853" s="302"/>
      <c r="BN853" s="302"/>
      <c r="BO853" s="302"/>
      <c r="BP853" s="302"/>
      <c r="BQ853" s="302"/>
      <c r="BR853" s="302"/>
      <c r="BS853" s="302"/>
      <c r="BT853" s="302"/>
      <c r="BU853" s="302"/>
      <c r="BV853" s="302"/>
      <c r="BW853" s="302"/>
      <c r="BX853" s="302"/>
      <c r="BY853" s="302"/>
      <c r="BZ853" s="302"/>
      <c r="CA853" s="302"/>
      <c r="CB853" s="28"/>
      <c r="CC853" s="28"/>
      <c r="CD853" s="28"/>
      <c r="CE853" s="28"/>
      <c r="CF853" s="28"/>
      <c r="CG853" s="28"/>
      <c r="CH853" s="28"/>
      <c r="CI853" s="28"/>
      <c r="CJ853" s="28"/>
      <c r="CK853" s="28"/>
      <c r="CL853" s="28"/>
      <c r="CM853" s="28"/>
      <c r="CN853" s="28"/>
      <c r="CO853" s="28"/>
      <c r="CP853" s="28"/>
      <c r="CQ853" s="28"/>
      <c r="CR853" s="28"/>
      <c r="CS853" s="28"/>
      <c r="CT853" s="28"/>
      <c r="CU853" s="28"/>
      <c r="CV853" s="28"/>
      <c r="CW853" s="28"/>
    </row>
    <row r="854" spans="1:101" ht="14.25" customHeight="1" x14ac:dyDescent="0.2">
      <c r="A854" s="286"/>
      <c r="B854" s="52">
        <v>0.17531963674367346</v>
      </c>
      <c r="C854" s="288">
        <v>0.25453670136494588</v>
      </c>
      <c r="D854" s="288">
        <v>1.3316499643533817E-2</v>
      </c>
      <c r="E854" s="288">
        <v>1.3614721281652375E-2</v>
      </c>
      <c r="F854" s="289">
        <v>0.84319827292497618</v>
      </c>
      <c r="G854" s="92">
        <v>0.43195130361672041</v>
      </c>
      <c r="H854" s="288">
        <v>0.80008940305434251</v>
      </c>
      <c r="I854" s="288">
        <v>5.7923798068932997E-2</v>
      </c>
      <c r="J854" s="288">
        <v>0.99875469404066708</v>
      </c>
      <c r="K854" s="288">
        <v>0.7457339923553491</v>
      </c>
      <c r="L854" s="290">
        <v>12477.019869922489</v>
      </c>
      <c r="M854" s="288">
        <v>0</v>
      </c>
      <c r="N854" s="288">
        <v>16287.700308018118</v>
      </c>
      <c r="O854" s="288">
        <v>1349.4359485518321</v>
      </c>
      <c r="P854" s="288">
        <v>42205.375163912358</v>
      </c>
      <c r="Q854" s="291">
        <v>91588.035343413081</v>
      </c>
      <c r="R854" s="288">
        <v>26583.532004532626</v>
      </c>
      <c r="S854" s="288">
        <v>8865.4976246556198</v>
      </c>
      <c r="T854" s="290">
        <v>0.751</v>
      </c>
      <c r="U854" s="288">
        <v>0.75800000000000001</v>
      </c>
      <c r="V854" s="288">
        <v>0.723923076923077</v>
      </c>
      <c r="W854" s="288">
        <v>0.72750000000000004</v>
      </c>
      <c r="X854" s="288">
        <v>0.76</v>
      </c>
      <c r="Y854" s="288">
        <v>0</v>
      </c>
      <c r="Z854" s="289">
        <v>0</v>
      </c>
      <c r="AA854" s="229"/>
      <c r="AB854" s="293">
        <v>88138.856694708229</v>
      </c>
      <c r="AC854" s="294">
        <v>3.4387488219679057</v>
      </c>
      <c r="AD854" s="295">
        <v>79085.437404604396</v>
      </c>
      <c r="AE854" s="294">
        <v>2.9886322757997017</v>
      </c>
      <c r="AF854" s="295">
        <v>9053.4192901038332</v>
      </c>
      <c r="AG854" s="296">
        <v>0.45011654616820396</v>
      </c>
      <c r="AH854" s="229"/>
      <c r="AI854" s="205">
        <f t="shared" si="96"/>
        <v>255736.02550208231</v>
      </c>
      <c r="AJ854" s="205">
        <f t="shared" si="97"/>
        <v>219777.79017536575</v>
      </c>
      <c r="AK854" s="205">
        <f t="shared" si="98"/>
        <v>35958.23532671656</v>
      </c>
      <c r="AL854" s="229"/>
      <c r="AM854" s="52">
        <f t="shared" si="86"/>
        <v>1</v>
      </c>
      <c r="AN854" s="52">
        <f t="shared" si="87"/>
        <v>0</v>
      </c>
      <c r="AO854" s="52">
        <f t="shared" si="88"/>
        <v>1</v>
      </c>
      <c r="AP854" s="229"/>
      <c r="AQ854" s="28"/>
      <c r="AR854" s="28"/>
      <c r="AS854" s="28"/>
      <c r="AT854" s="28"/>
      <c r="AU854" s="229"/>
      <c r="AV854" s="318">
        <f t="shared" si="99"/>
        <v>255736.02550208231</v>
      </c>
      <c r="AW854" s="229"/>
      <c r="AX854" s="313"/>
      <c r="AY854" s="302"/>
      <c r="AZ854" s="14">
        <f t="shared" si="101"/>
        <v>9053.4192901038332</v>
      </c>
      <c r="BA854" s="14">
        <f t="shared" si="100"/>
        <v>0.45011654616820396</v>
      </c>
      <c r="BB854" s="14">
        <f t="shared" si="89"/>
        <v>20113.500308252751</v>
      </c>
      <c r="BC854" s="302"/>
      <c r="BD854" s="302"/>
      <c r="BE854" s="302"/>
      <c r="BF854" s="302"/>
      <c r="BG854" s="302"/>
      <c r="BH854" s="302"/>
      <c r="BI854" s="302"/>
      <c r="BJ854" s="302"/>
      <c r="BK854" s="302"/>
      <c r="BL854" s="302"/>
      <c r="BM854" s="302"/>
      <c r="BN854" s="302"/>
      <c r="BO854" s="302"/>
      <c r="BP854" s="302"/>
      <c r="BQ854" s="302"/>
      <c r="BR854" s="302"/>
      <c r="BS854" s="302"/>
      <c r="BT854" s="302"/>
      <c r="BU854" s="302"/>
      <c r="BV854" s="302"/>
      <c r="BW854" s="302"/>
      <c r="BX854" s="302"/>
      <c r="BY854" s="302"/>
      <c r="BZ854" s="302"/>
      <c r="CA854" s="302"/>
      <c r="CB854" s="28"/>
      <c r="CC854" s="28"/>
      <c r="CD854" s="28"/>
      <c r="CE854" s="28"/>
      <c r="CF854" s="28"/>
      <c r="CG854" s="28"/>
      <c r="CH854" s="28"/>
      <c r="CI854" s="28"/>
      <c r="CJ854" s="28"/>
      <c r="CK854" s="28"/>
      <c r="CL854" s="28"/>
      <c r="CM854" s="28"/>
      <c r="CN854" s="28"/>
      <c r="CO854" s="28"/>
      <c r="CP854" s="28"/>
      <c r="CQ854" s="28"/>
      <c r="CR854" s="28"/>
      <c r="CS854" s="28"/>
      <c r="CT854" s="28"/>
      <c r="CU854" s="28"/>
      <c r="CV854" s="28"/>
      <c r="CW854" s="28"/>
    </row>
    <row r="855" spans="1:101" ht="14.25" customHeight="1" x14ac:dyDescent="0.2">
      <c r="A855" s="286"/>
      <c r="B855" s="52">
        <v>0.12474133317335924</v>
      </c>
      <c r="C855" s="288">
        <v>0.2464775861108712</v>
      </c>
      <c r="D855" s="288">
        <v>2.114294974968145E-2</v>
      </c>
      <c r="E855" s="288">
        <v>2.0363279290035008E-2</v>
      </c>
      <c r="F855" s="289">
        <v>0.7807440903520646</v>
      </c>
      <c r="G855" s="92">
        <v>0.37260153732682044</v>
      </c>
      <c r="H855" s="288">
        <v>5.495699053457781E-2</v>
      </c>
      <c r="I855" s="288">
        <v>1.2200507340815882E-2</v>
      </c>
      <c r="J855" s="288">
        <v>0.99999980669013244</v>
      </c>
      <c r="K855" s="288">
        <v>0.81157696226961373</v>
      </c>
      <c r="L855" s="290">
        <v>8990.7649678401267</v>
      </c>
      <c r="M855" s="288">
        <v>0</v>
      </c>
      <c r="N855" s="288">
        <v>21778.402317369964</v>
      </c>
      <c r="O855" s="288">
        <v>1206.1962017625863</v>
      </c>
      <c r="P855" s="288">
        <v>46017.95118532471</v>
      </c>
      <c r="Q855" s="291">
        <v>91401.466551524645</v>
      </c>
      <c r="R855" s="288">
        <v>15446.276104126175</v>
      </c>
      <c r="S855" s="288">
        <v>7362.9174031247076</v>
      </c>
      <c r="T855" s="290">
        <v>0.751</v>
      </c>
      <c r="U855" s="288">
        <v>0.75800000000000001</v>
      </c>
      <c r="V855" s="288">
        <v>0.723923076923077</v>
      </c>
      <c r="W855" s="288">
        <v>0.72750000000000004</v>
      </c>
      <c r="X855" s="288">
        <v>0.76</v>
      </c>
      <c r="Y855" s="288">
        <v>0</v>
      </c>
      <c r="Z855" s="289">
        <v>0</v>
      </c>
      <c r="AA855" s="229"/>
      <c r="AB855" s="293">
        <v>66784.667505590347</v>
      </c>
      <c r="AC855" s="294">
        <v>3.1458062635134914</v>
      </c>
      <c r="AD855" s="295">
        <v>61088.579587720073</v>
      </c>
      <c r="AE855" s="294">
        <v>3.2946218484453813</v>
      </c>
      <c r="AF855" s="295">
        <v>5696.0879178702744</v>
      </c>
      <c r="AG855" s="296">
        <v>-0.14881558493188995</v>
      </c>
      <c r="AH855" s="229"/>
      <c r="AI855" s="205">
        <f t="shared" si="96"/>
        <v>247795.95884575875</v>
      </c>
      <c r="AJ855" s="205">
        <f t="shared" si="97"/>
        <v>268373.605256818</v>
      </c>
      <c r="AK855" s="205">
        <f t="shared" si="98"/>
        <v>-20577.646411059271</v>
      </c>
      <c r="AL855" s="229"/>
      <c r="AM855" s="52">
        <f t="shared" si="86"/>
        <v>0</v>
      </c>
      <c r="AN855" s="52">
        <f t="shared" si="87"/>
        <v>1</v>
      </c>
      <c r="AO855" s="52">
        <f t="shared" si="88"/>
        <v>0</v>
      </c>
      <c r="AP855" s="229"/>
      <c r="AQ855" s="28"/>
      <c r="AR855" s="28"/>
      <c r="AS855" s="28"/>
      <c r="AT855" s="28"/>
      <c r="AU855" s="229"/>
      <c r="AV855" s="318">
        <f t="shared" si="99"/>
        <v>268373.605256818</v>
      </c>
      <c r="AW855" s="229"/>
      <c r="AX855" s="313"/>
      <c r="AY855" s="302"/>
      <c r="AZ855" s="14">
        <f t="shared" si="101"/>
        <v>5696.0879178702744</v>
      </c>
      <c r="BA855" s="14">
        <f t="shared" si="100"/>
        <v>-0.14881558493188995</v>
      </c>
      <c r="BB855" s="14">
        <f t="shared" si="89"/>
        <v>-38276.151792013348</v>
      </c>
      <c r="BC855" s="302"/>
      <c r="BD855" s="302"/>
      <c r="BE855" s="302"/>
      <c r="BF855" s="302"/>
      <c r="BG855" s="302"/>
      <c r="BH855" s="302"/>
      <c r="BI855" s="302"/>
      <c r="BJ855" s="302"/>
      <c r="BK855" s="302"/>
      <c r="BL855" s="302"/>
      <c r="BM855" s="302"/>
      <c r="BN855" s="302"/>
      <c r="BO855" s="302"/>
      <c r="BP855" s="302"/>
      <c r="BQ855" s="302"/>
      <c r="BR855" s="302"/>
      <c r="BS855" s="302"/>
      <c r="BT855" s="302"/>
      <c r="BU855" s="302"/>
      <c r="BV855" s="302"/>
      <c r="BW855" s="302"/>
      <c r="BX855" s="302"/>
      <c r="BY855" s="302"/>
      <c r="BZ855" s="302"/>
      <c r="CA855" s="302"/>
      <c r="CB855" s="28"/>
      <c r="CC855" s="28"/>
      <c r="CD855" s="28"/>
      <c r="CE855" s="28"/>
      <c r="CF855" s="28"/>
      <c r="CG855" s="28"/>
      <c r="CH855" s="28"/>
      <c r="CI855" s="28"/>
      <c r="CJ855" s="28"/>
      <c r="CK855" s="28"/>
      <c r="CL855" s="28"/>
      <c r="CM855" s="28"/>
      <c r="CN855" s="28"/>
      <c r="CO855" s="28"/>
      <c r="CP855" s="28"/>
      <c r="CQ855" s="28"/>
      <c r="CR855" s="28"/>
      <c r="CS855" s="28"/>
      <c r="CT855" s="28"/>
      <c r="CU855" s="28"/>
      <c r="CV855" s="28"/>
      <c r="CW855" s="28"/>
    </row>
    <row r="856" spans="1:101" ht="14.25" customHeight="1" x14ac:dyDescent="0.2">
      <c r="A856" s="286"/>
      <c r="B856" s="52">
        <v>0.14992405989298349</v>
      </c>
      <c r="C856" s="288">
        <v>0.10278779558556217</v>
      </c>
      <c r="D856" s="288">
        <v>2.0668331520774519E-2</v>
      </c>
      <c r="E856" s="288">
        <v>1.4405929951527119E-2</v>
      </c>
      <c r="F856" s="289">
        <v>0.80722747405173489</v>
      </c>
      <c r="G856" s="92">
        <v>0.35912174085162096</v>
      </c>
      <c r="H856" s="288">
        <v>0.79084335869177935</v>
      </c>
      <c r="I856" s="288">
        <v>1.3975668678160387E-2</v>
      </c>
      <c r="J856" s="288">
        <v>0.89698232057133098</v>
      </c>
      <c r="K856" s="288">
        <v>0.75733420257151973</v>
      </c>
      <c r="L856" s="290">
        <v>8873.1660117021129</v>
      </c>
      <c r="M856" s="288">
        <v>0</v>
      </c>
      <c r="N856" s="288">
        <v>25806.614104653632</v>
      </c>
      <c r="O856" s="288">
        <v>1201.0766047266104</v>
      </c>
      <c r="P856" s="288">
        <v>43772.343140570745</v>
      </c>
      <c r="Q856" s="291">
        <v>112010.66108652302</v>
      </c>
      <c r="R856" s="288">
        <v>13658.541388628457</v>
      </c>
      <c r="S856" s="288">
        <v>6748.7213571390384</v>
      </c>
      <c r="T856" s="290">
        <v>0.751</v>
      </c>
      <c r="U856" s="288">
        <v>0.75800000000000001</v>
      </c>
      <c r="V856" s="288">
        <v>0.723923076923077</v>
      </c>
      <c r="W856" s="288">
        <v>0.72750000000000004</v>
      </c>
      <c r="X856" s="288">
        <v>0.76</v>
      </c>
      <c r="Y856" s="288">
        <v>0</v>
      </c>
      <c r="Z856" s="289">
        <v>0</v>
      </c>
      <c r="AA856" s="229"/>
      <c r="AB856" s="293">
        <v>63559.119972164539</v>
      </c>
      <c r="AC856" s="294">
        <v>3.2692799911357935</v>
      </c>
      <c r="AD856" s="295">
        <v>56103.670674966168</v>
      </c>
      <c r="AE856" s="294">
        <v>3.0420455892249105</v>
      </c>
      <c r="AF856" s="295">
        <v>7455.4492971983709</v>
      </c>
      <c r="AG856" s="296">
        <v>0.22723440191088295</v>
      </c>
      <c r="AH856" s="229"/>
      <c r="AI856" s="205">
        <f t="shared" si="96"/>
        <v>263368.87914141477</v>
      </c>
      <c r="AJ856" s="205">
        <f t="shared" si="97"/>
        <v>248100.88824752485</v>
      </c>
      <c r="AK856" s="205">
        <f t="shared" si="98"/>
        <v>15267.990893889924</v>
      </c>
      <c r="AL856" s="229"/>
      <c r="AM856" s="52">
        <f t="shared" si="86"/>
        <v>1</v>
      </c>
      <c r="AN856" s="52">
        <f t="shared" si="87"/>
        <v>0</v>
      </c>
      <c r="AO856" s="52">
        <f t="shared" si="88"/>
        <v>1</v>
      </c>
      <c r="AP856" s="229"/>
      <c r="AQ856" s="28"/>
      <c r="AR856" s="28"/>
      <c r="AS856" s="28"/>
      <c r="AT856" s="28"/>
      <c r="AU856" s="229"/>
      <c r="AV856" s="318">
        <f t="shared" si="99"/>
        <v>263368.87914141477</v>
      </c>
      <c r="AW856" s="229"/>
      <c r="AX856" s="313"/>
      <c r="AY856" s="302"/>
      <c r="AZ856" s="14">
        <f t="shared" si="101"/>
        <v>7455.4492971983709</v>
      </c>
      <c r="BA856" s="14">
        <f t="shared" si="100"/>
        <v>0.22723440191088295</v>
      </c>
      <c r="BB856" s="14">
        <f t="shared" si="89"/>
        <v>32809.509627517829</v>
      </c>
      <c r="BC856" s="302"/>
      <c r="BD856" s="302"/>
      <c r="BE856" s="302"/>
      <c r="BF856" s="302"/>
      <c r="BG856" s="302"/>
      <c r="BH856" s="302"/>
      <c r="BI856" s="302"/>
      <c r="BJ856" s="302"/>
      <c r="BK856" s="302"/>
      <c r="BL856" s="302"/>
      <c r="BM856" s="302"/>
      <c r="BN856" s="302"/>
      <c r="BO856" s="302"/>
      <c r="BP856" s="302"/>
      <c r="BQ856" s="302"/>
      <c r="BR856" s="302"/>
      <c r="BS856" s="302"/>
      <c r="BT856" s="302"/>
      <c r="BU856" s="302"/>
      <c r="BV856" s="302"/>
      <c r="BW856" s="302"/>
      <c r="BX856" s="302"/>
      <c r="BY856" s="302"/>
      <c r="BZ856" s="302"/>
      <c r="CA856" s="302"/>
      <c r="CB856" s="28"/>
      <c r="CC856" s="28"/>
      <c r="CD856" s="28"/>
      <c r="CE856" s="28"/>
      <c r="CF856" s="28"/>
      <c r="CG856" s="28"/>
      <c r="CH856" s="28"/>
      <c r="CI856" s="28"/>
      <c r="CJ856" s="28"/>
      <c r="CK856" s="28"/>
      <c r="CL856" s="28"/>
      <c r="CM856" s="28"/>
      <c r="CN856" s="28"/>
      <c r="CO856" s="28"/>
      <c r="CP856" s="28"/>
      <c r="CQ856" s="28"/>
      <c r="CR856" s="28"/>
      <c r="CS856" s="28"/>
      <c r="CT856" s="28"/>
      <c r="CU856" s="28"/>
      <c r="CV856" s="28"/>
      <c r="CW856" s="28"/>
    </row>
    <row r="857" spans="1:101" ht="14.25" customHeight="1" x14ac:dyDescent="0.2">
      <c r="A857" s="286"/>
      <c r="B857" s="52">
        <v>0.13983728633769132</v>
      </c>
      <c r="C857" s="288">
        <v>1.0122750461870177E-2</v>
      </c>
      <c r="D857" s="288">
        <v>5.6664894134994051E-3</v>
      </c>
      <c r="E857" s="288">
        <v>2.4016357012430767E-2</v>
      </c>
      <c r="F857" s="289">
        <v>0.80134480860062318</v>
      </c>
      <c r="G857" s="92">
        <v>0.40506458778170229</v>
      </c>
      <c r="H857" s="288">
        <v>0.43835287439001774</v>
      </c>
      <c r="I857" s="288">
        <v>1.0724213702080517E-2</v>
      </c>
      <c r="J857" s="288">
        <v>0.99999889833292799</v>
      </c>
      <c r="K857" s="288">
        <v>0.7677970004437108</v>
      </c>
      <c r="L857" s="290">
        <v>10949.883081862488</v>
      </c>
      <c r="M857" s="288">
        <v>0</v>
      </c>
      <c r="N857" s="288">
        <v>17602.163117355492</v>
      </c>
      <c r="O857" s="288">
        <v>1265.4044315174774</v>
      </c>
      <c r="P857" s="288">
        <v>66014.554014926296</v>
      </c>
      <c r="Q857" s="291">
        <v>112369.38034130145</v>
      </c>
      <c r="R857" s="288">
        <v>25246.977886902641</v>
      </c>
      <c r="S857" s="288">
        <v>8437.5447197177127</v>
      </c>
      <c r="T857" s="290">
        <v>0.751</v>
      </c>
      <c r="U857" s="288">
        <v>0.75800000000000001</v>
      </c>
      <c r="V857" s="288">
        <v>0.723923076923077</v>
      </c>
      <c r="W857" s="288">
        <v>0.72750000000000004</v>
      </c>
      <c r="X857" s="288">
        <v>0.76</v>
      </c>
      <c r="Y857" s="288">
        <v>0</v>
      </c>
      <c r="Z857" s="289">
        <v>0</v>
      </c>
      <c r="AA857" s="229"/>
      <c r="AB857" s="293">
        <v>78206.345738513439</v>
      </c>
      <c r="AC857" s="294">
        <v>3.2417581439507854</v>
      </c>
      <c r="AD857" s="295">
        <v>70398.72563391224</v>
      </c>
      <c r="AE857" s="294">
        <v>3.0904036046481655</v>
      </c>
      <c r="AF857" s="295">
        <v>7807.6201046011993</v>
      </c>
      <c r="AG857" s="296">
        <v>0.15135453930261988</v>
      </c>
      <c r="AH857" s="229"/>
      <c r="AI857" s="205">
        <f t="shared" si="96"/>
        <v>245969.46865656506</v>
      </c>
      <c r="AJ857" s="205">
        <f t="shared" si="97"/>
        <v>238641.63483090431</v>
      </c>
      <c r="AK857" s="205">
        <f t="shared" si="98"/>
        <v>7327.8338256607894</v>
      </c>
      <c r="AL857" s="229"/>
      <c r="AM857" s="52">
        <f t="shared" si="86"/>
        <v>1</v>
      </c>
      <c r="AN857" s="52">
        <f t="shared" si="87"/>
        <v>0</v>
      </c>
      <c r="AO857" s="52">
        <f t="shared" si="88"/>
        <v>1</v>
      </c>
      <c r="AP857" s="229"/>
      <c r="AQ857" s="28"/>
      <c r="AR857" s="28"/>
      <c r="AS857" s="28"/>
      <c r="AT857" s="28"/>
      <c r="AU857" s="229"/>
      <c r="AV857" s="318">
        <f t="shared" si="99"/>
        <v>245969.46865656506</v>
      </c>
      <c r="AW857" s="229"/>
      <c r="AX857" s="313"/>
      <c r="AY857" s="302"/>
      <c r="AZ857" s="14">
        <f t="shared" si="101"/>
        <v>7807.6201046011993</v>
      </c>
      <c r="BA857" s="14">
        <f t="shared" si="100"/>
        <v>0.15135453930261988</v>
      </c>
      <c r="BB857" s="14">
        <f t="shared" si="89"/>
        <v>51584.974858207323</v>
      </c>
      <c r="BC857" s="302"/>
      <c r="BD857" s="302"/>
      <c r="BE857" s="302"/>
      <c r="BF857" s="302"/>
      <c r="BG857" s="302"/>
      <c r="BH857" s="302"/>
      <c r="BI857" s="302"/>
      <c r="BJ857" s="302"/>
      <c r="BK857" s="302"/>
      <c r="BL857" s="302"/>
      <c r="BM857" s="302"/>
      <c r="BN857" s="302"/>
      <c r="BO857" s="302"/>
      <c r="BP857" s="302"/>
      <c r="BQ857" s="302"/>
      <c r="BR857" s="302"/>
      <c r="BS857" s="302"/>
      <c r="BT857" s="302"/>
      <c r="BU857" s="302"/>
      <c r="BV857" s="302"/>
      <c r="BW857" s="302"/>
      <c r="BX857" s="302"/>
      <c r="BY857" s="302"/>
      <c r="BZ857" s="302"/>
      <c r="CA857" s="302"/>
      <c r="CB857" s="28"/>
      <c r="CC857" s="28"/>
      <c r="CD857" s="28"/>
      <c r="CE857" s="28"/>
      <c r="CF857" s="28"/>
      <c r="CG857" s="28"/>
      <c r="CH857" s="28"/>
      <c r="CI857" s="28"/>
      <c r="CJ857" s="28"/>
      <c r="CK857" s="28"/>
      <c r="CL857" s="28"/>
      <c r="CM857" s="28"/>
      <c r="CN857" s="28"/>
      <c r="CO857" s="28"/>
      <c r="CP857" s="28"/>
      <c r="CQ857" s="28"/>
      <c r="CR857" s="28"/>
      <c r="CS857" s="28"/>
      <c r="CT857" s="28"/>
      <c r="CU857" s="28"/>
      <c r="CV857" s="28"/>
      <c r="CW857" s="28"/>
    </row>
    <row r="858" spans="1:101" ht="14.25" customHeight="1" x14ac:dyDescent="0.2">
      <c r="A858" s="286"/>
      <c r="B858" s="52">
        <v>0.14958547026629615</v>
      </c>
      <c r="C858" s="288">
        <v>1.5259014005235532E-2</v>
      </c>
      <c r="D858" s="288">
        <v>1.428357157169795E-2</v>
      </c>
      <c r="E858" s="288">
        <v>7.2629954531461078E-3</v>
      </c>
      <c r="F858" s="289">
        <v>0.80713365460893083</v>
      </c>
      <c r="G858" s="92">
        <v>0.38367680396319842</v>
      </c>
      <c r="H858" s="288">
        <v>0.3260888455327357</v>
      </c>
      <c r="I858" s="288">
        <v>1.7755366487449353E-2</v>
      </c>
      <c r="J858" s="288">
        <v>0.6486087114291621</v>
      </c>
      <c r="K858" s="288">
        <v>0.71852518897074469</v>
      </c>
      <c r="L858" s="290">
        <v>12831.130704991578</v>
      </c>
      <c r="M858" s="288">
        <v>0</v>
      </c>
      <c r="N858" s="288">
        <v>10615.204254088061</v>
      </c>
      <c r="O858" s="288">
        <v>1436.3915010844642</v>
      </c>
      <c r="P858" s="288">
        <v>61480.528523566289</v>
      </c>
      <c r="Q858" s="291">
        <v>69560.872270159991</v>
      </c>
      <c r="R858" s="288">
        <v>26393.302972165016</v>
      </c>
      <c r="S858" s="288">
        <v>7101.4588920163051</v>
      </c>
      <c r="T858" s="290">
        <v>0.751</v>
      </c>
      <c r="U858" s="288">
        <v>0.75800000000000001</v>
      </c>
      <c r="V858" s="288">
        <v>0.723923076923077</v>
      </c>
      <c r="W858" s="288">
        <v>0.72750000000000004</v>
      </c>
      <c r="X858" s="288">
        <v>0.76</v>
      </c>
      <c r="Y858" s="288">
        <v>0</v>
      </c>
      <c r="Z858" s="289">
        <v>0</v>
      </c>
      <c r="AA858" s="229"/>
      <c r="AB858" s="293">
        <v>70014.164149498174</v>
      </c>
      <c r="AC858" s="294">
        <v>3.2688406341810925</v>
      </c>
      <c r="AD858" s="295">
        <v>55470.365176151034</v>
      </c>
      <c r="AE858" s="294">
        <v>2.8641812174621637</v>
      </c>
      <c r="AF858" s="295">
        <v>14543.79897334714</v>
      </c>
      <c r="AG858" s="296">
        <v>0.4046594167189288</v>
      </c>
      <c r="AH858" s="229"/>
      <c r="AI858" s="205">
        <f t="shared" si="96"/>
        <v>256869.8992686111</v>
      </c>
      <c r="AJ858" s="205">
        <f t="shared" si="97"/>
        <v>230947.75657006534</v>
      </c>
      <c r="AK858" s="205">
        <f t="shared" si="98"/>
        <v>25922.142698545736</v>
      </c>
      <c r="AL858" s="229"/>
      <c r="AM858" s="52">
        <f t="shared" si="86"/>
        <v>1</v>
      </c>
      <c r="AN858" s="52">
        <f t="shared" si="87"/>
        <v>0</v>
      </c>
      <c r="AO858" s="52">
        <f t="shared" si="88"/>
        <v>1</v>
      </c>
      <c r="AP858" s="229"/>
      <c r="AQ858" s="28"/>
      <c r="AR858" s="28"/>
      <c r="AS858" s="28"/>
      <c r="AT858" s="28"/>
      <c r="AU858" s="229"/>
      <c r="AV858" s="318">
        <f t="shared" si="99"/>
        <v>256869.8992686111</v>
      </c>
      <c r="AW858" s="229"/>
      <c r="AX858" s="313"/>
      <c r="AY858" s="302"/>
      <c r="AZ858" s="14">
        <f t="shared" si="101"/>
        <v>14543.79897334714</v>
      </c>
      <c r="BA858" s="14">
        <f t="shared" si="100"/>
        <v>0.4046594167189288</v>
      </c>
      <c r="BB858" s="14">
        <f t="shared" si="89"/>
        <v>35940.839067262023</v>
      </c>
      <c r="BC858" s="302"/>
      <c r="BD858" s="302"/>
      <c r="BE858" s="302"/>
      <c r="BF858" s="302"/>
      <c r="BG858" s="302"/>
      <c r="BH858" s="302"/>
      <c r="BI858" s="302"/>
      <c r="BJ858" s="302"/>
      <c r="BK858" s="302"/>
      <c r="BL858" s="302"/>
      <c r="BM858" s="302"/>
      <c r="BN858" s="302"/>
      <c r="BO858" s="302"/>
      <c r="BP858" s="302"/>
      <c r="BQ858" s="302"/>
      <c r="BR858" s="302"/>
      <c r="BS858" s="302"/>
      <c r="BT858" s="302"/>
      <c r="BU858" s="302"/>
      <c r="BV858" s="302"/>
      <c r="BW858" s="302"/>
      <c r="BX858" s="302"/>
      <c r="BY858" s="302"/>
      <c r="BZ858" s="302"/>
      <c r="CA858" s="302"/>
      <c r="CB858" s="28"/>
      <c r="CC858" s="28"/>
      <c r="CD858" s="28"/>
      <c r="CE858" s="28"/>
      <c r="CF858" s="28"/>
      <c r="CG858" s="28"/>
      <c r="CH858" s="28"/>
      <c r="CI858" s="28"/>
      <c r="CJ858" s="28"/>
      <c r="CK858" s="28"/>
      <c r="CL858" s="28"/>
      <c r="CM858" s="28"/>
      <c r="CN858" s="28"/>
      <c r="CO858" s="28"/>
      <c r="CP858" s="28"/>
      <c r="CQ858" s="28"/>
      <c r="CR858" s="28"/>
      <c r="CS858" s="28"/>
      <c r="CT858" s="28"/>
      <c r="CU858" s="28"/>
      <c r="CV858" s="28"/>
      <c r="CW858" s="28"/>
    </row>
    <row r="859" spans="1:101" ht="14.25" customHeight="1" x14ac:dyDescent="0.2">
      <c r="A859" s="286"/>
      <c r="B859" s="52">
        <v>0.15807959024946389</v>
      </c>
      <c r="C859" s="288">
        <v>0.11386131411246449</v>
      </c>
      <c r="D859" s="288">
        <v>1.7605356307173858E-2</v>
      </c>
      <c r="E859" s="288">
        <v>5.4390279632704009E-3</v>
      </c>
      <c r="F859" s="289">
        <v>0.7731125561802682</v>
      </c>
      <c r="G859" s="92">
        <v>0.36000359430185341</v>
      </c>
      <c r="H859" s="288">
        <v>0.56092443435323835</v>
      </c>
      <c r="I859" s="288">
        <v>3.0932499185737705E-2</v>
      </c>
      <c r="J859" s="288">
        <v>0.99999999998485367</v>
      </c>
      <c r="K859" s="288">
        <v>0.80192561264787898</v>
      </c>
      <c r="L859" s="290">
        <v>13514.782963286556</v>
      </c>
      <c r="M859" s="288">
        <v>0</v>
      </c>
      <c r="N859" s="288">
        <v>19824.209333856536</v>
      </c>
      <c r="O859" s="288">
        <v>1084.0852765450688</v>
      </c>
      <c r="P859" s="288">
        <v>57178.636125806668</v>
      </c>
      <c r="Q859" s="291">
        <v>102825.12049420658</v>
      </c>
      <c r="R859" s="288">
        <v>26105.679837364962</v>
      </c>
      <c r="S859" s="288">
        <v>8036.2953621852466</v>
      </c>
      <c r="T859" s="290">
        <v>0.751</v>
      </c>
      <c r="U859" s="288">
        <v>0.75800000000000001</v>
      </c>
      <c r="V859" s="288">
        <v>0.723923076923077</v>
      </c>
      <c r="W859" s="288">
        <v>0.72750000000000004</v>
      </c>
      <c r="X859" s="288">
        <v>0.76</v>
      </c>
      <c r="Y859" s="288">
        <v>0</v>
      </c>
      <c r="Z859" s="289">
        <v>0</v>
      </c>
      <c r="AA859" s="229"/>
      <c r="AB859" s="293">
        <v>75965.880788198308</v>
      </c>
      <c r="AC859" s="294">
        <v>3.1104298691676102</v>
      </c>
      <c r="AD859" s="295">
        <v>71796.216148544569</v>
      </c>
      <c r="AE859" s="294">
        <v>3.2493420722794206</v>
      </c>
      <c r="AF859" s="295">
        <v>4169.6646396537399</v>
      </c>
      <c r="AG859" s="296">
        <v>-0.13891220311181041</v>
      </c>
      <c r="AH859" s="229"/>
      <c r="AI859" s="205">
        <f t="shared" si="96"/>
        <v>235077.10612856271</v>
      </c>
      <c r="AJ859" s="205">
        <f t="shared" si="97"/>
        <v>253137.9910793975</v>
      </c>
      <c r="AK859" s="205">
        <f t="shared" si="98"/>
        <v>-18060.884950834781</v>
      </c>
      <c r="AL859" s="229"/>
      <c r="AM859" s="52">
        <f t="shared" si="86"/>
        <v>0</v>
      </c>
      <c r="AN859" s="52">
        <f t="shared" si="87"/>
        <v>1</v>
      </c>
      <c r="AO859" s="52">
        <f t="shared" si="88"/>
        <v>0</v>
      </c>
      <c r="AP859" s="229"/>
      <c r="AQ859" s="28"/>
      <c r="AR859" s="28"/>
      <c r="AS859" s="28"/>
      <c r="AT859" s="28"/>
      <c r="AU859" s="229"/>
      <c r="AV859" s="318">
        <f t="shared" si="99"/>
        <v>253137.9910793975</v>
      </c>
      <c r="AW859" s="229"/>
      <c r="AX859" s="313"/>
      <c r="AY859" s="302"/>
      <c r="AZ859" s="14">
        <f t="shared" si="101"/>
        <v>4169.6646396537399</v>
      </c>
      <c r="BA859" s="14">
        <f t="shared" si="100"/>
        <v>-0.13891220311181041</v>
      </c>
      <c r="BB859" s="14">
        <f t="shared" si="89"/>
        <v>-30016.546755777657</v>
      </c>
      <c r="BC859" s="302"/>
      <c r="BD859" s="302"/>
      <c r="BE859" s="302"/>
      <c r="BF859" s="302"/>
      <c r="BG859" s="302"/>
      <c r="BH859" s="302"/>
      <c r="BI859" s="302"/>
      <c r="BJ859" s="302"/>
      <c r="BK859" s="302"/>
      <c r="BL859" s="302"/>
      <c r="BM859" s="302"/>
      <c r="BN859" s="302"/>
      <c r="BO859" s="302"/>
      <c r="BP859" s="302"/>
      <c r="BQ859" s="302"/>
      <c r="BR859" s="302"/>
      <c r="BS859" s="302"/>
      <c r="BT859" s="302"/>
      <c r="BU859" s="302"/>
      <c r="BV859" s="302"/>
      <c r="BW859" s="302"/>
      <c r="BX859" s="302"/>
      <c r="BY859" s="302"/>
      <c r="BZ859" s="302"/>
      <c r="CA859" s="302"/>
      <c r="CB859" s="28"/>
      <c r="CC859" s="28"/>
      <c r="CD859" s="28"/>
      <c r="CE859" s="28"/>
      <c r="CF859" s="28"/>
      <c r="CG859" s="28"/>
      <c r="CH859" s="28"/>
      <c r="CI859" s="28"/>
      <c r="CJ859" s="28"/>
      <c r="CK859" s="28"/>
      <c r="CL859" s="28"/>
      <c r="CM859" s="28"/>
      <c r="CN859" s="28"/>
      <c r="CO859" s="28"/>
      <c r="CP859" s="28"/>
      <c r="CQ859" s="28"/>
      <c r="CR859" s="28"/>
      <c r="CS859" s="28"/>
      <c r="CT859" s="28"/>
      <c r="CU859" s="28"/>
      <c r="CV859" s="28"/>
      <c r="CW859" s="28"/>
    </row>
    <row r="860" spans="1:101" ht="14.25" customHeight="1" x14ac:dyDescent="0.2">
      <c r="A860" s="286"/>
      <c r="B860" s="52">
        <v>0.14902337119905251</v>
      </c>
      <c r="C860" s="288">
        <v>0.5349319030311277</v>
      </c>
      <c r="D860" s="288">
        <v>1.0963254147184416E-2</v>
      </c>
      <c r="E860" s="288">
        <v>2.4663444413735691E-2</v>
      </c>
      <c r="F860" s="289">
        <v>0.7932939459748618</v>
      </c>
      <c r="G860" s="92">
        <v>0.46297113849167482</v>
      </c>
      <c r="H860" s="288">
        <v>0.51832130517403252</v>
      </c>
      <c r="I860" s="288">
        <v>1.6416562915415045E-2</v>
      </c>
      <c r="J860" s="288">
        <v>0.99999999592179856</v>
      </c>
      <c r="K860" s="288">
        <v>0.80935530113069931</v>
      </c>
      <c r="L860" s="290">
        <v>13802.096559920506</v>
      </c>
      <c r="M860" s="288">
        <v>0</v>
      </c>
      <c r="N860" s="288">
        <v>17771.5278853163</v>
      </c>
      <c r="O860" s="288">
        <v>961.53522148395905</v>
      </c>
      <c r="P860" s="288">
        <v>34637.427941894828</v>
      </c>
      <c r="Q860" s="291">
        <v>84591.772241560408</v>
      </c>
      <c r="R860" s="288">
        <v>17153.222971887495</v>
      </c>
      <c r="S860" s="288">
        <v>8463.4575811127634</v>
      </c>
      <c r="T860" s="290">
        <v>0.751</v>
      </c>
      <c r="U860" s="288">
        <v>0.75800000000000001</v>
      </c>
      <c r="V860" s="288">
        <v>0.723923076923077</v>
      </c>
      <c r="W860" s="288">
        <v>0.72750000000000004</v>
      </c>
      <c r="X860" s="288">
        <v>0.76</v>
      </c>
      <c r="Y860" s="288">
        <v>0</v>
      </c>
      <c r="Z860" s="289">
        <v>0</v>
      </c>
      <c r="AA860" s="229"/>
      <c r="AB860" s="293">
        <v>81937.155294073033</v>
      </c>
      <c r="AC860" s="294">
        <v>3.2041804359017259</v>
      </c>
      <c r="AD860" s="295">
        <v>73909.335106274826</v>
      </c>
      <c r="AE860" s="294">
        <v>3.2841858081681412</v>
      </c>
      <c r="AF860" s="295">
        <v>8027.8201877982065</v>
      </c>
      <c r="AG860" s="296">
        <v>-8.0005372266415353E-2</v>
      </c>
      <c r="AH860" s="229"/>
      <c r="AI860" s="205">
        <f t="shared" si="96"/>
        <v>238480.88829609955</v>
      </c>
      <c r="AJ860" s="205">
        <f t="shared" si="97"/>
        <v>254509.24571053928</v>
      </c>
      <c r="AK860" s="205">
        <f t="shared" si="98"/>
        <v>-16028.357414439743</v>
      </c>
      <c r="AL860" s="229"/>
      <c r="AM860" s="52">
        <f t="shared" si="86"/>
        <v>0</v>
      </c>
      <c r="AN860" s="52">
        <f t="shared" si="87"/>
        <v>1</v>
      </c>
      <c r="AO860" s="52">
        <f t="shared" si="88"/>
        <v>0</v>
      </c>
      <c r="AP860" s="229"/>
      <c r="AQ860" s="28"/>
      <c r="AR860" s="28"/>
      <c r="AS860" s="28"/>
      <c r="AT860" s="28"/>
      <c r="AU860" s="229"/>
      <c r="AV860" s="318">
        <f t="shared" si="99"/>
        <v>254509.24571053928</v>
      </c>
      <c r="AW860" s="229"/>
      <c r="AX860" s="313"/>
      <c r="AY860" s="302"/>
      <c r="AZ860" s="14">
        <f t="shared" si="101"/>
        <v>8027.8201877982065</v>
      </c>
      <c r="BA860" s="14">
        <f t="shared" si="100"/>
        <v>-8.0005372266415353E-2</v>
      </c>
      <c r="BB860" s="14">
        <f t="shared" si="89"/>
        <v>-100341.01411422498</v>
      </c>
      <c r="BC860" s="302"/>
      <c r="BD860" s="302"/>
      <c r="BE860" s="302"/>
      <c r="BF860" s="302"/>
      <c r="BG860" s="302"/>
      <c r="BH860" s="302"/>
      <c r="BI860" s="302"/>
      <c r="BJ860" s="302"/>
      <c r="BK860" s="302"/>
      <c r="BL860" s="302"/>
      <c r="BM860" s="302"/>
      <c r="BN860" s="302"/>
      <c r="BO860" s="302"/>
      <c r="BP860" s="302"/>
      <c r="BQ860" s="302"/>
      <c r="BR860" s="302"/>
      <c r="BS860" s="302"/>
      <c r="BT860" s="302"/>
      <c r="BU860" s="302"/>
      <c r="BV860" s="302"/>
      <c r="BW860" s="302"/>
      <c r="BX860" s="302"/>
      <c r="BY860" s="302"/>
      <c r="BZ860" s="302"/>
      <c r="CA860" s="302"/>
      <c r="CB860" s="28"/>
      <c r="CC860" s="28"/>
      <c r="CD860" s="28"/>
      <c r="CE860" s="28"/>
      <c r="CF860" s="28"/>
      <c r="CG860" s="28"/>
      <c r="CH860" s="28"/>
      <c r="CI860" s="28"/>
      <c r="CJ860" s="28"/>
      <c r="CK860" s="28"/>
      <c r="CL860" s="28"/>
      <c r="CM860" s="28"/>
      <c r="CN860" s="28"/>
      <c r="CO860" s="28"/>
      <c r="CP860" s="28"/>
      <c r="CQ860" s="28"/>
      <c r="CR860" s="28"/>
      <c r="CS860" s="28"/>
      <c r="CT860" s="28"/>
      <c r="CU860" s="28"/>
      <c r="CV860" s="28"/>
      <c r="CW860" s="28"/>
    </row>
    <row r="861" spans="1:101" ht="14.25" customHeight="1" x14ac:dyDescent="0.2">
      <c r="A861" s="286"/>
      <c r="B861" s="52">
        <v>0.1500895867274229</v>
      </c>
      <c r="C861" s="288">
        <v>0.3292267777817508</v>
      </c>
      <c r="D861" s="288">
        <v>1.1786123920846351E-2</v>
      </c>
      <c r="E861" s="288">
        <v>1.1006768184358577E-2</v>
      </c>
      <c r="F861" s="289">
        <v>0.79805918558571676</v>
      </c>
      <c r="G861" s="92">
        <v>0.42845056488564781</v>
      </c>
      <c r="H861" s="288">
        <v>0.48362351928567715</v>
      </c>
      <c r="I861" s="288">
        <v>1.4412158977333738E-2</v>
      </c>
      <c r="J861" s="288">
        <v>0.23783907624438205</v>
      </c>
      <c r="K861" s="288">
        <v>0.74051845574242259</v>
      </c>
      <c r="L861" s="290">
        <v>13051.522618374482</v>
      </c>
      <c r="M861" s="288">
        <v>0</v>
      </c>
      <c r="N861" s="288">
        <v>19655.397645303834</v>
      </c>
      <c r="O861" s="288">
        <v>1227.3304127262645</v>
      </c>
      <c r="P861" s="288">
        <v>53155.986376114859</v>
      </c>
      <c r="Q861" s="291">
        <v>105578.15599915665</v>
      </c>
      <c r="R861" s="288">
        <v>21244.109573300906</v>
      </c>
      <c r="S861" s="288">
        <v>6181.7663749543644</v>
      </c>
      <c r="T861" s="290">
        <v>0.751</v>
      </c>
      <c r="U861" s="288">
        <v>0.75800000000000001</v>
      </c>
      <c r="V861" s="288">
        <v>0.723923076923077</v>
      </c>
      <c r="W861" s="288">
        <v>0.72750000000000004</v>
      </c>
      <c r="X861" s="288">
        <v>0.76</v>
      </c>
      <c r="Y861" s="288">
        <v>0</v>
      </c>
      <c r="Z861" s="289">
        <v>0</v>
      </c>
      <c r="AA861" s="229"/>
      <c r="AB861" s="293">
        <v>63325.749960812464</v>
      </c>
      <c r="AC861" s="294">
        <v>3.2264100945137977</v>
      </c>
      <c r="AD861" s="295">
        <v>51313.290753801506</v>
      </c>
      <c r="AE861" s="294">
        <v>2.9646863930942438</v>
      </c>
      <c r="AF861" s="295">
        <v>12012.459207010957</v>
      </c>
      <c r="AG861" s="296">
        <v>0.26172370141955392</v>
      </c>
      <c r="AH861" s="229"/>
      <c r="AI861" s="205">
        <f t="shared" si="96"/>
        <v>259315.25949056732</v>
      </c>
      <c r="AJ861" s="205">
        <f t="shared" si="97"/>
        <v>245155.34855562288</v>
      </c>
      <c r="AK861" s="205">
        <f t="shared" si="98"/>
        <v>14159.910934944433</v>
      </c>
      <c r="AL861" s="229"/>
      <c r="AM861" s="52">
        <f t="shared" si="86"/>
        <v>1</v>
      </c>
      <c r="AN861" s="52">
        <f t="shared" si="87"/>
        <v>0</v>
      </c>
      <c r="AO861" s="52">
        <f t="shared" si="88"/>
        <v>1</v>
      </c>
      <c r="AP861" s="229"/>
      <c r="AQ861" s="28"/>
      <c r="AR861" s="28"/>
      <c r="AS861" s="28"/>
      <c r="AT861" s="28"/>
      <c r="AU861" s="229"/>
      <c r="AV861" s="318">
        <f t="shared" si="99"/>
        <v>259315.25949056732</v>
      </c>
      <c r="AW861" s="229"/>
      <c r="AX861" s="313"/>
      <c r="AY861" s="302"/>
      <c r="AZ861" s="14">
        <f t="shared" si="101"/>
        <v>12012.459207010957</v>
      </c>
      <c r="BA861" s="14">
        <f t="shared" si="100"/>
        <v>0.26172370141955392</v>
      </c>
      <c r="BB861" s="14">
        <f t="shared" si="89"/>
        <v>45897.483269023804</v>
      </c>
      <c r="BC861" s="302"/>
      <c r="BD861" s="302"/>
      <c r="BE861" s="302"/>
      <c r="BF861" s="302"/>
      <c r="BG861" s="302"/>
      <c r="BH861" s="302"/>
      <c r="BI861" s="302"/>
      <c r="BJ861" s="302"/>
      <c r="BK861" s="302"/>
      <c r="BL861" s="302"/>
      <c r="BM861" s="302"/>
      <c r="BN861" s="302"/>
      <c r="BO861" s="302"/>
      <c r="BP861" s="302"/>
      <c r="BQ861" s="302"/>
      <c r="BR861" s="302"/>
      <c r="BS861" s="302"/>
      <c r="BT861" s="302"/>
      <c r="BU861" s="302"/>
      <c r="BV861" s="302"/>
      <c r="BW861" s="302"/>
      <c r="BX861" s="302"/>
      <c r="BY861" s="302"/>
      <c r="BZ861" s="302"/>
      <c r="CA861" s="302"/>
      <c r="CB861" s="28"/>
      <c r="CC861" s="28"/>
      <c r="CD861" s="28"/>
      <c r="CE861" s="28"/>
      <c r="CF861" s="28"/>
      <c r="CG861" s="28"/>
      <c r="CH861" s="28"/>
      <c r="CI861" s="28"/>
      <c r="CJ861" s="28"/>
      <c r="CK861" s="28"/>
      <c r="CL861" s="28"/>
      <c r="CM861" s="28"/>
      <c r="CN861" s="28"/>
      <c r="CO861" s="28"/>
      <c r="CP861" s="28"/>
      <c r="CQ861" s="28"/>
      <c r="CR861" s="28"/>
      <c r="CS861" s="28"/>
      <c r="CT861" s="28"/>
      <c r="CU861" s="28"/>
      <c r="CV861" s="28"/>
      <c r="CW861" s="28"/>
    </row>
    <row r="862" spans="1:101" ht="14.25" customHeight="1" x14ac:dyDescent="0.2">
      <c r="A862" s="286"/>
      <c r="B862" s="52">
        <v>0.16873305603160216</v>
      </c>
      <c r="C862" s="288">
        <v>0.21373543686941487</v>
      </c>
      <c r="D862" s="288">
        <v>2.3833830717914783E-2</v>
      </c>
      <c r="E862" s="288">
        <v>1.0724252332567925E-2</v>
      </c>
      <c r="F862" s="289">
        <v>0.78531268120681952</v>
      </c>
      <c r="G862" s="92">
        <v>0.31706997653625935</v>
      </c>
      <c r="H862" s="288">
        <v>7.3808974454261114E-2</v>
      </c>
      <c r="I862" s="288">
        <v>2.5280299899190228E-2</v>
      </c>
      <c r="J862" s="288">
        <v>0.999999832059425</v>
      </c>
      <c r="K862" s="288">
        <v>0.75902973600326307</v>
      </c>
      <c r="L862" s="290">
        <v>13258.334292019954</v>
      </c>
      <c r="M862" s="288">
        <v>0</v>
      </c>
      <c r="N862" s="288">
        <v>16731.741048976717</v>
      </c>
      <c r="O862" s="288">
        <v>1335.3053899083802</v>
      </c>
      <c r="P862" s="288">
        <v>49203.868668130017</v>
      </c>
      <c r="Q862" s="291">
        <v>100244.32736953815</v>
      </c>
      <c r="R862" s="288">
        <v>21508.518649776994</v>
      </c>
      <c r="S862" s="288">
        <v>8022.6253817077268</v>
      </c>
      <c r="T862" s="290">
        <v>0.751</v>
      </c>
      <c r="U862" s="288">
        <v>0.75800000000000001</v>
      </c>
      <c r="V862" s="288">
        <v>0.723923076923077</v>
      </c>
      <c r="W862" s="288">
        <v>0.72750000000000004</v>
      </c>
      <c r="X862" s="288">
        <v>0.76</v>
      </c>
      <c r="Y862" s="288">
        <v>0</v>
      </c>
      <c r="Z862" s="289">
        <v>0</v>
      </c>
      <c r="AA862" s="229"/>
      <c r="AB862" s="293">
        <v>77052.382378384093</v>
      </c>
      <c r="AC862" s="294">
        <v>3.1670279285108234</v>
      </c>
      <c r="AD862" s="295">
        <v>63003.736900164469</v>
      </c>
      <c r="AE862" s="294">
        <v>3.0498704611756966</v>
      </c>
      <c r="AF862" s="295">
        <v>14048.645478219623</v>
      </c>
      <c r="AG862" s="296">
        <v>0.11715746733512677</v>
      </c>
      <c r="AH862" s="229"/>
      <c r="AI862" s="205">
        <f t="shared" si="96"/>
        <v>239650.41047269825</v>
      </c>
      <c r="AJ862" s="205">
        <f t="shared" si="97"/>
        <v>241983.30921740521</v>
      </c>
      <c r="AK862" s="205">
        <f t="shared" si="98"/>
        <v>-2332.8987447069467</v>
      </c>
      <c r="AL862" s="229"/>
      <c r="AM862" s="52">
        <f t="shared" si="86"/>
        <v>0</v>
      </c>
      <c r="AN862" s="52">
        <f t="shared" si="87"/>
        <v>1</v>
      </c>
      <c r="AO862" s="52">
        <f t="shared" si="88"/>
        <v>0</v>
      </c>
      <c r="AP862" s="229"/>
      <c r="AQ862" s="28"/>
      <c r="AR862" s="28"/>
      <c r="AS862" s="28"/>
      <c r="AT862" s="28"/>
      <c r="AU862" s="229"/>
      <c r="AV862" s="318">
        <f t="shared" si="99"/>
        <v>241983.30921740521</v>
      </c>
      <c r="AW862" s="229"/>
      <c r="AX862" s="313"/>
      <c r="AY862" s="302"/>
      <c r="AZ862" s="14">
        <f t="shared" si="101"/>
        <v>14048.645478219623</v>
      </c>
      <c r="BA862" s="14">
        <f t="shared" si="100"/>
        <v>0.11715746733512677</v>
      </c>
      <c r="BB862" s="14">
        <f t="shared" si="89"/>
        <v>119912.50577339412</v>
      </c>
      <c r="BC862" s="302"/>
      <c r="BD862" s="302"/>
      <c r="BE862" s="302"/>
      <c r="BF862" s="302"/>
      <c r="BG862" s="302"/>
      <c r="BH862" s="302"/>
      <c r="BI862" s="302"/>
      <c r="BJ862" s="302"/>
      <c r="BK862" s="302"/>
      <c r="BL862" s="302"/>
      <c r="BM862" s="302"/>
      <c r="BN862" s="302"/>
      <c r="BO862" s="302"/>
      <c r="BP862" s="302"/>
      <c r="BQ862" s="302"/>
      <c r="BR862" s="302"/>
      <c r="BS862" s="302"/>
      <c r="BT862" s="302"/>
      <c r="BU862" s="302"/>
      <c r="BV862" s="302"/>
      <c r="BW862" s="302"/>
      <c r="BX862" s="302"/>
      <c r="BY862" s="302"/>
      <c r="BZ862" s="302"/>
      <c r="CA862" s="302"/>
      <c r="CB862" s="28"/>
      <c r="CC862" s="28"/>
      <c r="CD862" s="28"/>
      <c r="CE862" s="28"/>
      <c r="CF862" s="28"/>
      <c r="CG862" s="28"/>
      <c r="CH862" s="28"/>
      <c r="CI862" s="28"/>
      <c r="CJ862" s="28"/>
      <c r="CK862" s="28"/>
      <c r="CL862" s="28"/>
      <c r="CM862" s="28"/>
      <c r="CN862" s="28"/>
      <c r="CO862" s="28"/>
      <c r="CP862" s="28"/>
      <c r="CQ862" s="28"/>
      <c r="CR862" s="28"/>
      <c r="CS862" s="28"/>
      <c r="CT862" s="28"/>
      <c r="CU862" s="28"/>
      <c r="CV862" s="28"/>
      <c r="CW862" s="28"/>
    </row>
    <row r="863" spans="1:101" ht="14.25" customHeight="1" x14ac:dyDescent="0.2">
      <c r="A863" s="286"/>
      <c r="B863" s="52">
        <v>0.14630465287440073</v>
      </c>
      <c r="C863" s="288">
        <v>0.26344274942905166</v>
      </c>
      <c r="D863" s="288">
        <v>1.692821113646481E-2</v>
      </c>
      <c r="E863" s="288">
        <v>1.0884659248158188E-2</v>
      </c>
      <c r="F863" s="289">
        <v>0.7960100123156203</v>
      </c>
      <c r="G863" s="92">
        <v>0.39025824221215583</v>
      </c>
      <c r="H863" s="288">
        <v>0.41185829517753986</v>
      </c>
      <c r="I863" s="288">
        <v>4.2197256079066658E-2</v>
      </c>
      <c r="J863" s="288">
        <v>5.1838035822359269E-2</v>
      </c>
      <c r="K863" s="288">
        <v>0.76972796448279734</v>
      </c>
      <c r="L863" s="290">
        <v>13134.024842908564</v>
      </c>
      <c r="M863" s="288">
        <v>0</v>
      </c>
      <c r="N863" s="288">
        <v>20444.846236429141</v>
      </c>
      <c r="O863" s="288">
        <v>1118.4602595032386</v>
      </c>
      <c r="P863" s="288">
        <v>34335.627919558101</v>
      </c>
      <c r="Q863" s="291">
        <v>80767.400111467345</v>
      </c>
      <c r="R863" s="288">
        <v>30508.972270515424</v>
      </c>
      <c r="S863" s="288">
        <v>10704.097772865311</v>
      </c>
      <c r="T863" s="290">
        <v>0.751</v>
      </c>
      <c r="U863" s="288">
        <v>0.75800000000000001</v>
      </c>
      <c r="V863" s="288">
        <v>0.723923076923077</v>
      </c>
      <c r="W863" s="288">
        <v>0.72750000000000004</v>
      </c>
      <c r="X863" s="288">
        <v>0.76</v>
      </c>
      <c r="Y863" s="288">
        <v>0</v>
      </c>
      <c r="Z863" s="289">
        <v>0</v>
      </c>
      <c r="AA863" s="229"/>
      <c r="AB863" s="293">
        <v>99048.184861279791</v>
      </c>
      <c r="AC863" s="294">
        <v>3.2168464155148402</v>
      </c>
      <c r="AD863" s="295">
        <v>88800.473938638956</v>
      </c>
      <c r="AE863" s="294">
        <v>3.0993471905099224</v>
      </c>
      <c r="AF863" s="295">
        <v>10247.710922640836</v>
      </c>
      <c r="AG863" s="296">
        <v>0.11749922500491783</v>
      </c>
      <c r="AH863" s="229"/>
      <c r="AI863" s="205">
        <f t="shared" si="96"/>
        <v>222636.45669020421</v>
      </c>
      <c r="AJ863" s="205">
        <f t="shared" si="97"/>
        <v>221134.24511235327</v>
      </c>
      <c r="AK863" s="205">
        <f t="shared" si="98"/>
        <v>1502.2115778509469</v>
      </c>
      <c r="AL863" s="229"/>
      <c r="AM863" s="52">
        <f t="shared" si="86"/>
        <v>1</v>
      </c>
      <c r="AN863" s="52">
        <f t="shared" si="87"/>
        <v>0</v>
      </c>
      <c r="AO863" s="52">
        <f t="shared" si="88"/>
        <v>1</v>
      </c>
      <c r="AP863" s="229"/>
      <c r="AQ863" s="28"/>
      <c r="AR863" s="28"/>
      <c r="AS863" s="28"/>
      <c r="AT863" s="28"/>
      <c r="AU863" s="229"/>
      <c r="AV863" s="318">
        <f t="shared" si="99"/>
        <v>222636.45669020421</v>
      </c>
      <c r="AW863" s="229"/>
      <c r="AX863" s="313"/>
      <c r="AY863" s="302"/>
      <c r="AZ863" s="14">
        <f t="shared" si="101"/>
        <v>10247.710922640836</v>
      </c>
      <c r="BA863" s="14">
        <f t="shared" si="100"/>
        <v>0.11749922500491783</v>
      </c>
      <c r="BB863" s="14">
        <f t="shared" si="89"/>
        <v>87215.136288872774</v>
      </c>
      <c r="BC863" s="302"/>
      <c r="BD863" s="302"/>
      <c r="BE863" s="302"/>
      <c r="BF863" s="302"/>
      <c r="BG863" s="302"/>
      <c r="BH863" s="302"/>
      <c r="BI863" s="302"/>
      <c r="BJ863" s="302"/>
      <c r="BK863" s="302"/>
      <c r="BL863" s="302"/>
      <c r="BM863" s="302"/>
      <c r="BN863" s="302"/>
      <c r="BO863" s="302"/>
      <c r="BP863" s="302"/>
      <c r="BQ863" s="302"/>
      <c r="BR863" s="302"/>
      <c r="BS863" s="302"/>
      <c r="BT863" s="302"/>
      <c r="BU863" s="302"/>
      <c r="BV863" s="302"/>
      <c r="BW863" s="302"/>
      <c r="BX863" s="302"/>
      <c r="BY863" s="302"/>
      <c r="BZ863" s="302"/>
      <c r="CA863" s="302"/>
      <c r="CB863" s="28"/>
      <c r="CC863" s="28"/>
      <c r="CD863" s="28"/>
      <c r="CE863" s="28"/>
      <c r="CF863" s="28"/>
      <c r="CG863" s="28"/>
      <c r="CH863" s="28"/>
      <c r="CI863" s="28"/>
      <c r="CJ863" s="28"/>
      <c r="CK863" s="28"/>
      <c r="CL863" s="28"/>
      <c r="CM863" s="28"/>
      <c r="CN863" s="28"/>
      <c r="CO863" s="28"/>
      <c r="CP863" s="28"/>
      <c r="CQ863" s="28"/>
      <c r="CR863" s="28"/>
      <c r="CS863" s="28"/>
      <c r="CT863" s="28"/>
      <c r="CU863" s="28"/>
      <c r="CV863" s="28"/>
      <c r="CW863" s="28"/>
    </row>
    <row r="864" spans="1:101" ht="14.25" customHeight="1" x14ac:dyDescent="0.2">
      <c r="A864" s="286"/>
      <c r="B864" s="52">
        <v>0.14249105624811689</v>
      </c>
      <c r="C864" s="288">
        <v>0.53893602292868392</v>
      </c>
      <c r="D864" s="288">
        <v>1.3529696052342336E-2</v>
      </c>
      <c r="E864" s="288">
        <v>1.5239082285474437E-2</v>
      </c>
      <c r="F864" s="289">
        <v>0.76834611209011805</v>
      </c>
      <c r="G864" s="92">
        <v>0.38120077771608124</v>
      </c>
      <c r="H864" s="288">
        <v>0.5606222156259163</v>
      </c>
      <c r="I864" s="288">
        <v>7.9982145062988761E-3</v>
      </c>
      <c r="J864" s="288">
        <v>0.99999999999739342</v>
      </c>
      <c r="K864" s="288">
        <v>0.76262366607572862</v>
      </c>
      <c r="L864" s="290">
        <v>13455.880507547861</v>
      </c>
      <c r="M864" s="288">
        <v>0</v>
      </c>
      <c r="N864" s="288">
        <v>16615.831604096595</v>
      </c>
      <c r="O864" s="288">
        <v>1343.0177485092904</v>
      </c>
      <c r="P864" s="288">
        <v>52315.737937760241</v>
      </c>
      <c r="Q864" s="291">
        <v>136378.54816967453</v>
      </c>
      <c r="R864" s="288">
        <v>17338.367581284827</v>
      </c>
      <c r="S864" s="288">
        <v>11784.417131581369</v>
      </c>
      <c r="T864" s="290">
        <v>0.751</v>
      </c>
      <c r="U864" s="288">
        <v>0.75800000000000001</v>
      </c>
      <c r="V864" s="288">
        <v>0.723923076923077</v>
      </c>
      <c r="W864" s="288">
        <v>0.72750000000000004</v>
      </c>
      <c r="X864" s="288">
        <v>0.76</v>
      </c>
      <c r="Y864" s="288">
        <v>0</v>
      </c>
      <c r="Z864" s="289">
        <v>0</v>
      </c>
      <c r="AA864" s="229"/>
      <c r="AB864" s="293">
        <v>104904.02295899123</v>
      </c>
      <c r="AC864" s="294">
        <v>3.0883811013900009</v>
      </c>
      <c r="AD864" s="295">
        <v>94457.188657623847</v>
      </c>
      <c r="AE864" s="294">
        <v>3.0664713992378259</v>
      </c>
      <c r="AF864" s="295">
        <v>10446.834301367388</v>
      </c>
      <c r="AG864" s="296">
        <v>2.1909702152175026E-2</v>
      </c>
      <c r="AH864" s="229"/>
      <c r="AI864" s="205">
        <f t="shared" si="96"/>
        <v>203934.08718000888</v>
      </c>
      <c r="AJ864" s="205">
        <f t="shared" si="97"/>
        <v>212189.95126615878</v>
      </c>
      <c r="AK864" s="205">
        <f t="shared" si="98"/>
        <v>-8255.8640861498843</v>
      </c>
      <c r="AL864" s="229"/>
      <c r="AM864" s="52">
        <f t="shared" si="86"/>
        <v>0</v>
      </c>
      <c r="AN864" s="52">
        <f t="shared" si="87"/>
        <v>1</v>
      </c>
      <c r="AO864" s="52">
        <f t="shared" si="88"/>
        <v>0</v>
      </c>
      <c r="AP864" s="229"/>
      <c r="AQ864" s="28"/>
      <c r="AR864" s="28"/>
      <c r="AS864" s="28"/>
      <c r="AT864" s="28"/>
      <c r="AU864" s="229"/>
      <c r="AV864" s="318">
        <f t="shared" si="99"/>
        <v>212189.95126615878</v>
      </c>
      <c r="AW864" s="229"/>
      <c r="AX864" s="313"/>
      <c r="AY864" s="302"/>
      <c r="AZ864" s="14">
        <f t="shared" si="101"/>
        <v>10446.834301367388</v>
      </c>
      <c r="BA864" s="14">
        <f t="shared" si="100"/>
        <v>2.1909702152175026E-2</v>
      </c>
      <c r="BB864" s="14">
        <f t="shared" si="89"/>
        <v>476813.15924827883</v>
      </c>
      <c r="BC864" s="302"/>
      <c r="BD864" s="302"/>
      <c r="BE864" s="302"/>
      <c r="BF864" s="302"/>
      <c r="BG864" s="302"/>
      <c r="BH864" s="302"/>
      <c r="BI864" s="302"/>
      <c r="BJ864" s="302"/>
      <c r="BK864" s="302"/>
      <c r="BL864" s="302"/>
      <c r="BM864" s="302"/>
      <c r="BN864" s="302"/>
      <c r="BO864" s="302"/>
      <c r="BP864" s="302"/>
      <c r="BQ864" s="302"/>
      <c r="BR864" s="302"/>
      <c r="BS864" s="302"/>
      <c r="BT864" s="302"/>
      <c r="BU864" s="302"/>
      <c r="BV864" s="302"/>
      <c r="BW864" s="302"/>
      <c r="BX864" s="302"/>
      <c r="BY864" s="302"/>
      <c r="BZ864" s="302"/>
      <c r="CA864" s="302"/>
      <c r="CB864" s="28"/>
      <c r="CC864" s="28"/>
      <c r="CD864" s="28"/>
      <c r="CE864" s="28"/>
      <c r="CF864" s="28"/>
      <c r="CG864" s="28"/>
      <c r="CH864" s="28"/>
      <c r="CI864" s="28"/>
      <c r="CJ864" s="28"/>
      <c r="CK864" s="28"/>
      <c r="CL864" s="28"/>
      <c r="CM864" s="28"/>
      <c r="CN864" s="28"/>
      <c r="CO864" s="28"/>
      <c r="CP864" s="28"/>
      <c r="CQ864" s="28"/>
      <c r="CR864" s="28"/>
      <c r="CS864" s="28"/>
      <c r="CT864" s="28"/>
      <c r="CU864" s="28"/>
      <c r="CV864" s="28"/>
      <c r="CW864" s="28"/>
    </row>
    <row r="865" spans="1:101" ht="14.25" customHeight="1" x14ac:dyDescent="0.2">
      <c r="A865" s="286"/>
      <c r="B865" s="52">
        <v>0.21968767531563749</v>
      </c>
      <c r="C865" s="288">
        <v>0.56085182191098948</v>
      </c>
      <c r="D865" s="288">
        <v>1.7808030006591147E-2</v>
      </c>
      <c r="E865" s="288">
        <v>1.5060457747171019E-2</v>
      </c>
      <c r="F865" s="289">
        <v>0.79366287102388322</v>
      </c>
      <c r="G865" s="92">
        <v>0.36875334527929188</v>
      </c>
      <c r="H865" s="288">
        <v>0.94849303290727749</v>
      </c>
      <c r="I865" s="288">
        <v>4.9471901409983254E-2</v>
      </c>
      <c r="J865" s="288">
        <v>0.99999999985007526</v>
      </c>
      <c r="K865" s="288">
        <v>0.76707475330083597</v>
      </c>
      <c r="L865" s="290">
        <v>12875.137985272158</v>
      </c>
      <c r="M865" s="288">
        <v>0</v>
      </c>
      <c r="N865" s="288">
        <v>14703.693472074105</v>
      </c>
      <c r="O865" s="288">
        <v>1655.5530080940539</v>
      </c>
      <c r="P865" s="288">
        <v>36132.190284925171</v>
      </c>
      <c r="Q865" s="291">
        <v>126362.47647329215</v>
      </c>
      <c r="R865" s="288">
        <v>19105.236635073834</v>
      </c>
      <c r="S865" s="288">
        <v>12105.289537884137</v>
      </c>
      <c r="T865" s="290">
        <v>0.751</v>
      </c>
      <c r="U865" s="288">
        <v>0.75800000000000001</v>
      </c>
      <c r="V865" s="288">
        <v>0.723923076923077</v>
      </c>
      <c r="W865" s="288">
        <v>0.72750000000000004</v>
      </c>
      <c r="X865" s="288">
        <v>0.76</v>
      </c>
      <c r="Y865" s="288">
        <v>0</v>
      </c>
      <c r="Z865" s="289">
        <v>0</v>
      </c>
      <c r="AA865" s="229"/>
      <c r="AB865" s="293">
        <v>111226.58883791637</v>
      </c>
      <c r="AC865" s="294">
        <v>3.2059001850134017</v>
      </c>
      <c r="AD865" s="295">
        <v>102982.64218513286</v>
      </c>
      <c r="AE865" s="294">
        <v>3.0870599053661945</v>
      </c>
      <c r="AF865" s="295">
        <v>8243.9466527835029</v>
      </c>
      <c r="AG865" s="296">
        <v>0.11884027964720723</v>
      </c>
      <c r="AH865" s="229"/>
      <c r="AI865" s="205">
        <f t="shared" si="96"/>
        <v>209363.4296634238</v>
      </c>
      <c r="AJ865" s="205">
        <f t="shared" si="97"/>
        <v>205723.34835148658</v>
      </c>
      <c r="AK865" s="205">
        <f t="shared" si="98"/>
        <v>3640.0813119372197</v>
      </c>
      <c r="AL865" s="229"/>
      <c r="AM865" s="52">
        <f t="shared" si="86"/>
        <v>1</v>
      </c>
      <c r="AN865" s="52">
        <f t="shared" si="87"/>
        <v>0</v>
      </c>
      <c r="AO865" s="52">
        <f t="shared" si="88"/>
        <v>1</v>
      </c>
      <c r="AP865" s="229"/>
      <c r="AQ865" s="28"/>
      <c r="AR865" s="28"/>
      <c r="AS865" s="28"/>
      <c r="AT865" s="28"/>
      <c r="AU865" s="229"/>
      <c r="AV865" s="318">
        <f t="shared" si="99"/>
        <v>209363.4296634238</v>
      </c>
      <c r="AW865" s="229"/>
      <c r="AX865" s="313"/>
      <c r="AY865" s="302"/>
      <c r="AZ865" s="14">
        <f t="shared" si="101"/>
        <v>8243.9466527835029</v>
      </c>
      <c r="BA865" s="14">
        <f t="shared" si="100"/>
        <v>0.11884027964720723</v>
      </c>
      <c r="BB865" s="14">
        <f t="shared" si="89"/>
        <v>69369.970158743541</v>
      </c>
      <c r="BC865" s="302"/>
      <c r="BD865" s="302"/>
      <c r="BE865" s="302"/>
      <c r="BF865" s="302"/>
      <c r="BG865" s="302"/>
      <c r="BH865" s="302"/>
      <c r="BI865" s="302"/>
      <c r="BJ865" s="302"/>
      <c r="BK865" s="302"/>
      <c r="BL865" s="302"/>
      <c r="BM865" s="302"/>
      <c r="BN865" s="302"/>
      <c r="BO865" s="302"/>
      <c r="BP865" s="302"/>
      <c r="BQ865" s="302"/>
      <c r="BR865" s="302"/>
      <c r="BS865" s="302"/>
      <c r="BT865" s="302"/>
      <c r="BU865" s="302"/>
      <c r="BV865" s="302"/>
      <c r="BW865" s="302"/>
      <c r="BX865" s="302"/>
      <c r="BY865" s="302"/>
      <c r="BZ865" s="302"/>
      <c r="CA865" s="302"/>
      <c r="CB865" s="28"/>
      <c r="CC865" s="28"/>
      <c r="CD865" s="28"/>
      <c r="CE865" s="28"/>
      <c r="CF865" s="28"/>
      <c r="CG865" s="28"/>
      <c r="CH865" s="28"/>
      <c r="CI865" s="28"/>
      <c r="CJ865" s="28"/>
      <c r="CK865" s="28"/>
      <c r="CL865" s="28"/>
      <c r="CM865" s="28"/>
      <c r="CN865" s="28"/>
      <c r="CO865" s="28"/>
      <c r="CP865" s="28"/>
      <c r="CQ865" s="28"/>
      <c r="CR865" s="28"/>
      <c r="CS865" s="28"/>
      <c r="CT865" s="28"/>
      <c r="CU865" s="28"/>
      <c r="CV865" s="28"/>
      <c r="CW865" s="28"/>
    </row>
    <row r="866" spans="1:101" ht="14.25" customHeight="1" x14ac:dyDescent="0.2">
      <c r="A866" s="286"/>
      <c r="B866" s="52">
        <v>0.14215632274291243</v>
      </c>
      <c r="C866" s="288">
        <v>0.44925076622117188</v>
      </c>
      <c r="D866" s="288">
        <v>3.3085769544510146E-2</v>
      </c>
      <c r="E866" s="288">
        <v>9.4585991265372753E-3</v>
      </c>
      <c r="F866" s="289">
        <v>0.77793933866547404</v>
      </c>
      <c r="G866" s="92">
        <v>0.40779473102168484</v>
      </c>
      <c r="H866" s="288">
        <v>0.6718473544435315</v>
      </c>
      <c r="I866" s="288">
        <v>1.4838282753189026E-2</v>
      </c>
      <c r="J866" s="288">
        <v>0.99999893500209558</v>
      </c>
      <c r="K866" s="288">
        <v>0.78662742953621878</v>
      </c>
      <c r="L866" s="290">
        <v>11024.475248376344</v>
      </c>
      <c r="M866" s="288">
        <v>0</v>
      </c>
      <c r="N866" s="288">
        <v>16848.492036933894</v>
      </c>
      <c r="O866" s="288">
        <v>1262.321412954326</v>
      </c>
      <c r="P866" s="288">
        <v>40707.928709593856</v>
      </c>
      <c r="Q866" s="291">
        <v>95756.140983561825</v>
      </c>
      <c r="R866" s="288">
        <v>31276.384207274583</v>
      </c>
      <c r="S866" s="288">
        <v>11754.132197492139</v>
      </c>
      <c r="T866" s="290">
        <v>0.751</v>
      </c>
      <c r="U866" s="288">
        <v>0.75800000000000001</v>
      </c>
      <c r="V866" s="288">
        <v>0.723923076923077</v>
      </c>
      <c r="W866" s="288">
        <v>0.72750000000000004</v>
      </c>
      <c r="X866" s="288">
        <v>0.76</v>
      </c>
      <c r="Y866" s="288">
        <v>0</v>
      </c>
      <c r="Z866" s="289">
        <v>0</v>
      </c>
      <c r="AA866" s="229"/>
      <c r="AB866" s="293">
        <v>104200.80574264243</v>
      </c>
      <c r="AC866" s="294">
        <v>3.1327940664406708</v>
      </c>
      <c r="AD866" s="295">
        <v>102167.43076655932</v>
      </c>
      <c r="AE866" s="294">
        <v>3.1778707156850525</v>
      </c>
      <c r="AF866" s="295">
        <v>2033.3749760831124</v>
      </c>
      <c r="AG866" s="296">
        <v>-4.5076649244381706E-2</v>
      </c>
      <c r="AH866" s="229"/>
      <c r="AI866" s="205">
        <f t="shared" si="96"/>
        <v>209078.60090142465</v>
      </c>
      <c r="AJ866" s="205">
        <f t="shared" si="97"/>
        <v>215619.64080194593</v>
      </c>
      <c r="AK866" s="205">
        <f t="shared" si="98"/>
        <v>-6541.039900521283</v>
      </c>
      <c r="AL866" s="229"/>
      <c r="AM866" s="52">
        <f t="shared" si="86"/>
        <v>0</v>
      </c>
      <c r="AN866" s="52">
        <f t="shared" si="87"/>
        <v>1</v>
      </c>
      <c r="AO866" s="52">
        <f t="shared" si="88"/>
        <v>0</v>
      </c>
      <c r="AP866" s="229"/>
      <c r="AQ866" s="28"/>
      <c r="AR866" s="28"/>
      <c r="AS866" s="28"/>
      <c r="AT866" s="28"/>
      <c r="AU866" s="229"/>
      <c r="AV866" s="318">
        <f t="shared" si="99"/>
        <v>215619.64080194593</v>
      </c>
      <c r="AW866" s="229"/>
      <c r="AX866" s="313"/>
      <c r="AY866" s="302"/>
      <c r="AZ866" s="14">
        <f t="shared" si="101"/>
        <v>2033.3749760831124</v>
      </c>
      <c r="BA866" s="14">
        <f t="shared" si="100"/>
        <v>-4.5076649244381706E-2</v>
      </c>
      <c r="BB866" s="14">
        <f t="shared" si="89"/>
        <v>-45109.275204978767</v>
      </c>
      <c r="BC866" s="302"/>
      <c r="BD866" s="302"/>
      <c r="BE866" s="302"/>
      <c r="BF866" s="302"/>
      <c r="BG866" s="302"/>
      <c r="BH866" s="302"/>
      <c r="BI866" s="302"/>
      <c r="BJ866" s="302"/>
      <c r="BK866" s="302"/>
      <c r="BL866" s="302"/>
      <c r="BM866" s="302"/>
      <c r="BN866" s="302"/>
      <c r="BO866" s="302"/>
      <c r="BP866" s="302"/>
      <c r="BQ866" s="302"/>
      <c r="BR866" s="302"/>
      <c r="BS866" s="302"/>
      <c r="BT866" s="302"/>
      <c r="BU866" s="302"/>
      <c r="BV866" s="302"/>
      <c r="BW866" s="302"/>
      <c r="BX866" s="302"/>
      <c r="BY866" s="302"/>
      <c r="BZ866" s="302"/>
      <c r="CA866" s="302"/>
      <c r="CB866" s="28"/>
      <c r="CC866" s="28"/>
      <c r="CD866" s="28"/>
      <c r="CE866" s="28"/>
      <c r="CF866" s="28"/>
      <c r="CG866" s="28"/>
      <c r="CH866" s="28"/>
      <c r="CI866" s="28"/>
      <c r="CJ866" s="28"/>
      <c r="CK866" s="28"/>
      <c r="CL866" s="28"/>
      <c r="CM866" s="28"/>
      <c r="CN866" s="28"/>
      <c r="CO866" s="28"/>
      <c r="CP866" s="28"/>
      <c r="CQ866" s="28"/>
      <c r="CR866" s="28"/>
      <c r="CS866" s="28"/>
      <c r="CT866" s="28"/>
      <c r="CU866" s="28"/>
      <c r="CV866" s="28"/>
      <c r="CW866" s="28"/>
    </row>
    <row r="867" spans="1:101" ht="14.25" customHeight="1" x14ac:dyDescent="0.2">
      <c r="A867" s="286"/>
      <c r="B867" s="52">
        <v>0.17856013168169038</v>
      </c>
      <c r="C867" s="288">
        <v>0.29665475967046417</v>
      </c>
      <c r="D867" s="288">
        <v>1.2422055165064236E-2</v>
      </c>
      <c r="E867" s="288">
        <v>7.9974308377861597E-3</v>
      </c>
      <c r="F867" s="289">
        <v>0.75864653974381924</v>
      </c>
      <c r="G867" s="92">
        <v>0.40390936696883983</v>
      </c>
      <c r="H867" s="288">
        <v>0.55703958300732936</v>
      </c>
      <c r="I867" s="288">
        <v>1.1278002398789322E-2</v>
      </c>
      <c r="J867" s="288">
        <v>1</v>
      </c>
      <c r="K867" s="288">
        <v>0.74188339214419707</v>
      </c>
      <c r="L867" s="290">
        <v>11080.813678268856</v>
      </c>
      <c r="M867" s="288">
        <v>0</v>
      </c>
      <c r="N867" s="288">
        <v>20998.421866631408</v>
      </c>
      <c r="O867" s="288">
        <v>898.83234219057726</v>
      </c>
      <c r="P867" s="288">
        <v>43935.417788327271</v>
      </c>
      <c r="Q867" s="291">
        <v>79160.180783058197</v>
      </c>
      <c r="R867" s="288">
        <v>23272.787387948727</v>
      </c>
      <c r="S867" s="288">
        <v>9449.7332481014655</v>
      </c>
      <c r="T867" s="290">
        <v>0.751</v>
      </c>
      <c r="U867" s="288">
        <v>0.75800000000000001</v>
      </c>
      <c r="V867" s="288">
        <v>0.723923076923077</v>
      </c>
      <c r="W867" s="288">
        <v>0.72750000000000004</v>
      </c>
      <c r="X867" s="288">
        <v>0.76</v>
      </c>
      <c r="Y867" s="288">
        <v>0</v>
      </c>
      <c r="Z867" s="289">
        <v>0</v>
      </c>
      <c r="AA867" s="229"/>
      <c r="AB867" s="293">
        <v>83640.3808058703</v>
      </c>
      <c r="AC867" s="294">
        <v>3.0436225543396529</v>
      </c>
      <c r="AD867" s="295">
        <v>76134.571557950185</v>
      </c>
      <c r="AE867" s="294">
        <v>2.9709490282481283</v>
      </c>
      <c r="AF867" s="295">
        <v>7505.809247920115</v>
      </c>
      <c r="AG867" s="296">
        <v>7.2673526091524554E-2</v>
      </c>
      <c r="AH867" s="229"/>
      <c r="AI867" s="205">
        <f t="shared" si="96"/>
        <v>220721.87462809501</v>
      </c>
      <c r="AJ867" s="205">
        <f t="shared" si="97"/>
        <v>220960.33126686269</v>
      </c>
      <c r="AK867" s="205">
        <f t="shared" si="98"/>
        <v>-238.45663876765957</v>
      </c>
      <c r="AL867" s="229"/>
      <c r="AM867" s="52">
        <f t="shared" si="86"/>
        <v>0</v>
      </c>
      <c r="AN867" s="52">
        <f t="shared" si="87"/>
        <v>1</v>
      </c>
      <c r="AO867" s="52">
        <f t="shared" si="88"/>
        <v>0</v>
      </c>
      <c r="AP867" s="229"/>
      <c r="AQ867" s="28"/>
      <c r="AR867" s="28"/>
      <c r="AS867" s="28"/>
      <c r="AT867" s="28"/>
      <c r="AU867" s="229"/>
      <c r="AV867" s="318">
        <f t="shared" si="99"/>
        <v>220960.33126686269</v>
      </c>
      <c r="AW867" s="229"/>
      <c r="AX867" s="313"/>
      <c r="AY867" s="302"/>
      <c r="AZ867" s="14">
        <f t="shared" si="101"/>
        <v>7505.809247920115</v>
      </c>
      <c r="BA867" s="14">
        <f t="shared" si="100"/>
        <v>7.2673526091524554E-2</v>
      </c>
      <c r="BB867" s="14">
        <f t="shared" si="89"/>
        <v>103281.20364584139</v>
      </c>
      <c r="BC867" s="302"/>
      <c r="BD867" s="302"/>
      <c r="BE867" s="302"/>
      <c r="BF867" s="302"/>
      <c r="BG867" s="302"/>
      <c r="BH867" s="302"/>
      <c r="BI867" s="302"/>
      <c r="BJ867" s="302"/>
      <c r="BK867" s="302"/>
      <c r="BL867" s="302"/>
      <c r="BM867" s="302"/>
      <c r="BN867" s="302"/>
      <c r="BO867" s="302"/>
      <c r="BP867" s="302"/>
      <c r="BQ867" s="302"/>
      <c r="BR867" s="302"/>
      <c r="BS867" s="302"/>
      <c r="BT867" s="302"/>
      <c r="BU867" s="302"/>
      <c r="BV867" s="302"/>
      <c r="BW867" s="302"/>
      <c r="BX867" s="302"/>
      <c r="BY867" s="302"/>
      <c r="BZ867" s="302"/>
      <c r="CA867" s="302"/>
      <c r="CB867" s="28"/>
      <c r="CC867" s="28"/>
      <c r="CD867" s="28"/>
      <c r="CE867" s="28"/>
      <c r="CF867" s="28"/>
      <c r="CG867" s="28"/>
      <c r="CH867" s="28"/>
      <c r="CI867" s="28"/>
      <c r="CJ867" s="28"/>
      <c r="CK867" s="28"/>
      <c r="CL867" s="28"/>
      <c r="CM867" s="28"/>
      <c r="CN867" s="28"/>
      <c r="CO867" s="28"/>
      <c r="CP867" s="28"/>
      <c r="CQ867" s="28"/>
      <c r="CR867" s="28"/>
      <c r="CS867" s="28"/>
      <c r="CT867" s="28"/>
      <c r="CU867" s="28"/>
      <c r="CV867" s="28"/>
      <c r="CW867" s="28"/>
    </row>
    <row r="868" spans="1:101" ht="14.25" customHeight="1" x14ac:dyDescent="0.2">
      <c r="A868" s="286"/>
      <c r="B868" s="52">
        <v>0.16888686839443201</v>
      </c>
      <c r="C868" s="288">
        <v>5.1866959302562868E-2</v>
      </c>
      <c r="D868" s="288">
        <v>2.0016158480464785E-2</v>
      </c>
      <c r="E868" s="288">
        <v>1.7752439249792418E-2</v>
      </c>
      <c r="F868" s="289">
        <v>0.72588344948169237</v>
      </c>
      <c r="G868" s="92">
        <v>0.3941816135490151</v>
      </c>
      <c r="H868" s="288">
        <v>0.33750939128319224</v>
      </c>
      <c r="I868" s="288">
        <v>8.6295325201991117E-3</v>
      </c>
      <c r="J868" s="288">
        <v>0.99999999972480924</v>
      </c>
      <c r="K868" s="288">
        <v>0.72001517250902447</v>
      </c>
      <c r="L868" s="290">
        <v>10456.129361759518</v>
      </c>
      <c r="M868" s="288">
        <v>0</v>
      </c>
      <c r="N868" s="288">
        <v>22083.859683628871</v>
      </c>
      <c r="O868" s="288">
        <v>1442.6366337023717</v>
      </c>
      <c r="P868" s="288">
        <v>61507.40782420028</v>
      </c>
      <c r="Q868" s="291">
        <v>113576.29896053461</v>
      </c>
      <c r="R868" s="288">
        <v>18637.73765378954</v>
      </c>
      <c r="S868" s="288">
        <v>9341.7980497338358</v>
      </c>
      <c r="T868" s="290">
        <v>0.751</v>
      </c>
      <c r="U868" s="288">
        <v>0.75800000000000001</v>
      </c>
      <c r="V868" s="288">
        <v>0.723923076923077</v>
      </c>
      <c r="W868" s="288">
        <v>0.72750000000000004</v>
      </c>
      <c r="X868" s="288">
        <v>0.76</v>
      </c>
      <c r="Y868" s="288">
        <v>0</v>
      </c>
      <c r="Z868" s="289">
        <v>0</v>
      </c>
      <c r="AA868" s="229"/>
      <c r="AB868" s="293">
        <v>78399.948635745823</v>
      </c>
      <c r="AC868" s="294">
        <v>2.8935287668006677</v>
      </c>
      <c r="AD868" s="295">
        <v>70771.76848604258</v>
      </c>
      <c r="AE868" s="294">
        <v>2.8709660907499663</v>
      </c>
      <c r="AF868" s="295">
        <v>7628.1801497032429</v>
      </c>
      <c r="AG868" s="296">
        <v>2.2562676050701391E-2</v>
      </c>
      <c r="AH868" s="229"/>
      <c r="AI868" s="205">
        <f t="shared" si="96"/>
        <v>210952.92804432093</v>
      </c>
      <c r="AJ868" s="205">
        <f t="shared" si="97"/>
        <v>216324.84058895404</v>
      </c>
      <c r="AK868" s="205">
        <f t="shared" si="98"/>
        <v>-5371.9125446331036</v>
      </c>
      <c r="AL868" s="229"/>
      <c r="AM868" s="52">
        <f t="shared" si="86"/>
        <v>0</v>
      </c>
      <c r="AN868" s="52">
        <f t="shared" si="87"/>
        <v>1</v>
      </c>
      <c r="AO868" s="52">
        <f t="shared" si="88"/>
        <v>0</v>
      </c>
      <c r="AP868" s="229"/>
      <c r="AQ868" s="28"/>
      <c r="AR868" s="28"/>
      <c r="AS868" s="28"/>
      <c r="AT868" s="28"/>
      <c r="AU868" s="229"/>
      <c r="AV868" s="318">
        <f t="shared" si="99"/>
        <v>216324.84058895404</v>
      </c>
      <c r="AW868" s="229"/>
      <c r="AX868" s="313"/>
      <c r="AY868" s="302"/>
      <c r="AZ868" s="14">
        <f t="shared" si="101"/>
        <v>7628.1801497032429</v>
      </c>
      <c r="BA868" s="14">
        <f t="shared" si="100"/>
        <v>2.2562676050701391E-2</v>
      </c>
      <c r="BB868" s="14">
        <f t="shared" si="89"/>
        <v>338088.44893051195</v>
      </c>
      <c r="BC868" s="302"/>
      <c r="BD868" s="302"/>
      <c r="BE868" s="302"/>
      <c r="BF868" s="302"/>
      <c r="BG868" s="302"/>
      <c r="BH868" s="302"/>
      <c r="BI868" s="302"/>
      <c r="BJ868" s="302"/>
      <c r="BK868" s="302"/>
      <c r="BL868" s="302"/>
      <c r="BM868" s="302"/>
      <c r="BN868" s="302"/>
      <c r="BO868" s="302"/>
      <c r="BP868" s="302"/>
      <c r="BQ868" s="302"/>
      <c r="BR868" s="302"/>
      <c r="BS868" s="302"/>
      <c r="BT868" s="302"/>
      <c r="BU868" s="302"/>
      <c r="BV868" s="302"/>
      <c r="BW868" s="302"/>
      <c r="BX868" s="302"/>
      <c r="BY868" s="302"/>
      <c r="BZ868" s="302"/>
      <c r="CA868" s="302"/>
      <c r="CB868" s="28"/>
      <c r="CC868" s="28"/>
      <c r="CD868" s="28"/>
      <c r="CE868" s="28"/>
      <c r="CF868" s="28"/>
      <c r="CG868" s="28"/>
      <c r="CH868" s="28"/>
      <c r="CI868" s="28"/>
      <c r="CJ868" s="28"/>
      <c r="CK868" s="28"/>
      <c r="CL868" s="28"/>
      <c r="CM868" s="28"/>
      <c r="CN868" s="28"/>
      <c r="CO868" s="28"/>
      <c r="CP868" s="28"/>
      <c r="CQ868" s="28"/>
      <c r="CR868" s="28"/>
      <c r="CS868" s="28"/>
      <c r="CT868" s="28"/>
      <c r="CU868" s="28"/>
      <c r="CV868" s="28"/>
      <c r="CW868" s="28"/>
    </row>
    <row r="869" spans="1:101" ht="14.25" customHeight="1" x14ac:dyDescent="0.2">
      <c r="A869" s="286"/>
      <c r="B869" s="52">
        <v>0.14786318570886475</v>
      </c>
      <c r="C869" s="288">
        <v>2.9371926076788156E-3</v>
      </c>
      <c r="D869" s="288">
        <v>1.1046418682202535E-2</v>
      </c>
      <c r="E869" s="288">
        <v>1.6192519956580775E-2</v>
      </c>
      <c r="F869" s="289">
        <v>0.80331212796042317</v>
      </c>
      <c r="G869" s="92">
        <v>0.44028357387354722</v>
      </c>
      <c r="H869" s="288">
        <v>1.2653925759081553E-2</v>
      </c>
      <c r="I869" s="288">
        <v>7.9482766315597704E-3</v>
      </c>
      <c r="J869" s="288">
        <v>0.97018586078294533</v>
      </c>
      <c r="K869" s="288">
        <v>0.71598877827907204</v>
      </c>
      <c r="L869" s="290">
        <v>9771.7441105726975</v>
      </c>
      <c r="M869" s="288">
        <v>0</v>
      </c>
      <c r="N869" s="288">
        <v>14162.289944943199</v>
      </c>
      <c r="O869" s="288">
        <v>1206.2348968750548</v>
      </c>
      <c r="P869" s="288">
        <v>44627.182500687079</v>
      </c>
      <c r="Q869" s="291">
        <v>85660.149820148799</v>
      </c>
      <c r="R869" s="288">
        <v>24530.319741861036</v>
      </c>
      <c r="S869" s="288">
        <v>10472.269188532628</v>
      </c>
      <c r="T869" s="290">
        <v>0.751</v>
      </c>
      <c r="U869" s="288">
        <v>0.75800000000000001</v>
      </c>
      <c r="V869" s="288">
        <v>0.723923076923077</v>
      </c>
      <c r="W869" s="288">
        <v>0.72750000000000004</v>
      </c>
      <c r="X869" s="288">
        <v>0.76</v>
      </c>
      <c r="Y869" s="288">
        <v>0</v>
      </c>
      <c r="Z869" s="289">
        <v>0</v>
      </c>
      <c r="AA869" s="229"/>
      <c r="AB869" s="293">
        <v>93405.210686607272</v>
      </c>
      <c r="AC869" s="294">
        <v>3.250956138773375</v>
      </c>
      <c r="AD869" s="295">
        <v>75933.198380523565</v>
      </c>
      <c r="AE869" s="294">
        <v>2.8526393231177112</v>
      </c>
      <c r="AF869" s="295">
        <v>17472.012306083707</v>
      </c>
      <c r="AG869" s="296">
        <v>0.39831681565566379</v>
      </c>
      <c r="AH869" s="229"/>
      <c r="AI869" s="205">
        <f t="shared" si="96"/>
        <v>231690.4031907302</v>
      </c>
      <c r="AJ869" s="205">
        <f t="shared" si="97"/>
        <v>209330.73393124758</v>
      </c>
      <c r="AK869" s="205">
        <f t="shared" si="98"/>
        <v>22359.669259482675</v>
      </c>
      <c r="AL869" s="229"/>
      <c r="AM869" s="52">
        <f t="shared" si="86"/>
        <v>1</v>
      </c>
      <c r="AN869" s="52">
        <f t="shared" si="87"/>
        <v>0</v>
      </c>
      <c r="AO869" s="52">
        <f t="shared" si="88"/>
        <v>1</v>
      </c>
      <c r="AP869" s="229"/>
      <c r="AQ869" s="28"/>
      <c r="AR869" s="28"/>
      <c r="AS869" s="28"/>
      <c r="AT869" s="28"/>
      <c r="AU869" s="229"/>
      <c r="AV869" s="318">
        <f t="shared" si="99"/>
        <v>231690.4031907302</v>
      </c>
      <c r="AW869" s="229"/>
      <c r="AX869" s="313"/>
      <c r="AY869" s="302"/>
      <c r="AZ869" s="14">
        <f t="shared" si="101"/>
        <v>17472.012306083707</v>
      </c>
      <c r="BA869" s="14">
        <f t="shared" si="100"/>
        <v>0.39831681565566379</v>
      </c>
      <c r="BB869" s="14">
        <f t="shared" si="89"/>
        <v>43864.611332873981</v>
      </c>
      <c r="BC869" s="302"/>
      <c r="BD869" s="302"/>
      <c r="BE869" s="302"/>
      <c r="BF869" s="302"/>
      <c r="BG869" s="302"/>
      <c r="BH869" s="302"/>
      <c r="BI869" s="302"/>
      <c r="BJ869" s="302"/>
      <c r="BK869" s="302"/>
      <c r="BL869" s="302"/>
      <c r="BM869" s="302"/>
      <c r="BN869" s="302"/>
      <c r="BO869" s="302"/>
      <c r="BP869" s="302"/>
      <c r="BQ869" s="302"/>
      <c r="BR869" s="302"/>
      <c r="BS869" s="302"/>
      <c r="BT869" s="302"/>
      <c r="BU869" s="302"/>
      <c r="BV869" s="302"/>
      <c r="BW869" s="302"/>
      <c r="BX869" s="302"/>
      <c r="BY869" s="302"/>
      <c r="BZ869" s="302"/>
      <c r="CA869" s="302"/>
      <c r="CB869" s="28"/>
      <c r="CC869" s="28"/>
      <c r="CD869" s="28"/>
      <c r="CE869" s="28"/>
      <c r="CF869" s="28"/>
      <c r="CG869" s="28"/>
      <c r="CH869" s="28"/>
      <c r="CI869" s="28"/>
      <c r="CJ869" s="28"/>
      <c r="CK869" s="28"/>
      <c r="CL869" s="28"/>
      <c r="CM869" s="28"/>
      <c r="CN869" s="28"/>
      <c r="CO869" s="28"/>
      <c r="CP869" s="28"/>
      <c r="CQ869" s="28"/>
      <c r="CR869" s="28"/>
      <c r="CS869" s="28"/>
      <c r="CT869" s="28"/>
      <c r="CU869" s="28"/>
      <c r="CV869" s="28"/>
      <c r="CW869" s="28"/>
    </row>
    <row r="870" spans="1:101" ht="14.25" customHeight="1" x14ac:dyDescent="0.2">
      <c r="A870" s="286"/>
      <c r="B870" s="52">
        <v>0.13936232127471476</v>
      </c>
      <c r="C870" s="288">
        <v>0.89526585145048543</v>
      </c>
      <c r="D870" s="288">
        <v>1.1764329419274432E-2</v>
      </c>
      <c r="E870" s="288">
        <v>1.5134355471917216E-2</v>
      </c>
      <c r="F870" s="289">
        <v>0.76892962199953219</v>
      </c>
      <c r="G870" s="92">
        <v>0.34300330612339719</v>
      </c>
      <c r="H870" s="288">
        <v>0.54269329700765978</v>
      </c>
      <c r="I870" s="288">
        <v>8.6412539981291451E-3</v>
      </c>
      <c r="J870" s="288">
        <v>0.99999999999999978</v>
      </c>
      <c r="K870" s="288">
        <v>0.75311530897122791</v>
      </c>
      <c r="L870" s="290">
        <v>9846.4550944858274</v>
      </c>
      <c r="M870" s="288">
        <v>0</v>
      </c>
      <c r="N870" s="288">
        <v>20148.743982977318</v>
      </c>
      <c r="O870" s="288">
        <v>1080.8477211913394</v>
      </c>
      <c r="P870" s="288">
        <v>53217.776411866194</v>
      </c>
      <c r="Q870" s="291">
        <v>68223.724156100434</v>
      </c>
      <c r="R870" s="288">
        <v>23605.343648208636</v>
      </c>
      <c r="S870" s="288">
        <v>10354.686398094969</v>
      </c>
      <c r="T870" s="290">
        <v>0.751</v>
      </c>
      <c r="U870" s="288">
        <v>0.75800000000000001</v>
      </c>
      <c r="V870" s="288">
        <v>0.723923076923077</v>
      </c>
      <c r="W870" s="288">
        <v>0.72750000000000004</v>
      </c>
      <c r="X870" s="288">
        <v>0.76</v>
      </c>
      <c r="Y870" s="288">
        <v>0</v>
      </c>
      <c r="Z870" s="289">
        <v>0</v>
      </c>
      <c r="AA870" s="229"/>
      <c r="AB870" s="293">
        <v>91898.157174198815</v>
      </c>
      <c r="AC870" s="294">
        <v>3.0910784057938843</v>
      </c>
      <c r="AD870" s="295">
        <v>82969.93009791954</v>
      </c>
      <c r="AE870" s="294">
        <v>3.0225950977385212</v>
      </c>
      <c r="AF870" s="295">
        <v>8928.2270762792759</v>
      </c>
      <c r="AG870" s="296">
        <v>6.8483308055363068E-2</v>
      </c>
      <c r="AH870" s="229"/>
      <c r="AI870" s="205">
        <f t="shared" si="96"/>
        <v>217209.6834051896</v>
      </c>
      <c r="AJ870" s="205">
        <f t="shared" si="97"/>
        <v>219289.57967593259</v>
      </c>
      <c r="AK870" s="205">
        <f t="shared" si="98"/>
        <v>-2079.8962707429691</v>
      </c>
      <c r="AL870" s="229"/>
      <c r="AM870" s="52">
        <f t="shared" si="86"/>
        <v>0</v>
      </c>
      <c r="AN870" s="52">
        <f t="shared" si="87"/>
        <v>1</v>
      </c>
      <c r="AO870" s="52">
        <f t="shared" si="88"/>
        <v>0</v>
      </c>
      <c r="AP870" s="229"/>
      <c r="AQ870" s="28"/>
      <c r="AR870" s="28"/>
      <c r="AS870" s="28"/>
      <c r="AT870" s="28"/>
      <c r="AU870" s="229"/>
      <c r="AV870" s="318">
        <f t="shared" si="99"/>
        <v>219289.57967593259</v>
      </c>
      <c r="AW870" s="229"/>
      <c r="AX870" s="313"/>
      <c r="AY870" s="302"/>
      <c r="AZ870" s="14">
        <f t="shared" si="101"/>
        <v>8928.2270762792759</v>
      </c>
      <c r="BA870" s="14">
        <f t="shared" si="100"/>
        <v>6.8483308055363068E-2</v>
      </c>
      <c r="BB870" s="14">
        <f t="shared" si="89"/>
        <v>130370.8499166183</v>
      </c>
      <c r="BC870" s="302"/>
      <c r="BD870" s="302"/>
      <c r="BE870" s="302"/>
      <c r="BF870" s="302"/>
      <c r="BG870" s="302"/>
      <c r="BH870" s="302"/>
      <c r="BI870" s="302"/>
      <c r="BJ870" s="302"/>
      <c r="BK870" s="302"/>
      <c r="BL870" s="302"/>
      <c r="BM870" s="302"/>
      <c r="BN870" s="302"/>
      <c r="BO870" s="302"/>
      <c r="BP870" s="302"/>
      <c r="BQ870" s="302"/>
      <c r="BR870" s="302"/>
      <c r="BS870" s="302"/>
      <c r="BT870" s="302"/>
      <c r="BU870" s="302"/>
      <c r="BV870" s="302"/>
      <c r="BW870" s="302"/>
      <c r="BX870" s="302"/>
      <c r="BY870" s="302"/>
      <c r="BZ870" s="302"/>
      <c r="CA870" s="302"/>
      <c r="CB870" s="28"/>
      <c r="CC870" s="28"/>
      <c r="CD870" s="28"/>
      <c r="CE870" s="28"/>
      <c r="CF870" s="28"/>
      <c r="CG870" s="28"/>
      <c r="CH870" s="28"/>
      <c r="CI870" s="28"/>
      <c r="CJ870" s="28"/>
      <c r="CK870" s="28"/>
      <c r="CL870" s="28"/>
      <c r="CM870" s="28"/>
      <c r="CN870" s="28"/>
      <c r="CO870" s="28"/>
      <c r="CP870" s="28"/>
      <c r="CQ870" s="28"/>
      <c r="CR870" s="28"/>
      <c r="CS870" s="28"/>
      <c r="CT870" s="28"/>
      <c r="CU870" s="28"/>
      <c r="CV870" s="28"/>
      <c r="CW870" s="28"/>
    </row>
    <row r="871" spans="1:101" ht="14.25" customHeight="1" x14ac:dyDescent="0.2">
      <c r="A871" s="286"/>
      <c r="B871" s="52">
        <v>0.13849659653906798</v>
      </c>
      <c r="C871" s="288">
        <v>0.56385310356867668</v>
      </c>
      <c r="D871" s="288">
        <v>8.4378630523913277E-3</v>
      </c>
      <c r="E871" s="288">
        <v>1.9612966574556689E-2</v>
      </c>
      <c r="F871" s="289">
        <v>0.80489511243964995</v>
      </c>
      <c r="G871" s="92">
        <v>0.44088961073962307</v>
      </c>
      <c r="H871" s="288">
        <v>1.9096470712593253E-2</v>
      </c>
      <c r="I871" s="288">
        <v>1.1089023557447548E-2</v>
      </c>
      <c r="J871" s="288">
        <v>0.99971509026895955</v>
      </c>
      <c r="K871" s="288">
        <v>0.69408657185834566</v>
      </c>
      <c r="L871" s="290">
        <v>11957.79050345639</v>
      </c>
      <c r="M871" s="288">
        <v>0</v>
      </c>
      <c r="N871" s="288">
        <v>21363.68952583793</v>
      </c>
      <c r="O871" s="288">
        <v>1447.511866553031</v>
      </c>
      <c r="P871" s="288">
        <v>51558.757539963604</v>
      </c>
      <c r="Q871" s="291">
        <v>115469.87915419672</v>
      </c>
      <c r="R871" s="288">
        <v>30704.442760981012</v>
      </c>
      <c r="S871" s="288">
        <v>7055.5370677457504</v>
      </c>
      <c r="T871" s="290">
        <v>0.751</v>
      </c>
      <c r="U871" s="288">
        <v>0.75800000000000001</v>
      </c>
      <c r="V871" s="288">
        <v>0.723923076923077</v>
      </c>
      <c r="W871" s="288">
        <v>0.72750000000000004</v>
      </c>
      <c r="X871" s="288">
        <v>0.76</v>
      </c>
      <c r="Y871" s="288">
        <v>0</v>
      </c>
      <c r="Z871" s="289">
        <v>0</v>
      </c>
      <c r="AA871" s="229"/>
      <c r="AB871" s="293">
        <v>70927.397022001009</v>
      </c>
      <c r="AC871" s="294">
        <v>3.2583616238153552</v>
      </c>
      <c r="AD871" s="295">
        <v>50731.623936200434</v>
      </c>
      <c r="AE871" s="294">
        <v>2.7533955513629698</v>
      </c>
      <c r="AF871" s="295">
        <v>20195.773085800574</v>
      </c>
      <c r="AG871" s="296">
        <v>0.50496607245238545</v>
      </c>
      <c r="AH871" s="229"/>
      <c r="AI871" s="205">
        <f t="shared" si="96"/>
        <v>254908.7653595345</v>
      </c>
      <c r="AJ871" s="205">
        <f t="shared" si="97"/>
        <v>224607.93120009653</v>
      </c>
      <c r="AK871" s="205">
        <f t="shared" si="98"/>
        <v>30300.834159437967</v>
      </c>
      <c r="AL871" s="229"/>
      <c r="AM871" s="52">
        <f t="shared" si="86"/>
        <v>1</v>
      </c>
      <c r="AN871" s="52">
        <f t="shared" si="87"/>
        <v>0</v>
      </c>
      <c r="AO871" s="52">
        <f t="shared" si="88"/>
        <v>1</v>
      </c>
      <c r="AP871" s="229"/>
      <c r="AQ871" s="28"/>
      <c r="AR871" s="28"/>
      <c r="AS871" s="28"/>
      <c r="AT871" s="28"/>
      <c r="AU871" s="229"/>
      <c r="AV871" s="318">
        <f t="shared" si="99"/>
        <v>254908.7653595345</v>
      </c>
      <c r="AW871" s="229"/>
      <c r="AX871" s="313"/>
      <c r="AY871" s="302"/>
      <c r="AZ871" s="14">
        <f t="shared" si="101"/>
        <v>20195.773085800574</v>
      </c>
      <c r="BA871" s="14">
        <f t="shared" si="100"/>
        <v>0.50496607245238545</v>
      </c>
      <c r="BB871" s="14">
        <f t="shared" si="89"/>
        <v>39994.316821562075</v>
      </c>
      <c r="BC871" s="302"/>
      <c r="BD871" s="302"/>
      <c r="BE871" s="302"/>
      <c r="BF871" s="302"/>
      <c r="BG871" s="302"/>
      <c r="BH871" s="302"/>
      <c r="BI871" s="302"/>
      <c r="BJ871" s="302"/>
      <c r="BK871" s="302"/>
      <c r="BL871" s="302"/>
      <c r="BM871" s="302"/>
      <c r="BN871" s="302"/>
      <c r="BO871" s="302"/>
      <c r="BP871" s="302"/>
      <c r="BQ871" s="302"/>
      <c r="BR871" s="302"/>
      <c r="BS871" s="302"/>
      <c r="BT871" s="302"/>
      <c r="BU871" s="302"/>
      <c r="BV871" s="302"/>
      <c r="BW871" s="302"/>
      <c r="BX871" s="302"/>
      <c r="BY871" s="302"/>
      <c r="BZ871" s="302"/>
      <c r="CA871" s="302"/>
      <c r="CB871" s="28"/>
      <c r="CC871" s="28"/>
      <c r="CD871" s="28"/>
      <c r="CE871" s="28"/>
      <c r="CF871" s="28"/>
      <c r="CG871" s="28"/>
      <c r="CH871" s="28"/>
      <c r="CI871" s="28"/>
      <c r="CJ871" s="28"/>
      <c r="CK871" s="28"/>
      <c r="CL871" s="28"/>
      <c r="CM871" s="28"/>
      <c r="CN871" s="28"/>
      <c r="CO871" s="28"/>
      <c r="CP871" s="28"/>
      <c r="CQ871" s="28"/>
      <c r="CR871" s="28"/>
      <c r="CS871" s="28"/>
      <c r="CT871" s="28"/>
      <c r="CU871" s="28"/>
      <c r="CV871" s="28"/>
      <c r="CW871" s="28"/>
    </row>
    <row r="872" spans="1:101" ht="14.25" customHeight="1" x14ac:dyDescent="0.2">
      <c r="A872" s="286"/>
      <c r="B872" s="52">
        <v>0.16642556106007311</v>
      </c>
      <c r="C872" s="288">
        <v>0.22432955707992741</v>
      </c>
      <c r="D872" s="288">
        <v>1.4407244996404223E-2</v>
      </c>
      <c r="E872" s="288">
        <v>1.5155751022356778E-2</v>
      </c>
      <c r="F872" s="289">
        <v>0.77367718653018047</v>
      </c>
      <c r="G872" s="92">
        <v>0.38623691223512524</v>
      </c>
      <c r="H872" s="288">
        <v>0.40347336632966491</v>
      </c>
      <c r="I872" s="288">
        <v>1.299124048723415E-2</v>
      </c>
      <c r="J872" s="288">
        <v>0.99999998754410135</v>
      </c>
      <c r="K872" s="288">
        <v>0.6825526515132665</v>
      </c>
      <c r="L872" s="290">
        <v>12901.929797224542</v>
      </c>
      <c r="M872" s="288">
        <v>0</v>
      </c>
      <c r="N872" s="288">
        <v>18561.4729117032</v>
      </c>
      <c r="O872" s="288">
        <v>1162.4826013135303</v>
      </c>
      <c r="P872" s="288">
        <v>54075.007243461623</v>
      </c>
      <c r="Q872" s="291">
        <v>115973.03872117045</v>
      </c>
      <c r="R872" s="288">
        <v>24916.159447931514</v>
      </c>
      <c r="S872" s="288">
        <v>7080.0842168858244</v>
      </c>
      <c r="T872" s="290">
        <v>0.751</v>
      </c>
      <c r="U872" s="288">
        <v>0.75800000000000001</v>
      </c>
      <c r="V872" s="288">
        <v>0.723923076923077</v>
      </c>
      <c r="W872" s="288">
        <v>0.72750000000000004</v>
      </c>
      <c r="X872" s="288">
        <v>0.76</v>
      </c>
      <c r="Y872" s="288">
        <v>0</v>
      </c>
      <c r="Z872" s="289">
        <v>0</v>
      </c>
      <c r="AA872" s="229"/>
      <c r="AB872" s="293">
        <v>68548.079516855927</v>
      </c>
      <c r="AC872" s="294">
        <v>3.1130441147529919</v>
      </c>
      <c r="AD872" s="295">
        <v>53443.616067505456</v>
      </c>
      <c r="AE872" s="294">
        <v>2.701436731447826</v>
      </c>
      <c r="AF872" s="295">
        <v>15104.463449350471</v>
      </c>
      <c r="AG872" s="296">
        <v>0.41160738330516589</v>
      </c>
      <c r="AH872" s="229"/>
      <c r="AI872" s="205">
        <f t="shared" si="96"/>
        <v>242756.33195844328</v>
      </c>
      <c r="AJ872" s="205">
        <f t="shared" si="97"/>
        <v>216700.05707727716</v>
      </c>
      <c r="AK872" s="205">
        <f t="shared" si="98"/>
        <v>26056.274881166115</v>
      </c>
      <c r="AL872" s="229"/>
      <c r="AM872" s="52">
        <f t="shared" si="86"/>
        <v>1</v>
      </c>
      <c r="AN872" s="52">
        <f t="shared" si="87"/>
        <v>0</v>
      </c>
      <c r="AO872" s="52">
        <f t="shared" si="88"/>
        <v>1</v>
      </c>
      <c r="AP872" s="229"/>
      <c r="AQ872" s="28"/>
      <c r="AR872" s="28"/>
      <c r="AS872" s="28"/>
      <c r="AT872" s="28"/>
      <c r="AU872" s="229"/>
      <c r="AV872" s="318">
        <f t="shared" si="99"/>
        <v>242756.33195844328</v>
      </c>
      <c r="AW872" s="229"/>
      <c r="AX872" s="313"/>
      <c r="AY872" s="302"/>
      <c r="AZ872" s="14">
        <f t="shared" si="101"/>
        <v>15104.463449350471</v>
      </c>
      <c r="BA872" s="14">
        <f t="shared" si="100"/>
        <v>0.41160738330516589</v>
      </c>
      <c r="BB872" s="14">
        <f t="shared" si="89"/>
        <v>36696.288895653786</v>
      </c>
      <c r="BC872" s="302"/>
      <c r="BD872" s="302"/>
      <c r="BE872" s="302"/>
      <c r="BF872" s="302"/>
      <c r="BG872" s="302"/>
      <c r="BH872" s="302"/>
      <c r="BI872" s="302"/>
      <c r="BJ872" s="302"/>
      <c r="BK872" s="302"/>
      <c r="BL872" s="302"/>
      <c r="BM872" s="302"/>
      <c r="BN872" s="302"/>
      <c r="BO872" s="302"/>
      <c r="BP872" s="302"/>
      <c r="BQ872" s="302"/>
      <c r="BR872" s="302"/>
      <c r="BS872" s="302"/>
      <c r="BT872" s="302"/>
      <c r="BU872" s="302"/>
      <c r="BV872" s="302"/>
      <c r="BW872" s="302"/>
      <c r="BX872" s="302"/>
      <c r="BY872" s="302"/>
      <c r="BZ872" s="302"/>
      <c r="CA872" s="302"/>
      <c r="CB872" s="28"/>
      <c r="CC872" s="28"/>
      <c r="CD872" s="28"/>
      <c r="CE872" s="28"/>
      <c r="CF872" s="28"/>
      <c r="CG872" s="28"/>
      <c r="CH872" s="28"/>
      <c r="CI872" s="28"/>
      <c r="CJ872" s="28"/>
      <c r="CK872" s="28"/>
      <c r="CL872" s="28"/>
      <c r="CM872" s="28"/>
      <c r="CN872" s="28"/>
      <c r="CO872" s="28"/>
      <c r="CP872" s="28"/>
      <c r="CQ872" s="28"/>
      <c r="CR872" s="28"/>
      <c r="CS872" s="28"/>
      <c r="CT872" s="28"/>
      <c r="CU872" s="28"/>
      <c r="CV872" s="28"/>
      <c r="CW872" s="28"/>
    </row>
    <row r="873" spans="1:101" ht="14.25" customHeight="1" x14ac:dyDescent="0.2">
      <c r="A873" s="286"/>
      <c r="B873" s="52">
        <v>0.18362893579471906</v>
      </c>
      <c r="C873" s="288">
        <v>0.15578355779557274</v>
      </c>
      <c r="D873" s="288">
        <v>2.0723745010651107E-2</v>
      </c>
      <c r="E873" s="288">
        <v>3.1289819675460961E-2</v>
      </c>
      <c r="F873" s="289">
        <v>0.74512190250660026</v>
      </c>
      <c r="G873" s="92">
        <v>0.42134319754563498</v>
      </c>
      <c r="H873" s="288">
        <v>0.3579111414305931</v>
      </c>
      <c r="I873" s="288">
        <v>2.9243001593744606E-3</v>
      </c>
      <c r="J873" s="288">
        <v>0.99978029621450737</v>
      </c>
      <c r="K873" s="288">
        <v>0.72614251196036694</v>
      </c>
      <c r="L873" s="290">
        <v>12128.565809420659</v>
      </c>
      <c r="M873" s="288">
        <v>0</v>
      </c>
      <c r="N873" s="288">
        <v>14912.157716229372</v>
      </c>
      <c r="O873" s="288">
        <v>1155.2315809252045</v>
      </c>
      <c r="P873" s="288">
        <v>36973.687493669997</v>
      </c>
      <c r="Q873" s="291">
        <v>103722.95916948262</v>
      </c>
      <c r="R873" s="288">
        <v>19003.220020454857</v>
      </c>
      <c r="S873" s="288">
        <v>8918.7262968822652</v>
      </c>
      <c r="T873" s="290">
        <v>0.751</v>
      </c>
      <c r="U873" s="288">
        <v>0.75800000000000001</v>
      </c>
      <c r="V873" s="288">
        <v>0.723923076923077</v>
      </c>
      <c r="W873" s="288">
        <v>0.72750000000000004</v>
      </c>
      <c r="X873" s="288">
        <v>0.76</v>
      </c>
      <c r="Y873" s="288">
        <v>0</v>
      </c>
      <c r="Z873" s="289">
        <v>0</v>
      </c>
      <c r="AA873" s="229"/>
      <c r="AB873" s="293">
        <v>79091.225420323812</v>
      </c>
      <c r="AC873" s="294">
        <v>2.981459628583802</v>
      </c>
      <c r="AD873" s="295">
        <v>68117.863060907563</v>
      </c>
      <c r="AE873" s="294">
        <v>2.8989046750188341</v>
      </c>
      <c r="AF873" s="295">
        <v>10973.362359416249</v>
      </c>
      <c r="AG873" s="296">
        <v>8.2554953564967892E-2</v>
      </c>
      <c r="AH873" s="229"/>
      <c r="AI873" s="205">
        <f t="shared" si="96"/>
        <v>219054.73743805641</v>
      </c>
      <c r="AJ873" s="205">
        <f t="shared" si="97"/>
        <v>221772.60444097582</v>
      </c>
      <c r="AK873" s="205">
        <f t="shared" si="98"/>
        <v>-2717.86700291946</v>
      </c>
      <c r="AL873" s="229"/>
      <c r="AM873" s="52">
        <f t="shared" si="86"/>
        <v>0</v>
      </c>
      <c r="AN873" s="52">
        <f t="shared" si="87"/>
        <v>1</v>
      </c>
      <c r="AO873" s="52">
        <f t="shared" si="88"/>
        <v>0</v>
      </c>
      <c r="AP873" s="229"/>
      <c r="AQ873" s="28"/>
      <c r="AR873" s="28"/>
      <c r="AS873" s="28"/>
      <c r="AT873" s="28"/>
      <c r="AU873" s="229"/>
      <c r="AV873" s="318">
        <f t="shared" si="99"/>
        <v>221772.60444097582</v>
      </c>
      <c r="AW873" s="229"/>
      <c r="AX873" s="313"/>
      <c r="AY873" s="302"/>
      <c r="AZ873" s="14">
        <f t="shared" si="101"/>
        <v>10973.362359416249</v>
      </c>
      <c r="BA873" s="14">
        <f t="shared" si="100"/>
        <v>8.2554953564967892E-2</v>
      </c>
      <c r="BB873" s="14">
        <f t="shared" si="89"/>
        <v>132921.91304765973</v>
      </c>
      <c r="BC873" s="302"/>
      <c r="BD873" s="302"/>
      <c r="BE873" s="302"/>
      <c r="BF873" s="302"/>
      <c r="BG873" s="302"/>
      <c r="BH873" s="302"/>
      <c r="BI873" s="302"/>
      <c r="BJ873" s="302"/>
      <c r="BK873" s="302"/>
      <c r="BL873" s="302"/>
      <c r="BM873" s="302"/>
      <c r="BN873" s="302"/>
      <c r="BO873" s="302"/>
      <c r="BP873" s="302"/>
      <c r="BQ873" s="302"/>
      <c r="BR873" s="302"/>
      <c r="BS873" s="302"/>
      <c r="BT873" s="302"/>
      <c r="BU873" s="302"/>
      <c r="BV873" s="302"/>
      <c r="BW873" s="302"/>
      <c r="BX873" s="302"/>
      <c r="BY873" s="302"/>
      <c r="BZ873" s="302"/>
      <c r="CA873" s="302"/>
      <c r="CB873" s="28"/>
      <c r="CC873" s="28"/>
      <c r="CD873" s="28"/>
      <c r="CE873" s="28"/>
      <c r="CF873" s="28"/>
      <c r="CG873" s="28"/>
      <c r="CH873" s="28"/>
      <c r="CI873" s="28"/>
      <c r="CJ873" s="28"/>
      <c r="CK873" s="28"/>
      <c r="CL873" s="28"/>
      <c r="CM873" s="28"/>
      <c r="CN873" s="28"/>
      <c r="CO873" s="28"/>
      <c r="CP873" s="28"/>
      <c r="CQ873" s="28"/>
      <c r="CR873" s="28"/>
      <c r="CS873" s="28"/>
      <c r="CT873" s="28"/>
      <c r="CU873" s="28"/>
      <c r="CV873" s="28"/>
      <c r="CW873" s="28"/>
    </row>
    <row r="874" spans="1:101" ht="14.25" customHeight="1" x14ac:dyDescent="0.2">
      <c r="A874" s="286"/>
      <c r="B874" s="52">
        <v>0.13957895428209471</v>
      </c>
      <c r="C874" s="288">
        <v>0.471896641925863</v>
      </c>
      <c r="D874" s="288">
        <v>1.1254688208788274E-2</v>
      </c>
      <c r="E874" s="288">
        <v>2.7572680516262715E-2</v>
      </c>
      <c r="F874" s="289">
        <v>0.77308282092896674</v>
      </c>
      <c r="G874" s="92">
        <v>0.46092274399404443</v>
      </c>
      <c r="H874" s="288">
        <v>0.10288448144578284</v>
      </c>
      <c r="I874" s="288">
        <v>2.0577560287273422E-2</v>
      </c>
      <c r="J874" s="288">
        <v>1</v>
      </c>
      <c r="K874" s="288">
        <v>0.75280986902434255</v>
      </c>
      <c r="L874" s="290">
        <v>7810.941004386159</v>
      </c>
      <c r="M874" s="288">
        <v>0</v>
      </c>
      <c r="N874" s="288">
        <v>20902.205898686847</v>
      </c>
      <c r="O874" s="288">
        <v>1001.2686499983621</v>
      </c>
      <c r="P874" s="288">
        <v>40258.214733962857</v>
      </c>
      <c r="Q874" s="291">
        <v>78034.53228167411</v>
      </c>
      <c r="R874" s="288">
        <v>22957.63298410784</v>
      </c>
      <c r="S874" s="288">
        <v>7298.5308394914027</v>
      </c>
      <c r="T874" s="290">
        <v>0.751</v>
      </c>
      <c r="U874" s="288">
        <v>0.75800000000000001</v>
      </c>
      <c r="V874" s="288">
        <v>0.723923076923077</v>
      </c>
      <c r="W874" s="288">
        <v>0.72750000000000004</v>
      </c>
      <c r="X874" s="288">
        <v>0.76</v>
      </c>
      <c r="Y874" s="288">
        <v>0</v>
      </c>
      <c r="Z874" s="289">
        <v>0</v>
      </c>
      <c r="AA874" s="229"/>
      <c r="AB874" s="293">
        <v>65460.426567895323</v>
      </c>
      <c r="AC874" s="294">
        <v>3.1102922084425324</v>
      </c>
      <c r="AD874" s="295">
        <v>57738.483698311495</v>
      </c>
      <c r="AE874" s="294">
        <v>3.0211880079255478</v>
      </c>
      <c r="AF874" s="295">
        <v>7721.9428695838287</v>
      </c>
      <c r="AG874" s="296">
        <v>8.9104200516984644E-2</v>
      </c>
      <c r="AH874" s="229"/>
      <c r="AI874" s="205">
        <f t="shared" si="96"/>
        <v>245568.79427635792</v>
      </c>
      <c r="AJ874" s="205">
        <f t="shared" si="97"/>
        <v>244380.31709424331</v>
      </c>
      <c r="AK874" s="205">
        <f t="shared" si="98"/>
        <v>1188.4771821146351</v>
      </c>
      <c r="AL874" s="229"/>
      <c r="AM874" s="52">
        <f t="shared" si="86"/>
        <v>1</v>
      </c>
      <c r="AN874" s="52">
        <f t="shared" si="87"/>
        <v>0</v>
      </c>
      <c r="AO874" s="52">
        <f t="shared" si="88"/>
        <v>1</v>
      </c>
      <c r="AP874" s="229"/>
      <c r="AQ874" s="28"/>
      <c r="AR874" s="28"/>
      <c r="AS874" s="28"/>
      <c r="AT874" s="28"/>
      <c r="AU874" s="229"/>
      <c r="AV874" s="318">
        <f t="shared" si="99"/>
        <v>245568.79427635792</v>
      </c>
      <c r="AW874" s="229"/>
      <c r="AX874" s="313"/>
      <c r="AY874" s="302"/>
      <c r="AZ874" s="14">
        <f t="shared" si="101"/>
        <v>7721.9428695838287</v>
      </c>
      <c r="BA874" s="14">
        <f t="shared" si="100"/>
        <v>8.9104200516984644E-2</v>
      </c>
      <c r="BB874" s="14">
        <f t="shared" si="89"/>
        <v>86661.939894875177</v>
      </c>
      <c r="BC874" s="302"/>
      <c r="BD874" s="302"/>
      <c r="BE874" s="302"/>
      <c r="BF874" s="302"/>
      <c r="BG874" s="302"/>
      <c r="BH874" s="302"/>
      <c r="BI874" s="302"/>
      <c r="BJ874" s="302"/>
      <c r="BK874" s="302"/>
      <c r="BL874" s="302"/>
      <c r="BM874" s="302"/>
      <c r="BN874" s="302"/>
      <c r="BO874" s="302"/>
      <c r="BP874" s="302"/>
      <c r="BQ874" s="302"/>
      <c r="BR874" s="302"/>
      <c r="BS874" s="302"/>
      <c r="BT874" s="302"/>
      <c r="BU874" s="302"/>
      <c r="BV874" s="302"/>
      <c r="BW874" s="302"/>
      <c r="BX874" s="302"/>
      <c r="BY874" s="302"/>
      <c r="BZ874" s="302"/>
      <c r="CA874" s="302"/>
      <c r="CB874" s="28"/>
      <c r="CC874" s="28"/>
      <c r="CD874" s="28"/>
      <c r="CE874" s="28"/>
      <c r="CF874" s="28"/>
      <c r="CG874" s="28"/>
      <c r="CH874" s="28"/>
      <c r="CI874" s="28"/>
      <c r="CJ874" s="28"/>
      <c r="CK874" s="28"/>
      <c r="CL874" s="28"/>
      <c r="CM874" s="28"/>
      <c r="CN874" s="28"/>
      <c r="CO874" s="28"/>
      <c r="CP874" s="28"/>
      <c r="CQ874" s="28"/>
      <c r="CR874" s="28"/>
      <c r="CS874" s="28"/>
      <c r="CT874" s="28"/>
      <c r="CU874" s="28"/>
      <c r="CV874" s="28"/>
      <c r="CW874" s="28"/>
    </row>
    <row r="875" spans="1:101" ht="14.25" customHeight="1" x14ac:dyDescent="0.2">
      <c r="A875" s="286"/>
      <c r="B875" s="52">
        <v>0.15664849545612142</v>
      </c>
      <c r="C875" s="288">
        <v>0.63939372554713003</v>
      </c>
      <c r="D875" s="288">
        <v>7.1410685499082279E-3</v>
      </c>
      <c r="E875" s="288">
        <v>1.7071872439079261E-2</v>
      </c>
      <c r="F875" s="289">
        <v>0.77656536758977024</v>
      </c>
      <c r="G875" s="92">
        <v>0.38153216152464459</v>
      </c>
      <c r="H875" s="288">
        <v>0.51167470114364222</v>
      </c>
      <c r="I875" s="288">
        <v>1.1264694423056153E-2</v>
      </c>
      <c r="J875" s="288">
        <v>0.99999999997846567</v>
      </c>
      <c r="K875" s="288">
        <v>0.7846088965261564</v>
      </c>
      <c r="L875" s="290">
        <v>16941.244301727886</v>
      </c>
      <c r="M875" s="288">
        <v>0</v>
      </c>
      <c r="N875" s="288">
        <v>17647.531000229446</v>
      </c>
      <c r="O875" s="288">
        <v>1257.3513315951607</v>
      </c>
      <c r="P875" s="288">
        <v>53488.772029802014</v>
      </c>
      <c r="Q875" s="291">
        <v>113804.57373413889</v>
      </c>
      <c r="R875" s="288">
        <v>26316.948971973994</v>
      </c>
      <c r="S875" s="288">
        <v>11287.466242229435</v>
      </c>
      <c r="T875" s="290">
        <v>0.751</v>
      </c>
      <c r="U875" s="288">
        <v>0.75800000000000001</v>
      </c>
      <c r="V875" s="288">
        <v>0.723923076923077</v>
      </c>
      <c r="W875" s="288">
        <v>0.72750000000000004</v>
      </c>
      <c r="X875" s="288">
        <v>0.76</v>
      </c>
      <c r="Y875" s="288">
        <v>0</v>
      </c>
      <c r="Z875" s="289">
        <v>0</v>
      </c>
      <c r="AA875" s="229"/>
      <c r="AB875" s="293">
        <v>106700.82158057432</v>
      </c>
      <c r="AC875" s="294">
        <v>3.1264242500102419</v>
      </c>
      <c r="AD875" s="295">
        <v>94737.074281474721</v>
      </c>
      <c r="AE875" s="294">
        <v>3.1684679094218229</v>
      </c>
      <c r="AF875" s="295">
        <v>11963.747299099603</v>
      </c>
      <c r="AG875" s="296">
        <v>-4.2043659411580947E-2</v>
      </c>
      <c r="AH875" s="229"/>
      <c r="AI875" s="205">
        <f t="shared" si="96"/>
        <v>205941.60342044989</v>
      </c>
      <c r="AJ875" s="205">
        <f t="shared" si="97"/>
        <v>222109.71666070758</v>
      </c>
      <c r="AK875" s="205">
        <f t="shared" si="98"/>
        <v>-16168.113240257699</v>
      </c>
      <c r="AL875" s="229"/>
      <c r="AM875" s="52">
        <f t="shared" si="86"/>
        <v>0</v>
      </c>
      <c r="AN875" s="52">
        <f t="shared" si="87"/>
        <v>1</v>
      </c>
      <c r="AO875" s="52">
        <f t="shared" si="88"/>
        <v>0</v>
      </c>
      <c r="AP875" s="229"/>
      <c r="AQ875" s="28"/>
      <c r="AR875" s="28"/>
      <c r="AS875" s="28"/>
      <c r="AT875" s="28"/>
      <c r="AU875" s="229"/>
      <c r="AV875" s="318">
        <f t="shared" si="99"/>
        <v>222109.71666070758</v>
      </c>
      <c r="AW875" s="229"/>
      <c r="AX875" s="313"/>
      <c r="AY875" s="302"/>
      <c r="AZ875" s="14">
        <f t="shared" si="101"/>
        <v>11963.747299099603</v>
      </c>
      <c r="BA875" s="14">
        <f t="shared" si="100"/>
        <v>-4.2043659411580947E-2</v>
      </c>
      <c r="BB875" s="14">
        <f t="shared" si="89"/>
        <v>-284555.32811694749</v>
      </c>
      <c r="BC875" s="302"/>
      <c r="BD875" s="302"/>
      <c r="BE875" s="302"/>
      <c r="BF875" s="302"/>
      <c r="BG875" s="302"/>
      <c r="BH875" s="302"/>
      <c r="BI875" s="302"/>
      <c r="BJ875" s="302"/>
      <c r="BK875" s="302"/>
      <c r="BL875" s="302"/>
      <c r="BM875" s="302"/>
      <c r="BN875" s="302"/>
      <c r="BO875" s="302"/>
      <c r="BP875" s="302"/>
      <c r="BQ875" s="302"/>
      <c r="BR875" s="302"/>
      <c r="BS875" s="302"/>
      <c r="BT875" s="302"/>
      <c r="BU875" s="302"/>
      <c r="BV875" s="302"/>
      <c r="BW875" s="302"/>
      <c r="BX875" s="302"/>
      <c r="BY875" s="302"/>
      <c r="BZ875" s="302"/>
      <c r="CA875" s="302"/>
      <c r="CB875" s="28"/>
      <c r="CC875" s="28"/>
      <c r="CD875" s="28"/>
      <c r="CE875" s="28"/>
      <c r="CF875" s="28"/>
      <c r="CG875" s="28"/>
      <c r="CH875" s="28"/>
      <c r="CI875" s="28"/>
      <c r="CJ875" s="28"/>
      <c r="CK875" s="28"/>
      <c r="CL875" s="28"/>
      <c r="CM875" s="28"/>
      <c r="CN875" s="28"/>
      <c r="CO875" s="28"/>
      <c r="CP875" s="28"/>
      <c r="CQ875" s="28"/>
      <c r="CR875" s="28"/>
      <c r="CS875" s="28"/>
      <c r="CT875" s="28"/>
      <c r="CU875" s="28"/>
      <c r="CV875" s="28"/>
      <c r="CW875" s="28"/>
    </row>
    <row r="876" spans="1:101" ht="14.25" customHeight="1" x14ac:dyDescent="0.2">
      <c r="A876" s="286"/>
      <c r="B876" s="52">
        <v>0.17358782633012515</v>
      </c>
      <c r="C876" s="288">
        <v>0.56226159421415978</v>
      </c>
      <c r="D876" s="288">
        <v>1.3700865792966593E-2</v>
      </c>
      <c r="E876" s="288">
        <v>1.1743473636837091E-2</v>
      </c>
      <c r="F876" s="289">
        <v>0.79223075128188425</v>
      </c>
      <c r="G876" s="92">
        <v>0.43227824357285838</v>
      </c>
      <c r="H876" s="288">
        <v>0.29539505827142531</v>
      </c>
      <c r="I876" s="288">
        <v>2.0968167051572562E-2</v>
      </c>
      <c r="J876" s="288">
        <v>0.99999999999615907</v>
      </c>
      <c r="K876" s="288">
        <v>0.73225892824215988</v>
      </c>
      <c r="L876" s="290">
        <v>12866.733261914809</v>
      </c>
      <c r="M876" s="288">
        <v>0</v>
      </c>
      <c r="N876" s="288">
        <v>17697.925912505692</v>
      </c>
      <c r="O876" s="288">
        <v>1479.3651780925022</v>
      </c>
      <c r="P876" s="288">
        <v>50944.244485844967</v>
      </c>
      <c r="Q876" s="291">
        <v>117107.50390784281</v>
      </c>
      <c r="R876" s="288">
        <v>17907.292684567776</v>
      </c>
      <c r="S876" s="288">
        <v>5768.6159644971458</v>
      </c>
      <c r="T876" s="290">
        <v>0.751</v>
      </c>
      <c r="U876" s="288">
        <v>0.75800000000000001</v>
      </c>
      <c r="V876" s="288">
        <v>0.723923076923077</v>
      </c>
      <c r="W876" s="288">
        <v>0.72750000000000004</v>
      </c>
      <c r="X876" s="288">
        <v>0.76</v>
      </c>
      <c r="Y876" s="288">
        <v>0</v>
      </c>
      <c r="Z876" s="289">
        <v>0</v>
      </c>
      <c r="AA876" s="229"/>
      <c r="AB876" s="293">
        <v>60405.938617023676</v>
      </c>
      <c r="AC876" s="294">
        <v>3.1992255335599387</v>
      </c>
      <c r="AD876" s="295">
        <v>46774.104029402988</v>
      </c>
      <c r="AE876" s="294">
        <v>2.9268524743806674</v>
      </c>
      <c r="AF876" s="295">
        <v>13631.834587620688</v>
      </c>
      <c r="AG876" s="296">
        <v>0.27237305917927124</v>
      </c>
      <c r="AH876" s="229"/>
      <c r="AI876" s="205">
        <f t="shared" si="96"/>
        <v>259516.61473897021</v>
      </c>
      <c r="AJ876" s="205">
        <f t="shared" si="97"/>
        <v>245911.14340866377</v>
      </c>
      <c r="AK876" s="205">
        <f t="shared" si="98"/>
        <v>13605.471330306435</v>
      </c>
      <c r="AL876" s="229"/>
      <c r="AM876" s="52">
        <f t="shared" si="86"/>
        <v>1</v>
      </c>
      <c r="AN876" s="52">
        <f t="shared" si="87"/>
        <v>0</v>
      </c>
      <c r="AO876" s="52">
        <f t="shared" si="88"/>
        <v>1</v>
      </c>
      <c r="AP876" s="229"/>
      <c r="AQ876" s="28"/>
      <c r="AR876" s="28"/>
      <c r="AS876" s="28"/>
      <c r="AT876" s="28"/>
      <c r="AU876" s="229"/>
      <c r="AV876" s="318">
        <f t="shared" si="99"/>
        <v>259516.61473897021</v>
      </c>
      <c r="AW876" s="229"/>
      <c r="AX876" s="313"/>
      <c r="AY876" s="302"/>
      <c r="AZ876" s="14">
        <f t="shared" si="101"/>
        <v>13631.834587620688</v>
      </c>
      <c r="BA876" s="14">
        <f t="shared" si="100"/>
        <v>0.27237305917927124</v>
      </c>
      <c r="BB876" s="14">
        <f t="shared" si="89"/>
        <v>50048.395493654345</v>
      </c>
      <c r="BC876" s="302"/>
      <c r="BD876" s="302"/>
      <c r="BE876" s="302"/>
      <c r="BF876" s="302"/>
      <c r="BG876" s="302"/>
      <c r="BH876" s="302"/>
      <c r="BI876" s="302"/>
      <c r="BJ876" s="302"/>
      <c r="BK876" s="302"/>
      <c r="BL876" s="302"/>
      <c r="BM876" s="302"/>
      <c r="BN876" s="302"/>
      <c r="BO876" s="302"/>
      <c r="BP876" s="302"/>
      <c r="BQ876" s="302"/>
      <c r="BR876" s="302"/>
      <c r="BS876" s="302"/>
      <c r="BT876" s="302"/>
      <c r="BU876" s="302"/>
      <c r="BV876" s="302"/>
      <c r="BW876" s="302"/>
      <c r="BX876" s="302"/>
      <c r="BY876" s="302"/>
      <c r="BZ876" s="302"/>
      <c r="CA876" s="302"/>
      <c r="CB876" s="28"/>
      <c r="CC876" s="28"/>
      <c r="CD876" s="28"/>
      <c r="CE876" s="28"/>
      <c r="CF876" s="28"/>
      <c r="CG876" s="28"/>
      <c r="CH876" s="28"/>
      <c r="CI876" s="28"/>
      <c r="CJ876" s="28"/>
      <c r="CK876" s="28"/>
      <c r="CL876" s="28"/>
      <c r="CM876" s="28"/>
      <c r="CN876" s="28"/>
      <c r="CO876" s="28"/>
      <c r="CP876" s="28"/>
      <c r="CQ876" s="28"/>
      <c r="CR876" s="28"/>
      <c r="CS876" s="28"/>
      <c r="CT876" s="28"/>
      <c r="CU876" s="28"/>
      <c r="CV876" s="28"/>
      <c r="CW876" s="28"/>
    </row>
    <row r="877" spans="1:101" ht="14.25" customHeight="1" x14ac:dyDescent="0.2">
      <c r="A877" s="286"/>
      <c r="B877" s="52">
        <v>0.15683838676343265</v>
      </c>
      <c r="C877" s="288">
        <v>0.49757100329042947</v>
      </c>
      <c r="D877" s="288">
        <v>1.2874671154731463E-2</v>
      </c>
      <c r="E877" s="288">
        <v>1.5761476010235032E-2</v>
      </c>
      <c r="F877" s="289">
        <v>0.79919370553796276</v>
      </c>
      <c r="G877" s="92">
        <v>0.35861449878042978</v>
      </c>
      <c r="H877" s="288">
        <v>0.76208275706795059</v>
      </c>
      <c r="I877" s="288">
        <v>1.4641503149731611E-2</v>
      </c>
      <c r="J877" s="288">
        <v>0.99999999999999412</v>
      </c>
      <c r="K877" s="288">
        <v>0.76992290634368366</v>
      </c>
      <c r="L877" s="290">
        <v>12614.190807607896</v>
      </c>
      <c r="M877" s="288">
        <v>0</v>
      </c>
      <c r="N877" s="288">
        <v>14656.825397389563</v>
      </c>
      <c r="O877" s="288">
        <v>1572.1295035478447</v>
      </c>
      <c r="P877" s="288">
        <v>45754.147580222656</v>
      </c>
      <c r="Q877" s="291">
        <v>143135.39770467381</v>
      </c>
      <c r="R877" s="288">
        <v>21731.38652035921</v>
      </c>
      <c r="S877" s="288">
        <v>8149.4990923605874</v>
      </c>
      <c r="T877" s="290">
        <v>0.751</v>
      </c>
      <c r="U877" s="288">
        <v>0.75800000000000001</v>
      </c>
      <c r="V877" s="288">
        <v>0.723923076923077</v>
      </c>
      <c r="W877" s="288">
        <v>0.72750000000000004</v>
      </c>
      <c r="X877" s="288">
        <v>0.76</v>
      </c>
      <c r="Y877" s="288">
        <v>0</v>
      </c>
      <c r="Z877" s="289">
        <v>0</v>
      </c>
      <c r="AA877" s="229"/>
      <c r="AB877" s="293">
        <v>79341.455449912377</v>
      </c>
      <c r="AC877" s="294">
        <v>3.2317078355377475</v>
      </c>
      <c r="AD877" s="295">
        <v>70107.732460750529</v>
      </c>
      <c r="AE877" s="294">
        <v>3.1002504232626809</v>
      </c>
      <c r="AF877" s="295">
        <v>9233.7229891618481</v>
      </c>
      <c r="AG877" s="296">
        <v>0.13145741227506669</v>
      </c>
      <c r="AH877" s="229"/>
      <c r="AI877" s="205">
        <f t="shared" si="96"/>
        <v>243829.32810386238</v>
      </c>
      <c r="AJ877" s="205">
        <f t="shared" si="97"/>
        <v>239917.30986551757</v>
      </c>
      <c r="AK877" s="205">
        <f t="shared" si="98"/>
        <v>3912.0182383448209</v>
      </c>
      <c r="AL877" s="229"/>
      <c r="AM877" s="52">
        <f t="shared" si="86"/>
        <v>1</v>
      </c>
      <c r="AN877" s="52">
        <f t="shared" si="87"/>
        <v>0</v>
      </c>
      <c r="AO877" s="52">
        <f t="shared" si="88"/>
        <v>1</v>
      </c>
      <c r="AP877" s="229"/>
      <c r="AQ877" s="28"/>
      <c r="AR877" s="28"/>
      <c r="AS877" s="28"/>
      <c r="AT877" s="28"/>
      <c r="AU877" s="229"/>
      <c r="AV877" s="318">
        <f t="shared" si="99"/>
        <v>243829.32810386238</v>
      </c>
      <c r="AW877" s="229"/>
      <c r="AX877" s="313"/>
      <c r="AY877" s="302"/>
      <c r="AZ877" s="14">
        <f t="shared" si="101"/>
        <v>9233.7229891618481</v>
      </c>
      <c r="BA877" s="14">
        <f t="shared" si="100"/>
        <v>0.13145741227506669</v>
      </c>
      <c r="BB877" s="14">
        <f t="shared" si="89"/>
        <v>70241.174151829808</v>
      </c>
      <c r="BC877" s="302"/>
      <c r="BD877" s="302"/>
      <c r="BE877" s="302"/>
      <c r="BF877" s="302"/>
      <c r="BG877" s="302"/>
      <c r="BH877" s="302"/>
      <c r="BI877" s="302"/>
      <c r="BJ877" s="302"/>
      <c r="BK877" s="302"/>
      <c r="BL877" s="302"/>
      <c r="BM877" s="302"/>
      <c r="BN877" s="302"/>
      <c r="BO877" s="302"/>
      <c r="BP877" s="302"/>
      <c r="BQ877" s="302"/>
      <c r="BR877" s="302"/>
      <c r="BS877" s="302"/>
      <c r="BT877" s="302"/>
      <c r="BU877" s="302"/>
      <c r="BV877" s="302"/>
      <c r="BW877" s="302"/>
      <c r="BX877" s="302"/>
      <c r="BY877" s="302"/>
      <c r="BZ877" s="302"/>
      <c r="CA877" s="302"/>
      <c r="CB877" s="28"/>
      <c r="CC877" s="28"/>
      <c r="CD877" s="28"/>
      <c r="CE877" s="28"/>
      <c r="CF877" s="28"/>
      <c r="CG877" s="28"/>
      <c r="CH877" s="28"/>
      <c r="CI877" s="28"/>
      <c r="CJ877" s="28"/>
      <c r="CK877" s="28"/>
      <c r="CL877" s="28"/>
      <c r="CM877" s="28"/>
      <c r="CN877" s="28"/>
      <c r="CO877" s="28"/>
      <c r="CP877" s="28"/>
      <c r="CQ877" s="28"/>
      <c r="CR877" s="28"/>
      <c r="CS877" s="28"/>
      <c r="CT877" s="28"/>
      <c r="CU877" s="28"/>
      <c r="CV877" s="28"/>
      <c r="CW877" s="28"/>
    </row>
    <row r="878" spans="1:101" ht="14.25" customHeight="1" x14ac:dyDescent="0.2">
      <c r="A878" s="286"/>
      <c r="B878" s="52">
        <v>0.19253825815969983</v>
      </c>
      <c r="C878" s="288">
        <v>0.22273524318717017</v>
      </c>
      <c r="D878" s="288">
        <v>1.1815059341633759E-2</v>
      </c>
      <c r="E878" s="288">
        <v>1.2716946568163719E-2</v>
      </c>
      <c r="F878" s="289">
        <v>0.78912681754428393</v>
      </c>
      <c r="G878" s="92">
        <v>0.41879104365033726</v>
      </c>
      <c r="H878" s="288">
        <v>0.75362028775944157</v>
      </c>
      <c r="I878" s="288">
        <v>3.7962677806058331E-2</v>
      </c>
      <c r="J878" s="288">
        <v>0.99999999499118741</v>
      </c>
      <c r="K878" s="288">
        <v>0.7687025686470319</v>
      </c>
      <c r="L878" s="290">
        <v>11089.760496036775</v>
      </c>
      <c r="M878" s="288">
        <v>0</v>
      </c>
      <c r="N878" s="288">
        <v>16862.450237911264</v>
      </c>
      <c r="O878" s="288">
        <v>1170.1987778670466</v>
      </c>
      <c r="P878" s="288">
        <v>49404.079559602666</v>
      </c>
      <c r="Q878" s="291">
        <v>124023.13819221704</v>
      </c>
      <c r="R878" s="288">
        <v>27708.323626778962</v>
      </c>
      <c r="S878" s="288">
        <v>9051.3863297057451</v>
      </c>
      <c r="T878" s="290">
        <v>0.751</v>
      </c>
      <c r="U878" s="288">
        <v>0.75800000000000001</v>
      </c>
      <c r="V878" s="288">
        <v>0.723923076923077</v>
      </c>
      <c r="W878" s="288">
        <v>0.72750000000000004</v>
      </c>
      <c r="X878" s="288">
        <v>0.76</v>
      </c>
      <c r="Y878" s="288">
        <v>0</v>
      </c>
      <c r="Z878" s="289">
        <v>0</v>
      </c>
      <c r="AA878" s="229"/>
      <c r="AB878" s="293">
        <v>83516.36632379498</v>
      </c>
      <c r="AC878" s="294">
        <v>3.184770134437382</v>
      </c>
      <c r="AD878" s="295">
        <v>81406.771405771506</v>
      </c>
      <c r="AE878" s="294">
        <v>3.0945971648007804</v>
      </c>
      <c r="AF878" s="295">
        <v>2109.5949180234747</v>
      </c>
      <c r="AG878" s="296">
        <v>9.0172969636601596E-2</v>
      </c>
      <c r="AH878" s="229"/>
      <c r="AI878" s="205">
        <f t="shared" si="96"/>
        <v>234960.64711994323</v>
      </c>
      <c r="AJ878" s="205">
        <f t="shared" si="97"/>
        <v>228052.94507430657</v>
      </c>
      <c r="AK878" s="205">
        <f t="shared" si="98"/>
        <v>6907.7020456366845</v>
      </c>
      <c r="AL878" s="229"/>
      <c r="AM878" s="52">
        <f t="shared" si="86"/>
        <v>1</v>
      </c>
      <c r="AN878" s="52">
        <f t="shared" si="87"/>
        <v>0</v>
      </c>
      <c r="AO878" s="52">
        <f t="shared" si="88"/>
        <v>1</v>
      </c>
      <c r="AP878" s="229"/>
      <c r="AQ878" s="28"/>
      <c r="AR878" s="28"/>
      <c r="AS878" s="28"/>
      <c r="AT878" s="28"/>
      <c r="AU878" s="229"/>
      <c r="AV878" s="318">
        <f t="shared" si="99"/>
        <v>234960.64711994323</v>
      </c>
      <c r="AW878" s="229"/>
      <c r="AX878" s="313"/>
      <c r="AY878" s="302"/>
      <c r="AZ878" s="14">
        <f t="shared" si="101"/>
        <v>2109.5949180234747</v>
      </c>
      <c r="BA878" s="14">
        <f t="shared" si="100"/>
        <v>9.0172969636601596E-2</v>
      </c>
      <c r="BB878" s="14">
        <f t="shared" si="89"/>
        <v>23394.981073875835</v>
      </c>
      <c r="BC878" s="302"/>
      <c r="BD878" s="302"/>
      <c r="BE878" s="302"/>
      <c r="BF878" s="302"/>
      <c r="BG878" s="302"/>
      <c r="BH878" s="302"/>
      <c r="BI878" s="302"/>
      <c r="BJ878" s="302"/>
      <c r="BK878" s="302"/>
      <c r="BL878" s="302"/>
      <c r="BM878" s="302"/>
      <c r="BN878" s="302"/>
      <c r="BO878" s="302"/>
      <c r="BP878" s="302"/>
      <c r="BQ878" s="302"/>
      <c r="BR878" s="302"/>
      <c r="BS878" s="302"/>
      <c r="BT878" s="302"/>
      <c r="BU878" s="302"/>
      <c r="BV878" s="302"/>
      <c r="BW878" s="302"/>
      <c r="BX878" s="302"/>
      <c r="BY878" s="302"/>
      <c r="BZ878" s="302"/>
      <c r="CA878" s="302"/>
      <c r="CB878" s="28"/>
      <c r="CC878" s="28"/>
      <c r="CD878" s="28"/>
      <c r="CE878" s="28"/>
      <c r="CF878" s="28"/>
      <c r="CG878" s="28"/>
      <c r="CH878" s="28"/>
      <c r="CI878" s="28"/>
      <c r="CJ878" s="28"/>
      <c r="CK878" s="28"/>
      <c r="CL878" s="28"/>
      <c r="CM878" s="28"/>
      <c r="CN878" s="28"/>
      <c r="CO878" s="28"/>
      <c r="CP878" s="28"/>
      <c r="CQ878" s="28"/>
      <c r="CR878" s="28"/>
      <c r="CS878" s="28"/>
      <c r="CT878" s="28"/>
      <c r="CU878" s="28"/>
      <c r="CV878" s="28"/>
      <c r="CW878" s="28"/>
    </row>
    <row r="879" spans="1:101" ht="14.25" customHeight="1" x14ac:dyDescent="0.2">
      <c r="A879" s="286"/>
      <c r="B879" s="52">
        <v>0.15618723630670811</v>
      </c>
      <c r="C879" s="288">
        <v>0.23256858831365923</v>
      </c>
      <c r="D879" s="288">
        <v>1.2976078210943395E-2</v>
      </c>
      <c r="E879" s="288">
        <v>1.1418364693577788E-2</v>
      </c>
      <c r="F879" s="289">
        <v>0.79042819810405018</v>
      </c>
      <c r="G879" s="92">
        <v>0.40409643481558988</v>
      </c>
      <c r="H879" s="288">
        <v>0.57743459753721571</v>
      </c>
      <c r="I879" s="288">
        <v>1.2724189841182152E-2</v>
      </c>
      <c r="J879" s="288">
        <v>1</v>
      </c>
      <c r="K879" s="288">
        <v>0.79766439833571068</v>
      </c>
      <c r="L879" s="290">
        <v>16748.869335233408</v>
      </c>
      <c r="M879" s="288">
        <v>0</v>
      </c>
      <c r="N879" s="288">
        <v>21574.777767870943</v>
      </c>
      <c r="O879" s="288">
        <v>1041.4627987390011</v>
      </c>
      <c r="P879" s="288">
        <v>45635.996400556032</v>
      </c>
      <c r="Q879" s="291">
        <v>135698.70781576139</v>
      </c>
      <c r="R879" s="288">
        <v>20816.574828876906</v>
      </c>
      <c r="S879" s="288">
        <v>9764.2361664045548</v>
      </c>
      <c r="T879" s="290">
        <v>0.751</v>
      </c>
      <c r="U879" s="288">
        <v>0.75800000000000001</v>
      </c>
      <c r="V879" s="288">
        <v>0.723923076923077</v>
      </c>
      <c r="W879" s="288">
        <v>0.72750000000000004</v>
      </c>
      <c r="X879" s="288">
        <v>0.76</v>
      </c>
      <c r="Y879" s="288">
        <v>0</v>
      </c>
      <c r="Z879" s="289">
        <v>0</v>
      </c>
      <c r="AA879" s="229"/>
      <c r="AB879" s="293">
        <v>94369.37844719908</v>
      </c>
      <c r="AC879" s="294">
        <v>3.1908289832034189</v>
      </c>
      <c r="AD879" s="295">
        <v>83948.792393888129</v>
      </c>
      <c r="AE879" s="294">
        <v>3.2293971016107159</v>
      </c>
      <c r="AF879" s="295">
        <v>10420.586053310952</v>
      </c>
      <c r="AG879" s="296">
        <v>-3.8568118407297014E-2</v>
      </c>
      <c r="AH879" s="229"/>
      <c r="AI879" s="205">
        <f t="shared" si="96"/>
        <v>224713.51987314282</v>
      </c>
      <c r="AJ879" s="205">
        <f t="shared" si="97"/>
        <v>238990.91776718351</v>
      </c>
      <c r="AK879" s="205">
        <f t="shared" si="98"/>
        <v>-14277.397894040652</v>
      </c>
      <c r="AL879" s="229"/>
      <c r="AM879" s="52">
        <f t="shared" si="86"/>
        <v>0</v>
      </c>
      <c r="AN879" s="52">
        <f t="shared" si="87"/>
        <v>1</v>
      </c>
      <c r="AO879" s="52">
        <f t="shared" si="88"/>
        <v>0</v>
      </c>
      <c r="AP879" s="229"/>
      <c r="AQ879" s="28"/>
      <c r="AR879" s="28"/>
      <c r="AS879" s="28"/>
      <c r="AT879" s="28"/>
      <c r="AU879" s="229"/>
      <c r="AV879" s="318">
        <f t="shared" si="99"/>
        <v>238990.91776718351</v>
      </c>
      <c r="AW879" s="229"/>
      <c r="AX879" s="313"/>
      <c r="AY879" s="302"/>
      <c r="AZ879" s="14">
        <f t="shared" si="101"/>
        <v>10420.586053310952</v>
      </c>
      <c r="BA879" s="14">
        <f t="shared" si="100"/>
        <v>-3.8568118407297014E-2</v>
      </c>
      <c r="BB879" s="14">
        <f t="shared" si="89"/>
        <v>-270186.52927956672</v>
      </c>
      <c r="BC879" s="302"/>
      <c r="BD879" s="302"/>
      <c r="BE879" s="302"/>
      <c r="BF879" s="302"/>
      <c r="BG879" s="302"/>
      <c r="BH879" s="302"/>
      <c r="BI879" s="302"/>
      <c r="BJ879" s="302"/>
      <c r="BK879" s="302"/>
      <c r="BL879" s="302"/>
      <c r="BM879" s="302"/>
      <c r="BN879" s="302"/>
      <c r="BO879" s="302"/>
      <c r="BP879" s="302"/>
      <c r="BQ879" s="302"/>
      <c r="BR879" s="302"/>
      <c r="BS879" s="302"/>
      <c r="BT879" s="302"/>
      <c r="BU879" s="302"/>
      <c r="BV879" s="302"/>
      <c r="BW879" s="302"/>
      <c r="BX879" s="302"/>
      <c r="BY879" s="302"/>
      <c r="BZ879" s="302"/>
      <c r="CA879" s="302"/>
      <c r="CB879" s="28"/>
      <c r="CC879" s="28"/>
      <c r="CD879" s="28"/>
      <c r="CE879" s="28"/>
      <c r="CF879" s="28"/>
      <c r="CG879" s="28"/>
      <c r="CH879" s="28"/>
      <c r="CI879" s="28"/>
      <c r="CJ879" s="28"/>
      <c r="CK879" s="28"/>
      <c r="CL879" s="28"/>
      <c r="CM879" s="28"/>
      <c r="CN879" s="28"/>
      <c r="CO879" s="28"/>
      <c r="CP879" s="28"/>
      <c r="CQ879" s="28"/>
      <c r="CR879" s="28"/>
      <c r="CS879" s="28"/>
      <c r="CT879" s="28"/>
      <c r="CU879" s="28"/>
      <c r="CV879" s="28"/>
      <c r="CW879" s="28"/>
    </row>
    <row r="880" spans="1:101" ht="14.25" customHeight="1" x14ac:dyDescent="0.2">
      <c r="A880" s="286"/>
      <c r="B880" s="52">
        <v>0.20909990576241877</v>
      </c>
      <c r="C880" s="288">
        <v>0.48836882517720503</v>
      </c>
      <c r="D880" s="288">
        <v>1.1991849582492688E-2</v>
      </c>
      <c r="E880" s="288">
        <v>1.8656078273262877E-2</v>
      </c>
      <c r="F880" s="289">
        <v>0.78390656346665255</v>
      </c>
      <c r="G880" s="92">
        <v>0.38404438669497598</v>
      </c>
      <c r="H880" s="288">
        <v>0.96258882375063992</v>
      </c>
      <c r="I880" s="288">
        <v>5.1298159989569658E-2</v>
      </c>
      <c r="J880" s="288">
        <v>9.9787935358149299E-4</v>
      </c>
      <c r="K880" s="288">
        <v>0.80146551508549346</v>
      </c>
      <c r="L880" s="290">
        <v>13245.18352936261</v>
      </c>
      <c r="M880" s="288">
        <v>0</v>
      </c>
      <c r="N880" s="288">
        <v>14871.599535077308</v>
      </c>
      <c r="O880" s="288">
        <v>968.29216023136644</v>
      </c>
      <c r="P880" s="288">
        <v>37465.063197392163</v>
      </c>
      <c r="Q880" s="291">
        <v>97045.361354118068</v>
      </c>
      <c r="R880" s="288">
        <v>17215.880317599946</v>
      </c>
      <c r="S880" s="288">
        <v>7495.6731471317271</v>
      </c>
      <c r="T880" s="290">
        <v>0.751</v>
      </c>
      <c r="U880" s="288">
        <v>0.75800000000000001</v>
      </c>
      <c r="V880" s="288">
        <v>0.723923076923077</v>
      </c>
      <c r="W880" s="288">
        <v>0.72750000000000004</v>
      </c>
      <c r="X880" s="288">
        <v>0.76</v>
      </c>
      <c r="Y880" s="288">
        <v>0</v>
      </c>
      <c r="Z880" s="289">
        <v>0</v>
      </c>
      <c r="AA880" s="229"/>
      <c r="AB880" s="293">
        <v>73636.404942461886</v>
      </c>
      <c r="AC880" s="294">
        <v>3.1604928516941326</v>
      </c>
      <c r="AD880" s="295">
        <v>68392.52695605671</v>
      </c>
      <c r="AE880" s="294">
        <v>3.2471871687438512</v>
      </c>
      <c r="AF880" s="295">
        <v>5243.8779864051758</v>
      </c>
      <c r="AG880" s="296">
        <v>-8.6694317049718528E-2</v>
      </c>
      <c r="AH880" s="229"/>
      <c r="AI880" s="205">
        <f t="shared" si="96"/>
        <v>242412.88022695138</v>
      </c>
      <c r="AJ880" s="205">
        <f t="shared" si="97"/>
        <v>256326.18991832843</v>
      </c>
      <c r="AK880" s="205">
        <f t="shared" si="98"/>
        <v>-13913.309691377028</v>
      </c>
      <c r="AL880" s="229"/>
      <c r="AM880" s="52">
        <f t="shared" si="86"/>
        <v>0</v>
      </c>
      <c r="AN880" s="52">
        <f t="shared" si="87"/>
        <v>1</v>
      </c>
      <c r="AO880" s="52">
        <f t="shared" si="88"/>
        <v>0</v>
      </c>
      <c r="AP880" s="229"/>
      <c r="AQ880" s="28"/>
      <c r="AR880" s="28"/>
      <c r="AS880" s="28"/>
      <c r="AT880" s="28"/>
      <c r="AU880" s="229"/>
      <c r="AV880" s="318">
        <f t="shared" si="99"/>
        <v>256326.18991832843</v>
      </c>
      <c r="AW880" s="229"/>
      <c r="AX880" s="313"/>
      <c r="AY880" s="302"/>
      <c r="AZ880" s="14">
        <f t="shared" si="101"/>
        <v>5243.8779864051758</v>
      </c>
      <c r="BA880" s="14">
        <f t="shared" si="100"/>
        <v>-8.6694317049718528E-2</v>
      </c>
      <c r="BB880" s="14">
        <f t="shared" si="89"/>
        <v>-60486.986516057928</v>
      </c>
      <c r="BC880" s="302"/>
      <c r="BD880" s="302"/>
      <c r="BE880" s="302"/>
      <c r="BF880" s="302"/>
      <c r="BG880" s="302"/>
      <c r="BH880" s="302"/>
      <c r="BI880" s="302"/>
      <c r="BJ880" s="302"/>
      <c r="BK880" s="302"/>
      <c r="BL880" s="302"/>
      <c r="BM880" s="302"/>
      <c r="BN880" s="302"/>
      <c r="BO880" s="302"/>
      <c r="BP880" s="302"/>
      <c r="BQ880" s="302"/>
      <c r="BR880" s="302"/>
      <c r="BS880" s="302"/>
      <c r="BT880" s="302"/>
      <c r="BU880" s="302"/>
      <c r="BV880" s="302"/>
      <c r="BW880" s="302"/>
      <c r="BX880" s="302"/>
      <c r="BY880" s="302"/>
      <c r="BZ880" s="302"/>
      <c r="CA880" s="302"/>
      <c r="CB880" s="28"/>
      <c r="CC880" s="28"/>
      <c r="CD880" s="28"/>
      <c r="CE880" s="28"/>
      <c r="CF880" s="28"/>
      <c r="CG880" s="28"/>
      <c r="CH880" s="28"/>
      <c r="CI880" s="28"/>
      <c r="CJ880" s="28"/>
      <c r="CK880" s="28"/>
      <c r="CL880" s="28"/>
      <c r="CM880" s="28"/>
      <c r="CN880" s="28"/>
      <c r="CO880" s="28"/>
      <c r="CP880" s="28"/>
      <c r="CQ880" s="28"/>
      <c r="CR880" s="28"/>
      <c r="CS880" s="28"/>
      <c r="CT880" s="28"/>
      <c r="CU880" s="28"/>
      <c r="CV880" s="28"/>
      <c r="CW880" s="28"/>
    </row>
    <row r="881" spans="1:101" ht="14.25" customHeight="1" x14ac:dyDescent="0.2">
      <c r="A881" s="286"/>
      <c r="B881" s="52">
        <v>0.14925975582951473</v>
      </c>
      <c r="C881" s="288">
        <v>0.61167825369007556</v>
      </c>
      <c r="D881" s="288">
        <v>1.1770006986480728E-2</v>
      </c>
      <c r="E881" s="288">
        <v>1.9945372611999357E-2</v>
      </c>
      <c r="F881" s="289">
        <v>0.77935766500056269</v>
      </c>
      <c r="G881" s="92">
        <v>0.38465850870273038</v>
      </c>
      <c r="H881" s="288">
        <v>0.71531482883694886</v>
      </c>
      <c r="I881" s="288">
        <v>2.846173693916456E-3</v>
      </c>
      <c r="J881" s="288">
        <v>9.5360127594884103E-2</v>
      </c>
      <c r="K881" s="288">
        <v>0.76590948913490153</v>
      </c>
      <c r="L881" s="290">
        <v>12631.196414206877</v>
      </c>
      <c r="M881" s="288">
        <v>0</v>
      </c>
      <c r="N881" s="288">
        <v>18124.195017946611</v>
      </c>
      <c r="O881" s="288">
        <v>1226.7659505622896</v>
      </c>
      <c r="P881" s="288">
        <v>55657.766770851827</v>
      </c>
      <c r="Q881" s="291">
        <v>111931.57928388083</v>
      </c>
      <c r="R881" s="288">
        <v>18183.597347802763</v>
      </c>
      <c r="S881" s="288">
        <v>5406.493073878547</v>
      </c>
      <c r="T881" s="290">
        <v>0.751</v>
      </c>
      <c r="U881" s="288">
        <v>0.75800000000000001</v>
      </c>
      <c r="V881" s="288">
        <v>0.723923076923077</v>
      </c>
      <c r="W881" s="288">
        <v>0.72750000000000004</v>
      </c>
      <c r="X881" s="288">
        <v>0.76</v>
      </c>
      <c r="Y881" s="288">
        <v>0</v>
      </c>
      <c r="Z881" s="289">
        <v>0</v>
      </c>
      <c r="AA881" s="229"/>
      <c r="AB881" s="293">
        <v>56397.861794328594</v>
      </c>
      <c r="AC881" s="294">
        <v>3.1393726225818446</v>
      </c>
      <c r="AD881" s="295">
        <v>46894.334480101046</v>
      </c>
      <c r="AE881" s="294">
        <v>3.0816669577850542</v>
      </c>
      <c r="AF881" s="295">
        <v>9503.5273142275473</v>
      </c>
      <c r="AG881" s="296">
        <v>5.7705664796790401E-2</v>
      </c>
      <c r="AH881" s="229"/>
      <c r="AI881" s="205">
        <f t="shared" si="96"/>
        <v>257539.40046385583</v>
      </c>
      <c r="AJ881" s="205">
        <f t="shared" si="97"/>
        <v>261272.36129840437</v>
      </c>
      <c r="AK881" s="205">
        <f t="shared" si="98"/>
        <v>-3732.9608345485076</v>
      </c>
      <c r="AL881" s="229"/>
      <c r="AM881" s="52">
        <f t="shared" si="86"/>
        <v>0</v>
      </c>
      <c r="AN881" s="52">
        <f t="shared" si="87"/>
        <v>1</v>
      </c>
      <c r="AO881" s="52">
        <f t="shared" si="88"/>
        <v>0</v>
      </c>
      <c r="AP881" s="229"/>
      <c r="AQ881" s="28"/>
      <c r="AR881" s="28"/>
      <c r="AS881" s="28"/>
      <c r="AT881" s="28"/>
      <c r="AU881" s="229"/>
      <c r="AV881" s="318">
        <f t="shared" si="99"/>
        <v>261272.36129840437</v>
      </c>
      <c r="AW881" s="229"/>
      <c r="AX881" s="313"/>
      <c r="AY881" s="302"/>
      <c r="AZ881" s="14">
        <f t="shared" si="101"/>
        <v>9503.5273142275473</v>
      </c>
      <c r="BA881" s="14">
        <f t="shared" si="100"/>
        <v>5.7705664796790401E-2</v>
      </c>
      <c r="BB881" s="14">
        <f t="shared" si="89"/>
        <v>164689.67730800904</v>
      </c>
      <c r="BC881" s="302"/>
      <c r="BD881" s="302"/>
      <c r="BE881" s="302"/>
      <c r="BF881" s="302"/>
      <c r="BG881" s="302"/>
      <c r="BH881" s="302"/>
      <c r="BI881" s="302"/>
      <c r="BJ881" s="302"/>
      <c r="BK881" s="302"/>
      <c r="BL881" s="302"/>
      <c r="BM881" s="302"/>
      <c r="BN881" s="302"/>
      <c r="BO881" s="302"/>
      <c r="BP881" s="302"/>
      <c r="BQ881" s="302"/>
      <c r="BR881" s="302"/>
      <c r="BS881" s="302"/>
      <c r="BT881" s="302"/>
      <c r="BU881" s="302"/>
      <c r="BV881" s="302"/>
      <c r="BW881" s="302"/>
      <c r="BX881" s="302"/>
      <c r="BY881" s="302"/>
      <c r="BZ881" s="302"/>
      <c r="CA881" s="302"/>
      <c r="CB881" s="28"/>
      <c r="CC881" s="28"/>
      <c r="CD881" s="28"/>
      <c r="CE881" s="28"/>
      <c r="CF881" s="28"/>
      <c r="CG881" s="28"/>
      <c r="CH881" s="28"/>
      <c r="CI881" s="28"/>
      <c r="CJ881" s="28"/>
      <c r="CK881" s="28"/>
      <c r="CL881" s="28"/>
      <c r="CM881" s="28"/>
      <c r="CN881" s="28"/>
      <c r="CO881" s="28"/>
      <c r="CP881" s="28"/>
      <c r="CQ881" s="28"/>
      <c r="CR881" s="28"/>
      <c r="CS881" s="28"/>
      <c r="CT881" s="28"/>
      <c r="CU881" s="28"/>
      <c r="CV881" s="28"/>
      <c r="CW881" s="28"/>
    </row>
    <row r="882" spans="1:101" ht="14.25" customHeight="1" x14ac:dyDescent="0.2">
      <c r="A882" s="286"/>
      <c r="B882" s="52">
        <v>0.15561914224521473</v>
      </c>
      <c r="C882" s="288">
        <v>0.50545146790328443</v>
      </c>
      <c r="D882" s="288">
        <v>2.2881500761490647E-2</v>
      </c>
      <c r="E882" s="288">
        <v>1.8547623010016778E-2</v>
      </c>
      <c r="F882" s="289">
        <v>0.76143083924123744</v>
      </c>
      <c r="G882" s="92">
        <v>0.46986725541988017</v>
      </c>
      <c r="H882" s="288">
        <v>0.67103294303009986</v>
      </c>
      <c r="I882" s="288">
        <v>1.7917861738102392E-2</v>
      </c>
      <c r="J882" s="288">
        <v>0.99850911157433708</v>
      </c>
      <c r="K882" s="288">
        <v>0.74807335448676471</v>
      </c>
      <c r="L882" s="290">
        <v>11367.424492268132</v>
      </c>
      <c r="M882" s="288">
        <v>0</v>
      </c>
      <c r="N882" s="288">
        <v>17422.989837784291</v>
      </c>
      <c r="O882" s="288">
        <v>1403.4310373049129</v>
      </c>
      <c r="P882" s="288">
        <v>39446.060006739506</v>
      </c>
      <c r="Q882" s="291">
        <v>74604.901585807776</v>
      </c>
      <c r="R882" s="288">
        <v>23879.348997727269</v>
      </c>
      <c r="S882" s="288">
        <v>6750.0842917253794</v>
      </c>
      <c r="T882" s="290">
        <v>0.751</v>
      </c>
      <c r="U882" s="288">
        <v>0.75800000000000001</v>
      </c>
      <c r="V882" s="288">
        <v>0.723923076923077</v>
      </c>
      <c r="W882" s="288">
        <v>0.72750000000000004</v>
      </c>
      <c r="X882" s="288">
        <v>0.76</v>
      </c>
      <c r="Y882" s="288">
        <v>0</v>
      </c>
      <c r="Z882" s="289">
        <v>0</v>
      </c>
      <c r="AA882" s="229"/>
      <c r="AB882" s="293">
        <v>64628.533200985854</v>
      </c>
      <c r="AC882" s="294">
        <v>3.0564555670859908</v>
      </c>
      <c r="AD882" s="295">
        <v>59613.273671868577</v>
      </c>
      <c r="AE882" s="294">
        <v>2.9993868237568959</v>
      </c>
      <c r="AF882" s="295">
        <v>5015.2595291172765</v>
      </c>
      <c r="AG882" s="296">
        <v>5.706874332909484E-2</v>
      </c>
      <c r="AH882" s="229"/>
      <c r="AI882" s="205">
        <f t="shared" si="96"/>
        <v>241017.02350761322</v>
      </c>
      <c r="AJ882" s="205">
        <f t="shared" si="97"/>
        <v>240325.40870382104</v>
      </c>
      <c r="AK882" s="205">
        <f t="shared" si="98"/>
        <v>691.61480379220757</v>
      </c>
      <c r="AL882" s="229"/>
      <c r="AM882" s="52">
        <f t="shared" si="86"/>
        <v>1</v>
      </c>
      <c r="AN882" s="52">
        <f t="shared" si="87"/>
        <v>0</v>
      </c>
      <c r="AO882" s="52">
        <f t="shared" si="88"/>
        <v>1</v>
      </c>
      <c r="AP882" s="229"/>
      <c r="AQ882" s="28"/>
      <c r="AR882" s="28"/>
      <c r="AS882" s="28"/>
      <c r="AT882" s="28"/>
      <c r="AU882" s="229"/>
      <c r="AV882" s="318">
        <f t="shared" si="99"/>
        <v>241017.02350761322</v>
      </c>
      <c r="AW882" s="229"/>
      <c r="AX882" s="313"/>
      <c r="AY882" s="302"/>
      <c r="AZ882" s="14">
        <f t="shared" si="101"/>
        <v>5015.2595291172765</v>
      </c>
      <c r="BA882" s="14">
        <f t="shared" si="100"/>
        <v>5.706874332909484E-2</v>
      </c>
      <c r="BB882" s="14">
        <f t="shared" si="89"/>
        <v>87881.022720197041</v>
      </c>
      <c r="BC882" s="302"/>
      <c r="BD882" s="302"/>
      <c r="BE882" s="302"/>
      <c r="BF882" s="302"/>
      <c r="BG882" s="302"/>
      <c r="BH882" s="302"/>
      <c r="BI882" s="302"/>
      <c r="BJ882" s="302"/>
      <c r="BK882" s="302"/>
      <c r="BL882" s="302"/>
      <c r="BM882" s="302"/>
      <c r="BN882" s="302"/>
      <c r="BO882" s="302"/>
      <c r="BP882" s="302"/>
      <c r="BQ882" s="302"/>
      <c r="BR882" s="302"/>
      <c r="BS882" s="302"/>
      <c r="BT882" s="302"/>
      <c r="BU882" s="302"/>
      <c r="BV882" s="302"/>
      <c r="BW882" s="302"/>
      <c r="BX882" s="302"/>
      <c r="BY882" s="302"/>
      <c r="BZ882" s="302"/>
      <c r="CA882" s="302"/>
      <c r="CB882" s="28"/>
      <c r="CC882" s="28"/>
      <c r="CD882" s="28"/>
      <c r="CE882" s="28"/>
      <c r="CF882" s="28"/>
      <c r="CG882" s="28"/>
      <c r="CH882" s="28"/>
      <c r="CI882" s="28"/>
      <c r="CJ882" s="28"/>
      <c r="CK882" s="28"/>
      <c r="CL882" s="28"/>
      <c r="CM882" s="28"/>
      <c r="CN882" s="28"/>
      <c r="CO882" s="28"/>
      <c r="CP882" s="28"/>
      <c r="CQ882" s="28"/>
      <c r="CR882" s="28"/>
      <c r="CS882" s="28"/>
      <c r="CT882" s="28"/>
      <c r="CU882" s="28"/>
      <c r="CV882" s="28"/>
      <c r="CW882" s="28"/>
    </row>
    <row r="883" spans="1:101" ht="14.25" customHeight="1" x14ac:dyDescent="0.2">
      <c r="A883" s="286"/>
      <c r="B883" s="52">
        <v>0.15664947115729203</v>
      </c>
      <c r="C883" s="288">
        <v>0.42164175638384682</v>
      </c>
      <c r="D883" s="288">
        <v>1.0641738965101972E-2</v>
      </c>
      <c r="E883" s="288">
        <v>1.065673395891443E-2</v>
      </c>
      <c r="F883" s="289">
        <v>0.79474279935372705</v>
      </c>
      <c r="G883" s="92">
        <v>0.42648479540347095</v>
      </c>
      <c r="H883" s="288">
        <v>0.46165532297790224</v>
      </c>
      <c r="I883" s="288">
        <v>1.6294567962697681E-2</v>
      </c>
      <c r="J883" s="288">
        <v>0.57142211158445755</v>
      </c>
      <c r="K883" s="288">
        <v>0.74897165503016139</v>
      </c>
      <c r="L883" s="290">
        <v>12531.103283781755</v>
      </c>
      <c r="M883" s="288">
        <v>0</v>
      </c>
      <c r="N883" s="288">
        <v>16365.948827543509</v>
      </c>
      <c r="O883" s="288">
        <v>1545.3643552490519</v>
      </c>
      <c r="P883" s="288">
        <v>43169.919591584992</v>
      </c>
      <c r="Q883" s="291">
        <v>76693.934564636831</v>
      </c>
      <c r="R883" s="288">
        <v>30589.9553992084</v>
      </c>
      <c r="S883" s="288">
        <v>10615.288240714113</v>
      </c>
      <c r="T883" s="290">
        <v>0.751</v>
      </c>
      <c r="U883" s="288">
        <v>0.75800000000000001</v>
      </c>
      <c r="V883" s="288">
        <v>0.723923076923077</v>
      </c>
      <c r="W883" s="288">
        <v>0.72750000000000004</v>
      </c>
      <c r="X883" s="288">
        <v>0.76</v>
      </c>
      <c r="Y883" s="288">
        <v>0</v>
      </c>
      <c r="Z883" s="289">
        <v>0</v>
      </c>
      <c r="AA883" s="229"/>
      <c r="AB883" s="293">
        <v>98462.436729962355</v>
      </c>
      <c r="AC883" s="294">
        <v>3.2109355126293093</v>
      </c>
      <c r="AD883" s="295">
        <v>86722.052866093145</v>
      </c>
      <c r="AE883" s="294">
        <v>3.0035187956217211</v>
      </c>
      <c r="AF883" s="295">
        <v>11740.38386386921</v>
      </c>
      <c r="AG883" s="296">
        <v>0.20741671700758824</v>
      </c>
      <c r="AH883" s="229"/>
      <c r="AI883" s="205">
        <f t="shared" si="96"/>
        <v>222631.11453296855</v>
      </c>
      <c r="AJ883" s="205">
        <f t="shared" si="97"/>
        <v>213629.82669607896</v>
      </c>
      <c r="AK883" s="205">
        <f t="shared" si="98"/>
        <v>9001.2878368896127</v>
      </c>
      <c r="AL883" s="229"/>
      <c r="AM883" s="52">
        <f t="shared" si="86"/>
        <v>1</v>
      </c>
      <c r="AN883" s="52">
        <f t="shared" si="87"/>
        <v>0</v>
      </c>
      <c r="AO883" s="52">
        <f t="shared" si="88"/>
        <v>1</v>
      </c>
      <c r="AP883" s="229"/>
      <c r="AQ883" s="28"/>
      <c r="AR883" s="28"/>
      <c r="AS883" s="28"/>
      <c r="AT883" s="28"/>
      <c r="AU883" s="229"/>
      <c r="AV883" s="318">
        <f t="shared" si="99"/>
        <v>222631.11453296855</v>
      </c>
      <c r="AW883" s="229"/>
      <c r="AX883" s="313"/>
      <c r="AY883" s="302"/>
      <c r="AZ883" s="14">
        <f t="shared" si="101"/>
        <v>11740.38386386921</v>
      </c>
      <c r="BA883" s="14">
        <f t="shared" si="100"/>
        <v>0.20741671700758824</v>
      </c>
      <c r="BB883" s="14">
        <f t="shared" si="89"/>
        <v>56602.881548065838</v>
      </c>
      <c r="BC883" s="302"/>
      <c r="BD883" s="302"/>
      <c r="BE883" s="302"/>
      <c r="BF883" s="302"/>
      <c r="BG883" s="302"/>
      <c r="BH883" s="302"/>
      <c r="BI883" s="302"/>
      <c r="BJ883" s="302"/>
      <c r="BK883" s="302"/>
      <c r="BL883" s="302"/>
      <c r="BM883" s="302"/>
      <c r="BN883" s="302"/>
      <c r="BO883" s="302"/>
      <c r="BP883" s="302"/>
      <c r="BQ883" s="302"/>
      <c r="BR883" s="302"/>
      <c r="BS883" s="302"/>
      <c r="BT883" s="302"/>
      <c r="BU883" s="302"/>
      <c r="BV883" s="302"/>
      <c r="BW883" s="302"/>
      <c r="BX883" s="302"/>
      <c r="BY883" s="302"/>
      <c r="BZ883" s="302"/>
      <c r="CA883" s="302"/>
      <c r="CB883" s="28"/>
      <c r="CC883" s="28"/>
      <c r="CD883" s="28"/>
      <c r="CE883" s="28"/>
      <c r="CF883" s="28"/>
      <c r="CG883" s="28"/>
      <c r="CH883" s="28"/>
      <c r="CI883" s="28"/>
      <c r="CJ883" s="28"/>
      <c r="CK883" s="28"/>
      <c r="CL883" s="28"/>
      <c r="CM883" s="28"/>
      <c r="CN883" s="28"/>
      <c r="CO883" s="28"/>
      <c r="CP883" s="28"/>
      <c r="CQ883" s="28"/>
      <c r="CR883" s="28"/>
      <c r="CS883" s="28"/>
      <c r="CT883" s="28"/>
      <c r="CU883" s="28"/>
      <c r="CV883" s="28"/>
      <c r="CW883" s="28"/>
    </row>
    <row r="884" spans="1:101" ht="14.25" customHeight="1" x14ac:dyDescent="0.2">
      <c r="A884" s="286"/>
      <c r="B884" s="52">
        <v>0.18198362626522757</v>
      </c>
      <c r="C884" s="288">
        <v>0.29186717980999699</v>
      </c>
      <c r="D884" s="288">
        <v>2.030751152916499E-2</v>
      </c>
      <c r="E884" s="288">
        <v>1.3364160507887708E-2</v>
      </c>
      <c r="F884" s="289">
        <v>0.81868588474550297</v>
      </c>
      <c r="G884" s="92">
        <v>0.42800020124686577</v>
      </c>
      <c r="H884" s="288">
        <v>0.16307820941522885</v>
      </c>
      <c r="I884" s="288">
        <v>1.2704633691359492E-2</v>
      </c>
      <c r="J884" s="288">
        <v>5.9737807341480693E-3</v>
      </c>
      <c r="K884" s="288">
        <v>0.80444986536134178</v>
      </c>
      <c r="L884" s="290">
        <v>13121.049142185875</v>
      </c>
      <c r="M884" s="288">
        <v>0</v>
      </c>
      <c r="N884" s="288">
        <v>27163.1282604691</v>
      </c>
      <c r="O884" s="288">
        <v>1174.2845946172622</v>
      </c>
      <c r="P884" s="288">
        <v>33993.908283811565</v>
      </c>
      <c r="Q884" s="291">
        <v>134928.03903085281</v>
      </c>
      <c r="R884" s="288">
        <v>18971.707966977523</v>
      </c>
      <c r="S884" s="288">
        <v>11689.325749133763</v>
      </c>
      <c r="T884" s="290">
        <v>0.751</v>
      </c>
      <c r="U884" s="288">
        <v>0.75800000000000001</v>
      </c>
      <c r="V884" s="288">
        <v>0.723923076923077</v>
      </c>
      <c r="W884" s="288">
        <v>0.72750000000000004</v>
      </c>
      <c r="X884" s="288">
        <v>0.76</v>
      </c>
      <c r="Y884" s="288">
        <v>0</v>
      </c>
      <c r="Z884" s="289">
        <v>0</v>
      </c>
      <c r="AA884" s="229"/>
      <c r="AB884" s="293">
        <v>109607.84309740747</v>
      </c>
      <c r="AC884" s="294">
        <v>3.3230436013028939</v>
      </c>
      <c r="AD884" s="295">
        <v>96342.914052422915</v>
      </c>
      <c r="AE884" s="294">
        <v>3.261170547820802</v>
      </c>
      <c r="AF884" s="295">
        <v>13264.929044984558</v>
      </c>
      <c r="AG884" s="296">
        <v>6.1873053482091933E-2</v>
      </c>
      <c r="AH884" s="229"/>
      <c r="AI884" s="205">
        <f t="shared" si="96"/>
        <v>222696.51703288191</v>
      </c>
      <c r="AJ884" s="205">
        <f t="shared" si="97"/>
        <v>229774.14072965726</v>
      </c>
      <c r="AK884" s="205">
        <f t="shared" si="98"/>
        <v>-7077.6236967753639</v>
      </c>
      <c r="AL884" s="229"/>
      <c r="AM884" s="52">
        <f t="shared" si="86"/>
        <v>0</v>
      </c>
      <c r="AN884" s="52">
        <f t="shared" si="87"/>
        <v>1</v>
      </c>
      <c r="AO884" s="52">
        <f t="shared" si="88"/>
        <v>0</v>
      </c>
      <c r="AP884" s="229"/>
      <c r="AQ884" s="28"/>
      <c r="AR884" s="28"/>
      <c r="AS884" s="28"/>
      <c r="AT884" s="28"/>
      <c r="AU884" s="229"/>
      <c r="AV884" s="318">
        <f t="shared" si="99"/>
        <v>229774.14072965726</v>
      </c>
      <c r="AW884" s="229"/>
      <c r="AX884" s="313"/>
      <c r="AY884" s="302"/>
      <c r="AZ884" s="14">
        <f t="shared" si="101"/>
        <v>13264.929044984558</v>
      </c>
      <c r="BA884" s="14">
        <f t="shared" si="100"/>
        <v>6.1873053482091933E-2</v>
      </c>
      <c r="BB884" s="14">
        <f t="shared" si="89"/>
        <v>214389.43608664567</v>
      </c>
      <c r="BC884" s="302"/>
      <c r="BD884" s="302"/>
      <c r="BE884" s="302"/>
      <c r="BF884" s="302"/>
      <c r="BG884" s="302"/>
      <c r="BH884" s="302"/>
      <c r="BI884" s="302"/>
      <c r="BJ884" s="302"/>
      <c r="BK884" s="302"/>
      <c r="BL884" s="302"/>
      <c r="BM884" s="302"/>
      <c r="BN884" s="302"/>
      <c r="BO884" s="302"/>
      <c r="BP884" s="302"/>
      <c r="BQ884" s="302"/>
      <c r="BR884" s="302"/>
      <c r="BS884" s="302"/>
      <c r="BT884" s="302"/>
      <c r="BU884" s="302"/>
      <c r="BV884" s="302"/>
      <c r="BW884" s="302"/>
      <c r="BX884" s="302"/>
      <c r="BY884" s="302"/>
      <c r="BZ884" s="302"/>
      <c r="CA884" s="302"/>
      <c r="CB884" s="28"/>
      <c r="CC884" s="28"/>
      <c r="CD884" s="28"/>
      <c r="CE884" s="28"/>
      <c r="CF884" s="28"/>
      <c r="CG884" s="28"/>
      <c r="CH884" s="28"/>
      <c r="CI884" s="28"/>
      <c r="CJ884" s="28"/>
      <c r="CK884" s="28"/>
      <c r="CL884" s="28"/>
      <c r="CM884" s="28"/>
      <c r="CN884" s="28"/>
      <c r="CO884" s="28"/>
      <c r="CP884" s="28"/>
      <c r="CQ884" s="28"/>
      <c r="CR884" s="28"/>
      <c r="CS884" s="28"/>
      <c r="CT884" s="28"/>
      <c r="CU884" s="28"/>
      <c r="CV884" s="28"/>
      <c r="CW884" s="28"/>
    </row>
    <row r="885" spans="1:101" ht="14.25" customHeight="1" x14ac:dyDescent="0.2">
      <c r="A885" s="286"/>
      <c r="B885" s="52">
        <v>0.18703596259351396</v>
      </c>
      <c r="C885" s="288">
        <v>0.17850625232538417</v>
      </c>
      <c r="D885" s="288">
        <v>1.7845309464967762E-2</v>
      </c>
      <c r="E885" s="288">
        <v>3.2488221594417863E-3</v>
      </c>
      <c r="F885" s="289">
        <v>0.76878440270523418</v>
      </c>
      <c r="G885" s="92">
        <v>0.42825281567533391</v>
      </c>
      <c r="H885" s="288">
        <v>0.93846949614827313</v>
      </c>
      <c r="I885" s="288">
        <v>2.8434542094846083E-2</v>
      </c>
      <c r="J885" s="288">
        <v>0.99999743173192313</v>
      </c>
      <c r="K885" s="288">
        <v>0.7010955581311864</v>
      </c>
      <c r="L885" s="290">
        <v>12851.675318566751</v>
      </c>
      <c r="M885" s="288">
        <v>0</v>
      </c>
      <c r="N885" s="288">
        <v>18079.713885392048</v>
      </c>
      <c r="O885" s="288">
        <v>985.54151648836228</v>
      </c>
      <c r="P885" s="288">
        <v>47602.51762158209</v>
      </c>
      <c r="Q885" s="291">
        <v>120042.13647873298</v>
      </c>
      <c r="R885" s="288">
        <v>26838.001300127784</v>
      </c>
      <c r="S885" s="288">
        <v>8039.0956143387712</v>
      </c>
      <c r="T885" s="290">
        <v>0.751</v>
      </c>
      <c r="U885" s="288">
        <v>0.75800000000000001</v>
      </c>
      <c r="V885" s="288">
        <v>0.723923076923077</v>
      </c>
      <c r="W885" s="288">
        <v>0.72750000000000004</v>
      </c>
      <c r="X885" s="288">
        <v>0.76</v>
      </c>
      <c r="Y885" s="288">
        <v>0</v>
      </c>
      <c r="Z885" s="289">
        <v>0</v>
      </c>
      <c r="AA885" s="229"/>
      <c r="AB885" s="293">
        <v>75532.834694016463</v>
      </c>
      <c r="AC885" s="294">
        <v>3.0904070722616122</v>
      </c>
      <c r="AD885" s="295">
        <v>69422.907570934098</v>
      </c>
      <c r="AE885" s="294">
        <v>2.7850725585433045</v>
      </c>
      <c r="AF885" s="295">
        <v>6109.9271230823651</v>
      </c>
      <c r="AG885" s="296">
        <v>0.30533451371830767</v>
      </c>
      <c r="AH885" s="229"/>
      <c r="AI885" s="205">
        <f t="shared" si="96"/>
        <v>233507.87253214474</v>
      </c>
      <c r="AJ885" s="205">
        <f t="shared" si="97"/>
        <v>209084.34828339634</v>
      </c>
      <c r="AK885" s="205">
        <f t="shared" si="98"/>
        <v>24423.524248748403</v>
      </c>
      <c r="AL885" s="229"/>
      <c r="AM885" s="52">
        <f t="shared" si="86"/>
        <v>1</v>
      </c>
      <c r="AN885" s="52">
        <f t="shared" si="87"/>
        <v>0</v>
      </c>
      <c r="AO885" s="52">
        <f t="shared" si="88"/>
        <v>1</v>
      </c>
      <c r="AP885" s="229"/>
      <c r="AQ885" s="28"/>
      <c r="AR885" s="28"/>
      <c r="AS885" s="28"/>
      <c r="AT885" s="28"/>
      <c r="AU885" s="229"/>
      <c r="AV885" s="318">
        <f t="shared" si="99"/>
        <v>233507.87253214474</v>
      </c>
      <c r="AW885" s="229"/>
      <c r="AX885" s="313"/>
      <c r="AY885" s="302"/>
      <c r="AZ885" s="14">
        <f t="shared" si="101"/>
        <v>6109.9271230823651</v>
      </c>
      <c r="BA885" s="14">
        <f t="shared" si="100"/>
        <v>0.30533451371830767</v>
      </c>
      <c r="BB885" s="14">
        <f t="shared" si="89"/>
        <v>20010.600991931093</v>
      </c>
      <c r="BC885" s="302"/>
      <c r="BD885" s="302"/>
      <c r="BE885" s="302"/>
      <c r="BF885" s="302"/>
      <c r="BG885" s="302"/>
      <c r="BH885" s="302"/>
      <c r="BI885" s="302"/>
      <c r="BJ885" s="302"/>
      <c r="BK885" s="302"/>
      <c r="BL885" s="302"/>
      <c r="BM885" s="302"/>
      <c r="BN885" s="302"/>
      <c r="BO885" s="302"/>
      <c r="BP885" s="302"/>
      <c r="BQ885" s="302"/>
      <c r="BR885" s="302"/>
      <c r="BS885" s="302"/>
      <c r="BT885" s="302"/>
      <c r="BU885" s="302"/>
      <c r="BV885" s="302"/>
      <c r="BW885" s="302"/>
      <c r="BX885" s="302"/>
      <c r="BY885" s="302"/>
      <c r="BZ885" s="302"/>
      <c r="CA885" s="302"/>
      <c r="CB885" s="28"/>
      <c r="CC885" s="28"/>
      <c r="CD885" s="28"/>
      <c r="CE885" s="28"/>
      <c r="CF885" s="28"/>
      <c r="CG885" s="28"/>
      <c r="CH885" s="28"/>
      <c r="CI885" s="28"/>
      <c r="CJ885" s="28"/>
      <c r="CK885" s="28"/>
      <c r="CL885" s="28"/>
      <c r="CM885" s="28"/>
      <c r="CN885" s="28"/>
      <c r="CO885" s="28"/>
      <c r="CP885" s="28"/>
      <c r="CQ885" s="28"/>
      <c r="CR885" s="28"/>
      <c r="CS885" s="28"/>
      <c r="CT885" s="28"/>
      <c r="CU885" s="28"/>
      <c r="CV885" s="28"/>
      <c r="CW885" s="28"/>
    </row>
    <row r="886" spans="1:101" ht="14.25" customHeight="1" x14ac:dyDescent="0.2">
      <c r="A886" s="286"/>
      <c r="B886" s="52">
        <v>0.14943472027264812</v>
      </c>
      <c r="C886" s="288">
        <v>0.6906276369881843</v>
      </c>
      <c r="D886" s="288">
        <v>1.5702027194766877E-2</v>
      </c>
      <c r="E886" s="288">
        <v>1.583131520270864E-2</v>
      </c>
      <c r="F886" s="289">
        <v>0.80570172992544276</v>
      </c>
      <c r="G886" s="92">
        <v>0.37455513259071938</v>
      </c>
      <c r="H886" s="288">
        <v>0.70748378592753003</v>
      </c>
      <c r="I886" s="288">
        <v>1.0240099377059497E-2</v>
      </c>
      <c r="J886" s="288">
        <v>0.99254057741314672</v>
      </c>
      <c r="K886" s="288">
        <v>0.7873400884314754</v>
      </c>
      <c r="L886" s="290">
        <v>12146.475711690553</v>
      </c>
      <c r="M886" s="288">
        <v>0</v>
      </c>
      <c r="N886" s="288">
        <v>23882.014257245533</v>
      </c>
      <c r="O886" s="288">
        <v>1225.0608819959011</v>
      </c>
      <c r="P886" s="288">
        <v>34262.658360928581</v>
      </c>
      <c r="Q886" s="291">
        <v>69674.428989267006</v>
      </c>
      <c r="R886" s="288">
        <v>26180.2550131846</v>
      </c>
      <c r="S886" s="288">
        <v>11527.291412507133</v>
      </c>
      <c r="T886" s="290">
        <v>0.751</v>
      </c>
      <c r="U886" s="288">
        <v>0.75800000000000001</v>
      </c>
      <c r="V886" s="288">
        <v>0.723923076923077</v>
      </c>
      <c r="W886" s="288">
        <v>0.72750000000000004</v>
      </c>
      <c r="X886" s="288">
        <v>0.76</v>
      </c>
      <c r="Y886" s="288">
        <v>0</v>
      </c>
      <c r="Z886" s="289">
        <v>0</v>
      </c>
      <c r="AA886" s="229"/>
      <c r="AB886" s="293">
        <v>107165.14752913584</v>
      </c>
      <c r="AC886" s="294">
        <v>3.2621366365859412</v>
      </c>
      <c r="AD886" s="295">
        <v>98384.023693599622</v>
      </c>
      <c r="AE886" s="294">
        <v>3.1811919841241898</v>
      </c>
      <c r="AF886" s="295">
        <v>8781.1238355362148</v>
      </c>
      <c r="AG886" s="296">
        <v>8.0944652461751421E-2</v>
      </c>
      <c r="AH886" s="229"/>
      <c r="AI886" s="205">
        <f t="shared" si="96"/>
        <v>219048.51612945829</v>
      </c>
      <c r="AJ886" s="205">
        <f t="shared" si="97"/>
        <v>219735.17471881938</v>
      </c>
      <c r="AK886" s="205">
        <f t="shared" si="98"/>
        <v>-686.6585893610727</v>
      </c>
      <c r="AL886" s="229"/>
      <c r="AM886" s="52">
        <f t="shared" si="86"/>
        <v>0</v>
      </c>
      <c r="AN886" s="52">
        <f t="shared" si="87"/>
        <v>1</v>
      </c>
      <c r="AO886" s="52">
        <f t="shared" si="88"/>
        <v>0</v>
      </c>
      <c r="AP886" s="229"/>
      <c r="AQ886" s="28"/>
      <c r="AR886" s="28"/>
      <c r="AS886" s="28"/>
      <c r="AT886" s="28"/>
      <c r="AU886" s="229"/>
      <c r="AV886" s="318">
        <f t="shared" si="99"/>
        <v>219735.17471881938</v>
      </c>
      <c r="AW886" s="229"/>
      <c r="AX886" s="313"/>
      <c r="AY886" s="302"/>
      <c r="AZ886" s="14">
        <f t="shared" si="101"/>
        <v>8781.1238355362148</v>
      </c>
      <c r="BA886" s="14">
        <f t="shared" si="100"/>
        <v>8.0944652461751421E-2</v>
      </c>
      <c r="BB886" s="14">
        <f t="shared" si="89"/>
        <v>108483.06303724681</v>
      </c>
      <c r="BC886" s="302"/>
      <c r="BD886" s="302"/>
      <c r="BE886" s="302"/>
      <c r="BF886" s="302"/>
      <c r="BG886" s="302"/>
      <c r="BH886" s="302"/>
      <c r="BI886" s="302"/>
      <c r="BJ886" s="302"/>
      <c r="BK886" s="302"/>
      <c r="BL886" s="302"/>
      <c r="BM886" s="302"/>
      <c r="BN886" s="302"/>
      <c r="BO886" s="302"/>
      <c r="BP886" s="302"/>
      <c r="BQ886" s="302"/>
      <c r="BR886" s="302"/>
      <c r="BS886" s="302"/>
      <c r="BT886" s="302"/>
      <c r="BU886" s="302"/>
      <c r="BV886" s="302"/>
      <c r="BW886" s="302"/>
      <c r="BX886" s="302"/>
      <c r="BY886" s="302"/>
      <c r="BZ886" s="302"/>
      <c r="CA886" s="302"/>
      <c r="CB886" s="28"/>
      <c r="CC886" s="28"/>
      <c r="CD886" s="28"/>
      <c r="CE886" s="28"/>
      <c r="CF886" s="28"/>
      <c r="CG886" s="28"/>
      <c r="CH886" s="28"/>
      <c r="CI886" s="28"/>
      <c r="CJ886" s="28"/>
      <c r="CK886" s="28"/>
      <c r="CL886" s="28"/>
      <c r="CM886" s="28"/>
      <c r="CN886" s="28"/>
      <c r="CO886" s="28"/>
      <c r="CP886" s="28"/>
      <c r="CQ886" s="28"/>
      <c r="CR886" s="28"/>
      <c r="CS886" s="28"/>
      <c r="CT886" s="28"/>
      <c r="CU886" s="28"/>
      <c r="CV886" s="28"/>
      <c r="CW886" s="28"/>
    </row>
    <row r="887" spans="1:101" ht="14.25" customHeight="1" x14ac:dyDescent="0.2">
      <c r="A887" s="286"/>
      <c r="B887" s="52">
        <v>0.19389002468929761</v>
      </c>
      <c r="C887" s="288">
        <v>0.40761091467968136</v>
      </c>
      <c r="D887" s="288">
        <v>1.3637307510336569E-2</v>
      </c>
      <c r="E887" s="288">
        <v>1.3185752936169741E-2</v>
      </c>
      <c r="F887" s="289">
        <v>0.79672922413250946</v>
      </c>
      <c r="G887" s="92">
        <v>0.39127033066149902</v>
      </c>
      <c r="H887" s="288">
        <v>0.5348767975137787</v>
      </c>
      <c r="I887" s="288">
        <v>1.5394411803369189E-2</v>
      </c>
      <c r="J887" s="288">
        <v>0.99787954903480036</v>
      </c>
      <c r="K887" s="288">
        <v>0.75962234597157008</v>
      </c>
      <c r="L887" s="290">
        <v>6867.3713250054634</v>
      </c>
      <c r="M887" s="288">
        <v>0</v>
      </c>
      <c r="N887" s="288">
        <v>19871.676483285442</v>
      </c>
      <c r="O887" s="288">
        <v>678.57621543794085</v>
      </c>
      <c r="P887" s="288">
        <v>31797.094931118583</v>
      </c>
      <c r="Q887" s="291">
        <v>103513.02106281863</v>
      </c>
      <c r="R887" s="288">
        <v>21056.485072865842</v>
      </c>
      <c r="S887" s="288">
        <v>7458.0788962425877</v>
      </c>
      <c r="T887" s="290">
        <v>0.751</v>
      </c>
      <c r="U887" s="288">
        <v>0.75800000000000001</v>
      </c>
      <c r="V887" s="288">
        <v>0.723923076923077</v>
      </c>
      <c r="W887" s="288">
        <v>0.72750000000000004</v>
      </c>
      <c r="X887" s="288">
        <v>0.76</v>
      </c>
      <c r="Y887" s="288">
        <v>0</v>
      </c>
      <c r="Z887" s="289">
        <v>0</v>
      </c>
      <c r="AA887" s="229"/>
      <c r="AB887" s="293">
        <v>67778.643054670523</v>
      </c>
      <c r="AC887" s="294">
        <v>3.2202022926648741</v>
      </c>
      <c r="AD887" s="295">
        <v>62082.180644000618</v>
      </c>
      <c r="AE887" s="294">
        <v>3.0526064196728684</v>
      </c>
      <c r="AF887" s="295">
        <v>5696.4624106699048</v>
      </c>
      <c r="AG887" s="296">
        <v>0.16759587299200573</v>
      </c>
      <c r="AH887" s="229"/>
      <c r="AI887" s="205">
        <f t="shared" si="96"/>
        <v>254241.58621181687</v>
      </c>
      <c r="AJ887" s="205">
        <f t="shared" si="97"/>
        <v>243178.4613232862</v>
      </c>
      <c r="AK887" s="205">
        <f t="shared" si="98"/>
        <v>11063.12488853067</v>
      </c>
      <c r="AL887" s="229"/>
      <c r="AM887" s="52">
        <f t="shared" si="86"/>
        <v>1</v>
      </c>
      <c r="AN887" s="52">
        <f t="shared" si="87"/>
        <v>0</v>
      </c>
      <c r="AO887" s="52">
        <f t="shared" si="88"/>
        <v>1</v>
      </c>
      <c r="AP887" s="229"/>
      <c r="AQ887" s="28"/>
      <c r="AR887" s="28"/>
      <c r="AS887" s="28"/>
      <c r="AT887" s="28"/>
      <c r="AU887" s="229"/>
      <c r="AV887" s="318">
        <f t="shared" si="99"/>
        <v>254241.58621181687</v>
      </c>
      <c r="AW887" s="229"/>
      <c r="AX887" s="313"/>
      <c r="AY887" s="302"/>
      <c r="AZ887" s="14">
        <f t="shared" si="101"/>
        <v>5696.4624106699048</v>
      </c>
      <c r="BA887" s="14">
        <f t="shared" si="100"/>
        <v>0.16759587299200573</v>
      </c>
      <c r="BB887" s="14">
        <f t="shared" si="89"/>
        <v>33989.27616160109</v>
      </c>
      <c r="BC887" s="302"/>
      <c r="BD887" s="302"/>
      <c r="BE887" s="302"/>
      <c r="BF887" s="302"/>
      <c r="BG887" s="302"/>
      <c r="BH887" s="302"/>
      <c r="BI887" s="302"/>
      <c r="BJ887" s="302"/>
      <c r="BK887" s="302"/>
      <c r="BL887" s="302"/>
      <c r="BM887" s="302"/>
      <c r="BN887" s="302"/>
      <c r="BO887" s="302"/>
      <c r="BP887" s="302"/>
      <c r="BQ887" s="302"/>
      <c r="BR887" s="302"/>
      <c r="BS887" s="302"/>
      <c r="BT887" s="302"/>
      <c r="BU887" s="302"/>
      <c r="BV887" s="302"/>
      <c r="BW887" s="302"/>
      <c r="BX887" s="302"/>
      <c r="BY887" s="302"/>
      <c r="BZ887" s="302"/>
      <c r="CA887" s="302"/>
      <c r="CB887" s="28"/>
      <c r="CC887" s="28"/>
      <c r="CD887" s="28"/>
      <c r="CE887" s="28"/>
      <c r="CF887" s="28"/>
      <c r="CG887" s="28"/>
      <c r="CH887" s="28"/>
      <c r="CI887" s="28"/>
      <c r="CJ887" s="28"/>
      <c r="CK887" s="28"/>
      <c r="CL887" s="28"/>
      <c r="CM887" s="28"/>
      <c r="CN887" s="28"/>
      <c r="CO887" s="28"/>
      <c r="CP887" s="28"/>
      <c r="CQ887" s="28"/>
      <c r="CR887" s="28"/>
      <c r="CS887" s="28"/>
      <c r="CT887" s="28"/>
      <c r="CU887" s="28"/>
      <c r="CV887" s="28"/>
      <c r="CW887" s="28"/>
    </row>
    <row r="888" spans="1:101" ht="14.25" customHeight="1" x14ac:dyDescent="0.2">
      <c r="A888" s="286"/>
      <c r="B888" s="52">
        <v>0.20873227829229679</v>
      </c>
      <c r="C888" s="288">
        <v>0.34685028108786264</v>
      </c>
      <c r="D888" s="288">
        <v>1.5900264192202918E-2</v>
      </c>
      <c r="E888" s="288">
        <v>7.7899022279330132E-3</v>
      </c>
      <c r="F888" s="289">
        <v>0.76068522582926879</v>
      </c>
      <c r="G888" s="92">
        <v>0.42498381182767553</v>
      </c>
      <c r="H888" s="288">
        <v>5.0132993918787769E-2</v>
      </c>
      <c r="I888" s="288">
        <v>2.9752313965427102E-2</v>
      </c>
      <c r="J888" s="288">
        <v>0.99999999999999323</v>
      </c>
      <c r="K888" s="288">
        <v>0.72801864676776373</v>
      </c>
      <c r="L888" s="290">
        <v>10605.049486352344</v>
      </c>
      <c r="M888" s="288">
        <v>0</v>
      </c>
      <c r="N888" s="288">
        <v>12480.439212573014</v>
      </c>
      <c r="O888" s="288">
        <v>1235.5703686245145</v>
      </c>
      <c r="P888" s="288">
        <v>46138.179999988242</v>
      </c>
      <c r="Q888" s="291">
        <v>107919.94429110351</v>
      </c>
      <c r="R888" s="288">
        <v>27609.190506037557</v>
      </c>
      <c r="S888" s="288">
        <v>7863.0581642174302</v>
      </c>
      <c r="T888" s="290">
        <v>0.751</v>
      </c>
      <c r="U888" s="288">
        <v>0.75800000000000001</v>
      </c>
      <c r="V888" s="288">
        <v>0.723923076923077</v>
      </c>
      <c r="W888" s="288">
        <v>0.72750000000000004</v>
      </c>
      <c r="X888" s="288">
        <v>0.76</v>
      </c>
      <c r="Y888" s="288">
        <v>0</v>
      </c>
      <c r="Z888" s="289">
        <v>0</v>
      </c>
      <c r="AA888" s="229"/>
      <c r="AB888" s="293">
        <v>72450.179257955751</v>
      </c>
      <c r="AC888" s="294">
        <v>3.0530177955254563</v>
      </c>
      <c r="AD888" s="295">
        <v>60404.308469278229</v>
      </c>
      <c r="AE888" s="294">
        <v>2.9074710459196096</v>
      </c>
      <c r="AF888" s="295">
        <v>12045.870788677523</v>
      </c>
      <c r="AG888" s="296">
        <v>0.14554674960584668</v>
      </c>
      <c r="AH888" s="229"/>
      <c r="AI888" s="205">
        <f t="shared" si="96"/>
        <v>232851.60029458988</v>
      </c>
      <c r="AJ888" s="205">
        <f t="shared" si="97"/>
        <v>230342.79612268275</v>
      </c>
      <c r="AK888" s="205">
        <f t="shared" si="98"/>
        <v>2508.8041719071462</v>
      </c>
      <c r="AL888" s="229"/>
      <c r="AM888" s="52">
        <f t="shared" si="86"/>
        <v>1</v>
      </c>
      <c r="AN888" s="52">
        <f t="shared" si="87"/>
        <v>0</v>
      </c>
      <c r="AO888" s="52">
        <f t="shared" si="88"/>
        <v>1</v>
      </c>
      <c r="AP888" s="229"/>
      <c r="AQ888" s="28"/>
      <c r="AR888" s="28"/>
      <c r="AS888" s="28"/>
      <c r="AT888" s="28"/>
      <c r="AU888" s="229"/>
      <c r="AV888" s="318">
        <f t="shared" si="99"/>
        <v>232851.60029458988</v>
      </c>
      <c r="AW888" s="229"/>
      <c r="AX888" s="313"/>
      <c r="AY888" s="302"/>
      <c r="AZ888" s="14">
        <f t="shared" si="101"/>
        <v>12045.870788677523</v>
      </c>
      <c r="BA888" s="14">
        <f t="shared" si="100"/>
        <v>0.14554674960584668</v>
      </c>
      <c r="BB888" s="14">
        <f t="shared" si="89"/>
        <v>82762.897978132751</v>
      </c>
      <c r="BC888" s="302"/>
      <c r="BD888" s="302"/>
      <c r="BE888" s="302"/>
      <c r="BF888" s="302"/>
      <c r="BG888" s="302"/>
      <c r="BH888" s="302"/>
      <c r="BI888" s="302"/>
      <c r="BJ888" s="302"/>
      <c r="BK888" s="302"/>
      <c r="BL888" s="302"/>
      <c r="BM888" s="302"/>
      <c r="BN888" s="302"/>
      <c r="BO888" s="302"/>
      <c r="BP888" s="302"/>
      <c r="BQ888" s="302"/>
      <c r="BR888" s="302"/>
      <c r="BS888" s="302"/>
      <c r="BT888" s="302"/>
      <c r="BU888" s="302"/>
      <c r="BV888" s="302"/>
      <c r="BW888" s="302"/>
      <c r="BX888" s="302"/>
      <c r="BY888" s="302"/>
      <c r="BZ888" s="302"/>
      <c r="CA888" s="302"/>
      <c r="CB888" s="28"/>
      <c r="CC888" s="28"/>
      <c r="CD888" s="28"/>
      <c r="CE888" s="28"/>
      <c r="CF888" s="28"/>
      <c r="CG888" s="28"/>
      <c r="CH888" s="28"/>
      <c r="CI888" s="28"/>
      <c r="CJ888" s="28"/>
      <c r="CK888" s="28"/>
      <c r="CL888" s="28"/>
      <c r="CM888" s="28"/>
      <c r="CN888" s="28"/>
      <c r="CO888" s="28"/>
      <c r="CP888" s="28"/>
      <c r="CQ888" s="28"/>
      <c r="CR888" s="28"/>
      <c r="CS888" s="28"/>
      <c r="CT888" s="28"/>
      <c r="CU888" s="28"/>
      <c r="CV888" s="28"/>
      <c r="CW888" s="28"/>
    </row>
    <row r="889" spans="1:101" ht="14.25" customHeight="1" x14ac:dyDescent="0.2">
      <c r="A889" s="286"/>
      <c r="B889" s="52">
        <v>0.18409793440571287</v>
      </c>
      <c r="C889" s="288">
        <v>0.30997311092228119</v>
      </c>
      <c r="D889" s="288">
        <v>1.0734592366278474E-2</v>
      </c>
      <c r="E889" s="288">
        <v>1.1826373038289744E-2</v>
      </c>
      <c r="F889" s="289">
        <v>0.74237902903374042</v>
      </c>
      <c r="G889" s="92">
        <v>0.36670390210443898</v>
      </c>
      <c r="H889" s="288">
        <v>0.93206478685564897</v>
      </c>
      <c r="I889" s="288">
        <v>1.0609992236104345E-2</v>
      </c>
      <c r="J889" s="288">
        <v>1</v>
      </c>
      <c r="K889" s="288">
        <v>0.73788852764949564</v>
      </c>
      <c r="L889" s="290">
        <v>13795.572293637299</v>
      </c>
      <c r="M889" s="288">
        <v>0</v>
      </c>
      <c r="N889" s="288">
        <v>17010.373785167954</v>
      </c>
      <c r="O889" s="288">
        <v>1152.646571464282</v>
      </c>
      <c r="P889" s="288">
        <v>42907.953223521174</v>
      </c>
      <c r="Q889" s="291">
        <v>95044.621602752712</v>
      </c>
      <c r="R889" s="288">
        <v>23377.041932528111</v>
      </c>
      <c r="S889" s="288">
        <v>10155.338112133481</v>
      </c>
      <c r="T889" s="290">
        <v>0.751</v>
      </c>
      <c r="U889" s="288">
        <v>0.75800000000000001</v>
      </c>
      <c r="V889" s="288">
        <v>0.723923076923077</v>
      </c>
      <c r="W889" s="288">
        <v>0.72750000000000004</v>
      </c>
      <c r="X889" s="288">
        <v>0.76</v>
      </c>
      <c r="Y889" s="288">
        <v>0</v>
      </c>
      <c r="Z889" s="289">
        <v>0</v>
      </c>
      <c r="AA889" s="229"/>
      <c r="AB889" s="293">
        <v>90185.443158768408</v>
      </c>
      <c r="AC889" s="294">
        <v>2.9688876261565782</v>
      </c>
      <c r="AD889" s="295">
        <v>83680.943039040751</v>
      </c>
      <c r="AE889" s="294">
        <v>2.9526279717979458</v>
      </c>
      <c r="AF889" s="295">
        <v>6504.5001197276579</v>
      </c>
      <c r="AG889" s="296">
        <v>1.6259654358632414E-2</v>
      </c>
      <c r="AH889" s="229"/>
      <c r="AI889" s="205">
        <f t="shared" si="96"/>
        <v>206703.31945688941</v>
      </c>
      <c r="AJ889" s="205">
        <f t="shared" si="97"/>
        <v>211581.85414075383</v>
      </c>
      <c r="AK889" s="205">
        <f t="shared" si="98"/>
        <v>-4878.5346838644164</v>
      </c>
      <c r="AL889" s="229"/>
      <c r="AM889" s="52">
        <f t="shared" si="86"/>
        <v>0</v>
      </c>
      <c r="AN889" s="52">
        <f t="shared" si="87"/>
        <v>1</v>
      </c>
      <c r="AO889" s="52">
        <f t="shared" si="88"/>
        <v>0</v>
      </c>
      <c r="AP889" s="229"/>
      <c r="AQ889" s="28"/>
      <c r="AR889" s="28"/>
      <c r="AS889" s="28"/>
      <c r="AT889" s="28"/>
      <c r="AU889" s="229"/>
      <c r="AV889" s="318">
        <f t="shared" si="99"/>
        <v>211581.85414075383</v>
      </c>
      <c r="AW889" s="229"/>
      <c r="AX889" s="313"/>
      <c r="AY889" s="302"/>
      <c r="AZ889" s="14">
        <f t="shared" si="101"/>
        <v>6504.5001197276579</v>
      </c>
      <c r="BA889" s="14">
        <f t="shared" si="100"/>
        <v>1.6259654358632414E-2</v>
      </c>
      <c r="BB889" s="14">
        <f t="shared" si="89"/>
        <v>400039.26136808394</v>
      </c>
      <c r="BC889" s="302"/>
      <c r="BD889" s="302"/>
      <c r="BE889" s="302"/>
      <c r="BF889" s="302"/>
      <c r="BG889" s="302"/>
      <c r="BH889" s="302"/>
      <c r="BI889" s="302"/>
      <c r="BJ889" s="302"/>
      <c r="BK889" s="302"/>
      <c r="BL889" s="302"/>
      <c r="BM889" s="302"/>
      <c r="BN889" s="302"/>
      <c r="BO889" s="302"/>
      <c r="BP889" s="302"/>
      <c r="BQ889" s="302"/>
      <c r="BR889" s="302"/>
      <c r="BS889" s="302"/>
      <c r="BT889" s="302"/>
      <c r="BU889" s="302"/>
      <c r="BV889" s="302"/>
      <c r="BW889" s="302"/>
      <c r="BX889" s="302"/>
      <c r="BY889" s="302"/>
      <c r="BZ889" s="302"/>
      <c r="CA889" s="302"/>
      <c r="CB889" s="28"/>
      <c r="CC889" s="28"/>
      <c r="CD889" s="28"/>
      <c r="CE889" s="28"/>
      <c r="CF889" s="28"/>
      <c r="CG889" s="28"/>
      <c r="CH889" s="28"/>
      <c r="CI889" s="28"/>
      <c r="CJ889" s="28"/>
      <c r="CK889" s="28"/>
      <c r="CL889" s="28"/>
      <c r="CM889" s="28"/>
      <c r="CN889" s="28"/>
      <c r="CO889" s="28"/>
      <c r="CP889" s="28"/>
      <c r="CQ889" s="28"/>
      <c r="CR889" s="28"/>
      <c r="CS889" s="28"/>
      <c r="CT889" s="28"/>
      <c r="CU889" s="28"/>
      <c r="CV889" s="28"/>
      <c r="CW889" s="28"/>
    </row>
    <row r="890" spans="1:101" ht="14.25" customHeight="1" x14ac:dyDescent="0.2">
      <c r="A890" s="286"/>
      <c r="B890" s="52">
        <v>0.18597471777920271</v>
      </c>
      <c r="C890" s="288">
        <v>0.29467878090061861</v>
      </c>
      <c r="D890" s="288">
        <v>1.6295567955547874E-2</v>
      </c>
      <c r="E890" s="288">
        <v>1.6797301763950556E-2</v>
      </c>
      <c r="F890" s="289">
        <v>0.75346473843673323</v>
      </c>
      <c r="G890" s="92">
        <v>0.36949609685123486</v>
      </c>
      <c r="H890" s="288">
        <v>0.78248249754852983</v>
      </c>
      <c r="I890" s="288">
        <v>3.4029911803973634E-2</v>
      </c>
      <c r="J890" s="288">
        <v>0.9948589694434985</v>
      </c>
      <c r="K890" s="288">
        <v>0.80626820350602169</v>
      </c>
      <c r="L890" s="290">
        <v>14421.078215227353</v>
      </c>
      <c r="M890" s="288">
        <v>0</v>
      </c>
      <c r="N890" s="288">
        <v>19656.202670306255</v>
      </c>
      <c r="O890" s="288">
        <v>1148.178960245109</v>
      </c>
      <c r="P890" s="288">
        <v>42111.696639141068</v>
      </c>
      <c r="Q890" s="291">
        <v>86921.710648391978</v>
      </c>
      <c r="R890" s="288">
        <v>21989.045834480821</v>
      </c>
      <c r="S890" s="288">
        <v>7649.9896264556864</v>
      </c>
      <c r="T890" s="290">
        <v>0.751</v>
      </c>
      <c r="U890" s="288">
        <v>0.75800000000000001</v>
      </c>
      <c r="V890" s="288">
        <v>0.723923076923077</v>
      </c>
      <c r="W890" s="288">
        <v>0.72750000000000004</v>
      </c>
      <c r="X890" s="288">
        <v>0.76</v>
      </c>
      <c r="Y890" s="288">
        <v>0</v>
      </c>
      <c r="Z890" s="289">
        <v>0</v>
      </c>
      <c r="AA890" s="229"/>
      <c r="AB890" s="293">
        <v>73182.987132834445</v>
      </c>
      <c r="AC890" s="294">
        <v>3.0197716767512186</v>
      </c>
      <c r="AD890" s="295">
        <v>70016.483262603884</v>
      </c>
      <c r="AE890" s="294">
        <v>3.2696973792519604</v>
      </c>
      <c r="AF890" s="295">
        <v>3166.503870230561</v>
      </c>
      <c r="AG890" s="296">
        <v>-0.24992570250074175</v>
      </c>
      <c r="AH890" s="229"/>
      <c r="AI890" s="205">
        <f t="shared" si="96"/>
        <v>228794.18054228742</v>
      </c>
      <c r="AJ890" s="205">
        <f t="shared" si="97"/>
        <v>256953.25466259214</v>
      </c>
      <c r="AK890" s="205">
        <f t="shared" si="98"/>
        <v>-28159.074120304736</v>
      </c>
      <c r="AL890" s="229"/>
      <c r="AM890" s="52">
        <f t="shared" si="86"/>
        <v>0</v>
      </c>
      <c r="AN890" s="52">
        <f t="shared" si="87"/>
        <v>1</v>
      </c>
      <c r="AO890" s="52">
        <f t="shared" si="88"/>
        <v>0</v>
      </c>
      <c r="AP890" s="229"/>
      <c r="AQ890" s="28"/>
      <c r="AR890" s="28"/>
      <c r="AS890" s="28"/>
      <c r="AT890" s="28"/>
      <c r="AU890" s="229"/>
      <c r="AV890" s="318">
        <f t="shared" si="99"/>
        <v>256953.25466259214</v>
      </c>
      <c r="AW890" s="229"/>
      <c r="AX890" s="313"/>
      <c r="AY890" s="302"/>
      <c r="AZ890" s="14">
        <f t="shared" si="101"/>
        <v>3166.503870230561</v>
      </c>
      <c r="BA890" s="14">
        <f t="shared" si="100"/>
        <v>-0.24992570250074175</v>
      </c>
      <c r="BB890" s="14">
        <f t="shared" si="89"/>
        <v>-12669.780813044481</v>
      </c>
      <c r="BC890" s="302"/>
      <c r="BD890" s="302"/>
      <c r="BE890" s="302"/>
      <c r="BF890" s="302"/>
      <c r="BG890" s="302"/>
      <c r="BH890" s="302"/>
      <c r="BI890" s="302"/>
      <c r="BJ890" s="302"/>
      <c r="BK890" s="302"/>
      <c r="BL890" s="302"/>
      <c r="BM890" s="302"/>
      <c r="BN890" s="302"/>
      <c r="BO890" s="302"/>
      <c r="BP890" s="302"/>
      <c r="BQ890" s="302"/>
      <c r="BR890" s="302"/>
      <c r="BS890" s="302"/>
      <c r="BT890" s="302"/>
      <c r="BU890" s="302"/>
      <c r="BV890" s="302"/>
      <c r="BW890" s="302"/>
      <c r="BX890" s="302"/>
      <c r="BY890" s="302"/>
      <c r="BZ890" s="302"/>
      <c r="CA890" s="302"/>
      <c r="CB890" s="28"/>
      <c r="CC890" s="28"/>
      <c r="CD890" s="28"/>
      <c r="CE890" s="28"/>
      <c r="CF890" s="28"/>
      <c r="CG890" s="28"/>
      <c r="CH890" s="28"/>
      <c r="CI890" s="28"/>
      <c r="CJ890" s="28"/>
      <c r="CK890" s="28"/>
      <c r="CL890" s="28"/>
      <c r="CM890" s="28"/>
      <c r="CN890" s="28"/>
      <c r="CO890" s="28"/>
      <c r="CP890" s="28"/>
      <c r="CQ890" s="28"/>
      <c r="CR890" s="28"/>
      <c r="CS890" s="28"/>
      <c r="CT890" s="28"/>
      <c r="CU890" s="28"/>
      <c r="CV890" s="28"/>
      <c r="CW890" s="28"/>
    </row>
    <row r="891" spans="1:101" ht="14.25" customHeight="1" x14ac:dyDescent="0.2">
      <c r="A891" s="286"/>
      <c r="B891" s="52">
        <v>0.19181692878015866</v>
      </c>
      <c r="C891" s="288">
        <v>0.1685212322570154</v>
      </c>
      <c r="D891" s="288">
        <v>1.5174915598119787E-2</v>
      </c>
      <c r="E891" s="288">
        <v>2.810320236354602E-2</v>
      </c>
      <c r="F891" s="289">
        <v>0.77387502971635425</v>
      </c>
      <c r="G891" s="92">
        <v>0.38746212516344924</v>
      </c>
      <c r="H891" s="288">
        <v>0.39771607947681853</v>
      </c>
      <c r="I891" s="288">
        <v>5.2549995933935103E-3</v>
      </c>
      <c r="J891" s="288">
        <v>0.99999999999997657</v>
      </c>
      <c r="K891" s="288">
        <v>0.78940131301341598</v>
      </c>
      <c r="L891" s="290">
        <v>10631.233300737285</v>
      </c>
      <c r="M891" s="288">
        <v>0</v>
      </c>
      <c r="N891" s="288">
        <v>20480.69634450529</v>
      </c>
      <c r="O891" s="288">
        <v>1164.0873859506046</v>
      </c>
      <c r="P891" s="288">
        <v>49615.006931647833</v>
      </c>
      <c r="Q891" s="291">
        <v>63067.535254380469</v>
      </c>
      <c r="R891" s="288">
        <v>26642.088384289556</v>
      </c>
      <c r="S891" s="288">
        <v>8431.7852520886154</v>
      </c>
      <c r="T891" s="290">
        <v>0.751</v>
      </c>
      <c r="U891" s="288">
        <v>0.75800000000000001</v>
      </c>
      <c r="V891" s="288">
        <v>0.723923076923077</v>
      </c>
      <c r="W891" s="288">
        <v>0.72750000000000004</v>
      </c>
      <c r="X891" s="288">
        <v>0.76</v>
      </c>
      <c r="Y891" s="288">
        <v>0</v>
      </c>
      <c r="Z891" s="289">
        <v>0</v>
      </c>
      <c r="AA891" s="229"/>
      <c r="AB891" s="293">
        <v>76518.928049687049</v>
      </c>
      <c r="AC891" s="294">
        <v>3.1139602494848768</v>
      </c>
      <c r="AD891" s="295">
        <v>71186.50933956058</v>
      </c>
      <c r="AE891" s="294">
        <v>3.1908026008800086</v>
      </c>
      <c r="AF891" s="295">
        <v>5332.4187101264688</v>
      </c>
      <c r="AG891" s="296">
        <v>-7.6842351395131736E-2</v>
      </c>
      <c r="AH891" s="229"/>
      <c r="AI891" s="205">
        <f t="shared" si="96"/>
        <v>234877.09689880064</v>
      </c>
      <c r="AJ891" s="205">
        <f t="shared" si="97"/>
        <v>247893.75074844027</v>
      </c>
      <c r="AK891" s="205">
        <f t="shared" si="98"/>
        <v>-13016.653849639642</v>
      </c>
      <c r="AL891" s="229"/>
      <c r="AM891" s="52">
        <f t="shared" si="86"/>
        <v>0</v>
      </c>
      <c r="AN891" s="52">
        <f t="shared" si="87"/>
        <v>1</v>
      </c>
      <c r="AO891" s="52">
        <f t="shared" si="88"/>
        <v>0</v>
      </c>
      <c r="AP891" s="229"/>
      <c r="AQ891" s="28"/>
      <c r="AR891" s="28"/>
      <c r="AS891" s="28"/>
      <c r="AT891" s="28"/>
      <c r="AU891" s="229"/>
      <c r="AV891" s="318">
        <f t="shared" si="99"/>
        <v>247893.75074844027</v>
      </c>
      <c r="AW891" s="229"/>
      <c r="AX891" s="313"/>
      <c r="AY891" s="302"/>
      <c r="AZ891" s="14">
        <f t="shared" si="101"/>
        <v>5332.4187101264688</v>
      </c>
      <c r="BA891" s="14">
        <f t="shared" si="100"/>
        <v>-7.6842351395131736E-2</v>
      </c>
      <c r="BB891" s="14">
        <f t="shared" si="89"/>
        <v>-69394.267787389676</v>
      </c>
      <c r="BC891" s="302"/>
      <c r="BD891" s="302"/>
      <c r="BE891" s="302"/>
      <c r="BF891" s="302"/>
      <c r="BG891" s="302"/>
      <c r="BH891" s="302"/>
      <c r="BI891" s="302"/>
      <c r="BJ891" s="302"/>
      <c r="BK891" s="302"/>
      <c r="BL891" s="302"/>
      <c r="BM891" s="302"/>
      <c r="BN891" s="302"/>
      <c r="BO891" s="302"/>
      <c r="BP891" s="302"/>
      <c r="BQ891" s="302"/>
      <c r="BR891" s="302"/>
      <c r="BS891" s="302"/>
      <c r="BT891" s="302"/>
      <c r="BU891" s="302"/>
      <c r="BV891" s="302"/>
      <c r="BW891" s="302"/>
      <c r="BX891" s="302"/>
      <c r="BY891" s="302"/>
      <c r="BZ891" s="302"/>
      <c r="CA891" s="302"/>
      <c r="CB891" s="28"/>
      <c r="CC891" s="28"/>
      <c r="CD891" s="28"/>
      <c r="CE891" s="28"/>
      <c r="CF891" s="28"/>
      <c r="CG891" s="28"/>
      <c r="CH891" s="28"/>
      <c r="CI891" s="28"/>
      <c r="CJ891" s="28"/>
      <c r="CK891" s="28"/>
      <c r="CL891" s="28"/>
      <c r="CM891" s="28"/>
      <c r="CN891" s="28"/>
      <c r="CO891" s="28"/>
      <c r="CP891" s="28"/>
      <c r="CQ891" s="28"/>
      <c r="CR891" s="28"/>
      <c r="CS891" s="28"/>
      <c r="CT891" s="28"/>
      <c r="CU891" s="28"/>
      <c r="CV891" s="28"/>
      <c r="CW891" s="28"/>
    </row>
    <row r="892" spans="1:101" ht="14.25" customHeight="1" x14ac:dyDescent="0.2">
      <c r="A892" s="286"/>
      <c r="B892" s="52">
        <v>0.19677071727748763</v>
      </c>
      <c r="C892" s="288">
        <v>0.76980398124418192</v>
      </c>
      <c r="D892" s="288">
        <v>1.540912684764062E-2</v>
      </c>
      <c r="E892" s="288">
        <v>3.14349946222785E-2</v>
      </c>
      <c r="F892" s="289">
        <v>0.78496967606600665</v>
      </c>
      <c r="G892" s="92">
        <v>0.40719030684408164</v>
      </c>
      <c r="H892" s="288">
        <v>0.56391551831506082</v>
      </c>
      <c r="I892" s="288">
        <v>1.8294772157446682E-2</v>
      </c>
      <c r="J892" s="288">
        <v>0.99932979395151844</v>
      </c>
      <c r="K892" s="288">
        <v>0.76793199350827601</v>
      </c>
      <c r="L892" s="290">
        <v>10853.091993547918</v>
      </c>
      <c r="M892" s="288">
        <v>0</v>
      </c>
      <c r="N892" s="288">
        <v>21004.789090134291</v>
      </c>
      <c r="O892" s="288">
        <v>1332.6871119084522</v>
      </c>
      <c r="P892" s="288">
        <v>55906.504481884804</v>
      </c>
      <c r="Q892" s="291">
        <v>79420.897675626664</v>
      </c>
      <c r="R892" s="288">
        <v>23378.015076967728</v>
      </c>
      <c r="S892" s="288">
        <v>6319.7311816295341</v>
      </c>
      <c r="T892" s="290">
        <v>0.751</v>
      </c>
      <c r="U892" s="288">
        <v>0.75800000000000001</v>
      </c>
      <c r="V892" s="288">
        <v>0.723923076923077</v>
      </c>
      <c r="W892" s="288">
        <v>0.72750000000000004</v>
      </c>
      <c r="X892" s="288">
        <v>0.76</v>
      </c>
      <c r="Y892" s="288">
        <v>0</v>
      </c>
      <c r="Z892" s="289">
        <v>0</v>
      </c>
      <c r="AA892" s="229"/>
      <c r="AB892" s="293">
        <v>64027.880247883586</v>
      </c>
      <c r="AC892" s="294">
        <v>3.1654334908616195</v>
      </c>
      <c r="AD892" s="295">
        <v>55503.941279716055</v>
      </c>
      <c r="AE892" s="294">
        <v>3.0910286567354106</v>
      </c>
      <c r="AF892" s="295">
        <v>8523.9389681675311</v>
      </c>
      <c r="AG892" s="296">
        <v>7.4404834126208907E-2</v>
      </c>
      <c r="AH892" s="229"/>
      <c r="AI892" s="205">
        <f t="shared" si="96"/>
        <v>252515.46883827835</v>
      </c>
      <c r="AJ892" s="205">
        <f t="shared" si="97"/>
        <v>253598.92439382497</v>
      </c>
      <c r="AK892" s="205">
        <f t="shared" si="98"/>
        <v>-1083.4555555466404</v>
      </c>
      <c r="AL892" s="229"/>
      <c r="AM892" s="52">
        <f t="shared" si="86"/>
        <v>0</v>
      </c>
      <c r="AN892" s="52">
        <f t="shared" si="87"/>
        <v>1</v>
      </c>
      <c r="AO892" s="52">
        <f t="shared" si="88"/>
        <v>0</v>
      </c>
      <c r="AP892" s="229"/>
      <c r="AQ892" s="28"/>
      <c r="AR892" s="28"/>
      <c r="AS892" s="28"/>
      <c r="AT892" s="28"/>
      <c r="AU892" s="229"/>
      <c r="AV892" s="318">
        <f t="shared" si="99"/>
        <v>253598.92439382497</v>
      </c>
      <c r="AW892" s="229"/>
      <c r="AX892" s="313"/>
      <c r="AY892" s="302"/>
      <c r="AZ892" s="14">
        <f t="shared" si="101"/>
        <v>8523.9389681675311</v>
      </c>
      <c r="BA892" s="14">
        <f t="shared" si="100"/>
        <v>7.4404834126208907E-2</v>
      </c>
      <c r="BB892" s="14">
        <f t="shared" si="89"/>
        <v>114561.62853221114</v>
      </c>
      <c r="BC892" s="302"/>
      <c r="BD892" s="302"/>
      <c r="BE892" s="302"/>
      <c r="BF892" s="302"/>
      <c r="BG892" s="302"/>
      <c r="BH892" s="302"/>
      <c r="BI892" s="302"/>
      <c r="BJ892" s="302"/>
      <c r="BK892" s="302"/>
      <c r="BL892" s="302"/>
      <c r="BM892" s="302"/>
      <c r="BN892" s="302"/>
      <c r="BO892" s="302"/>
      <c r="BP892" s="302"/>
      <c r="BQ892" s="302"/>
      <c r="BR892" s="302"/>
      <c r="BS892" s="302"/>
      <c r="BT892" s="302"/>
      <c r="BU892" s="302"/>
      <c r="BV892" s="302"/>
      <c r="BW892" s="302"/>
      <c r="BX892" s="302"/>
      <c r="BY892" s="302"/>
      <c r="BZ892" s="302"/>
      <c r="CA892" s="302"/>
      <c r="CB892" s="28"/>
      <c r="CC892" s="28"/>
      <c r="CD892" s="28"/>
      <c r="CE892" s="28"/>
      <c r="CF892" s="28"/>
      <c r="CG892" s="28"/>
      <c r="CH892" s="28"/>
      <c r="CI892" s="28"/>
      <c r="CJ892" s="28"/>
      <c r="CK892" s="28"/>
      <c r="CL892" s="28"/>
      <c r="CM892" s="28"/>
      <c r="CN892" s="28"/>
      <c r="CO892" s="28"/>
      <c r="CP892" s="28"/>
      <c r="CQ892" s="28"/>
      <c r="CR892" s="28"/>
      <c r="CS892" s="28"/>
      <c r="CT892" s="28"/>
      <c r="CU892" s="28"/>
      <c r="CV892" s="28"/>
      <c r="CW892" s="28"/>
    </row>
    <row r="893" spans="1:101" ht="14.25" customHeight="1" x14ac:dyDescent="0.2">
      <c r="A893" s="286"/>
      <c r="B893" s="52">
        <v>0.16086076941890803</v>
      </c>
      <c r="C893" s="288">
        <v>0.14318954900159608</v>
      </c>
      <c r="D893" s="288">
        <v>5.9073023146035998E-3</v>
      </c>
      <c r="E893" s="288">
        <v>2.1700006164031893E-2</v>
      </c>
      <c r="F893" s="289">
        <v>0.83387078653636704</v>
      </c>
      <c r="G893" s="92">
        <v>0.48581235211059681</v>
      </c>
      <c r="H893" s="288">
        <v>1.5019032375127885E-2</v>
      </c>
      <c r="I893" s="288">
        <v>2.9933791748003702E-2</v>
      </c>
      <c r="J893" s="288">
        <v>0.99999675828936341</v>
      </c>
      <c r="K893" s="288">
        <v>0.77075524652203531</v>
      </c>
      <c r="L893" s="290">
        <v>10859.676960435794</v>
      </c>
      <c r="M893" s="288">
        <v>0</v>
      </c>
      <c r="N893" s="288">
        <v>11768.28944361607</v>
      </c>
      <c r="O893" s="288">
        <v>976.92301505906073</v>
      </c>
      <c r="P893" s="288">
        <v>57748.672808044488</v>
      </c>
      <c r="Q893" s="291">
        <v>80679.937585544889</v>
      </c>
      <c r="R893" s="288">
        <v>25816.335193847113</v>
      </c>
      <c r="S893" s="288">
        <v>9007.5874600303814</v>
      </c>
      <c r="T893" s="290">
        <v>0.751</v>
      </c>
      <c r="U893" s="288">
        <v>0.75800000000000001</v>
      </c>
      <c r="V893" s="288">
        <v>0.723923076923077</v>
      </c>
      <c r="W893" s="288">
        <v>0.72750000000000004</v>
      </c>
      <c r="X893" s="288">
        <v>0.76</v>
      </c>
      <c r="Y893" s="288">
        <v>0</v>
      </c>
      <c r="Z893" s="289">
        <v>0</v>
      </c>
      <c r="AA893" s="229"/>
      <c r="AB893" s="293">
        <v>86067.260128629787</v>
      </c>
      <c r="AC893" s="294">
        <v>3.3946094394919237</v>
      </c>
      <c r="AD893" s="295">
        <v>72124.176068857909</v>
      </c>
      <c r="AE893" s="294">
        <v>3.1041076157377194</v>
      </c>
      <c r="AF893" s="295">
        <v>13943.084059771878</v>
      </c>
      <c r="AG893" s="296">
        <v>0.2905018237542043</v>
      </c>
      <c r="AH893" s="229"/>
      <c r="AI893" s="205">
        <f t="shared" si="96"/>
        <v>253393.68382056255</v>
      </c>
      <c r="AJ893" s="205">
        <f t="shared" si="97"/>
        <v>238286.58550491405</v>
      </c>
      <c r="AK893" s="205">
        <f t="shared" si="98"/>
        <v>15107.098315648553</v>
      </c>
      <c r="AL893" s="229"/>
      <c r="AM893" s="52">
        <f t="shared" si="86"/>
        <v>1</v>
      </c>
      <c r="AN893" s="52">
        <f t="shared" si="87"/>
        <v>0</v>
      </c>
      <c r="AO893" s="52">
        <f t="shared" si="88"/>
        <v>1</v>
      </c>
      <c r="AP893" s="229"/>
      <c r="AQ893" s="28"/>
      <c r="AR893" s="28"/>
      <c r="AS893" s="28"/>
      <c r="AT893" s="28"/>
      <c r="AU893" s="229"/>
      <c r="AV893" s="318">
        <f t="shared" si="99"/>
        <v>253393.68382056255</v>
      </c>
      <c r="AW893" s="229"/>
      <c r="AX893" s="313"/>
      <c r="AY893" s="302"/>
      <c r="AZ893" s="14">
        <f t="shared" si="101"/>
        <v>13943.084059771878</v>
      </c>
      <c r="BA893" s="14">
        <f t="shared" si="100"/>
        <v>0.2905018237542043</v>
      </c>
      <c r="BB893" s="14">
        <f t="shared" si="89"/>
        <v>47996.545700068382</v>
      </c>
      <c r="BC893" s="302"/>
      <c r="BD893" s="302"/>
      <c r="BE893" s="302"/>
      <c r="BF893" s="302"/>
      <c r="BG893" s="302"/>
      <c r="BH893" s="302"/>
      <c r="BI893" s="302"/>
      <c r="BJ893" s="302"/>
      <c r="BK893" s="302"/>
      <c r="BL893" s="302"/>
      <c r="BM893" s="302"/>
      <c r="BN893" s="302"/>
      <c r="BO893" s="302"/>
      <c r="BP893" s="302"/>
      <c r="BQ893" s="302"/>
      <c r="BR893" s="302"/>
      <c r="BS893" s="302"/>
      <c r="BT893" s="302"/>
      <c r="BU893" s="302"/>
      <c r="BV893" s="302"/>
      <c r="BW893" s="302"/>
      <c r="BX893" s="302"/>
      <c r="BY893" s="302"/>
      <c r="BZ893" s="302"/>
      <c r="CA893" s="302"/>
      <c r="CB893" s="28"/>
      <c r="CC893" s="28"/>
      <c r="CD893" s="28"/>
      <c r="CE893" s="28"/>
      <c r="CF893" s="28"/>
      <c r="CG893" s="28"/>
      <c r="CH893" s="28"/>
      <c r="CI893" s="28"/>
      <c r="CJ893" s="28"/>
      <c r="CK893" s="28"/>
      <c r="CL893" s="28"/>
      <c r="CM893" s="28"/>
      <c r="CN893" s="28"/>
      <c r="CO893" s="28"/>
      <c r="CP893" s="28"/>
      <c r="CQ893" s="28"/>
      <c r="CR893" s="28"/>
      <c r="CS893" s="28"/>
      <c r="CT893" s="28"/>
      <c r="CU893" s="28"/>
      <c r="CV893" s="28"/>
      <c r="CW893" s="28"/>
    </row>
    <row r="894" spans="1:101" ht="14.25" customHeight="1" x14ac:dyDescent="0.2">
      <c r="A894" s="286"/>
      <c r="B894" s="52">
        <v>0.17920930902530252</v>
      </c>
      <c r="C894" s="288">
        <v>9.9381328322974763E-2</v>
      </c>
      <c r="D894" s="288">
        <v>1.4698190205996053E-2</v>
      </c>
      <c r="E894" s="288">
        <v>1.167762067246394E-2</v>
      </c>
      <c r="F894" s="289">
        <v>0.77638325946760645</v>
      </c>
      <c r="G894" s="92">
        <v>0.34430291315846234</v>
      </c>
      <c r="H894" s="288">
        <v>0.29048197618295141</v>
      </c>
      <c r="I894" s="288">
        <v>3.112549719885449E-2</v>
      </c>
      <c r="J894" s="288">
        <v>0.99999999999972788</v>
      </c>
      <c r="K894" s="288">
        <v>0.76228196974916251</v>
      </c>
      <c r="L894" s="290">
        <v>10257.855498869128</v>
      </c>
      <c r="M894" s="288">
        <v>0</v>
      </c>
      <c r="N894" s="288">
        <v>23483.391887066995</v>
      </c>
      <c r="O894" s="288">
        <v>813.24904539864747</v>
      </c>
      <c r="P894" s="288">
        <v>49387.537957152053</v>
      </c>
      <c r="Q894" s="291">
        <v>98318.421498199692</v>
      </c>
      <c r="R894" s="288">
        <v>26064.425700013737</v>
      </c>
      <c r="S894" s="288">
        <v>7903.8760085753374</v>
      </c>
      <c r="T894" s="290">
        <v>0.751</v>
      </c>
      <c r="U894" s="288">
        <v>0.75800000000000001</v>
      </c>
      <c r="V894" s="288">
        <v>0.723923076923077</v>
      </c>
      <c r="W894" s="288">
        <v>0.72750000000000004</v>
      </c>
      <c r="X894" s="288">
        <v>0.76</v>
      </c>
      <c r="Y894" s="288">
        <v>0</v>
      </c>
      <c r="Z894" s="289">
        <v>0</v>
      </c>
      <c r="AA894" s="229"/>
      <c r="AB894" s="293">
        <v>71893.776006827364</v>
      </c>
      <c r="AC894" s="294">
        <v>3.1255802075245218</v>
      </c>
      <c r="AD894" s="295">
        <v>64746.374374513223</v>
      </c>
      <c r="AE894" s="294">
        <v>3.0648921734066334</v>
      </c>
      <c r="AF894" s="295">
        <v>7147.4016323141404</v>
      </c>
      <c r="AG894" s="296">
        <v>6.0688034117888368E-2</v>
      </c>
      <c r="AH894" s="229"/>
      <c r="AI894" s="205">
        <f t="shared" si="96"/>
        <v>240664.24474562483</v>
      </c>
      <c r="AJ894" s="205">
        <f t="shared" si="97"/>
        <v>241742.84296615014</v>
      </c>
      <c r="AK894" s="205">
        <f t="shared" si="98"/>
        <v>-1078.598220525304</v>
      </c>
      <c r="AL894" s="229"/>
      <c r="AM894" s="52">
        <f t="shared" si="86"/>
        <v>0</v>
      </c>
      <c r="AN894" s="52">
        <f t="shared" si="87"/>
        <v>1</v>
      </c>
      <c r="AO894" s="52">
        <f t="shared" si="88"/>
        <v>0</v>
      </c>
      <c r="AP894" s="229"/>
      <c r="AQ894" s="28"/>
      <c r="AR894" s="28"/>
      <c r="AS894" s="28"/>
      <c r="AT894" s="28"/>
      <c r="AU894" s="229"/>
      <c r="AV894" s="318">
        <f t="shared" si="99"/>
        <v>241742.84296615014</v>
      </c>
      <c r="AW894" s="229"/>
      <c r="AX894" s="313"/>
      <c r="AY894" s="302"/>
      <c r="AZ894" s="14">
        <f t="shared" si="101"/>
        <v>7147.4016323141404</v>
      </c>
      <c r="BA894" s="14">
        <f t="shared" si="100"/>
        <v>6.0688034117888368E-2</v>
      </c>
      <c r="BB894" s="14">
        <f t="shared" si="89"/>
        <v>117772.83176499166</v>
      </c>
      <c r="BC894" s="302"/>
      <c r="BD894" s="302"/>
      <c r="BE894" s="302"/>
      <c r="BF894" s="302"/>
      <c r="BG894" s="302"/>
      <c r="BH894" s="302"/>
      <c r="BI894" s="302"/>
      <c r="BJ894" s="302"/>
      <c r="BK894" s="302"/>
      <c r="BL894" s="302"/>
      <c r="BM894" s="302"/>
      <c r="BN894" s="302"/>
      <c r="BO894" s="302"/>
      <c r="BP894" s="302"/>
      <c r="BQ894" s="302"/>
      <c r="BR894" s="302"/>
      <c r="BS894" s="302"/>
      <c r="BT894" s="302"/>
      <c r="BU894" s="302"/>
      <c r="BV894" s="302"/>
      <c r="BW894" s="302"/>
      <c r="BX894" s="302"/>
      <c r="BY894" s="302"/>
      <c r="BZ894" s="302"/>
      <c r="CA894" s="302"/>
      <c r="CB894" s="28"/>
      <c r="CC894" s="28"/>
      <c r="CD894" s="28"/>
      <c r="CE894" s="28"/>
      <c r="CF894" s="28"/>
      <c r="CG894" s="28"/>
      <c r="CH894" s="28"/>
      <c r="CI894" s="28"/>
      <c r="CJ894" s="28"/>
      <c r="CK894" s="28"/>
      <c r="CL894" s="28"/>
      <c r="CM894" s="28"/>
      <c r="CN894" s="28"/>
      <c r="CO894" s="28"/>
      <c r="CP894" s="28"/>
      <c r="CQ894" s="28"/>
      <c r="CR894" s="28"/>
      <c r="CS894" s="28"/>
      <c r="CT894" s="28"/>
      <c r="CU894" s="28"/>
      <c r="CV894" s="28"/>
      <c r="CW894" s="28"/>
    </row>
    <row r="895" spans="1:101" ht="14.25" customHeight="1" x14ac:dyDescent="0.2">
      <c r="A895" s="286"/>
      <c r="B895" s="52">
        <v>0.16456952272662928</v>
      </c>
      <c r="C895" s="288">
        <v>0.26630004768119242</v>
      </c>
      <c r="D895" s="288">
        <v>3.5492518765178449E-2</v>
      </c>
      <c r="E895" s="288">
        <v>1.0134802392159525E-2</v>
      </c>
      <c r="F895" s="289">
        <v>0.77948402248908977</v>
      </c>
      <c r="G895" s="92">
        <v>0.42044959976131169</v>
      </c>
      <c r="H895" s="288">
        <v>0.77286379990814813</v>
      </c>
      <c r="I895" s="288">
        <v>2.1528191742062219E-2</v>
      </c>
      <c r="J895" s="288">
        <v>0.99999940666272391</v>
      </c>
      <c r="K895" s="288">
        <v>0.75262261047890533</v>
      </c>
      <c r="L895" s="290">
        <v>14711.787914365126</v>
      </c>
      <c r="M895" s="288">
        <v>0</v>
      </c>
      <c r="N895" s="288">
        <v>20604.580333920385</v>
      </c>
      <c r="O895" s="288">
        <v>1719.5705183058317</v>
      </c>
      <c r="P895" s="288">
        <v>40054.420260424413</v>
      </c>
      <c r="Q895" s="291">
        <v>116571.78243743772</v>
      </c>
      <c r="R895" s="288">
        <v>32648.418117763318</v>
      </c>
      <c r="S895" s="288">
        <v>8258.1896709427292</v>
      </c>
      <c r="T895" s="290">
        <v>0.751</v>
      </c>
      <c r="U895" s="288">
        <v>0.75800000000000001</v>
      </c>
      <c r="V895" s="288">
        <v>0.723923076923077</v>
      </c>
      <c r="W895" s="288">
        <v>0.72750000000000004</v>
      </c>
      <c r="X895" s="288">
        <v>0.76</v>
      </c>
      <c r="Y895" s="288">
        <v>0</v>
      </c>
      <c r="Z895" s="289">
        <v>0</v>
      </c>
      <c r="AA895" s="229"/>
      <c r="AB895" s="293">
        <v>80852.344179503547</v>
      </c>
      <c r="AC895" s="294">
        <v>3.1399588536326877</v>
      </c>
      <c r="AD895" s="295">
        <v>74762.758841666888</v>
      </c>
      <c r="AE895" s="294">
        <v>3.0203254246760203</v>
      </c>
      <c r="AF895" s="295">
        <v>6089.5853378366592</v>
      </c>
      <c r="AG895" s="296">
        <v>0.1196334289566674</v>
      </c>
      <c r="AH895" s="229"/>
      <c r="AI895" s="205">
        <f t="shared" si="96"/>
        <v>233143.54118376522</v>
      </c>
      <c r="AJ895" s="205">
        <f t="shared" si="97"/>
        <v>227269.78362593512</v>
      </c>
      <c r="AK895" s="205">
        <f t="shared" si="98"/>
        <v>5873.7575578300803</v>
      </c>
      <c r="AL895" s="229"/>
      <c r="AM895" s="52">
        <f t="shared" si="86"/>
        <v>1</v>
      </c>
      <c r="AN895" s="52">
        <f t="shared" si="87"/>
        <v>0</v>
      </c>
      <c r="AO895" s="52">
        <f t="shared" si="88"/>
        <v>1</v>
      </c>
      <c r="AP895" s="229"/>
      <c r="AQ895" s="28"/>
      <c r="AR895" s="28"/>
      <c r="AS895" s="28"/>
      <c r="AT895" s="28"/>
      <c r="AU895" s="229"/>
      <c r="AV895" s="318">
        <f t="shared" si="99"/>
        <v>233143.54118376522</v>
      </c>
      <c r="AW895" s="229"/>
      <c r="AX895" s="313"/>
      <c r="AY895" s="302"/>
      <c r="AZ895" s="14">
        <f t="shared" si="101"/>
        <v>6089.5853378366592</v>
      </c>
      <c r="BA895" s="14">
        <f t="shared" si="100"/>
        <v>0.1196334289566674</v>
      </c>
      <c r="BB895" s="14">
        <f t="shared" si="89"/>
        <v>50902.037924887838</v>
      </c>
      <c r="BC895" s="302"/>
      <c r="BD895" s="302"/>
      <c r="BE895" s="302"/>
      <c r="BF895" s="302"/>
      <c r="BG895" s="302"/>
      <c r="BH895" s="302"/>
      <c r="BI895" s="302"/>
      <c r="BJ895" s="302"/>
      <c r="BK895" s="302"/>
      <c r="BL895" s="302"/>
      <c r="BM895" s="302"/>
      <c r="BN895" s="302"/>
      <c r="BO895" s="302"/>
      <c r="BP895" s="302"/>
      <c r="BQ895" s="302"/>
      <c r="BR895" s="302"/>
      <c r="BS895" s="302"/>
      <c r="BT895" s="302"/>
      <c r="BU895" s="302"/>
      <c r="BV895" s="302"/>
      <c r="BW895" s="302"/>
      <c r="BX895" s="302"/>
      <c r="BY895" s="302"/>
      <c r="BZ895" s="302"/>
      <c r="CA895" s="302"/>
      <c r="CB895" s="28"/>
      <c r="CC895" s="28"/>
      <c r="CD895" s="28"/>
      <c r="CE895" s="28"/>
      <c r="CF895" s="28"/>
      <c r="CG895" s="28"/>
      <c r="CH895" s="28"/>
      <c r="CI895" s="28"/>
      <c r="CJ895" s="28"/>
      <c r="CK895" s="28"/>
      <c r="CL895" s="28"/>
      <c r="CM895" s="28"/>
      <c r="CN895" s="28"/>
      <c r="CO895" s="28"/>
      <c r="CP895" s="28"/>
      <c r="CQ895" s="28"/>
      <c r="CR895" s="28"/>
      <c r="CS895" s="28"/>
      <c r="CT895" s="28"/>
      <c r="CU895" s="28"/>
      <c r="CV895" s="28"/>
      <c r="CW895" s="28"/>
    </row>
    <row r="896" spans="1:101" ht="14.25" customHeight="1" x14ac:dyDescent="0.2">
      <c r="A896" s="286"/>
      <c r="B896" s="52">
        <v>0.17919439583378671</v>
      </c>
      <c r="C896" s="288">
        <v>0.71904938112669137</v>
      </c>
      <c r="D896" s="288">
        <v>2.7134966589443588E-2</v>
      </c>
      <c r="E896" s="288">
        <v>2.475691636577293E-2</v>
      </c>
      <c r="F896" s="289">
        <v>0.76166757161699172</v>
      </c>
      <c r="G896" s="92">
        <v>0.45769853853915043</v>
      </c>
      <c r="H896" s="288">
        <v>0.96978494789148251</v>
      </c>
      <c r="I896" s="288">
        <v>2.7723148052508084E-2</v>
      </c>
      <c r="J896" s="288">
        <v>1</v>
      </c>
      <c r="K896" s="288">
        <v>0.70196021861329372</v>
      </c>
      <c r="L896" s="290">
        <v>16825.64433930457</v>
      </c>
      <c r="M896" s="288">
        <v>0</v>
      </c>
      <c r="N896" s="288">
        <v>22090.547931536308</v>
      </c>
      <c r="O896" s="288">
        <v>1108.8504580437452</v>
      </c>
      <c r="P896" s="288">
        <v>57331.284612692791</v>
      </c>
      <c r="Q896" s="291">
        <v>82042.521511761064</v>
      </c>
      <c r="R896" s="288">
        <v>24165.45277196079</v>
      </c>
      <c r="S896" s="288">
        <v>7536.6583467183436</v>
      </c>
      <c r="T896" s="290">
        <v>0.751</v>
      </c>
      <c r="U896" s="288">
        <v>0.75800000000000001</v>
      </c>
      <c r="V896" s="288">
        <v>0.723923076923077</v>
      </c>
      <c r="W896" s="288">
        <v>0.72750000000000004</v>
      </c>
      <c r="X896" s="288">
        <v>0.76</v>
      </c>
      <c r="Y896" s="288">
        <v>0</v>
      </c>
      <c r="Z896" s="289">
        <v>0</v>
      </c>
      <c r="AA896" s="229"/>
      <c r="AB896" s="293">
        <v>77389.901119060552</v>
      </c>
      <c r="AC896" s="294">
        <v>3.0575472424777317</v>
      </c>
      <c r="AD896" s="295">
        <v>65959.533589789906</v>
      </c>
      <c r="AE896" s="294">
        <v>2.7889857440606223</v>
      </c>
      <c r="AF896" s="295">
        <v>11430.367529270647</v>
      </c>
      <c r="AG896" s="296">
        <v>0.26856149841710941</v>
      </c>
      <c r="AH896" s="229"/>
      <c r="AI896" s="205">
        <f t="shared" si="96"/>
        <v>228364.82312871263</v>
      </c>
      <c r="AJ896" s="205">
        <f t="shared" si="97"/>
        <v>212939.04081627235</v>
      </c>
      <c r="AK896" s="205">
        <f t="shared" si="98"/>
        <v>15425.782312440293</v>
      </c>
      <c r="AL896" s="229"/>
      <c r="AM896" s="52">
        <f t="shared" si="86"/>
        <v>1</v>
      </c>
      <c r="AN896" s="52">
        <f t="shared" si="87"/>
        <v>0</v>
      </c>
      <c r="AO896" s="52">
        <f t="shared" si="88"/>
        <v>1</v>
      </c>
      <c r="AP896" s="229"/>
      <c r="AQ896" s="28"/>
      <c r="AR896" s="28"/>
      <c r="AS896" s="28"/>
      <c r="AT896" s="28"/>
      <c r="AU896" s="229"/>
      <c r="AV896" s="318">
        <f t="shared" si="99"/>
        <v>228364.82312871263</v>
      </c>
      <c r="AW896" s="229"/>
      <c r="AX896" s="313"/>
      <c r="AY896" s="302"/>
      <c r="AZ896" s="14">
        <f t="shared" si="101"/>
        <v>11430.367529270647</v>
      </c>
      <c r="BA896" s="14">
        <f t="shared" si="100"/>
        <v>0.26856149841710941</v>
      </c>
      <c r="BB896" s="14">
        <f t="shared" si="89"/>
        <v>42561.452764602407</v>
      </c>
      <c r="BC896" s="302"/>
      <c r="BD896" s="302"/>
      <c r="BE896" s="302"/>
      <c r="BF896" s="302"/>
      <c r="BG896" s="302"/>
      <c r="BH896" s="302"/>
      <c r="BI896" s="302"/>
      <c r="BJ896" s="302"/>
      <c r="BK896" s="302"/>
      <c r="BL896" s="302"/>
      <c r="BM896" s="302"/>
      <c r="BN896" s="302"/>
      <c r="BO896" s="302"/>
      <c r="BP896" s="302"/>
      <c r="BQ896" s="302"/>
      <c r="BR896" s="302"/>
      <c r="BS896" s="302"/>
      <c r="BT896" s="302"/>
      <c r="BU896" s="302"/>
      <c r="BV896" s="302"/>
      <c r="BW896" s="302"/>
      <c r="BX896" s="302"/>
      <c r="BY896" s="302"/>
      <c r="BZ896" s="302"/>
      <c r="CA896" s="302"/>
      <c r="CB896" s="28"/>
      <c r="CC896" s="28"/>
      <c r="CD896" s="28"/>
      <c r="CE896" s="28"/>
      <c r="CF896" s="28"/>
      <c r="CG896" s="28"/>
      <c r="CH896" s="28"/>
      <c r="CI896" s="28"/>
      <c r="CJ896" s="28"/>
      <c r="CK896" s="28"/>
      <c r="CL896" s="28"/>
      <c r="CM896" s="28"/>
      <c r="CN896" s="28"/>
      <c r="CO896" s="28"/>
      <c r="CP896" s="28"/>
      <c r="CQ896" s="28"/>
      <c r="CR896" s="28"/>
      <c r="CS896" s="28"/>
      <c r="CT896" s="28"/>
      <c r="CU896" s="28"/>
      <c r="CV896" s="28"/>
      <c r="CW896" s="28"/>
    </row>
    <row r="897" spans="1:101" ht="14.25" customHeight="1" x14ac:dyDescent="0.2">
      <c r="A897" s="286"/>
      <c r="B897" s="52">
        <v>0.13796111819073975</v>
      </c>
      <c r="C897" s="288">
        <v>0.69367030548328545</v>
      </c>
      <c r="D897" s="288">
        <v>2.3328294215723355E-2</v>
      </c>
      <c r="E897" s="288">
        <v>2.6096947008658056E-2</v>
      </c>
      <c r="F897" s="289">
        <v>0.76370188615772128</v>
      </c>
      <c r="G897" s="92">
        <v>0.33388561551129159</v>
      </c>
      <c r="H897" s="288">
        <v>0.11410073573125273</v>
      </c>
      <c r="I897" s="288">
        <v>1.6853246762475682E-2</v>
      </c>
      <c r="J897" s="288">
        <v>3.4485606068033899E-3</v>
      </c>
      <c r="K897" s="288">
        <v>0.73537357989233432</v>
      </c>
      <c r="L897" s="290">
        <v>12704.117520527729</v>
      </c>
      <c r="M897" s="288">
        <v>0</v>
      </c>
      <c r="N897" s="288">
        <v>18918.807220478709</v>
      </c>
      <c r="O897" s="288">
        <v>1317.2761611961132</v>
      </c>
      <c r="P897" s="288">
        <v>38746.360749352534</v>
      </c>
      <c r="Q897" s="291">
        <v>81268.00767198953</v>
      </c>
      <c r="R897" s="288">
        <v>25619.884366413047</v>
      </c>
      <c r="S897" s="288">
        <v>5611.8983348384982</v>
      </c>
      <c r="T897" s="290">
        <v>0.751</v>
      </c>
      <c r="U897" s="288">
        <v>0.75800000000000001</v>
      </c>
      <c r="V897" s="288">
        <v>0.723923076923077</v>
      </c>
      <c r="W897" s="288">
        <v>0.72750000000000004</v>
      </c>
      <c r="X897" s="288">
        <v>0.76</v>
      </c>
      <c r="Y897" s="288">
        <v>0</v>
      </c>
      <c r="Z897" s="289">
        <v>0</v>
      </c>
      <c r="AA897" s="229"/>
      <c r="AB897" s="293">
        <v>58043.44509626623</v>
      </c>
      <c r="AC897" s="294">
        <v>3.0669319700949016</v>
      </c>
      <c r="AD897" s="295">
        <v>43108.8092911161</v>
      </c>
      <c r="AE897" s="294">
        <v>2.9411069417518578</v>
      </c>
      <c r="AF897" s="295">
        <v>14934.63580515013</v>
      </c>
      <c r="AG897" s="296">
        <v>0.12582502834304377</v>
      </c>
      <c r="AH897" s="229"/>
      <c r="AI897" s="205">
        <f t="shared" si="96"/>
        <v>248649.75191322394</v>
      </c>
      <c r="AJ897" s="205">
        <f t="shared" si="97"/>
        <v>251001.8848840697</v>
      </c>
      <c r="AK897" s="205">
        <f t="shared" si="98"/>
        <v>-2352.1329708457542</v>
      </c>
      <c r="AL897" s="229"/>
      <c r="AM897" s="52">
        <f t="shared" si="86"/>
        <v>0</v>
      </c>
      <c r="AN897" s="52">
        <f t="shared" si="87"/>
        <v>1</v>
      </c>
      <c r="AO897" s="52">
        <f t="shared" si="88"/>
        <v>0</v>
      </c>
      <c r="AP897" s="229"/>
      <c r="AQ897" s="28"/>
      <c r="AR897" s="28"/>
      <c r="AS897" s="28"/>
      <c r="AT897" s="28"/>
      <c r="AU897" s="229"/>
      <c r="AV897" s="318">
        <f t="shared" si="99"/>
        <v>251001.8848840697</v>
      </c>
      <c r="AW897" s="229"/>
      <c r="AX897" s="313"/>
      <c r="AY897" s="302"/>
      <c r="AZ897" s="14">
        <f t="shared" si="101"/>
        <v>14934.63580515013</v>
      </c>
      <c r="BA897" s="14">
        <f t="shared" si="100"/>
        <v>0.12582502834304377</v>
      </c>
      <c r="BB897" s="14">
        <f t="shared" si="89"/>
        <v>118693.68123194856</v>
      </c>
      <c r="BC897" s="302"/>
      <c r="BD897" s="302"/>
      <c r="BE897" s="302"/>
      <c r="BF897" s="302"/>
      <c r="BG897" s="302"/>
      <c r="BH897" s="302"/>
      <c r="BI897" s="302"/>
      <c r="BJ897" s="302"/>
      <c r="BK897" s="302"/>
      <c r="BL897" s="302"/>
      <c r="BM897" s="302"/>
      <c r="BN897" s="302"/>
      <c r="BO897" s="302"/>
      <c r="BP897" s="302"/>
      <c r="BQ897" s="302"/>
      <c r="BR897" s="302"/>
      <c r="BS897" s="302"/>
      <c r="BT897" s="302"/>
      <c r="BU897" s="302"/>
      <c r="BV897" s="302"/>
      <c r="BW897" s="302"/>
      <c r="BX897" s="302"/>
      <c r="BY897" s="302"/>
      <c r="BZ897" s="302"/>
      <c r="CA897" s="302"/>
      <c r="CB897" s="28"/>
      <c r="CC897" s="28"/>
      <c r="CD897" s="28"/>
      <c r="CE897" s="28"/>
      <c r="CF897" s="28"/>
      <c r="CG897" s="28"/>
      <c r="CH897" s="28"/>
      <c r="CI897" s="28"/>
      <c r="CJ897" s="28"/>
      <c r="CK897" s="28"/>
      <c r="CL897" s="28"/>
      <c r="CM897" s="28"/>
      <c r="CN897" s="28"/>
      <c r="CO897" s="28"/>
      <c r="CP897" s="28"/>
      <c r="CQ897" s="28"/>
      <c r="CR897" s="28"/>
      <c r="CS897" s="28"/>
      <c r="CT897" s="28"/>
      <c r="CU897" s="28"/>
      <c r="CV897" s="28"/>
      <c r="CW897" s="28"/>
    </row>
    <row r="898" spans="1:101" ht="14.25" customHeight="1" x14ac:dyDescent="0.2">
      <c r="A898" s="286"/>
      <c r="B898" s="52">
        <v>9.7879850631884063E-2</v>
      </c>
      <c r="C898" s="288">
        <v>0.1127196821369465</v>
      </c>
      <c r="D898" s="288">
        <v>1.8783003941214904E-2</v>
      </c>
      <c r="E898" s="288">
        <v>1.7670358103143102E-2</v>
      </c>
      <c r="F898" s="289">
        <v>0.80331928042171352</v>
      </c>
      <c r="G898" s="92">
        <v>0.40711776054243387</v>
      </c>
      <c r="H898" s="288">
        <v>0.76656781380669869</v>
      </c>
      <c r="I898" s="288">
        <v>2.9444006803880485E-2</v>
      </c>
      <c r="J898" s="288">
        <v>0.99999999897672542</v>
      </c>
      <c r="K898" s="288">
        <v>0.81127153547759789</v>
      </c>
      <c r="L898" s="290">
        <v>8222.288409998022</v>
      </c>
      <c r="M898" s="288">
        <v>0</v>
      </c>
      <c r="N898" s="288">
        <v>16054.865326243282</v>
      </c>
      <c r="O898" s="288">
        <v>1406.8061809571543</v>
      </c>
      <c r="P898" s="288">
        <v>59557.139163149834</v>
      </c>
      <c r="Q898" s="291">
        <v>126167.8248260134</v>
      </c>
      <c r="R898" s="288">
        <v>28431.814531250362</v>
      </c>
      <c r="S898" s="288">
        <v>10175.147460272854</v>
      </c>
      <c r="T898" s="290">
        <v>0.751</v>
      </c>
      <c r="U898" s="288">
        <v>0.75800000000000001</v>
      </c>
      <c r="V898" s="288">
        <v>0.723923076923077</v>
      </c>
      <c r="W898" s="288">
        <v>0.72750000000000004</v>
      </c>
      <c r="X898" s="288">
        <v>0.76</v>
      </c>
      <c r="Y898" s="288">
        <v>0</v>
      </c>
      <c r="Z898" s="289">
        <v>0</v>
      </c>
      <c r="AA898" s="229"/>
      <c r="AB898" s="293">
        <v>89848.302306854079</v>
      </c>
      <c r="AC898" s="294">
        <v>3.2509895904295654</v>
      </c>
      <c r="AD898" s="295">
        <v>93954.942683747591</v>
      </c>
      <c r="AE898" s="294">
        <v>3.293186674096451</v>
      </c>
      <c r="AF898" s="295">
        <v>-4106.6403768935124</v>
      </c>
      <c r="AG898" s="296">
        <v>-4.2197083666885682E-2</v>
      </c>
      <c r="AH898" s="229"/>
      <c r="AI898" s="205">
        <f t="shared" si="96"/>
        <v>235250.65673610245</v>
      </c>
      <c r="AJ898" s="205">
        <f t="shared" si="97"/>
        <v>235363.72472589751</v>
      </c>
      <c r="AK898" s="205">
        <f t="shared" si="98"/>
        <v>-113.06798979505584</v>
      </c>
      <c r="AL898" s="229"/>
      <c r="AM898" s="52">
        <f t="shared" si="86"/>
        <v>0</v>
      </c>
      <c r="AN898" s="52">
        <f t="shared" si="87"/>
        <v>1</v>
      </c>
      <c r="AO898" s="52">
        <f t="shared" si="88"/>
        <v>0</v>
      </c>
      <c r="AP898" s="229"/>
      <c r="AQ898" s="28"/>
      <c r="AR898" s="28"/>
      <c r="AS898" s="28"/>
      <c r="AT898" s="28"/>
      <c r="AU898" s="229"/>
      <c r="AV898" s="318">
        <f t="shared" si="99"/>
        <v>235363.72472589751</v>
      </c>
      <c r="AW898" s="229"/>
      <c r="AX898" s="313"/>
      <c r="AY898" s="302"/>
      <c r="AZ898" s="14">
        <f t="shared" si="101"/>
        <v>-4106.6403768935124</v>
      </c>
      <c r="BA898" s="14">
        <f t="shared" si="100"/>
        <v>-4.2197083666885682E-2</v>
      </c>
      <c r="BB898" s="14">
        <f t="shared" si="89"/>
        <v>97320.478574120367</v>
      </c>
      <c r="BC898" s="302"/>
      <c r="BD898" s="302"/>
      <c r="BE898" s="302"/>
      <c r="BF898" s="302"/>
      <c r="BG898" s="302"/>
      <c r="BH898" s="302"/>
      <c r="BI898" s="302"/>
      <c r="BJ898" s="302"/>
      <c r="BK898" s="302"/>
      <c r="BL898" s="302"/>
      <c r="BM898" s="302"/>
      <c r="BN898" s="302"/>
      <c r="BO898" s="302"/>
      <c r="BP898" s="302"/>
      <c r="BQ898" s="302"/>
      <c r="BR898" s="302"/>
      <c r="BS898" s="302"/>
      <c r="BT898" s="302"/>
      <c r="BU898" s="302"/>
      <c r="BV898" s="302"/>
      <c r="BW898" s="302"/>
      <c r="BX898" s="302"/>
      <c r="BY898" s="302"/>
      <c r="BZ898" s="302"/>
      <c r="CA898" s="302"/>
      <c r="CB898" s="28"/>
      <c r="CC898" s="28"/>
      <c r="CD898" s="28"/>
      <c r="CE898" s="28"/>
      <c r="CF898" s="28"/>
      <c r="CG898" s="28"/>
      <c r="CH898" s="28"/>
      <c r="CI898" s="28"/>
      <c r="CJ898" s="28"/>
      <c r="CK898" s="28"/>
      <c r="CL898" s="28"/>
      <c r="CM898" s="28"/>
      <c r="CN898" s="28"/>
      <c r="CO898" s="28"/>
      <c r="CP898" s="28"/>
      <c r="CQ898" s="28"/>
      <c r="CR898" s="28"/>
      <c r="CS898" s="28"/>
      <c r="CT898" s="28"/>
      <c r="CU898" s="28"/>
      <c r="CV898" s="28"/>
      <c r="CW898" s="28"/>
    </row>
    <row r="899" spans="1:101" ht="14.25" customHeight="1" x14ac:dyDescent="0.2">
      <c r="A899" s="286"/>
      <c r="B899" s="52">
        <v>0.14405188921273751</v>
      </c>
      <c r="C899" s="288">
        <v>0.12167515429142474</v>
      </c>
      <c r="D899" s="288">
        <v>2.9339461549271251E-2</v>
      </c>
      <c r="E899" s="288">
        <v>7.3592619596977021E-3</v>
      </c>
      <c r="F899" s="289">
        <v>0.78762144385694133</v>
      </c>
      <c r="G899" s="92">
        <v>0.41813081906881377</v>
      </c>
      <c r="H899" s="288">
        <v>0.64385727812835891</v>
      </c>
      <c r="I899" s="288">
        <v>9.1109207301998969E-3</v>
      </c>
      <c r="J899" s="288">
        <v>0.99999998248734401</v>
      </c>
      <c r="K899" s="288">
        <v>0.71525990159286368</v>
      </c>
      <c r="L899" s="290">
        <v>13854.58891584143</v>
      </c>
      <c r="M899" s="288">
        <v>0</v>
      </c>
      <c r="N899" s="288">
        <v>18127.613013045873</v>
      </c>
      <c r="O899" s="288">
        <v>1347.3068346534305</v>
      </c>
      <c r="P899" s="288">
        <v>36311.940148816051</v>
      </c>
      <c r="Q899" s="291">
        <v>152957.34875060085</v>
      </c>
      <c r="R899" s="288">
        <v>30891.406961877863</v>
      </c>
      <c r="S899" s="288">
        <v>10465.390080862269</v>
      </c>
      <c r="T899" s="290">
        <v>0.751</v>
      </c>
      <c r="U899" s="288">
        <v>0.75800000000000001</v>
      </c>
      <c r="V899" s="288">
        <v>0.723923076923077</v>
      </c>
      <c r="W899" s="288">
        <v>0.72750000000000004</v>
      </c>
      <c r="X899" s="288">
        <v>0.76</v>
      </c>
      <c r="Y899" s="288">
        <v>0</v>
      </c>
      <c r="Z899" s="289">
        <v>0</v>
      </c>
      <c r="AA899" s="229"/>
      <c r="AB899" s="293">
        <v>96860.494374006477</v>
      </c>
      <c r="AC899" s="294">
        <v>3.1777648667210232</v>
      </c>
      <c r="AD899" s="295">
        <v>84250.205358842955</v>
      </c>
      <c r="AE899" s="294">
        <v>2.8493244577035219</v>
      </c>
      <c r="AF899" s="295">
        <v>12610.289015163522</v>
      </c>
      <c r="AG899" s="296">
        <v>0.32844040901750127</v>
      </c>
      <c r="AH899" s="229"/>
      <c r="AI899" s="205">
        <f t="shared" si="96"/>
        <v>220915.99229809584</v>
      </c>
      <c r="AJ899" s="205">
        <f t="shared" si="97"/>
        <v>200682.24041150924</v>
      </c>
      <c r="AK899" s="205">
        <f t="shared" si="98"/>
        <v>20233.751886586608</v>
      </c>
      <c r="AL899" s="229"/>
      <c r="AM899" s="52">
        <f t="shared" si="86"/>
        <v>1</v>
      </c>
      <c r="AN899" s="52">
        <f t="shared" si="87"/>
        <v>0</v>
      </c>
      <c r="AO899" s="52">
        <f t="shared" si="88"/>
        <v>1</v>
      </c>
      <c r="AP899" s="229"/>
      <c r="AQ899" s="28"/>
      <c r="AR899" s="28"/>
      <c r="AS899" s="28"/>
      <c r="AT899" s="28"/>
      <c r="AU899" s="229"/>
      <c r="AV899" s="318">
        <f t="shared" si="99"/>
        <v>220915.99229809584</v>
      </c>
      <c r="AW899" s="229"/>
      <c r="AX899" s="313"/>
      <c r="AY899" s="302"/>
      <c r="AZ899" s="14">
        <f t="shared" si="101"/>
        <v>12610.289015163522</v>
      </c>
      <c r="BA899" s="14">
        <f t="shared" si="100"/>
        <v>0.32844040901750127</v>
      </c>
      <c r="BB899" s="14">
        <f t="shared" si="89"/>
        <v>38394.450466329712</v>
      </c>
      <c r="BC899" s="302"/>
      <c r="BD899" s="302"/>
      <c r="BE899" s="302"/>
      <c r="BF899" s="302"/>
      <c r="BG899" s="302"/>
      <c r="BH899" s="302"/>
      <c r="BI899" s="302"/>
      <c r="BJ899" s="302"/>
      <c r="BK899" s="302"/>
      <c r="BL899" s="302"/>
      <c r="BM899" s="302"/>
      <c r="BN899" s="302"/>
      <c r="BO899" s="302"/>
      <c r="BP899" s="302"/>
      <c r="BQ899" s="302"/>
      <c r="BR899" s="302"/>
      <c r="BS899" s="302"/>
      <c r="BT899" s="302"/>
      <c r="BU899" s="302"/>
      <c r="BV899" s="302"/>
      <c r="BW899" s="302"/>
      <c r="BX899" s="302"/>
      <c r="BY899" s="302"/>
      <c r="BZ899" s="302"/>
      <c r="CA899" s="302"/>
      <c r="CB899" s="28"/>
      <c r="CC899" s="28"/>
      <c r="CD899" s="28"/>
      <c r="CE899" s="28"/>
      <c r="CF899" s="28"/>
      <c r="CG899" s="28"/>
      <c r="CH899" s="28"/>
      <c r="CI899" s="28"/>
      <c r="CJ899" s="28"/>
      <c r="CK899" s="28"/>
      <c r="CL899" s="28"/>
      <c r="CM899" s="28"/>
      <c r="CN899" s="28"/>
      <c r="CO899" s="28"/>
      <c r="CP899" s="28"/>
      <c r="CQ899" s="28"/>
      <c r="CR899" s="28"/>
      <c r="CS899" s="28"/>
      <c r="CT899" s="28"/>
      <c r="CU899" s="28"/>
      <c r="CV899" s="28"/>
      <c r="CW899" s="28"/>
    </row>
    <row r="900" spans="1:101" ht="14.25" customHeight="1" x14ac:dyDescent="0.2">
      <c r="A900" s="286"/>
      <c r="B900" s="52">
        <v>0.15080732264399105</v>
      </c>
      <c r="C900" s="288">
        <v>0.14400181995653435</v>
      </c>
      <c r="D900" s="288">
        <v>2.7181332299090588E-2</v>
      </c>
      <c r="E900" s="288">
        <v>9.6485941814083639E-3</v>
      </c>
      <c r="F900" s="289">
        <v>0.79834155681076946</v>
      </c>
      <c r="G900" s="92">
        <v>0.39387034210387079</v>
      </c>
      <c r="H900" s="288">
        <v>0.72330718175576303</v>
      </c>
      <c r="I900" s="288">
        <v>1.7807745533280794E-2</v>
      </c>
      <c r="J900" s="288">
        <v>0.99982792454499692</v>
      </c>
      <c r="K900" s="288">
        <v>0.75998714378011334</v>
      </c>
      <c r="L900" s="290">
        <v>10833.470408489296</v>
      </c>
      <c r="M900" s="288">
        <v>0</v>
      </c>
      <c r="N900" s="288">
        <v>15760.562883945491</v>
      </c>
      <c r="O900" s="288">
        <v>1109.0210979857354</v>
      </c>
      <c r="P900" s="288">
        <v>49010.800588296981</v>
      </c>
      <c r="Q900" s="291">
        <v>91564.837549587261</v>
      </c>
      <c r="R900" s="288">
        <v>26633.910366091903</v>
      </c>
      <c r="S900" s="288">
        <v>9911.3517242959915</v>
      </c>
      <c r="T900" s="290">
        <v>0.751</v>
      </c>
      <c r="U900" s="288">
        <v>0.75800000000000001</v>
      </c>
      <c r="V900" s="288">
        <v>0.723923076923077</v>
      </c>
      <c r="W900" s="288">
        <v>0.72750000000000004</v>
      </c>
      <c r="X900" s="288">
        <v>0.76</v>
      </c>
      <c r="Y900" s="288">
        <v>0</v>
      </c>
      <c r="Z900" s="289">
        <v>0</v>
      </c>
      <c r="AA900" s="229"/>
      <c r="AB900" s="293">
        <v>90310.275221757503</v>
      </c>
      <c r="AC900" s="294">
        <v>3.2277284631568195</v>
      </c>
      <c r="AD900" s="295">
        <v>84123.420505750197</v>
      </c>
      <c r="AE900" s="294">
        <v>3.0542908914834674</v>
      </c>
      <c r="AF900" s="295">
        <v>6186.8547160073067</v>
      </c>
      <c r="AG900" s="296">
        <v>0.17343757167335205</v>
      </c>
      <c r="AH900" s="229"/>
      <c r="AI900" s="205">
        <f t="shared" si="96"/>
        <v>232462.57109392443</v>
      </c>
      <c r="AJ900" s="205">
        <f t="shared" si="97"/>
        <v>221305.66864259655</v>
      </c>
      <c r="AK900" s="205">
        <f t="shared" si="98"/>
        <v>11156.9024513279</v>
      </c>
      <c r="AL900" s="229"/>
      <c r="AM900" s="52">
        <f t="shared" si="86"/>
        <v>1</v>
      </c>
      <c r="AN900" s="52">
        <f t="shared" si="87"/>
        <v>0</v>
      </c>
      <c r="AO900" s="52">
        <f t="shared" si="88"/>
        <v>1</v>
      </c>
      <c r="AP900" s="229"/>
      <c r="AQ900" s="28"/>
      <c r="AR900" s="28"/>
      <c r="AS900" s="28"/>
      <c r="AT900" s="28"/>
      <c r="AU900" s="229"/>
      <c r="AV900" s="318">
        <f t="shared" si="99"/>
        <v>232462.57109392443</v>
      </c>
      <c r="AW900" s="229"/>
      <c r="AX900" s="313"/>
      <c r="AY900" s="302"/>
      <c r="AZ900" s="14">
        <f t="shared" si="101"/>
        <v>6186.8547160073067</v>
      </c>
      <c r="BA900" s="14">
        <f t="shared" si="100"/>
        <v>0.17343757167335205</v>
      </c>
      <c r="BB900" s="14">
        <f t="shared" si="89"/>
        <v>35671.940377829276</v>
      </c>
      <c r="BC900" s="302"/>
      <c r="BD900" s="302"/>
      <c r="BE900" s="302"/>
      <c r="BF900" s="302"/>
      <c r="BG900" s="302"/>
      <c r="BH900" s="302"/>
      <c r="BI900" s="302"/>
      <c r="BJ900" s="302"/>
      <c r="BK900" s="302"/>
      <c r="BL900" s="302"/>
      <c r="BM900" s="302"/>
      <c r="BN900" s="302"/>
      <c r="BO900" s="302"/>
      <c r="BP900" s="302"/>
      <c r="BQ900" s="302"/>
      <c r="BR900" s="302"/>
      <c r="BS900" s="302"/>
      <c r="BT900" s="302"/>
      <c r="BU900" s="302"/>
      <c r="BV900" s="302"/>
      <c r="BW900" s="302"/>
      <c r="BX900" s="302"/>
      <c r="BY900" s="302"/>
      <c r="BZ900" s="302"/>
      <c r="CA900" s="302"/>
      <c r="CB900" s="28"/>
      <c r="CC900" s="28"/>
      <c r="CD900" s="28"/>
      <c r="CE900" s="28"/>
      <c r="CF900" s="28"/>
      <c r="CG900" s="28"/>
      <c r="CH900" s="28"/>
      <c r="CI900" s="28"/>
      <c r="CJ900" s="28"/>
      <c r="CK900" s="28"/>
      <c r="CL900" s="28"/>
      <c r="CM900" s="28"/>
      <c r="CN900" s="28"/>
      <c r="CO900" s="28"/>
      <c r="CP900" s="28"/>
      <c r="CQ900" s="28"/>
      <c r="CR900" s="28"/>
      <c r="CS900" s="28"/>
      <c r="CT900" s="28"/>
      <c r="CU900" s="28"/>
      <c r="CV900" s="28"/>
      <c r="CW900" s="28"/>
    </row>
    <row r="901" spans="1:101" ht="14.25" customHeight="1" x14ac:dyDescent="0.2">
      <c r="A901" s="286"/>
      <c r="B901" s="52">
        <v>0.12396227924051463</v>
      </c>
      <c r="C901" s="288">
        <v>4.2891832504425138E-2</v>
      </c>
      <c r="D901" s="288">
        <v>1.5113447874698038E-2</v>
      </c>
      <c r="E901" s="288">
        <v>9.4504562314902466E-3</v>
      </c>
      <c r="F901" s="289">
        <v>0.77267881442708719</v>
      </c>
      <c r="G901" s="92">
        <v>0.45660184655034897</v>
      </c>
      <c r="H901" s="288">
        <v>0.54822140199406688</v>
      </c>
      <c r="I901" s="288">
        <v>1.4291564606924888E-2</v>
      </c>
      <c r="J901" s="288">
        <v>0.99999991414777523</v>
      </c>
      <c r="K901" s="288">
        <v>0.718848896628284</v>
      </c>
      <c r="L901" s="290">
        <v>11943.816200313873</v>
      </c>
      <c r="M901" s="288">
        <v>0</v>
      </c>
      <c r="N901" s="288">
        <v>18917.648625276346</v>
      </c>
      <c r="O901" s="288">
        <v>1246.2020291718065</v>
      </c>
      <c r="P901" s="288">
        <v>43151.049460496077</v>
      </c>
      <c r="Q901" s="291">
        <v>99198.024841594233</v>
      </c>
      <c r="R901" s="288">
        <v>25239.560383135737</v>
      </c>
      <c r="S901" s="288">
        <v>7931.7224277617715</v>
      </c>
      <c r="T901" s="290">
        <v>0.751</v>
      </c>
      <c r="U901" s="288">
        <v>0.75800000000000001</v>
      </c>
      <c r="V901" s="288">
        <v>0.723923076923077</v>
      </c>
      <c r="W901" s="288">
        <v>0.72750000000000004</v>
      </c>
      <c r="X901" s="288">
        <v>0.76</v>
      </c>
      <c r="Y901" s="288">
        <v>0</v>
      </c>
      <c r="Z901" s="289">
        <v>0</v>
      </c>
      <c r="AA901" s="229"/>
      <c r="AB901" s="293">
        <v>73107.322006851624</v>
      </c>
      <c r="AC901" s="294">
        <v>3.1084219790311387</v>
      </c>
      <c r="AD901" s="295">
        <v>64710.938691405623</v>
      </c>
      <c r="AE901" s="294">
        <v>2.8656549734121324</v>
      </c>
      <c r="AF901" s="295">
        <v>8396.3833154460008</v>
      </c>
      <c r="AG901" s="296">
        <v>0.24276700561900633</v>
      </c>
      <c r="AH901" s="229"/>
      <c r="AI901" s="205">
        <f t="shared" si="96"/>
        <v>237734.87589626224</v>
      </c>
      <c r="AJ901" s="205">
        <f t="shared" si="97"/>
        <v>221854.55864980759</v>
      </c>
      <c r="AK901" s="205">
        <f t="shared" si="98"/>
        <v>15880.317246454633</v>
      </c>
      <c r="AL901" s="229"/>
      <c r="AM901" s="52">
        <f t="shared" si="86"/>
        <v>1</v>
      </c>
      <c r="AN901" s="52">
        <f t="shared" si="87"/>
        <v>0</v>
      </c>
      <c r="AO901" s="52">
        <f t="shared" si="88"/>
        <v>1</v>
      </c>
      <c r="AP901" s="229"/>
      <c r="AQ901" s="28"/>
      <c r="AR901" s="28"/>
      <c r="AS901" s="28"/>
      <c r="AT901" s="28"/>
      <c r="AU901" s="229"/>
      <c r="AV901" s="318">
        <f t="shared" si="99"/>
        <v>237734.87589626224</v>
      </c>
      <c r="AW901" s="229"/>
      <c r="AX901" s="313"/>
      <c r="AY901" s="302"/>
      <c r="AZ901" s="14">
        <f t="shared" si="101"/>
        <v>8396.3833154460008</v>
      </c>
      <c r="BA901" s="14">
        <f t="shared" si="100"/>
        <v>0.24276700561900633</v>
      </c>
      <c r="BB901" s="14">
        <f t="shared" si="89"/>
        <v>34586.179839541772</v>
      </c>
      <c r="BC901" s="302"/>
      <c r="BD901" s="302"/>
      <c r="BE901" s="302"/>
      <c r="BF901" s="302"/>
      <c r="BG901" s="302"/>
      <c r="BH901" s="302"/>
      <c r="BI901" s="302"/>
      <c r="BJ901" s="302"/>
      <c r="BK901" s="302"/>
      <c r="BL901" s="302"/>
      <c r="BM901" s="302"/>
      <c r="BN901" s="302"/>
      <c r="BO901" s="302"/>
      <c r="BP901" s="302"/>
      <c r="BQ901" s="302"/>
      <c r="BR901" s="302"/>
      <c r="BS901" s="302"/>
      <c r="BT901" s="302"/>
      <c r="BU901" s="302"/>
      <c r="BV901" s="302"/>
      <c r="BW901" s="302"/>
      <c r="BX901" s="302"/>
      <c r="BY901" s="302"/>
      <c r="BZ901" s="302"/>
      <c r="CA901" s="302"/>
      <c r="CB901" s="28"/>
      <c r="CC901" s="28"/>
      <c r="CD901" s="28"/>
      <c r="CE901" s="28"/>
      <c r="CF901" s="28"/>
      <c r="CG901" s="28"/>
      <c r="CH901" s="28"/>
      <c r="CI901" s="28"/>
      <c r="CJ901" s="28"/>
      <c r="CK901" s="28"/>
      <c r="CL901" s="28"/>
      <c r="CM901" s="28"/>
      <c r="CN901" s="28"/>
      <c r="CO901" s="28"/>
      <c r="CP901" s="28"/>
      <c r="CQ901" s="28"/>
      <c r="CR901" s="28"/>
      <c r="CS901" s="28"/>
      <c r="CT901" s="28"/>
      <c r="CU901" s="28"/>
      <c r="CV901" s="28"/>
      <c r="CW901" s="28"/>
    </row>
    <row r="902" spans="1:101" ht="14.25" customHeight="1" x14ac:dyDescent="0.2">
      <c r="A902" s="286"/>
      <c r="B902" s="52">
        <v>0.17529486370212122</v>
      </c>
      <c r="C902" s="288">
        <v>0.20975413592489534</v>
      </c>
      <c r="D902" s="288">
        <v>2.2111201421833981E-2</v>
      </c>
      <c r="E902" s="288">
        <v>1.8208838387876347E-2</v>
      </c>
      <c r="F902" s="289">
        <v>0.75932266581912755</v>
      </c>
      <c r="G902" s="92">
        <v>0.37984211099490239</v>
      </c>
      <c r="H902" s="288">
        <v>0.97764321706352308</v>
      </c>
      <c r="I902" s="288">
        <v>1.5980887186461068E-2</v>
      </c>
      <c r="J902" s="288">
        <v>0.99237062711332846</v>
      </c>
      <c r="K902" s="288">
        <v>0.77931145437414506</v>
      </c>
      <c r="L902" s="290">
        <v>14199.28133385553</v>
      </c>
      <c r="M902" s="288">
        <v>0</v>
      </c>
      <c r="N902" s="288">
        <v>14610.141263871848</v>
      </c>
      <c r="O902" s="288">
        <v>1351.4104676805862</v>
      </c>
      <c r="P902" s="288">
        <v>53098.94756500527</v>
      </c>
      <c r="Q902" s="291">
        <v>132283.51569017483</v>
      </c>
      <c r="R902" s="288">
        <v>19472.987062871565</v>
      </c>
      <c r="S902" s="288">
        <v>10017.74052935349</v>
      </c>
      <c r="T902" s="290">
        <v>0.751</v>
      </c>
      <c r="U902" s="288">
        <v>0.75800000000000001</v>
      </c>
      <c r="V902" s="288">
        <v>0.723923076923077</v>
      </c>
      <c r="W902" s="288">
        <v>0.72750000000000004</v>
      </c>
      <c r="X902" s="288">
        <v>0.76</v>
      </c>
      <c r="Y902" s="288">
        <v>0</v>
      </c>
      <c r="Z902" s="289">
        <v>0</v>
      </c>
      <c r="AA902" s="229"/>
      <c r="AB902" s="293">
        <v>90993.373581138861</v>
      </c>
      <c r="AC902" s="294">
        <v>3.0467377443849295</v>
      </c>
      <c r="AD902" s="295">
        <v>86711.962138902105</v>
      </c>
      <c r="AE902" s="294">
        <v>3.1438217100079835</v>
      </c>
      <c r="AF902" s="295">
        <v>4281.4114422367566</v>
      </c>
      <c r="AG902" s="296">
        <v>-9.7083965623053992E-2</v>
      </c>
      <c r="AH902" s="229"/>
      <c r="AI902" s="205">
        <f t="shared" si="96"/>
        <v>213680.40085735411</v>
      </c>
      <c r="AJ902" s="205">
        <f t="shared" si="97"/>
        <v>227670.20886189624</v>
      </c>
      <c r="AK902" s="205">
        <f t="shared" si="98"/>
        <v>-13989.808004542156</v>
      </c>
      <c r="AL902" s="229"/>
      <c r="AM902" s="52">
        <f t="shared" si="86"/>
        <v>0</v>
      </c>
      <c r="AN902" s="52">
        <f t="shared" si="87"/>
        <v>1</v>
      </c>
      <c r="AO902" s="52">
        <f t="shared" si="88"/>
        <v>0</v>
      </c>
      <c r="AP902" s="229"/>
      <c r="AQ902" s="28"/>
      <c r="AR902" s="28"/>
      <c r="AS902" s="28"/>
      <c r="AT902" s="28"/>
      <c r="AU902" s="229"/>
      <c r="AV902" s="318">
        <f t="shared" si="99"/>
        <v>227670.20886189624</v>
      </c>
      <c r="AW902" s="229"/>
      <c r="AX902" s="313"/>
      <c r="AY902" s="302"/>
      <c r="AZ902" s="14">
        <f t="shared" si="101"/>
        <v>4281.4114422367566</v>
      </c>
      <c r="BA902" s="14">
        <f t="shared" si="100"/>
        <v>-9.7083965623053992E-2</v>
      </c>
      <c r="BB902" s="14">
        <f t="shared" si="89"/>
        <v>-44100.08815317772</v>
      </c>
      <c r="BC902" s="302"/>
      <c r="BD902" s="302"/>
      <c r="BE902" s="302"/>
      <c r="BF902" s="302"/>
      <c r="BG902" s="302"/>
      <c r="BH902" s="302"/>
      <c r="BI902" s="302"/>
      <c r="BJ902" s="302"/>
      <c r="BK902" s="302"/>
      <c r="BL902" s="302"/>
      <c r="BM902" s="302"/>
      <c r="BN902" s="302"/>
      <c r="BO902" s="302"/>
      <c r="BP902" s="302"/>
      <c r="BQ902" s="302"/>
      <c r="BR902" s="302"/>
      <c r="BS902" s="302"/>
      <c r="BT902" s="302"/>
      <c r="BU902" s="302"/>
      <c r="BV902" s="302"/>
      <c r="BW902" s="302"/>
      <c r="BX902" s="302"/>
      <c r="BY902" s="302"/>
      <c r="BZ902" s="302"/>
      <c r="CA902" s="302"/>
      <c r="CB902" s="28"/>
      <c r="CC902" s="28"/>
      <c r="CD902" s="28"/>
      <c r="CE902" s="28"/>
      <c r="CF902" s="28"/>
      <c r="CG902" s="28"/>
      <c r="CH902" s="28"/>
      <c r="CI902" s="28"/>
      <c r="CJ902" s="28"/>
      <c r="CK902" s="28"/>
      <c r="CL902" s="28"/>
      <c r="CM902" s="28"/>
      <c r="CN902" s="28"/>
      <c r="CO902" s="28"/>
      <c r="CP902" s="28"/>
      <c r="CQ902" s="28"/>
      <c r="CR902" s="28"/>
      <c r="CS902" s="28"/>
      <c r="CT902" s="28"/>
      <c r="CU902" s="28"/>
      <c r="CV902" s="28"/>
      <c r="CW902" s="28"/>
    </row>
    <row r="903" spans="1:101" ht="14.25" customHeight="1" x14ac:dyDescent="0.2">
      <c r="A903" s="286"/>
      <c r="B903" s="52">
        <v>0.18560307730343395</v>
      </c>
      <c r="C903" s="288">
        <v>0.45665245199696991</v>
      </c>
      <c r="D903" s="288">
        <v>4.9009626583367124E-3</v>
      </c>
      <c r="E903" s="288">
        <v>1.375756942960334E-2</v>
      </c>
      <c r="F903" s="289">
        <v>0.79478717807372923</v>
      </c>
      <c r="G903" s="92">
        <v>0.35973680731362323</v>
      </c>
      <c r="H903" s="288">
        <v>0.91803390671037444</v>
      </c>
      <c r="I903" s="288">
        <v>1.1526384933087096E-2</v>
      </c>
      <c r="J903" s="288">
        <v>0.99999996988193618</v>
      </c>
      <c r="K903" s="288">
        <v>0.7998736865846785</v>
      </c>
      <c r="L903" s="290">
        <v>13501.898166427076</v>
      </c>
      <c r="M903" s="288">
        <v>0</v>
      </c>
      <c r="N903" s="288">
        <v>13200.397514639852</v>
      </c>
      <c r="O903" s="288">
        <v>1569.1748578988263</v>
      </c>
      <c r="P903" s="288">
        <v>35143.979858937717</v>
      </c>
      <c r="Q903" s="291">
        <v>104866.6872668593</v>
      </c>
      <c r="R903" s="288">
        <v>30484.634510495755</v>
      </c>
      <c r="S903" s="288">
        <v>9086.7945641911956</v>
      </c>
      <c r="T903" s="290">
        <v>0.751</v>
      </c>
      <c r="U903" s="288">
        <v>0.75800000000000001</v>
      </c>
      <c r="V903" s="288">
        <v>0.723923076923077</v>
      </c>
      <c r="W903" s="288">
        <v>0.72750000000000004</v>
      </c>
      <c r="X903" s="288">
        <v>0.76</v>
      </c>
      <c r="Y903" s="288">
        <v>0</v>
      </c>
      <c r="Z903" s="289">
        <v>0</v>
      </c>
      <c r="AA903" s="229"/>
      <c r="AB903" s="293">
        <v>87987.874491682654</v>
      </c>
      <c r="AC903" s="294">
        <v>3.2111424741898427</v>
      </c>
      <c r="AD903" s="295">
        <v>83685.080090652977</v>
      </c>
      <c r="AE903" s="294">
        <v>3.2397342875895969</v>
      </c>
      <c r="AF903" s="295">
        <v>4302.7944010296778</v>
      </c>
      <c r="AG903" s="296">
        <v>-2.8591813399754251E-2</v>
      </c>
      <c r="AH903" s="229"/>
      <c r="AI903" s="205">
        <f t="shared" si="96"/>
        <v>233126.37292730159</v>
      </c>
      <c r="AJ903" s="205">
        <f t="shared" si="97"/>
        <v>240288.34866830672</v>
      </c>
      <c r="AK903" s="205">
        <f t="shared" si="98"/>
        <v>-7161.9757410051025</v>
      </c>
      <c r="AL903" s="229"/>
      <c r="AM903" s="52">
        <f t="shared" si="86"/>
        <v>0</v>
      </c>
      <c r="AN903" s="52">
        <f t="shared" si="87"/>
        <v>1</v>
      </c>
      <c r="AO903" s="52">
        <f t="shared" si="88"/>
        <v>0</v>
      </c>
      <c r="AP903" s="229"/>
      <c r="AQ903" s="28"/>
      <c r="AR903" s="28"/>
      <c r="AS903" s="28"/>
      <c r="AT903" s="28"/>
      <c r="AU903" s="229"/>
      <c r="AV903" s="318">
        <f t="shared" si="99"/>
        <v>240288.34866830672</v>
      </c>
      <c r="AW903" s="229"/>
      <c r="AX903" s="313"/>
      <c r="AY903" s="302"/>
      <c r="AZ903" s="14">
        <f t="shared" si="101"/>
        <v>4302.7944010296778</v>
      </c>
      <c r="BA903" s="14">
        <f t="shared" si="100"/>
        <v>-2.8591813399754251E-2</v>
      </c>
      <c r="BB903" s="14">
        <f t="shared" si="89"/>
        <v>-150490.43377803595</v>
      </c>
      <c r="BC903" s="302"/>
      <c r="BD903" s="302"/>
      <c r="BE903" s="302"/>
      <c r="BF903" s="302"/>
      <c r="BG903" s="302"/>
      <c r="BH903" s="302"/>
      <c r="BI903" s="302"/>
      <c r="BJ903" s="302"/>
      <c r="BK903" s="302"/>
      <c r="BL903" s="302"/>
      <c r="BM903" s="302"/>
      <c r="BN903" s="302"/>
      <c r="BO903" s="302"/>
      <c r="BP903" s="302"/>
      <c r="BQ903" s="302"/>
      <c r="BR903" s="302"/>
      <c r="BS903" s="302"/>
      <c r="BT903" s="302"/>
      <c r="BU903" s="302"/>
      <c r="BV903" s="302"/>
      <c r="BW903" s="302"/>
      <c r="BX903" s="302"/>
      <c r="BY903" s="302"/>
      <c r="BZ903" s="302"/>
      <c r="CA903" s="302"/>
      <c r="CB903" s="28"/>
      <c r="CC903" s="28"/>
      <c r="CD903" s="28"/>
      <c r="CE903" s="28"/>
      <c r="CF903" s="28"/>
      <c r="CG903" s="28"/>
      <c r="CH903" s="28"/>
      <c r="CI903" s="28"/>
      <c r="CJ903" s="28"/>
      <c r="CK903" s="28"/>
      <c r="CL903" s="28"/>
      <c r="CM903" s="28"/>
      <c r="CN903" s="28"/>
      <c r="CO903" s="28"/>
      <c r="CP903" s="28"/>
      <c r="CQ903" s="28"/>
      <c r="CR903" s="28"/>
      <c r="CS903" s="28"/>
      <c r="CT903" s="28"/>
      <c r="CU903" s="28"/>
      <c r="CV903" s="28"/>
      <c r="CW903" s="28"/>
    </row>
    <row r="904" spans="1:101" ht="14.25" customHeight="1" x14ac:dyDescent="0.2">
      <c r="A904" s="286"/>
      <c r="B904" s="52">
        <v>0.17457943323838265</v>
      </c>
      <c r="C904" s="288">
        <v>0.87088004024191168</v>
      </c>
      <c r="D904" s="288">
        <v>1.9384316515075883E-2</v>
      </c>
      <c r="E904" s="288">
        <v>1.3621522595635944E-2</v>
      </c>
      <c r="F904" s="289">
        <v>0.78988593409858709</v>
      </c>
      <c r="G904" s="92">
        <v>0.44854749799169069</v>
      </c>
      <c r="H904" s="288">
        <v>0.47491329951627231</v>
      </c>
      <c r="I904" s="288">
        <v>3.2207504790825237E-2</v>
      </c>
      <c r="J904" s="288">
        <v>0.99999579867676403</v>
      </c>
      <c r="K904" s="288">
        <v>0.75397525611532545</v>
      </c>
      <c r="L904" s="290">
        <v>9861.8506118452242</v>
      </c>
      <c r="M904" s="288">
        <v>0</v>
      </c>
      <c r="N904" s="288">
        <v>20907.510371660661</v>
      </c>
      <c r="O904" s="288">
        <v>962.96716459224444</v>
      </c>
      <c r="P904" s="288">
        <v>47986.207067892858</v>
      </c>
      <c r="Q904" s="291">
        <v>129245.70359474968</v>
      </c>
      <c r="R904" s="288">
        <v>31323.626507019198</v>
      </c>
      <c r="S904" s="288">
        <v>10602.32336300215</v>
      </c>
      <c r="T904" s="290">
        <v>0.751</v>
      </c>
      <c r="U904" s="288">
        <v>0.75800000000000001</v>
      </c>
      <c r="V904" s="288">
        <v>0.723923076923077</v>
      </c>
      <c r="W904" s="288">
        <v>0.72750000000000004</v>
      </c>
      <c r="X904" s="288">
        <v>0.76</v>
      </c>
      <c r="Y904" s="288">
        <v>0</v>
      </c>
      <c r="Z904" s="289">
        <v>0</v>
      </c>
      <c r="AA904" s="229"/>
      <c r="AB904" s="293">
        <v>98160.834927107047</v>
      </c>
      <c r="AC904" s="294">
        <v>3.1883040371372759</v>
      </c>
      <c r="AD904" s="295">
        <v>89857.577349872779</v>
      </c>
      <c r="AE904" s="294">
        <v>3.02655746129326</v>
      </c>
      <c r="AF904" s="295">
        <v>8303.257577234268</v>
      </c>
      <c r="AG904" s="296">
        <v>0.16174657584401597</v>
      </c>
      <c r="AH904" s="229"/>
      <c r="AI904" s="205">
        <f t="shared" si="96"/>
        <v>220669.56878662057</v>
      </c>
      <c r="AJ904" s="205">
        <f t="shared" si="97"/>
        <v>212798.1687794532</v>
      </c>
      <c r="AK904" s="205">
        <f t="shared" si="98"/>
        <v>7871.400007167329</v>
      </c>
      <c r="AL904" s="229"/>
      <c r="AM904" s="52">
        <f t="shared" si="86"/>
        <v>1</v>
      </c>
      <c r="AN904" s="52">
        <f t="shared" si="87"/>
        <v>0</v>
      </c>
      <c r="AO904" s="52">
        <f t="shared" si="88"/>
        <v>1</v>
      </c>
      <c r="AP904" s="229"/>
      <c r="AQ904" s="28"/>
      <c r="AR904" s="28"/>
      <c r="AS904" s="28"/>
      <c r="AT904" s="28"/>
      <c r="AU904" s="229"/>
      <c r="AV904" s="318">
        <f t="shared" si="99"/>
        <v>220669.56878662057</v>
      </c>
      <c r="AW904" s="229"/>
      <c r="AX904" s="313"/>
      <c r="AY904" s="302"/>
      <c r="AZ904" s="14">
        <f t="shared" si="101"/>
        <v>8303.257577234268</v>
      </c>
      <c r="BA904" s="14">
        <f t="shared" si="100"/>
        <v>0.16174657584401597</v>
      </c>
      <c r="BB904" s="14">
        <f t="shared" si="89"/>
        <v>51334.982109554549</v>
      </c>
      <c r="BC904" s="302"/>
      <c r="BD904" s="302"/>
      <c r="BE904" s="302"/>
      <c r="BF904" s="302"/>
      <c r="BG904" s="302"/>
      <c r="BH904" s="302"/>
      <c r="BI904" s="302"/>
      <c r="BJ904" s="302"/>
      <c r="BK904" s="302"/>
      <c r="BL904" s="302"/>
      <c r="BM904" s="302"/>
      <c r="BN904" s="302"/>
      <c r="BO904" s="302"/>
      <c r="BP904" s="302"/>
      <c r="BQ904" s="302"/>
      <c r="BR904" s="302"/>
      <c r="BS904" s="302"/>
      <c r="BT904" s="302"/>
      <c r="BU904" s="302"/>
      <c r="BV904" s="302"/>
      <c r="BW904" s="302"/>
      <c r="BX904" s="302"/>
      <c r="BY904" s="302"/>
      <c r="BZ904" s="302"/>
      <c r="CA904" s="302"/>
      <c r="CB904" s="28"/>
      <c r="CC904" s="28"/>
      <c r="CD904" s="28"/>
      <c r="CE904" s="28"/>
      <c r="CF904" s="28"/>
      <c r="CG904" s="28"/>
      <c r="CH904" s="28"/>
      <c r="CI904" s="28"/>
      <c r="CJ904" s="28"/>
      <c r="CK904" s="28"/>
      <c r="CL904" s="28"/>
      <c r="CM904" s="28"/>
      <c r="CN904" s="28"/>
      <c r="CO904" s="28"/>
      <c r="CP904" s="28"/>
      <c r="CQ904" s="28"/>
      <c r="CR904" s="28"/>
      <c r="CS904" s="28"/>
      <c r="CT904" s="28"/>
      <c r="CU904" s="28"/>
      <c r="CV904" s="28"/>
      <c r="CW904" s="28"/>
    </row>
    <row r="905" spans="1:101" ht="14.25" customHeight="1" x14ac:dyDescent="0.2">
      <c r="A905" s="286"/>
      <c r="B905" s="52">
        <v>0.16385751773421098</v>
      </c>
      <c r="C905" s="288">
        <v>9.2105659235618698E-2</v>
      </c>
      <c r="D905" s="288">
        <v>1.6306021495716361E-2</v>
      </c>
      <c r="E905" s="288">
        <v>2.1187971865415434E-2</v>
      </c>
      <c r="F905" s="289">
        <v>0.80521465992087826</v>
      </c>
      <c r="G905" s="92">
        <v>0.36557277178397379</v>
      </c>
      <c r="H905" s="288">
        <v>0.18166802632820736</v>
      </c>
      <c r="I905" s="288">
        <v>2.0250749800281742E-2</v>
      </c>
      <c r="J905" s="288">
        <v>0.98653454676447838</v>
      </c>
      <c r="K905" s="288">
        <v>0.7377606235856784</v>
      </c>
      <c r="L905" s="290">
        <v>11864.117710711555</v>
      </c>
      <c r="M905" s="288">
        <v>0</v>
      </c>
      <c r="N905" s="288">
        <v>20972.350833813176</v>
      </c>
      <c r="O905" s="288">
        <v>1362.4761423592997</v>
      </c>
      <c r="P905" s="288">
        <v>38419.48214454695</v>
      </c>
      <c r="Q905" s="291">
        <v>117097.65548606499</v>
      </c>
      <c r="R905" s="288">
        <v>17205.251996211595</v>
      </c>
      <c r="S905" s="288">
        <v>8968.7901166983902</v>
      </c>
      <c r="T905" s="290">
        <v>0.751</v>
      </c>
      <c r="U905" s="288">
        <v>0.75800000000000001</v>
      </c>
      <c r="V905" s="288">
        <v>0.723923076923077</v>
      </c>
      <c r="W905" s="288">
        <v>0.72750000000000004</v>
      </c>
      <c r="X905" s="288">
        <v>0.76</v>
      </c>
      <c r="Y905" s="288">
        <v>0</v>
      </c>
      <c r="Z905" s="289">
        <v>0</v>
      </c>
      <c r="AA905" s="229"/>
      <c r="AB905" s="293">
        <v>84175.605553525398</v>
      </c>
      <c r="AC905" s="294">
        <v>3.2598570009751104</v>
      </c>
      <c r="AD905" s="295">
        <v>68909.898108918453</v>
      </c>
      <c r="AE905" s="294">
        <v>2.9520417998919628</v>
      </c>
      <c r="AF905" s="295">
        <v>15265.707444606946</v>
      </c>
      <c r="AG905" s="296">
        <v>0.30781520108314764</v>
      </c>
      <c r="AH905" s="229"/>
      <c r="AI905" s="205">
        <f t="shared" si="96"/>
        <v>241810.09454398567</v>
      </c>
      <c r="AJ905" s="205">
        <f t="shared" si="97"/>
        <v>226294.28188027785</v>
      </c>
      <c r="AK905" s="205">
        <f t="shared" si="98"/>
        <v>15515.812663707817</v>
      </c>
      <c r="AL905" s="229"/>
      <c r="AM905" s="52">
        <f t="shared" si="86"/>
        <v>1</v>
      </c>
      <c r="AN905" s="52">
        <f t="shared" si="87"/>
        <v>0</v>
      </c>
      <c r="AO905" s="52">
        <f t="shared" si="88"/>
        <v>1</v>
      </c>
      <c r="AP905" s="229"/>
      <c r="AQ905" s="28"/>
      <c r="AR905" s="28"/>
      <c r="AS905" s="28"/>
      <c r="AT905" s="28"/>
      <c r="AU905" s="229"/>
      <c r="AV905" s="318">
        <f t="shared" si="99"/>
        <v>241810.09454398567</v>
      </c>
      <c r="AW905" s="229"/>
      <c r="AX905" s="313"/>
      <c r="AY905" s="302"/>
      <c r="AZ905" s="14">
        <f t="shared" si="101"/>
        <v>15265.707444606946</v>
      </c>
      <c r="BA905" s="14">
        <f t="shared" si="100"/>
        <v>0.30781520108314764</v>
      </c>
      <c r="BB905" s="14">
        <f t="shared" si="89"/>
        <v>49593.741280123926</v>
      </c>
      <c r="BC905" s="302"/>
      <c r="BD905" s="302"/>
      <c r="BE905" s="302"/>
      <c r="BF905" s="302"/>
      <c r="BG905" s="302"/>
      <c r="BH905" s="302"/>
      <c r="BI905" s="302"/>
      <c r="BJ905" s="302"/>
      <c r="BK905" s="302"/>
      <c r="BL905" s="302"/>
      <c r="BM905" s="302"/>
      <c r="BN905" s="302"/>
      <c r="BO905" s="302"/>
      <c r="BP905" s="302"/>
      <c r="BQ905" s="302"/>
      <c r="BR905" s="302"/>
      <c r="BS905" s="302"/>
      <c r="BT905" s="302"/>
      <c r="BU905" s="302"/>
      <c r="BV905" s="302"/>
      <c r="BW905" s="302"/>
      <c r="BX905" s="302"/>
      <c r="BY905" s="302"/>
      <c r="BZ905" s="302"/>
      <c r="CA905" s="302"/>
      <c r="CB905" s="28"/>
      <c r="CC905" s="28"/>
      <c r="CD905" s="28"/>
      <c r="CE905" s="28"/>
      <c r="CF905" s="28"/>
      <c r="CG905" s="28"/>
      <c r="CH905" s="28"/>
      <c r="CI905" s="28"/>
      <c r="CJ905" s="28"/>
      <c r="CK905" s="28"/>
      <c r="CL905" s="28"/>
      <c r="CM905" s="28"/>
      <c r="CN905" s="28"/>
      <c r="CO905" s="28"/>
      <c r="CP905" s="28"/>
      <c r="CQ905" s="28"/>
      <c r="CR905" s="28"/>
      <c r="CS905" s="28"/>
      <c r="CT905" s="28"/>
      <c r="CU905" s="28"/>
      <c r="CV905" s="28"/>
      <c r="CW905" s="28"/>
    </row>
    <row r="906" spans="1:101" ht="14.25" customHeight="1" x14ac:dyDescent="0.2">
      <c r="A906" s="286"/>
      <c r="B906" s="52">
        <v>0.15126912881726423</v>
      </c>
      <c r="C906" s="288">
        <v>0.66324406490432275</v>
      </c>
      <c r="D906" s="288">
        <v>1.9251698268392237E-2</v>
      </c>
      <c r="E906" s="288">
        <v>9.0411751662289926E-3</v>
      </c>
      <c r="F906" s="289">
        <v>0.74697591459716195</v>
      </c>
      <c r="G906" s="92">
        <v>0.41939172092338928</v>
      </c>
      <c r="H906" s="288">
        <v>0.19242033191539026</v>
      </c>
      <c r="I906" s="288">
        <v>2.4683146418836288E-2</v>
      </c>
      <c r="J906" s="288">
        <v>1</v>
      </c>
      <c r="K906" s="288">
        <v>0.83165119192402837</v>
      </c>
      <c r="L906" s="290">
        <v>12554.461993329507</v>
      </c>
      <c r="M906" s="288">
        <v>0</v>
      </c>
      <c r="N906" s="288">
        <v>12710.713559579992</v>
      </c>
      <c r="O906" s="288">
        <v>1332.2676354406888</v>
      </c>
      <c r="P906" s="288">
        <v>49190.702205992275</v>
      </c>
      <c r="Q906" s="291">
        <v>66777.09028575859</v>
      </c>
      <c r="R906" s="288">
        <v>25627.95914540812</v>
      </c>
      <c r="S906" s="288">
        <v>7983.3194436723679</v>
      </c>
      <c r="T906" s="290">
        <v>0.751</v>
      </c>
      <c r="U906" s="288">
        <v>0.75800000000000001</v>
      </c>
      <c r="V906" s="288">
        <v>0.723923076923077</v>
      </c>
      <c r="W906" s="288">
        <v>0.72750000000000004</v>
      </c>
      <c r="X906" s="288">
        <v>0.76</v>
      </c>
      <c r="Y906" s="288">
        <v>0</v>
      </c>
      <c r="Z906" s="289">
        <v>0</v>
      </c>
      <c r="AA906" s="229"/>
      <c r="AB906" s="293">
        <v>74574.070095500691</v>
      </c>
      <c r="AC906" s="294">
        <v>2.9899642052115061</v>
      </c>
      <c r="AD906" s="295">
        <v>70288.329250517447</v>
      </c>
      <c r="AE906" s="294">
        <v>3.3892713616819101</v>
      </c>
      <c r="AF906" s="295">
        <v>4285.7408449832437</v>
      </c>
      <c r="AG906" s="296">
        <v>-0.39930715647040405</v>
      </c>
      <c r="AH906" s="229"/>
      <c r="AI906" s="205">
        <f t="shared" si="96"/>
        <v>224422.35042564996</v>
      </c>
      <c r="AJ906" s="205">
        <f t="shared" si="97"/>
        <v>268638.80691767356</v>
      </c>
      <c r="AK906" s="205">
        <f t="shared" si="98"/>
        <v>-44216.456492023652</v>
      </c>
      <c r="AL906" s="229"/>
      <c r="AM906" s="52">
        <f t="shared" si="86"/>
        <v>0</v>
      </c>
      <c r="AN906" s="52">
        <f t="shared" si="87"/>
        <v>1</v>
      </c>
      <c r="AO906" s="52">
        <f t="shared" si="88"/>
        <v>0</v>
      </c>
      <c r="AP906" s="229"/>
      <c r="AQ906" s="28"/>
      <c r="AR906" s="28"/>
      <c r="AS906" s="28"/>
      <c r="AT906" s="28"/>
      <c r="AU906" s="229"/>
      <c r="AV906" s="318">
        <f t="shared" si="99"/>
        <v>268638.80691767356</v>
      </c>
      <c r="AW906" s="229"/>
      <c r="AX906" s="313"/>
      <c r="AY906" s="302"/>
      <c r="AZ906" s="14">
        <f t="shared" si="101"/>
        <v>4285.7408449832437</v>
      </c>
      <c r="BA906" s="14">
        <f t="shared" si="100"/>
        <v>-0.39930715647040405</v>
      </c>
      <c r="BB906" s="14">
        <f t="shared" si="89"/>
        <v>-10732.942737280731</v>
      </c>
      <c r="BC906" s="302"/>
      <c r="BD906" s="302"/>
      <c r="BE906" s="302"/>
      <c r="BF906" s="302"/>
      <c r="BG906" s="302"/>
      <c r="BH906" s="302"/>
      <c r="BI906" s="302"/>
      <c r="BJ906" s="302"/>
      <c r="BK906" s="302"/>
      <c r="BL906" s="302"/>
      <c r="BM906" s="302"/>
      <c r="BN906" s="302"/>
      <c r="BO906" s="302"/>
      <c r="BP906" s="302"/>
      <c r="BQ906" s="302"/>
      <c r="BR906" s="302"/>
      <c r="BS906" s="302"/>
      <c r="BT906" s="302"/>
      <c r="BU906" s="302"/>
      <c r="BV906" s="302"/>
      <c r="BW906" s="302"/>
      <c r="BX906" s="302"/>
      <c r="BY906" s="302"/>
      <c r="BZ906" s="302"/>
      <c r="CA906" s="302"/>
      <c r="CB906" s="28"/>
      <c r="CC906" s="28"/>
      <c r="CD906" s="28"/>
      <c r="CE906" s="28"/>
      <c r="CF906" s="28"/>
      <c r="CG906" s="28"/>
      <c r="CH906" s="28"/>
      <c r="CI906" s="28"/>
      <c r="CJ906" s="28"/>
      <c r="CK906" s="28"/>
      <c r="CL906" s="28"/>
      <c r="CM906" s="28"/>
      <c r="CN906" s="28"/>
      <c r="CO906" s="28"/>
      <c r="CP906" s="28"/>
      <c r="CQ906" s="28"/>
      <c r="CR906" s="28"/>
      <c r="CS906" s="28"/>
      <c r="CT906" s="28"/>
      <c r="CU906" s="28"/>
      <c r="CV906" s="28"/>
      <c r="CW906" s="28"/>
    </row>
    <row r="907" spans="1:101" ht="14.25" customHeight="1" x14ac:dyDescent="0.2">
      <c r="A907" s="286"/>
      <c r="B907" s="52">
        <v>0.12739226066769618</v>
      </c>
      <c r="C907" s="288">
        <v>0.60281696352914205</v>
      </c>
      <c r="D907" s="288">
        <v>1.5890923747753916E-2</v>
      </c>
      <c r="E907" s="288">
        <v>3.0270119221436409E-2</v>
      </c>
      <c r="F907" s="289">
        <v>0.78598115895787579</v>
      </c>
      <c r="G907" s="92">
        <v>0.44843138991092524</v>
      </c>
      <c r="H907" s="288">
        <v>0.91047738446282467</v>
      </c>
      <c r="I907" s="288">
        <v>5.3960433412899786E-3</v>
      </c>
      <c r="J907" s="288">
        <v>1</v>
      </c>
      <c r="K907" s="288">
        <v>0.74549685681294287</v>
      </c>
      <c r="L907" s="290">
        <v>11783.333147224288</v>
      </c>
      <c r="M907" s="288">
        <v>0</v>
      </c>
      <c r="N907" s="288">
        <v>11112.958839240591</v>
      </c>
      <c r="O907" s="288">
        <v>1078.354651116367</v>
      </c>
      <c r="P907" s="288">
        <v>42914.13705757157</v>
      </c>
      <c r="Q907" s="291">
        <v>134223.52877957432</v>
      </c>
      <c r="R907" s="288">
        <v>20446.263788712513</v>
      </c>
      <c r="S907" s="288">
        <v>8445.6764835396789</v>
      </c>
      <c r="T907" s="290">
        <v>0.751</v>
      </c>
      <c r="U907" s="288">
        <v>0.75800000000000001</v>
      </c>
      <c r="V907" s="288">
        <v>0.723923076923077</v>
      </c>
      <c r="W907" s="288">
        <v>0.72750000000000004</v>
      </c>
      <c r="X907" s="288">
        <v>0.76</v>
      </c>
      <c r="Y907" s="288">
        <v>0</v>
      </c>
      <c r="Z907" s="289">
        <v>0</v>
      </c>
      <c r="AA907" s="229"/>
      <c r="AB907" s="293">
        <v>79498.676478893962</v>
      </c>
      <c r="AC907" s="294">
        <v>3.1701358352261311</v>
      </c>
      <c r="AD907" s="295">
        <v>72054.895314241759</v>
      </c>
      <c r="AE907" s="294">
        <v>2.9875425945311811</v>
      </c>
      <c r="AF907" s="295">
        <v>7443.7811646522023</v>
      </c>
      <c r="AG907" s="296">
        <v>0.18259324069494998</v>
      </c>
      <c r="AH907" s="229"/>
      <c r="AI907" s="205">
        <f t="shared" si="96"/>
        <v>237514.90704371914</v>
      </c>
      <c r="AJ907" s="205">
        <f t="shared" si="97"/>
        <v>226699.36413887638</v>
      </c>
      <c r="AK907" s="205">
        <f t="shared" si="98"/>
        <v>10815.542904842794</v>
      </c>
      <c r="AL907" s="229"/>
      <c r="AM907" s="52">
        <f t="shared" si="86"/>
        <v>1</v>
      </c>
      <c r="AN907" s="52">
        <f t="shared" si="87"/>
        <v>0</v>
      </c>
      <c r="AO907" s="52">
        <f t="shared" si="88"/>
        <v>1</v>
      </c>
      <c r="AP907" s="229"/>
      <c r="AQ907" s="28"/>
      <c r="AR907" s="28"/>
      <c r="AS907" s="28"/>
      <c r="AT907" s="28"/>
      <c r="AU907" s="229"/>
      <c r="AV907" s="318">
        <f t="shared" si="99"/>
        <v>237514.90704371914</v>
      </c>
      <c r="AW907" s="229"/>
      <c r="AX907" s="313"/>
      <c r="AY907" s="302"/>
      <c r="AZ907" s="14">
        <f t="shared" si="101"/>
        <v>7443.7811646522023</v>
      </c>
      <c r="BA907" s="14">
        <f t="shared" si="100"/>
        <v>0.18259324069494998</v>
      </c>
      <c r="BB907" s="14">
        <f t="shared" si="89"/>
        <v>40767.013807965544</v>
      </c>
      <c r="BC907" s="302"/>
      <c r="BD907" s="302"/>
      <c r="BE907" s="302"/>
      <c r="BF907" s="302"/>
      <c r="BG907" s="302"/>
      <c r="BH907" s="302"/>
      <c r="BI907" s="302"/>
      <c r="BJ907" s="302"/>
      <c r="BK907" s="302"/>
      <c r="BL907" s="302"/>
      <c r="BM907" s="302"/>
      <c r="BN907" s="302"/>
      <c r="BO907" s="302"/>
      <c r="BP907" s="302"/>
      <c r="BQ907" s="302"/>
      <c r="BR907" s="302"/>
      <c r="BS907" s="302"/>
      <c r="BT907" s="302"/>
      <c r="BU907" s="302"/>
      <c r="BV907" s="302"/>
      <c r="BW907" s="302"/>
      <c r="BX907" s="302"/>
      <c r="BY907" s="302"/>
      <c r="BZ907" s="302"/>
      <c r="CA907" s="302"/>
      <c r="CB907" s="28"/>
      <c r="CC907" s="28"/>
      <c r="CD907" s="28"/>
      <c r="CE907" s="28"/>
      <c r="CF907" s="28"/>
      <c r="CG907" s="28"/>
      <c r="CH907" s="28"/>
      <c r="CI907" s="28"/>
      <c r="CJ907" s="28"/>
      <c r="CK907" s="28"/>
      <c r="CL907" s="28"/>
      <c r="CM907" s="28"/>
      <c r="CN907" s="28"/>
      <c r="CO907" s="28"/>
      <c r="CP907" s="28"/>
      <c r="CQ907" s="28"/>
      <c r="CR907" s="28"/>
      <c r="CS907" s="28"/>
      <c r="CT907" s="28"/>
      <c r="CU907" s="28"/>
      <c r="CV907" s="28"/>
      <c r="CW907" s="28"/>
    </row>
    <row r="908" spans="1:101" ht="14.25" customHeight="1" x14ac:dyDescent="0.2">
      <c r="A908" s="286"/>
      <c r="B908" s="52">
        <v>0.19375754348981256</v>
      </c>
      <c r="C908" s="288">
        <v>0.58061340446229293</v>
      </c>
      <c r="D908" s="288">
        <v>1.8936745627212703E-2</v>
      </c>
      <c r="E908" s="288">
        <v>1.194089027193183E-2</v>
      </c>
      <c r="F908" s="289">
        <v>0.76670011381849901</v>
      </c>
      <c r="G908" s="92">
        <v>0.45748198759764591</v>
      </c>
      <c r="H908" s="288">
        <v>6.8966883705111115E-2</v>
      </c>
      <c r="I908" s="288">
        <v>1.427914861700446E-2</v>
      </c>
      <c r="J908" s="288">
        <v>0.63252420092201178</v>
      </c>
      <c r="K908" s="288">
        <v>0.7334345659378233</v>
      </c>
      <c r="L908" s="290">
        <v>11316.45957721151</v>
      </c>
      <c r="M908" s="288">
        <v>0</v>
      </c>
      <c r="N908" s="288">
        <v>14733.146352943695</v>
      </c>
      <c r="O908" s="288">
        <v>1022.0702810094698</v>
      </c>
      <c r="P908" s="288">
        <v>50740.441995240806</v>
      </c>
      <c r="Q908" s="291">
        <v>103558.27696281843</v>
      </c>
      <c r="R908" s="288">
        <v>26029.178446597645</v>
      </c>
      <c r="S908" s="288">
        <v>8542.3362818233563</v>
      </c>
      <c r="T908" s="290">
        <v>0.751</v>
      </c>
      <c r="U908" s="288">
        <v>0.75800000000000001</v>
      </c>
      <c r="V908" s="288">
        <v>0.723923076923077</v>
      </c>
      <c r="W908" s="288">
        <v>0.72750000000000004</v>
      </c>
      <c r="X908" s="288">
        <v>0.76</v>
      </c>
      <c r="Y908" s="288">
        <v>0</v>
      </c>
      <c r="Z908" s="289">
        <v>0</v>
      </c>
      <c r="AA908" s="229"/>
      <c r="AB908" s="293">
        <v>79679.698755207195</v>
      </c>
      <c r="AC908" s="294">
        <v>3.0807752681980314</v>
      </c>
      <c r="AD908" s="295">
        <v>64797.015688667896</v>
      </c>
      <c r="AE908" s="294">
        <v>2.9322310833859389</v>
      </c>
      <c r="AF908" s="295">
        <v>14882.683066539299</v>
      </c>
      <c r="AG908" s="296">
        <v>0.14854418481209253</v>
      </c>
      <c r="AH908" s="229"/>
      <c r="AI908" s="205">
        <f t="shared" si="96"/>
        <v>228397.82806459593</v>
      </c>
      <c r="AJ908" s="205">
        <f t="shared" si="97"/>
        <v>228426.09264992602</v>
      </c>
      <c r="AK908" s="205">
        <f t="shared" si="98"/>
        <v>-28.26458533004552</v>
      </c>
      <c r="AL908" s="229"/>
      <c r="AM908" s="52">
        <f t="shared" si="86"/>
        <v>0</v>
      </c>
      <c r="AN908" s="52">
        <f t="shared" si="87"/>
        <v>1</v>
      </c>
      <c r="AO908" s="52">
        <f t="shared" si="88"/>
        <v>0</v>
      </c>
      <c r="AP908" s="229"/>
      <c r="AQ908" s="28"/>
      <c r="AR908" s="28"/>
      <c r="AS908" s="28"/>
      <c r="AT908" s="28"/>
      <c r="AU908" s="229"/>
      <c r="AV908" s="318">
        <f t="shared" si="99"/>
        <v>228426.09264992602</v>
      </c>
      <c r="AW908" s="229"/>
      <c r="AX908" s="313"/>
      <c r="AY908" s="302"/>
      <c r="AZ908" s="14">
        <f t="shared" si="101"/>
        <v>14882.683066539299</v>
      </c>
      <c r="BA908" s="14">
        <f t="shared" si="100"/>
        <v>0.14854418481209253</v>
      </c>
      <c r="BB908" s="14">
        <f t="shared" si="89"/>
        <v>100190.27729268433</v>
      </c>
      <c r="BC908" s="302"/>
      <c r="BD908" s="302"/>
      <c r="BE908" s="302"/>
      <c r="BF908" s="302"/>
      <c r="BG908" s="302"/>
      <c r="BH908" s="302"/>
      <c r="BI908" s="302"/>
      <c r="BJ908" s="302"/>
      <c r="BK908" s="302"/>
      <c r="BL908" s="302"/>
      <c r="BM908" s="302"/>
      <c r="BN908" s="302"/>
      <c r="BO908" s="302"/>
      <c r="BP908" s="302"/>
      <c r="BQ908" s="302"/>
      <c r="BR908" s="302"/>
      <c r="BS908" s="302"/>
      <c r="BT908" s="302"/>
      <c r="BU908" s="302"/>
      <c r="BV908" s="302"/>
      <c r="BW908" s="302"/>
      <c r="BX908" s="302"/>
      <c r="BY908" s="302"/>
      <c r="BZ908" s="302"/>
      <c r="CA908" s="302"/>
      <c r="CB908" s="28"/>
      <c r="CC908" s="28"/>
      <c r="CD908" s="28"/>
      <c r="CE908" s="28"/>
      <c r="CF908" s="28"/>
      <c r="CG908" s="28"/>
      <c r="CH908" s="28"/>
      <c r="CI908" s="28"/>
      <c r="CJ908" s="28"/>
      <c r="CK908" s="28"/>
      <c r="CL908" s="28"/>
      <c r="CM908" s="28"/>
      <c r="CN908" s="28"/>
      <c r="CO908" s="28"/>
      <c r="CP908" s="28"/>
      <c r="CQ908" s="28"/>
      <c r="CR908" s="28"/>
      <c r="CS908" s="28"/>
      <c r="CT908" s="28"/>
      <c r="CU908" s="28"/>
      <c r="CV908" s="28"/>
      <c r="CW908" s="28"/>
    </row>
    <row r="909" spans="1:101" ht="14.25" customHeight="1" x14ac:dyDescent="0.2">
      <c r="A909" s="286"/>
      <c r="B909" s="52">
        <v>0.18906284308258114</v>
      </c>
      <c r="C909" s="288">
        <v>4.415910371708183E-2</v>
      </c>
      <c r="D909" s="288">
        <v>1.9607984190049277E-2</v>
      </c>
      <c r="E909" s="288">
        <v>2.7368478019092257E-2</v>
      </c>
      <c r="F909" s="289">
        <v>0.79680010954811997</v>
      </c>
      <c r="G909" s="92">
        <v>0.48548513389573034</v>
      </c>
      <c r="H909" s="288">
        <v>0.93065875968357892</v>
      </c>
      <c r="I909" s="288">
        <v>9.7819487305075749E-3</v>
      </c>
      <c r="J909" s="288">
        <v>1</v>
      </c>
      <c r="K909" s="288">
        <v>0.73478931916447521</v>
      </c>
      <c r="L909" s="290">
        <v>9653.578569727606</v>
      </c>
      <c r="M909" s="288">
        <v>0</v>
      </c>
      <c r="N909" s="288">
        <v>24360.464349996284</v>
      </c>
      <c r="O909" s="288">
        <v>1419.2132157074334</v>
      </c>
      <c r="P909" s="288">
        <v>60017.525639322048</v>
      </c>
      <c r="Q909" s="291">
        <v>121112.05102091836</v>
      </c>
      <c r="R909" s="288">
        <v>34176.857035558314</v>
      </c>
      <c r="S909" s="288">
        <v>9954.7331148225057</v>
      </c>
      <c r="T909" s="290">
        <v>0.751</v>
      </c>
      <c r="U909" s="288">
        <v>0.75800000000000001</v>
      </c>
      <c r="V909" s="288">
        <v>0.723923076923077</v>
      </c>
      <c r="W909" s="288">
        <v>0.72750000000000004</v>
      </c>
      <c r="X909" s="288">
        <v>0.76</v>
      </c>
      <c r="Y909" s="288">
        <v>0</v>
      </c>
      <c r="Z909" s="289">
        <v>0</v>
      </c>
      <c r="AA909" s="229"/>
      <c r="AB909" s="293">
        <v>89209.03768343688</v>
      </c>
      <c r="AC909" s="294">
        <v>3.2205330913682189</v>
      </c>
      <c r="AD909" s="295">
        <v>89900.990749607503</v>
      </c>
      <c r="AE909" s="294">
        <v>2.9384318578204693</v>
      </c>
      <c r="AF909" s="295">
        <v>-691.95306617062306</v>
      </c>
      <c r="AG909" s="296">
        <v>0.28210123354774952</v>
      </c>
      <c r="AH909" s="229"/>
      <c r="AI909" s="205">
        <f t="shared" si="96"/>
        <v>232844.27145338501</v>
      </c>
      <c r="AJ909" s="205">
        <f t="shared" si="97"/>
        <v>203942.19503243943</v>
      </c>
      <c r="AK909" s="205">
        <f t="shared" si="98"/>
        <v>28902.076420945574</v>
      </c>
      <c r="AL909" s="229"/>
      <c r="AM909" s="52">
        <f t="shared" si="86"/>
        <v>1</v>
      </c>
      <c r="AN909" s="52">
        <f t="shared" si="87"/>
        <v>0</v>
      </c>
      <c r="AO909" s="52">
        <f t="shared" si="88"/>
        <v>1</v>
      </c>
      <c r="AP909" s="229"/>
      <c r="AQ909" s="28"/>
      <c r="AR909" s="28"/>
      <c r="AS909" s="28"/>
      <c r="AT909" s="28"/>
      <c r="AU909" s="229"/>
      <c r="AV909" s="318">
        <f t="shared" si="99"/>
        <v>232844.27145338501</v>
      </c>
      <c r="AW909" s="229"/>
      <c r="AX909" s="313"/>
      <c r="AY909" s="302"/>
      <c r="AZ909" s="14">
        <f t="shared" si="101"/>
        <v>-691.95306617062306</v>
      </c>
      <c r="BA909" s="14">
        <f t="shared" si="100"/>
        <v>0.28210123354774952</v>
      </c>
      <c r="BB909" s="14">
        <f t="shared" si="89"/>
        <v>-2452.853741433571</v>
      </c>
      <c r="BC909" s="302"/>
      <c r="BD909" s="302"/>
      <c r="BE909" s="302"/>
      <c r="BF909" s="302"/>
      <c r="BG909" s="302"/>
      <c r="BH909" s="302"/>
      <c r="BI909" s="302"/>
      <c r="BJ909" s="302"/>
      <c r="BK909" s="302"/>
      <c r="BL909" s="302"/>
      <c r="BM909" s="302"/>
      <c r="BN909" s="302"/>
      <c r="BO909" s="302"/>
      <c r="BP909" s="302"/>
      <c r="BQ909" s="302"/>
      <c r="BR909" s="302"/>
      <c r="BS909" s="302"/>
      <c r="BT909" s="302"/>
      <c r="BU909" s="302"/>
      <c r="BV909" s="302"/>
      <c r="BW909" s="302"/>
      <c r="BX909" s="302"/>
      <c r="BY909" s="302"/>
      <c r="BZ909" s="302"/>
      <c r="CA909" s="302"/>
      <c r="CB909" s="28"/>
      <c r="CC909" s="28"/>
      <c r="CD909" s="28"/>
      <c r="CE909" s="28"/>
      <c r="CF909" s="28"/>
      <c r="CG909" s="28"/>
      <c r="CH909" s="28"/>
      <c r="CI909" s="28"/>
      <c r="CJ909" s="28"/>
      <c r="CK909" s="28"/>
      <c r="CL909" s="28"/>
      <c r="CM909" s="28"/>
      <c r="CN909" s="28"/>
      <c r="CO909" s="28"/>
      <c r="CP909" s="28"/>
      <c r="CQ909" s="28"/>
      <c r="CR909" s="28"/>
      <c r="CS909" s="28"/>
      <c r="CT909" s="28"/>
      <c r="CU909" s="28"/>
      <c r="CV909" s="28"/>
      <c r="CW909" s="28"/>
    </row>
    <row r="910" spans="1:101" ht="14.25" customHeight="1" x14ac:dyDescent="0.2">
      <c r="A910" s="286"/>
      <c r="B910" s="52">
        <v>0.13181655170513817</v>
      </c>
      <c r="C910" s="288">
        <v>0.46917020228575912</v>
      </c>
      <c r="D910" s="288">
        <v>8.6162416756210974E-3</v>
      </c>
      <c r="E910" s="288">
        <v>1.4300521009565267E-2</v>
      </c>
      <c r="F910" s="289">
        <v>0.82676381124431431</v>
      </c>
      <c r="G910" s="92">
        <v>0.3383498935702795</v>
      </c>
      <c r="H910" s="288">
        <v>9.0054193862655701E-2</v>
      </c>
      <c r="I910" s="288">
        <v>2.7149210118754263E-2</v>
      </c>
      <c r="J910" s="288">
        <v>0.99998921946389119</v>
      </c>
      <c r="K910" s="288">
        <v>0.75546271069707072</v>
      </c>
      <c r="L910" s="290">
        <v>8409.4191663935144</v>
      </c>
      <c r="M910" s="288">
        <v>0</v>
      </c>
      <c r="N910" s="288">
        <v>24038.893786343058</v>
      </c>
      <c r="O910" s="288">
        <v>1564.9427145260986</v>
      </c>
      <c r="P910" s="288">
        <v>41726.600096851631</v>
      </c>
      <c r="Q910" s="291">
        <v>110361.34621169408</v>
      </c>
      <c r="R910" s="288">
        <v>31047.203853070016</v>
      </c>
      <c r="S910" s="288">
        <v>6728.7416847752656</v>
      </c>
      <c r="T910" s="290">
        <v>0.751</v>
      </c>
      <c r="U910" s="288">
        <v>0.75800000000000001</v>
      </c>
      <c r="V910" s="288">
        <v>0.723923076923077</v>
      </c>
      <c r="W910" s="288">
        <v>0.72750000000000004</v>
      </c>
      <c r="X910" s="288">
        <v>0.76</v>
      </c>
      <c r="Y910" s="288">
        <v>0</v>
      </c>
      <c r="Z910" s="289">
        <v>0</v>
      </c>
      <c r="AA910" s="229"/>
      <c r="AB910" s="293">
        <v>65749.421276128167</v>
      </c>
      <c r="AC910" s="294">
        <v>3.3610695241095914</v>
      </c>
      <c r="AD910" s="295">
        <v>53889.99410118605</v>
      </c>
      <c r="AE910" s="294">
        <v>3.0334139318544104</v>
      </c>
      <c r="AF910" s="295">
        <v>11859.427174942117</v>
      </c>
      <c r="AG910" s="296">
        <v>0.32765559225518093</v>
      </c>
      <c r="AH910" s="229"/>
      <c r="AI910" s="205">
        <f t="shared" ref="AI910:AI973" si="102">AC910*cRatio-AB910</f>
        <v>270357.53113483096</v>
      </c>
      <c r="AJ910" s="205">
        <f t="shared" ref="AJ910:AJ973" si="103">AE910*cRatio-AD910</f>
        <v>249451.39908425498</v>
      </c>
      <c r="AK910" s="205">
        <f t="shared" ref="AK910:AK973" si="104">AG910*cRatio-AF910</f>
        <v>20906.132050575976</v>
      </c>
      <c r="AL910" s="229"/>
      <c r="AM910" s="52">
        <f t="shared" si="86"/>
        <v>1</v>
      </c>
      <c r="AN910" s="52">
        <f t="shared" si="87"/>
        <v>0</v>
      </c>
      <c r="AO910" s="52">
        <f t="shared" si="88"/>
        <v>1</v>
      </c>
      <c r="AP910" s="229"/>
      <c r="AQ910" s="28"/>
      <c r="AR910" s="28"/>
      <c r="AS910" s="28"/>
      <c r="AT910" s="28"/>
      <c r="AU910" s="229"/>
      <c r="AV910" s="318">
        <f t="shared" si="99"/>
        <v>270357.53113483096</v>
      </c>
      <c r="AW910" s="229"/>
      <c r="AX910" s="313"/>
      <c r="AY910" s="302"/>
      <c r="AZ910" s="14">
        <f t="shared" si="101"/>
        <v>11859.427174942117</v>
      </c>
      <c r="BA910" s="14">
        <f t="shared" si="100"/>
        <v>0.32765559225518093</v>
      </c>
      <c r="BB910" s="14">
        <f t="shared" si="89"/>
        <v>36194.795557482488</v>
      </c>
      <c r="BC910" s="302"/>
      <c r="BD910" s="302"/>
      <c r="BE910" s="302"/>
      <c r="BF910" s="302"/>
      <c r="BG910" s="302"/>
      <c r="BH910" s="302"/>
      <c r="BI910" s="302"/>
      <c r="BJ910" s="302"/>
      <c r="BK910" s="302"/>
      <c r="BL910" s="302"/>
      <c r="BM910" s="302"/>
      <c r="BN910" s="302"/>
      <c r="BO910" s="302"/>
      <c r="BP910" s="302"/>
      <c r="BQ910" s="302"/>
      <c r="BR910" s="302"/>
      <c r="BS910" s="302"/>
      <c r="BT910" s="302"/>
      <c r="BU910" s="302"/>
      <c r="BV910" s="302"/>
      <c r="BW910" s="302"/>
      <c r="BX910" s="302"/>
      <c r="BY910" s="302"/>
      <c r="BZ910" s="302"/>
      <c r="CA910" s="302"/>
      <c r="CB910" s="28"/>
      <c r="CC910" s="28"/>
      <c r="CD910" s="28"/>
      <c r="CE910" s="28"/>
      <c r="CF910" s="28"/>
      <c r="CG910" s="28"/>
      <c r="CH910" s="28"/>
      <c r="CI910" s="28"/>
      <c r="CJ910" s="28"/>
      <c r="CK910" s="28"/>
      <c r="CL910" s="28"/>
      <c r="CM910" s="28"/>
      <c r="CN910" s="28"/>
      <c r="CO910" s="28"/>
      <c r="CP910" s="28"/>
      <c r="CQ910" s="28"/>
      <c r="CR910" s="28"/>
      <c r="CS910" s="28"/>
      <c r="CT910" s="28"/>
      <c r="CU910" s="28"/>
      <c r="CV910" s="28"/>
      <c r="CW910" s="28"/>
    </row>
    <row r="911" spans="1:101" ht="14.25" customHeight="1" x14ac:dyDescent="0.2">
      <c r="A911" s="286"/>
      <c r="B911" s="52">
        <v>0.13344096481474724</v>
      </c>
      <c r="C911" s="288">
        <v>0.19269068901082748</v>
      </c>
      <c r="D911" s="288">
        <v>1.3044752086942894E-2</v>
      </c>
      <c r="E911" s="288">
        <v>1.6216350108887334E-2</v>
      </c>
      <c r="F911" s="289">
        <v>0.81276635440324729</v>
      </c>
      <c r="G911" s="92">
        <v>0.35719726531882739</v>
      </c>
      <c r="H911" s="288">
        <v>0.67235953198194787</v>
      </c>
      <c r="I911" s="288">
        <v>1.2551847427844605E-2</v>
      </c>
      <c r="J911" s="288">
        <v>0.99999999999999989</v>
      </c>
      <c r="K911" s="288">
        <v>0.80650446536370235</v>
      </c>
      <c r="L911" s="290">
        <v>9442.0262651379871</v>
      </c>
      <c r="M911" s="288">
        <v>0</v>
      </c>
      <c r="N911" s="288">
        <v>21639.005323406654</v>
      </c>
      <c r="O911" s="288">
        <v>936.28203998317167</v>
      </c>
      <c r="P911" s="288">
        <v>49328.21325017848</v>
      </c>
      <c r="Q911" s="291">
        <v>89502.307699971177</v>
      </c>
      <c r="R911" s="288">
        <v>37748.730179696242</v>
      </c>
      <c r="S911" s="288">
        <v>9653.1419059567779</v>
      </c>
      <c r="T911" s="290">
        <v>0.751</v>
      </c>
      <c r="U911" s="288">
        <v>0.75800000000000001</v>
      </c>
      <c r="V911" s="288">
        <v>0.723923076923077</v>
      </c>
      <c r="W911" s="288">
        <v>0.72750000000000004</v>
      </c>
      <c r="X911" s="288">
        <v>0.76</v>
      </c>
      <c r="Y911" s="288">
        <v>0</v>
      </c>
      <c r="Z911" s="289">
        <v>0</v>
      </c>
      <c r="AA911" s="229"/>
      <c r="AB911" s="293">
        <v>88386.23918996955</v>
      </c>
      <c r="AC911" s="294">
        <v>3.2952430652781399</v>
      </c>
      <c r="AD911" s="295">
        <v>87670.129168590487</v>
      </c>
      <c r="AE911" s="294">
        <v>3.2708056773370711</v>
      </c>
      <c r="AF911" s="295">
        <v>716.11002137906326</v>
      </c>
      <c r="AG911" s="296">
        <v>2.4437387941068867E-2</v>
      </c>
      <c r="AH911" s="229"/>
      <c r="AI911" s="205">
        <f t="shared" si="102"/>
        <v>241138.06733784446</v>
      </c>
      <c r="AJ911" s="205">
        <f t="shared" si="103"/>
        <v>239410.43856511661</v>
      </c>
      <c r="AK911" s="205">
        <f t="shared" si="104"/>
        <v>1727.6287727278236</v>
      </c>
      <c r="AL911" s="229"/>
      <c r="AM911" s="52">
        <f t="shared" si="86"/>
        <v>1</v>
      </c>
      <c r="AN911" s="52">
        <f t="shared" si="87"/>
        <v>0</v>
      </c>
      <c r="AO911" s="52">
        <f t="shared" si="88"/>
        <v>1</v>
      </c>
      <c r="AP911" s="229"/>
      <c r="AQ911" s="28"/>
      <c r="AR911" s="28"/>
      <c r="AS911" s="28"/>
      <c r="AT911" s="28"/>
      <c r="AU911" s="229"/>
      <c r="AV911" s="318">
        <f t="shared" ref="AV911:AV974" si="105">MAX(AI911:AJ911)</f>
        <v>241138.06733784446</v>
      </c>
      <c r="AW911" s="229"/>
      <c r="AX911" s="313"/>
      <c r="AY911" s="302"/>
      <c r="AZ911" s="14">
        <f t="shared" si="101"/>
        <v>716.11002137906326</v>
      </c>
      <c r="BA911" s="14">
        <f t="shared" ref="BA911:BA974" si="106">AG911</f>
        <v>2.4437387941068867E-2</v>
      </c>
      <c r="BB911" s="14">
        <f t="shared" si="89"/>
        <v>29303.869264013549</v>
      </c>
      <c r="BC911" s="302"/>
      <c r="BD911" s="302"/>
      <c r="BE911" s="302"/>
      <c r="BF911" s="302"/>
      <c r="BG911" s="302"/>
      <c r="BH911" s="302"/>
      <c r="BI911" s="302"/>
      <c r="BJ911" s="302"/>
      <c r="BK911" s="302"/>
      <c r="BL911" s="302"/>
      <c r="BM911" s="302"/>
      <c r="BN911" s="302"/>
      <c r="BO911" s="302"/>
      <c r="BP911" s="302"/>
      <c r="BQ911" s="302"/>
      <c r="BR911" s="302"/>
      <c r="BS911" s="302"/>
      <c r="BT911" s="302"/>
      <c r="BU911" s="302"/>
      <c r="BV911" s="302"/>
      <c r="BW911" s="302"/>
      <c r="BX911" s="302"/>
      <c r="BY911" s="302"/>
      <c r="BZ911" s="302"/>
      <c r="CA911" s="302"/>
      <c r="CB911" s="28"/>
      <c r="CC911" s="28"/>
      <c r="CD911" s="28"/>
      <c r="CE911" s="28"/>
      <c r="CF911" s="28"/>
      <c r="CG911" s="28"/>
      <c r="CH911" s="28"/>
      <c r="CI911" s="28"/>
      <c r="CJ911" s="28"/>
      <c r="CK911" s="28"/>
      <c r="CL911" s="28"/>
      <c r="CM911" s="28"/>
      <c r="CN911" s="28"/>
      <c r="CO911" s="28"/>
      <c r="CP911" s="28"/>
      <c r="CQ911" s="28"/>
      <c r="CR911" s="28"/>
      <c r="CS911" s="28"/>
      <c r="CT911" s="28"/>
      <c r="CU911" s="28"/>
      <c r="CV911" s="28"/>
      <c r="CW911" s="28"/>
    </row>
    <row r="912" spans="1:101" ht="14.25" customHeight="1" x14ac:dyDescent="0.2">
      <c r="A912" s="286"/>
      <c r="B912" s="52">
        <v>0.19139703132999109</v>
      </c>
      <c r="C912" s="288">
        <v>0.75086771641326422</v>
      </c>
      <c r="D912" s="288">
        <v>1.6182768810234616E-2</v>
      </c>
      <c r="E912" s="288">
        <v>3.2399921565374634E-2</v>
      </c>
      <c r="F912" s="289">
        <v>0.79673497178106722</v>
      </c>
      <c r="G912" s="92">
        <v>0.43190361056486726</v>
      </c>
      <c r="H912" s="288">
        <v>0.10511600820306613</v>
      </c>
      <c r="I912" s="288">
        <v>1.2022652154573293E-2</v>
      </c>
      <c r="J912" s="288">
        <v>0.99999978754399121</v>
      </c>
      <c r="K912" s="288">
        <v>0.72462809137773176</v>
      </c>
      <c r="L912" s="290">
        <v>11787.839087269693</v>
      </c>
      <c r="M912" s="288">
        <v>0</v>
      </c>
      <c r="N912" s="288">
        <v>16972.279699542865</v>
      </c>
      <c r="O912" s="288">
        <v>1047.8810540578629</v>
      </c>
      <c r="P912" s="288">
        <v>34756.269742376317</v>
      </c>
      <c r="Q912" s="291">
        <v>65781.451483013734</v>
      </c>
      <c r="R912" s="288">
        <v>28747.894218089878</v>
      </c>
      <c r="S912" s="288">
        <v>9896.55291531681</v>
      </c>
      <c r="T912" s="290">
        <v>0.751</v>
      </c>
      <c r="U912" s="288">
        <v>0.75800000000000001</v>
      </c>
      <c r="V912" s="288">
        <v>0.723923076923077</v>
      </c>
      <c r="W912" s="288">
        <v>0.72750000000000004</v>
      </c>
      <c r="X912" s="288">
        <v>0.76</v>
      </c>
      <c r="Y912" s="288">
        <v>0</v>
      </c>
      <c r="Z912" s="289">
        <v>0</v>
      </c>
      <c r="AA912" s="229"/>
      <c r="AB912" s="293">
        <v>94407.636771458448</v>
      </c>
      <c r="AC912" s="294">
        <v>3.2202291147390731</v>
      </c>
      <c r="AD912" s="295">
        <v>73973.459693068551</v>
      </c>
      <c r="AE912" s="294">
        <v>2.891993926385656</v>
      </c>
      <c r="AF912" s="295">
        <v>20434.177078389897</v>
      </c>
      <c r="AG912" s="296">
        <v>0.32823518835341714</v>
      </c>
      <c r="AH912" s="229"/>
      <c r="AI912" s="205">
        <f t="shared" si="102"/>
        <v>227615.27470244886</v>
      </c>
      <c r="AJ912" s="205">
        <f t="shared" si="103"/>
        <v>215225.93294549707</v>
      </c>
      <c r="AK912" s="205">
        <f t="shared" si="104"/>
        <v>12389.341756951813</v>
      </c>
      <c r="AL912" s="229"/>
      <c r="AM912" s="52">
        <f t="shared" si="86"/>
        <v>1</v>
      </c>
      <c r="AN912" s="52">
        <f t="shared" si="87"/>
        <v>0</v>
      </c>
      <c r="AO912" s="52">
        <f t="shared" si="88"/>
        <v>1</v>
      </c>
      <c r="AP912" s="229"/>
      <c r="AQ912" s="28"/>
      <c r="AR912" s="28"/>
      <c r="AS912" s="28"/>
      <c r="AT912" s="28"/>
      <c r="AU912" s="229"/>
      <c r="AV912" s="318">
        <f t="shared" si="105"/>
        <v>227615.27470244886</v>
      </c>
      <c r="AW912" s="229"/>
      <c r="AX912" s="313"/>
      <c r="AY912" s="302"/>
      <c r="AZ912" s="14">
        <f t="shared" ref="AZ912:AZ975" si="107">AF912</f>
        <v>20434.177078389897</v>
      </c>
      <c r="BA912" s="14">
        <f t="shared" si="106"/>
        <v>0.32823518835341714</v>
      </c>
      <c r="BB912" s="14">
        <f t="shared" si="89"/>
        <v>62254.68140968489</v>
      </c>
      <c r="BC912" s="302"/>
      <c r="BD912" s="302"/>
      <c r="BE912" s="302"/>
      <c r="BF912" s="302"/>
      <c r="BG912" s="302"/>
      <c r="BH912" s="302"/>
      <c r="BI912" s="302"/>
      <c r="BJ912" s="302"/>
      <c r="BK912" s="302"/>
      <c r="BL912" s="302"/>
      <c r="BM912" s="302"/>
      <c r="BN912" s="302"/>
      <c r="BO912" s="302"/>
      <c r="BP912" s="302"/>
      <c r="BQ912" s="302"/>
      <c r="BR912" s="302"/>
      <c r="BS912" s="302"/>
      <c r="BT912" s="302"/>
      <c r="BU912" s="302"/>
      <c r="BV912" s="302"/>
      <c r="BW912" s="302"/>
      <c r="BX912" s="302"/>
      <c r="BY912" s="302"/>
      <c r="BZ912" s="302"/>
      <c r="CA912" s="302"/>
      <c r="CB912" s="28"/>
      <c r="CC912" s="28"/>
      <c r="CD912" s="28"/>
      <c r="CE912" s="28"/>
      <c r="CF912" s="28"/>
      <c r="CG912" s="28"/>
      <c r="CH912" s="28"/>
      <c r="CI912" s="28"/>
      <c r="CJ912" s="28"/>
      <c r="CK912" s="28"/>
      <c r="CL912" s="28"/>
      <c r="CM912" s="28"/>
      <c r="CN912" s="28"/>
      <c r="CO912" s="28"/>
      <c r="CP912" s="28"/>
      <c r="CQ912" s="28"/>
      <c r="CR912" s="28"/>
      <c r="CS912" s="28"/>
      <c r="CT912" s="28"/>
      <c r="CU912" s="28"/>
      <c r="CV912" s="28"/>
      <c r="CW912" s="28"/>
    </row>
    <row r="913" spans="1:101" ht="14.25" customHeight="1" x14ac:dyDescent="0.2">
      <c r="A913" s="286"/>
      <c r="B913" s="52">
        <v>0.21533210439930661</v>
      </c>
      <c r="C913" s="288">
        <v>0.38790318833075876</v>
      </c>
      <c r="D913" s="288">
        <v>1.7933051571720426E-2</v>
      </c>
      <c r="E913" s="288">
        <v>2.1053902109073874E-2</v>
      </c>
      <c r="F913" s="289">
        <v>0.80131706812835535</v>
      </c>
      <c r="G913" s="92">
        <v>0.40403127309978637</v>
      </c>
      <c r="H913" s="288">
        <v>0.37920158184015712</v>
      </c>
      <c r="I913" s="288">
        <v>6.0954232487446455E-3</v>
      </c>
      <c r="J913" s="288">
        <v>0.99999756271980944</v>
      </c>
      <c r="K913" s="288">
        <v>0.7848487963441193</v>
      </c>
      <c r="L913" s="290">
        <v>10962.517019511111</v>
      </c>
      <c r="M913" s="288">
        <v>0</v>
      </c>
      <c r="N913" s="288">
        <v>19018.313379097919</v>
      </c>
      <c r="O913" s="288">
        <v>1551.2304409753747</v>
      </c>
      <c r="P913" s="288">
        <v>50400.938994292432</v>
      </c>
      <c r="Q913" s="291">
        <v>103802.64294729939</v>
      </c>
      <c r="R913" s="288">
        <v>24427.606820623882</v>
      </c>
      <c r="S913" s="288">
        <v>11580.918081171367</v>
      </c>
      <c r="T913" s="290">
        <v>0.751</v>
      </c>
      <c r="U913" s="288">
        <v>0.75800000000000001</v>
      </c>
      <c r="V913" s="288">
        <v>0.723923076923077</v>
      </c>
      <c r="W913" s="288">
        <v>0.72750000000000004</v>
      </c>
      <c r="X913" s="288">
        <v>0.76</v>
      </c>
      <c r="Y913" s="288">
        <v>0</v>
      </c>
      <c r="Z913" s="289">
        <v>0</v>
      </c>
      <c r="AA913" s="229"/>
      <c r="AB913" s="293">
        <v>105636.50583030468</v>
      </c>
      <c r="AC913" s="294">
        <v>3.2416284896927845</v>
      </c>
      <c r="AD913" s="295">
        <v>95430.464534123254</v>
      </c>
      <c r="AE913" s="294">
        <v>3.1695850834740438</v>
      </c>
      <c r="AF913" s="295">
        <v>10206.041296181429</v>
      </c>
      <c r="AG913" s="296">
        <v>7.2043406218740724E-2</v>
      </c>
      <c r="AH913" s="229"/>
      <c r="AI913" s="205">
        <f t="shared" si="102"/>
        <v>218526.34313897375</v>
      </c>
      <c r="AJ913" s="205">
        <f t="shared" si="103"/>
        <v>221528.04381328111</v>
      </c>
      <c r="AK913" s="205">
        <f t="shared" si="104"/>
        <v>-3001.7006743073571</v>
      </c>
      <c r="AL913" s="229"/>
      <c r="AM913" s="52">
        <f t="shared" si="86"/>
        <v>0</v>
      </c>
      <c r="AN913" s="52">
        <f t="shared" si="87"/>
        <v>1</v>
      </c>
      <c r="AO913" s="52">
        <f t="shared" si="88"/>
        <v>0</v>
      </c>
      <c r="AP913" s="229"/>
      <c r="AQ913" s="28"/>
      <c r="AR913" s="28"/>
      <c r="AS913" s="28"/>
      <c r="AT913" s="28"/>
      <c r="AU913" s="229"/>
      <c r="AV913" s="318">
        <f t="shared" si="105"/>
        <v>221528.04381328111</v>
      </c>
      <c r="AW913" s="229"/>
      <c r="AX913" s="313"/>
      <c r="AY913" s="302"/>
      <c r="AZ913" s="14">
        <f t="shared" si="107"/>
        <v>10206.041296181429</v>
      </c>
      <c r="BA913" s="14">
        <f t="shared" si="106"/>
        <v>7.2043406218740724E-2</v>
      </c>
      <c r="BB913" s="14">
        <f t="shared" si="89"/>
        <v>141665.16870667509</v>
      </c>
      <c r="BC913" s="302"/>
      <c r="BD913" s="302"/>
      <c r="BE913" s="302"/>
      <c r="BF913" s="302"/>
      <c r="BG913" s="302"/>
      <c r="BH913" s="302"/>
      <c r="BI913" s="302"/>
      <c r="BJ913" s="302"/>
      <c r="BK913" s="302"/>
      <c r="BL913" s="302"/>
      <c r="BM913" s="302"/>
      <c r="BN913" s="302"/>
      <c r="BO913" s="302"/>
      <c r="BP913" s="302"/>
      <c r="BQ913" s="302"/>
      <c r="BR913" s="302"/>
      <c r="BS913" s="302"/>
      <c r="BT913" s="302"/>
      <c r="BU913" s="302"/>
      <c r="BV913" s="302"/>
      <c r="BW913" s="302"/>
      <c r="BX913" s="302"/>
      <c r="BY913" s="302"/>
      <c r="BZ913" s="302"/>
      <c r="CA913" s="302"/>
      <c r="CB913" s="28"/>
      <c r="CC913" s="28"/>
      <c r="CD913" s="28"/>
      <c r="CE913" s="28"/>
      <c r="CF913" s="28"/>
      <c r="CG913" s="28"/>
      <c r="CH913" s="28"/>
      <c r="CI913" s="28"/>
      <c r="CJ913" s="28"/>
      <c r="CK913" s="28"/>
      <c r="CL913" s="28"/>
      <c r="CM913" s="28"/>
      <c r="CN913" s="28"/>
      <c r="CO913" s="28"/>
      <c r="CP913" s="28"/>
      <c r="CQ913" s="28"/>
      <c r="CR913" s="28"/>
      <c r="CS913" s="28"/>
      <c r="CT913" s="28"/>
      <c r="CU913" s="28"/>
      <c r="CV913" s="28"/>
      <c r="CW913" s="28"/>
    </row>
    <row r="914" spans="1:101" ht="14.25" customHeight="1" x14ac:dyDescent="0.2">
      <c r="A914" s="286"/>
      <c r="B914" s="52">
        <v>0.17963482041731438</v>
      </c>
      <c r="C914" s="288">
        <v>0.32681181657017611</v>
      </c>
      <c r="D914" s="288">
        <v>2.6162187635439871E-2</v>
      </c>
      <c r="E914" s="288">
        <v>1.5256233350119608E-2</v>
      </c>
      <c r="F914" s="289">
        <v>0.78617763446848998</v>
      </c>
      <c r="G914" s="92">
        <v>0.37812622665271256</v>
      </c>
      <c r="H914" s="288">
        <v>0.36471148324581604</v>
      </c>
      <c r="I914" s="288">
        <v>1.3046905557856989E-2</v>
      </c>
      <c r="J914" s="288">
        <v>0.99999998885191999</v>
      </c>
      <c r="K914" s="288">
        <v>0.78366835243728061</v>
      </c>
      <c r="L914" s="290">
        <v>11196.82117036093</v>
      </c>
      <c r="M914" s="288">
        <v>0</v>
      </c>
      <c r="N914" s="288">
        <v>19598.137370342192</v>
      </c>
      <c r="O914" s="288">
        <v>1333.2177924765981</v>
      </c>
      <c r="P914" s="288">
        <v>27370.814798954088</v>
      </c>
      <c r="Q914" s="291">
        <v>84408.922624383908</v>
      </c>
      <c r="R914" s="288">
        <v>13814.040007937629</v>
      </c>
      <c r="S914" s="288">
        <v>7214.8465837141139</v>
      </c>
      <c r="T914" s="290">
        <v>0.751</v>
      </c>
      <c r="U914" s="288">
        <v>0.75800000000000001</v>
      </c>
      <c r="V914" s="288">
        <v>0.723923076923077</v>
      </c>
      <c r="W914" s="288">
        <v>0.72750000000000004</v>
      </c>
      <c r="X914" s="288">
        <v>0.76</v>
      </c>
      <c r="Y914" s="288">
        <v>0</v>
      </c>
      <c r="Z914" s="289">
        <v>0</v>
      </c>
      <c r="AA914" s="229"/>
      <c r="AB914" s="293">
        <v>68814.610303765061</v>
      </c>
      <c r="AC914" s="294">
        <v>3.1710494283122959</v>
      </c>
      <c r="AD914" s="295">
        <v>59434.312815474186</v>
      </c>
      <c r="AE914" s="294">
        <v>3.1640888250938275</v>
      </c>
      <c r="AF914" s="295">
        <v>9380.2974882908748</v>
      </c>
      <c r="AG914" s="296">
        <v>6.9606032184683642E-3</v>
      </c>
      <c r="AH914" s="229"/>
      <c r="AI914" s="205">
        <f t="shared" si="102"/>
        <v>248290.33252746455</v>
      </c>
      <c r="AJ914" s="205">
        <f t="shared" si="103"/>
        <v>256974.56969390856</v>
      </c>
      <c r="AK914" s="205">
        <f t="shared" si="104"/>
        <v>-8684.2371664440379</v>
      </c>
      <c r="AL914" s="229"/>
      <c r="AM914" s="52">
        <f t="shared" si="86"/>
        <v>0</v>
      </c>
      <c r="AN914" s="52">
        <f t="shared" si="87"/>
        <v>1</v>
      </c>
      <c r="AO914" s="52">
        <f t="shared" si="88"/>
        <v>0</v>
      </c>
      <c r="AP914" s="229"/>
      <c r="AQ914" s="28"/>
      <c r="AR914" s="28"/>
      <c r="AS914" s="28"/>
      <c r="AT914" s="28"/>
      <c r="AU914" s="229"/>
      <c r="AV914" s="318">
        <f t="shared" si="105"/>
        <v>256974.56969390856</v>
      </c>
      <c r="AW914" s="229"/>
      <c r="AX914" s="313"/>
      <c r="AY914" s="302"/>
      <c r="AZ914" s="14">
        <f t="shared" si="107"/>
        <v>9380.2974882908748</v>
      </c>
      <c r="BA914" s="14">
        <f t="shared" si="106"/>
        <v>6.9606032184683642E-3</v>
      </c>
      <c r="BB914" s="14">
        <f t="shared" si="89"/>
        <v>1347627.0940717331</v>
      </c>
      <c r="BC914" s="302"/>
      <c r="BD914" s="302"/>
      <c r="BE914" s="302"/>
      <c r="BF914" s="302"/>
      <c r="BG914" s="302"/>
      <c r="BH914" s="302"/>
      <c r="BI914" s="302"/>
      <c r="BJ914" s="302"/>
      <c r="BK914" s="302"/>
      <c r="BL914" s="302"/>
      <c r="BM914" s="302"/>
      <c r="BN914" s="302"/>
      <c r="BO914" s="302"/>
      <c r="BP914" s="302"/>
      <c r="BQ914" s="302"/>
      <c r="BR914" s="302"/>
      <c r="BS914" s="302"/>
      <c r="BT914" s="302"/>
      <c r="BU914" s="302"/>
      <c r="BV914" s="302"/>
      <c r="BW914" s="302"/>
      <c r="BX914" s="302"/>
      <c r="BY914" s="302"/>
      <c r="BZ914" s="302"/>
      <c r="CA914" s="302"/>
      <c r="CB914" s="28"/>
      <c r="CC914" s="28"/>
      <c r="CD914" s="28"/>
      <c r="CE914" s="28"/>
      <c r="CF914" s="28"/>
      <c r="CG914" s="28"/>
      <c r="CH914" s="28"/>
      <c r="CI914" s="28"/>
      <c r="CJ914" s="28"/>
      <c r="CK914" s="28"/>
      <c r="CL914" s="28"/>
      <c r="CM914" s="28"/>
      <c r="CN914" s="28"/>
      <c r="CO914" s="28"/>
      <c r="CP914" s="28"/>
      <c r="CQ914" s="28"/>
      <c r="CR914" s="28"/>
      <c r="CS914" s="28"/>
      <c r="CT914" s="28"/>
      <c r="CU914" s="28"/>
      <c r="CV914" s="28"/>
      <c r="CW914" s="28"/>
    </row>
    <row r="915" spans="1:101" ht="14.25" customHeight="1" x14ac:dyDescent="0.2">
      <c r="A915" s="286"/>
      <c r="B915" s="52">
        <v>0.1292095121623042</v>
      </c>
      <c r="C915" s="288">
        <v>0.14212879638443013</v>
      </c>
      <c r="D915" s="288">
        <v>1.2640582443699904E-2</v>
      </c>
      <c r="E915" s="288">
        <v>1.416890775696591E-2</v>
      </c>
      <c r="F915" s="289">
        <v>0.80865488769755034</v>
      </c>
      <c r="G915" s="92">
        <v>0.39422322370085511</v>
      </c>
      <c r="H915" s="288">
        <v>0.99967056622643091</v>
      </c>
      <c r="I915" s="288">
        <v>1.948717596437588E-2</v>
      </c>
      <c r="J915" s="288">
        <v>0.37793460567402909</v>
      </c>
      <c r="K915" s="288">
        <v>0.82134996564917206</v>
      </c>
      <c r="L915" s="290">
        <v>9498.5826245891567</v>
      </c>
      <c r="M915" s="288">
        <v>0</v>
      </c>
      <c r="N915" s="288">
        <v>14577.554188529761</v>
      </c>
      <c r="O915" s="288">
        <v>1590.3612198264461</v>
      </c>
      <c r="P915" s="288">
        <v>59054.863477556421</v>
      </c>
      <c r="Q915" s="291">
        <v>74445.071902272626</v>
      </c>
      <c r="R915" s="288">
        <v>17792.896011710021</v>
      </c>
      <c r="S915" s="288">
        <v>8692.8953413533709</v>
      </c>
      <c r="T915" s="290">
        <v>0.751</v>
      </c>
      <c r="U915" s="288">
        <v>0.75800000000000001</v>
      </c>
      <c r="V915" s="288">
        <v>0.723923076923077</v>
      </c>
      <c r="W915" s="288">
        <v>0.72750000000000004</v>
      </c>
      <c r="X915" s="288">
        <v>0.76</v>
      </c>
      <c r="Y915" s="288">
        <v>0</v>
      </c>
      <c r="Z915" s="289">
        <v>0</v>
      </c>
      <c r="AA915" s="229"/>
      <c r="AB915" s="293">
        <v>79762.757156782915</v>
      </c>
      <c r="AC915" s="294">
        <v>3.2759662798510951</v>
      </c>
      <c r="AD915" s="295">
        <v>79503.420603256396</v>
      </c>
      <c r="AE915" s="294">
        <v>3.3406219822651759</v>
      </c>
      <c r="AF915" s="295">
        <v>259.3365535265184</v>
      </c>
      <c r="AG915" s="296">
        <v>-6.4655702414080807E-2</v>
      </c>
      <c r="AH915" s="229"/>
      <c r="AI915" s="205">
        <f t="shared" si="102"/>
        <v>247833.87082832662</v>
      </c>
      <c r="AJ915" s="205">
        <f t="shared" si="103"/>
        <v>254558.77762326121</v>
      </c>
      <c r="AK915" s="205">
        <f t="shared" si="104"/>
        <v>-6724.906794934599</v>
      </c>
      <c r="AL915" s="229"/>
      <c r="AM915" s="52">
        <f t="shared" si="86"/>
        <v>0</v>
      </c>
      <c r="AN915" s="52">
        <f t="shared" si="87"/>
        <v>1</v>
      </c>
      <c r="AO915" s="52">
        <f t="shared" si="88"/>
        <v>0</v>
      </c>
      <c r="AP915" s="229"/>
      <c r="AQ915" s="28"/>
      <c r="AR915" s="28"/>
      <c r="AS915" s="28"/>
      <c r="AT915" s="28"/>
      <c r="AU915" s="229"/>
      <c r="AV915" s="318">
        <f t="shared" si="105"/>
        <v>254558.77762326121</v>
      </c>
      <c r="AW915" s="229"/>
      <c r="AX915" s="313"/>
      <c r="AY915" s="302"/>
      <c r="AZ915" s="14">
        <f t="shared" si="107"/>
        <v>259.3365535265184</v>
      </c>
      <c r="BA915" s="14">
        <f t="shared" si="106"/>
        <v>-6.4655702414080807E-2</v>
      </c>
      <c r="BB915" s="14">
        <f t="shared" si="89"/>
        <v>-4011.03914803406</v>
      </c>
      <c r="BC915" s="302"/>
      <c r="BD915" s="302"/>
      <c r="BE915" s="302"/>
      <c r="BF915" s="302"/>
      <c r="BG915" s="302"/>
      <c r="BH915" s="302"/>
      <c r="BI915" s="302"/>
      <c r="BJ915" s="302"/>
      <c r="BK915" s="302"/>
      <c r="BL915" s="302"/>
      <c r="BM915" s="302"/>
      <c r="BN915" s="302"/>
      <c r="BO915" s="302"/>
      <c r="BP915" s="302"/>
      <c r="BQ915" s="302"/>
      <c r="BR915" s="302"/>
      <c r="BS915" s="302"/>
      <c r="BT915" s="302"/>
      <c r="BU915" s="302"/>
      <c r="BV915" s="302"/>
      <c r="BW915" s="302"/>
      <c r="BX915" s="302"/>
      <c r="BY915" s="302"/>
      <c r="BZ915" s="302"/>
      <c r="CA915" s="302"/>
      <c r="CB915" s="28"/>
      <c r="CC915" s="28"/>
      <c r="CD915" s="28"/>
      <c r="CE915" s="28"/>
      <c r="CF915" s="28"/>
      <c r="CG915" s="28"/>
      <c r="CH915" s="28"/>
      <c r="CI915" s="28"/>
      <c r="CJ915" s="28"/>
      <c r="CK915" s="28"/>
      <c r="CL915" s="28"/>
      <c r="CM915" s="28"/>
      <c r="CN915" s="28"/>
      <c r="CO915" s="28"/>
      <c r="CP915" s="28"/>
      <c r="CQ915" s="28"/>
      <c r="CR915" s="28"/>
      <c r="CS915" s="28"/>
      <c r="CT915" s="28"/>
      <c r="CU915" s="28"/>
      <c r="CV915" s="28"/>
      <c r="CW915" s="28"/>
    </row>
    <row r="916" spans="1:101" ht="14.25" customHeight="1" x14ac:dyDescent="0.2">
      <c r="A916" s="286"/>
      <c r="B916" s="52">
        <v>0.17256239879969393</v>
      </c>
      <c r="C916" s="288">
        <v>0.71934457351911096</v>
      </c>
      <c r="D916" s="288">
        <v>4.150816145454117E-2</v>
      </c>
      <c r="E916" s="288">
        <v>9.7727817575046193E-3</v>
      </c>
      <c r="F916" s="289">
        <v>0.78702414810686505</v>
      </c>
      <c r="G916" s="92">
        <v>0.39265931922498865</v>
      </c>
      <c r="H916" s="288">
        <v>0.18228836027172926</v>
      </c>
      <c r="I916" s="288">
        <v>3.9485481925238708E-2</v>
      </c>
      <c r="J916" s="288">
        <v>0.99999999999514899</v>
      </c>
      <c r="K916" s="288">
        <v>0.73686654691594378</v>
      </c>
      <c r="L916" s="290">
        <v>11386.96192167202</v>
      </c>
      <c r="M916" s="288">
        <v>0</v>
      </c>
      <c r="N916" s="288">
        <v>18736.604186849348</v>
      </c>
      <c r="O916" s="288">
        <v>817.18141054090779</v>
      </c>
      <c r="P916" s="288">
        <v>60712.388950622291</v>
      </c>
      <c r="Q916" s="291">
        <v>96161.970270820195</v>
      </c>
      <c r="R916" s="288">
        <v>30994.147317858224</v>
      </c>
      <c r="S916" s="288">
        <v>10229.588936055774</v>
      </c>
      <c r="T916" s="290">
        <v>0.751</v>
      </c>
      <c r="U916" s="288">
        <v>0.75800000000000001</v>
      </c>
      <c r="V916" s="288">
        <v>0.723923076923077</v>
      </c>
      <c r="W916" s="288">
        <v>0.72750000000000004</v>
      </c>
      <c r="X916" s="288">
        <v>0.76</v>
      </c>
      <c r="Y916" s="288">
        <v>0</v>
      </c>
      <c r="Z916" s="289">
        <v>0</v>
      </c>
      <c r="AA916" s="229"/>
      <c r="AB916" s="293">
        <v>95792.325818640064</v>
      </c>
      <c r="AC916" s="294">
        <v>3.1749863314311764</v>
      </c>
      <c r="AD916" s="295">
        <v>80684.087971319517</v>
      </c>
      <c r="AE916" s="294">
        <v>2.9479450534552467</v>
      </c>
      <c r="AF916" s="295">
        <v>15108.237847320546</v>
      </c>
      <c r="AG916" s="296">
        <v>0.22704127797592966</v>
      </c>
      <c r="AH916" s="229"/>
      <c r="AI916" s="205">
        <f t="shared" si="102"/>
        <v>221706.30732447759</v>
      </c>
      <c r="AJ916" s="205">
        <f t="shared" si="103"/>
        <v>214110.41737420519</v>
      </c>
      <c r="AK916" s="205">
        <f t="shared" si="104"/>
        <v>7595.8899502724198</v>
      </c>
      <c r="AL916" s="229"/>
      <c r="AM916" s="52">
        <f t="shared" si="86"/>
        <v>1</v>
      </c>
      <c r="AN916" s="52">
        <f t="shared" si="87"/>
        <v>0</v>
      </c>
      <c r="AO916" s="52">
        <f t="shared" si="88"/>
        <v>1</v>
      </c>
      <c r="AP916" s="229"/>
      <c r="AQ916" s="28"/>
      <c r="AR916" s="28"/>
      <c r="AS916" s="28"/>
      <c r="AT916" s="28"/>
      <c r="AU916" s="229"/>
      <c r="AV916" s="318">
        <f t="shared" si="105"/>
        <v>221706.30732447759</v>
      </c>
      <c r="AW916" s="229"/>
      <c r="AX916" s="313"/>
      <c r="AY916" s="302"/>
      <c r="AZ916" s="14">
        <f t="shared" si="107"/>
        <v>15108.237847320546</v>
      </c>
      <c r="BA916" s="14">
        <f t="shared" si="106"/>
        <v>0.22704127797592966</v>
      </c>
      <c r="BB916" s="14">
        <f t="shared" si="89"/>
        <v>66544.013414698464</v>
      </c>
      <c r="BC916" s="302"/>
      <c r="BD916" s="302"/>
      <c r="BE916" s="302"/>
      <c r="BF916" s="302"/>
      <c r="BG916" s="302"/>
      <c r="BH916" s="302"/>
      <c r="BI916" s="302"/>
      <c r="BJ916" s="302"/>
      <c r="BK916" s="302"/>
      <c r="BL916" s="302"/>
      <c r="BM916" s="302"/>
      <c r="BN916" s="302"/>
      <c r="BO916" s="302"/>
      <c r="BP916" s="302"/>
      <c r="BQ916" s="302"/>
      <c r="BR916" s="302"/>
      <c r="BS916" s="302"/>
      <c r="BT916" s="302"/>
      <c r="BU916" s="302"/>
      <c r="BV916" s="302"/>
      <c r="BW916" s="302"/>
      <c r="BX916" s="302"/>
      <c r="BY916" s="302"/>
      <c r="BZ916" s="302"/>
      <c r="CA916" s="302"/>
      <c r="CB916" s="28"/>
      <c r="CC916" s="28"/>
      <c r="CD916" s="28"/>
      <c r="CE916" s="28"/>
      <c r="CF916" s="28"/>
      <c r="CG916" s="28"/>
      <c r="CH916" s="28"/>
      <c r="CI916" s="28"/>
      <c r="CJ916" s="28"/>
      <c r="CK916" s="28"/>
      <c r="CL916" s="28"/>
      <c r="CM916" s="28"/>
      <c r="CN916" s="28"/>
      <c r="CO916" s="28"/>
      <c r="CP916" s="28"/>
      <c r="CQ916" s="28"/>
      <c r="CR916" s="28"/>
      <c r="CS916" s="28"/>
      <c r="CT916" s="28"/>
      <c r="CU916" s="28"/>
      <c r="CV916" s="28"/>
      <c r="CW916" s="28"/>
    </row>
    <row r="917" spans="1:101" ht="14.25" customHeight="1" x14ac:dyDescent="0.2">
      <c r="A917" s="286"/>
      <c r="B917" s="52">
        <v>0.17544314446416176</v>
      </c>
      <c r="C917" s="288">
        <v>0.53927128943297031</v>
      </c>
      <c r="D917" s="288">
        <v>1.8434978422523507E-2</v>
      </c>
      <c r="E917" s="288">
        <v>1.152284246945626E-2</v>
      </c>
      <c r="F917" s="289">
        <v>0.82692143802355278</v>
      </c>
      <c r="G917" s="92">
        <v>0.42338998138392736</v>
      </c>
      <c r="H917" s="288">
        <v>0.66127082395498471</v>
      </c>
      <c r="I917" s="288">
        <v>2.4381175114793763E-2</v>
      </c>
      <c r="J917" s="288">
        <v>0.967334728828533</v>
      </c>
      <c r="K917" s="288">
        <v>0.67171347662802028</v>
      </c>
      <c r="L917" s="290">
        <v>10896.711191235063</v>
      </c>
      <c r="M917" s="288">
        <v>0</v>
      </c>
      <c r="N917" s="288">
        <v>11545.302603286565</v>
      </c>
      <c r="O917" s="288">
        <v>1032.6469300824974</v>
      </c>
      <c r="P917" s="288">
        <v>36591.38009150674</v>
      </c>
      <c r="Q917" s="291">
        <v>102658.15704098815</v>
      </c>
      <c r="R917" s="288">
        <v>29632.023006254647</v>
      </c>
      <c r="S917" s="288">
        <v>10065.084306086479</v>
      </c>
      <c r="T917" s="290">
        <v>0.751</v>
      </c>
      <c r="U917" s="288">
        <v>0.75800000000000001</v>
      </c>
      <c r="V917" s="288">
        <v>0.723923076923077</v>
      </c>
      <c r="W917" s="288">
        <v>0.72750000000000004</v>
      </c>
      <c r="X917" s="288">
        <v>0.76</v>
      </c>
      <c r="Y917" s="288">
        <v>0</v>
      </c>
      <c r="Z917" s="289">
        <v>0</v>
      </c>
      <c r="AA917" s="229"/>
      <c r="AB917" s="293">
        <v>96632.291227172158</v>
      </c>
      <c r="AC917" s="294">
        <v>3.3618125523642877</v>
      </c>
      <c r="AD917" s="295">
        <v>77652.664541549646</v>
      </c>
      <c r="AE917" s="294">
        <v>2.6527987749605266</v>
      </c>
      <c r="AF917" s="295">
        <v>18979.626685622512</v>
      </c>
      <c r="AG917" s="296">
        <v>0.70901377740376104</v>
      </c>
      <c r="AH917" s="229"/>
      <c r="AI917" s="205">
        <f t="shared" si="102"/>
        <v>239548.9640092566</v>
      </c>
      <c r="AJ917" s="205">
        <f t="shared" si="103"/>
        <v>187627.21295450302</v>
      </c>
      <c r="AK917" s="205">
        <f t="shared" si="104"/>
        <v>51921.751054753593</v>
      </c>
      <c r="AL917" s="229"/>
      <c r="AM917" s="52">
        <f t="shared" si="86"/>
        <v>1</v>
      </c>
      <c r="AN917" s="52">
        <f t="shared" si="87"/>
        <v>0</v>
      </c>
      <c r="AO917" s="52">
        <f t="shared" si="88"/>
        <v>1</v>
      </c>
      <c r="AP917" s="229"/>
      <c r="AQ917" s="28"/>
      <c r="AR917" s="28"/>
      <c r="AS917" s="28"/>
      <c r="AT917" s="28"/>
      <c r="AU917" s="229"/>
      <c r="AV917" s="318">
        <f t="shared" si="105"/>
        <v>239548.9640092566</v>
      </c>
      <c r="AW917" s="229"/>
      <c r="AX917" s="313"/>
      <c r="AY917" s="302"/>
      <c r="AZ917" s="14">
        <f t="shared" si="107"/>
        <v>18979.626685622512</v>
      </c>
      <c r="BA917" s="14">
        <f t="shared" si="106"/>
        <v>0.70901377740376104</v>
      </c>
      <c r="BB917" s="14">
        <f t="shared" si="89"/>
        <v>26769.052013518507</v>
      </c>
      <c r="BC917" s="302"/>
      <c r="BD917" s="302"/>
      <c r="BE917" s="302"/>
      <c r="BF917" s="302"/>
      <c r="BG917" s="302"/>
      <c r="BH917" s="302"/>
      <c r="BI917" s="302"/>
      <c r="BJ917" s="302"/>
      <c r="BK917" s="302"/>
      <c r="BL917" s="302"/>
      <c r="BM917" s="302"/>
      <c r="BN917" s="302"/>
      <c r="BO917" s="302"/>
      <c r="BP917" s="302"/>
      <c r="BQ917" s="302"/>
      <c r="BR917" s="302"/>
      <c r="BS917" s="302"/>
      <c r="BT917" s="302"/>
      <c r="BU917" s="302"/>
      <c r="BV917" s="302"/>
      <c r="BW917" s="302"/>
      <c r="BX917" s="302"/>
      <c r="BY917" s="302"/>
      <c r="BZ917" s="302"/>
      <c r="CA917" s="302"/>
      <c r="CB917" s="28"/>
      <c r="CC917" s="28"/>
      <c r="CD917" s="28"/>
      <c r="CE917" s="28"/>
      <c r="CF917" s="28"/>
      <c r="CG917" s="28"/>
      <c r="CH917" s="28"/>
      <c r="CI917" s="28"/>
      <c r="CJ917" s="28"/>
      <c r="CK917" s="28"/>
      <c r="CL917" s="28"/>
      <c r="CM917" s="28"/>
      <c r="CN917" s="28"/>
      <c r="CO917" s="28"/>
      <c r="CP917" s="28"/>
      <c r="CQ917" s="28"/>
      <c r="CR917" s="28"/>
      <c r="CS917" s="28"/>
      <c r="CT917" s="28"/>
      <c r="CU917" s="28"/>
      <c r="CV917" s="28"/>
      <c r="CW917" s="28"/>
    </row>
    <row r="918" spans="1:101" ht="14.25" customHeight="1" x14ac:dyDescent="0.2">
      <c r="A918" s="286"/>
      <c r="B918" s="52">
        <v>0.14883163715635864</v>
      </c>
      <c r="C918" s="288">
        <v>0.49350446046160645</v>
      </c>
      <c r="D918" s="288">
        <v>2.3127487181559769E-2</v>
      </c>
      <c r="E918" s="288">
        <v>2.2219262855395661E-2</v>
      </c>
      <c r="F918" s="289">
        <v>0.80329467676111832</v>
      </c>
      <c r="G918" s="92">
        <v>0.41671418743461264</v>
      </c>
      <c r="H918" s="288">
        <v>0.3802311114348102</v>
      </c>
      <c r="I918" s="288">
        <v>5.6875123106982176E-3</v>
      </c>
      <c r="J918" s="288">
        <v>1</v>
      </c>
      <c r="K918" s="288">
        <v>0.69551152178337394</v>
      </c>
      <c r="L918" s="290">
        <v>10517.315326308839</v>
      </c>
      <c r="M918" s="288">
        <v>0</v>
      </c>
      <c r="N918" s="288">
        <v>16601.166313010061</v>
      </c>
      <c r="O918" s="288">
        <v>832.41165122123482</v>
      </c>
      <c r="P918" s="288">
        <v>28320.730865668862</v>
      </c>
      <c r="Q918" s="291">
        <v>94467.71937521467</v>
      </c>
      <c r="R918" s="288">
        <v>27462.296105117559</v>
      </c>
      <c r="S918" s="288">
        <v>10514.249384146524</v>
      </c>
      <c r="T918" s="290">
        <v>0.751</v>
      </c>
      <c r="U918" s="288">
        <v>0.75800000000000001</v>
      </c>
      <c r="V918" s="288">
        <v>0.723923076923077</v>
      </c>
      <c r="W918" s="288">
        <v>0.72750000000000004</v>
      </c>
      <c r="X918" s="288">
        <v>0.76</v>
      </c>
      <c r="Y918" s="288">
        <v>0</v>
      </c>
      <c r="Z918" s="289">
        <v>0</v>
      </c>
      <c r="AA918" s="229"/>
      <c r="AB918" s="293">
        <v>96621.994451322418</v>
      </c>
      <c r="AC918" s="294">
        <v>3.2508745208397491</v>
      </c>
      <c r="AD918" s="295">
        <v>77955.679546867701</v>
      </c>
      <c r="AE918" s="294">
        <v>2.7598293198534138</v>
      </c>
      <c r="AF918" s="295">
        <v>18666.314904454717</v>
      </c>
      <c r="AG918" s="296">
        <v>0.49104520098633531</v>
      </c>
      <c r="AH918" s="229"/>
      <c r="AI918" s="205">
        <f t="shared" si="102"/>
        <v>228465.45763265248</v>
      </c>
      <c r="AJ918" s="205">
        <f t="shared" si="103"/>
        <v>198027.25243847366</v>
      </c>
      <c r="AK918" s="205">
        <f t="shared" si="104"/>
        <v>30438.205194178816</v>
      </c>
      <c r="AL918" s="229"/>
      <c r="AM918" s="52">
        <f t="shared" si="86"/>
        <v>1</v>
      </c>
      <c r="AN918" s="52">
        <f t="shared" si="87"/>
        <v>0</v>
      </c>
      <c r="AO918" s="52">
        <f t="shared" si="88"/>
        <v>1</v>
      </c>
      <c r="AP918" s="229"/>
      <c r="AQ918" s="28"/>
      <c r="AR918" s="28"/>
      <c r="AS918" s="28"/>
      <c r="AT918" s="28"/>
      <c r="AU918" s="229"/>
      <c r="AV918" s="318">
        <f t="shared" si="105"/>
        <v>228465.45763265248</v>
      </c>
      <c r="AW918" s="229"/>
      <c r="AX918" s="313"/>
      <c r="AY918" s="302"/>
      <c r="AZ918" s="14">
        <f t="shared" si="107"/>
        <v>18666.314904454717</v>
      </c>
      <c r="BA918" s="14">
        <f t="shared" si="106"/>
        <v>0.49104520098633531</v>
      </c>
      <c r="BB918" s="14">
        <f t="shared" si="89"/>
        <v>38013.435152121892</v>
      </c>
      <c r="BC918" s="302"/>
      <c r="BD918" s="302"/>
      <c r="BE918" s="302"/>
      <c r="BF918" s="302"/>
      <c r="BG918" s="302"/>
      <c r="BH918" s="302"/>
      <c r="BI918" s="302"/>
      <c r="BJ918" s="302"/>
      <c r="BK918" s="302"/>
      <c r="BL918" s="302"/>
      <c r="BM918" s="302"/>
      <c r="BN918" s="302"/>
      <c r="BO918" s="302"/>
      <c r="BP918" s="302"/>
      <c r="BQ918" s="302"/>
      <c r="BR918" s="302"/>
      <c r="BS918" s="302"/>
      <c r="BT918" s="302"/>
      <c r="BU918" s="302"/>
      <c r="BV918" s="302"/>
      <c r="BW918" s="302"/>
      <c r="BX918" s="302"/>
      <c r="BY918" s="302"/>
      <c r="BZ918" s="302"/>
      <c r="CA918" s="302"/>
      <c r="CB918" s="28"/>
      <c r="CC918" s="28"/>
      <c r="CD918" s="28"/>
      <c r="CE918" s="28"/>
      <c r="CF918" s="28"/>
      <c r="CG918" s="28"/>
      <c r="CH918" s="28"/>
      <c r="CI918" s="28"/>
      <c r="CJ918" s="28"/>
      <c r="CK918" s="28"/>
      <c r="CL918" s="28"/>
      <c r="CM918" s="28"/>
      <c r="CN918" s="28"/>
      <c r="CO918" s="28"/>
      <c r="CP918" s="28"/>
      <c r="CQ918" s="28"/>
      <c r="CR918" s="28"/>
      <c r="CS918" s="28"/>
      <c r="CT918" s="28"/>
      <c r="CU918" s="28"/>
      <c r="CV918" s="28"/>
      <c r="CW918" s="28"/>
    </row>
    <row r="919" spans="1:101" ht="14.25" customHeight="1" x14ac:dyDescent="0.2">
      <c r="A919" s="286"/>
      <c r="B919" s="52">
        <v>0.13942472549103838</v>
      </c>
      <c r="C919" s="288">
        <v>0.33745231204151516</v>
      </c>
      <c r="D919" s="288">
        <v>2.2329825767918643E-2</v>
      </c>
      <c r="E919" s="288">
        <v>2.2875839970812883E-2</v>
      </c>
      <c r="F919" s="289">
        <v>0.76202466949141845</v>
      </c>
      <c r="G919" s="92">
        <v>0.44186709216517572</v>
      </c>
      <c r="H919" s="288">
        <v>0.43811099571315792</v>
      </c>
      <c r="I919" s="288">
        <v>6.3324030002056024E-3</v>
      </c>
      <c r="J919" s="288">
        <v>0.99999999224527614</v>
      </c>
      <c r="K919" s="288">
        <v>0.79551061211040219</v>
      </c>
      <c r="L919" s="290">
        <v>9626.1595575965366</v>
      </c>
      <c r="M919" s="288">
        <v>0</v>
      </c>
      <c r="N919" s="288">
        <v>15346.810302732605</v>
      </c>
      <c r="O919" s="288">
        <v>1225.2743353717242</v>
      </c>
      <c r="P919" s="288">
        <v>34366.433106286378</v>
      </c>
      <c r="Q919" s="291">
        <v>95933.425335848719</v>
      </c>
      <c r="R919" s="288">
        <v>22380.720906602121</v>
      </c>
      <c r="S919" s="288">
        <v>10416.458947610887</v>
      </c>
      <c r="T919" s="290">
        <v>0.751</v>
      </c>
      <c r="U919" s="288">
        <v>0.75800000000000001</v>
      </c>
      <c r="V919" s="288">
        <v>0.723923076923077</v>
      </c>
      <c r="W919" s="288">
        <v>0.72750000000000004</v>
      </c>
      <c r="X919" s="288">
        <v>0.76</v>
      </c>
      <c r="Y919" s="288">
        <v>0</v>
      </c>
      <c r="Z919" s="289">
        <v>0</v>
      </c>
      <c r="AA919" s="229"/>
      <c r="AB919" s="293">
        <v>89752.570776117107</v>
      </c>
      <c r="AC919" s="294">
        <v>3.0591941415568407</v>
      </c>
      <c r="AD919" s="295">
        <v>87903.493341523121</v>
      </c>
      <c r="AE919" s="294">
        <v>3.2193270138609296</v>
      </c>
      <c r="AF919" s="295">
        <v>1849.0774345939863</v>
      </c>
      <c r="AG919" s="296">
        <v>-0.1601328723040889</v>
      </c>
      <c r="AH919" s="229"/>
      <c r="AI919" s="205">
        <f t="shared" si="102"/>
        <v>216166.84337956697</v>
      </c>
      <c r="AJ919" s="205">
        <f t="shared" si="103"/>
        <v>234029.20804456982</v>
      </c>
      <c r="AK919" s="205">
        <f t="shared" si="104"/>
        <v>-17862.364665002875</v>
      </c>
      <c r="AL919" s="229"/>
      <c r="AM919" s="52">
        <f t="shared" si="86"/>
        <v>0</v>
      </c>
      <c r="AN919" s="52">
        <f t="shared" si="87"/>
        <v>1</v>
      </c>
      <c r="AO919" s="52">
        <f t="shared" si="88"/>
        <v>0</v>
      </c>
      <c r="AP919" s="229"/>
      <c r="AQ919" s="28"/>
      <c r="AR919" s="28"/>
      <c r="AS919" s="28"/>
      <c r="AT919" s="28"/>
      <c r="AU919" s="229"/>
      <c r="AV919" s="318">
        <f t="shared" si="105"/>
        <v>234029.20804456982</v>
      </c>
      <c r="AW919" s="229"/>
      <c r="AX919" s="313"/>
      <c r="AY919" s="302"/>
      <c r="AZ919" s="14">
        <f t="shared" si="107"/>
        <v>1849.0774345939863</v>
      </c>
      <c r="BA919" s="14">
        <f t="shared" si="106"/>
        <v>-0.1601328723040889</v>
      </c>
      <c r="BB919" s="14">
        <f t="shared" si="89"/>
        <v>-11547.14461801839</v>
      </c>
      <c r="BC919" s="302"/>
      <c r="BD919" s="302"/>
      <c r="BE919" s="302"/>
      <c r="BF919" s="302"/>
      <c r="BG919" s="302"/>
      <c r="BH919" s="302"/>
      <c r="BI919" s="302"/>
      <c r="BJ919" s="302"/>
      <c r="BK919" s="302"/>
      <c r="BL919" s="302"/>
      <c r="BM919" s="302"/>
      <c r="BN919" s="302"/>
      <c r="BO919" s="302"/>
      <c r="BP919" s="302"/>
      <c r="BQ919" s="302"/>
      <c r="BR919" s="302"/>
      <c r="BS919" s="302"/>
      <c r="BT919" s="302"/>
      <c r="BU919" s="302"/>
      <c r="BV919" s="302"/>
      <c r="BW919" s="302"/>
      <c r="BX919" s="302"/>
      <c r="BY919" s="302"/>
      <c r="BZ919" s="302"/>
      <c r="CA919" s="302"/>
      <c r="CB919" s="28"/>
      <c r="CC919" s="28"/>
      <c r="CD919" s="28"/>
      <c r="CE919" s="28"/>
      <c r="CF919" s="28"/>
      <c r="CG919" s="28"/>
      <c r="CH919" s="28"/>
      <c r="CI919" s="28"/>
      <c r="CJ919" s="28"/>
      <c r="CK919" s="28"/>
      <c r="CL919" s="28"/>
      <c r="CM919" s="28"/>
      <c r="CN919" s="28"/>
      <c r="CO919" s="28"/>
      <c r="CP919" s="28"/>
      <c r="CQ919" s="28"/>
      <c r="CR919" s="28"/>
      <c r="CS919" s="28"/>
      <c r="CT919" s="28"/>
      <c r="CU919" s="28"/>
      <c r="CV919" s="28"/>
      <c r="CW919" s="28"/>
    </row>
    <row r="920" spans="1:101" ht="14.25" customHeight="1" x14ac:dyDescent="0.2">
      <c r="A920" s="286"/>
      <c r="B920" s="52">
        <v>0.12821583600200526</v>
      </c>
      <c r="C920" s="288">
        <v>0.38760501761972277</v>
      </c>
      <c r="D920" s="288">
        <v>1.0836021948140446E-2</v>
      </c>
      <c r="E920" s="288">
        <v>8.9854538693136463E-3</v>
      </c>
      <c r="F920" s="289">
        <v>0.80082155452352044</v>
      </c>
      <c r="G920" s="92">
        <v>0.40624715101502495</v>
      </c>
      <c r="H920" s="288">
        <v>0.37216752697930028</v>
      </c>
      <c r="I920" s="288">
        <v>7.2565169347444973E-3</v>
      </c>
      <c r="J920" s="288">
        <v>0.66037009811768088</v>
      </c>
      <c r="K920" s="288">
        <v>0.76651454382229978</v>
      </c>
      <c r="L920" s="290">
        <v>14408.324514700431</v>
      </c>
      <c r="M920" s="288">
        <v>0</v>
      </c>
      <c r="N920" s="288">
        <v>21245.931610803382</v>
      </c>
      <c r="O920" s="288">
        <v>1483.1740915571772</v>
      </c>
      <c r="P920" s="288">
        <v>39396.698808884808</v>
      </c>
      <c r="Q920" s="291">
        <v>99116.988771336692</v>
      </c>
      <c r="R920" s="288">
        <v>29418.100160410075</v>
      </c>
      <c r="S920" s="288">
        <v>10456.440686578055</v>
      </c>
      <c r="T920" s="290">
        <v>0.751</v>
      </c>
      <c r="U920" s="288">
        <v>0.75800000000000001</v>
      </c>
      <c r="V920" s="288">
        <v>0.723923076923077</v>
      </c>
      <c r="W920" s="288">
        <v>0.72750000000000004</v>
      </c>
      <c r="X920" s="288">
        <v>0.76</v>
      </c>
      <c r="Y920" s="288">
        <v>0</v>
      </c>
      <c r="Z920" s="289">
        <v>0</v>
      </c>
      <c r="AA920" s="229"/>
      <c r="AB920" s="293">
        <v>99118.146649632399</v>
      </c>
      <c r="AC920" s="294">
        <v>3.2393127465650009</v>
      </c>
      <c r="AD920" s="295">
        <v>85383.970411175425</v>
      </c>
      <c r="AE920" s="294">
        <v>3.0844669382690242</v>
      </c>
      <c r="AF920" s="295">
        <v>13734.176238456974</v>
      </c>
      <c r="AG920" s="296">
        <v>0.15484580829597672</v>
      </c>
      <c r="AH920" s="229"/>
      <c r="AI920" s="205">
        <f t="shared" si="102"/>
        <v>224813.12800686769</v>
      </c>
      <c r="AJ920" s="205">
        <f t="shared" si="103"/>
        <v>223062.723415727</v>
      </c>
      <c r="AK920" s="205">
        <f t="shared" si="104"/>
        <v>1750.4045911406974</v>
      </c>
      <c r="AL920" s="229"/>
      <c r="AM920" s="52">
        <f t="shared" si="86"/>
        <v>1</v>
      </c>
      <c r="AN920" s="52">
        <f t="shared" si="87"/>
        <v>0</v>
      </c>
      <c r="AO920" s="52">
        <f t="shared" si="88"/>
        <v>1</v>
      </c>
      <c r="AP920" s="229"/>
      <c r="AQ920" s="28"/>
      <c r="AR920" s="28"/>
      <c r="AS920" s="28"/>
      <c r="AT920" s="28"/>
      <c r="AU920" s="229"/>
      <c r="AV920" s="318">
        <f t="shared" si="105"/>
        <v>224813.12800686769</v>
      </c>
      <c r="AW920" s="229"/>
      <c r="AX920" s="313"/>
      <c r="AY920" s="302"/>
      <c r="AZ920" s="14">
        <f t="shared" si="107"/>
        <v>13734.176238456974</v>
      </c>
      <c r="BA920" s="14">
        <f t="shared" si="106"/>
        <v>0.15484580829597672</v>
      </c>
      <c r="BB920" s="14">
        <f t="shared" si="89"/>
        <v>88695.821925027994</v>
      </c>
      <c r="BC920" s="302"/>
      <c r="BD920" s="302"/>
      <c r="BE920" s="302"/>
      <c r="BF920" s="302"/>
      <c r="BG920" s="302"/>
      <c r="BH920" s="302"/>
      <c r="BI920" s="302"/>
      <c r="BJ920" s="302"/>
      <c r="BK920" s="302"/>
      <c r="BL920" s="302"/>
      <c r="BM920" s="302"/>
      <c r="BN920" s="302"/>
      <c r="BO920" s="302"/>
      <c r="BP920" s="302"/>
      <c r="BQ920" s="302"/>
      <c r="BR920" s="302"/>
      <c r="BS920" s="302"/>
      <c r="BT920" s="302"/>
      <c r="BU920" s="302"/>
      <c r="BV920" s="302"/>
      <c r="BW920" s="302"/>
      <c r="BX920" s="302"/>
      <c r="BY920" s="302"/>
      <c r="BZ920" s="302"/>
      <c r="CA920" s="302"/>
      <c r="CB920" s="28"/>
      <c r="CC920" s="28"/>
      <c r="CD920" s="28"/>
      <c r="CE920" s="28"/>
      <c r="CF920" s="28"/>
      <c r="CG920" s="28"/>
      <c r="CH920" s="28"/>
      <c r="CI920" s="28"/>
      <c r="CJ920" s="28"/>
      <c r="CK920" s="28"/>
      <c r="CL920" s="28"/>
      <c r="CM920" s="28"/>
      <c r="CN920" s="28"/>
      <c r="CO920" s="28"/>
      <c r="CP920" s="28"/>
      <c r="CQ920" s="28"/>
      <c r="CR920" s="28"/>
      <c r="CS920" s="28"/>
      <c r="CT920" s="28"/>
      <c r="CU920" s="28"/>
      <c r="CV920" s="28"/>
      <c r="CW920" s="28"/>
    </row>
    <row r="921" spans="1:101" ht="14.25" customHeight="1" x14ac:dyDescent="0.2">
      <c r="A921" s="286"/>
      <c r="B921" s="52">
        <v>0.16261068908410758</v>
      </c>
      <c r="C921" s="288">
        <v>0.53339463994085001</v>
      </c>
      <c r="D921" s="288">
        <v>2.3747268593538484E-2</v>
      </c>
      <c r="E921" s="288">
        <v>2.2193960566765942E-3</v>
      </c>
      <c r="F921" s="289">
        <v>0.80995562683906863</v>
      </c>
      <c r="G921" s="92">
        <v>0.37133087193768127</v>
      </c>
      <c r="H921" s="288">
        <v>0.61888939210336313</v>
      </c>
      <c r="I921" s="288">
        <v>8.2137641697778638E-3</v>
      </c>
      <c r="J921" s="288">
        <v>0.5960967570166924</v>
      </c>
      <c r="K921" s="288">
        <v>0.73310536481219302</v>
      </c>
      <c r="L921" s="290">
        <v>11476.056731307601</v>
      </c>
      <c r="M921" s="288">
        <v>0</v>
      </c>
      <c r="N921" s="288">
        <v>19600.170095306017</v>
      </c>
      <c r="O921" s="288">
        <v>1137.0510838110636</v>
      </c>
      <c r="P921" s="288">
        <v>35331.099153218289</v>
      </c>
      <c r="Q921" s="291">
        <v>148728.61680388707</v>
      </c>
      <c r="R921" s="288">
        <v>23716.853744705841</v>
      </c>
      <c r="S921" s="288">
        <v>6655.6991167166652</v>
      </c>
      <c r="T921" s="290">
        <v>0.751</v>
      </c>
      <c r="U921" s="288">
        <v>0.75800000000000001</v>
      </c>
      <c r="V921" s="288">
        <v>0.723923076923077</v>
      </c>
      <c r="W921" s="288">
        <v>0.72750000000000004</v>
      </c>
      <c r="X921" s="288">
        <v>0.76</v>
      </c>
      <c r="Y921" s="288">
        <v>0</v>
      </c>
      <c r="Z921" s="289">
        <v>0</v>
      </c>
      <c r="AA921" s="229"/>
      <c r="AB921" s="293">
        <v>67674.294883456736</v>
      </c>
      <c r="AC921" s="294">
        <v>3.2820619830575</v>
      </c>
      <c r="AD921" s="295">
        <v>55074.414476396436</v>
      </c>
      <c r="AE921" s="294">
        <v>2.9307247499922169</v>
      </c>
      <c r="AF921" s="295">
        <v>12599.8804070603</v>
      </c>
      <c r="AG921" s="296">
        <v>0.35133723306528308</v>
      </c>
      <c r="AH921" s="229"/>
      <c r="AI921" s="205">
        <f t="shared" si="102"/>
        <v>260531.90342229325</v>
      </c>
      <c r="AJ921" s="205">
        <f t="shared" si="103"/>
        <v>237998.06052282525</v>
      </c>
      <c r="AK921" s="205">
        <f t="shared" si="104"/>
        <v>22533.842899468007</v>
      </c>
      <c r="AL921" s="229"/>
      <c r="AM921" s="52">
        <f t="shared" si="86"/>
        <v>1</v>
      </c>
      <c r="AN921" s="52">
        <f t="shared" si="87"/>
        <v>0</v>
      </c>
      <c r="AO921" s="52">
        <f t="shared" si="88"/>
        <v>1</v>
      </c>
      <c r="AP921" s="229"/>
      <c r="AQ921" s="28"/>
      <c r="AR921" s="28"/>
      <c r="AS921" s="28"/>
      <c r="AT921" s="28"/>
      <c r="AU921" s="229"/>
      <c r="AV921" s="318">
        <f t="shared" si="105"/>
        <v>260531.90342229325</v>
      </c>
      <c r="AW921" s="229"/>
      <c r="AX921" s="313"/>
      <c r="AY921" s="302"/>
      <c r="AZ921" s="14">
        <f t="shared" si="107"/>
        <v>12599.8804070603</v>
      </c>
      <c r="BA921" s="14">
        <f t="shared" si="106"/>
        <v>0.35133723306528308</v>
      </c>
      <c r="BB921" s="14">
        <f t="shared" si="89"/>
        <v>35862.639143398381</v>
      </c>
      <c r="BC921" s="302"/>
      <c r="BD921" s="302"/>
      <c r="BE921" s="302"/>
      <c r="BF921" s="302"/>
      <c r="BG921" s="302"/>
      <c r="BH921" s="302"/>
      <c r="BI921" s="302"/>
      <c r="BJ921" s="302"/>
      <c r="BK921" s="302"/>
      <c r="BL921" s="302"/>
      <c r="BM921" s="302"/>
      <c r="BN921" s="302"/>
      <c r="BO921" s="302"/>
      <c r="BP921" s="302"/>
      <c r="BQ921" s="302"/>
      <c r="BR921" s="302"/>
      <c r="BS921" s="302"/>
      <c r="BT921" s="302"/>
      <c r="BU921" s="302"/>
      <c r="BV921" s="302"/>
      <c r="BW921" s="302"/>
      <c r="BX921" s="302"/>
      <c r="BY921" s="302"/>
      <c r="BZ921" s="302"/>
      <c r="CA921" s="302"/>
      <c r="CB921" s="28"/>
      <c r="CC921" s="28"/>
      <c r="CD921" s="28"/>
      <c r="CE921" s="28"/>
      <c r="CF921" s="28"/>
      <c r="CG921" s="28"/>
      <c r="CH921" s="28"/>
      <c r="CI921" s="28"/>
      <c r="CJ921" s="28"/>
      <c r="CK921" s="28"/>
      <c r="CL921" s="28"/>
      <c r="CM921" s="28"/>
      <c r="CN921" s="28"/>
      <c r="CO921" s="28"/>
      <c r="CP921" s="28"/>
      <c r="CQ921" s="28"/>
      <c r="CR921" s="28"/>
      <c r="CS921" s="28"/>
      <c r="CT921" s="28"/>
      <c r="CU921" s="28"/>
      <c r="CV921" s="28"/>
      <c r="CW921" s="28"/>
    </row>
    <row r="922" spans="1:101" ht="14.25" customHeight="1" x14ac:dyDescent="0.2">
      <c r="A922" s="286"/>
      <c r="B922" s="52">
        <v>0.13619757404424165</v>
      </c>
      <c r="C922" s="288">
        <v>4.9957141350320096E-2</v>
      </c>
      <c r="D922" s="288">
        <v>9.3341203162453524E-3</v>
      </c>
      <c r="E922" s="288">
        <v>1.081107479502893E-2</v>
      </c>
      <c r="F922" s="289">
        <v>0.7817883860419923</v>
      </c>
      <c r="G922" s="92">
        <v>0.39090308417819364</v>
      </c>
      <c r="H922" s="288">
        <v>0.68843911500635246</v>
      </c>
      <c r="I922" s="288">
        <v>9.789764638846607E-3</v>
      </c>
      <c r="J922" s="288">
        <v>0.99996536475945386</v>
      </c>
      <c r="K922" s="288">
        <v>0.74813236979598186</v>
      </c>
      <c r="L922" s="290">
        <v>12498.958518705365</v>
      </c>
      <c r="M922" s="288">
        <v>0</v>
      </c>
      <c r="N922" s="288">
        <v>14992.294152091199</v>
      </c>
      <c r="O922" s="288">
        <v>1335.5721155421568</v>
      </c>
      <c r="P922" s="288">
        <v>64263.94829231238</v>
      </c>
      <c r="Q922" s="291">
        <v>107246.74324649561</v>
      </c>
      <c r="R922" s="288">
        <v>32543.926649384535</v>
      </c>
      <c r="S922" s="288">
        <v>12559.906917579232</v>
      </c>
      <c r="T922" s="290">
        <v>0.751</v>
      </c>
      <c r="U922" s="288">
        <v>0.75800000000000001</v>
      </c>
      <c r="V922" s="288">
        <v>0.723923076923077</v>
      </c>
      <c r="W922" s="288">
        <v>0.72750000000000004</v>
      </c>
      <c r="X922" s="288">
        <v>0.76</v>
      </c>
      <c r="Y922" s="288">
        <v>0</v>
      </c>
      <c r="Z922" s="289">
        <v>0</v>
      </c>
      <c r="AA922" s="229"/>
      <c r="AB922" s="293">
        <v>110272.1389828501</v>
      </c>
      <c r="AC922" s="294">
        <v>3.1506542587493187</v>
      </c>
      <c r="AD922" s="295">
        <v>103611.61357853786</v>
      </c>
      <c r="AE922" s="294">
        <v>2.9996582413049362</v>
      </c>
      <c r="AF922" s="295">
        <v>6660.5254043122404</v>
      </c>
      <c r="AG922" s="296">
        <v>0.15099601744438251</v>
      </c>
      <c r="AH922" s="229"/>
      <c r="AI922" s="205">
        <f t="shared" si="102"/>
        <v>204793.28689208176</v>
      </c>
      <c r="AJ922" s="205">
        <f t="shared" si="103"/>
        <v>196354.21055195577</v>
      </c>
      <c r="AK922" s="205">
        <f t="shared" si="104"/>
        <v>8439.0763401260101</v>
      </c>
      <c r="AL922" s="229"/>
      <c r="AM922" s="52">
        <f t="shared" si="86"/>
        <v>1</v>
      </c>
      <c r="AN922" s="52">
        <f t="shared" si="87"/>
        <v>0</v>
      </c>
      <c r="AO922" s="52">
        <f t="shared" si="88"/>
        <v>1</v>
      </c>
      <c r="AP922" s="229"/>
      <c r="AQ922" s="28"/>
      <c r="AR922" s="28"/>
      <c r="AS922" s="28"/>
      <c r="AT922" s="28"/>
      <c r="AU922" s="229"/>
      <c r="AV922" s="318">
        <f t="shared" si="105"/>
        <v>204793.28689208176</v>
      </c>
      <c r="AW922" s="229"/>
      <c r="AX922" s="313"/>
      <c r="AY922" s="302"/>
      <c r="AZ922" s="14">
        <f t="shared" si="107"/>
        <v>6660.5254043122404</v>
      </c>
      <c r="BA922" s="14">
        <f t="shared" si="106"/>
        <v>0.15099601744438251</v>
      </c>
      <c r="BB922" s="14">
        <f t="shared" si="89"/>
        <v>44110.60316054734</v>
      </c>
      <c r="BC922" s="302"/>
      <c r="BD922" s="302"/>
      <c r="BE922" s="302"/>
      <c r="BF922" s="302"/>
      <c r="BG922" s="302"/>
      <c r="BH922" s="302"/>
      <c r="BI922" s="302"/>
      <c r="BJ922" s="302"/>
      <c r="BK922" s="302"/>
      <c r="BL922" s="302"/>
      <c r="BM922" s="302"/>
      <c r="BN922" s="302"/>
      <c r="BO922" s="302"/>
      <c r="BP922" s="302"/>
      <c r="BQ922" s="302"/>
      <c r="BR922" s="302"/>
      <c r="BS922" s="302"/>
      <c r="BT922" s="302"/>
      <c r="BU922" s="302"/>
      <c r="BV922" s="302"/>
      <c r="BW922" s="302"/>
      <c r="BX922" s="302"/>
      <c r="BY922" s="302"/>
      <c r="BZ922" s="302"/>
      <c r="CA922" s="302"/>
      <c r="CB922" s="28"/>
      <c r="CC922" s="28"/>
      <c r="CD922" s="28"/>
      <c r="CE922" s="28"/>
      <c r="CF922" s="28"/>
      <c r="CG922" s="28"/>
      <c r="CH922" s="28"/>
      <c r="CI922" s="28"/>
      <c r="CJ922" s="28"/>
      <c r="CK922" s="28"/>
      <c r="CL922" s="28"/>
      <c r="CM922" s="28"/>
      <c r="CN922" s="28"/>
      <c r="CO922" s="28"/>
      <c r="CP922" s="28"/>
      <c r="CQ922" s="28"/>
      <c r="CR922" s="28"/>
      <c r="CS922" s="28"/>
      <c r="CT922" s="28"/>
      <c r="CU922" s="28"/>
      <c r="CV922" s="28"/>
      <c r="CW922" s="28"/>
    </row>
    <row r="923" spans="1:101" ht="14.25" customHeight="1" x14ac:dyDescent="0.2">
      <c r="A923" s="286"/>
      <c r="B923" s="52">
        <v>0.14850740044038982</v>
      </c>
      <c r="C923" s="288">
        <v>0.78873475544534699</v>
      </c>
      <c r="D923" s="288">
        <v>1.4961556172255475E-2</v>
      </c>
      <c r="E923" s="288">
        <v>1.2241166098406446E-2</v>
      </c>
      <c r="F923" s="289">
        <v>0.7846657464358574</v>
      </c>
      <c r="G923" s="92">
        <v>0.3804243960781386</v>
      </c>
      <c r="H923" s="288">
        <v>0.65943618010023175</v>
      </c>
      <c r="I923" s="288">
        <v>9.3016130551467919E-3</v>
      </c>
      <c r="J923" s="288">
        <v>0.999998493817714</v>
      </c>
      <c r="K923" s="288">
        <v>0.75394553793930796</v>
      </c>
      <c r="L923" s="290">
        <v>10835.328932453096</v>
      </c>
      <c r="M923" s="288">
        <v>0</v>
      </c>
      <c r="N923" s="288">
        <v>19416.57461253009</v>
      </c>
      <c r="O923" s="288">
        <v>1169.9738937375109</v>
      </c>
      <c r="P923" s="288">
        <v>43488.922840372834</v>
      </c>
      <c r="Q923" s="291">
        <v>107602.15029246434</v>
      </c>
      <c r="R923" s="288">
        <v>21922.709932208374</v>
      </c>
      <c r="S923" s="288">
        <v>10766.799119570325</v>
      </c>
      <c r="T923" s="290">
        <v>0.751</v>
      </c>
      <c r="U923" s="288">
        <v>0.75800000000000001</v>
      </c>
      <c r="V923" s="288">
        <v>0.723923076923077</v>
      </c>
      <c r="W923" s="288">
        <v>0.72750000000000004</v>
      </c>
      <c r="X923" s="288">
        <v>0.76</v>
      </c>
      <c r="Y923" s="288">
        <v>0</v>
      </c>
      <c r="Z923" s="289">
        <v>0</v>
      </c>
      <c r="AA923" s="229"/>
      <c r="AB923" s="293">
        <v>97475.603720530722</v>
      </c>
      <c r="AC923" s="294">
        <v>3.1640208474475071</v>
      </c>
      <c r="AD923" s="295">
        <v>87502.935894162161</v>
      </c>
      <c r="AE923" s="294">
        <v>3.0264205099232564</v>
      </c>
      <c r="AF923" s="295">
        <v>9972.6678263685608</v>
      </c>
      <c r="AG923" s="296">
        <v>0.13760033752425072</v>
      </c>
      <c r="AH923" s="229"/>
      <c r="AI923" s="205">
        <f t="shared" si="102"/>
        <v>218926.48102421997</v>
      </c>
      <c r="AJ923" s="205">
        <f t="shared" si="103"/>
        <v>215139.11509816349</v>
      </c>
      <c r="AK923" s="205">
        <f t="shared" si="104"/>
        <v>3787.3659260565109</v>
      </c>
      <c r="AL923" s="229"/>
      <c r="AM923" s="52">
        <f t="shared" si="86"/>
        <v>1</v>
      </c>
      <c r="AN923" s="52">
        <f t="shared" si="87"/>
        <v>0</v>
      </c>
      <c r="AO923" s="52">
        <f t="shared" si="88"/>
        <v>1</v>
      </c>
      <c r="AP923" s="229"/>
      <c r="AQ923" s="28"/>
      <c r="AR923" s="28"/>
      <c r="AS923" s="28"/>
      <c r="AT923" s="28"/>
      <c r="AU923" s="229"/>
      <c r="AV923" s="318">
        <f t="shared" si="105"/>
        <v>218926.48102421997</v>
      </c>
      <c r="AW923" s="229"/>
      <c r="AX923" s="313"/>
      <c r="AY923" s="302"/>
      <c r="AZ923" s="14">
        <f t="shared" si="107"/>
        <v>9972.6678263685608</v>
      </c>
      <c r="BA923" s="14">
        <f t="shared" si="106"/>
        <v>0.13760033752425072</v>
      </c>
      <c r="BB923" s="14">
        <f t="shared" si="89"/>
        <v>72475.60584370642</v>
      </c>
      <c r="BC923" s="302"/>
      <c r="BD923" s="302"/>
      <c r="BE923" s="302"/>
      <c r="BF923" s="302"/>
      <c r="BG923" s="302"/>
      <c r="BH923" s="302"/>
      <c r="BI923" s="302"/>
      <c r="BJ923" s="302"/>
      <c r="BK923" s="302"/>
      <c r="BL923" s="302"/>
      <c r="BM923" s="302"/>
      <c r="BN923" s="302"/>
      <c r="BO923" s="302"/>
      <c r="BP923" s="302"/>
      <c r="BQ923" s="302"/>
      <c r="BR923" s="302"/>
      <c r="BS923" s="302"/>
      <c r="BT923" s="302"/>
      <c r="BU923" s="302"/>
      <c r="BV923" s="302"/>
      <c r="BW923" s="302"/>
      <c r="BX923" s="302"/>
      <c r="BY923" s="302"/>
      <c r="BZ923" s="302"/>
      <c r="CA923" s="302"/>
      <c r="CB923" s="28"/>
      <c r="CC923" s="28"/>
      <c r="CD923" s="28"/>
      <c r="CE923" s="28"/>
      <c r="CF923" s="28"/>
      <c r="CG923" s="28"/>
      <c r="CH923" s="28"/>
      <c r="CI923" s="28"/>
      <c r="CJ923" s="28"/>
      <c r="CK923" s="28"/>
      <c r="CL923" s="28"/>
      <c r="CM923" s="28"/>
      <c r="CN923" s="28"/>
      <c r="CO923" s="28"/>
      <c r="CP923" s="28"/>
      <c r="CQ923" s="28"/>
      <c r="CR923" s="28"/>
      <c r="CS923" s="28"/>
      <c r="CT923" s="28"/>
      <c r="CU923" s="28"/>
      <c r="CV923" s="28"/>
      <c r="CW923" s="28"/>
    </row>
    <row r="924" spans="1:101" ht="14.25" customHeight="1" x14ac:dyDescent="0.2">
      <c r="A924" s="286"/>
      <c r="B924" s="52">
        <v>0.15946046670511205</v>
      </c>
      <c r="C924" s="288">
        <v>0.78064728873999245</v>
      </c>
      <c r="D924" s="288">
        <v>5.3065206039964747E-3</v>
      </c>
      <c r="E924" s="288">
        <v>2.2757250452306921E-2</v>
      </c>
      <c r="F924" s="289">
        <v>0.80946906444411582</v>
      </c>
      <c r="G924" s="92">
        <v>0.3674243621145335</v>
      </c>
      <c r="H924" s="288">
        <v>0.73629544556766113</v>
      </c>
      <c r="I924" s="288">
        <v>1.8890242973409244E-2</v>
      </c>
      <c r="J924" s="288">
        <v>0.47864177007034436</v>
      </c>
      <c r="K924" s="288">
        <v>0.76855487524635679</v>
      </c>
      <c r="L924" s="290">
        <v>9479.7299293051256</v>
      </c>
      <c r="M924" s="288">
        <v>0</v>
      </c>
      <c r="N924" s="288">
        <v>17237.335986375303</v>
      </c>
      <c r="O924" s="288">
        <v>988.80814889618114</v>
      </c>
      <c r="P924" s="288">
        <v>46604.77311867266</v>
      </c>
      <c r="Q924" s="291">
        <v>142618.04869276687</v>
      </c>
      <c r="R924" s="288">
        <v>21845.413388036781</v>
      </c>
      <c r="S924" s="288">
        <v>6580.9096084225357</v>
      </c>
      <c r="T924" s="290">
        <v>0.751</v>
      </c>
      <c r="U924" s="288">
        <v>0.75800000000000001</v>
      </c>
      <c r="V924" s="288">
        <v>0.723923076923077</v>
      </c>
      <c r="W924" s="288">
        <v>0.72750000000000004</v>
      </c>
      <c r="X924" s="288">
        <v>0.76</v>
      </c>
      <c r="Y924" s="288">
        <v>0</v>
      </c>
      <c r="Z924" s="289">
        <v>0</v>
      </c>
      <c r="AA924" s="229"/>
      <c r="AB924" s="293">
        <v>65228.583839394312</v>
      </c>
      <c r="AC924" s="294">
        <v>3.2797814765604185</v>
      </c>
      <c r="AD924" s="295">
        <v>57915.88622164564</v>
      </c>
      <c r="AE924" s="294">
        <v>3.0939131290270363</v>
      </c>
      <c r="AF924" s="295">
        <v>7312.6976177486722</v>
      </c>
      <c r="AG924" s="296">
        <v>0.18586834753338222</v>
      </c>
      <c r="AH924" s="229"/>
      <c r="AI924" s="205">
        <f t="shared" si="102"/>
        <v>262749.56381664751</v>
      </c>
      <c r="AJ924" s="205">
        <f t="shared" si="103"/>
        <v>251475.42668105802</v>
      </c>
      <c r="AK924" s="205">
        <f t="shared" si="104"/>
        <v>11274.13713558955</v>
      </c>
      <c r="AL924" s="229"/>
      <c r="AM924" s="52">
        <f t="shared" si="86"/>
        <v>1</v>
      </c>
      <c r="AN924" s="52">
        <f t="shared" si="87"/>
        <v>0</v>
      </c>
      <c r="AO924" s="52">
        <f t="shared" si="88"/>
        <v>1</v>
      </c>
      <c r="AP924" s="229"/>
      <c r="AQ924" s="28"/>
      <c r="AR924" s="28"/>
      <c r="AS924" s="28"/>
      <c r="AT924" s="28"/>
      <c r="AU924" s="229"/>
      <c r="AV924" s="318">
        <f t="shared" si="105"/>
        <v>262749.56381664751</v>
      </c>
      <c r="AW924" s="229"/>
      <c r="AX924" s="313"/>
      <c r="AY924" s="302"/>
      <c r="AZ924" s="14">
        <f t="shared" si="107"/>
        <v>7312.6976177486722</v>
      </c>
      <c r="BA924" s="14">
        <f t="shared" si="106"/>
        <v>0.18586834753338222</v>
      </c>
      <c r="BB924" s="14">
        <f t="shared" si="89"/>
        <v>39343.426219654219</v>
      </c>
      <c r="BC924" s="302"/>
      <c r="BD924" s="302"/>
      <c r="BE924" s="302"/>
      <c r="BF924" s="302"/>
      <c r="BG924" s="302"/>
      <c r="BH924" s="302"/>
      <c r="BI924" s="302"/>
      <c r="BJ924" s="302"/>
      <c r="BK924" s="302"/>
      <c r="BL924" s="302"/>
      <c r="BM924" s="302"/>
      <c r="BN924" s="302"/>
      <c r="BO924" s="302"/>
      <c r="BP924" s="302"/>
      <c r="BQ924" s="302"/>
      <c r="BR924" s="302"/>
      <c r="BS924" s="302"/>
      <c r="BT924" s="302"/>
      <c r="BU924" s="302"/>
      <c r="BV924" s="302"/>
      <c r="BW924" s="302"/>
      <c r="BX924" s="302"/>
      <c r="BY924" s="302"/>
      <c r="BZ924" s="302"/>
      <c r="CA924" s="302"/>
      <c r="CB924" s="28"/>
      <c r="CC924" s="28"/>
      <c r="CD924" s="28"/>
      <c r="CE924" s="28"/>
      <c r="CF924" s="28"/>
      <c r="CG924" s="28"/>
      <c r="CH924" s="28"/>
      <c r="CI924" s="28"/>
      <c r="CJ924" s="28"/>
      <c r="CK924" s="28"/>
      <c r="CL924" s="28"/>
      <c r="CM924" s="28"/>
      <c r="CN924" s="28"/>
      <c r="CO924" s="28"/>
      <c r="CP924" s="28"/>
      <c r="CQ924" s="28"/>
      <c r="CR924" s="28"/>
      <c r="CS924" s="28"/>
      <c r="CT924" s="28"/>
      <c r="CU924" s="28"/>
      <c r="CV924" s="28"/>
      <c r="CW924" s="28"/>
    </row>
    <row r="925" spans="1:101" ht="14.25" customHeight="1" x14ac:dyDescent="0.2">
      <c r="A925" s="286"/>
      <c r="B925" s="52">
        <v>0.17946305590439737</v>
      </c>
      <c r="C925" s="288">
        <v>0.44472382835542756</v>
      </c>
      <c r="D925" s="288">
        <v>1.11545771329886E-2</v>
      </c>
      <c r="E925" s="288">
        <v>1.1909385266414113E-2</v>
      </c>
      <c r="F925" s="289">
        <v>0.79159769451097184</v>
      </c>
      <c r="G925" s="92">
        <v>0.42239342845463534</v>
      </c>
      <c r="H925" s="288">
        <v>0.73574762027948948</v>
      </c>
      <c r="I925" s="288">
        <v>1.389532136127327E-2</v>
      </c>
      <c r="J925" s="288">
        <v>1</v>
      </c>
      <c r="K925" s="288">
        <v>0.77622244917247352</v>
      </c>
      <c r="L925" s="290">
        <v>8496.5830438985067</v>
      </c>
      <c r="M925" s="288">
        <v>0</v>
      </c>
      <c r="N925" s="288">
        <v>15764.072001574566</v>
      </c>
      <c r="O925" s="288">
        <v>2010.5278176366928</v>
      </c>
      <c r="P925" s="288">
        <v>31680.669395042474</v>
      </c>
      <c r="Q925" s="291">
        <v>136092.46299150403</v>
      </c>
      <c r="R925" s="288">
        <v>20007.163174767375</v>
      </c>
      <c r="S925" s="288">
        <v>11326.559416928623</v>
      </c>
      <c r="T925" s="290">
        <v>0.751</v>
      </c>
      <c r="U925" s="288">
        <v>0.75800000000000001</v>
      </c>
      <c r="V925" s="288">
        <v>0.723923076923077</v>
      </c>
      <c r="W925" s="288">
        <v>0.72750000000000004</v>
      </c>
      <c r="X925" s="288">
        <v>0.76</v>
      </c>
      <c r="Y925" s="288">
        <v>0</v>
      </c>
      <c r="Z925" s="289">
        <v>0</v>
      </c>
      <c r="AA925" s="229"/>
      <c r="AB925" s="293">
        <v>99512.434793835011</v>
      </c>
      <c r="AC925" s="294">
        <v>3.1962760840074105</v>
      </c>
      <c r="AD925" s="295">
        <v>95779.138518700784</v>
      </c>
      <c r="AE925" s="294">
        <v>3.1294706178822489</v>
      </c>
      <c r="AF925" s="295">
        <v>3733.2962751342275</v>
      </c>
      <c r="AG925" s="296">
        <v>6.6805466125161583E-2</v>
      </c>
      <c r="AH925" s="229"/>
      <c r="AI925" s="205">
        <f t="shared" si="102"/>
        <v>220115.17360690606</v>
      </c>
      <c r="AJ925" s="205">
        <f t="shared" si="103"/>
        <v>217167.92326952412</v>
      </c>
      <c r="AK925" s="205">
        <f t="shared" si="104"/>
        <v>2947.2503373819309</v>
      </c>
      <c r="AL925" s="229"/>
      <c r="AM925" s="52">
        <f t="shared" si="86"/>
        <v>1</v>
      </c>
      <c r="AN925" s="52">
        <f t="shared" si="87"/>
        <v>0</v>
      </c>
      <c r="AO925" s="52">
        <f t="shared" si="88"/>
        <v>1</v>
      </c>
      <c r="AP925" s="229"/>
      <c r="AQ925" s="28"/>
      <c r="AR925" s="28"/>
      <c r="AS925" s="28"/>
      <c r="AT925" s="28"/>
      <c r="AU925" s="229"/>
      <c r="AV925" s="318">
        <f t="shared" si="105"/>
        <v>220115.17360690606</v>
      </c>
      <c r="AW925" s="229"/>
      <c r="AX925" s="313"/>
      <c r="AY925" s="302"/>
      <c r="AZ925" s="14">
        <f t="shared" si="107"/>
        <v>3733.2962751342275</v>
      </c>
      <c r="BA925" s="14">
        <f t="shared" si="106"/>
        <v>6.6805466125161583E-2</v>
      </c>
      <c r="BB925" s="14">
        <f t="shared" si="89"/>
        <v>55883.095975107943</v>
      </c>
      <c r="BC925" s="302"/>
      <c r="BD925" s="302"/>
      <c r="BE925" s="302"/>
      <c r="BF925" s="302"/>
      <c r="BG925" s="302"/>
      <c r="BH925" s="302"/>
      <c r="BI925" s="302"/>
      <c r="BJ925" s="302"/>
      <c r="BK925" s="302"/>
      <c r="BL925" s="302"/>
      <c r="BM925" s="302"/>
      <c r="BN925" s="302"/>
      <c r="BO925" s="302"/>
      <c r="BP925" s="302"/>
      <c r="BQ925" s="302"/>
      <c r="BR925" s="302"/>
      <c r="BS925" s="302"/>
      <c r="BT925" s="302"/>
      <c r="BU925" s="302"/>
      <c r="BV925" s="302"/>
      <c r="BW925" s="302"/>
      <c r="BX925" s="302"/>
      <c r="BY925" s="302"/>
      <c r="BZ925" s="302"/>
      <c r="CA925" s="302"/>
      <c r="CB925" s="28"/>
      <c r="CC925" s="28"/>
      <c r="CD925" s="28"/>
      <c r="CE925" s="28"/>
      <c r="CF925" s="28"/>
      <c r="CG925" s="28"/>
      <c r="CH925" s="28"/>
      <c r="CI925" s="28"/>
      <c r="CJ925" s="28"/>
      <c r="CK925" s="28"/>
      <c r="CL925" s="28"/>
      <c r="CM925" s="28"/>
      <c r="CN925" s="28"/>
      <c r="CO925" s="28"/>
      <c r="CP925" s="28"/>
      <c r="CQ925" s="28"/>
      <c r="CR925" s="28"/>
      <c r="CS925" s="28"/>
      <c r="CT925" s="28"/>
      <c r="CU925" s="28"/>
      <c r="CV925" s="28"/>
      <c r="CW925" s="28"/>
    </row>
    <row r="926" spans="1:101" ht="14.25" customHeight="1" x14ac:dyDescent="0.2">
      <c r="A926" s="286"/>
      <c r="B926" s="52">
        <v>0.14063818859189833</v>
      </c>
      <c r="C926" s="288">
        <v>0.79122867626739124</v>
      </c>
      <c r="D926" s="288">
        <v>4.464985166486992E-3</v>
      </c>
      <c r="E926" s="288">
        <v>1.2577088845388574E-2</v>
      </c>
      <c r="F926" s="289">
        <v>0.79209281607674464</v>
      </c>
      <c r="G926" s="92">
        <v>0.3774734309816542</v>
      </c>
      <c r="H926" s="288">
        <v>0.22501387331126302</v>
      </c>
      <c r="I926" s="288">
        <v>2.346808193037675E-2</v>
      </c>
      <c r="J926" s="288">
        <v>0.99999999999306577</v>
      </c>
      <c r="K926" s="288">
        <v>0.76055589928943168</v>
      </c>
      <c r="L926" s="290">
        <v>10713.224883844763</v>
      </c>
      <c r="M926" s="288">
        <v>0</v>
      </c>
      <c r="N926" s="288">
        <v>14120.534113164236</v>
      </c>
      <c r="O926" s="288">
        <v>1402.4620227544681</v>
      </c>
      <c r="P926" s="288">
        <v>36783.733336634126</v>
      </c>
      <c r="Q926" s="291">
        <v>81813.496894022755</v>
      </c>
      <c r="R926" s="288">
        <v>33096.658826679799</v>
      </c>
      <c r="S926" s="288">
        <v>8626.9001343241071</v>
      </c>
      <c r="T926" s="290">
        <v>0.751</v>
      </c>
      <c r="U926" s="288">
        <v>0.75800000000000001</v>
      </c>
      <c r="V926" s="288">
        <v>0.723923076923077</v>
      </c>
      <c r="W926" s="288">
        <v>0.72750000000000004</v>
      </c>
      <c r="X926" s="288">
        <v>0.76</v>
      </c>
      <c r="Y926" s="288">
        <v>0</v>
      </c>
      <c r="Z926" s="289">
        <v>0</v>
      </c>
      <c r="AA926" s="229"/>
      <c r="AB926" s="293">
        <v>82310.481423323959</v>
      </c>
      <c r="AC926" s="294">
        <v>3.1985828315869638</v>
      </c>
      <c r="AD926" s="295">
        <v>70107.909885807632</v>
      </c>
      <c r="AE926" s="294">
        <v>3.0569175664675048</v>
      </c>
      <c r="AF926" s="295">
        <v>12202.571537516327</v>
      </c>
      <c r="AG926" s="296">
        <v>0.14166526511945898</v>
      </c>
      <c r="AH926" s="229"/>
      <c r="AI926" s="205">
        <f t="shared" si="102"/>
        <v>237547.8017353724</v>
      </c>
      <c r="AJ926" s="205">
        <f t="shared" si="103"/>
        <v>235583.84676094286</v>
      </c>
      <c r="AK926" s="205">
        <f t="shared" si="104"/>
        <v>1963.9549744295709</v>
      </c>
      <c r="AL926" s="229"/>
      <c r="AM926" s="52">
        <f t="shared" si="86"/>
        <v>1</v>
      </c>
      <c r="AN926" s="52">
        <f t="shared" si="87"/>
        <v>0</v>
      </c>
      <c r="AO926" s="52">
        <f t="shared" si="88"/>
        <v>1</v>
      </c>
      <c r="AP926" s="229"/>
      <c r="AQ926" s="28"/>
      <c r="AR926" s="28"/>
      <c r="AS926" s="28"/>
      <c r="AT926" s="28"/>
      <c r="AU926" s="229"/>
      <c r="AV926" s="318">
        <f t="shared" si="105"/>
        <v>237547.8017353724</v>
      </c>
      <c r="AW926" s="229"/>
      <c r="AX926" s="313"/>
      <c r="AY926" s="302"/>
      <c r="AZ926" s="14">
        <f t="shared" si="107"/>
        <v>12202.571537516327</v>
      </c>
      <c r="BA926" s="14">
        <f t="shared" si="106"/>
        <v>0.14166526511945898</v>
      </c>
      <c r="BB926" s="14">
        <f t="shared" si="89"/>
        <v>86136.651261877996</v>
      </c>
      <c r="BC926" s="302"/>
      <c r="BD926" s="302"/>
      <c r="BE926" s="302"/>
      <c r="BF926" s="302"/>
      <c r="BG926" s="302"/>
      <c r="BH926" s="302"/>
      <c r="BI926" s="302"/>
      <c r="BJ926" s="302"/>
      <c r="BK926" s="302"/>
      <c r="BL926" s="302"/>
      <c r="BM926" s="302"/>
      <c r="BN926" s="302"/>
      <c r="BO926" s="302"/>
      <c r="BP926" s="302"/>
      <c r="BQ926" s="302"/>
      <c r="BR926" s="302"/>
      <c r="BS926" s="302"/>
      <c r="BT926" s="302"/>
      <c r="BU926" s="302"/>
      <c r="BV926" s="302"/>
      <c r="BW926" s="302"/>
      <c r="BX926" s="302"/>
      <c r="BY926" s="302"/>
      <c r="BZ926" s="302"/>
      <c r="CA926" s="302"/>
      <c r="CB926" s="28"/>
      <c r="CC926" s="28"/>
      <c r="CD926" s="28"/>
      <c r="CE926" s="28"/>
      <c r="CF926" s="28"/>
      <c r="CG926" s="28"/>
      <c r="CH926" s="28"/>
      <c r="CI926" s="28"/>
      <c r="CJ926" s="28"/>
      <c r="CK926" s="28"/>
      <c r="CL926" s="28"/>
      <c r="CM926" s="28"/>
      <c r="CN926" s="28"/>
      <c r="CO926" s="28"/>
      <c r="CP926" s="28"/>
      <c r="CQ926" s="28"/>
      <c r="CR926" s="28"/>
      <c r="CS926" s="28"/>
      <c r="CT926" s="28"/>
      <c r="CU926" s="28"/>
      <c r="CV926" s="28"/>
      <c r="CW926" s="28"/>
    </row>
    <row r="927" spans="1:101" ht="14.25" customHeight="1" x14ac:dyDescent="0.2">
      <c r="A927" s="286"/>
      <c r="B927" s="52">
        <v>0.16023516288553996</v>
      </c>
      <c r="C927" s="288">
        <v>0.2646797829862681</v>
      </c>
      <c r="D927" s="288">
        <v>4.9145313640165259E-3</v>
      </c>
      <c r="E927" s="288">
        <v>1.3074164054229521E-2</v>
      </c>
      <c r="F927" s="289">
        <v>0.80282432362304657</v>
      </c>
      <c r="G927" s="92">
        <v>0.38933819366177541</v>
      </c>
      <c r="H927" s="288">
        <v>0.91776173679232054</v>
      </c>
      <c r="I927" s="288">
        <v>1.8490534128103531E-2</v>
      </c>
      <c r="J927" s="288">
        <v>0.99881250425070001</v>
      </c>
      <c r="K927" s="288">
        <v>0.75378559357066854</v>
      </c>
      <c r="L927" s="290">
        <v>13116.377257452386</v>
      </c>
      <c r="M927" s="288">
        <v>0</v>
      </c>
      <c r="N927" s="288">
        <v>23054.568505041385</v>
      </c>
      <c r="O927" s="288">
        <v>1334.0784322238026</v>
      </c>
      <c r="P927" s="288">
        <v>53505.970479851421</v>
      </c>
      <c r="Q927" s="291">
        <v>76014.310381867559</v>
      </c>
      <c r="R927" s="288">
        <v>27149.54405961285</v>
      </c>
      <c r="S927" s="288">
        <v>7010.8927933620325</v>
      </c>
      <c r="T927" s="290">
        <v>0.751</v>
      </c>
      <c r="U927" s="288">
        <v>0.75800000000000001</v>
      </c>
      <c r="V927" s="288">
        <v>0.723923076923077</v>
      </c>
      <c r="W927" s="288">
        <v>0.72750000000000004</v>
      </c>
      <c r="X927" s="288">
        <v>0.76</v>
      </c>
      <c r="Y927" s="288">
        <v>0</v>
      </c>
      <c r="Z927" s="289">
        <v>0</v>
      </c>
      <c r="AA927" s="229"/>
      <c r="AB927" s="293">
        <v>70277.397199459432</v>
      </c>
      <c r="AC927" s="294">
        <v>3.2486748948776842</v>
      </c>
      <c r="AD927" s="295">
        <v>63887.293424274278</v>
      </c>
      <c r="AE927" s="294">
        <v>3.0256834562800425</v>
      </c>
      <c r="AF927" s="295">
        <v>6390.1037751851545</v>
      </c>
      <c r="AG927" s="296">
        <v>0.2229914385976417</v>
      </c>
      <c r="AH927" s="229"/>
      <c r="AI927" s="205">
        <f t="shared" si="102"/>
        <v>254590.09228830901</v>
      </c>
      <c r="AJ927" s="205">
        <f t="shared" si="103"/>
        <v>238681.05220372995</v>
      </c>
      <c r="AK927" s="205">
        <f t="shared" si="104"/>
        <v>15909.040084579017</v>
      </c>
      <c r="AL927" s="229"/>
      <c r="AM927" s="52">
        <f t="shared" si="86"/>
        <v>1</v>
      </c>
      <c r="AN927" s="52">
        <f t="shared" si="87"/>
        <v>0</v>
      </c>
      <c r="AO927" s="52">
        <f t="shared" si="88"/>
        <v>1</v>
      </c>
      <c r="AP927" s="229"/>
      <c r="AQ927" s="28"/>
      <c r="AR927" s="28"/>
      <c r="AS927" s="28"/>
      <c r="AT927" s="28"/>
      <c r="AU927" s="229"/>
      <c r="AV927" s="318">
        <f t="shared" si="105"/>
        <v>254590.09228830901</v>
      </c>
      <c r="AW927" s="229"/>
      <c r="AX927" s="313"/>
      <c r="AY927" s="302"/>
      <c r="AZ927" s="14">
        <f t="shared" si="107"/>
        <v>6390.1037751851545</v>
      </c>
      <c r="BA927" s="14">
        <f t="shared" si="106"/>
        <v>0.2229914385976417</v>
      </c>
      <c r="BB927" s="14">
        <f t="shared" si="89"/>
        <v>28656.274049674365</v>
      </c>
      <c r="BC927" s="302"/>
      <c r="BD927" s="302"/>
      <c r="BE927" s="302"/>
      <c r="BF927" s="302"/>
      <c r="BG927" s="302"/>
      <c r="BH927" s="302"/>
      <c r="BI927" s="302"/>
      <c r="BJ927" s="302"/>
      <c r="BK927" s="302"/>
      <c r="BL927" s="302"/>
      <c r="BM927" s="302"/>
      <c r="BN927" s="302"/>
      <c r="BO927" s="302"/>
      <c r="BP927" s="302"/>
      <c r="BQ927" s="302"/>
      <c r="BR927" s="302"/>
      <c r="BS927" s="302"/>
      <c r="BT927" s="302"/>
      <c r="BU927" s="302"/>
      <c r="BV927" s="302"/>
      <c r="BW927" s="302"/>
      <c r="BX927" s="302"/>
      <c r="BY927" s="302"/>
      <c r="BZ927" s="302"/>
      <c r="CA927" s="302"/>
      <c r="CB927" s="28"/>
      <c r="CC927" s="28"/>
      <c r="CD927" s="28"/>
      <c r="CE927" s="28"/>
      <c r="CF927" s="28"/>
      <c r="CG927" s="28"/>
      <c r="CH927" s="28"/>
      <c r="CI927" s="28"/>
      <c r="CJ927" s="28"/>
      <c r="CK927" s="28"/>
      <c r="CL927" s="28"/>
      <c r="CM927" s="28"/>
      <c r="CN927" s="28"/>
      <c r="CO927" s="28"/>
      <c r="CP927" s="28"/>
      <c r="CQ927" s="28"/>
      <c r="CR927" s="28"/>
      <c r="CS927" s="28"/>
      <c r="CT927" s="28"/>
      <c r="CU927" s="28"/>
      <c r="CV927" s="28"/>
      <c r="CW927" s="28"/>
    </row>
    <row r="928" spans="1:101" ht="14.25" customHeight="1" x14ac:dyDescent="0.2">
      <c r="A928" s="286"/>
      <c r="B928" s="52">
        <v>0.14339790481376943</v>
      </c>
      <c r="C928" s="288">
        <v>0.15500280813348155</v>
      </c>
      <c r="D928" s="288">
        <v>7.1977343824897724E-3</v>
      </c>
      <c r="E928" s="288">
        <v>7.4571312458304234E-3</v>
      </c>
      <c r="F928" s="289">
        <v>0.81141062483172099</v>
      </c>
      <c r="G928" s="92">
        <v>0.38876910222248606</v>
      </c>
      <c r="H928" s="288">
        <v>0.17203595784743736</v>
      </c>
      <c r="I928" s="288">
        <v>6.6032961785550438E-3</v>
      </c>
      <c r="J928" s="288">
        <v>0.11342263400447912</v>
      </c>
      <c r="K928" s="288">
        <v>0.79415206418437045</v>
      </c>
      <c r="L928" s="290">
        <v>8969.111967998133</v>
      </c>
      <c r="M928" s="288">
        <v>0</v>
      </c>
      <c r="N928" s="288">
        <v>19967.858302654306</v>
      </c>
      <c r="O928" s="288">
        <v>1208.7236184225944</v>
      </c>
      <c r="P928" s="288">
        <v>28665.359550328703</v>
      </c>
      <c r="Q928" s="291">
        <v>110541.49269747539</v>
      </c>
      <c r="R928" s="288">
        <v>24072.746395984286</v>
      </c>
      <c r="S928" s="288">
        <v>7825.4882218491412</v>
      </c>
      <c r="T928" s="290">
        <v>0.751</v>
      </c>
      <c r="U928" s="288">
        <v>0.75800000000000001</v>
      </c>
      <c r="V928" s="288">
        <v>0.723923076923077</v>
      </c>
      <c r="W928" s="288">
        <v>0.72750000000000004</v>
      </c>
      <c r="X928" s="288">
        <v>0.76</v>
      </c>
      <c r="Y928" s="288">
        <v>0</v>
      </c>
      <c r="Z928" s="289">
        <v>0</v>
      </c>
      <c r="AA928" s="229"/>
      <c r="AB928" s="293">
        <v>72668.363605434264</v>
      </c>
      <c r="AC928" s="294">
        <v>3.2888837398951511</v>
      </c>
      <c r="AD928" s="295">
        <v>64346.277094082972</v>
      </c>
      <c r="AE928" s="294">
        <v>3.2129788457024322</v>
      </c>
      <c r="AF928" s="295">
        <v>8322.0865113512918</v>
      </c>
      <c r="AG928" s="296">
        <v>7.5904894192718952E-2</v>
      </c>
      <c r="AH928" s="229"/>
      <c r="AI928" s="205">
        <f t="shared" si="102"/>
        <v>256220.01038408087</v>
      </c>
      <c r="AJ928" s="205">
        <f t="shared" si="103"/>
        <v>256951.60747616028</v>
      </c>
      <c r="AK928" s="205">
        <f t="shared" si="104"/>
        <v>-731.59709207939704</v>
      </c>
      <c r="AL928" s="229"/>
      <c r="AM928" s="52">
        <f t="shared" si="86"/>
        <v>0</v>
      </c>
      <c r="AN928" s="52">
        <f t="shared" si="87"/>
        <v>1</v>
      </c>
      <c r="AO928" s="52">
        <f t="shared" si="88"/>
        <v>0</v>
      </c>
      <c r="AP928" s="229"/>
      <c r="AQ928" s="28"/>
      <c r="AR928" s="28"/>
      <c r="AS928" s="28"/>
      <c r="AT928" s="28"/>
      <c r="AU928" s="229"/>
      <c r="AV928" s="318">
        <f t="shared" si="105"/>
        <v>256951.60747616028</v>
      </c>
      <c r="AW928" s="229"/>
      <c r="AX928" s="313"/>
      <c r="AY928" s="302"/>
      <c r="AZ928" s="14">
        <f t="shared" si="107"/>
        <v>8322.0865113512918</v>
      </c>
      <c r="BA928" s="14">
        <f t="shared" si="106"/>
        <v>7.5904894192718952E-2</v>
      </c>
      <c r="BB928" s="14">
        <f t="shared" si="89"/>
        <v>109638.33886945296</v>
      </c>
      <c r="BC928" s="302"/>
      <c r="BD928" s="302"/>
      <c r="BE928" s="302"/>
      <c r="BF928" s="302"/>
      <c r="BG928" s="302"/>
      <c r="BH928" s="302"/>
      <c r="BI928" s="302"/>
      <c r="BJ928" s="302"/>
      <c r="BK928" s="302"/>
      <c r="BL928" s="302"/>
      <c r="BM928" s="302"/>
      <c r="BN928" s="302"/>
      <c r="BO928" s="302"/>
      <c r="BP928" s="302"/>
      <c r="BQ928" s="302"/>
      <c r="BR928" s="302"/>
      <c r="BS928" s="302"/>
      <c r="BT928" s="302"/>
      <c r="BU928" s="302"/>
      <c r="BV928" s="302"/>
      <c r="BW928" s="302"/>
      <c r="BX928" s="302"/>
      <c r="BY928" s="302"/>
      <c r="BZ928" s="302"/>
      <c r="CA928" s="302"/>
      <c r="CB928" s="28"/>
      <c r="CC928" s="28"/>
      <c r="CD928" s="28"/>
      <c r="CE928" s="28"/>
      <c r="CF928" s="28"/>
      <c r="CG928" s="28"/>
      <c r="CH928" s="28"/>
      <c r="CI928" s="28"/>
      <c r="CJ928" s="28"/>
      <c r="CK928" s="28"/>
      <c r="CL928" s="28"/>
      <c r="CM928" s="28"/>
      <c r="CN928" s="28"/>
      <c r="CO928" s="28"/>
      <c r="CP928" s="28"/>
      <c r="CQ928" s="28"/>
      <c r="CR928" s="28"/>
      <c r="CS928" s="28"/>
      <c r="CT928" s="28"/>
      <c r="CU928" s="28"/>
      <c r="CV928" s="28"/>
      <c r="CW928" s="28"/>
    </row>
    <row r="929" spans="1:101" ht="14.25" customHeight="1" x14ac:dyDescent="0.2">
      <c r="A929" s="286"/>
      <c r="B929" s="52">
        <v>0.15539273857009878</v>
      </c>
      <c r="C929" s="288">
        <v>0.41491989882972802</v>
      </c>
      <c r="D929" s="288">
        <v>5.8661953169958959E-3</v>
      </c>
      <c r="E929" s="288">
        <v>2.1389566360225376E-2</v>
      </c>
      <c r="F929" s="289">
        <v>0.7720121567667857</v>
      </c>
      <c r="G929" s="92">
        <v>0.4323851339300816</v>
      </c>
      <c r="H929" s="288">
        <v>0.99965198757410245</v>
      </c>
      <c r="I929" s="288">
        <v>7.1989929574101177E-3</v>
      </c>
      <c r="J929" s="288">
        <v>0.93851087106079101</v>
      </c>
      <c r="K929" s="288">
        <v>0.78807282522429234</v>
      </c>
      <c r="L929" s="290">
        <v>12723.567736682337</v>
      </c>
      <c r="M929" s="288">
        <v>0</v>
      </c>
      <c r="N929" s="288">
        <v>27388.860569950692</v>
      </c>
      <c r="O929" s="288">
        <v>1114.6320487565986</v>
      </c>
      <c r="P929" s="288">
        <v>45839.191938110242</v>
      </c>
      <c r="Q929" s="291">
        <v>99449.665559371133</v>
      </c>
      <c r="R929" s="288">
        <v>27237.060484432313</v>
      </c>
      <c r="S929" s="288">
        <v>12182.594455620676</v>
      </c>
      <c r="T929" s="290">
        <v>0.751</v>
      </c>
      <c r="U929" s="288">
        <v>0.75800000000000001</v>
      </c>
      <c r="V929" s="288">
        <v>0.723923076923077</v>
      </c>
      <c r="W929" s="288">
        <v>0.72750000000000004</v>
      </c>
      <c r="X929" s="288">
        <v>0.76</v>
      </c>
      <c r="Y929" s="288">
        <v>0</v>
      </c>
      <c r="Z929" s="289">
        <v>0</v>
      </c>
      <c r="AA929" s="229"/>
      <c r="AB929" s="293">
        <v>107877.07632404751</v>
      </c>
      <c r="AC929" s="294">
        <v>3.1053364430148584</v>
      </c>
      <c r="AD929" s="295">
        <v>108463.18563843502</v>
      </c>
      <c r="AE929" s="294">
        <v>3.184607658096688</v>
      </c>
      <c r="AF929" s="295">
        <v>-586.10931438751868</v>
      </c>
      <c r="AG929" s="296">
        <v>-7.9271215081829549E-2</v>
      </c>
      <c r="AH929" s="229"/>
      <c r="AI929" s="205">
        <f t="shared" si="102"/>
        <v>202656.56797743833</v>
      </c>
      <c r="AJ929" s="205">
        <f t="shared" si="103"/>
        <v>209997.5801712338</v>
      </c>
      <c r="AK929" s="205">
        <f t="shared" si="104"/>
        <v>-7341.0121937954364</v>
      </c>
      <c r="AL929" s="229"/>
      <c r="AM929" s="52">
        <f t="shared" si="86"/>
        <v>0</v>
      </c>
      <c r="AN929" s="52">
        <f t="shared" si="87"/>
        <v>1</v>
      </c>
      <c r="AO929" s="52">
        <f t="shared" si="88"/>
        <v>0</v>
      </c>
      <c r="AP929" s="229"/>
      <c r="AQ929" s="28"/>
      <c r="AR929" s="28"/>
      <c r="AS929" s="28"/>
      <c r="AT929" s="28"/>
      <c r="AU929" s="229"/>
      <c r="AV929" s="318">
        <f t="shared" si="105"/>
        <v>209997.5801712338</v>
      </c>
      <c r="AW929" s="229"/>
      <c r="AX929" s="313"/>
      <c r="AY929" s="302"/>
      <c r="AZ929" s="14">
        <f t="shared" si="107"/>
        <v>-586.10931438751868</v>
      </c>
      <c r="BA929" s="14">
        <f t="shared" si="106"/>
        <v>-7.9271215081829549E-2</v>
      </c>
      <c r="BB929" s="14">
        <f t="shared" si="89"/>
        <v>7393.7218419383853</v>
      </c>
      <c r="BC929" s="302"/>
      <c r="BD929" s="302"/>
      <c r="BE929" s="302"/>
      <c r="BF929" s="302"/>
      <c r="BG929" s="302"/>
      <c r="BH929" s="302"/>
      <c r="BI929" s="302"/>
      <c r="BJ929" s="302"/>
      <c r="BK929" s="302"/>
      <c r="BL929" s="302"/>
      <c r="BM929" s="302"/>
      <c r="BN929" s="302"/>
      <c r="BO929" s="302"/>
      <c r="BP929" s="302"/>
      <c r="BQ929" s="302"/>
      <c r="BR929" s="302"/>
      <c r="BS929" s="302"/>
      <c r="BT929" s="302"/>
      <c r="BU929" s="302"/>
      <c r="BV929" s="302"/>
      <c r="BW929" s="302"/>
      <c r="BX929" s="302"/>
      <c r="BY929" s="302"/>
      <c r="BZ929" s="302"/>
      <c r="CA929" s="302"/>
      <c r="CB929" s="28"/>
      <c r="CC929" s="28"/>
      <c r="CD929" s="28"/>
      <c r="CE929" s="28"/>
      <c r="CF929" s="28"/>
      <c r="CG929" s="28"/>
      <c r="CH929" s="28"/>
      <c r="CI929" s="28"/>
      <c r="CJ929" s="28"/>
      <c r="CK929" s="28"/>
      <c r="CL929" s="28"/>
      <c r="CM929" s="28"/>
      <c r="CN929" s="28"/>
      <c r="CO929" s="28"/>
      <c r="CP929" s="28"/>
      <c r="CQ929" s="28"/>
      <c r="CR929" s="28"/>
      <c r="CS929" s="28"/>
      <c r="CT929" s="28"/>
      <c r="CU929" s="28"/>
      <c r="CV929" s="28"/>
      <c r="CW929" s="28"/>
    </row>
    <row r="930" spans="1:101" ht="14.25" customHeight="1" x14ac:dyDescent="0.2">
      <c r="A930" s="286"/>
      <c r="B930" s="52">
        <v>0.14099609860516132</v>
      </c>
      <c r="C930" s="288">
        <v>0.20873889156184555</v>
      </c>
      <c r="D930" s="288">
        <v>1.7126175811363109E-2</v>
      </c>
      <c r="E930" s="288">
        <v>1.030814621777152E-2</v>
      </c>
      <c r="F930" s="289">
        <v>0.79160341507435561</v>
      </c>
      <c r="G930" s="92">
        <v>0.43630688426601583</v>
      </c>
      <c r="H930" s="288">
        <v>0.1233875279250374</v>
      </c>
      <c r="I930" s="288">
        <v>2.6543067712566537E-2</v>
      </c>
      <c r="J930" s="288">
        <v>1</v>
      </c>
      <c r="K930" s="288">
        <v>0.7766815147059225</v>
      </c>
      <c r="L930" s="290">
        <v>13297.146358040043</v>
      </c>
      <c r="M930" s="288">
        <v>0</v>
      </c>
      <c r="N930" s="288">
        <v>12619.70323093371</v>
      </c>
      <c r="O930" s="288">
        <v>1377.7924326688646</v>
      </c>
      <c r="P930" s="288">
        <v>35344.886320588055</v>
      </c>
      <c r="Q930" s="291">
        <v>86765.274131253347</v>
      </c>
      <c r="R930" s="288">
        <v>30907.865066404931</v>
      </c>
      <c r="S930" s="288">
        <v>8581.6411165487461</v>
      </c>
      <c r="T930" s="290">
        <v>0.751</v>
      </c>
      <c r="U930" s="288">
        <v>0.75800000000000001</v>
      </c>
      <c r="V930" s="288">
        <v>0.723923076923077</v>
      </c>
      <c r="W930" s="288">
        <v>0.72750000000000004</v>
      </c>
      <c r="X930" s="288">
        <v>0.76</v>
      </c>
      <c r="Y930" s="288">
        <v>0</v>
      </c>
      <c r="Z930" s="289">
        <v>0</v>
      </c>
      <c r="AA930" s="229"/>
      <c r="AB930" s="293">
        <v>81880.544291572995</v>
      </c>
      <c r="AC930" s="294">
        <v>3.196302733641661</v>
      </c>
      <c r="AD930" s="295">
        <v>70318.267053527001</v>
      </c>
      <c r="AE930" s="294">
        <v>3.1316024215206308</v>
      </c>
      <c r="AF930" s="295">
        <v>11562.277238045994</v>
      </c>
      <c r="AG930" s="296">
        <v>6.4700312121030112E-2</v>
      </c>
      <c r="AH930" s="229"/>
      <c r="AI930" s="205">
        <f t="shared" si="102"/>
        <v>237749.72907259309</v>
      </c>
      <c r="AJ930" s="205">
        <f t="shared" si="103"/>
        <v>242841.97509853606</v>
      </c>
      <c r="AK930" s="205">
        <f t="shared" si="104"/>
        <v>-5092.2460259429827</v>
      </c>
      <c r="AL930" s="229"/>
      <c r="AM930" s="52">
        <f t="shared" si="86"/>
        <v>0</v>
      </c>
      <c r="AN930" s="52">
        <f t="shared" si="87"/>
        <v>1</v>
      </c>
      <c r="AO930" s="52">
        <f t="shared" si="88"/>
        <v>0</v>
      </c>
      <c r="AP930" s="229"/>
      <c r="AQ930" s="28"/>
      <c r="AR930" s="28"/>
      <c r="AS930" s="28"/>
      <c r="AT930" s="28"/>
      <c r="AU930" s="229"/>
      <c r="AV930" s="318">
        <f t="shared" si="105"/>
        <v>242841.97509853606</v>
      </c>
      <c r="AW930" s="229"/>
      <c r="AX930" s="313"/>
      <c r="AY930" s="302"/>
      <c r="AZ930" s="14">
        <f t="shared" si="107"/>
        <v>11562.277238045994</v>
      </c>
      <c r="BA930" s="14">
        <f t="shared" si="106"/>
        <v>6.4700312121030112E-2</v>
      </c>
      <c r="BB930" s="14">
        <f t="shared" si="89"/>
        <v>178705.12303584089</v>
      </c>
      <c r="BC930" s="302"/>
      <c r="BD930" s="302"/>
      <c r="BE930" s="302"/>
      <c r="BF930" s="302"/>
      <c r="BG930" s="302"/>
      <c r="BH930" s="302"/>
      <c r="BI930" s="302"/>
      <c r="BJ930" s="302"/>
      <c r="BK930" s="302"/>
      <c r="BL930" s="302"/>
      <c r="BM930" s="302"/>
      <c r="BN930" s="302"/>
      <c r="BO930" s="302"/>
      <c r="BP930" s="302"/>
      <c r="BQ930" s="302"/>
      <c r="BR930" s="302"/>
      <c r="BS930" s="302"/>
      <c r="BT930" s="302"/>
      <c r="BU930" s="302"/>
      <c r="BV930" s="302"/>
      <c r="BW930" s="302"/>
      <c r="BX930" s="302"/>
      <c r="BY930" s="302"/>
      <c r="BZ930" s="302"/>
      <c r="CA930" s="302"/>
      <c r="CB930" s="28"/>
      <c r="CC930" s="28"/>
      <c r="CD930" s="28"/>
      <c r="CE930" s="28"/>
      <c r="CF930" s="28"/>
      <c r="CG930" s="28"/>
      <c r="CH930" s="28"/>
      <c r="CI930" s="28"/>
      <c r="CJ930" s="28"/>
      <c r="CK930" s="28"/>
      <c r="CL930" s="28"/>
      <c r="CM930" s="28"/>
      <c r="CN930" s="28"/>
      <c r="CO930" s="28"/>
      <c r="CP930" s="28"/>
      <c r="CQ930" s="28"/>
      <c r="CR930" s="28"/>
      <c r="CS930" s="28"/>
      <c r="CT930" s="28"/>
      <c r="CU930" s="28"/>
      <c r="CV930" s="28"/>
      <c r="CW930" s="28"/>
    </row>
    <row r="931" spans="1:101" ht="14.25" customHeight="1" x14ac:dyDescent="0.2">
      <c r="A931" s="286"/>
      <c r="B931" s="52">
        <v>0.16680966857717794</v>
      </c>
      <c r="C931" s="288">
        <v>0.86723567892440179</v>
      </c>
      <c r="D931" s="288">
        <v>1.1607171445858983E-2</v>
      </c>
      <c r="E931" s="288">
        <v>2.6167779502233812E-2</v>
      </c>
      <c r="F931" s="289">
        <v>0.79093226181611986</v>
      </c>
      <c r="G931" s="92">
        <v>0.36223032548908912</v>
      </c>
      <c r="H931" s="288">
        <v>0.75574222822382231</v>
      </c>
      <c r="I931" s="288">
        <v>1.7461105206502237E-2</v>
      </c>
      <c r="J931" s="288">
        <v>8.0493787175231146E-2</v>
      </c>
      <c r="K931" s="288">
        <v>0.77485828876161178</v>
      </c>
      <c r="L931" s="290">
        <v>15224.206614063049</v>
      </c>
      <c r="M931" s="288">
        <v>0</v>
      </c>
      <c r="N931" s="288">
        <v>20138.161029287938</v>
      </c>
      <c r="O931" s="288">
        <v>1026.0452423081397</v>
      </c>
      <c r="P931" s="288">
        <v>31943.485515550528</v>
      </c>
      <c r="Q931" s="291">
        <v>104579.5047470112</v>
      </c>
      <c r="R931" s="288">
        <v>28201.482047278692</v>
      </c>
      <c r="S931" s="288">
        <v>8259.4151255176712</v>
      </c>
      <c r="T931" s="290">
        <v>0.751</v>
      </c>
      <c r="U931" s="288">
        <v>0.75800000000000001</v>
      </c>
      <c r="V931" s="288">
        <v>0.723923076923077</v>
      </c>
      <c r="W931" s="288">
        <v>0.72750000000000004</v>
      </c>
      <c r="X931" s="288">
        <v>0.76</v>
      </c>
      <c r="Y931" s="288">
        <v>0</v>
      </c>
      <c r="Z931" s="289">
        <v>0</v>
      </c>
      <c r="AA931" s="229"/>
      <c r="AB931" s="293">
        <v>84368.25118701499</v>
      </c>
      <c r="AC931" s="294">
        <v>3.193176470715906</v>
      </c>
      <c r="AD931" s="295">
        <v>72616.413002269997</v>
      </c>
      <c r="AE931" s="294">
        <v>3.1231377044880295</v>
      </c>
      <c r="AF931" s="295">
        <v>11751.838184744993</v>
      </c>
      <c r="AG931" s="296">
        <v>7.0038766227876526E-2</v>
      </c>
      <c r="AH931" s="229"/>
      <c r="AI931" s="205">
        <f t="shared" si="102"/>
        <v>234949.39588457561</v>
      </c>
      <c r="AJ931" s="205">
        <f t="shared" si="103"/>
        <v>239697.35744653299</v>
      </c>
      <c r="AK931" s="205">
        <f t="shared" si="104"/>
        <v>-4747.9615619573406</v>
      </c>
      <c r="AL931" s="229"/>
      <c r="AM931" s="52">
        <f t="shared" si="86"/>
        <v>0</v>
      </c>
      <c r="AN931" s="52">
        <f t="shared" si="87"/>
        <v>1</v>
      </c>
      <c r="AO931" s="52">
        <f t="shared" si="88"/>
        <v>0</v>
      </c>
      <c r="AP931" s="229"/>
      <c r="AQ931" s="28"/>
      <c r="AR931" s="28"/>
      <c r="AS931" s="28"/>
      <c r="AT931" s="28"/>
      <c r="AU931" s="229"/>
      <c r="AV931" s="318">
        <f t="shared" si="105"/>
        <v>239697.35744653299</v>
      </c>
      <c r="AW931" s="229"/>
      <c r="AX931" s="313"/>
      <c r="AY931" s="302"/>
      <c r="AZ931" s="14">
        <f t="shared" si="107"/>
        <v>11751.838184744993</v>
      </c>
      <c r="BA931" s="14">
        <f t="shared" si="106"/>
        <v>7.0038766227876526E-2</v>
      </c>
      <c r="BB931" s="14">
        <f t="shared" si="89"/>
        <v>167790.47972532071</v>
      </c>
      <c r="BC931" s="302"/>
      <c r="BD931" s="302"/>
      <c r="BE931" s="302"/>
      <c r="BF931" s="302"/>
      <c r="BG931" s="302"/>
      <c r="BH931" s="302"/>
      <c r="BI931" s="302"/>
      <c r="BJ931" s="302"/>
      <c r="BK931" s="302"/>
      <c r="BL931" s="302"/>
      <c r="BM931" s="302"/>
      <c r="BN931" s="302"/>
      <c r="BO931" s="302"/>
      <c r="BP931" s="302"/>
      <c r="BQ931" s="302"/>
      <c r="BR931" s="302"/>
      <c r="BS931" s="302"/>
      <c r="BT931" s="302"/>
      <c r="BU931" s="302"/>
      <c r="BV931" s="302"/>
      <c r="BW931" s="302"/>
      <c r="BX931" s="302"/>
      <c r="BY931" s="302"/>
      <c r="BZ931" s="302"/>
      <c r="CA931" s="302"/>
      <c r="CB931" s="28"/>
      <c r="CC931" s="28"/>
      <c r="CD931" s="28"/>
      <c r="CE931" s="28"/>
      <c r="CF931" s="28"/>
      <c r="CG931" s="28"/>
      <c r="CH931" s="28"/>
      <c r="CI931" s="28"/>
      <c r="CJ931" s="28"/>
      <c r="CK931" s="28"/>
      <c r="CL931" s="28"/>
      <c r="CM931" s="28"/>
      <c r="CN931" s="28"/>
      <c r="CO931" s="28"/>
      <c r="CP931" s="28"/>
      <c r="CQ931" s="28"/>
      <c r="CR931" s="28"/>
      <c r="CS931" s="28"/>
      <c r="CT931" s="28"/>
      <c r="CU931" s="28"/>
      <c r="CV931" s="28"/>
      <c r="CW931" s="28"/>
    </row>
    <row r="932" spans="1:101" ht="14.25" customHeight="1" x14ac:dyDescent="0.2">
      <c r="A932" s="286"/>
      <c r="B932" s="52">
        <v>0.19191598416099853</v>
      </c>
      <c r="C932" s="288">
        <v>0.29955353010286828</v>
      </c>
      <c r="D932" s="288">
        <v>2.4772545415043923E-2</v>
      </c>
      <c r="E932" s="288">
        <v>3.3298085269480415E-2</v>
      </c>
      <c r="F932" s="289">
        <v>0.77343436305514868</v>
      </c>
      <c r="G932" s="92">
        <v>0.42430192538686584</v>
      </c>
      <c r="H932" s="288">
        <v>0.73702242701518417</v>
      </c>
      <c r="I932" s="288">
        <v>1.5951643809524074E-2</v>
      </c>
      <c r="J932" s="288">
        <v>1.0417407979497288E-3</v>
      </c>
      <c r="K932" s="288">
        <v>0.72833369545772586</v>
      </c>
      <c r="L932" s="290">
        <v>8792.9971460708221</v>
      </c>
      <c r="M932" s="288">
        <v>0</v>
      </c>
      <c r="N932" s="288">
        <v>25043.489628347092</v>
      </c>
      <c r="O932" s="288">
        <v>1116.9091167197091</v>
      </c>
      <c r="P932" s="288">
        <v>43206.872115251979</v>
      </c>
      <c r="Q932" s="291">
        <v>108936.2286721687</v>
      </c>
      <c r="R932" s="288">
        <v>25014.152178690736</v>
      </c>
      <c r="S932" s="288">
        <v>5259.7522107188433</v>
      </c>
      <c r="T932" s="290">
        <v>0.751</v>
      </c>
      <c r="U932" s="288">
        <v>0.75800000000000001</v>
      </c>
      <c r="V932" s="288">
        <v>0.723923076923077</v>
      </c>
      <c r="W932" s="288">
        <v>0.72750000000000004</v>
      </c>
      <c r="X932" s="288">
        <v>0.76</v>
      </c>
      <c r="Y932" s="288">
        <v>0</v>
      </c>
      <c r="Z932" s="289">
        <v>0</v>
      </c>
      <c r="AA932" s="229"/>
      <c r="AB932" s="293">
        <v>51257.327535291981</v>
      </c>
      <c r="AC932" s="294">
        <v>3.1119197777420449</v>
      </c>
      <c r="AD932" s="295">
        <v>47159.603563086399</v>
      </c>
      <c r="AE932" s="294">
        <v>2.9089100921226865</v>
      </c>
      <c r="AF932" s="295">
        <v>4097.723972205582</v>
      </c>
      <c r="AG932" s="296">
        <v>0.20300968561935839</v>
      </c>
      <c r="AH932" s="229"/>
      <c r="AI932" s="205">
        <f t="shared" si="102"/>
        <v>259934.65023891252</v>
      </c>
      <c r="AJ932" s="205">
        <f t="shared" si="103"/>
        <v>243731.40564918224</v>
      </c>
      <c r="AK932" s="205">
        <f t="shared" si="104"/>
        <v>16203.244589730257</v>
      </c>
      <c r="AL932" s="229"/>
      <c r="AM932" s="52">
        <f t="shared" si="86"/>
        <v>1</v>
      </c>
      <c r="AN932" s="52">
        <f t="shared" si="87"/>
        <v>0</v>
      </c>
      <c r="AO932" s="52">
        <f t="shared" si="88"/>
        <v>1</v>
      </c>
      <c r="AP932" s="229"/>
      <c r="AQ932" s="28"/>
      <c r="AR932" s="28"/>
      <c r="AS932" s="28"/>
      <c r="AT932" s="28"/>
      <c r="AU932" s="229"/>
      <c r="AV932" s="318">
        <f t="shared" si="105"/>
        <v>259934.65023891252</v>
      </c>
      <c r="AW932" s="229"/>
      <c r="AX932" s="313"/>
      <c r="AY932" s="302"/>
      <c r="AZ932" s="14">
        <f t="shared" si="107"/>
        <v>4097.723972205582</v>
      </c>
      <c r="BA932" s="14">
        <f t="shared" si="106"/>
        <v>0.20300968561935839</v>
      </c>
      <c r="BB932" s="14">
        <f t="shared" si="89"/>
        <v>20184.869306624034</v>
      </c>
      <c r="BC932" s="302"/>
      <c r="BD932" s="302"/>
      <c r="BE932" s="302"/>
      <c r="BF932" s="302"/>
      <c r="BG932" s="302"/>
      <c r="BH932" s="302"/>
      <c r="BI932" s="302"/>
      <c r="BJ932" s="302"/>
      <c r="BK932" s="302"/>
      <c r="BL932" s="302"/>
      <c r="BM932" s="302"/>
      <c r="BN932" s="302"/>
      <c r="BO932" s="302"/>
      <c r="BP932" s="302"/>
      <c r="BQ932" s="302"/>
      <c r="BR932" s="302"/>
      <c r="BS932" s="302"/>
      <c r="BT932" s="302"/>
      <c r="BU932" s="302"/>
      <c r="BV932" s="302"/>
      <c r="BW932" s="302"/>
      <c r="BX932" s="302"/>
      <c r="BY932" s="302"/>
      <c r="BZ932" s="302"/>
      <c r="CA932" s="302"/>
      <c r="CB932" s="28"/>
      <c r="CC932" s="28"/>
      <c r="CD932" s="28"/>
      <c r="CE932" s="28"/>
      <c r="CF932" s="28"/>
      <c r="CG932" s="28"/>
      <c r="CH932" s="28"/>
      <c r="CI932" s="28"/>
      <c r="CJ932" s="28"/>
      <c r="CK932" s="28"/>
      <c r="CL932" s="28"/>
      <c r="CM932" s="28"/>
      <c r="CN932" s="28"/>
      <c r="CO932" s="28"/>
      <c r="CP932" s="28"/>
      <c r="CQ932" s="28"/>
      <c r="CR932" s="28"/>
      <c r="CS932" s="28"/>
      <c r="CT932" s="28"/>
      <c r="CU932" s="28"/>
      <c r="CV932" s="28"/>
      <c r="CW932" s="28"/>
    </row>
    <row r="933" spans="1:101" ht="14.25" customHeight="1" x14ac:dyDescent="0.2">
      <c r="A933" s="286"/>
      <c r="B933" s="52">
        <v>0.17550211542213612</v>
      </c>
      <c r="C933" s="288">
        <v>0.16211272774737717</v>
      </c>
      <c r="D933" s="288">
        <v>1.253071213497643E-2</v>
      </c>
      <c r="E933" s="288">
        <v>1.5939206715632093E-2</v>
      </c>
      <c r="F933" s="289">
        <v>0.79209626051264059</v>
      </c>
      <c r="G933" s="92">
        <v>0.38385392907619587</v>
      </c>
      <c r="H933" s="288">
        <v>0.46911740454818551</v>
      </c>
      <c r="I933" s="288">
        <v>1.2923215208565953E-2</v>
      </c>
      <c r="J933" s="288">
        <v>0.92029139448387376</v>
      </c>
      <c r="K933" s="288">
        <v>0.74003811651888085</v>
      </c>
      <c r="L933" s="290">
        <v>12318.689734165528</v>
      </c>
      <c r="M933" s="288">
        <v>0</v>
      </c>
      <c r="N933" s="288">
        <v>16614.513174864889</v>
      </c>
      <c r="O933" s="288">
        <v>1147.5311138089148</v>
      </c>
      <c r="P933" s="288">
        <v>41090.372012508909</v>
      </c>
      <c r="Q933" s="291">
        <v>102415.52638495302</v>
      </c>
      <c r="R933" s="288">
        <v>26008.870688732091</v>
      </c>
      <c r="S933" s="288">
        <v>9399.538591165343</v>
      </c>
      <c r="T933" s="290">
        <v>0.751</v>
      </c>
      <c r="U933" s="288">
        <v>0.75800000000000001</v>
      </c>
      <c r="V933" s="288">
        <v>0.723923076923077</v>
      </c>
      <c r="W933" s="288">
        <v>0.72750000000000004</v>
      </c>
      <c r="X933" s="288">
        <v>0.76</v>
      </c>
      <c r="Y933" s="288">
        <v>0</v>
      </c>
      <c r="Z933" s="289">
        <v>0</v>
      </c>
      <c r="AA933" s="229"/>
      <c r="AB933" s="293">
        <v>87213.194454517739</v>
      </c>
      <c r="AC933" s="294">
        <v>3.1985988803950409</v>
      </c>
      <c r="AD933" s="295">
        <v>75218.072294134123</v>
      </c>
      <c r="AE933" s="294">
        <v>2.9624831872805863</v>
      </c>
      <c r="AF933" s="295">
        <v>11995.122160383617</v>
      </c>
      <c r="AG933" s="296">
        <v>0.23611569311445457</v>
      </c>
      <c r="AH933" s="229"/>
      <c r="AI933" s="205">
        <f t="shared" si="102"/>
        <v>232646.69358498638</v>
      </c>
      <c r="AJ933" s="205">
        <f t="shared" si="103"/>
        <v>221030.24643392453</v>
      </c>
      <c r="AK933" s="205">
        <f t="shared" si="104"/>
        <v>11616.447151061842</v>
      </c>
      <c r="AL933" s="229"/>
      <c r="AM933" s="52">
        <f t="shared" si="86"/>
        <v>1</v>
      </c>
      <c r="AN933" s="52">
        <f t="shared" si="87"/>
        <v>0</v>
      </c>
      <c r="AO933" s="52">
        <f t="shared" si="88"/>
        <v>1</v>
      </c>
      <c r="AP933" s="229"/>
      <c r="AQ933" s="28"/>
      <c r="AR933" s="28"/>
      <c r="AS933" s="28"/>
      <c r="AT933" s="28"/>
      <c r="AU933" s="229"/>
      <c r="AV933" s="318">
        <f t="shared" si="105"/>
        <v>232646.69358498638</v>
      </c>
      <c r="AW933" s="229"/>
      <c r="AX933" s="313"/>
      <c r="AY933" s="302"/>
      <c r="AZ933" s="14">
        <f t="shared" si="107"/>
        <v>11995.122160383617</v>
      </c>
      <c r="BA933" s="14">
        <f t="shared" si="106"/>
        <v>0.23611569311445457</v>
      </c>
      <c r="BB933" s="14">
        <f t="shared" si="89"/>
        <v>50801.884458264736</v>
      </c>
      <c r="BC933" s="302"/>
      <c r="BD933" s="302"/>
      <c r="BE933" s="302"/>
      <c r="BF933" s="302"/>
      <c r="BG933" s="302"/>
      <c r="BH933" s="302"/>
      <c r="BI933" s="302"/>
      <c r="BJ933" s="302"/>
      <c r="BK933" s="302"/>
      <c r="BL933" s="302"/>
      <c r="BM933" s="302"/>
      <c r="BN933" s="302"/>
      <c r="BO933" s="302"/>
      <c r="BP933" s="302"/>
      <c r="BQ933" s="302"/>
      <c r="BR933" s="302"/>
      <c r="BS933" s="302"/>
      <c r="BT933" s="302"/>
      <c r="BU933" s="302"/>
      <c r="BV933" s="302"/>
      <c r="BW933" s="302"/>
      <c r="BX933" s="302"/>
      <c r="BY933" s="302"/>
      <c r="BZ933" s="302"/>
      <c r="CA933" s="302"/>
      <c r="CB933" s="28"/>
      <c r="CC933" s="28"/>
      <c r="CD933" s="28"/>
      <c r="CE933" s="28"/>
      <c r="CF933" s="28"/>
      <c r="CG933" s="28"/>
      <c r="CH933" s="28"/>
      <c r="CI933" s="28"/>
      <c r="CJ933" s="28"/>
      <c r="CK933" s="28"/>
      <c r="CL933" s="28"/>
      <c r="CM933" s="28"/>
      <c r="CN933" s="28"/>
      <c r="CO933" s="28"/>
      <c r="CP933" s="28"/>
      <c r="CQ933" s="28"/>
      <c r="CR933" s="28"/>
      <c r="CS933" s="28"/>
      <c r="CT933" s="28"/>
      <c r="CU933" s="28"/>
      <c r="CV933" s="28"/>
      <c r="CW933" s="28"/>
    </row>
    <row r="934" spans="1:101" ht="14.25" customHeight="1" x14ac:dyDescent="0.2">
      <c r="A934" s="286"/>
      <c r="B934" s="52">
        <v>0.10546486453928963</v>
      </c>
      <c r="C934" s="288">
        <v>8.5388817895675831E-2</v>
      </c>
      <c r="D934" s="288">
        <v>1.2590083504433124E-2</v>
      </c>
      <c r="E934" s="288">
        <v>1.806094805519054E-2</v>
      </c>
      <c r="F934" s="289">
        <v>0.79865633355530241</v>
      </c>
      <c r="G934" s="92">
        <v>0.3784315545195357</v>
      </c>
      <c r="H934" s="288">
        <v>0.71519627254714591</v>
      </c>
      <c r="I934" s="288">
        <v>1.5121411665372942E-2</v>
      </c>
      <c r="J934" s="288">
        <v>1</v>
      </c>
      <c r="K934" s="288">
        <v>0.803934578889136</v>
      </c>
      <c r="L934" s="290">
        <v>12510.982967186734</v>
      </c>
      <c r="M934" s="288">
        <v>0</v>
      </c>
      <c r="N934" s="288">
        <v>18884.685644048055</v>
      </c>
      <c r="O934" s="288">
        <v>1576.8907893979892</v>
      </c>
      <c r="P934" s="288">
        <v>56843.279146867892</v>
      </c>
      <c r="Q934" s="291">
        <v>83570.867213688121</v>
      </c>
      <c r="R934" s="288">
        <v>16767.225131803312</v>
      </c>
      <c r="S934" s="288">
        <v>7488.0393896818514</v>
      </c>
      <c r="T934" s="290">
        <v>0.751</v>
      </c>
      <c r="U934" s="288">
        <v>0.75800000000000001</v>
      </c>
      <c r="V934" s="288">
        <v>0.723923076923077</v>
      </c>
      <c r="W934" s="288">
        <v>0.72750000000000004</v>
      </c>
      <c r="X934" s="288">
        <v>0.76</v>
      </c>
      <c r="Y934" s="288">
        <v>0</v>
      </c>
      <c r="Z934" s="289">
        <v>0</v>
      </c>
      <c r="AA934" s="229"/>
      <c r="AB934" s="293">
        <v>72160.40257942077</v>
      </c>
      <c r="AC934" s="294">
        <v>3.2291982779900379</v>
      </c>
      <c r="AD934" s="295">
        <v>66013.627816251057</v>
      </c>
      <c r="AE934" s="294">
        <v>3.2587551347991215</v>
      </c>
      <c r="AF934" s="295">
        <v>6146.774763169713</v>
      </c>
      <c r="AG934" s="296">
        <v>-2.9556856809083598E-2</v>
      </c>
      <c r="AH934" s="229"/>
      <c r="AI934" s="205">
        <f t="shared" si="102"/>
        <v>250759.42521958303</v>
      </c>
      <c r="AJ934" s="205">
        <f t="shared" si="103"/>
        <v>259861.88566366106</v>
      </c>
      <c r="AK934" s="205">
        <f t="shared" si="104"/>
        <v>-9102.4604440780731</v>
      </c>
      <c r="AL934" s="229"/>
      <c r="AM934" s="52">
        <f t="shared" si="86"/>
        <v>0</v>
      </c>
      <c r="AN934" s="52">
        <f t="shared" si="87"/>
        <v>1</v>
      </c>
      <c r="AO934" s="52">
        <f t="shared" si="88"/>
        <v>0</v>
      </c>
      <c r="AP934" s="229"/>
      <c r="AQ934" s="28"/>
      <c r="AR934" s="28"/>
      <c r="AS934" s="28"/>
      <c r="AT934" s="28"/>
      <c r="AU934" s="229"/>
      <c r="AV934" s="318">
        <f t="shared" si="105"/>
        <v>259861.88566366106</v>
      </c>
      <c r="AW934" s="229"/>
      <c r="AX934" s="313"/>
      <c r="AY934" s="302"/>
      <c r="AZ934" s="14">
        <f t="shared" si="107"/>
        <v>6146.774763169713</v>
      </c>
      <c r="BA934" s="14">
        <f t="shared" si="106"/>
        <v>-2.9556856809083598E-2</v>
      </c>
      <c r="BB934" s="14">
        <f t="shared" si="89"/>
        <v>-207964.42608473334</v>
      </c>
      <c r="BC934" s="302"/>
      <c r="BD934" s="302"/>
      <c r="BE934" s="302"/>
      <c r="BF934" s="302"/>
      <c r="BG934" s="302"/>
      <c r="BH934" s="302"/>
      <c r="BI934" s="302"/>
      <c r="BJ934" s="302"/>
      <c r="BK934" s="302"/>
      <c r="BL934" s="302"/>
      <c r="BM934" s="302"/>
      <c r="BN934" s="302"/>
      <c r="BO934" s="302"/>
      <c r="BP934" s="302"/>
      <c r="BQ934" s="302"/>
      <c r="BR934" s="302"/>
      <c r="BS934" s="302"/>
      <c r="BT934" s="302"/>
      <c r="BU934" s="302"/>
      <c r="BV934" s="302"/>
      <c r="BW934" s="302"/>
      <c r="BX934" s="302"/>
      <c r="BY934" s="302"/>
      <c r="BZ934" s="302"/>
      <c r="CA934" s="302"/>
      <c r="CB934" s="28"/>
      <c r="CC934" s="28"/>
      <c r="CD934" s="28"/>
      <c r="CE934" s="28"/>
      <c r="CF934" s="28"/>
      <c r="CG934" s="28"/>
      <c r="CH934" s="28"/>
      <c r="CI934" s="28"/>
      <c r="CJ934" s="28"/>
      <c r="CK934" s="28"/>
      <c r="CL934" s="28"/>
      <c r="CM934" s="28"/>
      <c r="CN934" s="28"/>
      <c r="CO934" s="28"/>
      <c r="CP934" s="28"/>
      <c r="CQ934" s="28"/>
      <c r="CR934" s="28"/>
      <c r="CS934" s="28"/>
      <c r="CT934" s="28"/>
      <c r="CU934" s="28"/>
      <c r="CV934" s="28"/>
      <c r="CW934" s="28"/>
    </row>
    <row r="935" spans="1:101" ht="14.25" customHeight="1" x14ac:dyDescent="0.2">
      <c r="A935" s="286"/>
      <c r="B935" s="52">
        <v>0.15132786706583498</v>
      </c>
      <c r="C935" s="288">
        <v>4.0570527694437718E-2</v>
      </c>
      <c r="D935" s="288">
        <v>8.3231978405790049E-3</v>
      </c>
      <c r="E935" s="288">
        <v>8.0494694780150703E-3</v>
      </c>
      <c r="F935" s="289">
        <v>0.8068908628252871</v>
      </c>
      <c r="G935" s="92">
        <v>0.4393345355497813</v>
      </c>
      <c r="H935" s="288">
        <v>0.55652846039955639</v>
      </c>
      <c r="I935" s="288">
        <v>1.7434108058325015E-2</v>
      </c>
      <c r="J935" s="288">
        <v>0.99094900330981284</v>
      </c>
      <c r="K935" s="288">
        <v>0.70398922328633762</v>
      </c>
      <c r="L935" s="290">
        <v>13574.680759913803</v>
      </c>
      <c r="M935" s="288">
        <v>0</v>
      </c>
      <c r="N935" s="288">
        <v>19819.823386465712</v>
      </c>
      <c r="O935" s="288">
        <v>1313.0282280855417</v>
      </c>
      <c r="P935" s="288">
        <v>41858.851227640276</v>
      </c>
      <c r="Q935" s="291">
        <v>80189.623678648044</v>
      </c>
      <c r="R935" s="288">
        <v>20106.743685888123</v>
      </c>
      <c r="S935" s="288">
        <v>7827.1640292205575</v>
      </c>
      <c r="T935" s="290">
        <v>0.751</v>
      </c>
      <c r="U935" s="288">
        <v>0.75800000000000001</v>
      </c>
      <c r="V935" s="288">
        <v>0.723923076923077</v>
      </c>
      <c r="W935" s="288">
        <v>0.72750000000000004</v>
      </c>
      <c r="X935" s="288">
        <v>0.76</v>
      </c>
      <c r="Y935" s="288">
        <v>0</v>
      </c>
      <c r="Z935" s="289">
        <v>0</v>
      </c>
      <c r="AA935" s="229"/>
      <c r="AB935" s="293">
        <v>76537.989838493711</v>
      </c>
      <c r="AC935" s="294">
        <v>3.267703703047836</v>
      </c>
      <c r="AD935" s="295">
        <v>61441.487615708094</v>
      </c>
      <c r="AE935" s="294">
        <v>2.7981730180226152</v>
      </c>
      <c r="AF935" s="295">
        <v>15096.502222785617</v>
      </c>
      <c r="AG935" s="296">
        <v>0.46953068502522077</v>
      </c>
      <c r="AH935" s="229"/>
      <c r="AI935" s="205">
        <f t="shared" si="102"/>
        <v>250232.38046628988</v>
      </c>
      <c r="AJ935" s="205">
        <f t="shared" si="103"/>
        <v>218375.81418655341</v>
      </c>
      <c r="AK935" s="205">
        <f t="shared" si="104"/>
        <v>31856.566279736457</v>
      </c>
      <c r="AL935" s="229"/>
      <c r="AM935" s="52">
        <f t="shared" si="86"/>
        <v>1</v>
      </c>
      <c r="AN935" s="52">
        <f t="shared" si="87"/>
        <v>0</v>
      </c>
      <c r="AO935" s="52">
        <f t="shared" si="88"/>
        <v>1</v>
      </c>
      <c r="AP935" s="229"/>
      <c r="AQ935" s="28"/>
      <c r="AR935" s="28"/>
      <c r="AS935" s="28"/>
      <c r="AT935" s="28"/>
      <c r="AU935" s="229"/>
      <c r="AV935" s="318">
        <f t="shared" si="105"/>
        <v>250232.38046628988</v>
      </c>
      <c r="AW935" s="229"/>
      <c r="AX935" s="313"/>
      <c r="AY935" s="302"/>
      <c r="AZ935" s="14">
        <f t="shared" si="107"/>
        <v>15096.502222785617</v>
      </c>
      <c r="BA935" s="14">
        <f t="shared" si="106"/>
        <v>0.46953068502522077</v>
      </c>
      <c r="BB935" s="14">
        <f t="shared" si="89"/>
        <v>32152.322956218955</v>
      </c>
      <c r="BC935" s="302"/>
      <c r="BD935" s="302"/>
      <c r="BE935" s="302"/>
      <c r="BF935" s="302"/>
      <c r="BG935" s="302"/>
      <c r="BH935" s="302"/>
      <c r="BI935" s="302"/>
      <c r="BJ935" s="302"/>
      <c r="BK935" s="302"/>
      <c r="BL935" s="302"/>
      <c r="BM935" s="302"/>
      <c r="BN935" s="302"/>
      <c r="BO935" s="302"/>
      <c r="BP935" s="302"/>
      <c r="BQ935" s="302"/>
      <c r="BR935" s="302"/>
      <c r="BS935" s="302"/>
      <c r="BT935" s="302"/>
      <c r="BU935" s="302"/>
      <c r="BV935" s="302"/>
      <c r="BW935" s="302"/>
      <c r="BX935" s="302"/>
      <c r="BY935" s="302"/>
      <c r="BZ935" s="302"/>
      <c r="CA935" s="302"/>
      <c r="CB935" s="28"/>
      <c r="CC935" s="28"/>
      <c r="CD935" s="28"/>
      <c r="CE935" s="28"/>
      <c r="CF935" s="28"/>
      <c r="CG935" s="28"/>
      <c r="CH935" s="28"/>
      <c r="CI935" s="28"/>
      <c r="CJ935" s="28"/>
      <c r="CK935" s="28"/>
      <c r="CL935" s="28"/>
      <c r="CM935" s="28"/>
      <c r="CN935" s="28"/>
      <c r="CO935" s="28"/>
      <c r="CP935" s="28"/>
      <c r="CQ935" s="28"/>
      <c r="CR935" s="28"/>
      <c r="CS935" s="28"/>
      <c r="CT935" s="28"/>
      <c r="CU935" s="28"/>
      <c r="CV935" s="28"/>
      <c r="CW935" s="28"/>
    </row>
    <row r="936" spans="1:101" ht="14.25" customHeight="1" x14ac:dyDescent="0.2">
      <c r="A936" s="286"/>
      <c r="B936" s="52">
        <v>0.16179362590164514</v>
      </c>
      <c r="C936" s="288">
        <v>0.23305050312730485</v>
      </c>
      <c r="D936" s="288">
        <v>2.0463473740687577E-2</v>
      </c>
      <c r="E936" s="288">
        <v>7.7292148201665118E-3</v>
      </c>
      <c r="F936" s="289">
        <v>0.81247368321437596</v>
      </c>
      <c r="G936" s="92">
        <v>0.39154544803168595</v>
      </c>
      <c r="H936" s="288">
        <v>0.51895527340817083</v>
      </c>
      <c r="I936" s="288">
        <v>6.9821477780395167E-3</v>
      </c>
      <c r="J936" s="288">
        <v>0.91485228861003021</v>
      </c>
      <c r="K936" s="288">
        <v>0.73898374216835383</v>
      </c>
      <c r="L936" s="290">
        <v>9380.6301566227594</v>
      </c>
      <c r="M936" s="288">
        <v>0</v>
      </c>
      <c r="N936" s="288">
        <v>15138.856315545494</v>
      </c>
      <c r="O936" s="288">
        <v>879.24857232501176</v>
      </c>
      <c r="P936" s="288">
        <v>38060.873063517</v>
      </c>
      <c r="Q936" s="291">
        <v>122293.27643457949</v>
      </c>
      <c r="R936" s="288">
        <v>27596.824503543525</v>
      </c>
      <c r="S936" s="288">
        <v>9767.345654185614</v>
      </c>
      <c r="T936" s="290">
        <v>0.751</v>
      </c>
      <c r="U936" s="288">
        <v>0.75800000000000001</v>
      </c>
      <c r="V936" s="288">
        <v>0.723923076923077</v>
      </c>
      <c r="W936" s="288">
        <v>0.72750000000000004</v>
      </c>
      <c r="X936" s="288">
        <v>0.76</v>
      </c>
      <c r="Y936" s="288">
        <v>0</v>
      </c>
      <c r="Z936" s="289">
        <v>0</v>
      </c>
      <c r="AA936" s="229"/>
      <c r="AB936" s="293">
        <v>89551.392805236756</v>
      </c>
      <c r="AC936" s="294">
        <v>3.2938699875207966</v>
      </c>
      <c r="AD936" s="295">
        <v>78371.313562002149</v>
      </c>
      <c r="AE936" s="294">
        <v>2.9576482893553471</v>
      </c>
      <c r="AF936" s="295">
        <v>11180.079243234606</v>
      </c>
      <c r="AG936" s="296">
        <v>0.33622169816544956</v>
      </c>
      <c r="AH936" s="229"/>
      <c r="AI936" s="205">
        <f t="shared" si="102"/>
        <v>239835.60594684293</v>
      </c>
      <c r="AJ936" s="205">
        <f t="shared" si="103"/>
        <v>217393.51537353254</v>
      </c>
      <c r="AK936" s="205">
        <f t="shared" si="104"/>
        <v>22442.09057331035</v>
      </c>
      <c r="AL936" s="229"/>
      <c r="AM936" s="52">
        <f t="shared" si="86"/>
        <v>1</v>
      </c>
      <c r="AN936" s="52">
        <f t="shared" si="87"/>
        <v>0</v>
      </c>
      <c r="AO936" s="52">
        <f t="shared" si="88"/>
        <v>1</v>
      </c>
      <c r="AP936" s="229"/>
      <c r="AQ936" s="28"/>
      <c r="AR936" s="28"/>
      <c r="AS936" s="28"/>
      <c r="AT936" s="28"/>
      <c r="AU936" s="229"/>
      <c r="AV936" s="318">
        <f t="shared" si="105"/>
        <v>239835.60594684293</v>
      </c>
      <c r="AW936" s="229"/>
      <c r="AX936" s="313"/>
      <c r="AY936" s="302"/>
      <c r="AZ936" s="14">
        <f t="shared" si="107"/>
        <v>11180.079243234606</v>
      </c>
      <c r="BA936" s="14">
        <f t="shared" si="106"/>
        <v>0.33622169816544956</v>
      </c>
      <c r="BB936" s="14">
        <f t="shared" si="89"/>
        <v>33252.105096837207</v>
      </c>
      <c r="BC936" s="302"/>
      <c r="BD936" s="302"/>
      <c r="BE936" s="302"/>
      <c r="BF936" s="302"/>
      <c r="BG936" s="302"/>
      <c r="BH936" s="302"/>
      <c r="BI936" s="302"/>
      <c r="BJ936" s="302"/>
      <c r="BK936" s="302"/>
      <c r="BL936" s="302"/>
      <c r="BM936" s="302"/>
      <c r="BN936" s="302"/>
      <c r="BO936" s="302"/>
      <c r="BP936" s="302"/>
      <c r="BQ936" s="302"/>
      <c r="BR936" s="302"/>
      <c r="BS936" s="302"/>
      <c r="BT936" s="302"/>
      <c r="BU936" s="302"/>
      <c r="BV936" s="302"/>
      <c r="BW936" s="302"/>
      <c r="BX936" s="302"/>
      <c r="BY936" s="302"/>
      <c r="BZ936" s="302"/>
      <c r="CA936" s="302"/>
      <c r="CB936" s="28"/>
      <c r="CC936" s="28"/>
      <c r="CD936" s="28"/>
      <c r="CE936" s="28"/>
      <c r="CF936" s="28"/>
      <c r="CG936" s="28"/>
      <c r="CH936" s="28"/>
      <c r="CI936" s="28"/>
      <c r="CJ936" s="28"/>
      <c r="CK936" s="28"/>
      <c r="CL936" s="28"/>
      <c r="CM936" s="28"/>
      <c r="CN936" s="28"/>
      <c r="CO936" s="28"/>
      <c r="CP936" s="28"/>
      <c r="CQ936" s="28"/>
      <c r="CR936" s="28"/>
      <c r="CS936" s="28"/>
      <c r="CT936" s="28"/>
      <c r="CU936" s="28"/>
      <c r="CV936" s="28"/>
      <c r="CW936" s="28"/>
    </row>
    <row r="937" spans="1:101" ht="14.25" customHeight="1" x14ac:dyDescent="0.2">
      <c r="A937" s="286"/>
      <c r="B937" s="52">
        <v>0.16010983173456483</v>
      </c>
      <c r="C937" s="288">
        <v>0.77163731868974561</v>
      </c>
      <c r="D937" s="288">
        <v>3.5261039383281401E-2</v>
      </c>
      <c r="E937" s="288">
        <v>8.3992478308545938E-3</v>
      </c>
      <c r="F937" s="289">
        <v>0.78475847080495864</v>
      </c>
      <c r="G937" s="92">
        <v>0.37336963399866552</v>
      </c>
      <c r="H937" s="288">
        <v>0.63050786495147793</v>
      </c>
      <c r="I937" s="288">
        <v>2.0106699115129967E-2</v>
      </c>
      <c r="J937" s="288">
        <v>1</v>
      </c>
      <c r="K937" s="288">
        <v>0.74469461774285717</v>
      </c>
      <c r="L937" s="290">
        <v>13994.926898537664</v>
      </c>
      <c r="M937" s="288">
        <v>0</v>
      </c>
      <c r="N937" s="288">
        <v>14397.857952901668</v>
      </c>
      <c r="O937" s="288">
        <v>1116.6085043134988</v>
      </c>
      <c r="P937" s="288">
        <v>53796.593247367557</v>
      </c>
      <c r="Q937" s="291">
        <v>90031.029584308431</v>
      </c>
      <c r="R937" s="288">
        <v>27279.575783746339</v>
      </c>
      <c r="S937" s="288">
        <v>11380.012155546758</v>
      </c>
      <c r="T937" s="290">
        <v>0.751</v>
      </c>
      <c r="U937" s="288">
        <v>0.75800000000000001</v>
      </c>
      <c r="V937" s="288">
        <v>0.723923076923077</v>
      </c>
      <c r="W937" s="288">
        <v>0.72750000000000004</v>
      </c>
      <c r="X937" s="288">
        <v>0.76</v>
      </c>
      <c r="Y937" s="288">
        <v>0</v>
      </c>
      <c r="Z937" s="289">
        <v>0</v>
      </c>
      <c r="AA937" s="229"/>
      <c r="AB937" s="293">
        <v>106488.49111365167</v>
      </c>
      <c r="AC937" s="294">
        <v>3.1644518083950279</v>
      </c>
      <c r="AD937" s="295">
        <v>92560.78836493277</v>
      </c>
      <c r="AE937" s="294">
        <v>2.9838568161669548</v>
      </c>
      <c r="AF937" s="295">
        <v>13927.702748718904</v>
      </c>
      <c r="AG937" s="296">
        <v>0.18059499222807318</v>
      </c>
      <c r="AH937" s="229"/>
      <c r="AI937" s="205">
        <f t="shared" si="102"/>
        <v>209956.68972585112</v>
      </c>
      <c r="AJ937" s="205">
        <f t="shared" si="103"/>
        <v>205824.89325176273</v>
      </c>
      <c r="AK937" s="205">
        <f t="shared" si="104"/>
        <v>4131.7964740884127</v>
      </c>
      <c r="AL937" s="229"/>
      <c r="AM937" s="52">
        <f t="shared" si="86"/>
        <v>1</v>
      </c>
      <c r="AN937" s="52">
        <f t="shared" si="87"/>
        <v>0</v>
      </c>
      <c r="AO937" s="52">
        <f t="shared" si="88"/>
        <v>1</v>
      </c>
      <c r="AP937" s="229"/>
      <c r="AQ937" s="28"/>
      <c r="AR937" s="28"/>
      <c r="AS937" s="28"/>
      <c r="AT937" s="28"/>
      <c r="AU937" s="229"/>
      <c r="AV937" s="318">
        <f t="shared" si="105"/>
        <v>209956.68972585112</v>
      </c>
      <c r="AW937" s="229"/>
      <c r="AX937" s="313"/>
      <c r="AY937" s="302"/>
      <c r="AZ937" s="14">
        <f t="shared" si="107"/>
        <v>13927.702748718904</v>
      </c>
      <c r="BA937" s="14">
        <f t="shared" si="106"/>
        <v>0.18059499222807318</v>
      </c>
      <c r="BB937" s="14">
        <f t="shared" si="89"/>
        <v>77121.20129626643</v>
      </c>
      <c r="BC937" s="302"/>
      <c r="BD937" s="302"/>
      <c r="BE937" s="302"/>
      <c r="BF937" s="302"/>
      <c r="BG937" s="302"/>
      <c r="BH937" s="302"/>
      <c r="BI937" s="302"/>
      <c r="BJ937" s="302"/>
      <c r="BK937" s="302"/>
      <c r="BL937" s="302"/>
      <c r="BM937" s="302"/>
      <c r="BN937" s="302"/>
      <c r="BO937" s="302"/>
      <c r="BP937" s="302"/>
      <c r="BQ937" s="302"/>
      <c r="BR937" s="302"/>
      <c r="BS937" s="302"/>
      <c r="BT937" s="302"/>
      <c r="BU937" s="302"/>
      <c r="BV937" s="302"/>
      <c r="BW937" s="302"/>
      <c r="BX937" s="302"/>
      <c r="BY937" s="302"/>
      <c r="BZ937" s="302"/>
      <c r="CA937" s="302"/>
      <c r="CB937" s="28"/>
      <c r="CC937" s="28"/>
      <c r="CD937" s="28"/>
      <c r="CE937" s="28"/>
      <c r="CF937" s="28"/>
      <c r="CG937" s="28"/>
      <c r="CH937" s="28"/>
      <c r="CI937" s="28"/>
      <c r="CJ937" s="28"/>
      <c r="CK937" s="28"/>
      <c r="CL937" s="28"/>
      <c r="CM937" s="28"/>
      <c r="CN937" s="28"/>
      <c r="CO937" s="28"/>
      <c r="CP937" s="28"/>
      <c r="CQ937" s="28"/>
      <c r="CR937" s="28"/>
      <c r="CS937" s="28"/>
      <c r="CT937" s="28"/>
      <c r="CU937" s="28"/>
      <c r="CV937" s="28"/>
      <c r="CW937" s="28"/>
    </row>
    <row r="938" spans="1:101" ht="14.25" customHeight="1" x14ac:dyDescent="0.2">
      <c r="A938" s="286"/>
      <c r="B938" s="52">
        <v>0.18536075476015235</v>
      </c>
      <c r="C938" s="288">
        <v>0.90340740810039744</v>
      </c>
      <c r="D938" s="288">
        <v>6.3205116280337361E-3</v>
      </c>
      <c r="E938" s="288">
        <v>8.0608839568701504E-3</v>
      </c>
      <c r="F938" s="289">
        <v>0.81541736152399624</v>
      </c>
      <c r="G938" s="92">
        <v>0.39947806392169499</v>
      </c>
      <c r="H938" s="288">
        <v>0.45642542925433766</v>
      </c>
      <c r="I938" s="288">
        <v>1.7607563373377322E-2</v>
      </c>
      <c r="J938" s="288">
        <v>0.80007697972685843</v>
      </c>
      <c r="K938" s="288">
        <v>0.77940974065826918</v>
      </c>
      <c r="L938" s="290">
        <v>12901.865132183037</v>
      </c>
      <c r="M938" s="288">
        <v>0</v>
      </c>
      <c r="N938" s="288">
        <v>21063.369223408754</v>
      </c>
      <c r="O938" s="288">
        <v>1400.5248882775502</v>
      </c>
      <c r="P938" s="288">
        <v>38685.39406108798</v>
      </c>
      <c r="Q938" s="291">
        <v>118939.44456029394</v>
      </c>
      <c r="R938" s="288">
        <v>25259.492688538568</v>
      </c>
      <c r="S938" s="288">
        <v>6016.5518670777556</v>
      </c>
      <c r="T938" s="290">
        <v>0.751</v>
      </c>
      <c r="U938" s="288">
        <v>0.75800000000000001</v>
      </c>
      <c r="V938" s="288">
        <v>0.723923076923077</v>
      </c>
      <c r="W938" s="288">
        <v>0.72750000000000004</v>
      </c>
      <c r="X938" s="288">
        <v>0.76</v>
      </c>
      <c r="Y938" s="288">
        <v>0</v>
      </c>
      <c r="Z938" s="289">
        <v>0</v>
      </c>
      <c r="AA938" s="229"/>
      <c r="AB938" s="293">
        <v>66111.860793571686</v>
      </c>
      <c r="AC938" s="294">
        <v>3.3076864837496078</v>
      </c>
      <c r="AD938" s="295">
        <v>53177.504774551831</v>
      </c>
      <c r="AE938" s="294">
        <v>3.1442785814217844</v>
      </c>
      <c r="AF938" s="295">
        <v>12934.356019019855</v>
      </c>
      <c r="AG938" s="296">
        <v>0.16340790232782343</v>
      </c>
      <c r="AH938" s="229"/>
      <c r="AI938" s="205">
        <f t="shared" si="102"/>
        <v>264656.78758138907</v>
      </c>
      <c r="AJ938" s="205">
        <f t="shared" si="103"/>
        <v>261250.35336762661</v>
      </c>
      <c r="AK938" s="205">
        <f t="shared" si="104"/>
        <v>3406.4342137624881</v>
      </c>
      <c r="AL938" s="229"/>
      <c r="AM938" s="52">
        <f t="shared" si="86"/>
        <v>1</v>
      </c>
      <c r="AN938" s="52">
        <f t="shared" si="87"/>
        <v>0</v>
      </c>
      <c r="AO938" s="52">
        <f t="shared" si="88"/>
        <v>1</v>
      </c>
      <c r="AP938" s="229"/>
      <c r="AQ938" s="28"/>
      <c r="AR938" s="28"/>
      <c r="AS938" s="28"/>
      <c r="AT938" s="28"/>
      <c r="AU938" s="229"/>
      <c r="AV938" s="318">
        <f t="shared" si="105"/>
        <v>264656.78758138907</v>
      </c>
      <c r="AW938" s="229"/>
      <c r="AX938" s="313"/>
      <c r="AY938" s="302"/>
      <c r="AZ938" s="14">
        <f t="shared" si="107"/>
        <v>12934.356019019855</v>
      </c>
      <c r="BA938" s="14">
        <f t="shared" si="106"/>
        <v>0.16340790232782343</v>
      </c>
      <c r="BB938" s="14">
        <f t="shared" si="89"/>
        <v>79153.797550570016</v>
      </c>
      <c r="BC938" s="302"/>
      <c r="BD938" s="302"/>
      <c r="BE938" s="302"/>
      <c r="BF938" s="302"/>
      <c r="BG938" s="302"/>
      <c r="BH938" s="302"/>
      <c r="BI938" s="302"/>
      <c r="BJ938" s="302"/>
      <c r="BK938" s="302"/>
      <c r="BL938" s="302"/>
      <c r="BM938" s="302"/>
      <c r="BN938" s="302"/>
      <c r="BO938" s="302"/>
      <c r="BP938" s="302"/>
      <c r="BQ938" s="302"/>
      <c r="BR938" s="302"/>
      <c r="BS938" s="302"/>
      <c r="BT938" s="302"/>
      <c r="BU938" s="302"/>
      <c r="BV938" s="302"/>
      <c r="BW938" s="302"/>
      <c r="BX938" s="302"/>
      <c r="BY938" s="302"/>
      <c r="BZ938" s="302"/>
      <c r="CA938" s="302"/>
      <c r="CB938" s="28"/>
      <c r="CC938" s="28"/>
      <c r="CD938" s="28"/>
      <c r="CE938" s="28"/>
      <c r="CF938" s="28"/>
      <c r="CG938" s="28"/>
      <c r="CH938" s="28"/>
      <c r="CI938" s="28"/>
      <c r="CJ938" s="28"/>
      <c r="CK938" s="28"/>
      <c r="CL938" s="28"/>
      <c r="CM938" s="28"/>
      <c r="CN938" s="28"/>
      <c r="CO938" s="28"/>
      <c r="CP938" s="28"/>
      <c r="CQ938" s="28"/>
      <c r="CR938" s="28"/>
      <c r="CS938" s="28"/>
      <c r="CT938" s="28"/>
      <c r="CU938" s="28"/>
      <c r="CV938" s="28"/>
      <c r="CW938" s="28"/>
    </row>
    <row r="939" spans="1:101" ht="14.25" customHeight="1" x14ac:dyDescent="0.2">
      <c r="A939" s="286"/>
      <c r="B939" s="52">
        <v>0.16453194712111785</v>
      </c>
      <c r="C939" s="288">
        <v>0.13128670786769944</v>
      </c>
      <c r="D939" s="288">
        <v>3.1260438674381552E-2</v>
      </c>
      <c r="E939" s="288">
        <v>3.2627121571463302E-2</v>
      </c>
      <c r="F939" s="289">
        <v>0.782663686008087</v>
      </c>
      <c r="G939" s="92">
        <v>0.41471369256164126</v>
      </c>
      <c r="H939" s="288">
        <v>0.9072669919257097</v>
      </c>
      <c r="I939" s="288">
        <v>3.3193165500795874E-2</v>
      </c>
      <c r="J939" s="288">
        <v>0.99999999999763611</v>
      </c>
      <c r="K939" s="288">
        <v>0.7591196333883421</v>
      </c>
      <c r="L939" s="290">
        <v>11489.699817164363</v>
      </c>
      <c r="M939" s="288">
        <v>0</v>
      </c>
      <c r="N939" s="288">
        <v>17811.528608662891</v>
      </c>
      <c r="O939" s="288">
        <v>1521.8391110398961</v>
      </c>
      <c r="P939" s="288">
        <v>31540.835468634414</v>
      </c>
      <c r="Q939" s="291">
        <v>123877.34930079941</v>
      </c>
      <c r="R939" s="288">
        <v>21251.458913466176</v>
      </c>
      <c r="S939" s="288">
        <v>8678.9061481538774</v>
      </c>
      <c r="T939" s="290">
        <v>0.751</v>
      </c>
      <c r="U939" s="288">
        <v>0.75800000000000001</v>
      </c>
      <c r="V939" s="288">
        <v>0.723923076923077</v>
      </c>
      <c r="W939" s="288">
        <v>0.72750000000000004</v>
      </c>
      <c r="X939" s="288">
        <v>0.76</v>
      </c>
      <c r="Y939" s="288">
        <v>0</v>
      </c>
      <c r="Z939" s="289">
        <v>0</v>
      </c>
      <c r="AA939" s="229"/>
      <c r="AB939" s="293">
        <v>80107.472209325642</v>
      </c>
      <c r="AC939" s="294">
        <v>3.1547190329216681</v>
      </c>
      <c r="AD939" s="295">
        <v>76480.541129529054</v>
      </c>
      <c r="AE939" s="294">
        <v>3.0502854633196392</v>
      </c>
      <c r="AF939" s="295">
        <v>3626.9310797965882</v>
      </c>
      <c r="AG939" s="296">
        <v>0.10443356960202888</v>
      </c>
      <c r="AH939" s="229"/>
      <c r="AI939" s="205">
        <f t="shared" si="102"/>
        <v>235364.43108284118</v>
      </c>
      <c r="AJ939" s="205">
        <f t="shared" si="103"/>
        <v>228548.00520243484</v>
      </c>
      <c r="AK939" s="205">
        <f t="shared" si="104"/>
        <v>6816.4258804062993</v>
      </c>
      <c r="AL939" s="229"/>
      <c r="AM939" s="52">
        <f t="shared" si="86"/>
        <v>1</v>
      </c>
      <c r="AN939" s="52">
        <f t="shared" si="87"/>
        <v>0</v>
      </c>
      <c r="AO939" s="52">
        <f t="shared" si="88"/>
        <v>1</v>
      </c>
      <c r="AP939" s="229"/>
      <c r="AQ939" s="28"/>
      <c r="AR939" s="28"/>
      <c r="AS939" s="28"/>
      <c r="AT939" s="28"/>
      <c r="AU939" s="229"/>
      <c r="AV939" s="318">
        <f t="shared" si="105"/>
        <v>235364.43108284118</v>
      </c>
      <c r="AW939" s="229"/>
      <c r="AX939" s="313"/>
      <c r="AY939" s="302"/>
      <c r="AZ939" s="14">
        <f t="shared" si="107"/>
        <v>3626.9310797965882</v>
      </c>
      <c r="BA939" s="14">
        <f t="shared" si="106"/>
        <v>0.10443356960202888</v>
      </c>
      <c r="BB939" s="14">
        <f t="shared" si="89"/>
        <v>34729.551940223311</v>
      </c>
      <c r="BC939" s="302"/>
      <c r="BD939" s="302"/>
      <c r="BE939" s="302"/>
      <c r="BF939" s="302"/>
      <c r="BG939" s="302"/>
      <c r="BH939" s="302"/>
      <c r="BI939" s="302"/>
      <c r="BJ939" s="302"/>
      <c r="BK939" s="302"/>
      <c r="BL939" s="302"/>
      <c r="BM939" s="302"/>
      <c r="BN939" s="302"/>
      <c r="BO939" s="302"/>
      <c r="BP939" s="302"/>
      <c r="BQ939" s="302"/>
      <c r="BR939" s="302"/>
      <c r="BS939" s="302"/>
      <c r="BT939" s="302"/>
      <c r="BU939" s="302"/>
      <c r="BV939" s="302"/>
      <c r="BW939" s="302"/>
      <c r="BX939" s="302"/>
      <c r="BY939" s="302"/>
      <c r="BZ939" s="302"/>
      <c r="CA939" s="302"/>
      <c r="CB939" s="28"/>
      <c r="CC939" s="28"/>
      <c r="CD939" s="28"/>
      <c r="CE939" s="28"/>
      <c r="CF939" s="28"/>
      <c r="CG939" s="28"/>
      <c r="CH939" s="28"/>
      <c r="CI939" s="28"/>
      <c r="CJ939" s="28"/>
      <c r="CK939" s="28"/>
      <c r="CL939" s="28"/>
      <c r="CM939" s="28"/>
      <c r="CN939" s="28"/>
      <c r="CO939" s="28"/>
      <c r="CP939" s="28"/>
      <c r="CQ939" s="28"/>
      <c r="CR939" s="28"/>
      <c r="CS939" s="28"/>
      <c r="CT939" s="28"/>
      <c r="CU939" s="28"/>
      <c r="CV939" s="28"/>
      <c r="CW939" s="28"/>
    </row>
    <row r="940" spans="1:101" ht="14.25" customHeight="1" x14ac:dyDescent="0.2">
      <c r="A940" s="286"/>
      <c r="B940" s="52">
        <v>0.16309196420138505</v>
      </c>
      <c r="C940" s="288">
        <v>7.4375245958933092E-2</v>
      </c>
      <c r="D940" s="288">
        <v>6.135424320430711E-3</v>
      </c>
      <c r="E940" s="288">
        <v>1.2301887168761802E-2</v>
      </c>
      <c r="F940" s="289">
        <v>0.79304196840375274</v>
      </c>
      <c r="G940" s="92">
        <v>0.34236366978029675</v>
      </c>
      <c r="H940" s="288">
        <v>0.29945590140437095</v>
      </c>
      <c r="I940" s="288">
        <v>2.2580794798859438E-2</v>
      </c>
      <c r="J940" s="288">
        <v>0.56838614846718505</v>
      </c>
      <c r="K940" s="288">
        <v>0.75727714699567983</v>
      </c>
      <c r="L940" s="290">
        <v>14584.348448276412</v>
      </c>
      <c r="M940" s="288">
        <v>0</v>
      </c>
      <c r="N940" s="288">
        <v>19394.756542789866</v>
      </c>
      <c r="O940" s="288">
        <v>1203.3216916953343</v>
      </c>
      <c r="P940" s="288">
        <v>66467.665109085792</v>
      </c>
      <c r="Q940" s="291">
        <v>127264.54370193646</v>
      </c>
      <c r="R940" s="288">
        <v>22041.92275916287</v>
      </c>
      <c r="S940" s="288">
        <v>10582.23832290423</v>
      </c>
      <c r="T940" s="290">
        <v>0.751</v>
      </c>
      <c r="U940" s="288">
        <v>0.75800000000000001</v>
      </c>
      <c r="V940" s="288">
        <v>0.723923076923077</v>
      </c>
      <c r="W940" s="288">
        <v>0.72750000000000004</v>
      </c>
      <c r="X940" s="288">
        <v>0.76</v>
      </c>
      <c r="Y940" s="288">
        <v>0</v>
      </c>
      <c r="Z940" s="289">
        <v>0</v>
      </c>
      <c r="AA940" s="229"/>
      <c r="AB940" s="293">
        <v>98277.928860664353</v>
      </c>
      <c r="AC940" s="294">
        <v>3.2030059617406219</v>
      </c>
      <c r="AD940" s="295">
        <v>83903.411033048178</v>
      </c>
      <c r="AE940" s="294">
        <v>3.0417823570502147</v>
      </c>
      <c r="AF940" s="295">
        <v>14374.517827616175</v>
      </c>
      <c r="AG940" s="296">
        <v>0.1612236046904072</v>
      </c>
      <c r="AH940" s="229"/>
      <c r="AI940" s="205">
        <f t="shared" si="102"/>
        <v>222022.6673133978</v>
      </c>
      <c r="AJ940" s="205">
        <f t="shared" si="103"/>
        <v>220274.8246719733</v>
      </c>
      <c r="AK940" s="205">
        <f t="shared" si="104"/>
        <v>1747.8426414245441</v>
      </c>
      <c r="AL940" s="229"/>
      <c r="AM940" s="52">
        <f t="shared" si="86"/>
        <v>1</v>
      </c>
      <c r="AN940" s="52">
        <f t="shared" si="87"/>
        <v>0</v>
      </c>
      <c r="AO940" s="52">
        <f t="shared" si="88"/>
        <v>1</v>
      </c>
      <c r="AP940" s="229"/>
      <c r="AQ940" s="28"/>
      <c r="AR940" s="28"/>
      <c r="AS940" s="28"/>
      <c r="AT940" s="28"/>
      <c r="AU940" s="229"/>
      <c r="AV940" s="318">
        <f t="shared" si="105"/>
        <v>222022.6673133978</v>
      </c>
      <c r="AW940" s="229"/>
      <c r="AX940" s="313"/>
      <c r="AY940" s="302"/>
      <c r="AZ940" s="14">
        <f t="shared" si="107"/>
        <v>14374.517827616175</v>
      </c>
      <c r="BA940" s="14">
        <f t="shared" si="106"/>
        <v>0.1612236046904072</v>
      </c>
      <c r="BB940" s="14">
        <f t="shared" si="89"/>
        <v>89158.891188539827</v>
      </c>
      <c r="BC940" s="302"/>
      <c r="BD940" s="302"/>
      <c r="BE940" s="302"/>
      <c r="BF940" s="302"/>
      <c r="BG940" s="302"/>
      <c r="BH940" s="302"/>
      <c r="BI940" s="302"/>
      <c r="BJ940" s="302"/>
      <c r="BK940" s="302"/>
      <c r="BL940" s="302"/>
      <c r="BM940" s="302"/>
      <c r="BN940" s="302"/>
      <c r="BO940" s="302"/>
      <c r="BP940" s="302"/>
      <c r="BQ940" s="302"/>
      <c r="BR940" s="302"/>
      <c r="BS940" s="302"/>
      <c r="BT940" s="302"/>
      <c r="BU940" s="302"/>
      <c r="BV940" s="302"/>
      <c r="BW940" s="302"/>
      <c r="BX940" s="302"/>
      <c r="BY940" s="302"/>
      <c r="BZ940" s="302"/>
      <c r="CA940" s="302"/>
      <c r="CB940" s="28"/>
      <c r="CC940" s="28"/>
      <c r="CD940" s="28"/>
      <c r="CE940" s="28"/>
      <c r="CF940" s="28"/>
      <c r="CG940" s="28"/>
      <c r="CH940" s="28"/>
      <c r="CI940" s="28"/>
      <c r="CJ940" s="28"/>
      <c r="CK940" s="28"/>
      <c r="CL940" s="28"/>
      <c r="CM940" s="28"/>
      <c r="CN940" s="28"/>
      <c r="CO940" s="28"/>
      <c r="CP940" s="28"/>
      <c r="CQ940" s="28"/>
      <c r="CR940" s="28"/>
      <c r="CS940" s="28"/>
      <c r="CT940" s="28"/>
      <c r="CU940" s="28"/>
      <c r="CV940" s="28"/>
      <c r="CW940" s="28"/>
    </row>
    <row r="941" spans="1:101" ht="14.25" customHeight="1" x14ac:dyDescent="0.2">
      <c r="A941" s="286"/>
      <c r="B941" s="52">
        <v>0.16780025629785278</v>
      </c>
      <c r="C941" s="288">
        <v>0.85083260137968553</v>
      </c>
      <c r="D941" s="288">
        <v>2.4649314805540667E-2</v>
      </c>
      <c r="E941" s="288">
        <v>1.5276258880093874E-2</v>
      </c>
      <c r="F941" s="289">
        <v>0.78239102424920348</v>
      </c>
      <c r="G941" s="92">
        <v>0.39981910815941901</v>
      </c>
      <c r="H941" s="288">
        <v>0.86246957109585365</v>
      </c>
      <c r="I941" s="288">
        <v>1.2079410412239394E-2</v>
      </c>
      <c r="J941" s="288">
        <v>0.99999999978010301</v>
      </c>
      <c r="K941" s="288">
        <v>0.70841787344553431</v>
      </c>
      <c r="L941" s="290">
        <v>13398.514602452851</v>
      </c>
      <c r="M941" s="288">
        <v>0</v>
      </c>
      <c r="N941" s="288">
        <v>17762.955411248528</v>
      </c>
      <c r="O941" s="288">
        <v>1649.7431466499741</v>
      </c>
      <c r="P941" s="288">
        <v>74036.152023771414</v>
      </c>
      <c r="Q941" s="291">
        <v>74733.240588373665</v>
      </c>
      <c r="R941" s="288">
        <v>19664.374275713981</v>
      </c>
      <c r="S941" s="288">
        <v>9414.2846900118839</v>
      </c>
      <c r="T941" s="290">
        <v>0.751</v>
      </c>
      <c r="U941" s="288">
        <v>0.75800000000000001</v>
      </c>
      <c r="V941" s="288">
        <v>0.723923076923077</v>
      </c>
      <c r="W941" s="288">
        <v>0.72750000000000004</v>
      </c>
      <c r="X941" s="288">
        <v>0.76</v>
      </c>
      <c r="Y941" s="288">
        <v>0</v>
      </c>
      <c r="Z941" s="289">
        <v>0</v>
      </c>
      <c r="AA941" s="229"/>
      <c r="AB941" s="293">
        <v>89734.52103590667</v>
      </c>
      <c r="AC941" s="294">
        <v>3.1534526998771346</v>
      </c>
      <c r="AD941" s="295">
        <v>74746.376880806492</v>
      </c>
      <c r="AE941" s="294">
        <v>2.818248356080455</v>
      </c>
      <c r="AF941" s="295">
        <v>14988.144155100177</v>
      </c>
      <c r="AG941" s="296">
        <v>0.33520434379667963</v>
      </c>
      <c r="AH941" s="229"/>
      <c r="AI941" s="205">
        <f t="shared" si="102"/>
        <v>225610.7489518068</v>
      </c>
      <c r="AJ941" s="205">
        <f t="shared" si="103"/>
        <v>207078.45872723902</v>
      </c>
      <c r="AK941" s="205">
        <f t="shared" si="104"/>
        <v>18532.290224567783</v>
      </c>
      <c r="AL941" s="229"/>
      <c r="AM941" s="52">
        <f t="shared" si="86"/>
        <v>1</v>
      </c>
      <c r="AN941" s="52">
        <f t="shared" si="87"/>
        <v>0</v>
      </c>
      <c r="AO941" s="52">
        <f t="shared" si="88"/>
        <v>1</v>
      </c>
      <c r="AP941" s="229"/>
      <c r="AQ941" s="28"/>
      <c r="AR941" s="28"/>
      <c r="AS941" s="28"/>
      <c r="AT941" s="28"/>
      <c r="AU941" s="229"/>
      <c r="AV941" s="318">
        <f t="shared" si="105"/>
        <v>225610.7489518068</v>
      </c>
      <c r="AW941" s="229"/>
      <c r="AX941" s="313"/>
      <c r="AY941" s="302"/>
      <c r="AZ941" s="14">
        <f t="shared" si="107"/>
        <v>14988.144155100177</v>
      </c>
      <c r="BA941" s="14">
        <f t="shared" si="106"/>
        <v>0.33520434379667963</v>
      </c>
      <c r="BB941" s="14">
        <f t="shared" si="89"/>
        <v>44713.454441960734</v>
      </c>
      <c r="BC941" s="302"/>
      <c r="BD941" s="302"/>
      <c r="BE941" s="302"/>
      <c r="BF941" s="302"/>
      <c r="BG941" s="302"/>
      <c r="BH941" s="302"/>
      <c r="BI941" s="302"/>
      <c r="BJ941" s="302"/>
      <c r="BK941" s="302"/>
      <c r="BL941" s="302"/>
      <c r="BM941" s="302"/>
      <c r="BN941" s="302"/>
      <c r="BO941" s="302"/>
      <c r="BP941" s="302"/>
      <c r="BQ941" s="302"/>
      <c r="BR941" s="302"/>
      <c r="BS941" s="302"/>
      <c r="BT941" s="302"/>
      <c r="BU941" s="302"/>
      <c r="BV941" s="302"/>
      <c r="BW941" s="302"/>
      <c r="BX941" s="302"/>
      <c r="BY941" s="302"/>
      <c r="BZ941" s="302"/>
      <c r="CA941" s="302"/>
      <c r="CB941" s="28"/>
      <c r="CC941" s="28"/>
      <c r="CD941" s="28"/>
      <c r="CE941" s="28"/>
      <c r="CF941" s="28"/>
      <c r="CG941" s="28"/>
      <c r="CH941" s="28"/>
      <c r="CI941" s="28"/>
      <c r="CJ941" s="28"/>
      <c r="CK941" s="28"/>
      <c r="CL941" s="28"/>
      <c r="CM941" s="28"/>
      <c r="CN941" s="28"/>
      <c r="CO941" s="28"/>
      <c r="CP941" s="28"/>
      <c r="CQ941" s="28"/>
      <c r="CR941" s="28"/>
      <c r="CS941" s="28"/>
      <c r="CT941" s="28"/>
      <c r="CU941" s="28"/>
      <c r="CV941" s="28"/>
      <c r="CW941" s="28"/>
    </row>
    <row r="942" spans="1:101" ht="14.25" customHeight="1" x14ac:dyDescent="0.2">
      <c r="A942" s="286"/>
      <c r="B942" s="52">
        <v>0.14773344379940517</v>
      </c>
      <c r="C942" s="288">
        <v>0.1527329475561941</v>
      </c>
      <c r="D942" s="288">
        <v>3.7185625992260163E-2</v>
      </c>
      <c r="E942" s="288">
        <v>7.1281784038255162E-3</v>
      </c>
      <c r="F942" s="289">
        <v>0.76498353591162482</v>
      </c>
      <c r="G942" s="92">
        <v>0.39583590096799259</v>
      </c>
      <c r="H942" s="288">
        <v>3.0799584766445648E-2</v>
      </c>
      <c r="I942" s="288">
        <v>3.5963885425687958E-2</v>
      </c>
      <c r="J942" s="288">
        <v>0.99999847132530761</v>
      </c>
      <c r="K942" s="288">
        <v>0.76579963530687167</v>
      </c>
      <c r="L942" s="290">
        <v>12928.730825619405</v>
      </c>
      <c r="M942" s="288">
        <v>0</v>
      </c>
      <c r="N942" s="288">
        <v>23738.376298284966</v>
      </c>
      <c r="O942" s="288">
        <v>1007.0070381792815</v>
      </c>
      <c r="P942" s="288">
        <v>38828.500599588901</v>
      </c>
      <c r="Q942" s="291">
        <v>134291.99396692266</v>
      </c>
      <c r="R942" s="288">
        <v>29068.89892884696</v>
      </c>
      <c r="S942" s="288">
        <v>8848.6152359341213</v>
      </c>
      <c r="T942" s="290">
        <v>0.751</v>
      </c>
      <c r="U942" s="288">
        <v>0.75800000000000001</v>
      </c>
      <c r="V942" s="288">
        <v>0.723923076923077</v>
      </c>
      <c r="W942" s="288">
        <v>0.72750000000000004</v>
      </c>
      <c r="X942" s="288">
        <v>0.76</v>
      </c>
      <c r="Y942" s="288">
        <v>0</v>
      </c>
      <c r="Z942" s="289">
        <v>0</v>
      </c>
      <c r="AA942" s="229"/>
      <c r="AB942" s="293">
        <v>81502.611556213102</v>
      </c>
      <c r="AC942" s="294">
        <v>3.0728478272279607</v>
      </c>
      <c r="AD942" s="295">
        <v>71175.748041910236</v>
      </c>
      <c r="AE942" s="294">
        <v>3.0811586547660568</v>
      </c>
      <c r="AF942" s="295">
        <v>10326.863514302866</v>
      </c>
      <c r="AG942" s="296">
        <v>-8.3108275380960883E-3</v>
      </c>
      <c r="AH942" s="229"/>
      <c r="AI942" s="205">
        <f t="shared" si="102"/>
        <v>225782.17116658296</v>
      </c>
      <c r="AJ942" s="205">
        <f t="shared" si="103"/>
        <v>236940.11743469542</v>
      </c>
      <c r="AK942" s="205">
        <f t="shared" si="104"/>
        <v>-11157.946268112475</v>
      </c>
      <c r="AL942" s="229"/>
      <c r="AM942" s="52">
        <f t="shared" si="86"/>
        <v>0</v>
      </c>
      <c r="AN942" s="52">
        <f t="shared" si="87"/>
        <v>1</v>
      </c>
      <c r="AO942" s="52">
        <f t="shared" si="88"/>
        <v>0</v>
      </c>
      <c r="AP942" s="229"/>
      <c r="AQ942" s="28"/>
      <c r="AR942" s="28"/>
      <c r="AS942" s="28"/>
      <c r="AT942" s="28"/>
      <c r="AU942" s="229"/>
      <c r="AV942" s="318">
        <f t="shared" si="105"/>
        <v>236940.11743469542</v>
      </c>
      <c r="AW942" s="229"/>
      <c r="AX942" s="313"/>
      <c r="AY942" s="302"/>
      <c r="AZ942" s="14">
        <f t="shared" si="107"/>
        <v>10326.863514302866</v>
      </c>
      <c r="BA942" s="14">
        <f t="shared" si="106"/>
        <v>-8.3108275380960883E-3</v>
      </c>
      <c r="BB942" s="14">
        <f t="shared" si="89"/>
        <v>-1242579.4503574343</v>
      </c>
      <c r="BC942" s="302"/>
      <c r="BD942" s="302"/>
      <c r="BE942" s="302"/>
      <c r="BF942" s="302"/>
      <c r="BG942" s="302"/>
      <c r="BH942" s="302"/>
      <c r="BI942" s="302"/>
      <c r="BJ942" s="302"/>
      <c r="BK942" s="302"/>
      <c r="BL942" s="302"/>
      <c r="BM942" s="302"/>
      <c r="BN942" s="302"/>
      <c r="BO942" s="302"/>
      <c r="BP942" s="302"/>
      <c r="BQ942" s="302"/>
      <c r="BR942" s="302"/>
      <c r="BS942" s="302"/>
      <c r="BT942" s="302"/>
      <c r="BU942" s="302"/>
      <c r="BV942" s="302"/>
      <c r="BW942" s="302"/>
      <c r="BX942" s="302"/>
      <c r="BY942" s="302"/>
      <c r="BZ942" s="302"/>
      <c r="CA942" s="302"/>
      <c r="CB942" s="28"/>
      <c r="CC942" s="28"/>
      <c r="CD942" s="28"/>
      <c r="CE942" s="28"/>
      <c r="CF942" s="28"/>
      <c r="CG942" s="28"/>
      <c r="CH942" s="28"/>
      <c r="CI942" s="28"/>
      <c r="CJ942" s="28"/>
      <c r="CK942" s="28"/>
      <c r="CL942" s="28"/>
      <c r="CM942" s="28"/>
      <c r="CN942" s="28"/>
      <c r="CO942" s="28"/>
      <c r="CP942" s="28"/>
      <c r="CQ942" s="28"/>
      <c r="CR942" s="28"/>
      <c r="CS942" s="28"/>
      <c r="CT942" s="28"/>
      <c r="CU942" s="28"/>
      <c r="CV942" s="28"/>
      <c r="CW942" s="28"/>
    </row>
    <row r="943" spans="1:101" ht="14.25" customHeight="1" x14ac:dyDescent="0.2">
      <c r="A943" s="286"/>
      <c r="B943" s="52">
        <v>0.1518596937798026</v>
      </c>
      <c r="C943" s="288">
        <v>0.38265236132915448</v>
      </c>
      <c r="D943" s="288">
        <v>1.7281689325372884E-2</v>
      </c>
      <c r="E943" s="288">
        <v>8.0571932773780119E-3</v>
      </c>
      <c r="F943" s="289">
        <v>0.79897435872097566</v>
      </c>
      <c r="G943" s="92">
        <v>0.41950750652347968</v>
      </c>
      <c r="H943" s="288">
        <v>0.29030423327181054</v>
      </c>
      <c r="I943" s="288">
        <v>2.1981910332996679E-2</v>
      </c>
      <c r="J943" s="288">
        <v>0.36603794769693443</v>
      </c>
      <c r="K943" s="288">
        <v>0.75211989883284069</v>
      </c>
      <c r="L943" s="290">
        <v>13032.775110916038</v>
      </c>
      <c r="M943" s="288">
        <v>0</v>
      </c>
      <c r="N943" s="288">
        <v>18731.001846428553</v>
      </c>
      <c r="O943" s="288">
        <v>926.82745822193328</v>
      </c>
      <c r="P943" s="288">
        <v>42722.434291862526</v>
      </c>
      <c r="Q943" s="291">
        <v>145015.30262751394</v>
      </c>
      <c r="R943" s="288">
        <v>19535.322812668808</v>
      </c>
      <c r="S943" s="288">
        <v>6875.6595978686664</v>
      </c>
      <c r="T943" s="290">
        <v>0.751</v>
      </c>
      <c r="U943" s="288">
        <v>0.75800000000000001</v>
      </c>
      <c r="V943" s="288">
        <v>0.723923076923077</v>
      </c>
      <c r="W943" s="288">
        <v>0.72750000000000004</v>
      </c>
      <c r="X943" s="288">
        <v>0.76</v>
      </c>
      <c r="Y943" s="288">
        <v>0</v>
      </c>
      <c r="Z943" s="289">
        <v>0</v>
      </c>
      <c r="AA943" s="229"/>
      <c r="AB943" s="293">
        <v>69088.552479472026</v>
      </c>
      <c r="AC943" s="294">
        <v>3.2306834187906719</v>
      </c>
      <c r="AD943" s="295">
        <v>55895.307972921801</v>
      </c>
      <c r="AE943" s="294">
        <v>3.0180100192342065</v>
      </c>
      <c r="AF943" s="295">
        <v>13193.244506550225</v>
      </c>
      <c r="AG943" s="296">
        <v>0.21267339955646536</v>
      </c>
      <c r="AH943" s="229"/>
      <c r="AI943" s="205">
        <f t="shared" si="102"/>
        <v>253979.78939959517</v>
      </c>
      <c r="AJ943" s="205">
        <f t="shared" si="103"/>
        <v>245905.69395049883</v>
      </c>
      <c r="AK943" s="205">
        <f t="shared" si="104"/>
        <v>8074.0954490963122</v>
      </c>
      <c r="AL943" s="229"/>
      <c r="AM943" s="52">
        <f t="shared" si="86"/>
        <v>1</v>
      </c>
      <c r="AN943" s="52">
        <f t="shared" si="87"/>
        <v>0</v>
      </c>
      <c r="AO943" s="52">
        <f t="shared" si="88"/>
        <v>1</v>
      </c>
      <c r="AP943" s="229"/>
      <c r="AQ943" s="28"/>
      <c r="AR943" s="28"/>
      <c r="AS943" s="28"/>
      <c r="AT943" s="28"/>
      <c r="AU943" s="229"/>
      <c r="AV943" s="318">
        <f t="shared" si="105"/>
        <v>253979.78939959517</v>
      </c>
      <c r="AW943" s="229"/>
      <c r="AX943" s="313"/>
      <c r="AY943" s="302"/>
      <c r="AZ943" s="14">
        <f t="shared" si="107"/>
        <v>13193.244506550225</v>
      </c>
      <c r="BA943" s="14">
        <f t="shared" si="106"/>
        <v>0.21267339955646536</v>
      </c>
      <c r="BB943" s="14">
        <f t="shared" si="89"/>
        <v>62035.235878417334</v>
      </c>
      <c r="BC943" s="302"/>
      <c r="BD943" s="302"/>
      <c r="BE943" s="302"/>
      <c r="BF943" s="302"/>
      <c r="BG943" s="302"/>
      <c r="BH943" s="302"/>
      <c r="BI943" s="302"/>
      <c r="BJ943" s="302"/>
      <c r="BK943" s="302"/>
      <c r="BL943" s="302"/>
      <c r="BM943" s="302"/>
      <c r="BN943" s="302"/>
      <c r="BO943" s="302"/>
      <c r="BP943" s="302"/>
      <c r="BQ943" s="302"/>
      <c r="BR943" s="302"/>
      <c r="BS943" s="302"/>
      <c r="BT943" s="302"/>
      <c r="BU943" s="302"/>
      <c r="BV943" s="302"/>
      <c r="BW943" s="302"/>
      <c r="BX943" s="302"/>
      <c r="BY943" s="302"/>
      <c r="BZ943" s="302"/>
      <c r="CA943" s="302"/>
      <c r="CB943" s="28"/>
      <c r="CC943" s="28"/>
      <c r="CD943" s="28"/>
      <c r="CE943" s="28"/>
      <c r="CF943" s="28"/>
      <c r="CG943" s="28"/>
      <c r="CH943" s="28"/>
      <c r="CI943" s="28"/>
      <c r="CJ943" s="28"/>
      <c r="CK943" s="28"/>
      <c r="CL943" s="28"/>
      <c r="CM943" s="28"/>
      <c r="CN943" s="28"/>
      <c r="CO943" s="28"/>
      <c r="CP943" s="28"/>
      <c r="CQ943" s="28"/>
      <c r="CR943" s="28"/>
      <c r="CS943" s="28"/>
      <c r="CT943" s="28"/>
      <c r="CU943" s="28"/>
      <c r="CV943" s="28"/>
      <c r="CW943" s="28"/>
    </row>
    <row r="944" spans="1:101" ht="14.25" customHeight="1" x14ac:dyDescent="0.2">
      <c r="A944" s="286"/>
      <c r="B944" s="52">
        <v>0.18469997921997316</v>
      </c>
      <c r="C944" s="288">
        <v>0.30210873621352574</v>
      </c>
      <c r="D944" s="288">
        <v>1.7324422207320667E-2</v>
      </c>
      <c r="E944" s="288">
        <v>1.8302273514305689E-2</v>
      </c>
      <c r="F944" s="289">
        <v>0.79685263609870693</v>
      </c>
      <c r="G944" s="92">
        <v>0.43251204161711765</v>
      </c>
      <c r="H944" s="288">
        <v>4.3496163604372015E-2</v>
      </c>
      <c r="I944" s="288">
        <v>2.0022657032740643E-2</v>
      </c>
      <c r="J944" s="288">
        <v>0.99509984845724686</v>
      </c>
      <c r="K944" s="288">
        <v>0.71907864548182143</v>
      </c>
      <c r="L944" s="290">
        <v>14267.575324404619</v>
      </c>
      <c r="M944" s="288">
        <v>0</v>
      </c>
      <c r="N944" s="288">
        <v>19124.416940620336</v>
      </c>
      <c r="O944" s="288">
        <v>1721.4517215428123</v>
      </c>
      <c r="P944" s="288">
        <v>47627.814557055812</v>
      </c>
      <c r="Q944" s="291">
        <v>92163.725958325012</v>
      </c>
      <c r="R944" s="288">
        <v>15347.321226682439</v>
      </c>
      <c r="S944" s="288">
        <v>9043.04221570755</v>
      </c>
      <c r="T944" s="290">
        <v>0.751</v>
      </c>
      <c r="U944" s="288">
        <v>0.75800000000000001</v>
      </c>
      <c r="V944" s="288">
        <v>0.723923076923077</v>
      </c>
      <c r="W944" s="288">
        <v>0.72750000000000004</v>
      </c>
      <c r="X944" s="288">
        <v>0.76</v>
      </c>
      <c r="Y944" s="288">
        <v>0</v>
      </c>
      <c r="Z944" s="289">
        <v>0</v>
      </c>
      <c r="AA944" s="229"/>
      <c r="AB944" s="293">
        <v>87096.310171680831</v>
      </c>
      <c r="AC944" s="294">
        <v>3.2207782204267783</v>
      </c>
      <c r="AD944" s="295">
        <v>67282.580163042963</v>
      </c>
      <c r="AE944" s="294">
        <v>2.8667010598185509</v>
      </c>
      <c r="AF944" s="295">
        <v>19813.730008637867</v>
      </c>
      <c r="AG944" s="296">
        <v>0.35407716060822736</v>
      </c>
      <c r="AH944" s="229"/>
      <c r="AI944" s="205">
        <f t="shared" si="102"/>
        <v>234981.51187099703</v>
      </c>
      <c r="AJ944" s="205">
        <f t="shared" si="103"/>
        <v>219387.52581881211</v>
      </c>
      <c r="AK944" s="205">
        <f t="shared" si="104"/>
        <v>15593.986052184868</v>
      </c>
      <c r="AL944" s="229"/>
      <c r="AM944" s="52">
        <f t="shared" si="86"/>
        <v>1</v>
      </c>
      <c r="AN944" s="52">
        <f t="shared" si="87"/>
        <v>0</v>
      </c>
      <c r="AO944" s="52">
        <f t="shared" si="88"/>
        <v>1</v>
      </c>
      <c r="AP944" s="229"/>
      <c r="AQ944" s="28"/>
      <c r="AR944" s="28"/>
      <c r="AS944" s="28"/>
      <c r="AT944" s="28"/>
      <c r="AU944" s="229"/>
      <c r="AV944" s="318">
        <f t="shared" si="105"/>
        <v>234981.51187099703</v>
      </c>
      <c r="AW944" s="229"/>
      <c r="AX944" s="313"/>
      <c r="AY944" s="302"/>
      <c r="AZ944" s="14">
        <f t="shared" si="107"/>
        <v>19813.730008637867</v>
      </c>
      <c r="BA944" s="14">
        <f t="shared" si="106"/>
        <v>0.35407716060822736</v>
      </c>
      <c r="BB944" s="14">
        <f t="shared" si="89"/>
        <v>55958.791509178955</v>
      </c>
      <c r="BC944" s="302"/>
      <c r="BD944" s="302"/>
      <c r="BE944" s="302"/>
      <c r="BF944" s="302"/>
      <c r="BG944" s="302"/>
      <c r="BH944" s="302"/>
      <c r="BI944" s="302"/>
      <c r="BJ944" s="302"/>
      <c r="BK944" s="302"/>
      <c r="BL944" s="302"/>
      <c r="BM944" s="302"/>
      <c r="BN944" s="302"/>
      <c r="BO944" s="302"/>
      <c r="BP944" s="302"/>
      <c r="BQ944" s="302"/>
      <c r="BR944" s="302"/>
      <c r="BS944" s="302"/>
      <c r="BT944" s="302"/>
      <c r="BU944" s="302"/>
      <c r="BV944" s="302"/>
      <c r="BW944" s="302"/>
      <c r="BX944" s="302"/>
      <c r="BY944" s="302"/>
      <c r="BZ944" s="302"/>
      <c r="CA944" s="302"/>
      <c r="CB944" s="28"/>
      <c r="CC944" s="28"/>
      <c r="CD944" s="28"/>
      <c r="CE944" s="28"/>
      <c r="CF944" s="28"/>
      <c r="CG944" s="28"/>
      <c r="CH944" s="28"/>
      <c r="CI944" s="28"/>
      <c r="CJ944" s="28"/>
      <c r="CK944" s="28"/>
      <c r="CL944" s="28"/>
      <c r="CM944" s="28"/>
      <c r="CN944" s="28"/>
      <c r="CO944" s="28"/>
      <c r="CP944" s="28"/>
      <c r="CQ944" s="28"/>
      <c r="CR944" s="28"/>
      <c r="CS944" s="28"/>
      <c r="CT944" s="28"/>
      <c r="CU944" s="28"/>
      <c r="CV944" s="28"/>
      <c r="CW944" s="28"/>
    </row>
    <row r="945" spans="1:101" ht="14.25" customHeight="1" x14ac:dyDescent="0.2">
      <c r="A945" s="286"/>
      <c r="B945" s="52">
        <v>0.11303837764565278</v>
      </c>
      <c r="C945" s="288">
        <v>0.81381967852601211</v>
      </c>
      <c r="D945" s="288">
        <v>7.2089712322532277E-3</v>
      </c>
      <c r="E945" s="288">
        <v>1.768336475102017E-2</v>
      </c>
      <c r="F945" s="289">
        <v>0.78169699549116289</v>
      </c>
      <c r="G945" s="92">
        <v>0.36524711636355711</v>
      </c>
      <c r="H945" s="288">
        <v>3.3931871050383138E-2</v>
      </c>
      <c r="I945" s="288">
        <v>3.3487395276734942E-3</v>
      </c>
      <c r="J945" s="288">
        <v>0.89529985035340121</v>
      </c>
      <c r="K945" s="288">
        <v>0.70280885433093643</v>
      </c>
      <c r="L945" s="290">
        <v>13338.531419364081</v>
      </c>
      <c r="M945" s="288">
        <v>0</v>
      </c>
      <c r="N945" s="288">
        <v>14292.880966737046</v>
      </c>
      <c r="O945" s="288">
        <v>1261.2549985666469</v>
      </c>
      <c r="P945" s="288">
        <v>38985.352832018551</v>
      </c>
      <c r="Q945" s="291">
        <v>114818.68173602609</v>
      </c>
      <c r="R945" s="288">
        <v>21162.095464353573</v>
      </c>
      <c r="S945" s="288">
        <v>7770.5024478644091</v>
      </c>
      <c r="T945" s="290">
        <v>0.751</v>
      </c>
      <c r="U945" s="288">
        <v>0.75800000000000001</v>
      </c>
      <c r="V945" s="288">
        <v>0.723923076923077</v>
      </c>
      <c r="W945" s="288">
        <v>0.72750000000000004</v>
      </c>
      <c r="X945" s="288">
        <v>0.76</v>
      </c>
      <c r="Y945" s="288">
        <v>0</v>
      </c>
      <c r="Z945" s="289">
        <v>0</v>
      </c>
      <c r="AA945" s="229"/>
      <c r="AB945" s="293">
        <v>75670.445560080218</v>
      </c>
      <c r="AC945" s="294">
        <v>3.150229922728216</v>
      </c>
      <c r="AD945" s="295">
        <v>55398.288369433809</v>
      </c>
      <c r="AE945" s="294">
        <v>2.7928275523632209</v>
      </c>
      <c r="AF945" s="295">
        <v>20272.157190646409</v>
      </c>
      <c r="AG945" s="296">
        <v>0.35740237036499511</v>
      </c>
      <c r="AH945" s="229"/>
      <c r="AI945" s="205">
        <f t="shared" si="102"/>
        <v>239352.54671274137</v>
      </c>
      <c r="AJ945" s="205">
        <f t="shared" si="103"/>
        <v>223884.46686688825</v>
      </c>
      <c r="AK945" s="205">
        <f t="shared" si="104"/>
        <v>15468.079845853106</v>
      </c>
      <c r="AL945" s="229"/>
      <c r="AM945" s="52">
        <f t="shared" si="86"/>
        <v>1</v>
      </c>
      <c r="AN945" s="52">
        <f t="shared" si="87"/>
        <v>0</v>
      </c>
      <c r="AO945" s="52">
        <f t="shared" si="88"/>
        <v>1</v>
      </c>
      <c r="AP945" s="229"/>
      <c r="AQ945" s="28"/>
      <c r="AR945" s="28"/>
      <c r="AS945" s="28"/>
      <c r="AT945" s="28"/>
      <c r="AU945" s="229"/>
      <c r="AV945" s="318">
        <f t="shared" si="105"/>
        <v>239352.54671274137</v>
      </c>
      <c r="AW945" s="229"/>
      <c r="AX945" s="313"/>
      <c r="AY945" s="302"/>
      <c r="AZ945" s="14">
        <f t="shared" si="107"/>
        <v>20272.157190646409</v>
      </c>
      <c r="BA945" s="14">
        <f t="shared" si="106"/>
        <v>0.35740237036499511</v>
      </c>
      <c r="BB945" s="14">
        <f t="shared" si="89"/>
        <v>56720.824682677914</v>
      </c>
      <c r="BC945" s="302"/>
      <c r="BD945" s="302"/>
      <c r="BE945" s="302"/>
      <c r="BF945" s="302"/>
      <c r="BG945" s="302"/>
      <c r="BH945" s="302"/>
      <c r="BI945" s="302"/>
      <c r="BJ945" s="302"/>
      <c r="BK945" s="302"/>
      <c r="BL945" s="302"/>
      <c r="BM945" s="302"/>
      <c r="BN945" s="302"/>
      <c r="BO945" s="302"/>
      <c r="BP945" s="302"/>
      <c r="BQ945" s="302"/>
      <c r="BR945" s="302"/>
      <c r="BS945" s="302"/>
      <c r="BT945" s="302"/>
      <c r="BU945" s="302"/>
      <c r="BV945" s="302"/>
      <c r="BW945" s="302"/>
      <c r="BX945" s="302"/>
      <c r="BY945" s="302"/>
      <c r="BZ945" s="302"/>
      <c r="CA945" s="302"/>
      <c r="CB945" s="28"/>
      <c r="CC945" s="28"/>
      <c r="CD945" s="28"/>
      <c r="CE945" s="28"/>
      <c r="CF945" s="28"/>
      <c r="CG945" s="28"/>
      <c r="CH945" s="28"/>
      <c r="CI945" s="28"/>
      <c r="CJ945" s="28"/>
      <c r="CK945" s="28"/>
      <c r="CL945" s="28"/>
      <c r="CM945" s="28"/>
      <c r="CN945" s="28"/>
      <c r="CO945" s="28"/>
      <c r="CP945" s="28"/>
      <c r="CQ945" s="28"/>
      <c r="CR945" s="28"/>
      <c r="CS945" s="28"/>
      <c r="CT945" s="28"/>
      <c r="CU945" s="28"/>
      <c r="CV945" s="28"/>
      <c r="CW945" s="28"/>
    </row>
    <row r="946" spans="1:101" ht="14.25" customHeight="1" x14ac:dyDescent="0.2">
      <c r="A946" s="286"/>
      <c r="B946" s="52">
        <v>0.1445985719940226</v>
      </c>
      <c r="C946" s="288">
        <v>0.83822899131556872</v>
      </c>
      <c r="D946" s="288">
        <v>1.4006242643416888E-2</v>
      </c>
      <c r="E946" s="288">
        <v>2.4308696768299387E-2</v>
      </c>
      <c r="F946" s="289">
        <v>0.80321008801404303</v>
      </c>
      <c r="G946" s="92">
        <v>0.39394378568389316</v>
      </c>
      <c r="H946" s="288">
        <v>0.89523665754444093</v>
      </c>
      <c r="I946" s="288">
        <v>3.6836338045593831E-2</v>
      </c>
      <c r="J946" s="288">
        <v>0.84063532842283861</v>
      </c>
      <c r="K946" s="288">
        <v>0.76913936403648009</v>
      </c>
      <c r="L946" s="290">
        <v>11867.955687784359</v>
      </c>
      <c r="M946" s="288">
        <v>0</v>
      </c>
      <c r="N946" s="288">
        <v>24318.290824037012</v>
      </c>
      <c r="O946" s="288">
        <v>1365.681770369285</v>
      </c>
      <c r="P946" s="288">
        <v>52199.195009927716</v>
      </c>
      <c r="Q946" s="291">
        <v>88607.067722248961</v>
      </c>
      <c r="R946" s="288">
        <v>24855.16930139812</v>
      </c>
      <c r="S946" s="288">
        <v>9676.8672949227112</v>
      </c>
      <c r="T946" s="290">
        <v>0.751</v>
      </c>
      <c r="U946" s="288">
        <v>0.75800000000000001</v>
      </c>
      <c r="V946" s="288">
        <v>0.723923076923077</v>
      </c>
      <c r="W946" s="288">
        <v>0.72750000000000004</v>
      </c>
      <c r="X946" s="288">
        <v>0.76</v>
      </c>
      <c r="Y946" s="288">
        <v>0</v>
      </c>
      <c r="Z946" s="289">
        <v>0</v>
      </c>
      <c r="AA946" s="229"/>
      <c r="AB946" s="293">
        <v>92227.350340715406</v>
      </c>
      <c r="AC946" s="294">
        <v>3.2504789124638997</v>
      </c>
      <c r="AD946" s="295">
        <v>85719.23306073375</v>
      </c>
      <c r="AE946" s="294">
        <v>3.0966203654867792</v>
      </c>
      <c r="AF946" s="295">
        <v>6508.1172799816559</v>
      </c>
      <c r="AG946" s="296">
        <v>0.15385854697712054</v>
      </c>
      <c r="AH946" s="229"/>
      <c r="AI946" s="205">
        <f t="shared" si="102"/>
        <v>232820.54090567454</v>
      </c>
      <c r="AJ946" s="205">
        <f t="shared" si="103"/>
        <v>223942.80348794418</v>
      </c>
      <c r="AK946" s="205">
        <f t="shared" si="104"/>
        <v>8877.7374177303973</v>
      </c>
      <c r="AL946" s="229"/>
      <c r="AM946" s="52">
        <f t="shared" si="86"/>
        <v>1</v>
      </c>
      <c r="AN946" s="52">
        <f t="shared" si="87"/>
        <v>0</v>
      </c>
      <c r="AO946" s="52">
        <f t="shared" si="88"/>
        <v>1</v>
      </c>
      <c r="AP946" s="229"/>
      <c r="AQ946" s="28"/>
      <c r="AR946" s="28"/>
      <c r="AS946" s="28"/>
      <c r="AT946" s="28"/>
      <c r="AU946" s="229"/>
      <c r="AV946" s="318">
        <f t="shared" si="105"/>
        <v>232820.54090567454</v>
      </c>
      <c r="AW946" s="229"/>
      <c r="AX946" s="313"/>
      <c r="AY946" s="302"/>
      <c r="AZ946" s="14">
        <f t="shared" si="107"/>
        <v>6508.1172799816559</v>
      </c>
      <c r="BA946" s="14">
        <f t="shared" si="106"/>
        <v>0.15385854697712054</v>
      </c>
      <c r="BB946" s="14">
        <f t="shared" si="89"/>
        <v>42299.3548804893</v>
      </c>
      <c r="BC946" s="302"/>
      <c r="BD946" s="302"/>
      <c r="BE946" s="302"/>
      <c r="BF946" s="302"/>
      <c r="BG946" s="302"/>
      <c r="BH946" s="302"/>
      <c r="BI946" s="302"/>
      <c r="BJ946" s="302"/>
      <c r="BK946" s="302"/>
      <c r="BL946" s="302"/>
      <c r="BM946" s="302"/>
      <c r="BN946" s="302"/>
      <c r="BO946" s="302"/>
      <c r="BP946" s="302"/>
      <c r="BQ946" s="302"/>
      <c r="BR946" s="302"/>
      <c r="BS946" s="302"/>
      <c r="BT946" s="302"/>
      <c r="BU946" s="302"/>
      <c r="BV946" s="302"/>
      <c r="BW946" s="302"/>
      <c r="BX946" s="302"/>
      <c r="BY946" s="302"/>
      <c r="BZ946" s="302"/>
      <c r="CA946" s="302"/>
      <c r="CB946" s="28"/>
      <c r="CC946" s="28"/>
      <c r="CD946" s="28"/>
      <c r="CE946" s="28"/>
      <c r="CF946" s="28"/>
      <c r="CG946" s="28"/>
      <c r="CH946" s="28"/>
      <c r="CI946" s="28"/>
      <c r="CJ946" s="28"/>
      <c r="CK946" s="28"/>
      <c r="CL946" s="28"/>
      <c r="CM946" s="28"/>
      <c r="CN946" s="28"/>
      <c r="CO946" s="28"/>
      <c r="CP946" s="28"/>
      <c r="CQ946" s="28"/>
      <c r="CR946" s="28"/>
      <c r="CS946" s="28"/>
      <c r="CT946" s="28"/>
      <c r="CU946" s="28"/>
      <c r="CV946" s="28"/>
      <c r="CW946" s="28"/>
    </row>
    <row r="947" spans="1:101" ht="14.25" customHeight="1" x14ac:dyDescent="0.2">
      <c r="A947" s="286"/>
      <c r="B947" s="52">
        <v>0.13425304617426381</v>
      </c>
      <c r="C947" s="288">
        <v>0.52743179815728314</v>
      </c>
      <c r="D947" s="288">
        <v>1.5072050820368443E-2</v>
      </c>
      <c r="E947" s="288">
        <v>1.4659106248707587E-2</v>
      </c>
      <c r="F947" s="289">
        <v>0.78196035568160505</v>
      </c>
      <c r="G947" s="92">
        <v>0.40373572284721371</v>
      </c>
      <c r="H947" s="288">
        <v>0.84021777274073051</v>
      </c>
      <c r="I947" s="288">
        <v>2.3080996853312441E-2</v>
      </c>
      <c r="J947" s="288">
        <v>0.94220185671743673</v>
      </c>
      <c r="K947" s="288">
        <v>0.75163390663942942</v>
      </c>
      <c r="L947" s="290">
        <v>11241.90719064296</v>
      </c>
      <c r="M947" s="288">
        <v>0</v>
      </c>
      <c r="N947" s="288">
        <v>23756.576254423599</v>
      </c>
      <c r="O947" s="288">
        <v>1236.162769620734</v>
      </c>
      <c r="P947" s="288">
        <v>51485.489598727778</v>
      </c>
      <c r="Q947" s="291">
        <v>111084.22780436861</v>
      </c>
      <c r="R947" s="288">
        <v>21248.516182132389</v>
      </c>
      <c r="S947" s="288">
        <v>10670.01267956763</v>
      </c>
      <c r="T947" s="290">
        <v>0.751</v>
      </c>
      <c r="U947" s="288">
        <v>0.75800000000000001</v>
      </c>
      <c r="V947" s="288">
        <v>0.723923076923077</v>
      </c>
      <c r="W947" s="288">
        <v>0.72750000000000004</v>
      </c>
      <c r="X947" s="288">
        <v>0.76</v>
      </c>
      <c r="Y947" s="288">
        <v>0</v>
      </c>
      <c r="Z947" s="289">
        <v>0</v>
      </c>
      <c r="AA947" s="229"/>
      <c r="AB947" s="293">
        <v>95759.453231890031</v>
      </c>
      <c r="AC947" s="294">
        <v>3.1514527675451411</v>
      </c>
      <c r="AD947" s="295">
        <v>89312.199651463816</v>
      </c>
      <c r="AE947" s="294">
        <v>3.0157719994802061</v>
      </c>
      <c r="AF947" s="295">
        <v>6447.2535804262152</v>
      </c>
      <c r="AG947" s="296">
        <v>0.13568076806493501</v>
      </c>
      <c r="AH947" s="229"/>
      <c r="AI947" s="205">
        <f t="shared" si="102"/>
        <v>219385.82352262409</v>
      </c>
      <c r="AJ947" s="205">
        <f t="shared" si="103"/>
        <v>212265.0002965568</v>
      </c>
      <c r="AK947" s="205">
        <f t="shared" si="104"/>
        <v>7120.8232260672848</v>
      </c>
      <c r="AL947" s="229"/>
      <c r="AM947" s="52">
        <f t="shared" si="86"/>
        <v>1</v>
      </c>
      <c r="AN947" s="52">
        <f t="shared" si="87"/>
        <v>0</v>
      </c>
      <c r="AO947" s="52">
        <f t="shared" si="88"/>
        <v>1</v>
      </c>
      <c r="AP947" s="229"/>
      <c r="AQ947" s="28"/>
      <c r="AR947" s="28"/>
      <c r="AS947" s="28"/>
      <c r="AT947" s="28"/>
      <c r="AU947" s="229"/>
      <c r="AV947" s="318">
        <f t="shared" si="105"/>
        <v>219385.82352262409</v>
      </c>
      <c r="AW947" s="229"/>
      <c r="AX947" s="313"/>
      <c r="AY947" s="302"/>
      <c r="AZ947" s="14">
        <f t="shared" si="107"/>
        <v>6447.2535804262152</v>
      </c>
      <c r="BA947" s="14">
        <f t="shared" si="106"/>
        <v>0.13568076806493501</v>
      </c>
      <c r="BB947" s="14">
        <f t="shared" si="89"/>
        <v>47517.814590647402</v>
      </c>
      <c r="BC947" s="302"/>
      <c r="BD947" s="302"/>
      <c r="BE947" s="302"/>
      <c r="BF947" s="302"/>
      <c r="BG947" s="302"/>
      <c r="BH947" s="302"/>
      <c r="BI947" s="302"/>
      <c r="BJ947" s="302"/>
      <c r="BK947" s="302"/>
      <c r="BL947" s="302"/>
      <c r="BM947" s="302"/>
      <c r="BN947" s="302"/>
      <c r="BO947" s="302"/>
      <c r="BP947" s="302"/>
      <c r="BQ947" s="302"/>
      <c r="BR947" s="302"/>
      <c r="BS947" s="302"/>
      <c r="BT947" s="302"/>
      <c r="BU947" s="302"/>
      <c r="BV947" s="302"/>
      <c r="BW947" s="302"/>
      <c r="BX947" s="302"/>
      <c r="BY947" s="302"/>
      <c r="BZ947" s="302"/>
      <c r="CA947" s="302"/>
      <c r="CB947" s="28"/>
      <c r="CC947" s="28"/>
      <c r="CD947" s="28"/>
      <c r="CE947" s="28"/>
      <c r="CF947" s="28"/>
      <c r="CG947" s="28"/>
      <c r="CH947" s="28"/>
      <c r="CI947" s="28"/>
      <c r="CJ947" s="28"/>
      <c r="CK947" s="28"/>
      <c r="CL947" s="28"/>
      <c r="CM947" s="28"/>
      <c r="CN947" s="28"/>
      <c r="CO947" s="28"/>
      <c r="CP947" s="28"/>
      <c r="CQ947" s="28"/>
      <c r="CR947" s="28"/>
      <c r="CS947" s="28"/>
      <c r="CT947" s="28"/>
      <c r="CU947" s="28"/>
      <c r="CV947" s="28"/>
      <c r="CW947" s="28"/>
    </row>
    <row r="948" spans="1:101" ht="14.25" customHeight="1" x14ac:dyDescent="0.2">
      <c r="A948" s="286"/>
      <c r="B948" s="52">
        <v>0.15259776938212161</v>
      </c>
      <c r="C948" s="288">
        <v>0.11989922855333268</v>
      </c>
      <c r="D948" s="288">
        <v>1.1467738932518805E-2</v>
      </c>
      <c r="E948" s="288">
        <v>4.3394271419112196E-3</v>
      </c>
      <c r="F948" s="289">
        <v>0.74940779447257133</v>
      </c>
      <c r="G948" s="92">
        <v>0.35057504052407956</v>
      </c>
      <c r="H948" s="288">
        <v>5.3995007374413716E-3</v>
      </c>
      <c r="I948" s="288">
        <v>7.1739888467589183E-3</v>
      </c>
      <c r="J948" s="288">
        <v>0.99999999999988309</v>
      </c>
      <c r="K948" s="288">
        <v>0.76076999834001302</v>
      </c>
      <c r="L948" s="290">
        <v>8367.0946634985503</v>
      </c>
      <c r="M948" s="288">
        <v>0</v>
      </c>
      <c r="N948" s="288">
        <v>21114.872477110614</v>
      </c>
      <c r="O948" s="288">
        <v>1322.6683174240814</v>
      </c>
      <c r="P948" s="288">
        <v>47210.301813817685</v>
      </c>
      <c r="Q948" s="291">
        <v>102662.11331169266</v>
      </c>
      <c r="R948" s="288">
        <v>20332.949375162199</v>
      </c>
      <c r="S948" s="288">
        <v>12406.958119234067</v>
      </c>
      <c r="T948" s="290">
        <v>0.751</v>
      </c>
      <c r="U948" s="288">
        <v>0.75800000000000001</v>
      </c>
      <c r="V948" s="288">
        <v>0.723923076923077</v>
      </c>
      <c r="W948" s="288">
        <v>0.72750000000000004</v>
      </c>
      <c r="X948" s="288">
        <v>0.76</v>
      </c>
      <c r="Y948" s="288">
        <v>0</v>
      </c>
      <c r="Z948" s="289">
        <v>0</v>
      </c>
      <c r="AA948" s="229"/>
      <c r="AB948" s="293">
        <v>101191.29832555525</v>
      </c>
      <c r="AC948" s="294">
        <v>3.0011277049873621</v>
      </c>
      <c r="AD948" s="295">
        <v>95057.905663655649</v>
      </c>
      <c r="AE948" s="294">
        <v>3.057906468977635</v>
      </c>
      <c r="AF948" s="295">
        <v>6133.3926618996047</v>
      </c>
      <c r="AG948" s="296">
        <v>-5.6778763990272818E-2</v>
      </c>
      <c r="AH948" s="229"/>
      <c r="AI948" s="205">
        <f t="shared" si="102"/>
        <v>198921.47217318098</v>
      </c>
      <c r="AJ948" s="205">
        <f t="shared" si="103"/>
        <v>210732.74123410782</v>
      </c>
      <c r="AK948" s="205">
        <f t="shared" si="104"/>
        <v>-11811.269060926887</v>
      </c>
      <c r="AL948" s="229"/>
      <c r="AM948" s="52">
        <f t="shared" si="86"/>
        <v>0</v>
      </c>
      <c r="AN948" s="52">
        <f t="shared" si="87"/>
        <v>1</v>
      </c>
      <c r="AO948" s="52">
        <f t="shared" si="88"/>
        <v>0</v>
      </c>
      <c r="AP948" s="229"/>
      <c r="AQ948" s="28"/>
      <c r="AR948" s="28"/>
      <c r="AS948" s="28"/>
      <c r="AT948" s="28"/>
      <c r="AU948" s="229"/>
      <c r="AV948" s="318">
        <f t="shared" si="105"/>
        <v>210732.74123410782</v>
      </c>
      <c r="AW948" s="229"/>
      <c r="AX948" s="313"/>
      <c r="AY948" s="302"/>
      <c r="AZ948" s="14">
        <f t="shared" si="107"/>
        <v>6133.3926618996047</v>
      </c>
      <c r="BA948" s="14">
        <f t="shared" si="106"/>
        <v>-5.6778763990272818E-2</v>
      </c>
      <c r="BB948" s="14">
        <f t="shared" si="89"/>
        <v>-108022.6519716132</v>
      </c>
      <c r="BC948" s="302"/>
      <c r="BD948" s="302"/>
      <c r="BE948" s="302"/>
      <c r="BF948" s="302"/>
      <c r="BG948" s="302"/>
      <c r="BH948" s="302"/>
      <c r="BI948" s="302"/>
      <c r="BJ948" s="302"/>
      <c r="BK948" s="302"/>
      <c r="BL948" s="302"/>
      <c r="BM948" s="302"/>
      <c r="BN948" s="302"/>
      <c r="BO948" s="302"/>
      <c r="BP948" s="302"/>
      <c r="BQ948" s="302"/>
      <c r="BR948" s="302"/>
      <c r="BS948" s="302"/>
      <c r="BT948" s="302"/>
      <c r="BU948" s="302"/>
      <c r="BV948" s="302"/>
      <c r="BW948" s="302"/>
      <c r="BX948" s="302"/>
      <c r="BY948" s="302"/>
      <c r="BZ948" s="302"/>
      <c r="CA948" s="302"/>
      <c r="CB948" s="28"/>
      <c r="CC948" s="28"/>
      <c r="CD948" s="28"/>
      <c r="CE948" s="28"/>
      <c r="CF948" s="28"/>
      <c r="CG948" s="28"/>
      <c r="CH948" s="28"/>
      <c r="CI948" s="28"/>
      <c r="CJ948" s="28"/>
      <c r="CK948" s="28"/>
      <c r="CL948" s="28"/>
      <c r="CM948" s="28"/>
      <c r="CN948" s="28"/>
      <c r="CO948" s="28"/>
      <c r="CP948" s="28"/>
      <c r="CQ948" s="28"/>
      <c r="CR948" s="28"/>
      <c r="CS948" s="28"/>
      <c r="CT948" s="28"/>
      <c r="CU948" s="28"/>
      <c r="CV948" s="28"/>
      <c r="CW948" s="28"/>
    </row>
    <row r="949" spans="1:101" ht="14.25" customHeight="1" x14ac:dyDescent="0.2">
      <c r="A949" s="286"/>
      <c r="B949" s="52">
        <v>0.1507186458792204</v>
      </c>
      <c r="C949" s="288">
        <v>0.34968867847736684</v>
      </c>
      <c r="D949" s="288">
        <v>1.0265211669054438E-2</v>
      </c>
      <c r="E949" s="288">
        <v>1.528328204828977E-2</v>
      </c>
      <c r="F949" s="289">
        <v>0.77565876489572627</v>
      </c>
      <c r="G949" s="92">
        <v>0.43615472393941279</v>
      </c>
      <c r="H949" s="288">
        <v>3.2665403514270067E-2</v>
      </c>
      <c r="I949" s="288">
        <v>3.5761784871766733E-2</v>
      </c>
      <c r="J949" s="288">
        <v>0.99999999996518285</v>
      </c>
      <c r="K949" s="288">
        <v>0.73006895503018154</v>
      </c>
      <c r="L949" s="290">
        <v>10561.859267169699</v>
      </c>
      <c r="M949" s="288">
        <v>0</v>
      </c>
      <c r="N949" s="288">
        <v>27882.84472370494</v>
      </c>
      <c r="O949" s="288">
        <v>1066.7961275370867</v>
      </c>
      <c r="P949" s="288">
        <v>40091.188441853687</v>
      </c>
      <c r="Q949" s="291">
        <v>115917.12117072895</v>
      </c>
      <c r="R949" s="288">
        <v>22285.216588441872</v>
      </c>
      <c r="S949" s="288">
        <v>9137.3598770511999</v>
      </c>
      <c r="T949" s="290">
        <v>0.751</v>
      </c>
      <c r="U949" s="288">
        <v>0.75800000000000001</v>
      </c>
      <c r="V949" s="288">
        <v>0.723923076923077</v>
      </c>
      <c r="W949" s="288">
        <v>0.72750000000000004</v>
      </c>
      <c r="X949" s="288">
        <v>0.76</v>
      </c>
      <c r="Y949" s="288">
        <v>0</v>
      </c>
      <c r="Z949" s="289">
        <v>0</v>
      </c>
      <c r="AA949" s="229"/>
      <c r="AB949" s="293">
        <v>82260.313448663335</v>
      </c>
      <c r="AC949" s="294">
        <v>3.1222228043240694</v>
      </c>
      <c r="AD949" s="295">
        <v>70280.465208488211</v>
      </c>
      <c r="AE949" s="294">
        <v>2.9168390319235757</v>
      </c>
      <c r="AF949" s="295">
        <v>11979.848240175124</v>
      </c>
      <c r="AG949" s="296">
        <v>0.20538377240049366</v>
      </c>
      <c r="AH949" s="229"/>
      <c r="AI949" s="205">
        <f t="shared" si="102"/>
        <v>229961.96698374359</v>
      </c>
      <c r="AJ949" s="205">
        <f t="shared" si="103"/>
        <v>221403.43798386934</v>
      </c>
      <c r="AK949" s="205">
        <f t="shared" si="104"/>
        <v>8558.528999874241</v>
      </c>
      <c r="AL949" s="229"/>
      <c r="AM949" s="52">
        <f t="shared" si="86"/>
        <v>1</v>
      </c>
      <c r="AN949" s="52">
        <f t="shared" si="87"/>
        <v>0</v>
      </c>
      <c r="AO949" s="52">
        <f t="shared" si="88"/>
        <v>1</v>
      </c>
      <c r="AP949" s="229"/>
      <c r="AQ949" s="28"/>
      <c r="AR949" s="28"/>
      <c r="AS949" s="28"/>
      <c r="AT949" s="28"/>
      <c r="AU949" s="229"/>
      <c r="AV949" s="318">
        <f t="shared" si="105"/>
        <v>229961.96698374359</v>
      </c>
      <c r="AW949" s="229"/>
      <c r="AX949" s="313"/>
      <c r="AY949" s="302"/>
      <c r="AZ949" s="14">
        <f t="shared" si="107"/>
        <v>11979.848240175124</v>
      </c>
      <c r="BA949" s="14">
        <f t="shared" si="106"/>
        <v>0.20538377240049366</v>
      </c>
      <c r="BB949" s="14">
        <f t="shared" si="89"/>
        <v>58329.088516373602</v>
      </c>
      <c r="BC949" s="302"/>
      <c r="BD949" s="302"/>
      <c r="BE949" s="302"/>
      <c r="BF949" s="302"/>
      <c r="BG949" s="302"/>
      <c r="BH949" s="302"/>
      <c r="BI949" s="302"/>
      <c r="BJ949" s="302"/>
      <c r="BK949" s="302"/>
      <c r="BL949" s="302"/>
      <c r="BM949" s="302"/>
      <c r="BN949" s="302"/>
      <c r="BO949" s="302"/>
      <c r="BP949" s="302"/>
      <c r="BQ949" s="302"/>
      <c r="BR949" s="302"/>
      <c r="BS949" s="302"/>
      <c r="BT949" s="302"/>
      <c r="BU949" s="302"/>
      <c r="BV949" s="302"/>
      <c r="BW949" s="302"/>
      <c r="BX949" s="302"/>
      <c r="BY949" s="302"/>
      <c r="BZ949" s="302"/>
      <c r="CA949" s="302"/>
      <c r="CB949" s="28"/>
      <c r="CC949" s="28"/>
      <c r="CD949" s="28"/>
      <c r="CE949" s="28"/>
      <c r="CF949" s="28"/>
      <c r="CG949" s="28"/>
      <c r="CH949" s="28"/>
      <c r="CI949" s="28"/>
      <c r="CJ949" s="28"/>
      <c r="CK949" s="28"/>
      <c r="CL949" s="28"/>
      <c r="CM949" s="28"/>
      <c r="CN949" s="28"/>
      <c r="CO949" s="28"/>
      <c r="CP949" s="28"/>
      <c r="CQ949" s="28"/>
      <c r="CR949" s="28"/>
      <c r="CS949" s="28"/>
      <c r="CT949" s="28"/>
      <c r="CU949" s="28"/>
      <c r="CV949" s="28"/>
      <c r="CW949" s="28"/>
    </row>
    <row r="950" spans="1:101" ht="14.25" customHeight="1" x14ac:dyDescent="0.2">
      <c r="A950" s="286"/>
      <c r="B950" s="52">
        <v>0.14119592068857265</v>
      </c>
      <c r="C950" s="288">
        <v>0.41791379575352883</v>
      </c>
      <c r="D950" s="288">
        <v>6.5176087652834436E-3</v>
      </c>
      <c r="E950" s="288">
        <v>1.2576123374657197E-2</v>
      </c>
      <c r="F950" s="289">
        <v>0.7603010396745068</v>
      </c>
      <c r="G950" s="92">
        <v>0.43424304516466239</v>
      </c>
      <c r="H950" s="288">
        <v>0.37996213392448808</v>
      </c>
      <c r="I950" s="288">
        <v>1.1456885497371335E-2</v>
      </c>
      <c r="J950" s="288">
        <v>0.79084098248178636</v>
      </c>
      <c r="K950" s="288">
        <v>0.76573543380541009</v>
      </c>
      <c r="L950" s="290">
        <v>11385.150291058468</v>
      </c>
      <c r="M950" s="288">
        <v>0</v>
      </c>
      <c r="N950" s="288">
        <v>22060.813620300323</v>
      </c>
      <c r="O950" s="288">
        <v>1353.807157014752</v>
      </c>
      <c r="P950" s="288">
        <v>42391.964170175161</v>
      </c>
      <c r="Q950" s="291">
        <v>77476.370067052849</v>
      </c>
      <c r="R950" s="288">
        <v>24570.457840759311</v>
      </c>
      <c r="S950" s="288">
        <v>8475.8906050001569</v>
      </c>
      <c r="T950" s="290">
        <v>0.751</v>
      </c>
      <c r="U950" s="288">
        <v>0.75800000000000001</v>
      </c>
      <c r="V950" s="288">
        <v>0.723923076923077</v>
      </c>
      <c r="W950" s="288">
        <v>0.72750000000000004</v>
      </c>
      <c r="X950" s="288">
        <v>0.76</v>
      </c>
      <c r="Y950" s="288">
        <v>0</v>
      </c>
      <c r="Z950" s="289">
        <v>0</v>
      </c>
      <c r="AA950" s="229"/>
      <c r="AB950" s="293">
        <v>76910.784400852324</v>
      </c>
      <c r="AC950" s="294">
        <v>3.0512467833574073</v>
      </c>
      <c r="AD950" s="295">
        <v>70003.799974949536</v>
      </c>
      <c r="AE950" s="294">
        <v>3.080861597757476</v>
      </c>
      <c r="AF950" s="295">
        <v>6906.9844259027886</v>
      </c>
      <c r="AG950" s="296">
        <v>-2.9614814400068745E-2</v>
      </c>
      <c r="AH950" s="229"/>
      <c r="AI950" s="205">
        <f t="shared" si="102"/>
        <v>228213.89393488842</v>
      </c>
      <c r="AJ950" s="205">
        <f t="shared" si="103"/>
        <v>238082.35980079809</v>
      </c>
      <c r="AK950" s="205">
        <f t="shared" si="104"/>
        <v>-9868.465865909664</v>
      </c>
      <c r="AL950" s="229"/>
      <c r="AM950" s="52">
        <f t="shared" si="86"/>
        <v>0</v>
      </c>
      <c r="AN950" s="52">
        <f t="shared" si="87"/>
        <v>1</v>
      </c>
      <c r="AO950" s="52">
        <f t="shared" si="88"/>
        <v>0</v>
      </c>
      <c r="AP950" s="229"/>
      <c r="AQ950" s="28"/>
      <c r="AR950" s="28"/>
      <c r="AS950" s="28"/>
      <c r="AT950" s="28"/>
      <c r="AU950" s="229"/>
      <c r="AV950" s="318">
        <f t="shared" si="105"/>
        <v>238082.35980079809</v>
      </c>
      <c r="AW950" s="229"/>
      <c r="AX950" s="313"/>
      <c r="AY950" s="302"/>
      <c r="AZ950" s="14">
        <f t="shared" si="107"/>
        <v>6906.9844259027886</v>
      </c>
      <c r="BA950" s="14">
        <f t="shared" si="106"/>
        <v>-2.9614814400068745E-2</v>
      </c>
      <c r="BB950" s="14">
        <f t="shared" si="89"/>
        <v>-233227.34130951553</v>
      </c>
      <c r="BC950" s="302"/>
      <c r="BD950" s="302"/>
      <c r="BE950" s="302"/>
      <c r="BF950" s="302"/>
      <c r="BG950" s="302"/>
      <c r="BH950" s="302"/>
      <c r="BI950" s="302"/>
      <c r="BJ950" s="302"/>
      <c r="BK950" s="302"/>
      <c r="BL950" s="302"/>
      <c r="BM950" s="302"/>
      <c r="BN950" s="302"/>
      <c r="BO950" s="302"/>
      <c r="BP950" s="302"/>
      <c r="BQ950" s="302"/>
      <c r="BR950" s="302"/>
      <c r="BS950" s="302"/>
      <c r="BT950" s="302"/>
      <c r="BU950" s="302"/>
      <c r="BV950" s="302"/>
      <c r="BW950" s="302"/>
      <c r="BX950" s="302"/>
      <c r="BY950" s="302"/>
      <c r="BZ950" s="302"/>
      <c r="CA950" s="302"/>
      <c r="CB950" s="28"/>
      <c r="CC950" s="28"/>
      <c r="CD950" s="28"/>
      <c r="CE950" s="28"/>
      <c r="CF950" s="28"/>
      <c r="CG950" s="28"/>
      <c r="CH950" s="28"/>
      <c r="CI950" s="28"/>
      <c r="CJ950" s="28"/>
      <c r="CK950" s="28"/>
      <c r="CL950" s="28"/>
      <c r="CM950" s="28"/>
      <c r="CN950" s="28"/>
      <c r="CO950" s="28"/>
      <c r="CP950" s="28"/>
      <c r="CQ950" s="28"/>
      <c r="CR950" s="28"/>
      <c r="CS950" s="28"/>
      <c r="CT950" s="28"/>
      <c r="CU950" s="28"/>
      <c r="CV950" s="28"/>
      <c r="CW950" s="28"/>
    </row>
    <row r="951" spans="1:101" ht="14.25" customHeight="1" x14ac:dyDescent="0.2">
      <c r="A951" s="286"/>
      <c r="B951" s="52">
        <v>0.15537039572330016</v>
      </c>
      <c r="C951" s="288">
        <v>0.68807769572284294</v>
      </c>
      <c r="D951" s="288">
        <v>8.9743101222717874E-3</v>
      </c>
      <c r="E951" s="288">
        <v>2.8837561004965901E-3</v>
      </c>
      <c r="F951" s="289">
        <v>0.795146802818117</v>
      </c>
      <c r="G951" s="92">
        <v>0.34558885314799559</v>
      </c>
      <c r="H951" s="288">
        <v>0.53743440844507151</v>
      </c>
      <c r="I951" s="288">
        <v>1.5586069813832077E-2</v>
      </c>
      <c r="J951" s="288">
        <v>0.99995345775750144</v>
      </c>
      <c r="K951" s="288">
        <v>0.73869847881207806</v>
      </c>
      <c r="L951" s="290">
        <v>13657.698558980086</v>
      </c>
      <c r="M951" s="288">
        <v>0</v>
      </c>
      <c r="N951" s="288">
        <v>11674.552495761163</v>
      </c>
      <c r="O951" s="288">
        <v>1049.0296344289641</v>
      </c>
      <c r="P951" s="288">
        <v>42864.158274401139</v>
      </c>
      <c r="Q951" s="291">
        <v>122102.38254390185</v>
      </c>
      <c r="R951" s="288">
        <v>28588.057863229526</v>
      </c>
      <c r="S951" s="288">
        <v>12848.178847337824</v>
      </c>
      <c r="T951" s="290">
        <v>0.751</v>
      </c>
      <c r="U951" s="288">
        <v>0.75800000000000001</v>
      </c>
      <c r="V951" s="288">
        <v>0.723923076923077</v>
      </c>
      <c r="W951" s="288">
        <v>0.72750000000000004</v>
      </c>
      <c r="X951" s="288">
        <v>0.76</v>
      </c>
      <c r="Y951" s="288">
        <v>0</v>
      </c>
      <c r="Z951" s="289">
        <v>0</v>
      </c>
      <c r="AA951" s="229"/>
      <c r="AB951" s="293">
        <v>118211.03464804222</v>
      </c>
      <c r="AC951" s="294">
        <v>3.2128197094720528</v>
      </c>
      <c r="AD951" s="295">
        <v>101286.10395683401</v>
      </c>
      <c r="AE951" s="294">
        <v>2.9563404980091832</v>
      </c>
      <c r="AF951" s="295">
        <v>16924.93069120821</v>
      </c>
      <c r="AG951" s="296">
        <v>0.25647921146286956</v>
      </c>
      <c r="AH951" s="229"/>
      <c r="AI951" s="205">
        <f t="shared" si="102"/>
        <v>203070.93629916303</v>
      </c>
      <c r="AJ951" s="205">
        <f t="shared" si="103"/>
        <v>194347.94584408432</v>
      </c>
      <c r="AK951" s="205">
        <f t="shared" si="104"/>
        <v>8722.9904550787469</v>
      </c>
      <c r="AL951" s="229"/>
      <c r="AM951" s="52">
        <f t="shared" si="86"/>
        <v>1</v>
      </c>
      <c r="AN951" s="52">
        <f t="shared" si="87"/>
        <v>0</v>
      </c>
      <c r="AO951" s="52">
        <f t="shared" si="88"/>
        <v>1</v>
      </c>
      <c r="AP951" s="229"/>
      <c r="AQ951" s="28"/>
      <c r="AR951" s="28"/>
      <c r="AS951" s="28"/>
      <c r="AT951" s="28"/>
      <c r="AU951" s="229"/>
      <c r="AV951" s="318">
        <f t="shared" si="105"/>
        <v>203070.93629916303</v>
      </c>
      <c r="AW951" s="229"/>
      <c r="AX951" s="313"/>
      <c r="AY951" s="302"/>
      <c r="AZ951" s="14">
        <f t="shared" si="107"/>
        <v>16924.93069120821</v>
      </c>
      <c r="BA951" s="14">
        <f t="shared" si="106"/>
        <v>0.25647921146286956</v>
      </c>
      <c r="BB951" s="14">
        <f t="shared" si="89"/>
        <v>65989.48349331785</v>
      </c>
      <c r="BC951" s="302"/>
      <c r="BD951" s="302"/>
      <c r="BE951" s="302"/>
      <c r="BF951" s="302"/>
      <c r="BG951" s="302"/>
      <c r="BH951" s="302"/>
      <c r="BI951" s="302"/>
      <c r="BJ951" s="302"/>
      <c r="BK951" s="302"/>
      <c r="BL951" s="302"/>
      <c r="BM951" s="302"/>
      <c r="BN951" s="302"/>
      <c r="BO951" s="302"/>
      <c r="BP951" s="302"/>
      <c r="BQ951" s="302"/>
      <c r="BR951" s="302"/>
      <c r="BS951" s="302"/>
      <c r="BT951" s="302"/>
      <c r="BU951" s="302"/>
      <c r="BV951" s="302"/>
      <c r="BW951" s="302"/>
      <c r="BX951" s="302"/>
      <c r="BY951" s="302"/>
      <c r="BZ951" s="302"/>
      <c r="CA951" s="302"/>
      <c r="CB951" s="28"/>
      <c r="CC951" s="28"/>
      <c r="CD951" s="28"/>
      <c r="CE951" s="28"/>
      <c r="CF951" s="28"/>
      <c r="CG951" s="28"/>
      <c r="CH951" s="28"/>
      <c r="CI951" s="28"/>
      <c r="CJ951" s="28"/>
      <c r="CK951" s="28"/>
      <c r="CL951" s="28"/>
      <c r="CM951" s="28"/>
      <c r="CN951" s="28"/>
      <c r="CO951" s="28"/>
      <c r="CP951" s="28"/>
      <c r="CQ951" s="28"/>
      <c r="CR951" s="28"/>
      <c r="CS951" s="28"/>
      <c r="CT951" s="28"/>
      <c r="CU951" s="28"/>
      <c r="CV951" s="28"/>
      <c r="CW951" s="28"/>
    </row>
    <row r="952" spans="1:101" ht="14.25" customHeight="1" x14ac:dyDescent="0.2">
      <c r="A952" s="286"/>
      <c r="B952" s="52">
        <v>0.13558496775687634</v>
      </c>
      <c r="C952" s="288">
        <v>0.15459255510682215</v>
      </c>
      <c r="D952" s="288">
        <v>5.3468835757688174E-3</v>
      </c>
      <c r="E952" s="288">
        <v>4.4939392703559561E-3</v>
      </c>
      <c r="F952" s="289">
        <v>0.77749632785897882</v>
      </c>
      <c r="G952" s="92">
        <v>0.37380091942195137</v>
      </c>
      <c r="H952" s="288">
        <v>0.59208101752459896</v>
      </c>
      <c r="I952" s="288">
        <v>2.540538008753142E-3</v>
      </c>
      <c r="J952" s="288">
        <v>8.2478188854399198E-3</v>
      </c>
      <c r="K952" s="288">
        <v>0.73569480771813001</v>
      </c>
      <c r="L952" s="290">
        <v>10912.019768797403</v>
      </c>
      <c r="M952" s="288">
        <v>0</v>
      </c>
      <c r="N952" s="288">
        <v>16477.839528807064</v>
      </c>
      <c r="O952" s="288">
        <v>1245.2302562363479</v>
      </c>
      <c r="P952" s="288">
        <v>44329.007123764248</v>
      </c>
      <c r="Q952" s="291">
        <v>109322.08543274505</v>
      </c>
      <c r="R952" s="288">
        <v>23557.727015598568</v>
      </c>
      <c r="S952" s="288">
        <v>8355.7289859402135</v>
      </c>
      <c r="T952" s="290">
        <v>0.751</v>
      </c>
      <c r="U952" s="288">
        <v>0.75800000000000001</v>
      </c>
      <c r="V952" s="288">
        <v>0.723923076923077</v>
      </c>
      <c r="W952" s="288">
        <v>0.72750000000000004</v>
      </c>
      <c r="X952" s="288">
        <v>0.76</v>
      </c>
      <c r="Y952" s="288">
        <v>0</v>
      </c>
      <c r="Z952" s="289">
        <v>0</v>
      </c>
      <c r="AA952" s="229"/>
      <c r="AB952" s="293">
        <v>75984.766379853434</v>
      </c>
      <c r="AC952" s="294">
        <v>3.1307399169992496</v>
      </c>
      <c r="AD952" s="295">
        <v>67071.523884207272</v>
      </c>
      <c r="AE952" s="294">
        <v>2.9425779379874522</v>
      </c>
      <c r="AF952" s="295">
        <v>8913.2424956461618</v>
      </c>
      <c r="AG952" s="296">
        <v>0.18816197901179743</v>
      </c>
      <c r="AH952" s="229"/>
      <c r="AI952" s="205">
        <f t="shared" si="102"/>
        <v>237089.22532007156</v>
      </c>
      <c r="AJ952" s="205">
        <f t="shared" si="103"/>
        <v>227186.26991453793</v>
      </c>
      <c r="AK952" s="205">
        <f t="shared" si="104"/>
        <v>9902.955405533583</v>
      </c>
      <c r="AL952" s="229"/>
      <c r="AM952" s="52">
        <f t="shared" si="86"/>
        <v>1</v>
      </c>
      <c r="AN952" s="52">
        <f t="shared" si="87"/>
        <v>0</v>
      </c>
      <c r="AO952" s="52">
        <f t="shared" si="88"/>
        <v>1</v>
      </c>
      <c r="AP952" s="229"/>
      <c r="AQ952" s="28"/>
      <c r="AR952" s="28"/>
      <c r="AS952" s="28"/>
      <c r="AT952" s="28"/>
      <c r="AU952" s="229"/>
      <c r="AV952" s="318">
        <f t="shared" si="105"/>
        <v>237089.22532007156</v>
      </c>
      <c r="AW952" s="229"/>
      <c r="AX952" s="313"/>
      <c r="AY952" s="302"/>
      <c r="AZ952" s="14">
        <f t="shared" si="107"/>
        <v>8913.2424956461618</v>
      </c>
      <c r="BA952" s="14">
        <f t="shared" si="106"/>
        <v>0.18816197901179743</v>
      </c>
      <c r="BB952" s="14">
        <f t="shared" si="89"/>
        <v>47370.050753384756</v>
      </c>
      <c r="BC952" s="302"/>
      <c r="BD952" s="302"/>
      <c r="BE952" s="302"/>
      <c r="BF952" s="302"/>
      <c r="BG952" s="302"/>
      <c r="BH952" s="302"/>
      <c r="BI952" s="302"/>
      <c r="BJ952" s="302"/>
      <c r="BK952" s="302"/>
      <c r="BL952" s="302"/>
      <c r="BM952" s="302"/>
      <c r="BN952" s="302"/>
      <c r="BO952" s="302"/>
      <c r="BP952" s="302"/>
      <c r="BQ952" s="302"/>
      <c r="BR952" s="302"/>
      <c r="BS952" s="302"/>
      <c r="BT952" s="302"/>
      <c r="BU952" s="302"/>
      <c r="BV952" s="302"/>
      <c r="BW952" s="302"/>
      <c r="BX952" s="302"/>
      <c r="BY952" s="302"/>
      <c r="BZ952" s="302"/>
      <c r="CA952" s="302"/>
      <c r="CB952" s="28"/>
      <c r="CC952" s="28"/>
      <c r="CD952" s="28"/>
      <c r="CE952" s="28"/>
      <c r="CF952" s="28"/>
      <c r="CG952" s="28"/>
      <c r="CH952" s="28"/>
      <c r="CI952" s="28"/>
      <c r="CJ952" s="28"/>
      <c r="CK952" s="28"/>
      <c r="CL952" s="28"/>
      <c r="CM952" s="28"/>
      <c r="CN952" s="28"/>
      <c r="CO952" s="28"/>
      <c r="CP952" s="28"/>
      <c r="CQ952" s="28"/>
      <c r="CR952" s="28"/>
      <c r="CS952" s="28"/>
      <c r="CT952" s="28"/>
      <c r="CU952" s="28"/>
      <c r="CV952" s="28"/>
      <c r="CW952" s="28"/>
    </row>
    <row r="953" spans="1:101" ht="14.25" customHeight="1" x14ac:dyDescent="0.2">
      <c r="A953" s="286"/>
      <c r="B953" s="52">
        <v>0.15564224925201156</v>
      </c>
      <c r="C953" s="288">
        <v>0.42556984028174916</v>
      </c>
      <c r="D953" s="288">
        <v>2.2352344859088547E-2</v>
      </c>
      <c r="E953" s="288">
        <v>2.2853631591511325E-2</v>
      </c>
      <c r="F953" s="289">
        <v>0.78169639248124201</v>
      </c>
      <c r="G953" s="92">
        <v>0.31557792892904624</v>
      </c>
      <c r="H953" s="288">
        <v>0.32728037387794018</v>
      </c>
      <c r="I953" s="288">
        <v>1.7542325389555691E-2</v>
      </c>
      <c r="J953" s="288">
        <v>0.99999999999747569</v>
      </c>
      <c r="K953" s="288">
        <v>0.72794321656207539</v>
      </c>
      <c r="L953" s="290">
        <v>13529.511542788816</v>
      </c>
      <c r="M953" s="288">
        <v>0</v>
      </c>
      <c r="N953" s="288">
        <v>26407.053977139069</v>
      </c>
      <c r="O953" s="288">
        <v>1300.8523861320766</v>
      </c>
      <c r="P953" s="288">
        <v>43407.295600311314</v>
      </c>
      <c r="Q953" s="291">
        <v>106314.91818854857</v>
      </c>
      <c r="R953" s="288">
        <v>17091.637926935513</v>
      </c>
      <c r="S953" s="288">
        <v>10905.141509755156</v>
      </c>
      <c r="T953" s="290">
        <v>0.751</v>
      </c>
      <c r="U953" s="288">
        <v>0.75800000000000001</v>
      </c>
      <c r="V953" s="288">
        <v>0.723923076923077</v>
      </c>
      <c r="W953" s="288">
        <v>0.72750000000000004</v>
      </c>
      <c r="X953" s="288">
        <v>0.76</v>
      </c>
      <c r="Y953" s="288">
        <v>0</v>
      </c>
      <c r="Z953" s="289">
        <v>0</v>
      </c>
      <c r="AA953" s="229"/>
      <c r="AB953" s="293">
        <v>99651.620060539281</v>
      </c>
      <c r="AC953" s="294">
        <v>3.150227122932697</v>
      </c>
      <c r="AD953" s="295">
        <v>82317.48403683475</v>
      </c>
      <c r="AE953" s="294">
        <v>2.9071265269890008</v>
      </c>
      <c r="AF953" s="295">
        <v>17334.13602370453</v>
      </c>
      <c r="AG953" s="296">
        <v>0.24310059594369626</v>
      </c>
      <c r="AH953" s="229"/>
      <c r="AI953" s="205">
        <f t="shared" si="102"/>
        <v>215371.09223273041</v>
      </c>
      <c r="AJ953" s="205">
        <f t="shared" si="103"/>
        <v>208395.16866206535</v>
      </c>
      <c r="AK953" s="205">
        <f t="shared" si="104"/>
        <v>6975.9235706650979</v>
      </c>
      <c r="AL953" s="229"/>
      <c r="AM953" s="52">
        <f t="shared" si="86"/>
        <v>1</v>
      </c>
      <c r="AN953" s="52">
        <f t="shared" si="87"/>
        <v>0</v>
      </c>
      <c r="AO953" s="52">
        <f t="shared" si="88"/>
        <v>1</v>
      </c>
      <c r="AP953" s="229"/>
      <c r="AQ953" s="28"/>
      <c r="AR953" s="28"/>
      <c r="AS953" s="28"/>
      <c r="AT953" s="28"/>
      <c r="AU953" s="229"/>
      <c r="AV953" s="318">
        <f t="shared" si="105"/>
        <v>215371.09223273041</v>
      </c>
      <c r="AW953" s="229"/>
      <c r="AX953" s="313"/>
      <c r="AY953" s="302"/>
      <c r="AZ953" s="14">
        <f t="shared" si="107"/>
        <v>17334.13602370453</v>
      </c>
      <c r="BA953" s="14">
        <f t="shared" si="106"/>
        <v>0.24310059594369626</v>
      </c>
      <c r="BB953" s="14">
        <f t="shared" si="89"/>
        <v>71304.374867592807</v>
      </c>
      <c r="BC953" s="302"/>
      <c r="BD953" s="302"/>
      <c r="BE953" s="302"/>
      <c r="BF953" s="302"/>
      <c r="BG953" s="302"/>
      <c r="BH953" s="302"/>
      <c r="BI953" s="302"/>
      <c r="BJ953" s="302"/>
      <c r="BK953" s="302"/>
      <c r="BL953" s="302"/>
      <c r="BM953" s="302"/>
      <c r="BN953" s="302"/>
      <c r="BO953" s="302"/>
      <c r="BP953" s="302"/>
      <c r="BQ953" s="302"/>
      <c r="BR953" s="302"/>
      <c r="BS953" s="302"/>
      <c r="BT953" s="302"/>
      <c r="BU953" s="302"/>
      <c r="BV953" s="302"/>
      <c r="BW953" s="302"/>
      <c r="BX953" s="302"/>
      <c r="BY953" s="302"/>
      <c r="BZ953" s="302"/>
      <c r="CA953" s="302"/>
      <c r="CB953" s="28"/>
      <c r="CC953" s="28"/>
      <c r="CD953" s="28"/>
      <c r="CE953" s="28"/>
      <c r="CF953" s="28"/>
      <c r="CG953" s="28"/>
      <c r="CH953" s="28"/>
      <c r="CI953" s="28"/>
      <c r="CJ953" s="28"/>
      <c r="CK953" s="28"/>
      <c r="CL953" s="28"/>
      <c r="CM953" s="28"/>
      <c r="CN953" s="28"/>
      <c r="CO953" s="28"/>
      <c r="CP953" s="28"/>
      <c r="CQ953" s="28"/>
      <c r="CR953" s="28"/>
      <c r="CS953" s="28"/>
      <c r="CT953" s="28"/>
      <c r="CU953" s="28"/>
      <c r="CV953" s="28"/>
      <c r="CW953" s="28"/>
    </row>
    <row r="954" spans="1:101" ht="14.25" customHeight="1" x14ac:dyDescent="0.2">
      <c r="A954" s="286"/>
      <c r="B954" s="52">
        <v>0.18826426064326907</v>
      </c>
      <c r="C954" s="288">
        <v>6.8869241413742677E-2</v>
      </c>
      <c r="D954" s="288">
        <v>7.1685748273701095E-3</v>
      </c>
      <c r="E954" s="288">
        <v>8.3210850309182304E-3</v>
      </c>
      <c r="F954" s="289">
        <v>0.7992348036630581</v>
      </c>
      <c r="G954" s="92">
        <v>0.3952122799285242</v>
      </c>
      <c r="H954" s="288">
        <v>0.41017090538994533</v>
      </c>
      <c r="I954" s="288">
        <v>1.669609735028843E-2</v>
      </c>
      <c r="J954" s="288">
        <v>0.99999113526589611</v>
      </c>
      <c r="K954" s="288">
        <v>0.71908394131190101</v>
      </c>
      <c r="L954" s="290">
        <v>14281.663116772228</v>
      </c>
      <c r="M954" s="288">
        <v>0</v>
      </c>
      <c r="N954" s="288">
        <v>17108.072632055704</v>
      </c>
      <c r="O954" s="288">
        <v>1603.2426533919775</v>
      </c>
      <c r="P954" s="288">
        <v>43492.182452425033</v>
      </c>
      <c r="Q954" s="291">
        <v>96360.739014228428</v>
      </c>
      <c r="R954" s="288">
        <v>27849.998807929078</v>
      </c>
      <c r="S954" s="288">
        <v>11645.919581528198</v>
      </c>
      <c r="T954" s="290">
        <v>0.751</v>
      </c>
      <c r="U954" s="288">
        <v>0.75800000000000001</v>
      </c>
      <c r="V954" s="288">
        <v>0.723923076923077</v>
      </c>
      <c r="W954" s="288">
        <v>0.72750000000000004</v>
      </c>
      <c r="X954" s="288">
        <v>0.76</v>
      </c>
      <c r="Y954" s="288">
        <v>0</v>
      </c>
      <c r="Z954" s="289">
        <v>0</v>
      </c>
      <c r="AA954" s="229"/>
      <c r="AB954" s="293">
        <v>107244.05126470352</v>
      </c>
      <c r="AC954" s="294">
        <v>3.2318997847508566</v>
      </c>
      <c r="AD954" s="295">
        <v>89626.859028279432</v>
      </c>
      <c r="AE954" s="294">
        <v>2.8667251736330943</v>
      </c>
      <c r="AF954" s="295">
        <v>17617.192236424089</v>
      </c>
      <c r="AG954" s="296">
        <v>0.36517461111776228</v>
      </c>
      <c r="AH954" s="229"/>
      <c r="AI954" s="205">
        <f t="shared" si="102"/>
        <v>215945.92721038213</v>
      </c>
      <c r="AJ954" s="205">
        <f t="shared" si="103"/>
        <v>197045.65833503002</v>
      </c>
      <c r="AK954" s="205">
        <f t="shared" si="104"/>
        <v>18900.268875352136</v>
      </c>
      <c r="AL954" s="229"/>
      <c r="AM954" s="52">
        <f t="shared" si="86"/>
        <v>1</v>
      </c>
      <c r="AN954" s="52">
        <f t="shared" si="87"/>
        <v>0</v>
      </c>
      <c r="AO954" s="52">
        <f t="shared" si="88"/>
        <v>1</v>
      </c>
      <c r="AP954" s="229"/>
      <c r="AQ954" s="28"/>
      <c r="AR954" s="28"/>
      <c r="AS954" s="28"/>
      <c r="AT954" s="28"/>
      <c r="AU954" s="229"/>
      <c r="AV954" s="318">
        <f t="shared" si="105"/>
        <v>215945.92721038213</v>
      </c>
      <c r="AW954" s="229"/>
      <c r="AX954" s="313"/>
      <c r="AY954" s="302"/>
      <c r="AZ954" s="14">
        <f t="shared" si="107"/>
        <v>17617.192236424089</v>
      </c>
      <c r="BA954" s="14">
        <f t="shared" si="106"/>
        <v>0.36517461111776228</v>
      </c>
      <c r="BB954" s="14">
        <f t="shared" si="89"/>
        <v>48243.201197639828</v>
      </c>
      <c r="BC954" s="302"/>
      <c r="BD954" s="302"/>
      <c r="BE954" s="302"/>
      <c r="BF954" s="302"/>
      <c r="BG954" s="302"/>
      <c r="BH954" s="302"/>
      <c r="BI954" s="302"/>
      <c r="BJ954" s="302"/>
      <c r="BK954" s="302"/>
      <c r="BL954" s="302"/>
      <c r="BM954" s="302"/>
      <c r="BN954" s="302"/>
      <c r="BO954" s="302"/>
      <c r="BP954" s="302"/>
      <c r="BQ954" s="302"/>
      <c r="BR954" s="302"/>
      <c r="BS954" s="302"/>
      <c r="BT954" s="302"/>
      <c r="BU954" s="302"/>
      <c r="BV954" s="302"/>
      <c r="BW954" s="302"/>
      <c r="BX954" s="302"/>
      <c r="BY954" s="302"/>
      <c r="BZ954" s="302"/>
      <c r="CA954" s="302"/>
      <c r="CB954" s="28"/>
      <c r="CC954" s="28"/>
      <c r="CD954" s="28"/>
      <c r="CE954" s="28"/>
      <c r="CF954" s="28"/>
      <c r="CG954" s="28"/>
      <c r="CH954" s="28"/>
      <c r="CI954" s="28"/>
      <c r="CJ954" s="28"/>
      <c r="CK954" s="28"/>
      <c r="CL954" s="28"/>
      <c r="CM954" s="28"/>
      <c r="CN954" s="28"/>
      <c r="CO954" s="28"/>
      <c r="CP954" s="28"/>
      <c r="CQ954" s="28"/>
      <c r="CR954" s="28"/>
      <c r="CS954" s="28"/>
      <c r="CT954" s="28"/>
      <c r="CU954" s="28"/>
      <c r="CV954" s="28"/>
      <c r="CW954" s="28"/>
    </row>
    <row r="955" spans="1:101" ht="14.25" customHeight="1" x14ac:dyDescent="0.2">
      <c r="A955" s="286"/>
      <c r="B955" s="52">
        <v>0.17845874039144316</v>
      </c>
      <c r="C955" s="288">
        <v>0.43459333210761741</v>
      </c>
      <c r="D955" s="288">
        <v>1.3701725524275156E-2</v>
      </c>
      <c r="E955" s="288">
        <v>1.2435143106123207E-2</v>
      </c>
      <c r="F955" s="289">
        <v>0.80541738542747399</v>
      </c>
      <c r="G955" s="92">
        <v>0.3712513336248085</v>
      </c>
      <c r="H955" s="288">
        <v>0.46146750405676668</v>
      </c>
      <c r="I955" s="288">
        <v>2.6911527675973934E-2</v>
      </c>
      <c r="J955" s="288">
        <v>0.99999999999989186</v>
      </c>
      <c r="K955" s="288">
        <v>0.73595107877203025</v>
      </c>
      <c r="L955" s="290">
        <v>16531.790483679066</v>
      </c>
      <c r="M955" s="288">
        <v>0</v>
      </c>
      <c r="N955" s="288">
        <v>20145.413292014036</v>
      </c>
      <c r="O955" s="288">
        <v>953.27564855895184</v>
      </c>
      <c r="P955" s="288">
        <v>42178.798455637065</v>
      </c>
      <c r="Q955" s="291">
        <v>106619.71936338488</v>
      </c>
      <c r="R955" s="288">
        <v>18034.014039731861</v>
      </c>
      <c r="S955" s="288">
        <v>7775.5659790293575</v>
      </c>
      <c r="T955" s="290">
        <v>0.751</v>
      </c>
      <c r="U955" s="288">
        <v>0.75800000000000001</v>
      </c>
      <c r="V955" s="288">
        <v>0.723923076923077</v>
      </c>
      <c r="W955" s="288">
        <v>0.72750000000000004</v>
      </c>
      <c r="X955" s="288">
        <v>0.76</v>
      </c>
      <c r="Y955" s="288">
        <v>0</v>
      </c>
      <c r="Z955" s="289">
        <v>0</v>
      </c>
      <c r="AA955" s="229"/>
      <c r="AB955" s="293">
        <v>80376.992135680775</v>
      </c>
      <c r="AC955" s="294">
        <v>3.2608057727340998</v>
      </c>
      <c r="AD955" s="295">
        <v>62188.094771206634</v>
      </c>
      <c r="AE955" s="294">
        <v>2.943751594791657</v>
      </c>
      <c r="AF955" s="295">
        <v>18188.897364474142</v>
      </c>
      <c r="AG955" s="296">
        <v>0.31705417794244273</v>
      </c>
      <c r="AH955" s="229"/>
      <c r="AI955" s="205">
        <f t="shared" si="102"/>
        <v>245703.58513772921</v>
      </c>
      <c r="AJ955" s="205">
        <f t="shared" si="103"/>
        <v>232187.06470795904</v>
      </c>
      <c r="AK955" s="205">
        <f t="shared" si="104"/>
        <v>13516.520429770131</v>
      </c>
      <c r="AL955" s="229"/>
      <c r="AM955" s="52">
        <f t="shared" si="86"/>
        <v>1</v>
      </c>
      <c r="AN955" s="52">
        <f t="shared" si="87"/>
        <v>0</v>
      </c>
      <c r="AO955" s="52">
        <f t="shared" si="88"/>
        <v>1</v>
      </c>
      <c r="AP955" s="229"/>
      <c r="AQ955" s="28"/>
      <c r="AR955" s="28"/>
      <c r="AS955" s="28"/>
      <c r="AT955" s="28"/>
      <c r="AU955" s="229"/>
      <c r="AV955" s="318">
        <f t="shared" si="105"/>
        <v>245703.58513772921</v>
      </c>
      <c r="AW955" s="229"/>
      <c r="AX955" s="313"/>
      <c r="AY955" s="302"/>
      <c r="AZ955" s="14">
        <f t="shared" si="107"/>
        <v>18188.897364474142</v>
      </c>
      <c r="BA955" s="14">
        <f t="shared" si="106"/>
        <v>0.31705417794244273</v>
      </c>
      <c r="BB955" s="14">
        <f t="shared" si="89"/>
        <v>57368.420383269993</v>
      </c>
      <c r="BC955" s="302"/>
      <c r="BD955" s="302"/>
      <c r="BE955" s="302"/>
      <c r="BF955" s="302"/>
      <c r="BG955" s="302"/>
      <c r="BH955" s="302"/>
      <c r="BI955" s="302"/>
      <c r="BJ955" s="302"/>
      <c r="BK955" s="302"/>
      <c r="BL955" s="302"/>
      <c r="BM955" s="302"/>
      <c r="BN955" s="302"/>
      <c r="BO955" s="302"/>
      <c r="BP955" s="302"/>
      <c r="BQ955" s="302"/>
      <c r="BR955" s="302"/>
      <c r="BS955" s="302"/>
      <c r="BT955" s="302"/>
      <c r="BU955" s="302"/>
      <c r="BV955" s="302"/>
      <c r="BW955" s="302"/>
      <c r="BX955" s="302"/>
      <c r="BY955" s="302"/>
      <c r="BZ955" s="302"/>
      <c r="CA955" s="302"/>
      <c r="CB955" s="28"/>
      <c r="CC955" s="28"/>
      <c r="CD955" s="28"/>
      <c r="CE955" s="28"/>
      <c r="CF955" s="28"/>
      <c r="CG955" s="28"/>
      <c r="CH955" s="28"/>
      <c r="CI955" s="28"/>
      <c r="CJ955" s="28"/>
      <c r="CK955" s="28"/>
      <c r="CL955" s="28"/>
      <c r="CM955" s="28"/>
      <c r="CN955" s="28"/>
      <c r="CO955" s="28"/>
      <c r="CP955" s="28"/>
      <c r="CQ955" s="28"/>
      <c r="CR955" s="28"/>
      <c r="CS955" s="28"/>
      <c r="CT955" s="28"/>
      <c r="CU955" s="28"/>
      <c r="CV955" s="28"/>
      <c r="CW955" s="28"/>
    </row>
    <row r="956" spans="1:101" ht="14.25" customHeight="1" x14ac:dyDescent="0.2">
      <c r="A956" s="286"/>
      <c r="B956" s="52">
        <v>0.12619052588109864</v>
      </c>
      <c r="C956" s="288">
        <v>0.21614078560256986</v>
      </c>
      <c r="D956" s="288">
        <v>1.0238928713364917E-2</v>
      </c>
      <c r="E956" s="288">
        <v>1.7963862914594508E-2</v>
      </c>
      <c r="F956" s="289">
        <v>0.74247202690047487</v>
      </c>
      <c r="G956" s="92">
        <v>0.41583020199109144</v>
      </c>
      <c r="H956" s="288">
        <v>2.1989926529329504E-2</v>
      </c>
      <c r="I956" s="288">
        <v>1.759027936970714E-2</v>
      </c>
      <c r="J956" s="288">
        <v>0.9999982716827962</v>
      </c>
      <c r="K956" s="288">
        <v>0.68899840732960138</v>
      </c>
      <c r="L956" s="290">
        <v>15105.526670926041</v>
      </c>
      <c r="M956" s="288">
        <v>0</v>
      </c>
      <c r="N956" s="288">
        <v>20338.968473979683</v>
      </c>
      <c r="O956" s="288">
        <v>1060.1289011881404</v>
      </c>
      <c r="P956" s="288">
        <v>47009.53029048087</v>
      </c>
      <c r="Q956" s="291">
        <v>102575.97949470706</v>
      </c>
      <c r="R956" s="288">
        <v>25096.110702891514</v>
      </c>
      <c r="S956" s="288">
        <v>8408.6475239831689</v>
      </c>
      <c r="T956" s="290">
        <v>0.751</v>
      </c>
      <c r="U956" s="288">
        <v>0.75800000000000001</v>
      </c>
      <c r="V956" s="288">
        <v>0.723923076923077</v>
      </c>
      <c r="W956" s="288">
        <v>0.72750000000000004</v>
      </c>
      <c r="X956" s="288">
        <v>0.76</v>
      </c>
      <c r="Y956" s="288">
        <v>0</v>
      </c>
      <c r="Z956" s="289">
        <v>0</v>
      </c>
      <c r="AA956" s="229"/>
      <c r="AB956" s="293">
        <v>77879.703412388408</v>
      </c>
      <c r="AC956" s="294">
        <v>2.9693136900332715</v>
      </c>
      <c r="AD956" s="295">
        <v>59719.468302653433</v>
      </c>
      <c r="AE956" s="294">
        <v>2.7304481798303737</v>
      </c>
      <c r="AF956" s="295">
        <v>18160.235109734975</v>
      </c>
      <c r="AG956" s="296">
        <v>0.23886551020289781</v>
      </c>
      <c r="AH956" s="229"/>
      <c r="AI956" s="205">
        <f t="shared" si="102"/>
        <v>219051.66559093876</v>
      </c>
      <c r="AJ956" s="205">
        <f t="shared" si="103"/>
        <v>213325.34968038395</v>
      </c>
      <c r="AK956" s="205">
        <f t="shared" si="104"/>
        <v>5726.3159105548075</v>
      </c>
      <c r="AL956" s="229"/>
      <c r="AM956" s="52">
        <f t="shared" si="86"/>
        <v>1</v>
      </c>
      <c r="AN956" s="52">
        <f t="shared" si="87"/>
        <v>0</v>
      </c>
      <c r="AO956" s="52">
        <f t="shared" si="88"/>
        <v>1</v>
      </c>
      <c r="AP956" s="229"/>
      <c r="AQ956" s="28"/>
      <c r="AR956" s="28"/>
      <c r="AS956" s="28"/>
      <c r="AT956" s="28"/>
      <c r="AU956" s="229"/>
      <c r="AV956" s="318">
        <f t="shared" si="105"/>
        <v>219051.66559093876</v>
      </c>
      <c r="AW956" s="229"/>
      <c r="AX956" s="313"/>
      <c r="AY956" s="302"/>
      <c r="AZ956" s="14">
        <f t="shared" si="107"/>
        <v>18160.235109734975</v>
      </c>
      <c r="BA956" s="14">
        <f t="shared" si="106"/>
        <v>0.23886551020289781</v>
      </c>
      <c r="BB956" s="14">
        <f t="shared" si="89"/>
        <v>76027.029160925144</v>
      </c>
      <c r="BC956" s="302"/>
      <c r="BD956" s="302"/>
      <c r="BE956" s="302"/>
      <c r="BF956" s="302"/>
      <c r="BG956" s="302"/>
      <c r="BH956" s="302"/>
      <c r="BI956" s="302"/>
      <c r="BJ956" s="302"/>
      <c r="BK956" s="302"/>
      <c r="BL956" s="302"/>
      <c r="BM956" s="302"/>
      <c r="BN956" s="302"/>
      <c r="BO956" s="302"/>
      <c r="BP956" s="302"/>
      <c r="BQ956" s="302"/>
      <c r="BR956" s="302"/>
      <c r="BS956" s="302"/>
      <c r="BT956" s="302"/>
      <c r="BU956" s="302"/>
      <c r="BV956" s="302"/>
      <c r="BW956" s="302"/>
      <c r="BX956" s="302"/>
      <c r="BY956" s="302"/>
      <c r="BZ956" s="302"/>
      <c r="CA956" s="302"/>
      <c r="CB956" s="28"/>
      <c r="CC956" s="28"/>
      <c r="CD956" s="28"/>
      <c r="CE956" s="28"/>
      <c r="CF956" s="28"/>
      <c r="CG956" s="28"/>
      <c r="CH956" s="28"/>
      <c r="CI956" s="28"/>
      <c r="CJ956" s="28"/>
      <c r="CK956" s="28"/>
      <c r="CL956" s="28"/>
      <c r="CM956" s="28"/>
      <c r="CN956" s="28"/>
      <c r="CO956" s="28"/>
      <c r="CP956" s="28"/>
      <c r="CQ956" s="28"/>
      <c r="CR956" s="28"/>
      <c r="CS956" s="28"/>
      <c r="CT956" s="28"/>
      <c r="CU956" s="28"/>
      <c r="CV956" s="28"/>
      <c r="CW956" s="28"/>
    </row>
    <row r="957" spans="1:101" ht="14.25" customHeight="1" x14ac:dyDescent="0.2">
      <c r="A957" s="286"/>
      <c r="B957" s="52">
        <v>0.18483080323044054</v>
      </c>
      <c r="C957" s="288">
        <v>0.19843952614053173</v>
      </c>
      <c r="D957" s="288">
        <v>1.1153754214865435E-2</v>
      </c>
      <c r="E957" s="288">
        <v>1.3989934329313192E-2</v>
      </c>
      <c r="F957" s="289">
        <v>0.77559255164114638</v>
      </c>
      <c r="G957" s="92">
        <v>0.37967163325135578</v>
      </c>
      <c r="H957" s="288">
        <v>0.51822268769747515</v>
      </c>
      <c r="I957" s="288">
        <v>1.3932472625522107E-3</v>
      </c>
      <c r="J957" s="288">
        <v>0.99999691969900961</v>
      </c>
      <c r="K957" s="288">
        <v>0.76113346440333973</v>
      </c>
      <c r="L957" s="290">
        <v>11022.740143661089</v>
      </c>
      <c r="M957" s="288">
        <v>0</v>
      </c>
      <c r="N957" s="288">
        <v>19821.548758734476</v>
      </c>
      <c r="O957" s="288">
        <v>1038.1543429330454</v>
      </c>
      <c r="P957" s="288">
        <v>44867.80703640401</v>
      </c>
      <c r="Q957" s="291">
        <v>75109.968499299284</v>
      </c>
      <c r="R957" s="288">
        <v>24902.822607413353</v>
      </c>
      <c r="S957" s="288">
        <v>7936.4270671871991</v>
      </c>
      <c r="T957" s="290">
        <v>0.751</v>
      </c>
      <c r="U957" s="288">
        <v>0.75800000000000001</v>
      </c>
      <c r="V957" s="288">
        <v>0.723923076923077</v>
      </c>
      <c r="W957" s="288">
        <v>0.72750000000000004</v>
      </c>
      <c r="X957" s="288">
        <v>0.76</v>
      </c>
      <c r="Y957" s="288">
        <v>0</v>
      </c>
      <c r="Z957" s="289">
        <v>0</v>
      </c>
      <c r="AA957" s="229"/>
      <c r="AB957" s="293">
        <v>73237.574598252235</v>
      </c>
      <c r="AC957" s="294">
        <v>3.1219160044473639</v>
      </c>
      <c r="AD957" s="295">
        <v>65598.550104244452</v>
      </c>
      <c r="AE957" s="294">
        <v>3.0595854485131544</v>
      </c>
      <c r="AF957" s="295">
        <v>7639.0244940077828</v>
      </c>
      <c r="AG957" s="296">
        <v>6.2330555934209553E-2</v>
      </c>
      <c r="AH957" s="229"/>
      <c r="AI957" s="205">
        <f t="shared" si="102"/>
        <v>238954.02584648412</v>
      </c>
      <c r="AJ957" s="205">
        <f t="shared" si="103"/>
        <v>240359.994747071</v>
      </c>
      <c r="AK957" s="205">
        <f t="shared" si="104"/>
        <v>-1405.9689005868277</v>
      </c>
      <c r="AL957" s="229"/>
      <c r="AM957" s="52">
        <f t="shared" si="86"/>
        <v>0</v>
      </c>
      <c r="AN957" s="52">
        <f t="shared" si="87"/>
        <v>1</v>
      </c>
      <c r="AO957" s="52">
        <f t="shared" si="88"/>
        <v>0</v>
      </c>
      <c r="AP957" s="229"/>
      <c r="AQ957" s="28"/>
      <c r="AR957" s="28"/>
      <c r="AS957" s="28"/>
      <c r="AT957" s="28"/>
      <c r="AU957" s="229"/>
      <c r="AV957" s="318">
        <f t="shared" si="105"/>
        <v>240359.994747071</v>
      </c>
      <c r="AW957" s="229"/>
      <c r="AX957" s="313"/>
      <c r="AY957" s="302"/>
      <c r="AZ957" s="14">
        <f t="shared" si="107"/>
        <v>7639.0244940077828</v>
      </c>
      <c r="BA957" s="14">
        <f t="shared" si="106"/>
        <v>6.2330555934209553E-2</v>
      </c>
      <c r="BB957" s="14">
        <f t="shared" si="89"/>
        <v>122556.65587309762</v>
      </c>
      <c r="BC957" s="302"/>
      <c r="BD957" s="302"/>
      <c r="BE957" s="302"/>
      <c r="BF957" s="302"/>
      <c r="BG957" s="302"/>
      <c r="BH957" s="302"/>
      <c r="BI957" s="302"/>
      <c r="BJ957" s="302"/>
      <c r="BK957" s="302"/>
      <c r="BL957" s="302"/>
      <c r="BM957" s="302"/>
      <c r="BN957" s="302"/>
      <c r="BO957" s="302"/>
      <c r="BP957" s="302"/>
      <c r="BQ957" s="302"/>
      <c r="BR957" s="302"/>
      <c r="BS957" s="302"/>
      <c r="BT957" s="302"/>
      <c r="BU957" s="302"/>
      <c r="BV957" s="302"/>
      <c r="BW957" s="302"/>
      <c r="BX957" s="302"/>
      <c r="BY957" s="302"/>
      <c r="BZ957" s="302"/>
      <c r="CA957" s="302"/>
      <c r="CB957" s="28"/>
      <c r="CC957" s="28"/>
      <c r="CD957" s="28"/>
      <c r="CE957" s="28"/>
      <c r="CF957" s="28"/>
      <c r="CG957" s="28"/>
      <c r="CH957" s="28"/>
      <c r="CI957" s="28"/>
      <c r="CJ957" s="28"/>
      <c r="CK957" s="28"/>
      <c r="CL957" s="28"/>
      <c r="CM957" s="28"/>
      <c r="CN957" s="28"/>
      <c r="CO957" s="28"/>
      <c r="CP957" s="28"/>
      <c r="CQ957" s="28"/>
      <c r="CR957" s="28"/>
      <c r="CS957" s="28"/>
      <c r="CT957" s="28"/>
      <c r="CU957" s="28"/>
      <c r="CV957" s="28"/>
      <c r="CW957" s="28"/>
    </row>
    <row r="958" spans="1:101" ht="14.25" customHeight="1" x14ac:dyDescent="0.2">
      <c r="A958" s="286"/>
      <c r="B958" s="52">
        <v>0.16859684042583722</v>
      </c>
      <c r="C958" s="288">
        <v>0.16956651980151177</v>
      </c>
      <c r="D958" s="288">
        <v>2.1966798373361129E-2</v>
      </c>
      <c r="E958" s="288">
        <v>2.2809116177594957E-2</v>
      </c>
      <c r="F958" s="289">
        <v>0.76940307344154657</v>
      </c>
      <c r="G958" s="92">
        <v>0.45227546445789302</v>
      </c>
      <c r="H958" s="288">
        <v>0.48718993786929432</v>
      </c>
      <c r="I958" s="288">
        <v>1.8644959594490973E-2</v>
      </c>
      <c r="J958" s="288">
        <v>0.73039882691370306</v>
      </c>
      <c r="K958" s="288">
        <v>0.71744208896203376</v>
      </c>
      <c r="L958" s="290">
        <v>9551.9459786386888</v>
      </c>
      <c r="M958" s="288">
        <v>0</v>
      </c>
      <c r="N958" s="288">
        <v>14842.819637340626</v>
      </c>
      <c r="O958" s="288">
        <v>1022.6257822815179</v>
      </c>
      <c r="P958" s="288">
        <v>33191.541185674039</v>
      </c>
      <c r="Q958" s="291">
        <v>63539.95000980336</v>
      </c>
      <c r="R958" s="288">
        <v>24204.812963762186</v>
      </c>
      <c r="S958" s="288">
        <v>11638.273873961622</v>
      </c>
      <c r="T958" s="290">
        <v>0.751</v>
      </c>
      <c r="U958" s="288">
        <v>0.75800000000000001</v>
      </c>
      <c r="V958" s="288">
        <v>0.723923076923077</v>
      </c>
      <c r="W958" s="288">
        <v>0.72750000000000004</v>
      </c>
      <c r="X958" s="288">
        <v>0.76</v>
      </c>
      <c r="Y958" s="288">
        <v>0</v>
      </c>
      <c r="Z958" s="289">
        <v>0</v>
      </c>
      <c r="AA958" s="229"/>
      <c r="AB958" s="293">
        <v>99325.9654494899</v>
      </c>
      <c r="AC958" s="294">
        <v>3.0932673517568077</v>
      </c>
      <c r="AD958" s="295">
        <v>89823.008639810942</v>
      </c>
      <c r="AE958" s="294">
        <v>2.8592513484518829</v>
      </c>
      <c r="AF958" s="295">
        <v>9502.956809678959</v>
      </c>
      <c r="AG958" s="296">
        <v>0.23401600330492478</v>
      </c>
      <c r="AH958" s="229"/>
      <c r="AI958" s="205">
        <f t="shared" si="102"/>
        <v>210000.76972619089</v>
      </c>
      <c r="AJ958" s="205">
        <f t="shared" si="103"/>
        <v>196102.12620537734</v>
      </c>
      <c r="AK958" s="205">
        <f t="shared" si="104"/>
        <v>13898.643520813519</v>
      </c>
      <c r="AL958" s="229"/>
      <c r="AM958" s="52">
        <f t="shared" si="86"/>
        <v>1</v>
      </c>
      <c r="AN958" s="52">
        <f t="shared" si="87"/>
        <v>0</v>
      </c>
      <c r="AO958" s="52">
        <f t="shared" si="88"/>
        <v>1</v>
      </c>
      <c r="AP958" s="229"/>
      <c r="AQ958" s="28"/>
      <c r="AR958" s="28"/>
      <c r="AS958" s="28"/>
      <c r="AT958" s="28"/>
      <c r="AU958" s="229"/>
      <c r="AV958" s="318">
        <f t="shared" si="105"/>
        <v>210000.76972619089</v>
      </c>
      <c r="AW958" s="229"/>
      <c r="AX958" s="313"/>
      <c r="AY958" s="302"/>
      <c r="AZ958" s="14">
        <f t="shared" si="107"/>
        <v>9502.956809678959</v>
      </c>
      <c r="BA958" s="14">
        <f t="shared" si="106"/>
        <v>0.23401600330492478</v>
      </c>
      <c r="BB958" s="14">
        <f t="shared" si="89"/>
        <v>40608.149337960138</v>
      </c>
      <c r="BC958" s="302"/>
      <c r="BD958" s="302"/>
      <c r="BE958" s="302"/>
      <c r="BF958" s="302"/>
      <c r="BG958" s="302"/>
      <c r="BH958" s="302"/>
      <c r="BI958" s="302"/>
      <c r="BJ958" s="302"/>
      <c r="BK958" s="302"/>
      <c r="BL958" s="302"/>
      <c r="BM958" s="302"/>
      <c r="BN958" s="302"/>
      <c r="BO958" s="302"/>
      <c r="BP958" s="302"/>
      <c r="BQ958" s="302"/>
      <c r="BR958" s="302"/>
      <c r="BS958" s="302"/>
      <c r="BT958" s="302"/>
      <c r="BU958" s="302"/>
      <c r="BV958" s="302"/>
      <c r="BW958" s="302"/>
      <c r="BX958" s="302"/>
      <c r="BY958" s="302"/>
      <c r="BZ958" s="302"/>
      <c r="CA958" s="302"/>
      <c r="CB958" s="28"/>
      <c r="CC958" s="28"/>
      <c r="CD958" s="28"/>
      <c r="CE958" s="28"/>
      <c r="CF958" s="28"/>
      <c r="CG958" s="28"/>
      <c r="CH958" s="28"/>
      <c r="CI958" s="28"/>
      <c r="CJ958" s="28"/>
      <c r="CK958" s="28"/>
      <c r="CL958" s="28"/>
      <c r="CM958" s="28"/>
      <c r="CN958" s="28"/>
      <c r="CO958" s="28"/>
      <c r="CP958" s="28"/>
      <c r="CQ958" s="28"/>
      <c r="CR958" s="28"/>
      <c r="CS958" s="28"/>
      <c r="CT958" s="28"/>
      <c r="CU958" s="28"/>
      <c r="CV958" s="28"/>
      <c r="CW958" s="28"/>
    </row>
    <row r="959" spans="1:101" ht="14.25" customHeight="1" x14ac:dyDescent="0.2">
      <c r="A959" s="286"/>
      <c r="B959" s="52">
        <v>0.17900530863230157</v>
      </c>
      <c r="C959" s="288">
        <v>0.83181934255688905</v>
      </c>
      <c r="D959" s="288">
        <v>1.0474442583505661E-2</v>
      </c>
      <c r="E959" s="288">
        <v>1.3372332138773643E-2</v>
      </c>
      <c r="F959" s="289">
        <v>0.75310071939098999</v>
      </c>
      <c r="G959" s="92">
        <v>0.39627435230983876</v>
      </c>
      <c r="H959" s="288">
        <v>0.27606295896411925</v>
      </c>
      <c r="I959" s="288">
        <v>1.4486650070406459E-2</v>
      </c>
      <c r="J959" s="288">
        <v>0.68902887139006452</v>
      </c>
      <c r="K959" s="288">
        <v>0.75702519858318196</v>
      </c>
      <c r="L959" s="290">
        <v>7372.5613669983713</v>
      </c>
      <c r="M959" s="288">
        <v>0</v>
      </c>
      <c r="N959" s="288">
        <v>17972.683459579112</v>
      </c>
      <c r="O959" s="288">
        <v>965.05173142273452</v>
      </c>
      <c r="P959" s="288">
        <v>53691.331811548618</v>
      </c>
      <c r="Q959" s="291">
        <v>116685.26884267629</v>
      </c>
      <c r="R959" s="288">
        <v>18572.571023323064</v>
      </c>
      <c r="S959" s="288">
        <v>5968.6780052922759</v>
      </c>
      <c r="T959" s="290">
        <v>0.751</v>
      </c>
      <c r="U959" s="288">
        <v>0.75800000000000001</v>
      </c>
      <c r="V959" s="288">
        <v>0.723923076923077</v>
      </c>
      <c r="W959" s="288">
        <v>0.72750000000000004</v>
      </c>
      <c r="X959" s="288">
        <v>0.76</v>
      </c>
      <c r="Y959" s="288">
        <v>0</v>
      </c>
      <c r="Z959" s="289">
        <v>0</v>
      </c>
      <c r="AA959" s="229"/>
      <c r="AB959" s="293">
        <v>55042.277069132593</v>
      </c>
      <c r="AC959" s="294">
        <v>3.0180977473211579</v>
      </c>
      <c r="AD959" s="295">
        <v>48482.600881429062</v>
      </c>
      <c r="AE959" s="294">
        <v>3.0406200266952155</v>
      </c>
      <c r="AF959" s="295">
        <v>6559.6761877035315</v>
      </c>
      <c r="AG959" s="296">
        <v>-2.2522279374057597E-2</v>
      </c>
      <c r="AH959" s="229"/>
      <c r="AI959" s="205">
        <f t="shared" si="102"/>
        <v>246767.49766298319</v>
      </c>
      <c r="AJ959" s="205">
        <f t="shared" si="103"/>
        <v>255579.40178809248</v>
      </c>
      <c r="AK959" s="205">
        <f t="shared" si="104"/>
        <v>-8811.9041251092913</v>
      </c>
      <c r="AL959" s="229"/>
      <c r="AM959" s="52">
        <f t="shared" si="86"/>
        <v>0</v>
      </c>
      <c r="AN959" s="52">
        <f t="shared" si="87"/>
        <v>1</v>
      </c>
      <c r="AO959" s="52">
        <f t="shared" si="88"/>
        <v>0</v>
      </c>
      <c r="AP959" s="229"/>
      <c r="AQ959" s="28"/>
      <c r="AR959" s="28"/>
      <c r="AS959" s="28"/>
      <c r="AT959" s="28"/>
      <c r="AU959" s="229"/>
      <c r="AV959" s="318">
        <f t="shared" si="105"/>
        <v>255579.40178809248</v>
      </c>
      <c r="AW959" s="229"/>
      <c r="AX959" s="313"/>
      <c r="AY959" s="302"/>
      <c r="AZ959" s="14">
        <f t="shared" si="107"/>
        <v>6559.6761877035315</v>
      </c>
      <c r="BA959" s="14">
        <f t="shared" si="106"/>
        <v>-2.2522279374057597E-2</v>
      </c>
      <c r="BB959" s="14">
        <f t="shared" si="89"/>
        <v>-291252.76703828335</v>
      </c>
      <c r="BC959" s="302"/>
      <c r="BD959" s="302"/>
      <c r="BE959" s="302"/>
      <c r="BF959" s="302"/>
      <c r="BG959" s="302"/>
      <c r="BH959" s="302"/>
      <c r="BI959" s="302"/>
      <c r="BJ959" s="302"/>
      <c r="BK959" s="302"/>
      <c r="BL959" s="302"/>
      <c r="BM959" s="302"/>
      <c r="BN959" s="302"/>
      <c r="BO959" s="302"/>
      <c r="BP959" s="302"/>
      <c r="BQ959" s="302"/>
      <c r="BR959" s="302"/>
      <c r="BS959" s="302"/>
      <c r="BT959" s="302"/>
      <c r="BU959" s="302"/>
      <c r="BV959" s="302"/>
      <c r="BW959" s="302"/>
      <c r="BX959" s="302"/>
      <c r="BY959" s="302"/>
      <c r="BZ959" s="302"/>
      <c r="CA959" s="302"/>
      <c r="CB959" s="28"/>
      <c r="CC959" s="28"/>
      <c r="CD959" s="28"/>
      <c r="CE959" s="28"/>
      <c r="CF959" s="28"/>
      <c r="CG959" s="28"/>
      <c r="CH959" s="28"/>
      <c r="CI959" s="28"/>
      <c r="CJ959" s="28"/>
      <c r="CK959" s="28"/>
      <c r="CL959" s="28"/>
      <c r="CM959" s="28"/>
      <c r="CN959" s="28"/>
      <c r="CO959" s="28"/>
      <c r="CP959" s="28"/>
      <c r="CQ959" s="28"/>
      <c r="CR959" s="28"/>
      <c r="CS959" s="28"/>
      <c r="CT959" s="28"/>
      <c r="CU959" s="28"/>
      <c r="CV959" s="28"/>
      <c r="CW959" s="28"/>
    </row>
    <row r="960" spans="1:101" ht="14.25" customHeight="1" x14ac:dyDescent="0.2">
      <c r="A960" s="286"/>
      <c r="B960" s="52">
        <v>0.16113174961337573</v>
      </c>
      <c r="C960" s="288">
        <v>0.41689299486835174</v>
      </c>
      <c r="D960" s="288">
        <v>9.0373168099186531E-3</v>
      </c>
      <c r="E960" s="288">
        <v>1.1443186062819242E-2</v>
      </c>
      <c r="F960" s="289">
        <v>0.79318504606755436</v>
      </c>
      <c r="G960" s="92">
        <v>0.36982433223063865</v>
      </c>
      <c r="H960" s="288">
        <v>0.19131270914833132</v>
      </c>
      <c r="I960" s="288">
        <v>1.3437312544462222E-2</v>
      </c>
      <c r="J960" s="288">
        <v>0.99999655858094783</v>
      </c>
      <c r="K960" s="288">
        <v>0.73171837055258826</v>
      </c>
      <c r="L960" s="290">
        <v>14239.01606200471</v>
      </c>
      <c r="M960" s="288">
        <v>0</v>
      </c>
      <c r="N960" s="288">
        <v>20048.036014830439</v>
      </c>
      <c r="O960" s="288">
        <v>1238.7437894093516</v>
      </c>
      <c r="P960" s="288">
        <v>52652.910542601036</v>
      </c>
      <c r="Q960" s="291">
        <v>89261.065369960357</v>
      </c>
      <c r="R960" s="288">
        <v>32471.297543230732</v>
      </c>
      <c r="S960" s="288">
        <v>5862.5409567549523</v>
      </c>
      <c r="T960" s="290">
        <v>0.751</v>
      </c>
      <c r="U960" s="288">
        <v>0.75800000000000001</v>
      </c>
      <c r="V960" s="288">
        <v>0.723923076923077</v>
      </c>
      <c r="W960" s="288">
        <v>0.72750000000000004</v>
      </c>
      <c r="X960" s="288">
        <v>0.76</v>
      </c>
      <c r="Y960" s="288">
        <v>0</v>
      </c>
      <c r="Z960" s="289">
        <v>0</v>
      </c>
      <c r="AA960" s="229"/>
      <c r="AB960" s="293">
        <v>62797.478697348517</v>
      </c>
      <c r="AC960" s="294">
        <v>3.2036728383177087</v>
      </c>
      <c r="AD960" s="295">
        <v>46372.014416114042</v>
      </c>
      <c r="AE960" s="294">
        <v>2.9243801234979347</v>
      </c>
      <c r="AF960" s="295">
        <v>16425.464281234475</v>
      </c>
      <c r="AG960" s="296">
        <v>0.27929271481977391</v>
      </c>
      <c r="AH960" s="229"/>
      <c r="AI960" s="205">
        <f t="shared" si="102"/>
        <v>257569.80513442238</v>
      </c>
      <c r="AJ960" s="205">
        <f t="shared" si="103"/>
        <v>246065.99793367941</v>
      </c>
      <c r="AK960" s="205">
        <f t="shared" si="104"/>
        <v>11503.807200742915</v>
      </c>
      <c r="AL960" s="229"/>
      <c r="AM960" s="52">
        <f t="shared" si="86"/>
        <v>1</v>
      </c>
      <c r="AN960" s="52">
        <f t="shared" si="87"/>
        <v>0</v>
      </c>
      <c r="AO960" s="52">
        <f t="shared" si="88"/>
        <v>1</v>
      </c>
      <c r="AP960" s="229"/>
      <c r="AQ960" s="28"/>
      <c r="AR960" s="28"/>
      <c r="AS960" s="28"/>
      <c r="AT960" s="28"/>
      <c r="AU960" s="229"/>
      <c r="AV960" s="318">
        <f t="shared" si="105"/>
        <v>257569.80513442238</v>
      </c>
      <c r="AW960" s="229"/>
      <c r="AX960" s="313"/>
      <c r="AY960" s="302"/>
      <c r="AZ960" s="14">
        <f t="shared" si="107"/>
        <v>16425.464281234475</v>
      </c>
      <c r="BA960" s="14">
        <f t="shared" si="106"/>
        <v>0.27929271481977391</v>
      </c>
      <c r="BB960" s="14">
        <f t="shared" si="89"/>
        <v>58810.929930033228</v>
      </c>
      <c r="BC960" s="302"/>
      <c r="BD960" s="302"/>
      <c r="BE960" s="302"/>
      <c r="BF960" s="302"/>
      <c r="BG960" s="302"/>
      <c r="BH960" s="302"/>
      <c r="BI960" s="302"/>
      <c r="BJ960" s="302"/>
      <c r="BK960" s="302"/>
      <c r="BL960" s="302"/>
      <c r="BM960" s="302"/>
      <c r="BN960" s="302"/>
      <c r="BO960" s="302"/>
      <c r="BP960" s="302"/>
      <c r="BQ960" s="302"/>
      <c r="BR960" s="302"/>
      <c r="BS960" s="302"/>
      <c r="BT960" s="302"/>
      <c r="BU960" s="302"/>
      <c r="BV960" s="302"/>
      <c r="BW960" s="302"/>
      <c r="BX960" s="302"/>
      <c r="BY960" s="302"/>
      <c r="BZ960" s="302"/>
      <c r="CA960" s="302"/>
      <c r="CB960" s="28"/>
      <c r="CC960" s="28"/>
      <c r="CD960" s="28"/>
      <c r="CE960" s="28"/>
      <c r="CF960" s="28"/>
      <c r="CG960" s="28"/>
      <c r="CH960" s="28"/>
      <c r="CI960" s="28"/>
      <c r="CJ960" s="28"/>
      <c r="CK960" s="28"/>
      <c r="CL960" s="28"/>
      <c r="CM960" s="28"/>
      <c r="CN960" s="28"/>
      <c r="CO960" s="28"/>
      <c r="CP960" s="28"/>
      <c r="CQ960" s="28"/>
      <c r="CR960" s="28"/>
      <c r="CS960" s="28"/>
      <c r="CT960" s="28"/>
      <c r="CU960" s="28"/>
      <c r="CV960" s="28"/>
      <c r="CW960" s="28"/>
    </row>
    <row r="961" spans="1:101" ht="14.25" customHeight="1" x14ac:dyDescent="0.2">
      <c r="A961" s="286"/>
      <c r="B961" s="52">
        <v>0.18224519953938767</v>
      </c>
      <c r="C961" s="288">
        <v>0.63801508269608365</v>
      </c>
      <c r="D961" s="288">
        <v>1.344195611964924E-2</v>
      </c>
      <c r="E961" s="288">
        <v>8.9003234223378868E-3</v>
      </c>
      <c r="F961" s="289">
        <v>0.76773857332089535</v>
      </c>
      <c r="G961" s="92">
        <v>0.3734727783158569</v>
      </c>
      <c r="H961" s="288">
        <v>0.16027971096652038</v>
      </c>
      <c r="I961" s="288">
        <v>3.2833511449959385E-2</v>
      </c>
      <c r="J961" s="288">
        <v>0.99999999999999956</v>
      </c>
      <c r="K961" s="288">
        <v>0.75704642284292656</v>
      </c>
      <c r="L961" s="290">
        <v>10192.666489142228</v>
      </c>
      <c r="M961" s="288">
        <v>0</v>
      </c>
      <c r="N961" s="288">
        <v>20502.472199598044</v>
      </c>
      <c r="O961" s="288">
        <v>1726.3841744722993</v>
      </c>
      <c r="P961" s="288">
        <v>61408.714532525039</v>
      </c>
      <c r="Q961" s="291">
        <v>102358.2832806298</v>
      </c>
      <c r="R961" s="288">
        <v>26126.035162657048</v>
      </c>
      <c r="S961" s="288">
        <v>8203.0655601274248</v>
      </c>
      <c r="T961" s="290">
        <v>0.751</v>
      </c>
      <c r="U961" s="288">
        <v>0.75800000000000001</v>
      </c>
      <c r="V961" s="288">
        <v>0.723923076923077</v>
      </c>
      <c r="W961" s="288">
        <v>0.72750000000000004</v>
      </c>
      <c r="X961" s="288">
        <v>0.76</v>
      </c>
      <c r="Y961" s="288">
        <v>0</v>
      </c>
      <c r="Z961" s="289">
        <v>0</v>
      </c>
      <c r="AA961" s="229"/>
      <c r="AB961" s="293">
        <v>76160.349890880199</v>
      </c>
      <c r="AC961" s="294">
        <v>3.0855732898422992</v>
      </c>
      <c r="AD961" s="295">
        <v>66545.610616614867</v>
      </c>
      <c r="AE961" s="294">
        <v>3.0407179381237759</v>
      </c>
      <c r="AF961" s="295">
        <v>9614.7392742653319</v>
      </c>
      <c r="AG961" s="296">
        <v>4.4855351718523284E-2</v>
      </c>
      <c r="AH961" s="229"/>
      <c r="AI961" s="205">
        <f t="shared" si="102"/>
        <v>232396.97909334974</v>
      </c>
      <c r="AJ961" s="205">
        <f t="shared" si="103"/>
        <v>237526.18319576274</v>
      </c>
      <c r="AK961" s="205">
        <f t="shared" si="104"/>
        <v>-5129.2041024130031</v>
      </c>
      <c r="AL961" s="229"/>
      <c r="AM961" s="52">
        <f t="shared" si="86"/>
        <v>0</v>
      </c>
      <c r="AN961" s="52">
        <f t="shared" si="87"/>
        <v>1</v>
      </c>
      <c r="AO961" s="52">
        <f t="shared" si="88"/>
        <v>0</v>
      </c>
      <c r="AP961" s="229"/>
      <c r="AQ961" s="28"/>
      <c r="AR961" s="28"/>
      <c r="AS961" s="28"/>
      <c r="AT961" s="28"/>
      <c r="AU961" s="229"/>
      <c r="AV961" s="318">
        <f t="shared" si="105"/>
        <v>237526.18319576274</v>
      </c>
      <c r="AW961" s="229"/>
      <c r="AX961" s="313"/>
      <c r="AY961" s="302"/>
      <c r="AZ961" s="14">
        <f t="shared" si="107"/>
        <v>9614.7392742653319</v>
      </c>
      <c r="BA961" s="14">
        <f t="shared" si="106"/>
        <v>4.4855351718523284E-2</v>
      </c>
      <c r="BB961" s="14">
        <f t="shared" si="89"/>
        <v>214349.8803576401</v>
      </c>
      <c r="BC961" s="302"/>
      <c r="BD961" s="302"/>
      <c r="BE961" s="302"/>
      <c r="BF961" s="302"/>
      <c r="BG961" s="302"/>
      <c r="BH961" s="302"/>
      <c r="BI961" s="302"/>
      <c r="BJ961" s="302"/>
      <c r="BK961" s="302"/>
      <c r="BL961" s="302"/>
      <c r="BM961" s="302"/>
      <c r="BN961" s="302"/>
      <c r="BO961" s="302"/>
      <c r="BP961" s="302"/>
      <c r="BQ961" s="302"/>
      <c r="BR961" s="302"/>
      <c r="BS961" s="302"/>
      <c r="BT961" s="302"/>
      <c r="BU961" s="302"/>
      <c r="BV961" s="302"/>
      <c r="BW961" s="302"/>
      <c r="BX961" s="302"/>
      <c r="BY961" s="302"/>
      <c r="BZ961" s="302"/>
      <c r="CA961" s="302"/>
      <c r="CB961" s="28"/>
      <c r="CC961" s="28"/>
      <c r="CD961" s="28"/>
      <c r="CE961" s="28"/>
      <c r="CF961" s="28"/>
      <c r="CG961" s="28"/>
      <c r="CH961" s="28"/>
      <c r="CI961" s="28"/>
      <c r="CJ961" s="28"/>
      <c r="CK961" s="28"/>
      <c r="CL961" s="28"/>
      <c r="CM961" s="28"/>
      <c r="CN961" s="28"/>
      <c r="CO961" s="28"/>
      <c r="CP961" s="28"/>
      <c r="CQ961" s="28"/>
      <c r="CR961" s="28"/>
      <c r="CS961" s="28"/>
      <c r="CT961" s="28"/>
      <c r="CU961" s="28"/>
      <c r="CV961" s="28"/>
      <c r="CW961" s="28"/>
    </row>
    <row r="962" spans="1:101" ht="14.25" customHeight="1" x14ac:dyDescent="0.2">
      <c r="A962" s="286"/>
      <c r="B962" s="52">
        <v>0.14760251783104442</v>
      </c>
      <c r="C962" s="288">
        <v>0.19828082987357334</v>
      </c>
      <c r="D962" s="288">
        <v>1.4098739930347378E-2</v>
      </c>
      <c r="E962" s="288">
        <v>1.264690517778619E-2</v>
      </c>
      <c r="F962" s="289">
        <v>0.80315504570414564</v>
      </c>
      <c r="G962" s="92">
        <v>0.37877293304751564</v>
      </c>
      <c r="H962" s="288">
        <v>0.46950992110900308</v>
      </c>
      <c r="I962" s="288">
        <v>1.4530596739040341E-2</v>
      </c>
      <c r="J962" s="288">
        <v>8.2298047385374343E-2</v>
      </c>
      <c r="K962" s="288">
        <v>0.80749498591447488</v>
      </c>
      <c r="L962" s="290">
        <v>14108.844833376941</v>
      </c>
      <c r="M962" s="288">
        <v>0</v>
      </c>
      <c r="N962" s="288">
        <v>23889.581678023151</v>
      </c>
      <c r="O962" s="288">
        <v>1388.3151799992006</v>
      </c>
      <c r="P962" s="288">
        <v>35700.285553079135</v>
      </c>
      <c r="Q962" s="291">
        <v>126366.53328928028</v>
      </c>
      <c r="R962" s="288">
        <v>22008.309887384945</v>
      </c>
      <c r="S962" s="288">
        <v>8510.3987002839622</v>
      </c>
      <c r="T962" s="290">
        <v>0.751</v>
      </c>
      <c r="U962" s="288">
        <v>0.75800000000000001</v>
      </c>
      <c r="V962" s="288">
        <v>0.723923076923077</v>
      </c>
      <c r="W962" s="288">
        <v>0.72750000000000004</v>
      </c>
      <c r="X962" s="288">
        <v>0.76</v>
      </c>
      <c r="Y962" s="288">
        <v>0</v>
      </c>
      <c r="Z962" s="289">
        <v>0</v>
      </c>
      <c r="AA962" s="229"/>
      <c r="AB962" s="293">
        <v>82906.216202980562</v>
      </c>
      <c r="AC962" s="294">
        <v>3.2502214941934997</v>
      </c>
      <c r="AD962" s="295">
        <v>73654.890835995422</v>
      </c>
      <c r="AE962" s="294">
        <v>3.2754531405657894</v>
      </c>
      <c r="AF962" s="295">
        <v>9251.3253669851401</v>
      </c>
      <c r="AG962" s="296">
        <v>-2.5231646372289696E-2</v>
      </c>
      <c r="AH962" s="229"/>
      <c r="AI962" s="205">
        <f t="shared" si="102"/>
        <v>242115.93321636942</v>
      </c>
      <c r="AJ962" s="205">
        <f t="shared" si="103"/>
        <v>253890.42322058353</v>
      </c>
      <c r="AK962" s="205">
        <f t="shared" si="104"/>
        <v>-11774.490004214109</v>
      </c>
      <c r="AL962" s="229"/>
      <c r="AM962" s="52">
        <f t="shared" si="86"/>
        <v>0</v>
      </c>
      <c r="AN962" s="52">
        <f t="shared" si="87"/>
        <v>1</v>
      </c>
      <c r="AO962" s="52">
        <f t="shared" si="88"/>
        <v>0</v>
      </c>
      <c r="AP962" s="229"/>
      <c r="AQ962" s="28"/>
      <c r="AR962" s="28"/>
      <c r="AS962" s="28"/>
      <c r="AT962" s="28"/>
      <c r="AU962" s="229"/>
      <c r="AV962" s="318">
        <f t="shared" si="105"/>
        <v>253890.42322058353</v>
      </c>
      <c r="AW962" s="229"/>
      <c r="AX962" s="313"/>
      <c r="AY962" s="302"/>
      <c r="AZ962" s="14">
        <f t="shared" si="107"/>
        <v>9251.3253669851401</v>
      </c>
      <c r="BA962" s="14">
        <f t="shared" si="106"/>
        <v>-2.5231646372289696E-2</v>
      </c>
      <c r="BB962" s="14">
        <f t="shared" si="89"/>
        <v>-366655.63675405976</v>
      </c>
      <c r="BC962" s="302"/>
      <c r="BD962" s="302"/>
      <c r="BE962" s="302"/>
      <c r="BF962" s="302"/>
      <c r="BG962" s="302"/>
      <c r="BH962" s="302"/>
      <c r="BI962" s="302"/>
      <c r="BJ962" s="302"/>
      <c r="BK962" s="302"/>
      <c r="BL962" s="302"/>
      <c r="BM962" s="302"/>
      <c r="BN962" s="302"/>
      <c r="BO962" s="302"/>
      <c r="BP962" s="302"/>
      <c r="BQ962" s="302"/>
      <c r="BR962" s="302"/>
      <c r="BS962" s="302"/>
      <c r="BT962" s="302"/>
      <c r="BU962" s="302"/>
      <c r="BV962" s="302"/>
      <c r="BW962" s="302"/>
      <c r="BX962" s="302"/>
      <c r="BY962" s="302"/>
      <c r="BZ962" s="302"/>
      <c r="CA962" s="302"/>
      <c r="CB962" s="28"/>
      <c r="CC962" s="28"/>
      <c r="CD962" s="28"/>
      <c r="CE962" s="28"/>
      <c r="CF962" s="28"/>
      <c r="CG962" s="28"/>
      <c r="CH962" s="28"/>
      <c r="CI962" s="28"/>
      <c r="CJ962" s="28"/>
      <c r="CK962" s="28"/>
      <c r="CL962" s="28"/>
      <c r="CM962" s="28"/>
      <c r="CN962" s="28"/>
      <c r="CO962" s="28"/>
      <c r="CP962" s="28"/>
      <c r="CQ962" s="28"/>
      <c r="CR962" s="28"/>
      <c r="CS962" s="28"/>
      <c r="CT962" s="28"/>
      <c r="CU962" s="28"/>
      <c r="CV962" s="28"/>
      <c r="CW962" s="28"/>
    </row>
    <row r="963" spans="1:101" ht="14.25" customHeight="1" x14ac:dyDescent="0.2">
      <c r="A963" s="286"/>
      <c r="B963" s="52">
        <v>0.14859278564697809</v>
      </c>
      <c r="C963" s="288">
        <v>0.92646391527762439</v>
      </c>
      <c r="D963" s="288">
        <v>1.9902889599635487E-2</v>
      </c>
      <c r="E963" s="288">
        <v>8.5397079985101536E-3</v>
      </c>
      <c r="F963" s="289">
        <v>0.77930492529404083</v>
      </c>
      <c r="G963" s="92">
        <v>0.3541101668560469</v>
      </c>
      <c r="H963" s="288">
        <v>0.71056457787282623</v>
      </c>
      <c r="I963" s="288">
        <v>1.7279543327232916E-2</v>
      </c>
      <c r="J963" s="288">
        <v>0.99999999989770338</v>
      </c>
      <c r="K963" s="288">
        <v>0.77449959063946905</v>
      </c>
      <c r="L963" s="290">
        <v>14075.146924473631</v>
      </c>
      <c r="M963" s="288">
        <v>0</v>
      </c>
      <c r="N963" s="288">
        <v>18941.393779301645</v>
      </c>
      <c r="O963" s="288">
        <v>1297.7556166661868</v>
      </c>
      <c r="P963" s="288">
        <v>37713.450282595171</v>
      </c>
      <c r="Q963" s="291">
        <v>100754.16531538166</v>
      </c>
      <c r="R963" s="288">
        <v>26686.542957046371</v>
      </c>
      <c r="S963" s="288">
        <v>8769.7454438722252</v>
      </c>
      <c r="T963" s="290">
        <v>0.751</v>
      </c>
      <c r="U963" s="288">
        <v>0.75800000000000001</v>
      </c>
      <c r="V963" s="288">
        <v>0.723923076923077</v>
      </c>
      <c r="W963" s="288">
        <v>0.72750000000000004</v>
      </c>
      <c r="X963" s="288">
        <v>0.76</v>
      </c>
      <c r="Y963" s="288">
        <v>0</v>
      </c>
      <c r="Z963" s="289">
        <v>0</v>
      </c>
      <c r="AA963" s="229"/>
      <c r="AB963" s="293">
        <v>85916.462201552727</v>
      </c>
      <c r="AC963" s="294">
        <v>3.1391279460064965</v>
      </c>
      <c r="AD963" s="295">
        <v>75901.155009601993</v>
      </c>
      <c r="AE963" s="294">
        <v>3.1214729884404409</v>
      </c>
      <c r="AF963" s="295">
        <v>10015.307191950735</v>
      </c>
      <c r="AG963" s="296">
        <v>1.7654957566055618E-2</v>
      </c>
      <c r="AH963" s="229"/>
      <c r="AI963" s="205">
        <f t="shared" si="102"/>
        <v>227996.33239909689</v>
      </c>
      <c r="AJ963" s="205">
        <f t="shared" si="103"/>
        <v>236246.1438344421</v>
      </c>
      <c r="AK963" s="205">
        <f t="shared" si="104"/>
        <v>-8249.8114353451729</v>
      </c>
      <c r="AL963" s="229"/>
      <c r="AM963" s="52">
        <f t="shared" si="86"/>
        <v>0</v>
      </c>
      <c r="AN963" s="52">
        <f t="shared" si="87"/>
        <v>1</v>
      </c>
      <c r="AO963" s="52">
        <f t="shared" si="88"/>
        <v>0</v>
      </c>
      <c r="AP963" s="229"/>
      <c r="AQ963" s="28"/>
      <c r="AR963" s="28"/>
      <c r="AS963" s="28"/>
      <c r="AT963" s="28"/>
      <c r="AU963" s="229"/>
      <c r="AV963" s="318">
        <f t="shared" si="105"/>
        <v>236246.1438344421</v>
      </c>
      <c r="AW963" s="229"/>
      <c r="AX963" s="313"/>
      <c r="AY963" s="302"/>
      <c r="AZ963" s="14">
        <f t="shared" si="107"/>
        <v>10015.307191950735</v>
      </c>
      <c r="BA963" s="14">
        <f t="shared" si="106"/>
        <v>1.7654957566055618E-2</v>
      </c>
      <c r="BB963" s="14">
        <f t="shared" si="89"/>
        <v>567280.16221385368</v>
      </c>
      <c r="BC963" s="302"/>
      <c r="BD963" s="302"/>
      <c r="BE963" s="302"/>
      <c r="BF963" s="302"/>
      <c r="BG963" s="302"/>
      <c r="BH963" s="302"/>
      <c r="BI963" s="302"/>
      <c r="BJ963" s="302"/>
      <c r="BK963" s="302"/>
      <c r="BL963" s="302"/>
      <c r="BM963" s="302"/>
      <c r="BN963" s="302"/>
      <c r="BO963" s="302"/>
      <c r="BP963" s="302"/>
      <c r="BQ963" s="302"/>
      <c r="BR963" s="302"/>
      <c r="BS963" s="302"/>
      <c r="BT963" s="302"/>
      <c r="BU963" s="302"/>
      <c r="BV963" s="302"/>
      <c r="BW963" s="302"/>
      <c r="BX963" s="302"/>
      <c r="BY963" s="302"/>
      <c r="BZ963" s="302"/>
      <c r="CA963" s="302"/>
      <c r="CB963" s="28"/>
      <c r="CC963" s="28"/>
      <c r="CD963" s="28"/>
      <c r="CE963" s="28"/>
      <c r="CF963" s="28"/>
      <c r="CG963" s="28"/>
      <c r="CH963" s="28"/>
      <c r="CI963" s="28"/>
      <c r="CJ963" s="28"/>
      <c r="CK963" s="28"/>
      <c r="CL963" s="28"/>
      <c r="CM963" s="28"/>
      <c r="CN963" s="28"/>
      <c r="CO963" s="28"/>
      <c r="CP963" s="28"/>
      <c r="CQ963" s="28"/>
      <c r="CR963" s="28"/>
      <c r="CS963" s="28"/>
      <c r="CT963" s="28"/>
      <c r="CU963" s="28"/>
      <c r="CV963" s="28"/>
      <c r="CW963" s="28"/>
    </row>
    <row r="964" spans="1:101" ht="14.25" customHeight="1" x14ac:dyDescent="0.2">
      <c r="A964" s="286"/>
      <c r="B964" s="52">
        <v>0.14691825005747453</v>
      </c>
      <c r="C964" s="288">
        <v>0.18075401491467127</v>
      </c>
      <c r="D964" s="288">
        <v>2.4926865214882077E-2</v>
      </c>
      <c r="E964" s="288">
        <v>7.681482388438703E-3</v>
      </c>
      <c r="F964" s="289">
        <v>0.79208984662906412</v>
      </c>
      <c r="G964" s="92">
        <v>0.45656447730676031</v>
      </c>
      <c r="H964" s="288">
        <v>0.65996285772998031</v>
      </c>
      <c r="I964" s="288">
        <v>1.4733139345752447E-2</v>
      </c>
      <c r="J964" s="288">
        <v>1.3259378950985432E-3</v>
      </c>
      <c r="K964" s="288">
        <v>0.70159065810965182</v>
      </c>
      <c r="L964" s="290">
        <v>12809.28343839863</v>
      </c>
      <c r="M964" s="288">
        <v>0</v>
      </c>
      <c r="N964" s="288">
        <v>26663.827188322695</v>
      </c>
      <c r="O964" s="288">
        <v>1606.0105591729521</v>
      </c>
      <c r="P964" s="288">
        <v>46018.422830339427</v>
      </c>
      <c r="Q964" s="291">
        <v>91440.252179882445</v>
      </c>
      <c r="R964" s="288">
        <v>20284.388001101917</v>
      </c>
      <c r="S964" s="288">
        <v>7104.0853847711869</v>
      </c>
      <c r="T964" s="290">
        <v>0.751</v>
      </c>
      <c r="U964" s="288">
        <v>0.75800000000000001</v>
      </c>
      <c r="V964" s="288">
        <v>0.723923076923077</v>
      </c>
      <c r="W964" s="288">
        <v>0.72750000000000004</v>
      </c>
      <c r="X964" s="288">
        <v>0.76</v>
      </c>
      <c r="Y964" s="288">
        <v>0</v>
      </c>
      <c r="Z964" s="289">
        <v>0</v>
      </c>
      <c r="AA964" s="229"/>
      <c r="AB964" s="293">
        <v>69641.720681237042</v>
      </c>
      <c r="AC964" s="294">
        <v>3.1985689959268129</v>
      </c>
      <c r="AD964" s="295">
        <v>57095.370593686603</v>
      </c>
      <c r="AE964" s="294">
        <v>2.7873130834880877</v>
      </c>
      <c r="AF964" s="295">
        <v>12546.35008755044</v>
      </c>
      <c r="AG964" s="296">
        <v>0.41125591243872517</v>
      </c>
      <c r="AH964" s="229"/>
      <c r="AI964" s="205">
        <f t="shared" si="102"/>
        <v>250215.17891144421</v>
      </c>
      <c r="AJ964" s="205">
        <f t="shared" si="103"/>
        <v>221635.9377551222</v>
      </c>
      <c r="AK964" s="205">
        <f t="shared" si="104"/>
        <v>28579.241156322074</v>
      </c>
      <c r="AL964" s="229"/>
      <c r="AM964" s="52">
        <f t="shared" si="86"/>
        <v>1</v>
      </c>
      <c r="AN964" s="52">
        <f t="shared" si="87"/>
        <v>0</v>
      </c>
      <c r="AO964" s="52">
        <f t="shared" si="88"/>
        <v>1</v>
      </c>
      <c r="AP964" s="229"/>
      <c r="AQ964" s="28"/>
      <c r="AR964" s="28"/>
      <c r="AS964" s="28"/>
      <c r="AT964" s="28"/>
      <c r="AU964" s="229"/>
      <c r="AV964" s="318">
        <f t="shared" si="105"/>
        <v>250215.17891144421</v>
      </c>
      <c r="AW964" s="229"/>
      <c r="AX964" s="313"/>
      <c r="AY964" s="302"/>
      <c r="AZ964" s="14">
        <f t="shared" si="107"/>
        <v>12546.35008755044</v>
      </c>
      <c r="BA964" s="14">
        <f t="shared" si="106"/>
        <v>0.41125591243872517</v>
      </c>
      <c r="BB964" s="14">
        <f t="shared" si="89"/>
        <v>30507.403560841878</v>
      </c>
      <c r="BC964" s="302"/>
      <c r="BD964" s="302"/>
      <c r="BE964" s="302"/>
      <c r="BF964" s="302"/>
      <c r="BG964" s="302"/>
      <c r="BH964" s="302"/>
      <c r="BI964" s="302"/>
      <c r="BJ964" s="302"/>
      <c r="BK964" s="302"/>
      <c r="BL964" s="302"/>
      <c r="BM964" s="302"/>
      <c r="BN964" s="302"/>
      <c r="BO964" s="302"/>
      <c r="BP964" s="302"/>
      <c r="BQ964" s="302"/>
      <c r="BR964" s="302"/>
      <c r="BS964" s="302"/>
      <c r="BT964" s="302"/>
      <c r="BU964" s="302"/>
      <c r="BV964" s="302"/>
      <c r="BW964" s="302"/>
      <c r="BX964" s="302"/>
      <c r="BY964" s="302"/>
      <c r="BZ964" s="302"/>
      <c r="CA964" s="302"/>
      <c r="CB964" s="28"/>
      <c r="CC964" s="28"/>
      <c r="CD964" s="28"/>
      <c r="CE964" s="28"/>
      <c r="CF964" s="28"/>
      <c r="CG964" s="28"/>
      <c r="CH964" s="28"/>
      <c r="CI964" s="28"/>
      <c r="CJ964" s="28"/>
      <c r="CK964" s="28"/>
      <c r="CL964" s="28"/>
      <c r="CM964" s="28"/>
      <c r="CN964" s="28"/>
      <c r="CO964" s="28"/>
      <c r="CP964" s="28"/>
      <c r="CQ964" s="28"/>
      <c r="CR964" s="28"/>
      <c r="CS964" s="28"/>
      <c r="CT964" s="28"/>
      <c r="CU964" s="28"/>
      <c r="CV964" s="28"/>
      <c r="CW964" s="28"/>
    </row>
    <row r="965" spans="1:101" ht="14.25" customHeight="1" x14ac:dyDescent="0.2">
      <c r="A965" s="286"/>
      <c r="B965" s="52">
        <v>0.17851351325840281</v>
      </c>
      <c r="C965" s="288">
        <v>0.86253529631019754</v>
      </c>
      <c r="D965" s="288">
        <v>6.6335421229850268E-3</v>
      </c>
      <c r="E965" s="288">
        <v>2.0379758659109459E-2</v>
      </c>
      <c r="F965" s="289">
        <v>0.79181957093472555</v>
      </c>
      <c r="G965" s="92">
        <v>0.38275913627078878</v>
      </c>
      <c r="H965" s="288">
        <v>0.42044749065872955</v>
      </c>
      <c r="I965" s="288">
        <v>3.2991899510519729E-2</v>
      </c>
      <c r="J965" s="288">
        <v>0.91065683438264111</v>
      </c>
      <c r="K965" s="288">
        <v>0.76697977152214314</v>
      </c>
      <c r="L965" s="290">
        <v>10797.466792005995</v>
      </c>
      <c r="M965" s="288">
        <v>0</v>
      </c>
      <c r="N965" s="288">
        <v>17605.756428662571</v>
      </c>
      <c r="O965" s="288">
        <v>1586.2014125413161</v>
      </c>
      <c r="P965" s="288">
        <v>27795.338208912362</v>
      </c>
      <c r="Q965" s="291">
        <v>109823.29835778779</v>
      </c>
      <c r="R965" s="288">
        <v>24583.244147567504</v>
      </c>
      <c r="S965" s="288">
        <v>10423.728456649689</v>
      </c>
      <c r="T965" s="290">
        <v>0.751</v>
      </c>
      <c r="U965" s="288">
        <v>0.75800000000000001</v>
      </c>
      <c r="V965" s="288">
        <v>0.723923076923077</v>
      </c>
      <c r="W965" s="288">
        <v>0.72750000000000004</v>
      </c>
      <c r="X965" s="288">
        <v>0.76</v>
      </c>
      <c r="Y965" s="288">
        <v>0</v>
      </c>
      <c r="Z965" s="289">
        <v>0</v>
      </c>
      <c r="AA965" s="229"/>
      <c r="AB965" s="293">
        <v>96727.572606614747</v>
      </c>
      <c r="AC965" s="294">
        <v>3.1973097480559147</v>
      </c>
      <c r="AD965" s="295">
        <v>86329.895868459658</v>
      </c>
      <c r="AE965" s="294">
        <v>3.0866202410153512</v>
      </c>
      <c r="AF965" s="295">
        <v>10397.676738155089</v>
      </c>
      <c r="AG965" s="296">
        <v>0.11068950704056357</v>
      </c>
      <c r="AH965" s="229"/>
      <c r="AI965" s="205">
        <f t="shared" si="102"/>
        <v>223003.40219897672</v>
      </c>
      <c r="AJ965" s="205">
        <f t="shared" si="103"/>
        <v>222332.12823307543</v>
      </c>
      <c r="AK965" s="205">
        <f t="shared" si="104"/>
        <v>671.27396590126773</v>
      </c>
      <c r="AL965" s="229"/>
      <c r="AM965" s="52">
        <f t="shared" si="86"/>
        <v>1</v>
      </c>
      <c r="AN965" s="52">
        <f t="shared" si="87"/>
        <v>0</v>
      </c>
      <c r="AO965" s="52">
        <f t="shared" si="88"/>
        <v>1</v>
      </c>
      <c r="AP965" s="229"/>
      <c r="AQ965" s="28"/>
      <c r="AR965" s="28"/>
      <c r="AS965" s="28"/>
      <c r="AT965" s="28"/>
      <c r="AU965" s="229"/>
      <c r="AV965" s="318">
        <f t="shared" si="105"/>
        <v>223003.40219897672</v>
      </c>
      <c r="AW965" s="229"/>
      <c r="AX965" s="313"/>
      <c r="AY965" s="302"/>
      <c r="AZ965" s="14">
        <f t="shared" si="107"/>
        <v>10397.676738155089</v>
      </c>
      <c r="BA965" s="14">
        <f t="shared" si="106"/>
        <v>0.11068950704056357</v>
      </c>
      <c r="BB965" s="14">
        <f t="shared" si="89"/>
        <v>93935.523033314515</v>
      </c>
      <c r="BC965" s="302"/>
      <c r="BD965" s="302"/>
      <c r="BE965" s="302"/>
      <c r="BF965" s="302"/>
      <c r="BG965" s="302"/>
      <c r="BH965" s="302"/>
      <c r="BI965" s="302"/>
      <c r="BJ965" s="302"/>
      <c r="BK965" s="302"/>
      <c r="BL965" s="302"/>
      <c r="BM965" s="302"/>
      <c r="BN965" s="302"/>
      <c r="BO965" s="302"/>
      <c r="BP965" s="302"/>
      <c r="BQ965" s="302"/>
      <c r="BR965" s="302"/>
      <c r="BS965" s="302"/>
      <c r="BT965" s="302"/>
      <c r="BU965" s="302"/>
      <c r="BV965" s="302"/>
      <c r="BW965" s="302"/>
      <c r="BX965" s="302"/>
      <c r="BY965" s="302"/>
      <c r="BZ965" s="302"/>
      <c r="CA965" s="302"/>
      <c r="CB965" s="28"/>
      <c r="CC965" s="28"/>
      <c r="CD965" s="28"/>
      <c r="CE965" s="28"/>
      <c r="CF965" s="28"/>
      <c r="CG965" s="28"/>
      <c r="CH965" s="28"/>
      <c r="CI965" s="28"/>
      <c r="CJ965" s="28"/>
      <c r="CK965" s="28"/>
      <c r="CL965" s="28"/>
      <c r="CM965" s="28"/>
      <c r="CN965" s="28"/>
      <c r="CO965" s="28"/>
      <c r="CP965" s="28"/>
      <c r="CQ965" s="28"/>
      <c r="CR965" s="28"/>
      <c r="CS965" s="28"/>
      <c r="CT965" s="28"/>
      <c r="CU965" s="28"/>
      <c r="CV965" s="28"/>
      <c r="CW965" s="28"/>
    </row>
    <row r="966" spans="1:101" ht="14.25" customHeight="1" x14ac:dyDescent="0.2">
      <c r="A966" s="286"/>
      <c r="B966" s="52">
        <v>0.16824881212891563</v>
      </c>
      <c r="C966" s="288">
        <v>0.53786578480798186</v>
      </c>
      <c r="D966" s="288">
        <v>1.9131362170489385E-2</v>
      </c>
      <c r="E966" s="288">
        <v>1.5808777395661555E-2</v>
      </c>
      <c r="F966" s="289">
        <v>0.78566544159673135</v>
      </c>
      <c r="G966" s="92">
        <v>0.42285299084609274</v>
      </c>
      <c r="H966" s="288">
        <v>0.41664839790391456</v>
      </c>
      <c r="I966" s="288">
        <v>2.1743370641803317E-2</v>
      </c>
      <c r="J966" s="288">
        <v>0.99999643483677436</v>
      </c>
      <c r="K966" s="288">
        <v>0.78581583783756115</v>
      </c>
      <c r="L966" s="290">
        <v>12922.149643316123</v>
      </c>
      <c r="M966" s="288">
        <v>0</v>
      </c>
      <c r="N966" s="288">
        <v>17522.980869156268</v>
      </c>
      <c r="O966" s="288">
        <v>1285.5318221245834</v>
      </c>
      <c r="P966" s="288">
        <v>48154.177061002658</v>
      </c>
      <c r="Q966" s="291">
        <v>89494.58015754915</v>
      </c>
      <c r="R966" s="288">
        <v>33431.622390032906</v>
      </c>
      <c r="S966" s="288">
        <v>11105.80036192722</v>
      </c>
      <c r="T966" s="290">
        <v>0.751</v>
      </c>
      <c r="U966" s="288">
        <v>0.75800000000000001</v>
      </c>
      <c r="V966" s="288">
        <v>0.723923076923077</v>
      </c>
      <c r="W966" s="288">
        <v>0.72750000000000004</v>
      </c>
      <c r="X966" s="288">
        <v>0.76</v>
      </c>
      <c r="Y966" s="288">
        <v>0</v>
      </c>
      <c r="Z966" s="289">
        <v>0</v>
      </c>
      <c r="AA966" s="229"/>
      <c r="AB966" s="293">
        <v>102857.08727543718</v>
      </c>
      <c r="AC966" s="294">
        <v>3.1686679053021019</v>
      </c>
      <c r="AD966" s="295">
        <v>94920.359317915048</v>
      </c>
      <c r="AE966" s="294">
        <v>3.1740893567564012</v>
      </c>
      <c r="AF966" s="295">
        <v>7936.7279575221328</v>
      </c>
      <c r="AG966" s="296">
        <v>-5.4214514542993975E-3</v>
      </c>
      <c r="AH966" s="229"/>
      <c r="AI966" s="205">
        <f t="shared" si="102"/>
        <v>214009.70325477299</v>
      </c>
      <c r="AJ966" s="205">
        <f t="shared" si="103"/>
        <v>222488.57635772508</v>
      </c>
      <c r="AK966" s="205">
        <f t="shared" si="104"/>
        <v>-8478.8731029520732</v>
      </c>
      <c r="AL966" s="229"/>
      <c r="AM966" s="52">
        <f t="shared" si="86"/>
        <v>0</v>
      </c>
      <c r="AN966" s="52">
        <f t="shared" si="87"/>
        <v>1</v>
      </c>
      <c r="AO966" s="52">
        <f t="shared" si="88"/>
        <v>0</v>
      </c>
      <c r="AP966" s="229"/>
      <c r="AQ966" s="28"/>
      <c r="AR966" s="28"/>
      <c r="AS966" s="28"/>
      <c r="AT966" s="28"/>
      <c r="AU966" s="229"/>
      <c r="AV966" s="318">
        <f t="shared" si="105"/>
        <v>222488.57635772508</v>
      </c>
      <c r="AW966" s="229"/>
      <c r="AX966" s="313"/>
      <c r="AY966" s="302"/>
      <c r="AZ966" s="14">
        <f t="shared" si="107"/>
        <v>7936.7279575221328</v>
      </c>
      <c r="BA966" s="14">
        <f t="shared" si="106"/>
        <v>-5.4214514542993975E-3</v>
      </c>
      <c r="BB966" s="14">
        <f t="shared" si="89"/>
        <v>-1463948.9119150988</v>
      </c>
      <c r="BC966" s="302"/>
      <c r="BD966" s="302"/>
      <c r="BE966" s="302"/>
      <c r="BF966" s="302"/>
      <c r="BG966" s="302"/>
      <c r="BH966" s="302"/>
      <c r="BI966" s="302"/>
      <c r="BJ966" s="302"/>
      <c r="BK966" s="302"/>
      <c r="BL966" s="302"/>
      <c r="BM966" s="302"/>
      <c r="BN966" s="302"/>
      <c r="BO966" s="302"/>
      <c r="BP966" s="302"/>
      <c r="BQ966" s="302"/>
      <c r="BR966" s="302"/>
      <c r="BS966" s="302"/>
      <c r="BT966" s="302"/>
      <c r="BU966" s="302"/>
      <c r="BV966" s="302"/>
      <c r="BW966" s="302"/>
      <c r="BX966" s="302"/>
      <c r="BY966" s="302"/>
      <c r="BZ966" s="302"/>
      <c r="CA966" s="302"/>
      <c r="CB966" s="28"/>
      <c r="CC966" s="28"/>
      <c r="CD966" s="28"/>
      <c r="CE966" s="28"/>
      <c r="CF966" s="28"/>
      <c r="CG966" s="28"/>
      <c r="CH966" s="28"/>
      <c r="CI966" s="28"/>
      <c r="CJ966" s="28"/>
      <c r="CK966" s="28"/>
      <c r="CL966" s="28"/>
      <c r="CM966" s="28"/>
      <c r="CN966" s="28"/>
      <c r="CO966" s="28"/>
      <c r="CP966" s="28"/>
      <c r="CQ966" s="28"/>
      <c r="CR966" s="28"/>
      <c r="CS966" s="28"/>
      <c r="CT966" s="28"/>
      <c r="CU966" s="28"/>
      <c r="CV966" s="28"/>
      <c r="CW966" s="28"/>
    </row>
    <row r="967" spans="1:101" ht="14.25" customHeight="1" x14ac:dyDescent="0.2">
      <c r="A967" s="286"/>
      <c r="B967" s="52">
        <v>0.17908956824822242</v>
      </c>
      <c r="C967" s="288">
        <v>0.93850078757498401</v>
      </c>
      <c r="D967" s="288">
        <v>1.8831744871202982E-2</v>
      </c>
      <c r="E967" s="288">
        <v>1.6727400111117063E-2</v>
      </c>
      <c r="F967" s="289">
        <v>0.79697746440015316</v>
      </c>
      <c r="G967" s="92">
        <v>0.44650459511446039</v>
      </c>
      <c r="H967" s="288">
        <v>0.11644863744920479</v>
      </c>
      <c r="I967" s="288">
        <v>1.3340289503331633E-2</v>
      </c>
      <c r="J967" s="288">
        <v>0.98102689079405003</v>
      </c>
      <c r="K967" s="288">
        <v>0.75873334658909319</v>
      </c>
      <c r="L967" s="290">
        <v>15831.834871738951</v>
      </c>
      <c r="M967" s="288">
        <v>0</v>
      </c>
      <c r="N967" s="288">
        <v>13882.441972020897</v>
      </c>
      <c r="O967" s="288">
        <v>1103.8306953817641</v>
      </c>
      <c r="P967" s="288">
        <v>55343.976280562594</v>
      </c>
      <c r="Q967" s="291">
        <v>72940.856412504858</v>
      </c>
      <c r="R967" s="288">
        <v>22387.237388637343</v>
      </c>
      <c r="S967" s="288">
        <v>9290.9299256367158</v>
      </c>
      <c r="T967" s="290">
        <v>0.751</v>
      </c>
      <c r="U967" s="288">
        <v>0.75800000000000001</v>
      </c>
      <c r="V967" s="288">
        <v>0.723923076923077</v>
      </c>
      <c r="W967" s="288">
        <v>0.72750000000000004</v>
      </c>
      <c r="X967" s="288">
        <v>0.76</v>
      </c>
      <c r="Y967" s="288">
        <v>0</v>
      </c>
      <c r="Z967" s="289">
        <v>0</v>
      </c>
      <c r="AA967" s="229"/>
      <c r="AB967" s="293">
        <v>93365.249710037315</v>
      </c>
      <c r="AC967" s="294">
        <v>3.2213607821153407</v>
      </c>
      <c r="AD967" s="295">
        <v>72898.295600451747</v>
      </c>
      <c r="AE967" s="294">
        <v>3.0485022997941282</v>
      </c>
      <c r="AF967" s="295">
        <v>20466.954109585567</v>
      </c>
      <c r="AG967" s="296">
        <v>0.17285848232121248</v>
      </c>
      <c r="AH967" s="229"/>
      <c r="AI967" s="205">
        <f t="shared" si="102"/>
        <v>228770.82850149676</v>
      </c>
      <c r="AJ967" s="205">
        <f t="shared" si="103"/>
        <v>231951.93437896104</v>
      </c>
      <c r="AK967" s="205">
        <f t="shared" si="104"/>
        <v>-3181.1058774643207</v>
      </c>
      <c r="AL967" s="229"/>
      <c r="AM967" s="52">
        <f t="shared" si="86"/>
        <v>0</v>
      </c>
      <c r="AN967" s="52">
        <f t="shared" si="87"/>
        <v>1</v>
      </c>
      <c r="AO967" s="52">
        <f t="shared" si="88"/>
        <v>0</v>
      </c>
      <c r="AP967" s="229"/>
      <c r="AQ967" s="28"/>
      <c r="AR967" s="28"/>
      <c r="AS967" s="28"/>
      <c r="AT967" s="28"/>
      <c r="AU967" s="229"/>
      <c r="AV967" s="318">
        <f t="shared" si="105"/>
        <v>231951.93437896104</v>
      </c>
      <c r="AW967" s="229"/>
      <c r="AX967" s="313"/>
      <c r="AY967" s="302"/>
      <c r="AZ967" s="14">
        <f t="shared" si="107"/>
        <v>20466.954109585567</v>
      </c>
      <c r="BA967" s="14">
        <f t="shared" si="106"/>
        <v>0.17285848232121248</v>
      </c>
      <c r="BB967" s="14">
        <f t="shared" si="89"/>
        <v>118402.94924927701</v>
      </c>
      <c r="BC967" s="302"/>
      <c r="BD967" s="302"/>
      <c r="BE967" s="302"/>
      <c r="BF967" s="302"/>
      <c r="BG967" s="302"/>
      <c r="BH967" s="302"/>
      <c r="BI967" s="302"/>
      <c r="BJ967" s="302"/>
      <c r="BK967" s="302"/>
      <c r="BL967" s="302"/>
      <c r="BM967" s="302"/>
      <c r="BN967" s="302"/>
      <c r="BO967" s="302"/>
      <c r="BP967" s="302"/>
      <c r="BQ967" s="302"/>
      <c r="BR967" s="302"/>
      <c r="BS967" s="302"/>
      <c r="BT967" s="302"/>
      <c r="BU967" s="302"/>
      <c r="BV967" s="302"/>
      <c r="BW967" s="302"/>
      <c r="BX967" s="302"/>
      <c r="BY967" s="302"/>
      <c r="BZ967" s="302"/>
      <c r="CA967" s="302"/>
      <c r="CB967" s="28"/>
      <c r="CC967" s="28"/>
      <c r="CD967" s="28"/>
      <c r="CE967" s="28"/>
      <c r="CF967" s="28"/>
      <c r="CG967" s="28"/>
      <c r="CH967" s="28"/>
      <c r="CI967" s="28"/>
      <c r="CJ967" s="28"/>
      <c r="CK967" s="28"/>
      <c r="CL967" s="28"/>
      <c r="CM967" s="28"/>
      <c r="CN967" s="28"/>
      <c r="CO967" s="28"/>
      <c r="CP967" s="28"/>
      <c r="CQ967" s="28"/>
      <c r="CR967" s="28"/>
      <c r="CS967" s="28"/>
      <c r="CT967" s="28"/>
      <c r="CU967" s="28"/>
      <c r="CV967" s="28"/>
      <c r="CW967" s="28"/>
    </row>
    <row r="968" spans="1:101" ht="14.25" customHeight="1" x14ac:dyDescent="0.2">
      <c r="A968" s="286"/>
      <c r="B968" s="52">
        <v>0.16055289964598052</v>
      </c>
      <c r="C968" s="288">
        <v>3.7213233317910494E-3</v>
      </c>
      <c r="D968" s="288">
        <v>1.2945966412264502E-2</v>
      </c>
      <c r="E968" s="288">
        <v>8.5032578373017628E-3</v>
      </c>
      <c r="F968" s="289">
        <v>0.78951675940592458</v>
      </c>
      <c r="G968" s="92">
        <v>0.41670739289698011</v>
      </c>
      <c r="H968" s="288">
        <v>0.83701102093258184</v>
      </c>
      <c r="I968" s="288">
        <v>2.9279212004390098E-2</v>
      </c>
      <c r="J968" s="288">
        <v>1</v>
      </c>
      <c r="K968" s="288">
        <v>0.73971000715106394</v>
      </c>
      <c r="L968" s="290">
        <v>11733.602120805681</v>
      </c>
      <c r="M968" s="288">
        <v>0</v>
      </c>
      <c r="N968" s="288">
        <v>14662.27961559661</v>
      </c>
      <c r="O968" s="288">
        <v>949.03384567869932</v>
      </c>
      <c r="P968" s="288">
        <v>43112.458235735452</v>
      </c>
      <c r="Q968" s="291">
        <v>124835.27217366944</v>
      </c>
      <c r="R968" s="288">
        <v>20016.223619111253</v>
      </c>
      <c r="S968" s="288">
        <v>8992.1568847901781</v>
      </c>
      <c r="T968" s="290">
        <v>0.751</v>
      </c>
      <c r="U968" s="288">
        <v>0.75800000000000001</v>
      </c>
      <c r="V968" s="288">
        <v>0.723923076923077</v>
      </c>
      <c r="W968" s="288">
        <v>0.72750000000000004</v>
      </c>
      <c r="X968" s="288">
        <v>0.76</v>
      </c>
      <c r="Y968" s="288">
        <v>0</v>
      </c>
      <c r="Z968" s="289">
        <v>0</v>
      </c>
      <c r="AA968" s="229"/>
      <c r="AB968" s="293">
        <v>82459.290967215071</v>
      </c>
      <c r="AC968" s="294">
        <v>3.1865853114178999</v>
      </c>
      <c r="AD968" s="295">
        <v>75728.011159532645</v>
      </c>
      <c r="AE968" s="294">
        <v>2.960978433946571</v>
      </c>
      <c r="AF968" s="295">
        <v>6731.2798076824256</v>
      </c>
      <c r="AG968" s="296">
        <v>0.2256068774713289</v>
      </c>
      <c r="AH968" s="229"/>
      <c r="AI968" s="205">
        <f t="shared" si="102"/>
        <v>236199.24017457489</v>
      </c>
      <c r="AJ968" s="205">
        <f t="shared" si="103"/>
        <v>220369.83223512443</v>
      </c>
      <c r="AK968" s="205">
        <f t="shared" si="104"/>
        <v>15829.407939450466</v>
      </c>
      <c r="AL968" s="229"/>
      <c r="AM968" s="52">
        <f t="shared" si="86"/>
        <v>1</v>
      </c>
      <c r="AN968" s="52">
        <f t="shared" si="87"/>
        <v>0</v>
      </c>
      <c r="AO968" s="52">
        <f t="shared" si="88"/>
        <v>1</v>
      </c>
      <c r="AP968" s="229"/>
      <c r="AQ968" s="28"/>
      <c r="AR968" s="28"/>
      <c r="AS968" s="28"/>
      <c r="AT968" s="28"/>
      <c r="AU968" s="229"/>
      <c r="AV968" s="318">
        <f t="shared" si="105"/>
        <v>236199.24017457489</v>
      </c>
      <c r="AW968" s="229"/>
      <c r="AX968" s="313"/>
      <c r="AY968" s="302"/>
      <c r="AZ968" s="14">
        <f t="shared" si="107"/>
        <v>6731.2798076824256</v>
      </c>
      <c r="BA968" s="14">
        <f t="shared" si="106"/>
        <v>0.2256068774713289</v>
      </c>
      <c r="BB968" s="14">
        <f t="shared" si="89"/>
        <v>29836.32362243862</v>
      </c>
      <c r="BC968" s="302"/>
      <c r="BD968" s="302"/>
      <c r="BE968" s="302"/>
      <c r="BF968" s="302"/>
      <c r="BG968" s="302"/>
      <c r="BH968" s="302"/>
      <c r="BI968" s="302"/>
      <c r="BJ968" s="302"/>
      <c r="BK968" s="302"/>
      <c r="BL968" s="302"/>
      <c r="BM968" s="302"/>
      <c r="BN968" s="302"/>
      <c r="BO968" s="302"/>
      <c r="BP968" s="302"/>
      <c r="BQ968" s="302"/>
      <c r="BR968" s="302"/>
      <c r="BS968" s="302"/>
      <c r="BT968" s="302"/>
      <c r="BU968" s="302"/>
      <c r="BV968" s="302"/>
      <c r="BW968" s="302"/>
      <c r="BX968" s="302"/>
      <c r="BY968" s="302"/>
      <c r="BZ968" s="302"/>
      <c r="CA968" s="302"/>
      <c r="CB968" s="28"/>
      <c r="CC968" s="28"/>
      <c r="CD968" s="28"/>
      <c r="CE968" s="28"/>
      <c r="CF968" s="28"/>
      <c r="CG968" s="28"/>
      <c r="CH968" s="28"/>
      <c r="CI968" s="28"/>
      <c r="CJ968" s="28"/>
      <c r="CK968" s="28"/>
      <c r="CL968" s="28"/>
      <c r="CM968" s="28"/>
      <c r="CN968" s="28"/>
      <c r="CO968" s="28"/>
      <c r="CP968" s="28"/>
      <c r="CQ968" s="28"/>
      <c r="CR968" s="28"/>
      <c r="CS968" s="28"/>
      <c r="CT968" s="28"/>
      <c r="CU968" s="28"/>
      <c r="CV968" s="28"/>
      <c r="CW968" s="28"/>
    </row>
    <row r="969" spans="1:101" ht="14.25" customHeight="1" x14ac:dyDescent="0.2">
      <c r="A969" s="286"/>
      <c r="B969" s="52">
        <v>0.13677332353253097</v>
      </c>
      <c r="C969" s="288">
        <v>1.2055521624286461E-2</v>
      </c>
      <c r="D969" s="288">
        <v>5.0602680643561573E-3</v>
      </c>
      <c r="E969" s="288">
        <v>1.442443584214903E-2</v>
      </c>
      <c r="F969" s="289">
        <v>0.80930508797716294</v>
      </c>
      <c r="G969" s="92">
        <v>0.40513388363649927</v>
      </c>
      <c r="H969" s="288">
        <v>0.84131354711800976</v>
      </c>
      <c r="I969" s="288">
        <v>1.2001455235902746E-2</v>
      </c>
      <c r="J969" s="288">
        <v>0.99999999988926103</v>
      </c>
      <c r="K969" s="288">
        <v>0.76468724877929339</v>
      </c>
      <c r="L969" s="290">
        <v>11982.906238804671</v>
      </c>
      <c r="M969" s="288">
        <v>0</v>
      </c>
      <c r="N969" s="288">
        <v>17748.904280245904</v>
      </c>
      <c r="O969" s="288">
        <v>992.59152542649474</v>
      </c>
      <c r="P969" s="288">
        <v>55088.02129720727</v>
      </c>
      <c r="Q969" s="291">
        <v>90016.622765997614</v>
      </c>
      <c r="R969" s="288">
        <v>24128.020640916813</v>
      </c>
      <c r="S969" s="288">
        <v>7515.9478115014253</v>
      </c>
      <c r="T969" s="290">
        <v>0.751</v>
      </c>
      <c r="U969" s="288">
        <v>0.75800000000000001</v>
      </c>
      <c r="V969" s="288">
        <v>0.723923076923077</v>
      </c>
      <c r="W969" s="288">
        <v>0.72750000000000004</v>
      </c>
      <c r="X969" s="288">
        <v>0.76</v>
      </c>
      <c r="Y969" s="288">
        <v>0</v>
      </c>
      <c r="Z969" s="289">
        <v>0</v>
      </c>
      <c r="AA969" s="229"/>
      <c r="AB969" s="293">
        <v>72454.060510028998</v>
      </c>
      <c r="AC969" s="294">
        <v>3.2790130063762755</v>
      </c>
      <c r="AD969" s="295">
        <v>66630.53214786305</v>
      </c>
      <c r="AE969" s="294">
        <v>3.0760126190940498</v>
      </c>
      <c r="AF969" s="295">
        <v>5823.5283621659473</v>
      </c>
      <c r="AG969" s="296">
        <v>0.20300038728222569</v>
      </c>
      <c r="AH969" s="229"/>
      <c r="AI969" s="205">
        <f t="shared" si="102"/>
        <v>255447.24012759855</v>
      </c>
      <c r="AJ969" s="205">
        <f t="shared" si="103"/>
        <v>240970.72976154194</v>
      </c>
      <c r="AK969" s="205">
        <f t="shared" si="104"/>
        <v>14476.51036605662</v>
      </c>
      <c r="AL969" s="229"/>
      <c r="AM969" s="52">
        <f t="shared" si="86"/>
        <v>1</v>
      </c>
      <c r="AN969" s="52">
        <f t="shared" si="87"/>
        <v>0</v>
      </c>
      <c r="AO969" s="52">
        <f t="shared" si="88"/>
        <v>1</v>
      </c>
      <c r="AP969" s="229"/>
      <c r="AQ969" s="28"/>
      <c r="AR969" s="28"/>
      <c r="AS969" s="28"/>
      <c r="AT969" s="28"/>
      <c r="AU969" s="229"/>
      <c r="AV969" s="318">
        <f t="shared" si="105"/>
        <v>255447.24012759855</v>
      </c>
      <c r="AW969" s="229"/>
      <c r="AX969" s="313"/>
      <c r="AY969" s="302"/>
      <c r="AZ969" s="14">
        <f t="shared" si="107"/>
        <v>5823.5283621659473</v>
      </c>
      <c r="BA969" s="14">
        <f t="shared" si="106"/>
        <v>0.20300038728222569</v>
      </c>
      <c r="BB969" s="14">
        <f t="shared" si="89"/>
        <v>28687.27710390848</v>
      </c>
      <c r="BC969" s="302"/>
      <c r="BD969" s="302"/>
      <c r="BE969" s="302"/>
      <c r="BF969" s="302"/>
      <c r="BG969" s="302"/>
      <c r="BH969" s="302"/>
      <c r="BI969" s="302"/>
      <c r="BJ969" s="302"/>
      <c r="BK969" s="302"/>
      <c r="BL969" s="302"/>
      <c r="BM969" s="302"/>
      <c r="BN969" s="302"/>
      <c r="BO969" s="302"/>
      <c r="BP969" s="302"/>
      <c r="BQ969" s="302"/>
      <c r="BR969" s="302"/>
      <c r="BS969" s="302"/>
      <c r="BT969" s="302"/>
      <c r="BU969" s="302"/>
      <c r="BV969" s="302"/>
      <c r="BW969" s="302"/>
      <c r="BX969" s="302"/>
      <c r="BY969" s="302"/>
      <c r="BZ969" s="302"/>
      <c r="CA969" s="302"/>
      <c r="CB969" s="28"/>
      <c r="CC969" s="28"/>
      <c r="CD969" s="28"/>
      <c r="CE969" s="28"/>
      <c r="CF969" s="28"/>
      <c r="CG969" s="28"/>
      <c r="CH969" s="28"/>
      <c r="CI969" s="28"/>
      <c r="CJ969" s="28"/>
      <c r="CK969" s="28"/>
      <c r="CL969" s="28"/>
      <c r="CM969" s="28"/>
      <c r="CN969" s="28"/>
      <c r="CO969" s="28"/>
      <c r="CP969" s="28"/>
      <c r="CQ969" s="28"/>
      <c r="CR969" s="28"/>
      <c r="CS969" s="28"/>
      <c r="CT969" s="28"/>
      <c r="CU969" s="28"/>
      <c r="CV969" s="28"/>
      <c r="CW969" s="28"/>
    </row>
    <row r="970" spans="1:101" ht="14.25" customHeight="1" x14ac:dyDescent="0.2">
      <c r="A970" s="286"/>
      <c r="B970" s="52">
        <v>0.15864084957012836</v>
      </c>
      <c r="C970" s="288">
        <v>0.76739497412123547</v>
      </c>
      <c r="D970" s="288">
        <v>3.9428452673688552E-2</v>
      </c>
      <c r="E970" s="288">
        <v>1.0585477374051662E-2</v>
      </c>
      <c r="F970" s="289">
        <v>0.79691463612365343</v>
      </c>
      <c r="G970" s="92">
        <v>0.36446707273898599</v>
      </c>
      <c r="H970" s="288">
        <v>0.14666429980521492</v>
      </c>
      <c r="I970" s="288">
        <v>2.3586042958182785E-2</v>
      </c>
      <c r="J970" s="288">
        <v>0.99999999985933585</v>
      </c>
      <c r="K970" s="288">
        <v>0.75699318302347163</v>
      </c>
      <c r="L970" s="290">
        <v>14459.790037414657</v>
      </c>
      <c r="M970" s="288">
        <v>0</v>
      </c>
      <c r="N970" s="288">
        <v>17926.34720578777</v>
      </c>
      <c r="O970" s="288">
        <v>1186.8194771006924</v>
      </c>
      <c r="P970" s="288">
        <v>34129.079775005281</v>
      </c>
      <c r="Q970" s="291">
        <v>75168.075514081575</v>
      </c>
      <c r="R970" s="288">
        <v>25429.243369802258</v>
      </c>
      <c r="S970" s="288">
        <v>9082.2233219519185</v>
      </c>
      <c r="T970" s="290">
        <v>0.751</v>
      </c>
      <c r="U970" s="288">
        <v>0.75800000000000001</v>
      </c>
      <c r="V970" s="288">
        <v>0.723923076923077</v>
      </c>
      <c r="W970" s="288">
        <v>0.72750000000000004</v>
      </c>
      <c r="X970" s="288">
        <v>0.76</v>
      </c>
      <c r="Y970" s="288">
        <v>0</v>
      </c>
      <c r="Z970" s="289">
        <v>0</v>
      </c>
      <c r="AA970" s="229"/>
      <c r="AB970" s="293">
        <v>89887.783693745281</v>
      </c>
      <c r="AC970" s="294">
        <v>3.2210675655309204</v>
      </c>
      <c r="AD970" s="295">
        <v>71577.382212590805</v>
      </c>
      <c r="AE970" s="294">
        <v>3.0404723343510112</v>
      </c>
      <c r="AF970" s="295">
        <v>18310.401481154477</v>
      </c>
      <c r="AG970" s="296">
        <v>0.18059523117990928</v>
      </c>
      <c r="AH970" s="229"/>
      <c r="AI970" s="205">
        <f t="shared" si="102"/>
        <v>232218.97285934677</v>
      </c>
      <c r="AJ970" s="205">
        <f t="shared" si="103"/>
        <v>232469.8512225103</v>
      </c>
      <c r="AK970" s="205">
        <f t="shared" si="104"/>
        <v>-250.87836316354878</v>
      </c>
      <c r="AL970" s="229"/>
      <c r="AM970" s="52">
        <f t="shared" si="86"/>
        <v>0</v>
      </c>
      <c r="AN970" s="52">
        <f t="shared" si="87"/>
        <v>1</v>
      </c>
      <c r="AO970" s="52">
        <f t="shared" si="88"/>
        <v>0</v>
      </c>
      <c r="AP970" s="229"/>
      <c r="AQ970" s="28"/>
      <c r="AR970" s="28"/>
      <c r="AS970" s="28"/>
      <c r="AT970" s="28"/>
      <c r="AU970" s="229"/>
      <c r="AV970" s="318">
        <f t="shared" si="105"/>
        <v>232469.8512225103</v>
      </c>
      <c r="AW970" s="229"/>
      <c r="AX970" s="313"/>
      <c r="AY970" s="302"/>
      <c r="AZ970" s="14">
        <f t="shared" si="107"/>
        <v>18310.401481154477</v>
      </c>
      <c r="BA970" s="14">
        <f t="shared" si="106"/>
        <v>0.18059523117990928</v>
      </c>
      <c r="BB970" s="14">
        <f t="shared" si="89"/>
        <v>101389.1749052533</v>
      </c>
      <c r="BC970" s="302"/>
      <c r="BD970" s="302"/>
      <c r="BE970" s="302"/>
      <c r="BF970" s="302"/>
      <c r="BG970" s="302"/>
      <c r="BH970" s="302"/>
      <c r="BI970" s="302"/>
      <c r="BJ970" s="302"/>
      <c r="BK970" s="302"/>
      <c r="BL970" s="302"/>
      <c r="BM970" s="302"/>
      <c r="BN970" s="302"/>
      <c r="BO970" s="302"/>
      <c r="BP970" s="302"/>
      <c r="BQ970" s="302"/>
      <c r="BR970" s="302"/>
      <c r="BS970" s="302"/>
      <c r="BT970" s="302"/>
      <c r="BU970" s="302"/>
      <c r="BV970" s="302"/>
      <c r="BW970" s="302"/>
      <c r="BX970" s="302"/>
      <c r="BY970" s="302"/>
      <c r="BZ970" s="302"/>
      <c r="CA970" s="302"/>
      <c r="CB970" s="28"/>
      <c r="CC970" s="28"/>
      <c r="CD970" s="28"/>
      <c r="CE970" s="28"/>
      <c r="CF970" s="28"/>
      <c r="CG970" s="28"/>
      <c r="CH970" s="28"/>
      <c r="CI970" s="28"/>
      <c r="CJ970" s="28"/>
      <c r="CK970" s="28"/>
      <c r="CL970" s="28"/>
      <c r="CM970" s="28"/>
      <c r="CN970" s="28"/>
      <c r="CO970" s="28"/>
      <c r="CP970" s="28"/>
      <c r="CQ970" s="28"/>
      <c r="CR970" s="28"/>
      <c r="CS970" s="28"/>
      <c r="CT970" s="28"/>
      <c r="CU970" s="28"/>
      <c r="CV970" s="28"/>
      <c r="CW970" s="28"/>
    </row>
    <row r="971" spans="1:101" ht="14.25" customHeight="1" x14ac:dyDescent="0.2">
      <c r="A971" s="286"/>
      <c r="B971" s="52">
        <v>0.13245659415085054</v>
      </c>
      <c r="C971" s="288">
        <v>4.6025046704584412E-2</v>
      </c>
      <c r="D971" s="288">
        <v>2.0044479846309415E-2</v>
      </c>
      <c r="E971" s="288">
        <v>1.368422327639191E-2</v>
      </c>
      <c r="F971" s="289">
        <v>0.80899635857522922</v>
      </c>
      <c r="G971" s="92">
        <v>0.44694177805843671</v>
      </c>
      <c r="H971" s="288">
        <v>9.1970037613018155E-2</v>
      </c>
      <c r="I971" s="288">
        <v>1.6436493151964049E-2</v>
      </c>
      <c r="J971" s="288">
        <v>0.99994013302016571</v>
      </c>
      <c r="K971" s="288">
        <v>0.7908162313146011</v>
      </c>
      <c r="L971" s="290">
        <v>12454.77112075169</v>
      </c>
      <c r="M971" s="288">
        <v>0</v>
      </c>
      <c r="N971" s="288">
        <v>18011.181458053139</v>
      </c>
      <c r="O971" s="288">
        <v>1321.8910174432717</v>
      </c>
      <c r="P971" s="288">
        <v>47319.386308637324</v>
      </c>
      <c r="Q971" s="291">
        <v>105050.71936463199</v>
      </c>
      <c r="R971" s="288">
        <v>19494.767486084074</v>
      </c>
      <c r="S971" s="288">
        <v>7136.492696684475</v>
      </c>
      <c r="T971" s="290">
        <v>0.751</v>
      </c>
      <c r="U971" s="288">
        <v>0.75800000000000001</v>
      </c>
      <c r="V971" s="288">
        <v>0.723923076923077</v>
      </c>
      <c r="W971" s="288">
        <v>0.72750000000000004</v>
      </c>
      <c r="X971" s="288">
        <v>0.76</v>
      </c>
      <c r="Y971" s="288">
        <v>0</v>
      </c>
      <c r="Z971" s="289">
        <v>0</v>
      </c>
      <c r="AA971" s="229"/>
      <c r="AB971" s="293">
        <v>70199.818883006927</v>
      </c>
      <c r="AC971" s="294">
        <v>3.2775662708945141</v>
      </c>
      <c r="AD971" s="295">
        <v>58913.135414455443</v>
      </c>
      <c r="AE971" s="294">
        <v>3.1974036416889149</v>
      </c>
      <c r="AF971" s="295">
        <v>11286.683468551484</v>
      </c>
      <c r="AG971" s="296">
        <v>8.0162629205599245E-2</v>
      </c>
      <c r="AH971" s="229"/>
      <c r="AI971" s="205">
        <f t="shared" si="102"/>
        <v>257556.80820644449</v>
      </c>
      <c r="AJ971" s="205">
        <f t="shared" si="103"/>
        <v>260827.22875443607</v>
      </c>
      <c r="AK971" s="205">
        <f t="shared" si="104"/>
        <v>-3270.4205479915599</v>
      </c>
      <c r="AL971" s="229"/>
      <c r="AM971" s="52">
        <f t="shared" si="86"/>
        <v>0</v>
      </c>
      <c r="AN971" s="52">
        <f t="shared" si="87"/>
        <v>1</v>
      </c>
      <c r="AO971" s="52">
        <f t="shared" si="88"/>
        <v>0</v>
      </c>
      <c r="AP971" s="229"/>
      <c r="AQ971" s="28"/>
      <c r="AR971" s="28"/>
      <c r="AS971" s="28"/>
      <c r="AT971" s="28"/>
      <c r="AU971" s="229"/>
      <c r="AV971" s="318">
        <f t="shared" si="105"/>
        <v>260827.22875443607</v>
      </c>
      <c r="AW971" s="229"/>
      <c r="AX971" s="313"/>
      <c r="AY971" s="302"/>
      <c r="AZ971" s="14">
        <f t="shared" si="107"/>
        <v>11286.683468551484</v>
      </c>
      <c r="BA971" s="14">
        <f t="shared" si="106"/>
        <v>8.0162629205599245E-2</v>
      </c>
      <c r="BB971" s="14">
        <f t="shared" si="89"/>
        <v>140797.32140027071</v>
      </c>
      <c r="BC971" s="302"/>
      <c r="BD971" s="302"/>
      <c r="BE971" s="302"/>
      <c r="BF971" s="302"/>
      <c r="BG971" s="302"/>
      <c r="BH971" s="302"/>
      <c r="BI971" s="302"/>
      <c r="BJ971" s="302"/>
      <c r="BK971" s="302"/>
      <c r="BL971" s="302"/>
      <c r="BM971" s="302"/>
      <c r="BN971" s="302"/>
      <c r="BO971" s="302"/>
      <c r="BP971" s="302"/>
      <c r="BQ971" s="302"/>
      <c r="BR971" s="302"/>
      <c r="BS971" s="302"/>
      <c r="BT971" s="302"/>
      <c r="BU971" s="302"/>
      <c r="BV971" s="302"/>
      <c r="BW971" s="302"/>
      <c r="BX971" s="302"/>
      <c r="BY971" s="302"/>
      <c r="BZ971" s="302"/>
      <c r="CA971" s="302"/>
      <c r="CB971" s="28"/>
      <c r="CC971" s="28"/>
      <c r="CD971" s="28"/>
      <c r="CE971" s="28"/>
      <c r="CF971" s="28"/>
      <c r="CG971" s="28"/>
      <c r="CH971" s="28"/>
      <c r="CI971" s="28"/>
      <c r="CJ971" s="28"/>
      <c r="CK971" s="28"/>
      <c r="CL971" s="28"/>
      <c r="CM971" s="28"/>
      <c r="CN971" s="28"/>
      <c r="CO971" s="28"/>
      <c r="CP971" s="28"/>
      <c r="CQ971" s="28"/>
      <c r="CR971" s="28"/>
      <c r="CS971" s="28"/>
      <c r="CT971" s="28"/>
      <c r="CU971" s="28"/>
      <c r="CV971" s="28"/>
      <c r="CW971" s="28"/>
    </row>
    <row r="972" spans="1:101" ht="14.25" customHeight="1" x14ac:dyDescent="0.2">
      <c r="A972" s="286"/>
      <c r="B972" s="52">
        <v>0.16137188493669263</v>
      </c>
      <c r="C972" s="288">
        <v>0.40113095286661948</v>
      </c>
      <c r="D972" s="288">
        <v>1.1297079028185754E-2</v>
      </c>
      <c r="E972" s="288">
        <v>9.7175805112201703E-3</v>
      </c>
      <c r="F972" s="289">
        <v>0.79259451836915396</v>
      </c>
      <c r="G972" s="92">
        <v>0.42245546558152358</v>
      </c>
      <c r="H972" s="288">
        <v>0.50062060405807696</v>
      </c>
      <c r="I972" s="288">
        <v>3.0801986976893403E-2</v>
      </c>
      <c r="J972" s="288">
        <v>0.99589377475956542</v>
      </c>
      <c r="K972" s="288">
        <v>0.73535022130034844</v>
      </c>
      <c r="L972" s="290">
        <v>12730.585041274646</v>
      </c>
      <c r="M972" s="288">
        <v>0</v>
      </c>
      <c r="N972" s="288">
        <v>10612.495880590117</v>
      </c>
      <c r="O972" s="288">
        <v>1567.2909985134206</v>
      </c>
      <c r="P972" s="288">
        <v>35226.774872200011</v>
      </c>
      <c r="Q972" s="291">
        <v>89676.391085930532</v>
      </c>
      <c r="R972" s="288">
        <v>16894.671670803156</v>
      </c>
      <c r="S972" s="288">
        <v>8449.3073730152482</v>
      </c>
      <c r="T972" s="290">
        <v>0.751</v>
      </c>
      <c r="U972" s="288">
        <v>0.75800000000000001</v>
      </c>
      <c r="V972" s="288">
        <v>0.723923076923077</v>
      </c>
      <c r="W972" s="288">
        <v>0.72750000000000004</v>
      </c>
      <c r="X972" s="288">
        <v>0.76</v>
      </c>
      <c r="Y972" s="288">
        <v>0</v>
      </c>
      <c r="Z972" s="289">
        <v>0</v>
      </c>
      <c r="AA972" s="229"/>
      <c r="AB972" s="293">
        <v>80555.776490525313</v>
      </c>
      <c r="AC972" s="294">
        <v>3.2009206306659914</v>
      </c>
      <c r="AD972" s="295">
        <v>67929.437414294487</v>
      </c>
      <c r="AE972" s="294">
        <v>2.9409999822659105</v>
      </c>
      <c r="AF972" s="295">
        <v>12626.339076230826</v>
      </c>
      <c r="AG972" s="296">
        <v>0.25992064840008089</v>
      </c>
      <c r="AH972" s="229"/>
      <c r="AI972" s="205">
        <f t="shared" si="102"/>
        <v>239536.28657607382</v>
      </c>
      <c r="AJ972" s="205">
        <f t="shared" si="103"/>
        <v>226170.56081229655</v>
      </c>
      <c r="AK972" s="205">
        <f t="shared" si="104"/>
        <v>13365.725763777264</v>
      </c>
      <c r="AL972" s="229"/>
      <c r="AM972" s="52">
        <f t="shared" si="86"/>
        <v>1</v>
      </c>
      <c r="AN972" s="52">
        <f t="shared" si="87"/>
        <v>0</v>
      </c>
      <c r="AO972" s="52">
        <f t="shared" si="88"/>
        <v>1</v>
      </c>
      <c r="AP972" s="229"/>
      <c r="AQ972" s="28"/>
      <c r="AR972" s="28"/>
      <c r="AS972" s="28"/>
      <c r="AT972" s="28"/>
      <c r="AU972" s="229"/>
      <c r="AV972" s="318">
        <f t="shared" si="105"/>
        <v>239536.28657607382</v>
      </c>
      <c r="AW972" s="229"/>
      <c r="AX972" s="313"/>
      <c r="AY972" s="302"/>
      <c r="AZ972" s="14">
        <f t="shared" si="107"/>
        <v>12626.339076230826</v>
      </c>
      <c r="BA972" s="14">
        <f t="shared" si="106"/>
        <v>0.25992064840008089</v>
      </c>
      <c r="BB972" s="14">
        <f t="shared" si="89"/>
        <v>48577.668430542806</v>
      </c>
      <c r="BC972" s="302"/>
      <c r="BD972" s="302"/>
      <c r="BE972" s="302"/>
      <c r="BF972" s="302"/>
      <c r="BG972" s="302"/>
      <c r="BH972" s="302"/>
      <c r="BI972" s="302"/>
      <c r="BJ972" s="302"/>
      <c r="BK972" s="302"/>
      <c r="BL972" s="302"/>
      <c r="BM972" s="302"/>
      <c r="BN972" s="302"/>
      <c r="BO972" s="302"/>
      <c r="BP972" s="302"/>
      <c r="BQ972" s="302"/>
      <c r="BR972" s="302"/>
      <c r="BS972" s="302"/>
      <c r="BT972" s="302"/>
      <c r="BU972" s="302"/>
      <c r="BV972" s="302"/>
      <c r="BW972" s="302"/>
      <c r="BX972" s="302"/>
      <c r="BY972" s="302"/>
      <c r="BZ972" s="302"/>
      <c r="CA972" s="302"/>
      <c r="CB972" s="28"/>
      <c r="CC972" s="28"/>
      <c r="CD972" s="28"/>
      <c r="CE972" s="28"/>
      <c r="CF972" s="28"/>
      <c r="CG972" s="28"/>
      <c r="CH972" s="28"/>
      <c r="CI972" s="28"/>
      <c r="CJ972" s="28"/>
      <c r="CK972" s="28"/>
      <c r="CL972" s="28"/>
      <c r="CM972" s="28"/>
      <c r="CN972" s="28"/>
      <c r="CO972" s="28"/>
      <c r="CP972" s="28"/>
      <c r="CQ972" s="28"/>
      <c r="CR972" s="28"/>
      <c r="CS972" s="28"/>
      <c r="CT972" s="28"/>
      <c r="CU972" s="28"/>
      <c r="CV972" s="28"/>
      <c r="CW972" s="28"/>
    </row>
    <row r="973" spans="1:101" ht="14.25" customHeight="1" x14ac:dyDescent="0.2">
      <c r="A973" s="286"/>
      <c r="B973" s="52">
        <v>0.12844815805328355</v>
      </c>
      <c r="C973" s="288">
        <v>2.7452004265406834E-2</v>
      </c>
      <c r="D973" s="288">
        <v>1.9066956421381565E-2</v>
      </c>
      <c r="E973" s="288">
        <v>1.1325309905420985E-2</v>
      </c>
      <c r="F973" s="289">
        <v>0.76487637032801759</v>
      </c>
      <c r="G973" s="92">
        <v>0.44405137384835813</v>
      </c>
      <c r="H973" s="288">
        <v>0.51689697942999946</v>
      </c>
      <c r="I973" s="288">
        <v>9.0677005082708453E-3</v>
      </c>
      <c r="J973" s="288">
        <v>0.99999997721842149</v>
      </c>
      <c r="K973" s="288">
        <v>0.75356571843849018</v>
      </c>
      <c r="L973" s="290">
        <v>15150.607801981945</v>
      </c>
      <c r="M973" s="288">
        <v>0</v>
      </c>
      <c r="N973" s="288">
        <v>18638.035682520789</v>
      </c>
      <c r="O973" s="288">
        <v>922.01993561060658</v>
      </c>
      <c r="P973" s="288">
        <v>36218.222749848399</v>
      </c>
      <c r="Q973" s="291">
        <v>70253.728831089466</v>
      </c>
      <c r="R973" s="288">
        <v>23607.187158719906</v>
      </c>
      <c r="S973" s="288">
        <v>9906.2783184144155</v>
      </c>
      <c r="T973" s="290">
        <v>0.751</v>
      </c>
      <c r="U973" s="288">
        <v>0.75800000000000001</v>
      </c>
      <c r="V973" s="288">
        <v>0.723923076923077</v>
      </c>
      <c r="W973" s="288">
        <v>0.72750000000000004</v>
      </c>
      <c r="X973" s="288">
        <v>0.76</v>
      </c>
      <c r="Y973" s="288">
        <v>0</v>
      </c>
      <c r="Z973" s="289">
        <v>0</v>
      </c>
      <c r="AA973" s="229"/>
      <c r="AB973" s="293">
        <v>90556.256274406041</v>
      </c>
      <c r="AC973" s="294">
        <v>3.072353072096369</v>
      </c>
      <c r="AD973" s="295">
        <v>80723.08613417481</v>
      </c>
      <c r="AE973" s="294">
        <v>3.0246702962588929</v>
      </c>
      <c r="AF973" s="295">
        <v>9833.1701402312319</v>
      </c>
      <c r="AG973" s="296">
        <v>4.7682775837476044E-2</v>
      </c>
      <c r="AH973" s="229"/>
      <c r="AI973" s="205">
        <f t="shared" si="102"/>
        <v>216679.05093523086</v>
      </c>
      <c r="AJ973" s="205">
        <f t="shared" si="103"/>
        <v>221743.94349171451</v>
      </c>
      <c r="AK973" s="205">
        <f t="shared" si="104"/>
        <v>-5064.8925564836272</v>
      </c>
      <c r="AL973" s="229"/>
      <c r="AM973" s="52">
        <f t="shared" si="86"/>
        <v>0</v>
      </c>
      <c r="AN973" s="52">
        <f t="shared" si="87"/>
        <v>1</v>
      </c>
      <c r="AO973" s="52">
        <f t="shared" si="88"/>
        <v>0</v>
      </c>
      <c r="AP973" s="229"/>
      <c r="AQ973" s="28"/>
      <c r="AR973" s="28"/>
      <c r="AS973" s="28"/>
      <c r="AT973" s="28"/>
      <c r="AU973" s="229"/>
      <c r="AV973" s="318">
        <f t="shared" si="105"/>
        <v>221743.94349171451</v>
      </c>
      <c r="AW973" s="229"/>
      <c r="AX973" s="313"/>
      <c r="AY973" s="302"/>
      <c r="AZ973" s="14">
        <f t="shared" si="107"/>
        <v>9833.1701402312319</v>
      </c>
      <c r="BA973" s="14">
        <f t="shared" si="106"/>
        <v>4.7682775837476044E-2</v>
      </c>
      <c r="BB973" s="14">
        <f t="shared" si="89"/>
        <v>206220.58945869716</v>
      </c>
      <c r="BC973" s="302"/>
      <c r="BD973" s="302"/>
      <c r="BE973" s="302"/>
      <c r="BF973" s="302"/>
      <c r="BG973" s="302"/>
      <c r="BH973" s="302"/>
      <c r="BI973" s="302"/>
      <c r="BJ973" s="302"/>
      <c r="BK973" s="302"/>
      <c r="BL973" s="302"/>
      <c r="BM973" s="302"/>
      <c r="BN973" s="302"/>
      <c r="BO973" s="302"/>
      <c r="BP973" s="302"/>
      <c r="BQ973" s="302"/>
      <c r="BR973" s="302"/>
      <c r="BS973" s="302"/>
      <c r="BT973" s="302"/>
      <c r="BU973" s="302"/>
      <c r="BV973" s="302"/>
      <c r="BW973" s="302"/>
      <c r="BX973" s="302"/>
      <c r="BY973" s="302"/>
      <c r="BZ973" s="302"/>
      <c r="CA973" s="302"/>
      <c r="CB973" s="28"/>
      <c r="CC973" s="28"/>
      <c r="CD973" s="28"/>
      <c r="CE973" s="28"/>
      <c r="CF973" s="28"/>
      <c r="CG973" s="28"/>
      <c r="CH973" s="28"/>
      <c r="CI973" s="28"/>
      <c r="CJ973" s="28"/>
      <c r="CK973" s="28"/>
      <c r="CL973" s="28"/>
      <c r="CM973" s="28"/>
      <c r="CN973" s="28"/>
      <c r="CO973" s="28"/>
      <c r="CP973" s="28"/>
      <c r="CQ973" s="28"/>
      <c r="CR973" s="28"/>
      <c r="CS973" s="28"/>
      <c r="CT973" s="28"/>
      <c r="CU973" s="28"/>
      <c r="CV973" s="28"/>
      <c r="CW973" s="28"/>
    </row>
    <row r="974" spans="1:101" ht="14.25" customHeight="1" x14ac:dyDescent="0.2">
      <c r="A974" s="286"/>
      <c r="B974" s="52">
        <v>0.19591051715333618</v>
      </c>
      <c r="C974" s="288">
        <v>0.29858968803754282</v>
      </c>
      <c r="D974" s="288">
        <v>1.0354925881843851E-2</v>
      </c>
      <c r="E974" s="288">
        <v>1.4187455814902019E-2</v>
      </c>
      <c r="F974" s="289">
        <v>0.78409554420890704</v>
      </c>
      <c r="G974" s="92">
        <v>0.41347306249570326</v>
      </c>
      <c r="H974" s="288">
        <v>0.33479387984460696</v>
      </c>
      <c r="I974" s="288">
        <v>1.5653220521516478E-2</v>
      </c>
      <c r="J974" s="288">
        <v>0.99999999999810185</v>
      </c>
      <c r="K974" s="288">
        <v>0.73025710053051129</v>
      </c>
      <c r="L974" s="290">
        <v>12645.314723328409</v>
      </c>
      <c r="M974" s="288">
        <v>0</v>
      </c>
      <c r="N974" s="288">
        <v>16472.41894175917</v>
      </c>
      <c r="O974" s="288">
        <v>1440.2493826981415</v>
      </c>
      <c r="P974" s="288">
        <v>38014.830622623522</v>
      </c>
      <c r="Q974" s="291">
        <v>140148.60295837032</v>
      </c>
      <c r="R974" s="288">
        <v>24445.503976532535</v>
      </c>
      <c r="S974" s="288">
        <v>9251.2921262898453</v>
      </c>
      <c r="T974" s="290">
        <v>0.751</v>
      </c>
      <c r="U974" s="288">
        <v>0.75800000000000001</v>
      </c>
      <c r="V974" s="288">
        <v>0.723923076923077</v>
      </c>
      <c r="W974" s="288">
        <v>0.72750000000000004</v>
      </c>
      <c r="X974" s="288">
        <v>0.76</v>
      </c>
      <c r="Y974" s="288">
        <v>0</v>
      </c>
      <c r="Z974" s="289">
        <v>0</v>
      </c>
      <c r="AA974" s="229"/>
      <c r="AB974" s="293">
        <v>86473.498781781745</v>
      </c>
      <c r="AC974" s="294">
        <v>3.1613709787408202</v>
      </c>
      <c r="AD974" s="295">
        <v>72599.422806144925</v>
      </c>
      <c r="AE974" s="294">
        <v>2.9176990123422062</v>
      </c>
      <c r="AF974" s="295">
        <v>13874.075975636821</v>
      </c>
      <c r="AG974" s="296">
        <v>0.24367196639861399</v>
      </c>
      <c r="AH974" s="229"/>
      <c r="AI974" s="205">
        <f t="shared" ref="AI974:AI1013" si="108">AC974*cRatio-AB974</f>
        <v>229663.59909230028</v>
      </c>
      <c r="AJ974" s="205">
        <f t="shared" ref="AJ974:AJ1013" si="109">AE974*cRatio-AD974</f>
        <v>219170.47842807567</v>
      </c>
      <c r="AK974" s="205">
        <f t="shared" ref="AK974:AK1013" si="110">AG974*cRatio-AF974</f>
        <v>10493.120664224578</v>
      </c>
      <c r="AL974" s="229"/>
      <c r="AM974" s="52">
        <f t="shared" si="86"/>
        <v>1</v>
      </c>
      <c r="AN974" s="52">
        <f t="shared" si="87"/>
        <v>0</v>
      </c>
      <c r="AO974" s="52">
        <f t="shared" si="88"/>
        <v>1</v>
      </c>
      <c r="AP974" s="229"/>
      <c r="AQ974" s="28"/>
      <c r="AR974" s="28"/>
      <c r="AS974" s="28"/>
      <c r="AT974" s="28"/>
      <c r="AU974" s="229"/>
      <c r="AV974" s="318">
        <f t="shared" si="105"/>
        <v>229663.59909230028</v>
      </c>
      <c r="AW974" s="229"/>
      <c r="AX974" s="313"/>
      <c r="AY974" s="302"/>
      <c r="AZ974" s="14">
        <f t="shared" si="107"/>
        <v>13874.075975636821</v>
      </c>
      <c r="BA974" s="14">
        <f t="shared" si="106"/>
        <v>0.24367196639861399</v>
      </c>
      <c r="BB974" s="14">
        <f t="shared" si="89"/>
        <v>56937.51390728604</v>
      </c>
      <c r="BC974" s="302"/>
      <c r="BD974" s="302"/>
      <c r="BE974" s="302"/>
      <c r="BF974" s="302"/>
      <c r="BG974" s="302"/>
      <c r="BH974" s="302"/>
      <c r="BI974" s="302"/>
      <c r="BJ974" s="302"/>
      <c r="BK974" s="302"/>
      <c r="BL974" s="302"/>
      <c r="BM974" s="302"/>
      <c r="BN974" s="302"/>
      <c r="BO974" s="302"/>
      <c r="BP974" s="302"/>
      <c r="BQ974" s="302"/>
      <c r="BR974" s="302"/>
      <c r="BS974" s="302"/>
      <c r="BT974" s="302"/>
      <c r="BU974" s="302"/>
      <c r="BV974" s="302"/>
      <c r="BW974" s="302"/>
      <c r="BX974" s="302"/>
      <c r="BY974" s="302"/>
      <c r="BZ974" s="302"/>
      <c r="CA974" s="302"/>
      <c r="CB974" s="28"/>
      <c r="CC974" s="28"/>
      <c r="CD974" s="28"/>
      <c r="CE974" s="28"/>
      <c r="CF974" s="28"/>
      <c r="CG974" s="28"/>
      <c r="CH974" s="28"/>
      <c r="CI974" s="28"/>
      <c r="CJ974" s="28"/>
      <c r="CK974" s="28"/>
      <c r="CL974" s="28"/>
      <c r="CM974" s="28"/>
      <c r="CN974" s="28"/>
      <c r="CO974" s="28"/>
      <c r="CP974" s="28"/>
      <c r="CQ974" s="28"/>
      <c r="CR974" s="28"/>
      <c r="CS974" s="28"/>
      <c r="CT974" s="28"/>
      <c r="CU974" s="28"/>
      <c r="CV974" s="28"/>
      <c r="CW974" s="28"/>
    </row>
    <row r="975" spans="1:101" ht="14.25" customHeight="1" x14ac:dyDescent="0.2">
      <c r="A975" s="286"/>
      <c r="B975" s="52">
        <v>0.16876669480004913</v>
      </c>
      <c r="C975" s="288">
        <v>0.77040072064062903</v>
      </c>
      <c r="D975" s="288">
        <v>1.6752071828594395E-2</v>
      </c>
      <c r="E975" s="288">
        <v>1.7055022430442435E-2</v>
      </c>
      <c r="F975" s="289">
        <v>0.80041624057802618</v>
      </c>
      <c r="G975" s="92">
        <v>0.38505903747002973</v>
      </c>
      <c r="H975" s="288">
        <v>0.5993673013105596</v>
      </c>
      <c r="I975" s="288">
        <v>1.6346082037165477E-2</v>
      </c>
      <c r="J975" s="288">
        <v>0.99999528403199944</v>
      </c>
      <c r="K975" s="288">
        <v>0.77345353131700401</v>
      </c>
      <c r="L975" s="290">
        <v>13596.98569494185</v>
      </c>
      <c r="M975" s="288">
        <v>0</v>
      </c>
      <c r="N975" s="288">
        <v>19142.528500670804</v>
      </c>
      <c r="O975" s="288">
        <v>1387.1562077654667</v>
      </c>
      <c r="P975" s="288">
        <v>71812.457181840087</v>
      </c>
      <c r="Q975" s="291">
        <v>73108.028729688478</v>
      </c>
      <c r="R975" s="288">
        <v>21949.340671258669</v>
      </c>
      <c r="S975" s="288">
        <v>7895.0097734070878</v>
      </c>
      <c r="T975" s="290">
        <v>0.751</v>
      </c>
      <c r="U975" s="288">
        <v>0.75800000000000001</v>
      </c>
      <c r="V975" s="288">
        <v>0.723923076923077</v>
      </c>
      <c r="W975" s="288">
        <v>0.72750000000000004</v>
      </c>
      <c r="X975" s="288">
        <v>0.76</v>
      </c>
      <c r="Y975" s="288">
        <v>0</v>
      </c>
      <c r="Z975" s="289">
        <v>0</v>
      </c>
      <c r="AA975" s="229"/>
      <c r="AB975" s="293">
        <v>79471.431421873858</v>
      </c>
      <c r="AC975" s="294">
        <v>3.2374188306614071</v>
      </c>
      <c r="AD975" s="295">
        <v>67546.609507865898</v>
      </c>
      <c r="AE975" s="294">
        <v>3.1166193908923576</v>
      </c>
      <c r="AF975" s="295">
        <v>11924.82191400796</v>
      </c>
      <c r="AG975" s="296">
        <v>0.1207994397690495</v>
      </c>
      <c r="AH975" s="229"/>
      <c r="AI975" s="205">
        <f t="shared" si="108"/>
        <v>244270.45164426684</v>
      </c>
      <c r="AJ975" s="205">
        <f t="shared" si="109"/>
        <v>244115.32958136982</v>
      </c>
      <c r="AK975" s="205">
        <f t="shared" si="110"/>
        <v>155.12206289698952</v>
      </c>
      <c r="AL975" s="229"/>
      <c r="AM975" s="52">
        <f t="shared" si="86"/>
        <v>1</v>
      </c>
      <c r="AN975" s="52">
        <f t="shared" si="87"/>
        <v>0</v>
      </c>
      <c r="AO975" s="52">
        <f t="shared" si="88"/>
        <v>1</v>
      </c>
      <c r="AP975" s="229"/>
      <c r="AQ975" s="28"/>
      <c r="AR975" s="28"/>
      <c r="AS975" s="28"/>
      <c r="AT975" s="28"/>
      <c r="AU975" s="229"/>
      <c r="AV975" s="318">
        <f t="shared" ref="AV975:AV1013" si="111">MAX(AI975:AJ975)</f>
        <v>244270.45164426684</v>
      </c>
      <c r="AW975" s="229"/>
      <c r="AX975" s="313"/>
      <c r="AY975" s="302"/>
      <c r="AZ975" s="14">
        <f t="shared" si="107"/>
        <v>11924.82191400796</v>
      </c>
      <c r="BA975" s="14">
        <f t="shared" ref="BA975:BA1013" si="112">AG975</f>
        <v>0.1207994397690495</v>
      </c>
      <c r="BB975" s="14">
        <f t="shared" si="89"/>
        <v>98715.871007402355</v>
      </c>
      <c r="BC975" s="302"/>
      <c r="BD975" s="302"/>
      <c r="BE975" s="302"/>
      <c r="BF975" s="302"/>
      <c r="BG975" s="302"/>
      <c r="BH975" s="302"/>
      <c r="BI975" s="302"/>
      <c r="BJ975" s="302"/>
      <c r="BK975" s="302"/>
      <c r="BL975" s="302"/>
      <c r="BM975" s="302"/>
      <c r="BN975" s="302"/>
      <c r="BO975" s="302"/>
      <c r="BP975" s="302"/>
      <c r="BQ975" s="302"/>
      <c r="BR975" s="302"/>
      <c r="BS975" s="302"/>
      <c r="BT975" s="302"/>
      <c r="BU975" s="302"/>
      <c r="BV975" s="302"/>
      <c r="BW975" s="302"/>
      <c r="BX975" s="302"/>
      <c r="BY975" s="302"/>
      <c r="BZ975" s="302"/>
      <c r="CA975" s="302"/>
      <c r="CB975" s="28"/>
      <c r="CC975" s="28"/>
      <c r="CD975" s="28"/>
      <c r="CE975" s="28"/>
      <c r="CF975" s="28"/>
      <c r="CG975" s="28"/>
      <c r="CH975" s="28"/>
      <c r="CI975" s="28"/>
      <c r="CJ975" s="28"/>
      <c r="CK975" s="28"/>
      <c r="CL975" s="28"/>
      <c r="CM975" s="28"/>
      <c r="CN975" s="28"/>
      <c r="CO975" s="28"/>
      <c r="CP975" s="28"/>
      <c r="CQ975" s="28"/>
      <c r="CR975" s="28"/>
      <c r="CS975" s="28"/>
      <c r="CT975" s="28"/>
      <c r="CU975" s="28"/>
      <c r="CV975" s="28"/>
      <c r="CW975" s="28"/>
    </row>
    <row r="976" spans="1:101" ht="14.25" customHeight="1" x14ac:dyDescent="0.2">
      <c r="A976" s="286"/>
      <c r="B976" s="52">
        <v>0.1329633852966346</v>
      </c>
      <c r="C976" s="288">
        <v>0.34711739602951375</v>
      </c>
      <c r="D976" s="288">
        <v>5.3966402559422422E-2</v>
      </c>
      <c r="E976" s="288">
        <v>8.9199876250321015E-3</v>
      </c>
      <c r="F976" s="289">
        <v>0.75822594205860494</v>
      </c>
      <c r="G976" s="92">
        <v>0.46703334239902683</v>
      </c>
      <c r="H976" s="288">
        <v>0.11922153078487208</v>
      </c>
      <c r="I976" s="288">
        <v>5.209659833483809E-3</v>
      </c>
      <c r="J976" s="288">
        <v>0.99999909868072234</v>
      </c>
      <c r="K976" s="288">
        <v>0.77416543451470343</v>
      </c>
      <c r="L976" s="290">
        <v>10401.938867512934</v>
      </c>
      <c r="M976" s="288">
        <v>0</v>
      </c>
      <c r="N976" s="288">
        <v>17408.933723192567</v>
      </c>
      <c r="O976" s="288">
        <v>1154.1024857678008</v>
      </c>
      <c r="P976" s="288">
        <v>25079.457254597219</v>
      </c>
      <c r="Q976" s="291">
        <v>90156.821819795339</v>
      </c>
      <c r="R976" s="288">
        <v>25354.351756684064</v>
      </c>
      <c r="S976" s="288">
        <v>10053.136005925648</v>
      </c>
      <c r="T976" s="290">
        <v>0.751</v>
      </c>
      <c r="U976" s="288">
        <v>0.75800000000000001</v>
      </c>
      <c r="V976" s="288">
        <v>0.723923076923077</v>
      </c>
      <c r="W976" s="288">
        <v>0.72750000000000004</v>
      </c>
      <c r="X976" s="288">
        <v>0.76</v>
      </c>
      <c r="Y976" s="288">
        <v>0</v>
      </c>
      <c r="Z976" s="289">
        <v>0</v>
      </c>
      <c r="AA976" s="229"/>
      <c r="AB976" s="293">
        <v>87855.892367965556</v>
      </c>
      <c r="AC976" s="294">
        <v>3.0416850501143613</v>
      </c>
      <c r="AD976" s="295">
        <v>79893.983936917532</v>
      </c>
      <c r="AE976" s="294">
        <v>3.1199223541380054</v>
      </c>
      <c r="AF976" s="295">
        <v>7961.9084310480248</v>
      </c>
      <c r="AG976" s="296">
        <v>-7.823730402364415E-2</v>
      </c>
      <c r="AH976" s="229"/>
      <c r="AI976" s="205">
        <f t="shared" si="108"/>
        <v>216312.61264347058</v>
      </c>
      <c r="AJ976" s="205">
        <f t="shared" si="109"/>
        <v>232098.25147688299</v>
      </c>
      <c r="AK976" s="205">
        <f t="shared" si="110"/>
        <v>-15785.638833412439</v>
      </c>
      <c r="AL976" s="229"/>
      <c r="AM976" s="52">
        <f t="shared" si="86"/>
        <v>0</v>
      </c>
      <c r="AN976" s="52">
        <f t="shared" si="87"/>
        <v>1</v>
      </c>
      <c r="AO976" s="52">
        <f t="shared" si="88"/>
        <v>0</v>
      </c>
      <c r="AP976" s="229"/>
      <c r="AQ976" s="28"/>
      <c r="AR976" s="28"/>
      <c r="AS976" s="28"/>
      <c r="AT976" s="28"/>
      <c r="AU976" s="229"/>
      <c r="AV976" s="318">
        <f t="shared" si="111"/>
        <v>232098.25147688299</v>
      </c>
      <c r="AW976" s="229"/>
      <c r="AX976" s="313"/>
      <c r="AY976" s="302"/>
      <c r="AZ976" s="14">
        <f t="shared" ref="AZ976:AZ1013" si="113">AF976</f>
        <v>7961.9084310480248</v>
      </c>
      <c r="BA976" s="14">
        <f t="shared" si="112"/>
        <v>-7.823730402364415E-2</v>
      </c>
      <c r="BB976" s="14">
        <f t="shared" si="89"/>
        <v>-101766.13995597101</v>
      </c>
      <c r="BC976" s="302"/>
      <c r="BD976" s="302"/>
      <c r="BE976" s="302"/>
      <c r="BF976" s="302"/>
      <c r="BG976" s="302"/>
      <c r="BH976" s="302"/>
      <c r="BI976" s="302"/>
      <c r="BJ976" s="302"/>
      <c r="BK976" s="302"/>
      <c r="BL976" s="302"/>
      <c r="BM976" s="302"/>
      <c r="BN976" s="302"/>
      <c r="BO976" s="302"/>
      <c r="BP976" s="302"/>
      <c r="BQ976" s="302"/>
      <c r="BR976" s="302"/>
      <c r="BS976" s="302"/>
      <c r="BT976" s="302"/>
      <c r="BU976" s="302"/>
      <c r="BV976" s="302"/>
      <c r="BW976" s="302"/>
      <c r="BX976" s="302"/>
      <c r="BY976" s="302"/>
      <c r="BZ976" s="302"/>
      <c r="CA976" s="302"/>
      <c r="CB976" s="28"/>
      <c r="CC976" s="28"/>
      <c r="CD976" s="28"/>
      <c r="CE976" s="28"/>
      <c r="CF976" s="28"/>
      <c r="CG976" s="28"/>
      <c r="CH976" s="28"/>
      <c r="CI976" s="28"/>
      <c r="CJ976" s="28"/>
      <c r="CK976" s="28"/>
      <c r="CL976" s="28"/>
      <c r="CM976" s="28"/>
      <c r="CN976" s="28"/>
      <c r="CO976" s="28"/>
      <c r="CP976" s="28"/>
      <c r="CQ976" s="28"/>
      <c r="CR976" s="28"/>
      <c r="CS976" s="28"/>
      <c r="CT976" s="28"/>
      <c r="CU976" s="28"/>
      <c r="CV976" s="28"/>
      <c r="CW976" s="28"/>
    </row>
    <row r="977" spans="1:101" ht="14.25" customHeight="1" x14ac:dyDescent="0.2">
      <c r="A977" s="286"/>
      <c r="B977" s="52">
        <v>0.1300645130194899</v>
      </c>
      <c r="C977" s="288">
        <v>0.21663592381082683</v>
      </c>
      <c r="D977" s="288">
        <v>2.3055063642447915E-2</v>
      </c>
      <c r="E977" s="288">
        <v>2.0419940921381774E-2</v>
      </c>
      <c r="F977" s="289">
        <v>0.72935701320110125</v>
      </c>
      <c r="G977" s="92">
        <v>0.44583150026195661</v>
      </c>
      <c r="H977" s="288">
        <v>0.98564515156324517</v>
      </c>
      <c r="I977" s="288">
        <v>6.6080023046508844E-3</v>
      </c>
      <c r="J977" s="288">
        <v>0.99990431388692647</v>
      </c>
      <c r="K977" s="288">
        <v>0.73471252594873759</v>
      </c>
      <c r="L977" s="290">
        <v>8097.4676746020741</v>
      </c>
      <c r="M977" s="288">
        <v>0</v>
      </c>
      <c r="N977" s="288">
        <v>18034.516727602317</v>
      </c>
      <c r="O977" s="288">
        <v>1182.9753435276216</v>
      </c>
      <c r="P977" s="288">
        <v>59841.157408651787</v>
      </c>
      <c r="Q977" s="291">
        <v>83558.99050116459</v>
      </c>
      <c r="R977" s="288">
        <v>26530.417093356213</v>
      </c>
      <c r="S977" s="288">
        <v>7248.2568364464778</v>
      </c>
      <c r="T977" s="290">
        <v>0.751</v>
      </c>
      <c r="U977" s="288">
        <v>0.75800000000000001</v>
      </c>
      <c r="V977" s="288">
        <v>0.723923076923077</v>
      </c>
      <c r="W977" s="288">
        <v>0.72750000000000004</v>
      </c>
      <c r="X977" s="288">
        <v>0.76</v>
      </c>
      <c r="Y977" s="288">
        <v>0</v>
      </c>
      <c r="Z977" s="289">
        <v>0</v>
      </c>
      <c r="AA977" s="229"/>
      <c r="AB977" s="293">
        <v>61603.297511189492</v>
      </c>
      <c r="AC977" s="294">
        <v>2.909362017016103</v>
      </c>
      <c r="AD977" s="295">
        <v>65703.496176922985</v>
      </c>
      <c r="AE977" s="294">
        <v>2.9380802940200477</v>
      </c>
      <c r="AF977" s="295">
        <v>-4100.1986657334928</v>
      </c>
      <c r="AG977" s="296">
        <v>-2.8718277003944692E-2</v>
      </c>
      <c r="AH977" s="229"/>
      <c r="AI977" s="205">
        <f t="shared" si="108"/>
        <v>229332.90419042081</v>
      </c>
      <c r="AJ977" s="205">
        <f t="shared" si="109"/>
        <v>228104.5332250818</v>
      </c>
      <c r="AK977" s="205">
        <f t="shared" si="110"/>
        <v>1228.3709653390238</v>
      </c>
      <c r="AL977" s="229"/>
      <c r="AM977" s="52">
        <f t="shared" si="86"/>
        <v>1</v>
      </c>
      <c r="AN977" s="52">
        <f t="shared" si="87"/>
        <v>0</v>
      </c>
      <c r="AO977" s="52">
        <f t="shared" si="88"/>
        <v>1</v>
      </c>
      <c r="AP977" s="229"/>
      <c r="AQ977" s="28"/>
      <c r="AR977" s="28"/>
      <c r="AS977" s="28"/>
      <c r="AT977" s="28"/>
      <c r="AU977" s="229"/>
      <c r="AV977" s="318">
        <f t="shared" si="111"/>
        <v>229332.90419042081</v>
      </c>
      <c r="AW977" s="229"/>
      <c r="AX977" s="313"/>
      <c r="AY977" s="302"/>
      <c r="AZ977" s="14">
        <f t="shared" si="113"/>
        <v>-4100.1986657334928</v>
      </c>
      <c r="BA977" s="14">
        <f t="shared" si="112"/>
        <v>-2.8718277003944692E-2</v>
      </c>
      <c r="BB977" s="14">
        <f t="shared" si="89"/>
        <v>142773.1428724048</v>
      </c>
      <c r="BC977" s="302"/>
      <c r="BD977" s="302"/>
      <c r="BE977" s="302"/>
      <c r="BF977" s="302"/>
      <c r="BG977" s="302"/>
      <c r="BH977" s="302"/>
      <c r="BI977" s="302"/>
      <c r="BJ977" s="302"/>
      <c r="BK977" s="302"/>
      <c r="BL977" s="302"/>
      <c r="BM977" s="302"/>
      <c r="BN977" s="302"/>
      <c r="BO977" s="302"/>
      <c r="BP977" s="302"/>
      <c r="BQ977" s="302"/>
      <c r="BR977" s="302"/>
      <c r="BS977" s="302"/>
      <c r="BT977" s="302"/>
      <c r="BU977" s="302"/>
      <c r="BV977" s="302"/>
      <c r="BW977" s="302"/>
      <c r="BX977" s="302"/>
      <c r="BY977" s="302"/>
      <c r="BZ977" s="302"/>
      <c r="CA977" s="302"/>
      <c r="CB977" s="28"/>
      <c r="CC977" s="28"/>
      <c r="CD977" s="28"/>
      <c r="CE977" s="28"/>
      <c r="CF977" s="28"/>
      <c r="CG977" s="28"/>
      <c r="CH977" s="28"/>
      <c r="CI977" s="28"/>
      <c r="CJ977" s="28"/>
      <c r="CK977" s="28"/>
      <c r="CL977" s="28"/>
      <c r="CM977" s="28"/>
      <c r="CN977" s="28"/>
      <c r="CO977" s="28"/>
      <c r="CP977" s="28"/>
      <c r="CQ977" s="28"/>
      <c r="CR977" s="28"/>
      <c r="CS977" s="28"/>
      <c r="CT977" s="28"/>
      <c r="CU977" s="28"/>
      <c r="CV977" s="28"/>
      <c r="CW977" s="28"/>
    </row>
    <row r="978" spans="1:101" ht="14.25" customHeight="1" x14ac:dyDescent="0.2">
      <c r="A978" s="286"/>
      <c r="B978" s="52">
        <v>0.1481315904113594</v>
      </c>
      <c r="C978" s="288">
        <v>0.35258799196053248</v>
      </c>
      <c r="D978" s="288">
        <v>1.7677073785295705E-2</v>
      </c>
      <c r="E978" s="288">
        <v>1.1558597137164657E-2</v>
      </c>
      <c r="F978" s="289">
        <v>0.78864213330989719</v>
      </c>
      <c r="G978" s="92">
        <v>0.39844827057490356</v>
      </c>
      <c r="H978" s="288">
        <v>2.30961024605131E-2</v>
      </c>
      <c r="I978" s="288">
        <v>1.2295588459492492E-2</v>
      </c>
      <c r="J978" s="288">
        <v>0.99999999999999989</v>
      </c>
      <c r="K978" s="288">
        <v>0.79336010693324499</v>
      </c>
      <c r="L978" s="290">
        <v>12029.377791556779</v>
      </c>
      <c r="M978" s="288">
        <v>0</v>
      </c>
      <c r="N978" s="288">
        <v>20878.096785100253</v>
      </c>
      <c r="O978" s="288">
        <v>1303.6808523820437</v>
      </c>
      <c r="P978" s="288">
        <v>54492.243339021952</v>
      </c>
      <c r="Q978" s="291">
        <v>60902.021906394169</v>
      </c>
      <c r="R978" s="288">
        <v>26280.43622237839</v>
      </c>
      <c r="S978" s="288">
        <v>9982.1595330862619</v>
      </c>
      <c r="T978" s="290">
        <v>0.751</v>
      </c>
      <c r="U978" s="288">
        <v>0.75800000000000001</v>
      </c>
      <c r="V978" s="288">
        <v>0.723923076923077</v>
      </c>
      <c r="W978" s="288">
        <v>0.72750000000000004</v>
      </c>
      <c r="X978" s="288">
        <v>0.76</v>
      </c>
      <c r="Y978" s="288">
        <v>0</v>
      </c>
      <c r="Z978" s="289">
        <v>0</v>
      </c>
      <c r="AA978" s="229"/>
      <c r="AB978" s="293">
        <v>91711.135593129657</v>
      </c>
      <c r="AC978" s="294">
        <v>3.1825142647485918</v>
      </c>
      <c r="AD978" s="295">
        <v>80440.461646400494</v>
      </c>
      <c r="AE978" s="294">
        <v>3.209279561944558</v>
      </c>
      <c r="AF978" s="295">
        <v>11270.673946729163</v>
      </c>
      <c r="AG978" s="296">
        <v>-2.6765297195966209E-2</v>
      </c>
      <c r="AH978" s="229"/>
      <c r="AI978" s="205">
        <f t="shared" si="108"/>
        <v>226540.29088172951</v>
      </c>
      <c r="AJ978" s="205">
        <f t="shared" si="109"/>
        <v>240487.49454805529</v>
      </c>
      <c r="AK978" s="205">
        <f t="shared" si="110"/>
        <v>-13947.203666325784</v>
      </c>
      <c r="AL978" s="229"/>
      <c r="AM978" s="52">
        <f t="shared" si="86"/>
        <v>0</v>
      </c>
      <c r="AN978" s="52">
        <f t="shared" si="87"/>
        <v>1</v>
      </c>
      <c r="AO978" s="52">
        <f t="shared" si="88"/>
        <v>0</v>
      </c>
      <c r="AP978" s="229"/>
      <c r="AQ978" s="28"/>
      <c r="AR978" s="28"/>
      <c r="AS978" s="28"/>
      <c r="AT978" s="28"/>
      <c r="AU978" s="229"/>
      <c r="AV978" s="318">
        <f t="shared" si="111"/>
        <v>240487.49454805529</v>
      </c>
      <c r="AW978" s="229"/>
      <c r="AX978" s="313"/>
      <c r="AY978" s="302"/>
      <c r="AZ978" s="14">
        <f t="shared" si="113"/>
        <v>11270.673946729163</v>
      </c>
      <c r="BA978" s="14">
        <f t="shared" si="112"/>
        <v>-2.6765297195966209E-2</v>
      </c>
      <c r="BB978" s="14">
        <f t="shared" si="89"/>
        <v>-421092.8002857283</v>
      </c>
      <c r="BC978" s="302"/>
      <c r="BD978" s="302"/>
      <c r="BE978" s="302"/>
      <c r="BF978" s="302"/>
      <c r="BG978" s="302"/>
      <c r="BH978" s="302"/>
      <c r="BI978" s="302"/>
      <c r="BJ978" s="302"/>
      <c r="BK978" s="302"/>
      <c r="BL978" s="302"/>
      <c r="BM978" s="302"/>
      <c r="BN978" s="302"/>
      <c r="BO978" s="302"/>
      <c r="BP978" s="302"/>
      <c r="BQ978" s="302"/>
      <c r="BR978" s="302"/>
      <c r="BS978" s="302"/>
      <c r="BT978" s="302"/>
      <c r="BU978" s="302"/>
      <c r="BV978" s="302"/>
      <c r="BW978" s="302"/>
      <c r="BX978" s="302"/>
      <c r="BY978" s="302"/>
      <c r="BZ978" s="302"/>
      <c r="CA978" s="302"/>
      <c r="CB978" s="28"/>
      <c r="CC978" s="28"/>
      <c r="CD978" s="28"/>
      <c r="CE978" s="28"/>
      <c r="CF978" s="28"/>
      <c r="CG978" s="28"/>
      <c r="CH978" s="28"/>
      <c r="CI978" s="28"/>
      <c r="CJ978" s="28"/>
      <c r="CK978" s="28"/>
      <c r="CL978" s="28"/>
      <c r="CM978" s="28"/>
      <c r="CN978" s="28"/>
      <c r="CO978" s="28"/>
      <c r="CP978" s="28"/>
      <c r="CQ978" s="28"/>
      <c r="CR978" s="28"/>
      <c r="CS978" s="28"/>
      <c r="CT978" s="28"/>
      <c r="CU978" s="28"/>
      <c r="CV978" s="28"/>
      <c r="CW978" s="28"/>
    </row>
    <row r="979" spans="1:101" ht="14.25" customHeight="1" x14ac:dyDescent="0.2">
      <c r="A979" s="286"/>
      <c r="B979" s="52">
        <v>0.15610973073390369</v>
      </c>
      <c r="C979" s="288">
        <v>0.28980891577554035</v>
      </c>
      <c r="D979" s="288">
        <v>1.770050535364498E-2</v>
      </c>
      <c r="E979" s="288">
        <v>1.8647404691547798E-2</v>
      </c>
      <c r="F979" s="289">
        <v>0.83117186715174796</v>
      </c>
      <c r="G979" s="92">
        <v>0.45341742627393045</v>
      </c>
      <c r="H979" s="288">
        <v>0.71715406717718255</v>
      </c>
      <c r="I979" s="288">
        <v>3.3382694771643351E-2</v>
      </c>
      <c r="J979" s="288">
        <v>0.99999999999999756</v>
      </c>
      <c r="K979" s="288">
        <v>0.7492836356106467</v>
      </c>
      <c r="L979" s="290">
        <v>10632.468359710074</v>
      </c>
      <c r="M979" s="288">
        <v>0</v>
      </c>
      <c r="N979" s="288">
        <v>12559.698444622123</v>
      </c>
      <c r="O979" s="288">
        <v>1504.1550290328355</v>
      </c>
      <c r="P979" s="288">
        <v>38064.61200406064</v>
      </c>
      <c r="Q979" s="291">
        <v>97001.476827248611</v>
      </c>
      <c r="R979" s="288">
        <v>27107.755383855514</v>
      </c>
      <c r="S979" s="288">
        <v>14213.881667194135</v>
      </c>
      <c r="T979" s="290">
        <v>0.751</v>
      </c>
      <c r="U979" s="288">
        <v>0.75800000000000001</v>
      </c>
      <c r="V979" s="288">
        <v>0.723923076923077</v>
      </c>
      <c r="W979" s="288">
        <v>0.72750000000000004</v>
      </c>
      <c r="X979" s="288">
        <v>0.76</v>
      </c>
      <c r="Y979" s="288">
        <v>0</v>
      </c>
      <c r="Z979" s="289">
        <v>0</v>
      </c>
      <c r="AA979" s="229"/>
      <c r="AB979" s="293">
        <v>129351.70667007557</v>
      </c>
      <c r="AC979" s="294">
        <v>3.3818631116026596</v>
      </c>
      <c r="AD979" s="295">
        <v>117755.04039964326</v>
      </c>
      <c r="AE979" s="294">
        <v>3.004954130721857</v>
      </c>
      <c r="AF979" s="295">
        <v>11596.66627043231</v>
      </c>
      <c r="AG979" s="296">
        <v>0.3769089808808026</v>
      </c>
      <c r="AH979" s="229"/>
      <c r="AI979" s="205">
        <f t="shared" si="108"/>
        <v>208834.60449019037</v>
      </c>
      <c r="AJ979" s="205">
        <f t="shared" si="109"/>
        <v>182740.37267254246</v>
      </c>
      <c r="AK979" s="205">
        <f t="shared" si="110"/>
        <v>26094.231817647953</v>
      </c>
      <c r="AL979" s="229"/>
      <c r="AM979" s="52">
        <f t="shared" si="86"/>
        <v>1</v>
      </c>
      <c r="AN979" s="52">
        <f t="shared" si="87"/>
        <v>0</v>
      </c>
      <c r="AO979" s="52">
        <f t="shared" si="88"/>
        <v>1</v>
      </c>
      <c r="AP979" s="229"/>
      <c r="AQ979" s="28"/>
      <c r="AR979" s="28"/>
      <c r="AS979" s="28"/>
      <c r="AT979" s="28"/>
      <c r="AU979" s="229"/>
      <c r="AV979" s="318">
        <f t="shared" si="111"/>
        <v>208834.60449019037</v>
      </c>
      <c r="AW979" s="229"/>
      <c r="AX979" s="313"/>
      <c r="AY979" s="302"/>
      <c r="AZ979" s="14">
        <f t="shared" si="113"/>
        <v>11596.66627043231</v>
      </c>
      <c r="BA979" s="14">
        <f t="shared" si="112"/>
        <v>0.3769089808808026</v>
      </c>
      <c r="BB979" s="14">
        <f t="shared" si="89"/>
        <v>30767.816259861829</v>
      </c>
      <c r="BC979" s="302"/>
      <c r="BD979" s="302"/>
      <c r="BE979" s="302"/>
      <c r="BF979" s="302"/>
      <c r="BG979" s="302"/>
      <c r="BH979" s="302"/>
      <c r="BI979" s="302"/>
      <c r="BJ979" s="302"/>
      <c r="BK979" s="302"/>
      <c r="BL979" s="302"/>
      <c r="BM979" s="302"/>
      <c r="BN979" s="302"/>
      <c r="BO979" s="302"/>
      <c r="BP979" s="302"/>
      <c r="BQ979" s="302"/>
      <c r="BR979" s="302"/>
      <c r="BS979" s="302"/>
      <c r="BT979" s="302"/>
      <c r="BU979" s="302"/>
      <c r="BV979" s="302"/>
      <c r="BW979" s="302"/>
      <c r="BX979" s="302"/>
      <c r="BY979" s="302"/>
      <c r="BZ979" s="302"/>
      <c r="CA979" s="302"/>
      <c r="CB979" s="28"/>
      <c r="CC979" s="28"/>
      <c r="CD979" s="28"/>
      <c r="CE979" s="28"/>
      <c r="CF979" s="28"/>
      <c r="CG979" s="28"/>
      <c r="CH979" s="28"/>
      <c r="CI979" s="28"/>
      <c r="CJ979" s="28"/>
      <c r="CK979" s="28"/>
      <c r="CL979" s="28"/>
      <c r="CM979" s="28"/>
      <c r="CN979" s="28"/>
      <c r="CO979" s="28"/>
      <c r="CP979" s="28"/>
      <c r="CQ979" s="28"/>
      <c r="CR979" s="28"/>
      <c r="CS979" s="28"/>
      <c r="CT979" s="28"/>
      <c r="CU979" s="28"/>
      <c r="CV979" s="28"/>
      <c r="CW979" s="28"/>
    </row>
    <row r="980" spans="1:101" ht="14.25" customHeight="1" x14ac:dyDescent="0.2">
      <c r="A980" s="286"/>
      <c r="B980" s="52">
        <v>0.16586561951845968</v>
      </c>
      <c r="C980" s="288">
        <v>0.20867570669754615</v>
      </c>
      <c r="D980" s="288">
        <v>1.312098076507988E-2</v>
      </c>
      <c r="E980" s="288">
        <v>9.5463197344102784E-3</v>
      </c>
      <c r="F980" s="289">
        <v>0.78467017234010705</v>
      </c>
      <c r="G980" s="92">
        <v>0.40209400466192158</v>
      </c>
      <c r="H980" s="288">
        <v>0.47851865450277631</v>
      </c>
      <c r="I980" s="288">
        <v>9.4378134936001206E-3</v>
      </c>
      <c r="J980" s="288">
        <v>0.99999999555528496</v>
      </c>
      <c r="K980" s="288">
        <v>0.75997626582186695</v>
      </c>
      <c r="L980" s="290">
        <v>11758.244406833846</v>
      </c>
      <c r="M980" s="288">
        <v>0</v>
      </c>
      <c r="N980" s="288">
        <v>18912.719407240249</v>
      </c>
      <c r="O980" s="288">
        <v>1240.0731290697331</v>
      </c>
      <c r="P980" s="288">
        <v>44586.080880360285</v>
      </c>
      <c r="Q980" s="291">
        <v>118442.20078617132</v>
      </c>
      <c r="R980" s="288">
        <v>16597.886587644643</v>
      </c>
      <c r="S980" s="288">
        <v>8384.729746152294</v>
      </c>
      <c r="T980" s="290">
        <v>0.751</v>
      </c>
      <c r="U980" s="288">
        <v>0.75800000000000001</v>
      </c>
      <c r="V980" s="288">
        <v>0.723923076923077</v>
      </c>
      <c r="W980" s="288">
        <v>0.72750000000000004</v>
      </c>
      <c r="X980" s="288">
        <v>0.76</v>
      </c>
      <c r="Y980" s="288">
        <v>0</v>
      </c>
      <c r="Z980" s="289">
        <v>0</v>
      </c>
      <c r="AA980" s="229"/>
      <c r="AB980" s="293">
        <v>77947.092008212348</v>
      </c>
      <c r="AC980" s="294">
        <v>3.1640414176976894</v>
      </c>
      <c r="AD980" s="295">
        <v>67906.299380489902</v>
      </c>
      <c r="AE980" s="294">
        <v>3.0542406589423954</v>
      </c>
      <c r="AF980" s="295">
        <v>10040.792627722447</v>
      </c>
      <c r="AG980" s="296">
        <v>0.10980075875529405</v>
      </c>
      <c r="AH980" s="229"/>
      <c r="AI980" s="205">
        <f t="shared" si="108"/>
        <v>238457.04976155661</v>
      </c>
      <c r="AJ980" s="205">
        <f t="shared" si="109"/>
        <v>237517.76651374961</v>
      </c>
      <c r="AK980" s="205">
        <f t="shared" si="110"/>
        <v>939.28324780695766</v>
      </c>
      <c r="AL980" s="229"/>
      <c r="AM980" s="52">
        <f t="shared" si="86"/>
        <v>1</v>
      </c>
      <c r="AN980" s="52">
        <f t="shared" si="87"/>
        <v>0</v>
      </c>
      <c r="AO980" s="52">
        <f t="shared" si="88"/>
        <v>1</v>
      </c>
      <c r="AP980" s="229"/>
      <c r="AQ980" s="28"/>
      <c r="AR980" s="28"/>
      <c r="AS980" s="28"/>
      <c r="AT980" s="28"/>
      <c r="AU980" s="229"/>
      <c r="AV980" s="318">
        <f t="shared" si="111"/>
        <v>238457.04976155661</v>
      </c>
      <c r="AW980" s="229"/>
      <c r="AX980" s="313"/>
      <c r="AY980" s="302"/>
      <c r="AZ980" s="14">
        <f t="shared" si="113"/>
        <v>10040.792627722447</v>
      </c>
      <c r="BA980" s="14">
        <f t="shared" si="112"/>
        <v>0.10980075875529405</v>
      </c>
      <c r="BB980" s="14">
        <f t="shared" si="89"/>
        <v>91445.566875359407</v>
      </c>
      <c r="BC980" s="302"/>
      <c r="BD980" s="302"/>
      <c r="BE980" s="302"/>
      <c r="BF980" s="302"/>
      <c r="BG980" s="302"/>
      <c r="BH980" s="302"/>
      <c r="BI980" s="302"/>
      <c r="BJ980" s="302"/>
      <c r="BK980" s="302"/>
      <c r="BL980" s="302"/>
      <c r="BM980" s="302"/>
      <c r="BN980" s="302"/>
      <c r="BO980" s="302"/>
      <c r="BP980" s="302"/>
      <c r="BQ980" s="302"/>
      <c r="BR980" s="302"/>
      <c r="BS980" s="302"/>
      <c r="BT980" s="302"/>
      <c r="BU980" s="302"/>
      <c r="BV980" s="302"/>
      <c r="BW980" s="302"/>
      <c r="BX980" s="302"/>
      <c r="BY980" s="302"/>
      <c r="BZ980" s="302"/>
      <c r="CA980" s="302"/>
      <c r="CB980" s="28"/>
      <c r="CC980" s="28"/>
      <c r="CD980" s="28"/>
      <c r="CE980" s="28"/>
      <c r="CF980" s="28"/>
      <c r="CG980" s="28"/>
      <c r="CH980" s="28"/>
      <c r="CI980" s="28"/>
      <c r="CJ980" s="28"/>
      <c r="CK980" s="28"/>
      <c r="CL980" s="28"/>
      <c r="CM980" s="28"/>
      <c r="CN980" s="28"/>
      <c r="CO980" s="28"/>
      <c r="CP980" s="28"/>
      <c r="CQ980" s="28"/>
      <c r="CR980" s="28"/>
      <c r="CS980" s="28"/>
      <c r="CT980" s="28"/>
      <c r="CU980" s="28"/>
      <c r="CV980" s="28"/>
      <c r="CW980" s="28"/>
    </row>
    <row r="981" spans="1:101" ht="14.25" customHeight="1" x14ac:dyDescent="0.2">
      <c r="A981" s="286"/>
      <c r="B981" s="52">
        <v>0.14483843738396648</v>
      </c>
      <c r="C981" s="288">
        <v>3.5567930644653287E-2</v>
      </c>
      <c r="D981" s="288">
        <v>1.3811483989363009E-2</v>
      </c>
      <c r="E981" s="288">
        <v>7.4667075002713612E-3</v>
      </c>
      <c r="F981" s="289">
        <v>0.76258048942307122</v>
      </c>
      <c r="G981" s="92">
        <v>0.39746178578518659</v>
      </c>
      <c r="H981" s="288">
        <v>0.52056883094730055</v>
      </c>
      <c r="I981" s="288">
        <v>1.0923038601528242E-2</v>
      </c>
      <c r="J981" s="288">
        <v>0.17930171023636091</v>
      </c>
      <c r="K981" s="288">
        <v>0.70077171917938963</v>
      </c>
      <c r="L981" s="290">
        <v>13185.084909592579</v>
      </c>
      <c r="M981" s="288">
        <v>0</v>
      </c>
      <c r="N981" s="288">
        <v>18305.154403219381</v>
      </c>
      <c r="O981" s="288">
        <v>1519.9141704022979</v>
      </c>
      <c r="P981" s="288">
        <v>42735.643442625376</v>
      </c>
      <c r="Q981" s="291">
        <v>98173.373603829503</v>
      </c>
      <c r="R981" s="288">
        <v>27493.018661933766</v>
      </c>
      <c r="S981" s="288">
        <v>7743.4462402958443</v>
      </c>
      <c r="T981" s="290">
        <v>0.751</v>
      </c>
      <c r="U981" s="288">
        <v>0.75800000000000001</v>
      </c>
      <c r="V981" s="288">
        <v>0.723923076923077</v>
      </c>
      <c r="W981" s="288">
        <v>0.72750000000000004</v>
      </c>
      <c r="X981" s="288">
        <v>0.76</v>
      </c>
      <c r="Y981" s="288">
        <v>0</v>
      </c>
      <c r="Z981" s="289">
        <v>0</v>
      </c>
      <c r="AA981" s="229"/>
      <c r="AB981" s="293">
        <v>72217.168167871074</v>
      </c>
      <c r="AC981" s="294">
        <v>3.0617579244958377</v>
      </c>
      <c r="AD981" s="295">
        <v>60817.901447596538</v>
      </c>
      <c r="AE981" s="294">
        <v>2.7836072670905816</v>
      </c>
      <c r="AF981" s="295">
        <v>11399.266720274536</v>
      </c>
      <c r="AG981" s="296">
        <v>0.27815065740525613</v>
      </c>
      <c r="AH981" s="229"/>
      <c r="AI981" s="205">
        <f t="shared" si="108"/>
        <v>233958.62428171269</v>
      </c>
      <c r="AJ981" s="205">
        <f t="shared" si="109"/>
        <v>217542.82526146161</v>
      </c>
      <c r="AK981" s="205">
        <f t="shared" si="110"/>
        <v>16415.799020251077</v>
      </c>
      <c r="AL981" s="229"/>
      <c r="AM981" s="52">
        <f t="shared" si="86"/>
        <v>1</v>
      </c>
      <c r="AN981" s="52">
        <f t="shared" si="87"/>
        <v>0</v>
      </c>
      <c r="AO981" s="52">
        <f t="shared" si="88"/>
        <v>1</v>
      </c>
      <c r="AP981" s="229"/>
      <c r="AQ981" s="28"/>
      <c r="AR981" s="28"/>
      <c r="AS981" s="28"/>
      <c r="AT981" s="28"/>
      <c r="AU981" s="229"/>
      <c r="AV981" s="318">
        <f t="shared" si="111"/>
        <v>233958.62428171269</v>
      </c>
      <c r="AW981" s="229"/>
      <c r="AX981" s="313"/>
      <c r="AY981" s="302"/>
      <c r="AZ981" s="14">
        <f t="shared" si="113"/>
        <v>11399.266720274536</v>
      </c>
      <c r="BA981" s="14">
        <f t="shared" si="112"/>
        <v>0.27815065740525613</v>
      </c>
      <c r="BB981" s="14">
        <f t="shared" si="89"/>
        <v>40982.346856963166</v>
      </c>
      <c r="BC981" s="302"/>
      <c r="BD981" s="302"/>
      <c r="BE981" s="302"/>
      <c r="BF981" s="302"/>
      <c r="BG981" s="302"/>
      <c r="BH981" s="302"/>
      <c r="BI981" s="302"/>
      <c r="BJ981" s="302"/>
      <c r="BK981" s="302"/>
      <c r="BL981" s="302"/>
      <c r="BM981" s="302"/>
      <c r="BN981" s="302"/>
      <c r="BO981" s="302"/>
      <c r="BP981" s="302"/>
      <c r="BQ981" s="302"/>
      <c r="BR981" s="302"/>
      <c r="BS981" s="302"/>
      <c r="BT981" s="302"/>
      <c r="BU981" s="302"/>
      <c r="BV981" s="302"/>
      <c r="BW981" s="302"/>
      <c r="BX981" s="302"/>
      <c r="BY981" s="302"/>
      <c r="BZ981" s="302"/>
      <c r="CA981" s="302"/>
      <c r="CB981" s="28"/>
      <c r="CC981" s="28"/>
      <c r="CD981" s="28"/>
      <c r="CE981" s="28"/>
      <c r="CF981" s="28"/>
      <c r="CG981" s="28"/>
      <c r="CH981" s="28"/>
      <c r="CI981" s="28"/>
      <c r="CJ981" s="28"/>
      <c r="CK981" s="28"/>
      <c r="CL981" s="28"/>
      <c r="CM981" s="28"/>
      <c r="CN981" s="28"/>
      <c r="CO981" s="28"/>
      <c r="CP981" s="28"/>
      <c r="CQ981" s="28"/>
      <c r="CR981" s="28"/>
      <c r="CS981" s="28"/>
      <c r="CT981" s="28"/>
      <c r="CU981" s="28"/>
      <c r="CV981" s="28"/>
      <c r="CW981" s="28"/>
    </row>
    <row r="982" spans="1:101" ht="14.25" customHeight="1" x14ac:dyDescent="0.2">
      <c r="A982" s="286"/>
      <c r="B982" s="52">
        <v>0.14691883733974198</v>
      </c>
      <c r="C982" s="288">
        <v>0.64049446732955229</v>
      </c>
      <c r="D982" s="288">
        <v>1.2921675733363983E-2</v>
      </c>
      <c r="E982" s="288">
        <v>1.2575994764305445E-2</v>
      </c>
      <c r="F982" s="289">
        <v>0.79527583166728577</v>
      </c>
      <c r="G982" s="92">
        <v>0.3668689599940414</v>
      </c>
      <c r="H982" s="288">
        <v>0.14296519077925635</v>
      </c>
      <c r="I982" s="288">
        <v>7.0090462294629752E-3</v>
      </c>
      <c r="J982" s="288">
        <v>1</v>
      </c>
      <c r="K982" s="288">
        <v>0.73955843614937011</v>
      </c>
      <c r="L982" s="290">
        <v>12432.316813715359</v>
      </c>
      <c r="M982" s="288">
        <v>0</v>
      </c>
      <c r="N982" s="288">
        <v>21982.967400098612</v>
      </c>
      <c r="O982" s="288">
        <v>1282.4863474218851</v>
      </c>
      <c r="P982" s="288">
        <v>48474.111504110479</v>
      </c>
      <c r="Q982" s="291">
        <v>98311.98626781629</v>
      </c>
      <c r="R982" s="288">
        <v>16353.988655445506</v>
      </c>
      <c r="S982" s="288">
        <v>7503.5607489145677</v>
      </c>
      <c r="T982" s="290">
        <v>0.751</v>
      </c>
      <c r="U982" s="288">
        <v>0.75800000000000001</v>
      </c>
      <c r="V982" s="288">
        <v>0.723923076923077</v>
      </c>
      <c r="W982" s="288">
        <v>0.72750000000000004</v>
      </c>
      <c r="X982" s="288">
        <v>0.76</v>
      </c>
      <c r="Y982" s="288">
        <v>0</v>
      </c>
      <c r="Z982" s="289">
        <v>0</v>
      </c>
      <c r="AA982" s="229"/>
      <c r="AB982" s="293">
        <v>73438.88599750452</v>
      </c>
      <c r="AC982" s="294">
        <v>3.2134215299087532</v>
      </c>
      <c r="AD982" s="295">
        <v>57118.467392605919</v>
      </c>
      <c r="AE982" s="294">
        <v>2.9602833664127837</v>
      </c>
      <c r="AF982" s="295">
        <v>16320.418604898601</v>
      </c>
      <c r="AG982" s="296">
        <v>0.25313816349596951</v>
      </c>
      <c r="AH982" s="229"/>
      <c r="AI982" s="205">
        <f t="shared" si="108"/>
        <v>247903.26699337078</v>
      </c>
      <c r="AJ982" s="205">
        <f t="shared" si="109"/>
        <v>238909.86924867245</v>
      </c>
      <c r="AK982" s="205">
        <f t="shared" si="110"/>
        <v>8993.3977446983517</v>
      </c>
      <c r="AL982" s="229"/>
      <c r="AM982" s="52">
        <f t="shared" si="86"/>
        <v>1</v>
      </c>
      <c r="AN982" s="52">
        <f t="shared" si="87"/>
        <v>0</v>
      </c>
      <c r="AO982" s="52">
        <f t="shared" si="88"/>
        <v>1</v>
      </c>
      <c r="AP982" s="229"/>
      <c r="AQ982" s="28"/>
      <c r="AR982" s="28"/>
      <c r="AS982" s="28"/>
      <c r="AT982" s="28"/>
      <c r="AU982" s="229"/>
      <c r="AV982" s="318">
        <f t="shared" si="111"/>
        <v>247903.26699337078</v>
      </c>
      <c r="AW982" s="229"/>
      <c r="AX982" s="313"/>
      <c r="AY982" s="302"/>
      <c r="AZ982" s="14">
        <f t="shared" si="113"/>
        <v>16320.418604898601</v>
      </c>
      <c r="BA982" s="14">
        <f t="shared" si="112"/>
        <v>0.25313816349596951</v>
      </c>
      <c r="BB982" s="14">
        <f t="shared" si="89"/>
        <v>64472.375004642301</v>
      </c>
      <c r="BC982" s="302"/>
      <c r="BD982" s="302"/>
      <c r="BE982" s="302"/>
      <c r="BF982" s="302"/>
      <c r="BG982" s="302"/>
      <c r="BH982" s="302"/>
      <c r="BI982" s="302"/>
      <c r="BJ982" s="302"/>
      <c r="BK982" s="302"/>
      <c r="BL982" s="302"/>
      <c r="BM982" s="302"/>
      <c r="BN982" s="302"/>
      <c r="BO982" s="302"/>
      <c r="BP982" s="302"/>
      <c r="BQ982" s="302"/>
      <c r="BR982" s="302"/>
      <c r="BS982" s="302"/>
      <c r="BT982" s="302"/>
      <c r="BU982" s="302"/>
      <c r="BV982" s="302"/>
      <c r="BW982" s="302"/>
      <c r="BX982" s="302"/>
      <c r="BY982" s="302"/>
      <c r="BZ982" s="302"/>
      <c r="CA982" s="302"/>
      <c r="CB982" s="28"/>
      <c r="CC982" s="28"/>
      <c r="CD982" s="28"/>
      <c r="CE982" s="28"/>
      <c r="CF982" s="28"/>
      <c r="CG982" s="28"/>
      <c r="CH982" s="28"/>
      <c r="CI982" s="28"/>
      <c r="CJ982" s="28"/>
      <c r="CK982" s="28"/>
      <c r="CL982" s="28"/>
      <c r="CM982" s="28"/>
      <c r="CN982" s="28"/>
      <c r="CO982" s="28"/>
      <c r="CP982" s="28"/>
      <c r="CQ982" s="28"/>
      <c r="CR982" s="28"/>
      <c r="CS982" s="28"/>
      <c r="CT982" s="28"/>
      <c r="CU982" s="28"/>
      <c r="CV982" s="28"/>
      <c r="CW982" s="28"/>
    </row>
    <row r="983" spans="1:101" ht="14.25" customHeight="1" x14ac:dyDescent="0.2">
      <c r="A983" s="286"/>
      <c r="B983" s="52">
        <v>0.22446213076470312</v>
      </c>
      <c r="C983" s="288">
        <v>9.4690879107346151E-2</v>
      </c>
      <c r="D983" s="288">
        <v>6.5147052846966395E-3</v>
      </c>
      <c r="E983" s="288">
        <v>7.5228384051056977E-3</v>
      </c>
      <c r="F983" s="289">
        <v>0.80066199201556842</v>
      </c>
      <c r="G983" s="92">
        <v>0.41522075826841442</v>
      </c>
      <c r="H983" s="288">
        <v>0.51609779127064936</v>
      </c>
      <c r="I983" s="288">
        <v>1.6746767219131597E-2</v>
      </c>
      <c r="J983" s="288">
        <v>4.4931601619623368E-2</v>
      </c>
      <c r="K983" s="288">
        <v>0.78498259056121755</v>
      </c>
      <c r="L983" s="290">
        <v>14887.974940256418</v>
      </c>
      <c r="M983" s="288">
        <v>0</v>
      </c>
      <c r="N983" s="288">
        <v>20520.807927085087</v>
      </c>
      <c r="O983" s="288">
        <v>981.40986257154714</v>
      </c>
      <c r="P983" s="288">
        <v>40351.981493282568</v>
      </c>
      <c r="Q983" s="291">
        <v>76616.054735383237</v>
      </c>
      <c r="R983" s="288">
        <v>22699.390635534157</v>
      </c>
      <c r="S983" s="288">
        <v>6874.5530989148265</v>
      </c>
      <c r="T983" s="290">
        <v>0.751</v>
      </c>
      <c r="U983" s="288">
        <v>0.75800000000000001</v>
      </c>
      <c r="V983" s="288">
        <v>0.723923076923077</v>
      </c>
      <c r="W983" s="288">
        <v>0.72750000000000004</v>
      </c>
      <c r="X983" s="288">
        <v>0.76</v>
      </c>
      <c r="Y983" s="288">
        <v>0</v>
      </c>
      <c r="Z983" s="289">
        <v>0</v>
      </c>
      <c r="AA983" s="229"/>
      <c r="AB983" s="293">
        <v>70207.529767542437</v>
      </c>
      <c r="AC983" s="294">
        <v>3.2385671259436681</v>
      </c>
      <c r="AD983" s="295">
        <v>59567.606309529408</v>
      </c>
      <c r="AE983" s="294">
        <v>3.1702081805740825</v>
      </c>
      <c r="AF983" s="295">
        <v>10639.923458013029</v>
      </c>
      <c r="AG983" s="296">
        <v>6.8358945369585644E-2</v>
      </c>
      <c r="AH983" s="229"/>
      <c r="AI983" s="205">
        <f t="shared" si="108"/>
        <v>253649.18282682437</v>
      </c>
      <c r="AJ983" s="205">
        <f t="shared" si="109"/>
        <v>257453.21174787887</v>
      </c>
      <c r="AK983" s="205">
        <f t="shared" si="110"/>
        <v>-3804.0289210544643</v>
      </c>
      <c r="AL983" s="229"/>
      <c r="AM983" s="52">
        <f t="shared" si="86"/>
        <v>0</v>
      </c>
      <c r="AN983" s="52">
        <f t="shared" si="87"/>
        <v>1</v>
      </c>
      <c r="AO983" s="52">
        <f t="shared" si="88"/>
        <v>0</v>
      </c>
      <c r="AP983" s="229"/>
      <c r="AQ983" s="28"/>
      <c r="AR983" s="28"/>
      <c r="AS983" s="28"/>
      <c r="AT983" s="28"/>
      <c r="AU983" s="229"/>
      <c r="AV983" s="318">
        <f t="shared" si="111"/>
        <v>257453.21174787887</v>
      </c>
      <c r="AW983" s="229"/>
      <c r="AX983" s="313"/>
      <c r="AY983" s="302"/>
      <c r="AZ983" s="14">
        <f t="shared" si="113"/>
        <v>10639.923458013029</v>
      </c>
      <c r="BA983" s="14">
        <f t="shared" si="112"/>
        <v>6.8358945369585644E-2</v>
      </c>
      <c r="BB983" s="14">
        <f t="shared" si="89"/>
        <v>155647.85852806555</v>
      </c>
      <c r="BC983" s="302"/>
      <c r="BD983" s="302"/>
      <c r="BE983" s="302"/>
      <c r="BF983" s="302"/>
      <c r="BG983" s="302"/>
      <c r="BH983" s="302"/>
      <c r="BI983" s="302"/>
      <c r="BJ983" s="302"/>
      <c r="BK983" s="302"/>
      <c r="BL983" s="302"/>
      <c r="BM983" s="302"/>
      <c r="BN983" s="302"/>
      <c r="BO983" s="302"/>
      <c r="BP983" s="302"/>
      <c r="BQ983" s="302"/>
      <c r="BR983" s="302"/>
      <c r="BS983" s="302"/>
      <c r="BT983" s="302"/>
      <c r="BU983" s="302"/>
      <c r="BV983" s="302"/>
      <c r="BW983" s="302"/>
      <c r="BX983" s="302"/>
      <c r="BY983" s="302"/>
      <c r="BZ983" s="302"/>
      <c r="CA983" s="302"/>
      <c r="CB983" s="28"/>
      <c r="CC983" s="28"/>
      <c r="CD983" s="28"/>
      <c r="CE983" s="28"/>
      <c r="CF983" s="28"/>
      <c r="CG983" s="28"/>
      <c r="CH983" s="28"/>
      <c r="CI983" s="28"/>
      <c r="CJ983" s="28"/>
      <c r="CK983" s="28"/>
      <c r="CL983" s="28"/>
      <c r="CM983" s="28"/>
      <c r="CN983" s="28"/>
      <c r="CO983" s="28"/>
      <c r="CP983" s="28"/>
      <c r="CQ983" s="28"/>
      <c r="CR983" s="28"/>
      <c r="CS983" s="28"/>
      <c r="CT983" s="28"/>
      <c r="CU983" s="28"/>
      <c r="CV983" s="28"/>
      <c r="CW983" s="28"/>
    </row>
    <row r="984" spans="1:101" ht="14.25" customHeight="1" x14ac:dyDescent="0.2">
      <c r="A984" s="286"/>
      <c r="B984" s="52">
        <v>0.11986803695711934</v>
      </c>
      <c r="C984" s="288">
        <v>2.247377338881509E-2</v>
      </c>
      <c r="D984" s="288">
        <v>1.2499406540485938E-2</v>
      </c>
      <c r="E984" s="288">
        <v>1.2265835665127074E-2</v>
      </c>
      <c r="F984" s="289">
        <v>0.76727837594123915</v>
      </c>
      <c r="G984" s="92">
        <v>0.3647974955256737</v>
      </c>
      <c r="H984" s="288">
        <v>0.38599724125392859</v>
      </c>
      <c r="I984" s="288">
        <v>1.3877753959677712E-2</v>
      </c>
      <c r="J984" s="288">
        <v>0.99805495596986082</v>
      </c>
      <c r="K984" s="288">
        <v>0.78886596166098755</v>
      </c>
      <c r="L984" s="290">
        <v>13205.226970312038</v>
      </c>
      <c r="M984" s="288">
        <v>0</v>
      </c>
      <c r="N984" s="288">
        <v>14139.083156752324</v>
      </c>
      <c r="O984" s="288">
        <v>1269.9882693394241</v>
      </c>
      <c r="P984" s="288">
        <v>39818.297730563281</v>
      </c>
      <c r="Q984" s="291">
        <v>82480.486963456628</v>
      </c>
      <c r="R984" s="288">
        <v>26073.781140032046</v>
      </c>
      <c r="S984" s="288">
        <v>9674.4571070409838</v>
      </c>
      <c r="T984" s="290">
        <v>0.751</v>
      </c>
      <c r="U984" s="288">
        <v>0.75800000000000001</v>
      </c>
      <c r="V984" s="288">
        <v>0.723923076923077</v>
      </c>
      <c r="W984" s="288">
        <v>0.72750000000000004</v>
      </c>
      <c r="X984" s="288">
        <v>0.76</v>
      </c>
      <c r="Y984" s="288">
        <v>0</v>
      </c>
      <c r="Z984" s="289">
        <v>0</v>
      </c>
      <c r="AA984" s="229"/>
      <c r="AB984" s="293">
        <v>87056.951991586553</v>
      </c>
      <c r="AC984" s="294">
        <v>3.0834468191324542</v>
      </c>
      <c r="AD984" s="295">
        <v>80878.30171995853</v>
      </c>
      <c r="AE984" s="294">
        <v>3.1883058405832756</v>
      </c>
      <c r="AF984" s="295">
        <v>6178.6502716280229</v>
      </c>
      <c r="AG984" s="296">
        <v>-0.10485902145082138</v>
      </c>
      <c r="AH984" s="229"/>
      <c r="AI984" s="205">
        <f t="shared" si="108"/>
        <v>221287.72992165887</v>
      </c>
      <c r="AJ984" s="205">
        <f t="shared" si="109"/>
        <v>237952.282338369</v>
      </c>
      <c r="AK984" s="205">
        <f t="shared" si="110"/>
        <v>-16664.552416710161</v>
      </c>
      <c r="AL984" s="229"/>
      <c r="AM984" s="52">
        <f t="shared" si="86"/>
        <v>0</v>
      </c>
      <c r="AN984" s="52">
        <f t="shared" si="87"/>
        <v>1</v>
      </c>
      <c r="AO984" s="52">
        <f t="shared" si="88"/>
        <v>0</v>
      </c>
      <c r="AP984" s="229"/>
      <c r="AQ984" s="28"/>
      <c r="AR984" s="28"/>
      <c r="AS984" s="28"/>
      <c r="AT984" s="28"/>
      <c r="AU984" s="229"/>
      <c r="AV984" s="318">
        <f t="shared" si="111"/>
        <v>237952.282338369</v>
      </c>
      <c r="AW984" s="229"/>
      <c r="AX984" s="313"/>
      <c r="AY984" s="302"/>
      <c r="AZ984" s="14">
        <f t="shared" si="113"/>
        <v>6178.6502716280229</v>
      </c>
      <c r="BA984" s="14">
        <f t="shared" si="112"/>
        <v>-0.10485902145082138</v>
      </c>
      <c r="BB984" s="14">
        <f t="shared" si="89"/>
        <v>-58923.401974772336</v>
      </c>
      <c r="BC984" s="302"/>
      <c r="BD984" s="302"/>
      <c r="BE984" s="302"/>
      <c r="BF984" s="302"/>
      <c r="BG984" s="302"/>
      <c r="BH984" s="302"/>
      <c r="BI984" s="302"/>
      <c r="BJ984" s="302"/>
      <c r="BK984" s="302"/>
      <c r="BL984" s="302"/>
      <c r="BM984" s="302"/>
      <c r="BN984" s="302"/>
      <c r="BO984" s="302"/>
      <c r="BP984" s="302"/>
      <c r="BQ984" s="302"/>
      <c r="BR984" s="302"/>
      <c r="BS984" s="302"/>
      <c r="BT984" s="302"/>
      <c r="BU984" s="302"/>
      <c r="BV984" s="302"/>
      <c r="BW984" s="302"/>
      <c r="BX984" s="302"/>
      <c r="BY984" s="302"/>
      <c r="BZ984" s="302"/>
      <c r="CA984" s="302"/>
      <c r="CB984" s="28"/>
      <c r="CC984" s="28"/>
      <c r="CD984" s="28"/>
      <c r="CE984" s="28"/>
      <c r="CF984" s="28"/>
      <c r="CG984" s="28"/>
      <c r="CH984" s="28"/>
      <c r="CI984" s="28"/>
      <c r="CJ984" s="28"/>
      <c r="CK984" s="28"/>
      <c r="CL984" s="28"/>
      <c r="CM984" s="28"/>
      <c r="CN984" s="28"/>
      <c r="CO984" s="28"/>
      <c r="CP984" s="28"/>
      <c r="CQ984" s="28"/>
      <c r="CR984" s="28"/>
      <c r="CS984" s="28"/>
      <c r="CT984" s="28"/>
      <c r="CU984" s="28"/>
      <c r="CV984" s="28"/>
      <c r="CW984" s="28"/>
    </row>
    <row r="985" spans="1:101" ht="14.25" customHeight="1" x14ac:dyDescent="0.2">
      <c r="A985" s="286"/>
      <c r="B985" s="52">
        <v>0.15948705257186702</v>
      </c>
      <c r="C985" s="288">
        <v>0.326044169221542</v>
      </c>
      <c r="D985" s="288">
        <v>1.9383366381010347E-2</v>
      </c>
      <c r="E985" s="288">
        <v>2.0960274258489786E-2</v>
      </c>
      <c r="F985" s="289">
        <v>0.79794339531671432</v>
      </c>
      <c r="G985" s="92">
        <v>0.41271190810631553</v>
      </c>
      <c r="H985" s="288">
        <v>1.2770649838908283E-2</v>
      </c>
      <c r="I985" s="288">
        <v>2.4430209753302901E-2</v>
      </c>
      <c r="J985" s="288">
        <v>0.26253217519528627</v>
      </c>
      <c r="K985" s="288">
        <v>0.73015581367381899</v>
      </c>
      <c r="L985" s="290">
        <v>9085.3597701072758</v>
      </c>
      <c r="M985" s="288">
        <v>0</v>
      </c>
      <c r="N985" s="288">
        <v>17916.150358797833</v>
      </c>
      <c r="O985" s="288">
        <v>1036.6133039233691</v>
      </c>
      <c r="P985" s="288">
        <v>44407.36608125121</v>
      </c>
      <c r="Q985" s="291">
        <v>84118.588916154069</v>
      </c>
      <c r="R985" s="288">
        <v>34890.036220485046</v>
      </c>
      <c r="S985" s="288">
        <v>6754.8981617903773</v>
      </c>
      <c r="T985" s="290">
        <v>0.751</v>
      </c>
      <c r="U985" s="288">
        <v>0.75800000000000001</v>
      </c>
      <c r="V985" s="288">
        <v>0.723923076923077</v>
      </c>
      <c r="W985" s="288">
        <v>0.72750000000000004</v>
      </c>
      <c r="X985" s="288">
        <v>0.76</v>
      </c>
      <c r="Y985" s="288">
        <v>0</v>
      </c>
      <c r="Z985" s="289">
        <v>0</v>
      </c>
      <c r="AA985" s="229"/>
      <c r="AB985" s="293">
        <v>64702.625073355171</v>
      </c>
      <c r="AC985" s="294">
        <v>3.2258695151744927</v>
      </c>
      <c r="AD985" s="295">
        <v>50915.963905710276</v>
      </c>
      <c r="AE985" s="294">
        <v>2.9172360407707347</v>
      </c>
      <c r="AF985" s="295">
        <v>13786.661167644896</v>
      </c>
      <c r="AG985" s="296">
        <v>0.30863347440375799</v>
      </c>
      <c r="AH985" s="229"/>
      <c r="AI985" s="205">
        <f t="shared" si="108"/>
        <v>257884.32644409413</v>
      </c>
      <c r="AJ985" s="205">
        <f t="shared" si="109"/>
        <v>240807.64017136319</v>
      </c>
      <c r="AK985" s="205">
        <f t="shared" si="110"/>
        <v>17076.686272730902</v>
      </c>
      <c r="AL985" s="229"/>
      <c r="AM985" s="52">
        <f t="shared" si="86"/>
        <v>1</v>
      </c>
      <c r="AN985" s="52">
        <f t="shared" si="87"/>
        <v>0</v>
      </c>
      <c r="AO985" s="52">
        <f t="shared" si="88"/>
        <v>1</v>
      </c>
      <c r="AP985" s="229"/>
      <c r="AQ985" s="28"/>
      <c r="AR985" s="28"/>
      <c r="AS985" s="28"/>
      <c r="AT985" s="28"/>
      <c r="AU985" s="229"/>
      <c r="AV985" s="318">
        <f t="shared" si="111"/>
        <v>257884.32644409413</v>
      </c>
      <c r="AW985" s="229"/>
      <c r="AX985" s="313"/>
      <c r="AY985" s="302"/>
      <c r="AZ985" s="14">
        <f t="shared" si="113"/>
        <v>13786.661167644896</v>
      </c>
      <c r="BA985" s="14">
        <f t="shared" si="112"/>
        <v>0.30863347440375799</v>
      </c>
      <c r="BB985" s="14">
        <f t="shared" si="89"/>
        <v>44670.012526279053</v>
      </c>
      <c r="BC985" s="302"/>
      <c r="BD985" s="302"/>
      <c r="BE985" s="302"/>
      <c r="BF985" s="302"/>
      <c r="BG985" s="302"/>
      <c r="BH985" s="302"/>
      <c r="BI985" s="302"/>
      <c r="BJ985" s="302"/>
      <c r="BK985" s="302"/>
      <c r="BL985" s="302"/>
      <c r="BM985" s="302"/>
      <c r="BN985" s="302"/>
      <c r="BO985" s="302"/>
      <c r="BP985" s="302"/>
      <c r="BQ985" s="302"/>
      <c r="BR985" s="302"/>
      <c r="BS985" s="302"/>
      <c r="BT985" s="302"/>
      <c r="BU985" s="302"/>
      <c r="BV985" s="302"/>
      <c r="BW985" s="302"/>
      <c r="BX985" s="302"/>
      <c r="BY985" s="302"/>
      <c r="BZ985" s="302"/>
      <c r="CA985" s="302"/>
      <c r="CB985" s="28"/>
      <c r="CC985" s="28"/>
      <c r="CD985" s="28"/>
      <c r="CE985" s="28"/>
      <c r="CF985" s="28"/>
      <c r="CG985" s="28"/>
      <c r="CH985" s="28"/>
      <c r="CI985" s="28"/>
      <c r="CJ985" s="28"/>
      <c r="CK985" s="28"/>
      <c r="CL985" s="28"/>
      <c r="CM985" s="28"/>
      <c r="CN985" s="28"/>
      <c r="CO985" s="28"/>
      <c r="CP985" s="28"/>
      <c r="CQ985" s="28"/>
      <c r="CR985" s="28"/>
      <c r="CS985" s="28"/>
      <c r="CT985" s="28"/>
      <c r="CU985" s="28"/>
      <c r="CV985" s="28"/>
      <c r="CW985" s="28"/>
    </row>
    <row r="986" spans="1:101" ht="14.25" customHeight="1" x14ac:dyDescent="0.2">
      <c r="A986" s="286"/>
      <c r="B986" s="52">
        <v>0.17088775486650676</v>
      </c>
      <c r="C986" s="288">
        <v>1.4665970679478129E-2</v>
      </c>
      <c r="D986" s="288">
        <v>1.6047772004234573E-2</v>
      </c>
      <c r="E986" s="288">
        <v>5.9782066292287167E-3</v>
      </c>
      <c r="F986" s="289">
        <v>0.79472740030897437</v>
      </c>
      <c r="G986" s="92">
        <v>0.42616004054686796</v>
      </c>
      <c r="H986" s="288">
        <v>8.8517759348670386E-2</v>
      </c>
      <c r="I986" s="288">
        <v>1.1988604443504159E-2</v>
      </c>
      <c r="J986" s="288">
        <v>0.2318782883790943</v>
      </c>
      <c r="K986" s="288">
        <v>0.74039723609673769</v>
      </c>
      <c r="L986" s="290">
        <v>12294.032149819215</v>
      </c>
      <c r="M986" s="288">
        <v>0</v>
      </c>
      <c r="N986" s="288">
        <v>10656.861820946931</v>
      </c>
      <c r="O986" s="288">
        <v>1466.745133418548</v>
      </c>
      <c r="P986" s="288">
        <v>38703.10012921608</v>
      </c>
      <c r="Q986" s="291">
        <v>110377.21864738055</v>
      </c>
      <c r="R986" s="288">
        <v>17852.569951128982</v>
      </c>
      <c r="S986" s="288">
        <v>8547.6677566253584</v>
      </c>
      <c r="T986" s="290">
        <v>0.751</v>
      </c>
      <c r="U986" s="288">
        <v>0.75800000000000001</v>
      </c>
      <c r="V986" s="288">
        <v>0.723923076923077</v>
      </c>
      <c r="W986" s="288">
        <v>0.72750000000000004</v>
      </c>
      <c r="X986" s="288">
        <v>0.76</v>
      </c>
      <c r="Y986" s="288">
        <v>0</v>
      </c>
      <c r="Z986" s="289">
        <v>0</v>
      </c>
      <c r="AA986" s="229"/>
      <c r="AB986" s="293">
        <v>80159.805739415955</v>
      </c>
      <c r="AC986" s="294">
        <v>3.2108636994203019</v>
      </c>
      <c r="AD986" s="295">
        <v>65020.791821674502</v>
      </c>
      <c r="AE986" s="294">
        <v>2.9641303520821052</v>
      </c>
      <c r="AF986" s="295">
        <v>15139.013917741453</v>
      </c>
      <c r="AG986" s="296">
        <v>0.24673334733819674</v>
      </c>
      <c r="AH986" s="229"/>
      <c r="AI986" s="205">
        <f t="shared" si="108"/>
        <v>240926.56420261422</v>
      </c>
      <c r="AJ986" s="205">
        <f t="shared" si="109"/>
        <v>231392.24338653602</v>
      </c>
      <c r="AK986" s="205">
        <f t="shared" si="110"/>
        <v>9534.3208160782197</v>
      </c>
      <c r="AL986" s="229"/>
      <c r="AM986" s="52">
        <f t="shared" si="86"/>
        <v>1</v>
      </c>
      <c r="AN986" s="52">
        <f t="shared" si="87"/>
        <v>0</v>
      </c>
      <c r="AO986" s="52">
        <f t="shared" si="88"/>
        <v>1</v>
      </c>
      <c r="AP986" s="229"/>
      <c r="AQ986" s="28"/>
      <c r="AR986" s="28"/>
      <c r="AS986" s="28"/>
      <c r="AT986" s="28"/>
      <c r="AU986" s="229"/>
      <c r="AV986" s="318">
        <f t="shared" si="111"/>
        <v>240926.56420261422</v>
      </c>
      <c r="AW986" s="229"/>
      <c r="AX986" s="313"/>
      <c r="AY986" s="302"/>
      <c r="AZ986" s="14">
        <f t="shared" si="113"/>
        <v>15139.013917741453</v>
      </c>
      <c r="BA986" s="14">
        <f t="shared" si="112"/>
        <v>0.24673334733819674</v>
      </c>
      <c r="BB986" s="14">
        <f t="shared" si="89"/>
        <v>61357.794076333135</v>
      </c>
      <c r="BC986" s="302"/>
      <c r="BD986" s="302"/>
      <c r="BE986" s="302"/>
      <c r="BF986" s="302"/>
      <c r="BG986" s="302"/>
      <c r="BH986" s="302"/>
      <c r="BI986" s="302"/>
      <c r="BJ986" s="302"/>
      <c r="BK986" s="302"/>
      <c r="BL986" s="302"/>
      <c r="BM986" s="302"/>
      <c r="BN986" s="302"/>
      <c r="BO986" s="302"/>
      <c r="BP986" s="302"/>
      <c r="BQ986" s="302"/>
      <c r="BR986" s="302"/>
      <c r="BS986" s="302"/>
      <c r="BT986" s="302"/>
      <c r="BU986" s="302"/>
      <c r="BV986" s="302"/>
      <c r="BW986" s="302"/>
      <c r="BX986" s="302"/>
      <c r="BY986" s="302"/>
      <c r="BZ986" s="302"/>
      <c r="CA986" s="302"/>
      <c r="CB986" s="28"/>
      <c r="CC986" s="28"/>
      <c r="CD986" s="28"/>
      <c r="CE986" s="28"/>
      <c r="CF986" s="28"/>
      <c r="CG986" s="28"/>
      <c r="CH986" s="28"/>
      <c r="CI986" s="28"/>
      <c r="CJ986" s="28"/>
      <c r="CK986" s="28"/>
      <c r="CL986" s="28"/>
      <c r="CM986" s="28"/>
      <c r="CN986" s="28"/>
      <c r="CO986" s="28"/>
      <c r="CP986" s="28"/>
      <c r="CQ986" s="28"/>
      <c r="CR986" s="28"/>
      <c r="CS986" s="28"/>
      <c r="CT986" s="28"/>
      <c r="CU986" s="28"/>
      <c r="CV986" s="28"/>
      <c r="CW986" s="28"/>
    </row>
    <row r="987" spans="1:101" ht="14.25" customHeight="1" x14ac:dyDescent="0.2">
      <c r="A987" s="286"/>
      <c r="B987" s="52">
        <v>0.15776699738242028</v>
      </c>
      <c r="C987" s="288">
        <v>6.5415062502132595E-2</v>
      </c>
      <c r="D987" s="288">
        <v>2.175400953744544E-2</v>
      </c>
      <c r="E987" s="288">
        <v>1.0173088655494612E-2</v>
      </c>
      <c r="F987" s="289">
        <v>0.80498816757552383</v>
      </c>
      <c r="G987" s="92">
        <v>0.30085728705382964</v>
      </c>
      <c r="H987" s="288">
        <v>0.14326271550157221</v>
      </c>
      <c r="I987" s="288">
        <v>9.5049059230634895E-3</v>
      </c>
      <c r="J987" s="288">
        <v>0.99999995461257951</v>
      </c>
      <c r="K987" s="288">
        <v>0.7980351272627888</v>
      </c>
      <c r="L987" s="290">
        <v>11790.970693671195</v>
      </c>
      <c r="M987" s="288">
        <v>0</v>
      </c>
      <c r="N987" s="288">
        <v>18216.615320383513</v>
      </c>
      <c r="O987" s="288">
        <v>1086.2313361311419</v>
      </c>
      <c r="P987" s="288">
        <v>35657.547927445223</v>
      </c>
      <c r="Q987" s="291">
        <v>81641.378432167636</v>
      </c>
      <c r="R987" s="288">
        <v>19782.47164702605</v>
      </c>
      <c r="S987" s="288">
        <v>11076.273208092347</v>
      </c>
      <c r="T987" s="290">
        <v>0.751</v>
      </c>
      <c r="U987" s="288">
        <v>0.75800000000000001</v>
      </c>
      <c r="V987" s="288">
        <v>0.723923076923077</v>
      </c>
      <c r="W987" s="288">
        <v>0.72750000000000004</v>
      </c>
      <c r="X987" s="288">
        <v>0.76</v>
      </c>
      <c r="Y987" s="288">
        <v>0</v>
      </c>
      <c r="Z987" s="289">
        <v>0</v>
      </c>
      <c r="AA987" s="229"/>
      <c r="AB987" s="293">
        <v>100740.02499567121</v>
      </c>
      <c r="AC987" s="294">
        <v>3.2587970747299639</v>
      </c>
      <c r="AD987" s="295">
        <v>89703.60418711853</v>
      </c>
      <c r="AE987" s="294">
        <v>3.2311311926953121</v>
      </c>
      <c r="AF987" s="295">
        <v>11036.420808552677</v>
      </c>
      <c r="AG987" s="296">
        <v>2.7665882034651812E-2</v>
      </c>
      <c r="AH987" s="229"/>
      <c r="AI987" s="205">
        <f t="shared" si="108"/>
        <v>225139.68247732517</v>
      </c>
      <c r="AJ987" s="205">
        <f t="shared" si="109"/>
        <v>233409.51508241269</v>
      </c>
      <c r="AK987" s="205">
        <f t="shared" si="110"/>
        <v>-8269.8326050874966</v>
      </c>
      <c r="AL987" s="229"/>
      <c r="AM987" s="52">
        <f t="shared" si="86"/>
        <v>0</v>
      </c>
      <c r="AN987" s="52">
        <f t="shared" si="87"/>
        <v>1</v>
      </c>
      <c r="AO987" s="52">
        <f t="shared" si="88"/>
        <v>0</v>
      </c>
      <c r="AP987" s="229"/>
      <c r="AQ987" s="28"/>
      <c r="AR987" s="28"/>
      <c r="AS987" s="28"/>
      <c r="AT987" s="28"/>
      <c r="AU987" s="229"/>
      <c r="AV987" s="318">
        <f t="shared" si="111"/>
        <v>233409.51508241269</v>
      </c>
      <c r="AW987" s="229"/>
      <c r="AX987" s="313"/>
      <c r="AY987" s="302"/>
      <c r="AZ987" s="14">
        <f t="shared" si="113"/>
        <v>11036.420808552677</v>
      </c>
      <c r="BA987" s="14">
        <f t="shared" si="112"/>
        <v>2.7665882034651812E-2</v>
      </c>
      <c r="BB987" s="14">
        <f t="shared" si="89"/>
        <v>398918.08960688266</v>
      </c>
      <c r="BC987" s="302"/>
      <c r="BD987" s="302"/>
      <c r="BE987" s="302"/>
      <c r="BF987" s="302"/>
      <c r="BG987" s="302"/>
      <c r="BH987" s="302"/>
      <c r="BI987" s="302"/>
      <c r="BJ987" s="302"/>
      <c r="BK987" s="302"/>
      <c r="BL987" s="302"/>
      <c r="BM987" s="302"/>
      <c r="BN987" s="302"/>
      <c r="BO987" s="302"/>
      <c r="BP987" s="302"/>
      <c r="BQ987" s="302"/>
      <c r="BR987" s="302"/>
      <c r="BS987" s="302"/>
      <c r="BT987" s="302"/>
      <c r="BU987" s="302"/>
      <c r="BV987" s="302"/>
      <c r="BW987" s="302"/>
      <c r="BX987" s="302"/>
      <c r="BY987" s="302"/>
      <c r="BZ987" s="302"/>
      <c r="CA987" s="302"/>
      <c r="CB987" s="28"/>
      <c r="CC987" s="28"/>
      <c r="CD987" s="28"/>
      <c r="CE987" s="28"/>
      <c r="CF987" s="28"/>
      <c r="CG987" s="28"/>
      <c r="CH987" s="28"/>
      <c r="CI987" s="28"/>
      <c r="CJ987" s="28"/>
      <c r="CK987" s="28"/>
      <c r="CL987" s="28"/>
      <c r="CM987" s="28"/>
      <c r="CN987" s="28"/>
      <c r="CO987" s="28"/>
      <c r="CP987" s="28"/>
      <c r="CQ987" s="28"/>
      <c r="CR987" s="28"/>
      <c r="CS987" s="28"/>
      <c r="CT987" s="28"/>
      <c r="CU987" s="28"/>
      <c r="CV987" s="28"/>
      <c r="CW987" s="28"/>
    </row>
    <row r="988" spans="1:101" ht="14.25" customHeight="1" x14ac:dyDescent="0.2">
      <c r="A988" s="286"/>
      <c r="B988" s="52">
        <v>0.17451388446962557</v>
      </c>
      <c r="C988" s="288">
        <v>8.2986912644488015E-2</v>
      </c>
      <c r="D988" s="288">
        <v>1.7236637415205092E-2</v>
      </c>
      <c r="E988" s="288">
        <v>1.2672286371208213E-2</v>
      </c>
      <c r="F988" s="289">
        <v>0.7671352122703291</v>
      </c>
      <c r="G988" s="92">
        <v>0.38440818800759124</v>
      </c>
      <c r="H988" s="288">
        <v>0.4279551935805635</v>
      </c>
      <c r="I988" s="288">
        <v>2.56769982807936E-3</v>
      </c>
      <c r="J988" s="288">
        <v>0.99999999999999978</v>
      </c>
      <c r="K988" s="288">
        <v>0.79286492906252493</v>
      </c>
      <c r="L988" s="290">
        <v>14239.746247063489</v>
      </c>
      <c r="M988" s="288">
        <v>0</v>
      </c>
      <c r="N988" s="288">
        <v>17929.191423437009</v>
      </c>
      <c r="O988" s="288">
        <v>740.69098829218728</v>
      </c>
      <c r="P988" s="288">
        <v>46275.329077595779</v>
      </c>
      <c r="Q988" s="291">
        <v>125657.69090967315</v>
      </c>
      <c r="R988" s="288">
        <v>27840.52731950302</v>
      </c>
      <c r="S988" s="288">
        <v>10477.25940213654</v>
      </c>
      <c r="T988" s="290">
        <v>0.751</v>
      </c>
      <c r="U988" s="288">
        <v>0.75800000000000001</v>
      </c>
      <c r="V988" s="288">
        <v>0.723923076923077</v>
      </c>
      <c r="W988" s="288">
        <v>0.72750000000000004</v>
      </c>
      <c r="X988" s="288">
        <v>0.76</v>
      </c>
      <c r="Y988" s="288">
        <v>0</v>
      </c>
      <c r="Z988" s="289">
        <v>0</v>
      </c>
      <c r="AA988" s="229"/>
      <c r="AB988" s="293">
        <v>94742.003459066997</v>
      </c>
      <c r="AC988" s="294">
        <v>3.0827853590911842</v>
      </c>
      <c r="AD988" s="295">
        <v>87876.817191350754</v>
      </c>
      <c r="AE988" s="294">
        <v>3.206967056268474</v>
      </c>
      <c r="AF988" s="295">
        <v>6865.1862677162426</v>
      </c>
      <c r="AG988" s="296">
        <v>-0.12418169717728977</v>
      </c>
      <c r="AH988" s="229"/>
      <c r="AI988" s="205">
        <f t="shared" si="108"/>
        <v>213536.53245005143</v>
      </c>
      <c r="AJ988" s="205">
        <f t="shared" si="109"/>
        <v>232819.88843549666</v>
      </c>
      <c r="AK988" s="205">
        <f t="shared" si="110"/>
        <v>-19283.355985445218</v>
      </c>
      <c r="AL988" s="229"/>
      <c r="AM988" s="52">
        <f t="shared" si="86"/>
        <v>0</v>
      </c>
      <c r="AN988" s="52">
        <f t="shared" si="87"/>
        <v>1</v>
      </c>
      <c r="AO988" s="52">
        <f t="shared" si="88"/>
        <v>0</v>
      </c>
      <c r="AP988" s="229"/>
      <c r="AQ988" s="28"/>
      <c r="AR988" s="28"/>
      <c r="AS988" s="28"/>
      <c r="AT988" s="28"/>
      <c r="AU988" s="229"/>
      <c r="AV988" s="318">
        <f t="shared" si="111"/>
        <v>232819.88843549666</v>
      </c>
      <c r="AW988" s="229"/>
      <c r="AX988" s="313"/>
      <c r="AY988" s="302"/>
      <c r="AZ988" s="14">
        <f t="shared" si="113"/>
        <v>6865.1862677162426</v>
      </c>
      <c r="BA988" s="14">
        <f t="shared" si="112"/>
        <v>-0.12418169717728977</v>
      </c>
      <c r="BB988" s="14">
        <f t="shared" si="89"/>
        <v>-55283.39863091951</v>
      </c>
      <c r="BC988" s="302"/>
      <c r="BD988" s="302"/>
      <c r="BE988" s="302"/>
      <c r="BF988" s="302"/>
      <c r="BG988" s="302"/>
      <c r="BH988" s="302"/>
      <c r="BI988" s="302"/>
      <c r="BJ988" s="302"/>
      <c r="BK988" s="302"/>
      <c r="BL988" s="302"/>
      <c r="BM988" s="302"/>
      <c r="BN988" s="302"/>
      <c r="BO988" s="302"/>
      <c r="BP988" s="302"/>
      <c r="BQ988" s="302"/>
      <c r="BR988" s="302"/>
      <c r="BS988" s="302"/>
      <c r="BT988" s="302"/>
      <c r="BU988" s="302"/>
      <c r="BV988" s="302"/>
      <c r="BW988" s="302"/>
      <c r="BX988" s="302"/>
      <c r="BY988" s="302"/>
      <c r="BZ988" s="302"/>
      <c r="CA988" s="302"/>
      <c r="CB988" s="28"/>
      <c r="CC988" s="28"/>
      <c r="CD988" s="28"/>
      <c r="CE988" s="28"/>
      <c r="CF988" s="28"/>
      <c r="CG988" s="28"/>
      <c r="CH988" s="28"/>
      <c r="CI988" s="28"/>
      <c r="CJ988" s="28"/>
      <c r="CK988" s="28"/>
      <c r="CL988" s="28"/>
      <c r="CM988" s="28"/>
      <c r="CN988" s="28"/>
      <c r="CO988" s="28"/>
      <c r="CP988" s="28"/>
      <c r="CQ988" s="28"/>
      <c r="CR988" s="28"/>
      <c r="CS988" s="28"/>
      <c r="CT988" s="28"/>
      <c r="CU988" s="28"/>
      <c r="CV988" s="28"/>
      <c r="CW988" s="28"/>
    </row>
    <row r="989" spans="1:101" ht="14.25" customHeight="1" x14ac:dyDescent="0.2">
      <c r="A989" s="286"/>
      <c r="B989" s="52">
        <v>0.14019823151420152</v>
      </c>
      <c r="C989" s="288">
        <v>0.80838800088160301</v>
      </c>
      <c r="D989" s="288">
        <v>2.6942935197784457E-2</v>
      </c>
      <c r="E989" s="288">
        <v>2.7835671538626983E-2</v>
      </c>
      <c r="F989" s="289">
        <v>0.79178017710621917</v>
      </c>
      <c r="G989" s="92">
        <v>0.33825838390942176</v>
      </c>
      <c r="H989" s="288">
        <v>0.39572631548382747</v>
      </c>
      <c r="I989" s="288">
        <v>2.594861326439668E-2</v>
      </c>
      <c r="J989" s="288">
        <v>0.99999999999997358</v>
      </c>
      <c r="K989" s="288">
        <v>0.77022913570203921</v>
      </c>
      <c r="L989" s="290">
        <v>10138.937421123517</v>
      </c>
      <c r="M989" s="288">
        <v>0</v>
      </c>
      <c r="N989" s="288">
        <v>19625.115668577742</v>
      </c>
      <c r="O989" s="288">
        <v>1429.4700391574474</v>
      </c>
      <c r="P989" s="288">
        <v>37087.747127742441</v>
      </c>
      <c r="Q989" s="291">
        <v>124701.19190256123</v>
      </c>
      <c r="R989" s="288">
        <v>21186.050915588075</v>
      </c>
      <c r="S989" s="288">
        <v>10197.099955919628</v>
      </c>
      <c r="T989" s="290">
        <v>0.751</v>
      </c>
      <c r="U989" s="288">
        <v>0.75800000000000001</v>
      </c>
      <c r="V989" s="288">
        <v>0.723923076923077</v>
      </c>
      <c r="W989" s="288">
        <v>0.72750000000000004</v>
      </c>
      <c r="X989" s="288">
        <v>0.76</v>
      </c>
      <c r="Y989" s="288">
        <v>0</v>
      </c>
      <c r="Z989" s="289">
        <v>0</v>
      </c>
      <c r="AA989" s="229"/>
      <c r="AB989" s="293">
        <v>93167.146050359457</v>
      </c>
      <c r="AC989" s="294">
        <v>3.197126216906232</v>
      </c>
      <c r="AD989" s="295">
        <v>83306.060951312596</v>
      </c>
      <c r="AE989" s="294">
        <v>3.1016694102595621</v>
      </c>
      <c r="AF989" s="295">
        <v>9861.0850990468607</v>
      </c>
      <c r="AG989" s="296">
        <v>9.5456806646669889E-2</v>
      </c>
      <c r="AH989" s="229"/>
      <c r="AI989" s="205">
        <f t="shared" si="108"/>
        <v>226545.4756402637</v>
      </c>
      <c r="AJ989" s="205">
        <f t="shared" si="109"/>
        <v>226860.88007464359</v>
      </c>
      <c r="AK989" s="205">
        <f t="shared" si="110"/>
        <v>-315.40443437987233</v>
      </c>
      <c r="AL989" s="229"/>
      <c r="AM989" s="52">
        <f t="shared" si="86"/>
        <v>0</v>
      </c>
      <c r="AN989" s="52">
        <f t="shared" si="87"/>
        <v>1</v>
      </c>
      <c r="AO989" s="52">
        <f t="shared" si="88"/>
        <v>0</v>
      </c>
      <c r="AP989" s="229"/>
      <c r="AQ989" s="28"/>
      <c r="AR989" s="28"/>
      <c r="AS989" s="28"/>
      <c r="AT989" s="28"/>
      <c r="AU989" s="229"/>
      <c r="AV989" s="318">
        <f t="shared" si="111"/>
        <v>226860.88007464359</v>
      </c>
      <c r="AW989" s="229"/>
      <c r="AX989" s="313"/>
      <c r="AY989" s="302"/>
      <c r="AZ989" s="14">
        <f t="shared" si="113"/>
        <v>9861.0850990468607</v>
      </c>
      <c r="BA989" s="14">
        <f t="shared" si="112"/>
        <v>9.5456806646669889E-2</v>
      </c>
      <c r="BB989" s="14">
        <f t="shared" si="89"/>
        <v>103304.15866044347</v>
      </c>
      <c r="BC989" s="302"/>
      <c r="BD989" s="302"/>
      <c r="BE989" s="302"/>
      <c r="BF989" s="302"/>
      <c r="BG989" s="302"/>
      <c r="BH989" s="302"/>
      <c r="BI989" s="302"/>
      <c r="BJ989" s="302"/>
      <c r="BK989" s="302"/>
      <c r="BL989" s="302"/>
      <c r="BM989" s="302"/>
      <c r="BN989" s="302"/>
      <c r="BO989" s="302"/>
      <c r="BP989" s="302"/>
      <c r="BQ989" s="302"/>
      <c r="BR989" s="302"/>
      <c r="BS989" s="302"/>
      <c r="BT989" s="302"/>
      <c r="BU989" s="302"/>
      <c r="BV989" s="302"/>
      <c r="BW989" s="302"/>
      <c r="BX989" s="302"/>
      <c r="BY989" s="302"/>
      <c r="BZ989" s="302"/>
      <c r="CA989" s="302"/>
      <c r="CB989" s="28"/>
      <c r="CC989" s="28"/>
      <c r="CD989" s="28"/>
      <c r="CE989" s="28"/>
      <c r="CF989" s="28"/>
      <c r="CG989" s="28"/>
      <c r="CH989" s="28"/>
      <c r="CI989" s="28"/>
      <c r="CJ989" s="28"/>
      <c r="CK989" s="28"/>
      <c r="CL989" s="28"/>
      <c r="CM989" s="28"/>
      <c r="CN989" s="28"/>
      <c r="CO989" s="28"/>
      <c r="CP989" s="28"/>
      <c r="CQ989" s="28"/>
      <c r="CR989" s="28"/>
      <c r="CS989" s="28"/>
      <c r="CT989" s="28"/>
      <c r="CU989" s="28"/>
      <c r="CV989" s="28"/>
      <c r="CW989" s="28"/>
    </row>
    <row r="990" spans="1:101" ht="14.25" customHeight="1" x14ac:dyDescent="0.2">
      <c r="A990" s="286"/>
      <c r="B990" s="52">
        <v>0.14300403557953195</v>
      </c>
      <c r="C990" s="288">
        <v>0.20709761286850847</v>
      </c>
      <c r="D990" s="288">
        <v>8.6431080300068911E-3</v>
      </c>
      <c r="E990" s="288">
        <v>1.339041966223712E-2</v>
      </c>
      <c r="F990" s="289">
        <v>0.78679612621611361</v>
      </c>
      <c r="G990" s="92">
        <v>0.43692992025289101</v>
      </c>
      <c r="H990" s="288">
        <v>0.96167826894173225</v>
      </c>
      <c r="I990" s="288">
        <v>3.7646798878194554E-2</v>
      </c>
      <c r="J990" s="288">
        <v>0.99999999999841704</v>
      </c>
      <c r="K990" s="288">
        <v>0.76670865415284217</v>
      </c>
      <c r="L990" s="290">
        <v>12944.59461862193</v>
      </c>
      <c r="M990" s="288">
        <v>0</v>
      </c>
      <c r="N990" s="288">
        <v>18995.138562863216</v>
      </c>
      <c r="O990" s="288">
        <v>1176.9425542510114</v>
      </c>
      <c r="P990" s="288">
        <v>48906.277147062952</v>
      </c>
      <c r="Q990" s="291">
        <v>122910.56170986735</v>
      </c>
      <c r="R990" s="288">
        <v>28222.613385365505</v>
      </c>
      <c r="S990" s="288">
        <v>9397.2401450637153</v>
      </c>
      <c r="T990" s="290">
        <v>0.751</v>
      </c>
      <c r="U990" s="288">
        <v>0.75800000000000001</v>
      </c>
      <c r="V990" s="288">
        <v>0.723923076923077</v>
      </c>
      <c r="W990" s="288">
        <v>0.72750000000000004</v>
      </c>
      <c r="X990" s="288">
        <v>0.76</v>
      </c>
      <c r="Y990" s="288">
        <v>0</v>
      </c>
      <c r="Z990" s="289">
        <v>0</v>
      </c>
      <c r="AA990" s="229"/>
      <c r="AB990" s="293">
        <v>87316.428299554507</v>
      </c>
      <c r="AC990" s="294">
        <v>3.1739257534573508</v>
      </c>
      <c r="AD990" s="295">
        <v>87005.790103306208</v>
      </c>
      <c r="AE990" s="294">
        <v>3.0853653349294468</v>
      </c>
      <c r="AF990" s="295">
        <v>310.63819624829921</v>
      </c>
      <c r="AG990" s="296">
        <v>8.8560418527904083E-2</v>
      </c>
      <c r="AH990" s="229"/>
      <c r="AI990" s="205">
        <f t="shared" si="108"/>
        <v>230076.14704618056</v>
      </c>
      <c r="AJ990" s="205">
        <f t="shared" si="109"/>
        <v>221530.74338963846</v>
      </c>
      <c r="AK990" s="205">
        <f t="shared" si="110"/>
        <v>8545.4036565421084</v>
      </c>
      <c r="AL990" s="229"/>
      <c r="AM990" s="52">
        <f t="shared" si="86"/>
        <v>1</v>
      </c>
      <c r="AN990" s="52">
        <f t="shared" si="87"/>
        <v>0</v>
      </c>
      <c r="AO990" s="52">
        <f t="shared" si="88"/>
        <v>1</v>
      </c>
      <c r="AP990" s="229"/>
      <c r="AQ990" s="28"/>
      <c r="AR990" s="28"/>
      <c r="AS990" s="28"/>
      <c r="AT990" s="28"/>
      <c r="AU990" s="229"/>
      <c r="AV990" s="318">
        <f t="shared" si="111"/>
        <v>230076.14704618056</v>
      </c>
      <c r="AW990" s="229"/>
      <c r="AX990" s="313"/>
      <c r="AY990" s="302"/>
      <c r="AZ990" s="14">
        <f t="shared" si="113"/>
        <v>310.63819624829921</v>
      </c>
      <c r="BA990" s="14">
        <f t="shared" si="112"/>
        <v>8.8560418527904083E-2</v>
      </c>
      <c r="BB990" s="14">
        <f t="shared" si="89"/>
        <v>3507.6414657008613</v>
      </c>
      <c r="BC990" s="302"/>
      <c r="BD990" s="302"/>
      <c r="BE990" s="302"/>
      <c r="BF990" s="302"/>
      <c r="BG990" s="302"/>
      <c r="BH990" s="302"/>
      <c r="BI990" s="302"/>
      <c r="BJ990" s="302"/>
      <c r="BK990" s="302"/>
      <c r="BL990" s="302"/>
      <c r="BM990" s="302"/>
      <c r="BN990" s="302"/>
      <c r="BO990" s="302"/>
      <c r="BP990" s="302"/>
      <c r="BQ990" s="302"/>
      <c r="BR990" s="302"/>
      <c r="BS990" s="302"/>
      <c r="BT990" s="302"/>
      <c r="BU990" s="302"/>
      <c r="BV990" s="302"/>
      <c r="BW990" s="302"/>
      <c r="BX990" s="302"/>
      <c r="BY990" s="302"/>
      <c r="BZ990" s="302"/>
      <c r="CA990" s="302"/>
      <c r="CB990" s="28"/>
      <c r="CC990" s="28"/>
      <c r="CD990" s="28"/>
      <c r="CE990" s="28"/>
      <c r="CF990" s="28"/>
      <c r="CG990" s="28"/>
      <c r="CH990" s="28"/>
      <c r="CI990" s="28"/>
      <c r="CJ990" s="28"/>
      <c r="CK990" s="28"/>
      <c r="CL990" s="28"/>
      <c r="CM990" s="28"/>
      <c r="CN990" s="28"/>
      <c r="CO990" s="28"/>
      <c r="CP990" s="28"/>
      <c r="CQ990" s="28"/>
      <c r="CR990" s="28"/>
      <c r="CS990" s="28"/>
      <c r="CT990" s="28"/>
      <c r="CU990" s="28"/>
      <c r="CV990" s="28"/>
      <c r="CW990" s="28"/>
    </row>
    <row r="991" spans="1:101" ht="14.25" customHeight="1" x14ac:dyDescent="0.2">
      <c r="A991" s="286"/>
      <c r="B991" s="52">
        <v>0.17738542716623573</v>
      </c>
      <c r="C991" s="288">
        <v>0.84093483353558374</v>
      </c>
      <c r="D991" s="288">
        <v>1.5531694814764574E-2</v>
      </c>
      <c r="E991" s="288">
        <v>1.327006276378417E-2</v>
      </c>
      <c r="F991" s="289">
        <v>0.81519448118332671</v>
      </c>
      <c r="G991" s="92">
        <v>0.43112702538274905</v>
      </c>
      <c r="H991" s="288">
        <v>0.78339687053858287</v>
      </c>
      <c r="I991" s="288">
        <v>1.5362532247315569E-2</v>
      </c>
      <c r="J991" s="288">
        <v>2.2994567680462517E-2</v>
      </c>
      <c r="K991" s="288">
        <v>0.7072175288272976</v>
      </c>
      <c r="L991" s="290">
        <v>15296.889384596321</v>
      </c>
      <c r="M991" s="288">
        <v>0</v>
      </c>
      <c r="N991" s="288">
        <v>23131.792940291121</v>
      </c>
      <c r="O991" s="288">
        <v>996.95409999760648</v>
      </c>
      <c r="P991" s="288">
        <v>46114.942756979508</v>
      </c>
      <c r="Q991" s="291">
        <v>138158.39705702793</v>
      </c>
      <c r="R991" s="288">
        <v>18019.983582434223</v>
      </c>
      <c r="S991" s="288">
        <v>8760.1787839216522</v>
      </c>
      <c r="T991" s="290">
        <v>0.751</v>
      </c>
      <c r="U991" s="288">
        <v>0.75800000000000001</v>
      </c>
      <c r="V991" s="288">
        <v>0.723923076923077</v>
      </c>
      <c r="W991" s="288">
        <v>0.72750000000000004</v>
      </c>
      <c r="X991" s="288">
        <v>0.76</v>
      </c>
      <c r="Y991" s="288">
        <v>0</v>
      </c>
      <c r="Z991" s="289">
        <v>0</v>
      </c>
      <c r="AA991" s="229"/>
      <c r="AB991" s="293">
        <v>89259.630988015488</v>
      </c>
      <c r="AC991" s="294">
        <v>3.3066398933910146</v>
      </c>
      <c r="AD991" s="295">
        <v>69225.641208851681</v>
      </c>
      <c r="AE991" s="294">
        <v>2.8128040675421753</v>
      </c>
      <c r="AF991" s="295">
        <v>20033.989779163807</v>
      </c>
      <c r="AG991" s="296">
        <v>0.49383582584883934</v>
      </c>
      <c r="AH991" s="229"/>
      <c r="AI991" s="205">
        <f t="shared" si="108"/>
        <v>241404.35835108598</v>
      </c>
      <c r="AJ991" s="205">
        <f t="shared" si="109"/>
        <v>212054.76554536584</v>
      </c>
      <c r="AK991" s="205">
        <f t="shared" si="110"/>
        <v>29349.592805720124</v>
      </c>
      <c r="AL991" s="229"/>
      <c r="AM991" s="52">
        <f t="shared" si="86"/>
        <v>1</v>
      </c>
      <c r="AN991" s="52">
        <f t="shared" si="87"/>
        <v>0</v>
      </c>
      <c r="AO991" s="52">
        <f t="shared" si="88"/>
        <v>1</v>
      </c>
      <c r="AP991" s="229"/>
      <c r="AQ991" s="28"/>
      <c r="AR991" s="28"/>
      <c r="AS991" s="28"/>
      <c r="AT991" s="28"/>
      <c r="AU991" s="229"/>
      <c r="AV991" s="318">
        <f t="shared" si="111"/>
        <v>241404.35835108598</v>
      </c>
      <c r="AW991" s="229"/>
      <c r="AX991" s="313"/>
      <c r="AY991" s="302"/>
      <c r="AZ991" s="14">
        <f t="shared" si="113"/>
        <v>20033.989779163807</v>
      </c>
      <c r="BA991" s="14">
        <f t="shared" si="112"/>
        <v>0.49383582584883934</v>
      </c>
      <c r="BB991" s="14">
        <f t="shared" si="89"/>
        <v>40568.117440098627</v>
      </c>
      <c r="BC991" s="302"/>
      <c r="BD991" s="302"/>
      <c r="BE991" s="302"/>
      <c r="BF991" s="302"/>
      <c r="BG991" s="302"/>
      <c r="BH991" s="302"/>
      <c r="BI991" s="302"/>
      <c r="BJ991" s="302"/>
      <c r="BK991" s="302"/>
      <c r="BL991" s="302"/>
      <c r="BM991" s="302"/>
      <c r="BN991" s="302"/>
      <c r="BO991" s="302"/>
      <c r="BP991" s="302"/>
      <c r="BQ991" s="302"/>
      <c r="BR991" s="302"/>
      <c r="BS991" s="302"/>
      <c r="BT991" s="302"/>
      <c r="BU991" s="302"/>
      <c r="BV991" s="302"/>
      <c r="BW991" s="302"/>
      <c r="BX991" s="302"/>
      <c r="BY991" s="302"/>
      <c r="BZ991" s="302"/>
      <c r="CA991" s="302"/>
      <c r="CB991" s="28"/>
      <c r="CC991" s="28"/>
      <c r="CD991" s="28"/>
      <c r="CE991" s="28"/>
      <c r="CF991" s="28"/>
      <c r="CG991" s="28"/>
      <c r="CH991" s="28"/>
      <c r="CI991" s="28"/>
      <c r="CJ991" s="28"/>
      <c r="CK991" s="28"/>
      <c r="CL991" s="28"/>
      <c r="CM991" s="28"/>
      <c r="CN991" s="28"/>
      <c r="CO991" s="28"/>
      <c r="CP991" s="28"/>
      <c r="CQ991" s="28"/>
      <c r="CR991" s="28"/>
      <c r="CS991" s="28"/>
      <c r="CT991" s="28"/>
      <c r="CU991" s="28"/>
      <c r="CV991" s="28"/>
      <c r="CW991" s="28"/>
    </row>
    <row r="992" spans="1:101" ht="14.25" customHeight="1" x14ac:dyDescent="0.2">
      <c r="A992" s="286"/>
      <c r="B992" s="52">
        <v>0.12090562401465661</v>
      </c>
      <c r="C992" s="288">
        <v>0.66426694692370103</v>
      </c>
      <c r="D992" s="288">
        <v>2.5329308862199751E-2</v>
      </c>
      <c r="E992" s="288">
        <v>2.348538811344314E-2</v>
      </c>
      <c r="F992" s="289">
        <v>0.81840380186644068</v>
      </c>
      <c r="G992" s="92">
        <v>0.36478580711387021</v>
      </c>
      <c r="H992" s="288">
        <v>0.77135382905907746</v>
      </c>
      <c r="I992" s="288">
        <v>3.1530514570667911E-2</v>
      </c>
      <c r="J992" s="288">
        <v>1.6824297358422889E-4</v>
      </c>
      <c r="K992" s="288">
        <v>0.79205589221017059</v>
      </c>
      <c r="L992" s="290">
        <v>11555.11301279759</v>
      </c>
      <c r="M992" s="288">
        <v>0</v>
      </c>
      <c r="N992" s="288">
        <v>13259.356321624276</v>
      </c>
      <c r="O992" s="288">
        <v>1077.4923083388646</v>
      </c>
      <c r="P992" s="288">
        <v>58867.863560273603</v>
      </c>
      <c r="Q992" s="291">
        <v>104096.06695061829</v>
      </c>
      <c r="R992" s="288">
        <v>25971.852258597202</v>
      </c>
      <c r="S992" s="288">
        <v>10698.361831138747</v>
      </c>
      <c r="T992" s="290">
        <v>0.751</v>
      </c>
      <c r="U992" s="288">
        <v>0.75800000000000001</v>
      </c>
      <c r="V992" s="288">
        <v>0.723923076923077</v>
      </c>
      <c r="W992" s="288">
        <v>0.72750000000000004</v>
      </c>
      <c r="X992" s="288">
        <v>0.76</v>
      </c>
      <c r="Y992" s="288">
        <v>0</v>
      </c>
      <c r="Z992" s="289">
        <v>0</v>
      </c>
      <c r="AA992" s="229"/>
      <c r="AB992" s="293">
        <v>100795.51270446679</v>
      </c>
      <c r="AC992" s="294">
        <v>3.3217175775736476</v>
      </c>
      <c r="AD992" s="295">
        <v>93362.320675636147</v>
      </c>
      <c r="AE992" s="294">
        <v>3.2031896448860468</v>
      </c>
      <c r="AF992" s="295">
        <v>7433.1920288306428</v>
      </c>
      <c r="AG992" s="296">
        <v>0.11852793268760076</v>
      </c>
      <c r="AH992" s="229"/>
      <c r="AI992" s="205">
        <f t="shared" si="108"/>
        <v>231376.24505289798</v>
      </c>
      <c r="AJ992" s="205">
        <f t="shared" si="109"/>
        <v>226956.64381296854</v>
      </c>
      <c r="AK992" s="205">
        <f t="shared" si="110"/>
        <v>4419.6012399294323</v>
      </c>
      <c r="AL992" s="229"/>
      <c r="AM992" s="52">
        <f t="shared" si="86"/>
        <v>1</v>
      </c>
      <c r="AN992" s="52">
        <f t="shared" si="87"/>
        <v>0</v>
      </c>
      <c r="AO992" s="52">
        <f t="shared" si="88"/>
        <v>1</v>
      </c>
      <c r="AP992" s="229"/>
      <c r="AQ992" s="28"/>
      <c r="AR992" s="28"/>
      <c r="AS992" s="28"/>
      <c r="AT992" s="28"/>
      <c r="AU992" s="229"/>
      <c r="AV992" s="318">
        <f t="shared" si="111"/>
        <v>231376.24505289798</v>
      </c>
      <c r="AW992" s="229"/>
      <c r="AX992" s="313"/>
      <c r="AY992" s="302"/>
      <c r="AZ992" s="14">
        <f t="shared" si="113"/>
        <v>7433.1920288306428</v>
      </c>
      <c r="BA992" s="14">
        <f t="shared" si="112"/>
        <v>0.11852793268760076</v>
      </c>
      <c r="BB992" s="14">
        <f t="shared" si="89"/>
        <v>62712.576354655612</v>
      </c>
      <c r="BC992" s="302"/>
      <c r="BD992" s="302"/>
      <c r="BE992" s="302"/>
      <c r="BF992" s="302"/>
      <c r="BG992" s="302"/>
      <c r="BH992" s="302"/>
      <c r="BI992" s="302"/>
      <c r="BJ992" s="302"/>
      <c r="BK992" s="302"/>
      <c r="BL992" s="302"/>
      <c r="BM992" s="302"/>
      <c r="BN992" s="302"/>
      <c r="BO992" s="302"/>
      <c r="BP992" s="302"/>
      <c r="BQ992" s="302"/>
      <c r="BR992" s="302"/>
      <c r="BS992" s="302"/>
      <c r="BT992" s="302"/>
      <c r="BU992" s="302"/>
      <c r="BV992" s="302"/>
      <c r="BW992" s="302"/>
      <c r="BX992" s="302"/>
      <c r="BY992" s="302"/>
      <c r="BZ992" s="302"/>
      <c r="CA992" s="302"/>
      <c r="CB992" s="28"/>
      <c r="CC992" s="28"/>
      <c r="CD992" s="28"/>
      <c r="CE992" s="28"/>
      <c r="CF992" s="28"/>
      <c r="CG992" s="28"/>
      <c r="CH992" s="28"/>
      <c r="CI992" s="28"/>
      <c r="CJ992" s="28"/>
      <c r="CK992" s="28"/>
      <c r="CL992" s="28"/>
      <c r="CM992" s="28"/>
      <c r="CN992" s="28"/>
      <c r="CO992" s="28"/>
      <c r="CP992" s="28"/>
      <c r="CQ992" s="28"/>
      <c r="CR992" s="28"/>
      <c r="CS992" s="28"/>
      <c r="CT992" s="28"/>
      <c r="CU992" s="28"/>
      <c r="CV992" s="28"/>
      <c r="CW992" s="28"/>
    </row>
    <row r="993" spans="1:101" ht="14.25" customHeight="1" x14ac:dyDescent="0.2">
      <c r="A993" s="286"/>
      <c r="B993" s="52">
        <v>0.21874856231758977</v>
      </c>
      <c r="C993" s="288">
        <v>0.26486571165448997</v>
      </c>
      <c r="D993" s="288">
        <v>1.210792237762064E-2</v>
      </c>
      <c r="E993" s="288">
        <v>1.7502931286943801E-2</v>
      </c>
      <c r="F993" s="289">
        <v>0.76705729818253099</v>
      </c>
      <c r="G993" s="92">
        <v>0.43822707183126519</v>
      </c>
      <c r="H993" s="288">
        <v>0.1000955915487818</v>
      </c>
      <c r="I993" s="288">
        <v>2.6405300212242744E-2</v>
      </c>
      <c r="J993" s="288">
        <v>0.96727408329274167</v>
      </c>
      <c r="K993" s="288">
        <v>0.81388053868799859</v>
      </c>
      <c r="L993" s="290">
        <v>16176.235244279727</v>
      </c>
      <c r="M993" s="288">
        <v>0</v>
      </c>
      <c r="N993" s="288">
        <v>20575.376197261412</v>
      </c>
      <c r="O993" s="288">
        <v>1354.905400062509</v>
      </c>
      <c r="P993" s="288">
        <v>51943.969793440578</v>
      </c>
      <c r="Q993" s="291">
        <v>108280.7466714637</v>
      </c>
      <c r="R993" s="288">
        <v>28060.46180541897</v>
      </c>
      <c r="S993" s="288">
        <v>5191.6212280727405</v>
      </c>
      <c r="T993" s="290">
        <v>0.751</v>
      </c>
      <c r="U993" s="288">
        <v>0.75800000000000001</v>
      </c>
      <c r="V993" s="288">
        <v>0.723923076923077</v>
      </c>
      <c r="W993" s="288">
        <v>0.72750000000000004</v>
      </c>
      <c r="X993" s="288">
        <v>0.76</v>
      </c>
      <c r="Y993" s="288">
        <v>0</v>
      </c>
      <c r="Z993" s="289">
        <v>0</v>
      </c>
      <c r="AA993" s="229"/>
      <c r="AB993" s="293">
        <v>57822.151610940717</v>
      </c>
      <c r="AC993" s="294">
        <v>3.082425385632567</v>
      </c>
      <c r="AD993" s="295">
        <v>46076.14858303254</v>
      </c>
      <c r="AE993" s="294">
        <v>3.3054508934938953</v>
      </c>
      <c r="AF993" s="295">
        <v>11746.003027908177</v>
      </c>
      <c r="AG993" s="296">
        <v>-0.22302550786132835</v>
      </c>
      <c r="AH993" s="229"/>
      <c r="AI993" s="205">
        <f t="shared" si="108"/>
        <v>250420.38695231595</v>
      </c>
      <c r="AJ993" s="205">
        <f t="shared" si="109"/>
        <v>284468.940766357</v>
      </c>
      <c r="AK993" s="205">
        <f t="shared" si="110"/>
        <v>-34048.553814041014</v>
      </c>
      <c r="AL993" s="229"/>
      <c r="AM993" s="52">
        <f t="shared" si="86"/>
        <v>0</v>
      </c>
      <c r="AN993" s="52">
        <f t="shared" si="87"/>
        <v>1</v>
      </c>
      <c r="AO993" s="52">
        <f t="shared" si="88"/>
        <v>0</v>
      </c>
      <c r="AP993" s="229"/>
      <c r="AQ993" s="28"/>
      <c r="AR993" s="28"/>
      <c r="AS993" s="28"/>
      <c r="AT993" s="28"/>
      <c r="AU993" s="229"/>
      <c r="AV993" s="318">
        <f t="shared" si="111"/>
        <v>284468.940766357</v>
      </c>
      <c r="AW993" s="229"/>
      <c r="AX993" s="313"/>
      <c r="AY993" s="302"/>
      <c r="AZ993" s="14">
        <f t="shared" si="113"/>
        <v>11746.003027908177</v>
      </c>
      <c r="BA993" s="14">
        <f t="shared" si="112"/>
        <v>-0.22302550786132835</v>
      </c>
      <c r="BB993" s="14">
        <f t="shared" si="89"/>
        <v>-52666.635043429858</v>
      </c>
      <c r="BC993" s="302"/>
      <c r="BD993" s="302"/>
      <c r="BE993" s="302"/>
      <c r="BF993" s="302"/>
      <c r="BG993" s="302"/>
      <c r="BH993" s="302"/>
      <c r="BI993" s="302"/>
      <c r="BJ993" s="302"/>
      <c r="BK993" s="302"/>
      <c r="BL993" s="302"/>
      <c r="BM993" s="302"/>
      <c r="BN993" s="302"/>
      <c r="BO993" s="302"/>
      <c r="BP993" s="302"/>
      <c r="BQ993" s="302"/>
      <c r="BR993" s="302"/>
      <c r="BS993" s="302"/>
      <c r="BT993" s="302"/>
      <c r="BU993" s="302"/>
      <c r="BV993" s="302"/>
      <c r="BW993" s="302"/>
      <c r="BX993" s="302"/>
      <c r="BY993" s="302"/>
      <c r="BZ993" s="302"/>
      <c r="CA993" s="302"/>
      <c r="CB993" s="28"/>
      <c r="CC993" s="28"/>
      <c r="CD993" s="28"/>
      <c r="CE993" s="28"/>
      <c r="CF993" s="28"/>
      <c r="CG993" s="28"/>
      <c r="CH993" s="28"/>
      <c r="CI993" s="28"/>
      <c r="CJ993" s="28"/>
      <c r="CK993" s="28"/>
      <c r="CL993" s="28"/>
      <c r="CM993" s="28"/>
      <c r="CN993" s="28"/>
      <c r="CO993" s="28"/>
      <c r="CP993" s="28"/>
      <c r="CQ993" s="28"/>
      <c r="CR993" s="28"/>
      <c r="CS993" s="28"/>
      <c r="CT993" s="28"/>
      <c r="CU993" s="28"/>
      <c r="CV993" s="28"/>
      <c r="CW993" s="28"/>
    </row>
    <row r="994" spans="1:101" ht="14.25" customHeight="1" x14ac:dyDescent="0.2">
      <c r="A994" s="286"/>
      <c r="B994" s="52">
        <v>0.21132017136310732</v>
      </c>
      <c r="C994" s="288">
        <v>6.0015201659960445E-2</v>
      </c>
      <c r="D994" s="288">
        <v>1.2508850446433005E-2</v>
      </c>
      <c r="E994" s="288">
        <v>1.5109131634488904E-2</v>
      </c>
      <c r="F994" s="289">
        <v>0.79555718257092201</v>
      </c>
      <c r="G994" s="92">
        <v>0.40857388370784575</v>
      </c>
      <c r="H994" s="288">
        <v>3.7831867431806505E-2</v>
      </c>
      <c r="I994" s="288">
        <v>2.2593818313925706E-2</v>
      </c>
      <c r="J994" s="288">
        <v>0.99937322573850484</v>
      </c>
      <c r="K994" s="288">
        <v>0.67789612072391181</v>
      </c>
      <c r="L994" s="290">
        <v>13319.330230176947</v>
      </c>
      <c r="M994" s="288">
        <v>0</v>
      </c>
      <c r="N994" s="288">
        <v>15216.456736662652</v>
      </c>
      <c r="O994" s="288">
        <v>905.0606283545643</v>
      </c>
      <c r="P994" s="288">
        <v>48400.549227031268</v>
      </c>
      <c r="Q994" s="291">
        <v>104719.39231868787</v>
      </c>
      <c r="R994" s="288">
        <v>20783.35482438641</v>
      </c>
      <c r="S994" s="288">
        <v>11061.351033333092</v>
      </c>
      <c r="T994" s="290">
        <v>0.751</v>
      </c>
      <c r="U994" s="288">
        <v>0.75800000000000001</v>
      </c>
      <c r="V994" s="288">
        <v>0.723923076923077</v>
      </c>
      <c r="W994" s="288">
        <v>0.72750000000000004</v>
      </c>
      <c r="X994" s="288">
        <v>0.76</v>
      </c>
      <c r="Y994" s="288">
        <v>0</v>
      </c>
      <c r="Z994" s="289">
        <v>0</v>
      </c>
      <c r="AA994" s="229"/>
      <c r="AB994" s="293">
        <v>101193.0169647179</v>
      </c>
      <c r="AC994" s="294">
        <v>3.2147339062366367</v>
      </c>
      <c r="AD994" s="295">
        <v>77019.976380763954</v>
      </c>
      <c r="AE994" s="294">
        <v>2.680519080087536</v>
      </c>
      <c r="AF994" s="295">
        <v>24173.040583953945</v>
      </c>
      <c r="AG994" s="296">
        <v>0.53421482614910065</v>
      </c>
      <c r="AH994" s="229"/>
      <c r="AI994" s="205">
        <f t="shared" si="108"/>
        <v>220280.37365894578</v>
      </c>
      <c r="AJ994" s="205">
        <f t="shared" si="109"/>
        <v>191031.93162798966</v>
      </c>
      <c r="AK994" s="205">
        <f t="shared" si="110"/>
        <v>29248.442030956117</v>
      </c>
      <c r="AL994" s="229"/>
      <c r="AM994" s="52">
        <f t="shared" si="86"/>
        <v>1</v>
      </c>
      <c r="AN994" s="52">
        <f t="shared" si="87"/>
        <v>0</v>
      </c>
      <c r="AO994" s="52">
        <f t="shared" si="88"/>
        <v>1</v>
      </c>
      <c r="AP994" s="229"/>
      <c r="AQ994" s="28"/>
      <c r="AR994" s="28"/>
      <c r="AS994" s="28"/>
      <c r="AT994" s="28"/>
      <c r="AU994" s="229"/>
      <c r="AV994" s="318">
        <f t="shared" si="111"/>
        <v>220280.37365894578</v>
      </c>
      <c r="AW994" s="229"/>
      <c r="AX994" s="313"/>
      <c r="AY994" s="302"/>
      <c r="AZ994" s="14">
        <f t="shared" si="113"/>
        <v>24173.040583953945</v>
      </c>
      <c r="BA994" s="14">
        <f t="shared" si="112"/>
        <v>0.53421482614910065</v>
      </c>
      <c r="BB994" s="14">
        <f t="shared" si="89"/>
        <v>45249.662496651094</v>
      </c>
      <c r="BC994" s="302"/>
      <c r="BD994" s="302"/>
      <c r="BE994" s="302"/>
      <c r="BF994" s="302"/>
      <c r="BG994" s="302"/>
      <c r="BH994" s="302"/>
      <c r="BI994" s="302"/>
      <c r="BJ994" s="302"/>
      <c r="BK994" s="302"/>
      <c r="BL994" s="302"/>
      <c r="BM994" s="302"/>
      <c r="BN994" s="302"/>
      <c r="BO994" s="302"/>
      <c r="BP994" s="302"/>
      <c r="BQ994" s="302"/>
      <c r="BR994" s="302"/>
      <c r="BS994" s="302"/>
      <c r="BT994" s="302"/>
      <c r="BU994" s="302"/>
      <c r="BV994" s="302"/>
      <c r="BW994" s="302"/>
      <c r="BX994" s="302"/>
      <c r="BY994" s="302"/>
      <c r="BZ994" s="302"/>
      <c r="CA994" s="302"/>
      <c r="CB994" s="28"/>
      <c r="CC994" s="28"/>
      <c r="CD994" s="28"/>
      <c r="CE994" s="28"/>
      <c r="CF994" s="28"/>
      <c r="CG994" s="28"/>
      <c r="CH994" s="28"/>
      <c r="CI994" s="28"/>
      <c r="CJ994" s="28"/>
      <c r="CK994" s="28"/>
      <c r="CL994" s="28"/>
      <c r="CM994" s="28"/>
      <c r="CN994" s="28"/>
      <c r="CO994" s="28"/>
      <c r="CP994" s="28"/>
      <c r="CQ994" s="28"/>
      <c r="CR994" s="28"/>
      <c r="CS994" s="28"/>
      <c r="CT994" s="28"/>
      <c r="CU994" s="28"/>
      <c r="CV994" s="28"/>
      <c r="CW994" s="28"/>
    </row>
    <row r="995" spans="1:101" ht="14.25" customHeight="1" x14ac:dyDescent="0.2">
      <c r="A995" s="286"/>
      <c r="B995" s="52">
        <v>0.11461827414779327</v>
      </c>
      <c r="C995" s="288">
        <v>0.18851167444830944</v>
      </c>
      <c r="D995" s="288">
        <v>1.771491327964636E-2</v>
      </c>
      <c r="E995" s="288">
        <v>1.1240577958967855E-2</v>
      </c>
      <c r="F995" s="289">
        <v>0.80861893210811209</v>
      </c>
      <c r="G995" s="92">
        <v>0.49715957869947902</v>
      </c>
      <c r="H995" s="288">
        <v>0.59928383326710499</v>
      </c>
      <c r="I995" s="288">
        <v>2.380498441439591E-3</v>
      </c>
      <c r="J995" s="288">
        <v>1</v>
      </c>
      <c r="K995" s="288">
        <v>0.71211354098845903</v>
      </c>
      <c r="L995" s="290">
        <v>10567.989261510222</v>
      </c>
      <c r="M995" s="288">
        <v>0</v>
      </c>
      <c r="N995" s="288">
        <v>16350.077357835107</v>
      </c>
      <c r="O995" s="288">
        <v>1415.0894849373033</v>
      </c>
      <c r="P995" s="288">
        <v>55344.13537763177</v>
      </c>
      <c r="Q995" s="291">
        <v>69885.584645864845</v>
      </c>
      <c r="R995" s="288">
        <v>17253.016507124001</v>
      </c>
      <c r="S995" s="288">
        <v>6289.6676431311898</v>
      </c>
      <c r="T995" s="290">
        <v>0.751</v>
      </c>
      <c r="U995" s="288">
        <v>0.75800000000000001</v>
      </c>
      <c r="V995" s="288">
        <v>0.723923076923077</v>
      </c>
      <c r="W995" s="288">
        <v>0.72750000000000004</v>
      </c>
      <c r="X995" s="288">
        <v>0.76</v>
      </c>
      <c r="Y995" s="288">
        <v>0</v>
      </c>
      <c r="Z995" s="289">
        <v>0</v>
      </c>
      <c r="AA995" s="229"/>
      <c r="AB995" s="293">
        <v>61608.977691373613</v>
      </c>
      <c r="AC995" s="294">
        <v>3.2757978175000186</v>
      </c>
      <c r="AD995" s="295">
        <v>50665.179362977906</v>
      </c>
      <c r="AE995" s="294">
        <v>2.8350247030441613</v>
      </c>
      <c r="AF995" s="295">
        <v>10943.798328395707</v>
      </c>
      <c r="AG995" s="296">
        <v>0.44077311445585732</v>
      </c>
      <c r="AH995" s="229"/>
      <c r="AI995" s="205">
        <f t="shared" si="108"/>
        <v>265970.80405862827</v>
      </c>
      <c r="AJ995" s="205">
        <f t="shared" si="109"/>
        <v>232837.29094143823</v>
      </c>
      <c r="AK995" s="205">
        <f t="shared" si="110"/>
        <v>33133.513117190021</v>
      </c>
      <c r="AL995" s="229"/>
      <c r="AM995" s="52">
        <f t="shared" si="86"/>
        <v>1</v>
      </c>
      <c r="AN995" s="52">
        <f t="shared" si="87"/>
        <v>0</v>
      </c>
      <c r="AO995" s="52">
        <f t="shared" si="88"/>
        <v>1</v>
      </c>
      <c r="AP995" s="229"/>
      <c r="AQ995" s="28"/>
      <c r="AR995" s="28"/>
      <c r="AS995" s="28"/>
      <c r="AT995" s="28"/>
      <c r="AU995" s="229"/>
      <c r="AV995" s="318">
        <f t="shared" si="111"/>
        <v>265970.80405862827</v>
      </c>
      <c r="AW995" s="229"/>
      <c r="AX995" s="313"/>
      <c r="AY995" s="302"/>
      <c r="AZ995" s="14">
        <f t="shared" si="113"/>
        <v>10943.798328395707</v>
      </c>
      <c r="BA995" s="14">
        <f t="shared" si="112"/>
        <v>0.44077311445585732</v>
      </c>
      <c r="BB995" s="14">
        <f t="shared" si="89"/>
        <v>24828.643058018708</v>
      </c>
      <c r="BC995" s="302"/>
      <c r="BD995" s="302"/>
      <c r="BE995" s="302"/>
      <c r="BF995" s="302"/>
      <c r="BG995" s="302"/>
      <c r="BH995" s="302"/>
      <c r="BI995" s="302"/>
      <c r="BJ995" s="302"/>
      <c r="BK995" s="302"/>
      <c r="BL995" s="302"/>
      <c r="BM995" s="302"/>
      <c r="BN995" s="302"/>
      <c r="BO995" s="302"/>
      <c r="BP995" s="302"/>
      <c r="BQ995" s="302"/>
      <c r="BR995" s="302"/>
      <c r="BS995" s="302"/>
      <c r="BT995" s="302"/>
      <c r="BU995" s="302"/>
      <c r="BV995" s="302"/>
      <c r="BW995" s="302"/>
      <c r="BX995" s="302"/>
      <c r="BY995" s="302"/>
      <c r="BZ995" s="302"/>
      <c r="CA995" s="302"/>
      <c r="CB995" s="28"/>
      <c r="CC995" s="28"/>
      <c r="CD995" s="28"/>
      <c r="CE995" s="28"/>
      <c r="CF995" s="28"/>
      <c r="CG995" s="28"/>
      <c r="CH995" s="28"/>
      <c r="CI995" s="28"/>
      <c r="CJ995" s="28"/>
      <c r="CK995" s="28"/>
      <c r="CL995" s="28"/>
      <c r="CM995" s="28"/>
      <c r="CN995" s="28"/>
      <c r="CO995" s="28"/>
      <c r="CP995" s="28"/>
      <c r="CQ995" s="28"/>
      <c r="CR995" s="28"/>
      <c r="CS995" s="28"/>
      <c r="CT995" s="28"/>
      <c r="CU995" s="28"/>
      <c r="CV995" s="28"/>
      <c r="CW995" s="28"/>
    </row>
    <row r="996" spans="1:101" ht="14.25" customHeight="1" x14ac:dyDescent="0.2">
      <c r="A996" s="286"/>
      <c r="B996" s="52">
        <v>0.17375411412299302</v>
      </c>
      <c r="C996" s="288">
        <v>0.56795276151811158</v>
      </c>
      <c r="D996" s="288">
        <v>2.8754366204048276E-3</v>
      </c>
      <c r="E996" s="288">
        <v>2.4433472068741025E-2</v>
      </c>
      <c r="F996" s="289">
        <v>0.79556829535645091</v>
      </c>
      <c r="G996" s="92">
        <v>0.33890636401394902</v>
      </c>
      <c r="H996" s="288">
        <v>0.65139559808879244</v>
      </c>
      <c r="I996" s="288">
        <v>3.748393547182427E-2</v>
      </c>
      <c r="J996" s="288">
        <v>6.7109095503523092E-2</v>
      </c>
      <c r="K996" s="288">
        <v>0.76324310788669514</v>
      </c>
      <c r="L996" s="290">
        <v>10283.226075249615</v>
      </c>
      <c r="M996" s="288">
        <v>0</v>
      </c>
      <c r="N996" s="288">
        <v>18915.663997620908</v>
      </c>
      <c r="O996" s="288">
        <v>1110.2735562746648</v>
      </c>
      <c r="P996" s="288">
        <v>42704.654573662221</v>
      </c>
      <c r="Q996" s="291">
        <v>104756.19954850747</v>
      </c>
      <c r="R996" s="288">
        <v>18779.153078631025</v>
      </c>
      <c r="S996" s="288">
        <v>7904.1189718816941</v>
      </c>
      <c r="T996" s="290">
        <v>0.751</v>
      </c>
      <c r="U996" s="288">
        <v>0.75800000000000001</v>
      </c>
      <c r="V996" s="288">
        <v>0.723923076923077</v>
      </c>
      <c r="W996" s="288">
        <v>0.72750000000000004</v>
      </c>
      <c r="X996" s="288">
        <v>0.76</v>
      </c>
      <c r="Y996" s="288">
        <v>0</v>
      </c>
      <c r="Z996" s="289">
        <v>0</v>
      </c>
      <c r="AA996" s="229"/>
      <c r="AB996" s="293">
        <v>74650.646309784395</v>
      </c>
      <c r="AC996" s="294">
        <v>3.2147857449675823</v>
      </c>
      <c r="AD996" s="295">
        <v>66041.385200546909</v>
      </c>
      <c r="AE996" s="294">
        <v>3.0693347570362461</v>
      </c>
      <c r="AF996" s="295">
        <v>8609.2611092374864</v>
      </c>
      <c r="AG996" s="296">
        <v>0.14545098793133615</v>
      </c>
      <c r="AH996" s="229"/>
      <c r="AI996" s="205">
        <f t="shared" si="108"/>
        <v>246827.92818697385</v>
      </c>
      <c r="AJ996" s="205">
        <f t="shared" si="109"/>
        <v>240892.09050307769</v>
      </c>
      <c r="AK996" s="205">
        <f t="shared" si="110"/>
        <v>5935.8376838961285</v>
      </c>
      <c r="AL996" s="229"/>
      <c r="AM996" s="52">
        <f t="shared" si="86"/>
        <v>1</v>
      </c>
      <c r="AN996" s="52">
        <f t="shared" si="87"/>
        <v>0</v>
      </c>
      <c r="AO996" s="52">
        <f t="shared" si="88"/>
        <v>1</v>
      </c>
      <c r="AP996" s="229"/>
      <c r="AQ996" s="28"/>
      <c r="AR996" s="28"/>
      <c r="AS996" s="28"/>
      <c r="AT996" s="28"/>
      <c r="AU996" s="229"/>
      <c r="AV996" s="318">
        <f t="shared" si="111"/>
        <v>246827.92818697385</v>
      </c>
      <c r="AW996" s="229"/>
      <c r="AX996" s="313"/>
      <c r="AY996" s="302"/>
      <c r="AZ996" s="14">
        <f t="shared" si="113"/>
        <v>8609.2611092374864</v>
      </c>
      <c r="BA996" s="14">
        <f t="shared" si="112"/>
        <v>0.14545098793133615</v>
      </c>
      <c r="BB996" s="14">
        <f t="shared" si="89"/>
        <v>59190.117796255239</v>
      </c>
      <c r="BC996" s="302"/>
      <c r="BD996" s="302"/>
      <c r="BE996" s="302"/>
      <c r="BF996" s="302"/>
      <c r="BG996" s="302"/>
      <c r="BH996" s="302"/>
      <c r="BI996" s="302"/>
      <c r="BJ996" s="302"/>
      <c r="BK996" s="302"/>
      <c r="BL996" s="302"/>
      <c r="BM996" s="302"/>
      <c r="BN996" s="302"/>
      <c r="BO996" s="302"/>
      <c r="BP996" s="302"/>
      <c r="BQ996" s="302"/>
      <c r="BR996" s="302"/>
      <c r="BS996" s="302"/>
      <c r="BT996" s="302"/>
      <c r="BU996" s="302"/>
      <c r="BV996" s="302"/>
      <c r="BW996" s="302"/>
      <c r="BX996" s="302"/>
      <c r="BY996" s="302"/>
      <c r="BZ996" s="302"/>
      <c r="CA996" s="302"/>
      <c r="CB996" s="28"/>
      <c r="CC996" s="28"/>
      <c r="CD996" s="28"/>
      <c r="CE996" s="28"/>
      <c r="CF996" s="28"/>
      <c r="CG996" s="28"/>
      <c r="CH996" s="28"/>
      <c r="CI996" s="28"/>
      <c r="CJ996" s="28"/>
      <c r="CK996" s="28"/>
      <c r="CL996" s="28"/>
      <c r="CM996" s="28"/>
      <c r="CN996" s="28"/>
      <c r="CO996" s="28"/>
      <c r="CP996" s="28"/>
      <c r="CQ996" s="28"/>
      <c r="CR996" s="28"/>
      <c r="CS996" s="28"/>
      <c r="CT996" s="28"/>
      <c r="CU996" s="28"/>
      <c r="CV996" s="28"/>
      <c r="CW996" s="28"/>
    </row>
    <row r="997" spans="1:101" ht="14.25" customHeight="1" x14ac:dyDescent="0.2">
      <c r="A997" s="286"/>
      <c r="B997" s="52">
        <v>0.13575153379785587</v>
      </c>
      <c r="C997" s="288">
        <v>9.4019893463492821E-4</v>
      </c>
      <c r="D997" s="288">
        <v>1.1087710403973357E-2</v>
      </c>
      <c r="E997" s="288">
        <v>1.3187716491017007E-2</v>
      </c>
      <c r="F997" s="289">
        <v>0.80628028979226096</v>
      </c>
      <c r="G997" s="92">
        <v>0.31775966120416521</v>
      </c>
      <c r="H997" s="288">
        <v>0.45868196500306052</v>
      </c>
      <c r="I997" s="288">
        <v>1.0815534228408044E-2</v>
      </c>
      <c r="J997" s="288">
        <v>0.99980913860919096</v>
      </c>
      <c r="K997" s="288">
        <v>0.77417050322925973</v>
      </c>
      <c r="L997" s="290">
        <v>9719.9291477830084</v>
      </c>
      <c r="M997" s="288">
        <v>0</v>
      </c>
      <c r="N997" s="288">
        <v>15040.457564540107</v>
      </c>
      <c r="O997" s="288">
        <v>1125.767987390876</v>
      </c>
      <c r="P997" s="288">
        <v>23003.278012845389</v>
      </c>
      <c r="Q997" s="291">
        <v>89060.626054611916</v>
      </c>
      <c r="R997" s="288">
        <v>23580.849156795903</v>
      </c>
      <c r="S997" s="288">
        <v>8463.6048593380419</v>
      </c>
      <c r="T997" s="290">
        <v>0.751</v>
      </c>
      <c r="U997" s="288">
        <v>0.75800000000000001</v>
      </c>
      <c r="V997" s="288">
        <v>0.723923076923077</v>
      </c>
      <c r="W997" s="288">
        <v>0.72750000000000004</v>
      </c>
      <c r="X997" s="288">
        <v>0.76</v>
      </c>
      <c r="Y997" s="288">
        <v>0</v>
      </c>
      <c r="Z997" s="289">
        <v>0</v>
      </c>
      <c r="AA997" s="229"/>
      <c r="AB997" s="293">
        <v>77584.142008399504</v>
      </c>
      <c r="AC997" s="294">
        <v>3.2648449560642288</v>
      </c>
      <c r="AD997" s="295">
        <v>69530.636626823471</v>
      </c>
      <c r="AE997" s="294">
        <v>3.1199458739324539</v>
      </c>
      <c r="AF997" s="295">
        <v>8053.505381576033</v>
      </c>
      <c r="AG997" s="296">
        <v>0.14489908213177483</v>
      </c>
      <c r="AH997" s="229"/>
      <c r="AI997" s="205">
        <f t="shared" si="108"/>
        <v>248900.35359802339</v>
      </c>
      <c r="AJ997" s="205">
        <f t="shared" si="109"/>
        <v>242463.95076642191</v>
      </c>
      <c r="AK997" s="205">
        <f t="shared" si="110"/>
        <v>6436.4028316014501</v>
      </c>
      <c r="AL997" s="229"/>
      <c r="AM997" s="52">
        <f t="shared" si="86"/>
        <v>1</v>
      </c>
      <c r="AN997" s="52">
        <f t="shared" si="87"/>
        <v>0</v>
      </c>
      <c r="AO997" s="52">
        <f t="shared" si="88"/>
        <v>1</v>
      </c>
      <c r="AP997" s="229"/>
      <c r="AQ997" s="28"/>
      <c r="AR997" s="28"/>
      <c r="AS997" s="28"/>
      <c r="AT997" s="28"/>
      <c r="AU997" s="229"/>
      <c r="AV997" s="318">
        <f t="shared" si="111"/>
        <v>248900.35359802339</v>
      </c>
      <c r="AW997" s="229"/>
      <c r="AX997" s="313"/>
      <c r="AY997" s="302"/>
      <c r="AZ997" s="14">
        <f t="shared" si="113"/>
        <v>8053.505381576033</v>
      </c>
      <c r="BA997" s="14">
        <f t="shared" si="112"/>
        <v>0.14489908213177483</v>
      </c>
      <c r="BB997" s="14">
        <f t="shared" si="89"/>
        <v>55580.099356681741</v>
      </c>
      <c r="BC997" s="302"/>
      <c r="BD997" s="302"/>
      <c r="BE997" s="302"/>
      <c r="BF997" s="302"/>
      <c r="BG997" s="302"/>
      <c r="BH997" s="302"/>
      <c r="BI997" s="302"/>
      <c r="BJ997" s="302"/>
      <c r="BK997" s="302"/>
      <c r="BL997" s="302"/>
      <c r="BM997" s="302"/>
      <c r="BN997" s="302"/>
      <c r="BO997" s="302"/>
      <c r="BP997" s="302"/>
      <c r="BQ997" s="302"/>
      <c r="BR997" s="302"/>
      <c r="BS997" s="302"/>
      <c r="BT997" s="302"/>
      <c r="BU997" s="302"/>
      <c r="BV997" s="302"/>
      <c r="BW997" s="302"/>
      <c r="BX997" s="302"/>
      <c r="BY997" s="302"/>
      <c r="BZ997" s="302"/>
      <c r="CA997" s="302"/>
      <c r="CB997" s="28"/>
      <c r="CC997" s="28"/>
      <c r="CD997" s="28"/>
      <c r="CE997" s="28"/>
      <c r="CF997" s="28"/>
      <c r="CG997" s="28"/>
      <c r="CH997" s="28"/>
      <c r="CI997" s="28"/>
      <c r="CJ997" s="28"/>
      <c r="CK997" s="28"/>
      <c r="CL997" s="28"/>
      <c r="CM997" s="28"/>
      <c r="CN997" s="28"/>
      <c r="CO997" s="28"/>
      <c r="CP997" s="28"/>
      <c r="CQ997" s="28"/>
      <c r="CR997" s="28"/>
      <c r="CS997" s="28"/>
      <c r="CT997" s="28"/>
      <c r="CU997" s="28"/>
      <c r="CV997" s="28"/>
      <c r="CW997" s="28"/>
    </row>
    <row r="998" spans="1:101" ht="14.25" customHeight="1" x14ac:dyDescent="0.2">
      <c r="A998" s="286"/>
      <c r="B998" s="52">
        <v>0.16314529048713766</v>
      </c>
      <c r="C998" s="288">
        <v>0.94679751328225614</v>
      </c>
      <c r="D998" s="288">
        <v>2.345812463720609E-2</v>
      </c>
      <c r="E998" s="288">
        <v>2.0845694065645737E-2</v>
      </c>
      <c r="F998" s="289">
        <v>0.7679431809698114</v>
      </c>
      <c r="G998" s="92">
        <v>0.40365908010354423</v>
      </c>
      <c r="H998" s="288">
        <v>0.76443955071983316</v>
      </c>
      <c r="I998" s="288">
        <v>2.4179353365706424E-2</v>
      </c>
      <c r="J998" s="288">
        <v>1</v>
      </c>
      <c r="K998" s="288">
        <v>0.75220208370437913</v>
      </c>
      <c r="L998" s="290">
        <v>13591.26511014776</v>
      </c>
      <c r="M998" s="288">
        <v>0</v>
      </c>
      <c r="N998" s="288">
        <v>18240.073498389851</v>
      </c>
      <c r="O998" s="288">
        <v>1662.0368340422169</v>
      </c>
      <c r="P998" s="288">
        <v>56923.704044815655</v>
      </c>
      <c r="Q998" s="291">
        <v>77988.060267994806</v>
      </c>
      <c r="R998" s="288">
        <v>17331.320954125127</v>
      </c>
      <c r="S998" s="288">
        <v>11375.668490877486</v>
      </c>
      <c r="T998" s="290">
        <v>0.751</v>
      </c>
      <c r="U998" s="288">
        <v>0.75800000000000001</v>
      </c>
      <c r="V998" s="288">
        <v>0.723923076923077</v>
      </c>
      <c r="W998" s="288">
        <v>0.72750000000000004</v>
      </c>
      <c r="X998" s="288">
        <v>0.76</v>
      </c>
      <c r="Y998" s="288">
        <v>0</v>
      </c>
      <c r="Z998" s="289">
        <v>0</v>
      </c>
      <c r="AA998" s="229"/>
      <c r="AB998" s="293">
        <v>103349.02501134478</v>
      </c>
      <c r="AC998" s="294">
        <v>3.0865188433898205</v>
      </c>
      <c r="AD998" s="295">
        <v>92869.044898541106</v>
      </c>
      <c r="AE998" s="294">
        <v>3.018388521716203</v>
      </c>
      <c r="AF998" s="295">
        <v>10479.980112803678</v>
      </c>
      <c r="AG998" s="296">
        <v>6.8130321673617544E-2</v>
      </c>
      <c r="AH998" s="229"/>
      <c r="AI998" s="205">
        <f t="shared" si="108"/>
        <v>205302.85932763727</v>
      </c>
      <c r="AJ998" s="205">
        <f t="shared" si="109"/>
        <v>208969.80727307918</v>
      </c>
      <c r="AK998" s="205">
        <f t="shared" si="110"/>
        <v>-3666.9479454419234</v>
      </c>
      <c r="AL998" s="229"/>
      <c r="AM998" s="52">
        <f t="shared" si="86"/>
        <v>0</v>
      </c>
      <c r="AN998" s="52">
        <f t="shared" si="87"/>
        <v>1</v>
      </c>
      <c r="AO998" s="52">
        <f t="shared" si="88"/>
        <v>0</v>
      </c>
      <c r="AP998" s="229"/>
      <c r="AQ998" s="28"/>
      <c r="AR998" s="28"/>
      <c r="AS998" s="28"/>
      <c r="AT998" s="28"/>
      <c r="AU998" s="229"/>
      <c r="AV998" s="318">
        <f t="shared" si="111"/>
        <v>208969.80727307918</v>
      </c>
      <c r="AW998" s="229"/>
      <c r="AX998" s="313"/>
      <c r="AY998" s="302"/>
      <c r="AZ998" s="14">
        <f t="shared" si="113"/>
        <v>10479.980112803678</v>
      </c>
      <c r="BA998" s="14">
        <f t="shared" si="112"/>
        <v>6.8130321673617544E-2</v>
      </c>
      <c r="BB998" s="14">
        <f t="shared" si="89"/>
        <v>153822.55441283048</v>
      </c>
      <c r="BC998" s="302"/>
      <c r="BD998" s="302"/>
      <c r="BE998" s="302"/>
      <c r="BF998" s="302"/>
      <c r="BG998" s="302"/>
      <c r="BH998" s="302"/>
      <c r="BI998" s="302"/>
      <c r="BJ998" s="302"/>
      <c r="BK998" s="302"/>
      <c r="BL998" s="302"/>
      <c r="BM998" s="302"/>
      <c r="BN998" s="302"/>
      <c r="BO998" s="302"/>
      <c r="BP998" s="302"/>
      <c r="BQ998" s="302"/>
      <c r="BR998" s="302"/>
      <c r="BS998" s="302"/>
      <c r="BT998" s="302"/>
      <c r="BU998" s="302"/>
      <c r="BV998" s="302"/>
      <c r="BW998" s="302"/>
      <c r="BX998" s="302"/>
      <c r="BY998" s="302"/>
      <c r="BZ998" s="302"/>
      <c r="CA998" s="302"/>
      <c r="CB998" s="28"/>
      <c r="CC998" s="28"/>
      <c r="CD998" s="28"/>
      <c r="CE998" s="28"/>
      <c r="CF998" s="28"/>
      <c r="CG998" s="28"/>
      <c r="CH998" s="28"/>
      <c r="CI998" s="28"/>
      <c r="CJ998" s="28"/>
      <c r="CK998" s="28"/>
      <c r="CL998" s="28"/>
      <c r="CM998" s="28"/>
      <c r="CN998" s="28"/>
      <c r="CO998" s="28"/>
      <c r="CP998" s="28"/>
      <c r="CQ998" s="28"/>
      <c r="CR998" s="28"/>
      <c r="CS998" s="28"/>
      <c r="CT998" s="28"/>
      <c r="CU998" s="28"/>
      <c r="CV998" s="28"/>
      <c r="CW998" s="28"/>
    </row>
    <row r="999" spans="1:101" ht="14.25" customHeight="1" x14ac:dyDescent="0.2">
      <c r="A999" s="286"/>
      <c r="B999" s="52">
        <v>0.15854663058198434</v>
      </c>
      <c r="C999" s="288">
        <v>0.71178808117876446</v>
      </c>
      <c r="D999" s="288">
        <v>2.0171946959284592E-2</v>
      </c>
      <c r="E999" s="288">
        <v>2.1980464447779458E-2</v>
      </c>
      <c r="F999" s="289">
        <v>0.77899262754364196</v>
      </c>
      <c r="G999" s="92">
        <v>0.38536957159447133</v>
      </c>
      <c r="H999" s="288">
        <v>0.7394522285706675</v>
      </c>
      <c r="I999" s="288">
        <v>1.8571599989774201E-2</v>
      </c>
      <c r="J999" s="288">
        <v>0.30063067281597261</v>
      </c>
      <c r="K999" s="288">
        <v>0.82427678165569218</v>
      </c>
      <c r="L999" s="290">
        <v>12270.756372682197</v>
      </c>
      <c r="M999" s="288">
        <v>0</v>
      </c>
      <c r="N999" s="288">
        <v>19197.564706788264</v>
      </c>
      <c r="O999" s="288">
        <v>1135.6018628985441</v>
      </c>
      <c r="P999" s="288">
        <v>53011.326226435318</v>
      </c>
      <c r="Q999" s="291">
        <v>91856.042678960483</v>
      </c>
      <c r="R999" s="288">
        <v>20547.608542231563</v>
      </c>
      <c r="S999" s="288">
        <v>8998.7232934543317</v>
      </c>
      <c r="T999" s="290">
        <v>0.751</v>
      </c>
      <c r="U999" s="288">
        <v>0.75800000000000001</v>
      </c>
      <c r="V999" s="288">
        <v>0.723923076923077</v>
      </c>
      <c r="W999" s="288">
        <v>0.72750000000000004</v>
      </c>
      <c r="X999" s="288">
        <v>0.76</v>
      </c>
      <c r="Y999" s="288">
        <v>0</v>
      </c>
      <c r="Z999" s="289">
        <v>0</v>
      </c>
      <c r="AA999" s="229"/>
      <c r="AB999" s="293">
        <v>84482.90192552394</v>
      </c>
      <c r="AC999" s="294">
        <v>3.1376791850271029</v>
      </c>
      <c r="AD999" s="295">
        <v>81064.94669965998</v>
      </c>
      <c r="AE999" s="294">
        <v>3.354427382639932</v>
      </c>
      <c r="AF999" s="295">
        <v>3417.9552258639596</v>
      </c>
      <c r="AG999" s="296">
        <v>-0.21674819761282915</v>
      </c>
      <c r="AH999" s="229"/>
      <c r="AI999" s="205">
        <f t="shared" si="108"/>
        <v>229285.01657718635</v>
      </c>
      <c r="AJ999" s="205">
        <f t="shared" si="109"/>
        <v>254377.79156433319</v>
      </c>
      <c r="AK999" s="205">
        <f t="shared" si="110"/>
        <v>-25092.774987146873</v>
      </c>
      <c r="AL999" s="229"/>
      <c r="AM999" s="52">
        <f t="shared" si="86"/>
        <v>0</v>
      </c>
      <c r="AN999" s="52">
        <f t="shared" si="87"/>
        <v>1</v>
      </c>
      <c r="AO999" s="52">
        <f t="shared" si="88"/>
        <v>0</v>
      </c>
      <c r="AP999" s="229"/>
      <c r="AQ999" s="28"/>
      <c r="AR999" s="28"/>
      <c r="AS999" s="28"/>
      <c r="AT999" s="28"/>
      <c r="AU999" s="229"/>
      <c r="AV999" s="318">
        <f t="shared" si="111"/>
        <v>254377.79156433319</v>
      </c>
      <c r="AW999" s="229"/>
      <c r="AX999" s="313"/>
      <c r="AY999" s="302"/>
      <c r="AZ999" s="14">
        <f t="shared" si="113"/>
        <v>3417.9552258639596</v>
      </c>
      <c r="BA999" s="14">
        <f t="shared" si="112"/>
        <v>-0.21674819761282915</v>
      </c>
      <c r="BB999" s="14">
        <f t="shared" si="89"/>
        <v>-15769.244051428521</v>
      </c>
      <c r="BC999" s="302"/>
      <c r="BD999" s="302"/>
      <c r="BE999" s="302"/>
      <c r="BF999" s="302"/>
      <c r="BG999" s="302"/>
      <c r="BH999" s="302"/>
      <c r="BI999" s="302"/>
      <c r="BJ999" s="302"/>
      <c r="BK999" s="302"/>
      <c r="BL999" s="302"/>
      <c r="BM999" s="302"/>
      <c r="BN999" s="302"/>
      <c r="BO999" s="302"/>
      <c r="BP999" s="302"/>
      <c r="BQ999" s="302"/>
      <c r="BR999" s="302"/>
      <c r="BS999" s="302"/>
      <c r="BT999" s="302"/>
      <c r="BU999" s="302"/>
      <c r="BV999" s="302"/>
      <c r="BW999" s="302"/>
      <c r="BX999" s="302"/>
      <c r="BY999" s="302"/>
      <c r="BZ999" s="302"/>
      <c r="CA999" s="302"/>
      <c r="CB999" s="28"/>
      <c r="CC999" s="28"/>
      <c r="CD999" s="28"/>
      <c r="CE999" s="28"/>
      <c r="CF999" s="28"/>
      <c r="CG999" s="28"/>
      <c r="CH999" s="28"/>
      <c r="CI999" s="28"/>
      <c r="CJ999" s="28"/>
      <c r="CK999" s="28"/>
      <c r="CL999" s="28"/>
      <c r="CM999" s="28"/>
      <c r="CN999" s="28"/>
      <c r="CO999" s="28"/>
      <c r="CP999" s="28"/>
      <c r="CQ999" s="28"/>
      <c r="CR999" s="28"/>
      <c r="CS999" s="28"/>
      <c r="CT999" s="28"/>
      <c r="CU999" s="28"/>
      <c r="CV999" s="28"/>
      <c r="CW999" s="28"/>
    </row>
    <row r="1000" spans="1:101" ht="14.25" customHeight="1" x14ac:dyDescent="0.2">
      <c r="A1000" s="286"/>
      <c r="B1000" s="52">
        <v>0.16996627364173689</v>
      </c>
      <c r="C1000" s="288">
        <v>0.46435957111267134</v>
      </c>
      <c r="D1000" s="288">
        <v>1.030509855752776E-2</v>
      </c>
      <c r="E1000" s="288">
        <v>1.2699415868640004E-2</v>
      </c>
      <c r="F1000" s="289">
        <v>0.8154423961575924</v>
      </c>
      <c r="G1000" s="92">
        <v>0.39161060532814851</v>
      </c>
      <c r="H1000" s="288">
        <v>0.87080995403939632</v>
      </c>
      <c r="I1000" s="288">
        <v>2.2531996737779614E-2</v>
      </c>
      <c r="J1000" s="288">
        <v>1</v>
      </c>
      <c r="K1000" s="288">
        <v>0.79080791361814096</v>
      </c>
      <c r="L1000" s="290">
        <v>12397.713463355089</v>
      </c>
      <c r="M1000" s="288">
        <v>0</v>
      </c>
      <c r="N1000" s="288">
        <v>16083.74330195023</v>
      </c>
      <c r="O1000" s="288">
        <v>1170.4868992741215</v>
      </c>
      <c r="P1000" s="288">
        <v>58775.118794853253</v>
      </c>
      <c r="Q1000" s="291">
        <v>87774.946098270302</v>
      </c>
      <c r="R1000" s="288">
        <v>19391.81479095549</v>
      </c>
      <c r="S1000" s="288">
        <v>8436.0384564432643</v>
      </c>
      <c r="T1000" s="290">
        <v>0.751</v>
      </c>
      <c r="U1000" s="288">
        <v>0.75800000000000001</v>
      </c>
      <c r="V1000" s="288">
        <v>0.723923076923077</v>
      </c>
      <c r="W1000" s="288">
        <v>0.72750000000000004</v>
      </c>
      <c r="X1000" s="288">
        <v>0.76</v>
      </c>
      <c r="Y1000" s="288">
        <v>0</v>
      </c>
      <c r="Z1000" s="289">
        <v>0</v>
      </c>
      <c r="AA1000" s="229"/>
      <c r="AB1000" s="293">
        <v>82401.416581476835</v>
      </c>
      <c r="AC1000" s="294">
        <v>3.3078040449976083</v>
      </c>
      <c r="AD1000" s="295">
        <v>74959.863361940806</v>
      </c>
      <c r="AE1000" s="294">
        <v>3.1973648277867892</v>
      </c>
      <c r="AF1000" s="295">
        <v>7441.5532195360283</v>
      </c>
      <c r="AG1000" s="296">
        <v>0.11043921721081906</v>
      </c>
      <c r="AH1000" s="229"/>
      <c r="AI1000" s="205">
        <f t="shared" si="108"/>
        <v>248378.98791828399</v>
      </c>
      <c r="AJ1000" s="205">
        <f t="shared" si="109"/>
        <v>244776.61941673813</v>
      </c>
      <c r="AK1000" s="205">
        <f t="shared" si="110"/>
        <v>3602.3685015458777</v>
      </c>
      <c r="AL1000" s="229"/>
      <c r="AM1000" s="52">
        <f t="shared" si="86"/>
        <v>1</v>
      </c>
      <c r="AN1000" s="52">
        <f t="shared" si="87"/>
        <v>0</v>
      </c>
      <c r="AO1000" s="52">
        <f t="shared" si="88"/>
        <v>1</v>
      </c>
      <c r="AP1000" s="229"/>
      <c r="AQ1000" s="28"/>
      <c r="AR1000" s="28"/>
      <c r="AS1000" s="28"/>
      <c r="AT1000" s="28"/>
      <c r="AU1000" s="229"/>
      <c r="AV1000" s="318">
        <f t="shared" si="111"/>
        <v>248378.98791828399</v>
      </c>
      <c r="AW1000" s="229"/>
      <c r="AX1000" s="313"/>
      <c r="AY1000" s="302"/>
      <c r="AZ1000" s="14">
        <f t="shared" si="113"/>
        <v>7441.5532195360283</v>
      </c>
      <c r="BA1000" s="14">
        <f t="shared" si="112"/>
        <v>0.11043921721081906</v>
      </c>
      <c r="BB1000" s="14">
        <f t="shared" si="89"/>
        <v>67381.437567877147</v>
      </c>
      <c r="BC1000" s="302"/>
      <c r="BD1000" s="302"/>
      <c r="BE1000" s="302"/>
      <c r="BF1000" s="302"/>
      <c r="BG1000" s="302"/>
      <c r="BH1000" s="302"/>
      <c r="BI1000" s="302"/>
      <c r="BJ1000" s="302"/>
      <c r="BK1000" s="302"/>
      <c r="BL1000" s="302"/>
      <c r="BM1000" s="302"/>
      <c r="BN1000" s="302"/>
      <c r="BO1000" s="302"/>
      <c r="BP1000" s="302"/>
      <c r="BQ1000" s="302"/>
      <c r="BR1000" s="302"/>
      <c r="BS1000" s="302"/>
      <c r="BT1000" s="302"/>
      <c r="BU1000" s="302"/>
      <c r="BV1000" s="302"/>
      <c r="BW1000" s="302"/>
      <c r="BX1000" s="302"/>
      <c r="BY1000" s="302"/>
      <c r="BZ1000" s="302"/>
      <c r="CA1000" s="302"/>
      <c r="CB1000" s="28"/>
      <c r="CC1000" s="28"/>
      <c r="CD1000" s="28"/>
      <c r="CE1000" s="28"/>
      <c r="CF1000" s="28"/>
      <c r="CG1000" s="28"/>
      <c r="CH1000" s="28"/>
      <c r="CI1000" s="28"/>
      <c r="CJ1000" s="28"/>
      <c r="CK1000" s="28"/>
      <c r="CL1000" s="28"/>
      <c r="CM1000" s="28"/>
      <c r="CN1000" s="28"/>
      <c r="CO1000" s="28"/>
      <c r="CP1000" s="28"/>
      <c r="CQ1000" s="28"/>
      <c r="CR1000" s="28"/>
      <c r="CS1000" s="28"/>
      <c r="CT1000" s="28"/>
      <c r="CU1000" s="28"/>
      <c r="CV1000" s="28"/>
      <c r="CW1000" s="28"/>
    </row>
    <row r="1001" spans="1:101" ht="14.25" customHeight="1" x14ac:dyDescent="0.2">
      <c r="A1001" s="286"/>
      <c r="B1001" s="52">
        <v>0.15174033840408779</v>
      </c>
      <c r="C1001" s="288">
        <v>0.31625429191374421</v>
      </c>
      <c r="D1001" s="288">
        <v>2.3164631571109706E-2</v>
      </c>
      <c r="E1001" s="288">
        <v>8.6340785871595813E-3</v>
      </c>
      <c r="F1001" s="289">
        <v>0.81520830999814708</v>
      </c>
      <c r="G1001" s="92">
        <v>0.3975673802300293</v>
      </c>
      <c r="H1001" s="288">
        <v>5.5751673885311839E-2</v>
      </c>
      <c r="I1001" s="288">
        <v>2.4137850264775773E-2</v>
      </c>
      <c r="J1001" s="288">
        <v>0.9999999999573923</v>
      </c>
      <c r="K1001" s="288">
        <v>0.77442953107327317</v>
      </c>
      <c r="L1001" s="290">
        <v>13005.760013607613</v>
      </c>
      <c r="M1001" s="288">
        <v>0</v>
      </c>
      <c r="N1001" s="288">
        <v>17225.89608428051</v>
      </c>
      <c r="O1001" s="288">
        <v>1489.2658732396264</v>
      </c>
      <c r="P1001" s="288">
        <v>46726.474588387326</v>
      </c>
      <c r="Q1001" s="291">
        <v>112631.80774926294</v>
      </c>
      <c r="R1001" s="288">
        <v>24961.850414334174</v>
      </c>
      <c r="S1001" s="288">
        <v>10194.920182283648</v>
      </c>
      <c r="T1001" s="290">
        <v>0.751</v>
      </c>
      <c r="U1001" s="288">
        <v>0.75800000000000001</v>
      </c>
      <c r="V1001" s="288">
        <v>0.723923076923077</v>
      </c>
      <c r="W1001" s="288">
        <v>0.72750000000000004</v>
      </c>
      <c r="X1001" s="288">
        <v>0.76</v>
      </c>
      <c r="Y1001" s="288">
        <v>0</v>
      </c>
      <c r="Z1001" s="289">
        <v>0</v>
      </c>
      <c r="AA1001" s="229"/>
      <c r="AB1001" s="293">
        <v>97125.201393296273</v>
      </c>
      <c r="AC1001" s="294">
        <v>3.3067048277809237</v>
      </c>
      <c r="AD1001" s="295">
        <v>81630.153567685644</v>
      </c>
      <c r="AE1001" s="294">
        <v>3.1211478660462619</v>
      </c>
      <c r="AF1001" s="295">
        <v>15495.047825610629</v>
      </c>
      <c r="AG1001" s="296">
        <v>0.18555696173466174</v>
      </c>
      <c r="AH1001" s="229"/>
      <c r="AI1001" s="205">
        <f t="shared" si="108"/>
        <v>233545.28138479611</v>
      </c>
      <c r="AJ1001" s="205">
        <f t="shared" si="109"/>
        <v>230484.63303694059</v>
      </c>
      <c r="AK1001" s="205">
        <f t="shared" si="110"/>
        <v>3060.6483478555456</v>
      </c>
      <c r="AL1001" s="229"/>
      <c r="AM1001" s="52">
        <f t="shared" si="86"/>
        <v>1</v>
      </c>
      <c r="AN1001" s="52">
        <f t="shared" si="87"/>
        <v>0</v>
      </c>
      <c r="AO1001" s="52">
        <f t="shared" si="88"/>
        <v>1</v>
      </c>
      <c r="AP1001" s="229"/>
      <c r="AQ1001" s="28"/>
      <c r="AR1001" s="28"/>
      <c r="AS1001" s="28"/>
      <c r="AT1001" s="28"/>
      <c r="AU1001" s="229"/>
      <c r="AV1001" s="318">
        <f t="shared" si="111"/>
        <v>233545.28138479611</v>
      </c>
      <c r="AW1001" s="229"/>
      <c r="AX1001" s="313"/>
      <c r="AY1001" s="302"/>
      <c r="AZ1001" s="14">
        <f t="shared" si="113"/>
        <v>15495.047825610629</v>
      </c>
      <c r="BA1001" s="14">
        <f t="shared" si="112"/>
        <v>0.18555696173466174</v>
      </c>
      <c r="BB1001" s="14">
        <f t="shared" si="89"/>
        <v>83505.612943630011</v>
      </c>
      <c r="BC1001" s="302"/>
      <c r="BD1001" s="302"/>
      <c r="BE1001" s="302"/>
      <c r="BF1001" s="302"/>
      <c r="BG1001" s="302"/>
      <c r="BH1001" s="302"/>
      <c r="BI1001" s="302"/>
      <c r="BJ1001" s="302"/>
      <c r="BK1001" s="302"/>
      <c r="BL1001" s="302"/>
      <c r="BM1001" s="302"/>
      <c r="BN1001" s="302"/>
      <c r="BO1001" s="302"/>
      <c r="BP1001" s="302"/>
      <c r="BQ1001" s="302"/>
      <c r="BR1001" s="302"/>
      <c r="BS1001" s="302"/>
      <c r="BT1001" s="302"/>
      <c r="BU1001" s="302"/>
      <c r="BV1001" s="302"/>
      <c r="BW1001" s="302"/>
      <c r="BX1001" s="302"/>
      <c r="BY1001" s="302"/>
      <c r="BZ1001" s="302"/>
      <c r="CA1001" s="302"/>
      <c r="CB1001" s="28"/>
      <c r="CC1001" s="28"/>
      <c r="CD1001" s="28"/>
      <c r="CE1001" s="28"/>
      <c r="CF1001" s="28"/>
      <c r="CG1001" s="28"/>
      <c r="CH1001" s="28"/>
      <c r="CI1001" s="28"/>
      <c r="CJ1001" s="28"/>
      <c r="CK1001" s="28"/>
      <c r="CL1001" s="28"/>
      <c r="CM1001" s="28"/>
      <c r="CN1001" s="28"/>
      <c r="CO1001" s="28"/>
      <c r="CP1001" s="28"/>
      <c r="CQ1001" s="28"/>
      <c r="CR1001" s="28"/>
      <c r="CS1001" s="28"/>
      <c r="CT1001" s="28"/>
      <c r="CU1001" s="28"/>
      <c r="CV1001" s="28"/>
      <c r="CW1001" s="28"/>
    </row>
    <row r="1002" spans="1:101" ht="14.25" customHeight="1" x14ac:dyDescent="0.2">
      <c r="A1002" s="286"/>
      <c r="B1002" s="52">
        <v>0.17895420861410083</v>
      </c>
      <c r="C1002" s="288">
        <v>0.41949434901413041</v>
      </c>
      <c r="D1002" s="288">
        <v>2.3929765384981039E-2</v>
      </c>
      <c r="E1002" s="288">
        <v>8.3405009857015749E-3</v>
      </c>
      <c r="F1002" s="289">
        <v>0.76946691776311782</v>
      </c>
      <c r="G1002" s="92">
        <v>0.32807074229426758</v>
      </c>
      <c r="H1002" s="288">
        <v>0.39265577282193576</v>
      </c>
      <c r="I1002" s="288">
        <v>5.6848532617538696E-3</v>
      </c>
      <c r="J1002" s="288">
        <v>0.99999959078173184</v>
      </c>
      <c r="K1002" s="288">
        <v>0.76933469531424326</v>
      </c>
      <c r="L1002" s="290">
        <v>11618.795411096855</v>
      </c>
      <c r="M1002" s="288">
        <v>0</v>
      </c>
      <c r="N1002" s="288">
        <v>16385.533796441305</v>
      </c>
      <c r="O1002" s="288">
        <v>1461.1338477906213</v>
      </c>
      <c r="P1002" s="288">
        <v>48311.696992931371</v>
      </c>
      <c r="Q1002" s="291">
        <v>89702.056500360413</v>
      </c>
      <c r="R1002" s="288">
        <v>23152.464087770804</v>
      </c>
      <c r="S1002" s="288">
        <v>9231.6274696025757</v>
      </c>
      <c r="T1002" s="290">
        <v>0.751</v>
      </c>
      <c r="U1002" s="288">
        <v>0.75800000000000001</v>
      </c>
      <c r="V1002" s="288">
        <v>0.723923076923077</v>
      </c>
      <c r="W1002" s="288">
        <v>0.72750000000000004</v>
      </c>
      <c r="X1002" s="288">
        <v>0.76</v>
      </c>
      <c r="Y1002" s="288">
        <v>0</v>
      </c>
      <c r="Z1002" s="289">
        <v>0</v>
      </c>
      <c r="AA1002" s="229"/>
      <c r="AB1002" s="293">
        <v>84344.990496397659</v>
      </c>
      <c r="AC1002" s="294">
        <v>3.0935625552233352</v>
      </c>
      <c r="AD1002" s="295">
        <v>74570.966086472559</v>
      </c>
      <c r="AE1002" s="294">
        <v>3.0975252213772042</v>
      </c>
      <c r="AF1002" s="295">
        <v>9774.0244099250995</v>
      </c>
      <c r="AG1002" s="296">
        <v>-3.9626661538689767E-3</v>
      </c>
      <c r="AH1002" s="229"/>
      <c r="AI1002" s="205">
        <f t="shared" si="108"/>
        <v>225011.26502593589</v>
      </c>
      <c r="AJ1002" s="205">
        <f t="shared" si="109"/>
        <v>235181.55605124787</v>
      </c>
      <c r="AK1002" s="205">
        <f t="shared" si="110"/>
        <v>-10170.291025311997</v>
      </c>
      <c r="AL1002" s="229"/>
      <c r="AM1002" s="52">
        <f t="shared" si="86"/>
        <v>0</v>
      </c>
      <c r="AN1002" s="52">
        <f t="shared" si="87"/>
        <v>1</v>
      </c>
      <c r="AO1002" s="52">
        <f t="shared" si="88"/>
        <v>0</v>
      </c>
      <c r="AP1002" s="229"/>
      <c r="AQ1002" s="28"/>
      <c r="AR1002" s="28"/>
      <c r="AS1002" s="28"/>
      <c r="AT1002" s="28"/>
      <c r="AU1002" s="229"/>
      <c r="AV1002" s="318">
        <f t="shared" si="111"/>
        <v>235181.55605124787</v>
      </c>
      <c r="AW1002" s="229"/>
      <c r="AX1002" s="313"/>
      <c r="AY1002" s="302"/>
      <c r="AZ1002" s="14">
        <f t="shared" si="113"/>
        <v>9774.0244099250995</v>
      </c>
      <c r="BA1002" s="14">
        <f t="shared" si="112"/>
        <v>-3.9626661538689767E-3</v>
      </c>
      <c r="BB1002" s="14">
        <f t="shared" si="89"/>
        <v>-2466527.340533636</v>
      </c>
      <c r="BC1002" s="302"/>
      <c r="BD1002" s="302"/>
      <c r="BE1002" s="302"/>
      <c r="BF1002" s="302"/>
      <c r="BG1002" s="302"/>
      <c r="BH1002" s="302"/>
      <c r="BI1002" s="302"/>
      <c r="BJ1002" s="302"/>
      <c r="BK1002" s="302"/>
      <c r="BL1002" s="302"/>
      <c r="BM1002" s="302"/>
      <c r="BN1002" s="302"/>
      <c r="BO1002" s="302"/>
      <c r="BP1002" s="302"/>
      <c r="BQ1002" s="302"/>
      <c r="BR1002" s="302"/>
      <c r="BS1002" s="302"/>
      <c r="BT1002" s="302"/>
      <c r="BU1002" s="302"/>
      <c r="BV1002" s="302"/>
      <c r="BW1002" s="302"/>
      <c r="BX1002" s="302"/>
      <c r="BY1002" s="302"/>
      <c r="BZ1002" s="302"/>
      <c r="CA1002" s="302"/>
      <c r="CB1002" s="28"/>
      <c r="CC1002" s="28"/>
      <c r="CD1002" s="28"/>
      <c r="CE1002" s="28"/>
      <c r="CF1002" s="28"/>
      <c r="CG1002" s="28"/>
      <c r="CH1002" s="28"/>
      <c r="CI1002" s="28"/>
      <c r="CJ1002" s="28"/>
      <c r="CK1002" s="28"/>
      <c r="CL1002" s="28"/>
      <c r="CM1002" s="28"/>
      <c r="CN1002" s="28"/>
      <c r="CO1002" s="28"/>
      <c r="CP1002" s="28"/>
      <c r="CQ1002" s="28"/>
      <c r="CR1002" s="28"/>
      <c r="CS1002" s="28"/>
      <c r="CT1002" s="28"/>
      <c r="CU1002" s="28"/>
      <c r="CV1002" s="28"/>
      <c r="CW1002" s="28"/>
    </row>
    <row r="1003" spans="1:101" ht="14.25" customHeight="1" x14ac:dyDescent="0.2">
      <c r="A1003" s="286"/>
      <c r="B1003" s="52">
        <v>0.18688703527314776</v>
      </c>
      <c r="C1003" s="288">
        <v>2.8413816041546514E-2</v>
      </c>
      <c r="D1003" s="288">
        <v>1.0074958572240784E-2</v>
      </c>
      <c r="E1003" s="288">
        <v>1.731401502384744E-2</v>
      </c>
      <c r="F1003" s="289">
        <v>0.79889201980875368</v>
      </c>
      <c r="G1003" s="92">
        <v>0.44741034699977633</v>
      </c>
      <c r="H1003" s="288">
        <v>7.5033742462044903E-2</v>
      </c>
      <c r="I1003" s="288">
        <v>7.2114239136446337E-3</v>
      </c>
      <c r="J1003" s="288">
        <v>0.86589092350999286</v>
      </c>
      <c r="K1003" s="288">
        <v>0.73670438778652103</v>
      </c>
      <c r="L1003" s="290">
        <v>8538.9467063238681</v>
      </c>
      <c r="M1003" s="288">
        <v>0</v>
      </c>
      <c r="N1003" s="288">
        <v>22141.229601718234</v>
      </c>
      <c r="O1003" s="288">
        <v>1133.5868331930076</v>
      </c>
      <c r="P1003" s="288">
        <v>43202.778630328139</v>
      </c>
      <c r="Q1003" s="291">
        <v>86760.346409624151</v>
      </c>
      <c r="R1003" s="288">
        <v>16170.662615738525</v>
      </c>
      <c r="S1003" s="288">
        <v>8090.6090268860808</v>
      </c>
      <c r="T1003" s="290">
        <v>0.751</v>
      </c>
      <c r="U1003" s="288">
        <v>0.75800000000000001</v>
      </c>
      <c r="V1003" s="288">
        <v>0.723923076923077</v>
      </c>
      <c r="W1003" s="288">
        <v>0.72750000000000004</v>
      </c>
      <c r="X1003" s="288">
        <v>0.76</v>
      </c>
      <c r="Y1003" s="288">
        <v>0</v>
      </c>
      <c r="Z1003" s="289">
        <v>0</v>
      </c>
      <c r="AA1003" s="229"/>
      <c r="AB1003" s="293">
        <v>73005.80898657444</v>
      </c>
      <c r="AC1003" s="294">
        <v>3.2302988903591761</v>
      </c>
      <c r="AD1003" s="295">
        <v>60944.361930311119</v>
      </c>
      <c r="AE1003" s="294">
        <v>2.9472021595090245</v>
      </c>
      <c r="AF1003" s="295">
        <v>12061.447056263321</v>
      </c>
      <c r="AG1003" s="296">
        <v>0.28309673085015152</v>
      </c>
      <c r="AH1003" s="229"/>
      <c r="AI1003" s="205">
        <f t="shared" si="108"/>
        <v>250024.08004934315</v>
      </c>
      <c r="AJ1003" s="205">
        <f t="shared" si="109"/>
        <v>233775.8540205913</v>
      </c>
      <c r="AK1003" s="205">
        <f t="shared" si="110"/>
        <v>16248.226028751829</v>
      </c>
      <c r="AL1003" s="229"/>
      <c r="AM1003" s="52">
        <f t="shared" si="86"/>
        <v>1</v>
      </c>
      <c r="AN1003" s="52">
        <f t="shared" si="87"/>
        <v>0</v>
      </c>
      <c r="AO1003" s="52">
        <f t="shared" si="88"/>
        <v>1</v>
      </c>
      <c r="AP1003" s="229"/>
      <c r="AQ1003" s="28"/>
      <c r="AR1003" s="28"/>
      <c r="AS1003" s="28"/>
      <c r="AT1003" s="28"/>
      <c r="AU1003" s="229"/>
      <c r="AV1003" s="318">
        <f t="shared" si="111"/>
        <v>250024.08004934315</v>
      </c>
      <c r="AW1003" s="229"/>
      <c r="AX1003" s="313"/>
      <c r="AY1003" s="302"/>
      <c r="AZ1003" s="14">
        <f t="shared" si="113"/>
        <v>12061.447056263321</v>
      </c>
      <c r="BA1003" s="14">
        <f t="shared" si="112"/>
        <v>0.28309673085015152</v>
      </c>
      <c r="BB1003" s="14">
        <f t="shared" si="89"/>
        <v>42605.391521273603</v>
      </c>
      <c r="BC1003" s="302"/>
      <c r="BD1003" s="302"/>
      <c r="BE1003" s="302"/>
      <c r="BF1003" s="302"/>
      <c r="BG1003" s="302"/>
      <c r="BH1003" s="302"/>
      <c r="BI1003" s="302"/>
      <c r="BJ1003" s="302"/>
      <c r="BK1003" s="302"/>
      <c r="BL1003" s="302"/>
      <c r="BM1003" s="302"/>
      <c r="BN1003" s="302"/>
      <c r="BO1003" s="302"/>
      <c r="BP1003" s="302"/>
      <c r="BQ1003" s="302"/>
      <c r="BR1003" s="302"/>
      <c r="BS1003" s="302"/>
      <c r="BT1003" s="302"/>
      <c r="BU1003" s="302"/>
      <c r="BV1003" s="302"/>
      <c r="BW1003" s="302"/>
      <c r="BX1003" s="302"/>
      <c r="BY1003" s="302"/>
      <c r="BZ1003" s="302"/>
      <c r="CA1003" s="302"/>
      <c r="CB1003" s="28"/>
      <c r="CC1003" s="28"/>
      <c r="CD1003" s="28"/>
      <c r="CE1003" s="28"/>
      <c r="CF1003" s="28"/>
      <c r="CG1003" s="28"/>
      <c r="CH1003" s="28"/>
      <c r="CI1003" s="28"/>
      <c r="CJ1003" s="28"/>
      <c r="CK1003" s="28"/>
      <c r="CL1003" s="28"/>
      <c r="CM1003" s="28"/>
      <c r="CN1003" s="28"/>
      <c r="CO1003" s="28"/>
      <c r="CP1003" s="28"/>
      <c r="CQ1003" s="28"/>
      <c r="CR1003" s="28"/>
      <c r="CS1003" s="28"/>
      <c r="CT1003" s="28"/>
      <c r="CU1003" s="28"/>
      <c r="CV1003" s="28"/>
      <c r="CW1003" s="28"/>
    </row>
    <row r="1004" spans="1:101" ht="14.25" customHeight="1" x14ac:dyDescent="0.2">
      <c r="A1004" s="286"/>
      <c r="B1004" s="52">
        <v>0.16886527636991466</v>
      </c>
      <c r="C1004" s="288">
        <v>2.649925525448329E-3</v>
      </c>
      <c r="D1004" s="288">
        <v>1.1351406493743055E-2</v>
      </c>
      <c r="E1004" s="288">
        <v>1.1644877507829936E-2</v>
      </c>
      <c r="F1004" s="289">
        <v>0.81413265365823162</v>
      </c>
      <c r="G1004" s="92">
        <v>0.35860921833482107</v>
      </c>
      <c r="H1004" s="288">
        <v>0.9564326242686263</v>
      </c>
      <c r="I1004" s="288">
        <v>1.5439502694161311E-2</v>
      </c>
      <c r="J1004" s="288">
        <v>0.99999999999998823</v>
      </c>
      <c r="K1004" s="288">
        <v>0.79970038065224014</v>
      </c>
      <c r="L1004" s="290">
        <v>14513.999509361525</v>
      </c>
      <c r="M1004" s="288">
        <v>0</v>
      </c>
      <c r="N1004" s="288">
        <v>15537.786360884411</v>
      </c>
      <c r="O1004" s="288">
        <v>1564.5361139486922</v>
      </c>
      <c r="P1004" s="288">
        <v>60051.378285996194</v>
      </c>
      <c r="Q1004" s="291">
        <v>68086.488196998311</v>
      </c>
      <c r="R1004" s="288">
        <v>16469.323115228766</v>
      </c>
      <c r="S1004" s="288">
        <v>9648.65638640406</v>
      </c>
      <c r="T1004" s="290">
        <v>0.751</v>
      </c>
      <c r="U1004" s="288">
        <v>0.75800000000000001</v>
      </c>
      <c r="V1004" s="288">
        <v>0.723923076923077</v>
      </c>
      <c r="W1004" s="288">
        <v>0.72750000000000004</v>
      </c>
      <c r="X1004" s="288">
        <v>0.76</v>
      </c>
      <c r="Y1004" s="288">
        <v>0</v>
      </c>
      <c r="Z1004" s="289">
        <v>0</v>
      </c>
      <c r="AA1004" s="229"/>
      <c r="AB1004" s="293">
        <v>92703.052760331833</v>
      </c>
      <c r="AC1004" s="294">
        <v>3.3016548866206756</v>
      </c>
      <c r="AD1004" s="295">
        <v>83859.10086169673</v>
      </c>
      <c r="AE1004" s="294">
        <v>3.2389231168278596</v>
      </c>
      <c r="AF1004" s="295">
        <v>8843.9518986351031</v>
      </c>
      <c r="AG1004" s="296">
        <v>6.2731769792816028E-2</v>
      </c>
      <c r="AH1004" s="229"/>
      <c r="AI1004" s="205">
        <f t="shared" si="108"/>
        <v>237462.43590173573</v>
      </c>
      <c r="AJ1004" s="205">
        <f t="shared" si="109"/>
        <v>240033.21082108925</v>
      </c>
      <c r="AK1004" s="205">
        <f t="shared" si="110"/>
        <v>-2570.7749193535001</v>
      </c>
      <c r="AL1004" s="229"/>
      <c r="AM1004" s="52">
        <f t="shared" si="86"/>
        <v>0</v>
      </c>
      <c r="AN1004" s="52">
        <f t="shared" si="87"/>
        <v>1</v>
      </c>
      <c r="AO1004" s="52">
        <f t="shared" si="88"/>
        <v>0</v>
      </c>
      <c r="AP1004" s="229"/>
      <c r="AQ1004" s="28"/>
      <c r="AR1004" s="28"/>
      <c r="AS1004" s="28"/>
      <c r="AT1004" s="28"/>
      <c r="AU1004" s="229"/>
      <c r="AV1004" s="318">
        <f t="shared" si="111"/>
        <v>240033.21082108925</v>
      </c>
      <c r="AW1004" s="229"/>
      <c r="AX1004" s="313"/>
      <c r="AY1004" s="302"/>
      <c r="AZ1004" s="14">
        <f t="shared" si="113"/>
        <v>8843.9518986351031</v>
      </c>
      <c r="BA1004" s="14">
        <f t="shared" si="112"/>
        <v>6.2731769792816028E-2</v>
      </c>
      <c r="BB1004" s="14">
        <f t="shared" si="89"/>
        <v>140980.43029622771</v>
      </c>
      <c r="BC1004" s="302"/>
      <c r="BD1004" s="302"/>
      <c r="BE1004" s="302"/>
      <c r="BF1004" s="302"/>
      <c r="BG1004" s="302"/>
      <c r="BH1004" s="302"/>
      <c r="BI1004" s="302"/>
      <c r="BJ1004" s="302"/>
      <c r="BK1004" s="302"/>
      <c r="BL1004" s="302"/>
      <c r="BM1004" s="302"/>
      <c r="BN1004" s="302"/>
      <c r="BO1004" s="302"/>
      <c r="BP1004" s="302"/>
      <c r="BQ1004" s="302"/>
      <c r="BR1004" s="302"/>
      <c r="BS1004" s="302"/>
      <c r="BT1004" s="302"/>
      <c r="BU1004" s="302"/>
      <c r="BV1004" s="302"/>
      <c r="BW1004" s="302"/>
      <c r="BX1004" s="302"/>
      <c r="BY1004" s="302"/>
      <c r="BZ1004" s="302"/>
      <c r="CA1004" s="302"/>
      <c r="CB1004" s="28"/>
      <c r="CC1004" s="28"/>
      <c r="CD1004" s="28"/>
      <c r="CE1004" s="28"/>
      <c r="CF1004" s="28"/>
      <c r="CG1004" s="28"/>
      <c r="CH1004" s="28"/>
      <c r="CI1004" s="28"/>
      <c r="CJ1004" s="28"/>
      <c r="CK1004" s="28"/>
      <c r="CL1004" s="28"/>
      <c r="CM1004" s="28"/>
      <c r="CN1004" s="28"/>
      <c r="CO1004" s="28"/>
      <c r="CP1004" s="28"/>
      <c r="CQ1004" s="28"/>
      <c r="CR1004" s="28"/>
      <c r="CS1004" s="28"/>
      <c r="CT1004" s="28"/>
      <c r="CU1004" s="28"/>
      <c r="CV1004" s="28"/>
      <c r="CW1004" s="28"/>
    </row>
    <row r="1005" spans="1:101" ht="14.25" customHeight="1" x14ac:dyDescent="0.2">
      <c r="A1005" s="286"/>
      <c r="B1005" s="52">
        <v>0.13428538090375391</v>
      </c>
      <c r="C1005" s="288">
        <v>0.89608870486372927</v>
      </c>
      <c r="D1005" s="288">
        <v>1.6274190976168112E-2</v>
      </c>
      <c r="E1005" s="288">
        <v>1.2944331860010335E-2</v>
      </c>
      <c r="F1005" s="289">
        <v>0.82171960527019072</v>
      </c>
      <c r="G1005" s="92">
        <v>0.43589073864121741</v>
      </c>
      <c r="H1005" s="288">
        <v>0.52567418233313457</v>
      </c>
      <c r="I1005" s="288">
        <v>3.1677530185298952E-2</v>
      </c>
      <c r="J1005" s="288">
        <v>0.99877872203528406</v>
      </c>
      <c r="K1005" s="288">
        <v>0.80973184799577724</v>
      </c>
      <c r="L1005" s="290">
        <v>13469.784327546395</v>
      </c>
      <c r="M1005" s="288">
        <v>0</v>
      </c>
      <c r="N1005" s="288">
        <v>18886.022666511089</v>
      </c>
      <c r="O1005" s="288">
        <v>945.35373116142159</v>
      </c>
      <c r="P1005" s="288">
        <v>43952.134452479069</v>
      </c>
      <c r="Q1005" s="291">
        <v>96938.111869389249</v>
      </c>
      <c r="R1005" s="288">
        <v>30810.0756909722</v>
      </c>
      <c r="S1005" s="288">
        <v>6658.350082664705</v>
      </c>
      <c r="T1005" s="290">
        <v>0.751</v>
      </c>
      <c r="U1005" s="288">
        <v>0.75800000000000001</v>
      </c>
      <c r="V1005" s="288">
        <v>0.723923076923077</v>
      </c>
      <c r="W1005" s="288">
        <v>0.72750000000000004</v>
      </c>
      <c r="X1005" s="288">
        <v>0.76</v>
      </c>
      <c r="Y1005" s="288">
        <v>0</v>
      </c>
      <c r="Z1005" s="289">
        <v>0</v>
      </c>
      <c r="AA1005" s="229"/>
      <c r="AB1005" s="293">
        <v>71696.126346039498</v>
      </c>
      <c r="AC1005" s="294">
        <v>3.3373124954415179</v>
      </c>
      <c r="AD1005" s="295">
        <v>63595.854248789852</v>
      </c>
      <c r="AE1005" s="294">
        <v>3.2859540534116163</v>
      </c>
      <c r="AF1005" s="295">
        <v>8100.2720972496463</v>
      </c>
      <c r="AG1005" s="296">
        <v>5.1358442029901585E-2</v>
      </c>
      <c r="AH1005" s="229"/>
      <c r="AI1005" s="205">
        <f t="shared" si="108"/>
        <v>262035.12319811227</v>
      </c>
      <c r="AJ1005" s="205">
        <f t="shared" si="109"/>
        <v>264999.55109237181</v>
      </c>
      <c r="AK1005" s="205">
        <f t="shared" si="110"/>
        <v>-2964.4278942594874</v>
      </c>
      <c r="AL1005" s="229"/>
      <c r="AM1005" s="52">
        <f t="shared" si="86"/>
        <v>0</v>
      </c>
      <c r="AN1005" s="52">
        <f t="shared" si="87"/>
        <v>1</v>
      </c>
      <c r="AO1005" s="52">
        <f t="shared" si="88"/>
        <v>0</v>
      </c>
      <c r="AP1005" s="229"/>
      <c r="AQ1005" s="28"/>
      <c r="AR1005" s="28"/>
      <c r="AS1005" s="28"/>
      <c r="AT1005" s="28"/>
      <c r="AU1005" s="229"/>
      <c r="AV1005" s="318">
        <f t="shared" si="111"/>
        <v>264999.55109237181</v>
      </c>
      <c r="AW1005" s="229"/>
      <c r="AX1005" s="313"/>
      <c r="AY1005" s="302"/>
      <c r="AZ1005" s="14">
        <f t="shared" si="113"/>
        <v>8100.2720972496463</v>
      </c>
      <c r="BA1005" s="14">
        <f t="shared" si="112"/>
        <v>5.1358442029901585E-2</v>
      </c>
      <c r="BB1005" s="14">
        <f t="shared" si="89"/>
        <v>157720.36255565457</v>
      </c>
      <c r="BC1005" s="302"/>
      <c r="BD1005" s="302"/>
      <c r="BE1005" s="302"/>
      <c r="BF1005" s="302"/>
      <c r="BG1005" s="302"/>
      <c r="BH1005" s="302"/>
      <c r="BI1005" s="302"/>
      <c r="BJ1005" s="302"/>
      <c r="BK1005" s="302"/>
      <c r="BL1005" s="302"/>
      <c r="BM1005" s="302"/>
      <c r="BN1005" s="302"/>
      <c r="BO1005" s="302"/>
      <c r="BP1005" s="302"/>
      <c r="BQ1005" s="302"/>
      <c r="BR1005" s="302"/>
      <c r="BS1005" s="302"/>
      <c r="BT1005" s="302"/>
      <c r="BU1005" s="302"/>
      <c r="BV1005" s="302"/>
      <c r="BW1005" s="302"/>
      <c r="BX1005" s="302"/>
      <c r="BY1005" s="302"/>
      <c r="BZ1005" s="302"/>
      <c r="CA1005" s="302"/>
      <c r="CB1005" s="28"/>
      <c r="CC1005" s="28"/>
      <c r="CD1005" s="28"/>
      <c r="CE1005" s="28"/>
      <c r="CF1005" s="28"/>
      <c r="CG1005" s="28"/>
      <c r="CH1005" s="28"/>
      <c r="CI1005" s="28"/>
      <c r="CJ1005" s="28"/>
      <c r="CK1005" s="28"/>
      <c r="CL1005" s="28"/>
      <c r="CM1005" s="28"/>
      <c r="CN1005" s="28"/>
      <c r="CO1005" s="28"/>
      <c r="CP1005" s="28"/>
      <c r="CQ1005" s="28"/>
      <c r="CR1005" s="28"/>
      <c r="CS1005" s="28"/>
      <c r="CT1005" s="28"/>
      <c r="CU1005" s="28"/>
      <c r="CV1005" s="28"/>
      <c r="CW1005" s="28"/>
    </row>
    <row r="1006" spans="1:101" ht="14.25" customHeight="1" x14ac:dyDescent="0.2">
      <c r="A1006" s="286"/>
      <c r="B1006" s="52">
        <v>0.18218480548903926</v>
      </c>
      <c r="C1006" s="288">
        <v>0.593261453947318</v>
      </c>
      <c r="D1006" s="288">
        <v>1.0680632973269415E-2</v>
      </c>
      <c r="E1006" s="288">
        <v>1.3938150094578773E-2</v>
      </c>
      <c r="F1006" s="289">
        <v>0.76503438519273548</v>
      </c>
      <c r="G1006" s="92">
        <v>0.36497506320994427</v>
      </c>
      <c r="H1006" s="288">
        <v>0.25565995785774448</v>
      </c>
      <c r="I1006" s="288">
        <v>1.4115899975253419E-2</v>
      </c>
      <c r="J1006" s="288">
        <v>0.99221056327975288</v>
      </c>
      <c r="K1006" s="288">
        <v>0.72507196210684288</v>
      </c>
      <c r="L1006" s="290">
        <v>14043.029091866551</v>
      </c>
      <c r="M1006" s="288">
        <v>0</v>
      </c>
      <c r="N1006" s="288">
        <v>18422.532955882492</v>
      </c>
      <c r="O1006" s="288">
        <v>1435.3589073841592</v>
      </c>
      <c r="P1006" s="288">
        <v>40541.428962499675</v>
      </c>
      <c r="Q1006" s="291">
        <v>72075.114459472999</v>
      </c>
      <c r="R1006" s="288">
        <v>27883.974727136349</v>
      </c>
      <c r="S1006" s="288">
        <v>9617.457648694206</v>
      </c>
      <c r="T1006" s="290">
        <v>0.751</v>
      </c>
      <c r="U1006" s="288">
        <v>0.75800000000000001</v>
      </c>
      <c r="V1006" s="288">
        <v>0.723923076923077</v>
      </c>
      <c r="W1006" s="288">
        <v>0.72750000000000004</v>
      </c>
      <c r="X1006" s="288">
        <v>0.76</v>
      </c>
      <c r="Y1006" s="288">
        <v>0</v>
      </c>
      <c r="Z1006" s="289">
        <v>0</v>
      </c>
      <c r="AA1006" s="229"/>
      <c r="AB1006" s="293">
        <v>90318.072712161404</v>
      </c>
      <c r="AC1006" s="294">
        <v>3.0730825911998783</v>
      </c>
      <c r="AD1006" s="295">
        <v>73382.010075831873</v>
      </c>
      <c r="AE1006" s="294">
        <v>2.8940190651816038</v>
      </c>
      <c r="AF1006" s="295">
        <v>16936.062636329531</v>
      </c>
      <c r="AG1006" s="296">
        <v>0.17906352601827447</v>
      </c>
      <c r="AH1006" s="229"/>
      <c r="AI1006" s="205">
        <f t="shared" si="108"/>
        <v>216990.18640782643</v>
      </c>
      <c r="AJ1006" s="205">
        <f t="shared" si="109"/>
        <v>216019.89644232849</v>
      </c>
      <c r="AK1006" s="205">
        <f t="shared" si="110"/>
        <v>970.28996549791555</v>
      </c>
      <c r="AL1006" s="229"/>
      <c r="AM1006" s="52">
        <f t="shared" si="86"/>
        <v>1</v>
      </c>
      <c r="AN1006" s="52">
        <f t="shared" si="87"/>
        <v>0</v>
      </c>
      <c r="AO1006" s="52">
        <f t="shared" si="88"/>
        <v>1</v>
      </c>
      <c r="AP1006" s="229"/>
      <c r="AQ1006" s="28"/>
      <c r="AR1006" s="28"/>
      <c r="AS1006" s="28"/>
      <c r="AT1006" s="28"/>
      <c r="AU1006" s="229"/>
      <c r="AV1006" s="318">
        <f t="shared" si="111"/>
        <v>216990.18640782643</v>
      </c>
      <c r="AW1006" s="229"/>
      <c r="AX1006" s="313"/>
      <c r="AY1006" s="302"/>
      <c r="AZ1006" s="14">
        <f t="shared" si="113"/>
        <v>16936.062636329531</v>
      </c>
      <c r="BA1006" s="14">
        <f t="shared" si="112"/>
        <v>0.17906352601827447</v>
      </c>
      <c r="BB1006" s="14">
        <f t="shared" si="89"/>
        <v>94581.308728395685</v>
      </c>
      <c r="BC1006" s="302"/>
      <c r="BD1006" s="302"/>
      <c r="BE1006" s="302"/>
      <c r="BF1006" s="302"/>
      <c r="BG1006" s="302"/>
      <c r="BH1006" s="302"/>
      <c r="BI1006" s="302"/>
      <c r="BJ1006" s="302"/>
      <c r="BK1006" s="302"/>
      <c r="BL1006" s="302"/>
      <c r="BM1006" s="302"/>
      <c r="BN1006" s="302"/>
      <c r="BO1006" s="302"/>
      <c r="BP1006" s="302"/>
      <c r="BQ1006" s="302"/>
      <c r="BR1006" s="302"/>
      <c r="BS1006" s="302"/>
      <c r="BT1006" s="302"/>
      <c r="BU1006" s="302"/>
      <c r="BV1006" s="302"/>
      <c r="BW1006" s="302"/>
      <c r="BX1006" s="302"/>
      <c r="BY1006" s="302"/>
      <c r="BZ1006" s="302"/>
      <c r="CA1006" s="302"/>
      <c r="CB1006" s="28"/>
      <c r="CC1006" s="28"/>
      <c r="CD1006" s="28"/>
      <c r="CE1006" s="28"/>
      <c r="CF1006" s="28"/>
      <c r="CG1006" s="28"/>
      <c r="CH1006" s="28"/>
      <c r="CI1006" s="28"/>
      <c r="CJ1006" s="28"/>
      <c r="CK1006" s="28"/>
      <c r="CL1006" s="28"/>
      <c r="CM1006" s="28"/>
      <c r="CN1006" s="28"/>
      <c r="CO1006" s="28"/>
      <c r="CP1006" s="28"/>
      <c r="CQ1006" s="28"/>
      <c r="CR1006" s="28"/>
      <c r="CS1006" s="28"/>
      <c r="CT1006" s="28"/>
      <c r="CU1006" s="28"/>
      <c r="CV1006" s="28"/>
      <c r="CW1006" s="28"/>
    </row>
    <row r="1007" spans="1:101" ht="14.25" customHeight="1" x14ac:dyDescent="0.2">
      <c r="A1007" s="286"/>
      <c r="B1007" s="52">
        <v>0.12916927860339736</v>
      </c>
      <c r="C1007" s="288">
        <v>0.2026561492411732</v>
      </c>
      <c r="D1007" s="288">
        <v>1.7057758620815711E-2</v>
      </c>
      <c r="E1007" s="288">
        <v>9.2265935291745808E-3</v>
      </c>
      <c r="F1007" s="289">
        <v>0.80444405757183168</v>
      </c>
      <c r="G1007" s="92">
        <v>0.40895039822012025</v>
      </c>
      <c r="H1007" s="288">
        <v>0.53679932308496903</v>
      </c>
      <c r="I1007" s="288">
        <v>1.2834271839760561E-2</v>
      </c>
      <c r="J1007" s="288">
        <v>0.99999999999982392</v>
      </c>
      <c r="K1007" s="288">
        <v>0.775298061525031</v>
      </c>
      <c r="L1007" s="290">
        <v>9880.2667716520336</v>
      </c>
      <c r="M1007" s="288">
        <v>0</v>
      </c>
      <c r="N1007" s="288">
        <v>16335.499796507391</v>
      </c>
      <c r="O1007" s="288">
        <v>1023.5980966836064</v>
      </c>
      <c r="P1007" s="288">
        <v>65369.492651003107</v>
      </c>
      <c r="Q1007" s="291">
        <v>90238.115013978677</v>
      </c>
      <c r="R1007" s="288">
        <v>20893.247401120549</v>
      </c>
      <c r="S1007" s="288">
        <v>10110.421467728547</v>
      </c>
      <c r="T1007" s="290">
        <v>0.751</v>
      </c>
      <c r="U1007" s="288">
        <v>0.75800000000000001</v>
      </c>
      <c r="V1007" s="288">
        <v>0.723923076923077</v>
      </c>
      <c r="W1007" s="288">
        <v>0.72750000000000004</v>
      </c>
      <c r="X1007" s="288">
        <v>0.76</v>
      </c>
      <c r="Y1007" s="288">
        <v>0</v>
      </c>
      <c r="Z1007" s="289">
        <v>0</v>
      </c>
      <c r="AA1007" s="229"/>
      <c r="AB1007" s="293">
        <v>91297.839637564699</v>
      </c>
      <c r="AC1007" s="294">
        <v>3.2562511079125946</v>
      </c>
      <c r="AD1007" s="295">
        <v>84033.843947061163</v>
      </c>
      <c r="AE1007" s="294">
        <v>3.1251789642546526</v>
      </c>
      <c r="AF1007" s="295">
        <v>7263.995690503536</v>
      </c>
      <c r="AG1007" s="296">
        <v>0.13107214365794206</v>
      </c>
      <c r="AH1007" s="229"/>
      <c r="AI1007" s="205">
        <f t="shared" si="108"/>
        <v>234327.27115369475</v>
      </c>
      <c r="AJ1007" s="205">
        <f t="shared" si="109"/>
        <v>228484.05247840408</v>
      </c>
      <c r="AK1007" s="205">
        <f t="shared" si="110"/>
        <v>5843.2186752906709</v>
      </c>
      <c r="AL1007" s="229"/>
      <c r="AM1007" s="52">
        <f t="shared" si="86"/>
        <v>1</v>
      </c>
      <c r="AN1007" s="52">
        <f t="shared" si="87"/>
        <v>0</v>
      </c>
      <c r="AO1007" s="52">
        <f t="shared" si="88"/>
        <v>1</v>
      </c>
      <c r="AP1007" s="229"/>
      <c r="AQ1007" s="28"/>
      <c r="AR1007" s="28"/>
      <c r="AS1007" s="28"/>
      <c r="AT1007" s="28"/>
      <c r="AU1007" s="229"/>
      <c r="AV1007" s="318">
        <f t="shared" si="111"/>
        <v>234327.27115369475</v>
      </c>
      <c r="AW1007" s="229"/>
      <c r="AX1007" s="313"/>
      <c r="AY1007" s="302"/>
      <c r="AZ1007" s="14">
        <f t="shared" si="113"/>
        <v>7263.995690503536</v>
      </c>
      <c r="BA1007" s="14">
        <f t="shared" si="112"/>
        <v>0.13107214365794206</v>
      </c>
      <c r="BB1007" s="14">
        <f t="shared" si="89"/>
        <v>55419.828254738306</v>
      </c>
      <c r="BC1007" s="302"/>
      <c r="BD1007" s="302"/>
      <c r="BE1007" s="302"/>
      <c r="BF1007" s="302"/>
      <c r="BG1007" s="302"/>
      <c r="BH1007" s="302"/>
      <c r="BI1007" s="302"/>
      <c r="BJ1007" s="302"/>
      <c r="BK1007" s="302"/>
      <c r="BL1007" s="302"/>
      <c r="BM1007" s="302"/>
      <c r="BN1007" s="302"/>
      <c r="BO1007" s="302"/>
      <c r="BP1007" s="302"/>
      <c r="BQ1007" s="302"/>
      <c r="BR1007" s="302"/>
      <c r="BS1007" s="302"/>
      <c r="BT1007" s="302"/>
      <c r="BU1007" s="302"/>
      <c r="BV1007" s="302"/>
      <c r="BW1007" s="302"/>
      <c r="BX1007" s="302"/>
      <c r="BY1007" s="302"/>
      <c r="BZ1007" s="302"/>
      <c r="CA1007" s="302"/>
      <c r="CB1007" s="28"/>
      <c r="CC1007" s="28"/>
      <c r="CD1007" s="28"/>
      <c r="CE1007" s="28"/>
      <c r="CF1007" s="28"/>
      <c r="CG1007" s="28"/>
      <c r="CH1007" s="28"/>
      <c r="CI1007" s="28"/>
      <c r="CJ1007" s="28"/>
      <c r="CK1007" s="28"/>
      <c r="CL1007" s="28"/>
      <c r="CM1007" s="28"/>
      <c r="CN1007" s="28"/>
      <c r="CO1007" s="28"/>
      <c r="CP1007" s="28"/>
      <c r="CQ1007" s="28"/>
      <c r="CR1007" s="28"/>
      <c r="CS1007" s="28"/>
      <c r="CT1007" s="28"/>
      <c r="CU1007" s="28"/>
      <c r="CV1007" s="28"/>
      <c r="CW1007" s="28"/>
    </row>
    <row r="1008" spans="1:101" ht="14.25" customHeight="1" x14ac:dyDescent="0.2">
      <c r="A1008" s="286"/>
      <c r="B1008" s="52">
        <v>0.16023067653612311</v>
      </c>
      <c r="C1008" s="288">
        <v>0.39389774498265384</v>
      </c>
      <c r="D1008" s="288">
        <v>1.8041733006192162E-2</v>
      </c>
      <c r="E1008" s="288">
        <v>8.5761060019800672E-3</v>
      </c>
      <c r="F1008" s="289">
        <v>0.7818006931515411</v>
      </c>
      <c r="G1008" s="92">
        <v>0.43411962184828556</v>
      </c>
      <c r="H1008" s="288">
        <v>0.36437824384378215</v>
      </c>
      <c r="I1008" s="288">
        <v>1.658972410321935E-2</v>
      </c>
      <c r="J1008" s="288">
        <v>0.9999999990034466</v>
      </c>
      <c r="K1008" s="288">
        <v>0.79020486718911376</v>
      </c>
      <c r="L1008" s="290">
        <v>11759.876713070511</v>
      </c>
      <c r="M1008" s="288">
        <v>0</v>
      </c>
      <c r="N1008" s="288">
        <v>13791.030631851723</v>
      </c>
      <c r="O1008" s="288">
        <v>1246.3360341218702</v>
      </c>
      <c r="P1008" s="288">
        <v>33257.352520914552</v>
      </c>
      <c r="Q1008" s="291">
        <v>136194.97318672045</v>
      </c>
      <c r="R1008" s="288">
        <v>23454.291752640129</v>
      </c>
      <c r="S1008" s="288">
        <v>8527.9898266586351</v>
      </c>
      <c r="T1008" s="290">
        <v>0.751</v>
      </c>
      <c r="U1008" s="288">
        <v>0.75800000000000001</v>
      </c>
      <c r="V1008" s="288">
        <v>0.723923076923077</v>
      </c>
      <c r="W1008" s="288">
        <v>0.72750000000000004</v>
      </c>
      <c r="X1008" s="288">
        <v>0.76</v>
      </c>
      <c r="Y1008" s="288">
        <v>0</v>
      </c>
      <c r="Z1008" s="289">
        <v>0</v>
      </c>
      <c r="AA1008" s="229"/>
      <c r="AB1008" s="293">
        <v>79855.171885951422</v>
      </c>
      <c r="AC1008" s="294">
        <v>3.1507114029652143</v>
      </c>
      <c r="AD1008" s="295">
        <v>72772.672496576735</v>
      </c>
      <c r="AE1008" s="294">
        <v>3.194551047752765</v>
      </c>
      <c r="AF1008" s="295">
        <v>7082.4993893746869</v>
      </c>
      <c r="AG1008" s="296">
        <v>-4.3839644787550647E-2</v>
      </c>
      <c r="AH1008" s="229"/>
      <c r="AI1008" s="205">
        <f t="shared" si="108"/>
        <v>235215.96841057</v>
      </c>
      <c r="AJ1008" s="205">
        <f t="shared" si="109"/>
        <v>246682.43227869977</v>
      </c>
      <c r="AK1008" s="205">
        <f t="shared" si="110"/>
        <v>-11466.463868129751</v>
      </c>
      <c r="AL1008" s="229"/>
      <c r="AM1008" s="52">
        <f t="shared" si="86"/>
        <v>0</v>
      </c>
      <c r="AN1008" s="52">
        <f t="shared" si="87"/>
        <v>1</v>
      </c>
      <c r="AO1008" s="52">
        <f t="shared" si="88"/>
        <v>0</v>
      </c>
      <c r="AP1008" s="229"/>
      <c r="AQ1008" s="28"/>
      <c r="AR1008" s="28"/>
      <c r="AS1008" s="28"/>
      <c r="AT1008" s="28"/>
      <c r="AU1008" s="229"/>
      <c r="AV1008" s="318">
        <f t="shared" si="111"/>
        <v>246682.43227869977</v>
      </c>
      <c r="AW1008" s="229"/>
      <c r="AX1008" s="313"/>
      <c r="AY1008" s="302"/>
      <c r="AZ1008" s="14">
        <f t="shared" si="113"/>
        <v>7082.4993893746869</v>
      </c>
      <c r="BA1008" s="14">
        <f t="shared" si="112"/>
        <v>-4.3839644787550647E-2</v>
      </c>
      <c r="BB1008" s="14">
        <f t="shared" si="89"/>
        <v>-161554.67097639298</v>
      </c>
      <c r="BC1008" s="302"/>
      <c r="BD1008" s="302"/>
      <c r="BE1008" s="302"/>
      <c r="BF1008" s="302"/>
      <c r="BG1008" s="302"/>
      <c r="BH1008" s="302"/>
      <c r="BI1008" s="302"/>
      <c r="BJ1008" s="302"/>
      <c r="BK1008" s="302"/>
      <c r="BL1008" s="302"/>
      <c r="BM1008" s="302"/>
      <c r="BN1008" s="302"/>
      <c r="BO1008" s="302"/>
      <c r="BP1008" s="302"/>
      <c r="BQ1008" s="302"/>
      <c r="BR1008" s="302"/>
      <c r="BS1008" s="302"/>
      <c r="BT1008" s="302"/>
      <c r="BU1008" s="302"/>
      <c r="BV1008" s="302"/>
      <c r="BW1008" s="302"/>
      <c r="BX1008" s="302"/>
      <c r="BY1008" s="302"/>
      <c r="BZ1008" s="302"/>
      <c r="CA1008" s="302"/>
      <c r="CB1008" s="28"/>
      <c r="CC1008" s="28"/>
      <c r="CD1008" s="28"/>
      <c r="CE1008" s="28"/>
      <c r="CF1008" s="28"/>
      <c r="CG1008" s="28"/>
      <c r="CH1008" s="28"/>
      <c r="CI1008" s="28"/>
      <c r="CJ1008" s="28"/>
      <c r="CK1008" s="28"/>
      <c r="CL1008" s="28"/>
      <c r="CM1008" s="28"/>
      <c r="CN1008" s="28"/>
      <c r="CO1008" s="28"/>
      <c r="CP1008" s="28"/>
      <c r="CQ1008" s="28"/>
      <c r="CR1008" s="28"/>
      <c r="CS1008" s="28"/>
      <c r="CT1008" s="28"/>
      <c r="CU1008" s="28"/>
      <c r="CV1008" s="28"/>
      <c r="CW1008" s="28"/>
    </row>
    <row r="1009" spans="1:101" ht="14.25" customHeight="1" x14ac:dyDescent="0.2">
      <c r="A1009" s="286"/>
      <c r="B1009" s="52">
        <v>0.14062270544027181</v>
      </c>
      <c r="C1009" s="288">
        <v>0.12250422961061212</v>
      </c>
      <c r="D1009" s="288">
        <v>2.7329313269598754E-2</v>
      </c>
      <c r="E1009" s="288">
        <v>5.5220056657744087E-3</v>
      </c>
      <c r="F1009" s="289">
        <v>0.80096436341822619</v>
      </c>
      <c r="G1009" s="92">
        <v>0.36309026806870626</v>
      </c>
      <c r="H1009" s="288">
        <v>0.7760713518372071</v>
      </c>
      <c r="I1009" s="288">
        <v>8.6011304727285666E-3</v>
      </c>
      <c r="J1009" s="288">
        <v>0.99999999999999978</v>
      </c>
      <c r="K1009" s="288">
        <v>0.79789023397091241</v>
      </c>
      <c r="L1009" s="290">
        <v>14630.562739821273</v>
      </c>
      <c r="M1009" s="288">
        <v>0</v>
      </c>
      <c r="N1009" s="288">
        <v>14272.082463594181</v>
      </c>
      <c r="O1009" s="288">
        <v>1470.0131048164069</v>
      </c>
      <c r="P1009" s="288">
        <v>38822.675446825051</v>
      </c>
      <c r="Q1009" s="291">
        <v>113281.94527191028</v>
      </c>
      <c r="R1009" s="288">
        <v>19870.87809941595</v>
      </c>
      <c r="S1009" s="288">
        <v>9303.6495801880301</v>
      </c>
      <c r="T1009" s="290">
        <v>0.751</v>
      </c>
      <c r="U1009" s="288">
        <v>0.75800000000000001</v>
      </c>
      <c r="V1009" s="288">
        <v>0.723923076923077</v>
      </c>
      <c r="W1009" s="288">
        <v>0.72750000000000004</v>
      </c>
      <c r="X1009" s="288">
        <v>0.76</v>
      </c>
      <c r="Y1009" s="288">
        <v>0</v>
      </c>
      <c r="Z1009" s="289">
        <v>0</v>
      </c>
      <c r="AA1009" s="229"/>
      <c r="AB1009" s="293">
        <v>89406.83728538992</v>
      </c>
      <c r="AC1009" s="294">
        <v>3.2399801129892682</v>
      </c>
      <c r="AD1009" s="295">
        <v>80633.755933883687</v>
      </c>
      <c r="AE1009" s="294">
        <v>3.2304534259820459</v>
      </c>
      <c r="AF1009" s="295">
        <v>8773.0813515062327</v>
      </c>
      <c r="AG1009" s="296">
        <v>9.5266870072223675E-3</v>
      </c>
      <c r="AH1009" s="229"/>
      <c r="AI1009" s="205">
        <f t="shared" si="108"/>
        <v>234591.17401353692</v>
      </c>
      <c r="AJ1009" s="205">
        <f t="shared" si="109"/>
        <v>242411.58666432087</v>
      </c>
      <c r="AK1009" s="205">
        <f t="shared" si="110"/>
        <v>-7820.4126507839956</v>
      </c>
      <c r="AL1009" s="229"/>
      <c r="AM1009" s="52">
        <f t="shared" si="86"/>
        <v>0</v>
      </c>
      <c r="AN1009" s="52">
        <f t="shared" si="87"/>
        <v>1</v>
      </c>
      <c r="AO1009" s="52">
        <f t="shared" si="88"/>
        <v>0</v>
      </c>
      <c r="AP1009" s="229"/>
      <c r="AQ1009" s="28"/>
      <c r="AR1009" s="28"/>
      <c r="AS1009" s="28"/>
      <c r="AT1009" s="28"/>
      <c r="AU1009" s="229"/>
      <c r="AV1009" s="318">
        <f t="shared" si="111"/>
        <v>242411.58666432087</v>
      </c>
      <c r="AW1009" s="229"/>
      <c r="AX1009" s="313"/>
      <c r="AY1009" s="302"/>
      <c r="AZ1009" s="14">
        <f t="shared" si="113"/>
        <v>8773.0813515062327</v>
      </c>
      <c r="BA1009" s="14">
        <f t="shared" si="112"/>
        <v>9.5266870072223675E-3</v>
      </c>
      <c r="BB1009" s="14">
        <f t="shared" si="89"/>
        <v>920895.30650636344</v>
      </c>
      <c r="BC1009" s="302"/>
      <c r="BD1009" s="302"/>
      <c r="BE1009" s="302"/>
      <c r="BF1009" s="302"/>
      <c r="BG1009" s="302"/>
      <c r="BH1009" s="302"/>
      <c r="BI1009" s="302"/>
      <c r="BJ1009" s="302"/>
      <c r="BK1009" s="302"/>
      <c r="BL1009" s="302"/>
      <c r="BM1009" s="302"/>
      <c r="BN1009" s="302"/>
      <c r="BO1009" s="302"/>
      <c r="BP1009" s="302"/>
      <c r="BQ1009" s="302"/>
      <c r="BR1009" s="302"/>
      <c r="BS1009" s="302"/>
      <c r="BT1009" s="302"/>
      <c r="BU1009" s="302"/>
      <c r="BV1009" s="302"/>
      <c r="BW1009" s="302"/>
      <c r="BX1009" s="302"/>
      <c r="BY1009" s="302"/>
      <c r="BZ1009" s="302"/>
      <c r="CA1009" s="302"/>
      <c r="CB1009" s="28"/>
      <c r="CC1009" s="28"/>
      <c r="CD1009" s="28"/>
      <c r="CE1009" s="28"/>
      <c r="CF1009" s="28"/>
      <c r="CG1009" s="28"/>
      <c r="CH1009" s="28"/>
      <c r="CI1009" s="28"/>
      <c r="CJ1009" s="28"/>
      <c r="CK1009" s="28"/>
      <c r="CL1009" s="28"/>
      <c r="CM1009" s="28"/>
      <c r="CN1009" s="28"/>
      <c r="CO1009" s="28"/>
      <c r="CP1009" s="28"/>
      <c r="CQ1009" s="28"/>
      <c r="CR1009" s="28"/>
      <c r="CS1009" s="28"/>
      <c r="CT1009" s="28"/>
      <c r="CU1009" s="28"/>
      <c r="CV1009" s="28"/>
      <c r="CW1009" s="28"/>
    </row>
    <row r="1010" spans="1:101" ht="14.25" customHeight="1" x14ac:dyDescent="0.2">
      <c r="A1010" s="286"/>
      <c r="B1010" s="52">
        <v>0.14191586109437304</v>
      </c>
      <c r="C1010" s="288">
        <v>8.6054464040030542E-3</v>
      </c>
      <c r="D1010" s="288">
        <v>8.5473798102478713E-3</v>
      </c>
      <c r="E1010" s="288">
        <v>1.8602400478236691E-2</v>
      </c>
      <c r="F1010" s="289">
        <v>0.77235496619516275</v>
      </c>
      <c r="G1010" s="92">
        <v>0.39707448049525884</v>
      </c>
      <c r="H1010" s="288">
        <v>0.2747791263430539</v>
      </c>
      <c r="I1010" s="288">
        <v>9.1264458863009462E-3</v>
      </c>
      <c r="J1010" s="288">
        <v>2.4507200558256761E-5</v>
      </c>
      <c r="K1010" s="288">
        <v>0.74003757627149747</v>
      </c>
      <c r="L1010" s="290">
        <v>12288.291266043952</v>
      </c>
      <c r="M1010" s="288">
        <v>0</v>
      </c>
      <c r="N1010" s="288">
        <v>18799.352718879414</v>
      </c>
      <c r="O1010" s="288">
        <v>1251.5040749939517</v>
      </c>
      <c r="P1010" s="288">
        <v>36987.404917068467</v>
      </c>
      <c r="Q1010" s="291">
        <v>89536.714762735122</v>
      </c>
      <c r="R1010" s="288">
        <v>20681.129470965407</v>
      </c>
      <c r="S1010" s="288">
        <v>8869.9520340335748</v>
      </c>
      <c r="T1010" s="290">
        <v>0.751</v>
      </c>
      <c r="U1010" s="288">
        <v>0.75800000000000001</v>
      </c>
      <c r="V1010" s="288">
        <v>0.723923076923077</v>
      </c>
      <c r="W1010" s="288">
        <v>0.72750000000000004</v>
      </c>
      <c r="X1010" s="288">
        <v>0.76</v>
      </c>
      <c r="Y1010" s="288">
        <v>0</v>
      </c>
      <c r="Z1010" s="289">
        <v>0</v>
      </c>
      <c r="AA1010" s="229"/>
      <c r="AB1010" s="293">
        <v>80439.122487327812</v>
      </c>
      <c r="AC1010" s="294">
        <v>3.1069230036406736</v>
      </c>
      <c r="AD1010" s="295">
        <v>68512.13387186054</v>
      </c>
      <c r="AE1010" s="294">
        <v>2.9624807094945398</v>
      </c>
      <c r="AF1010" s="295">
        <v>11926.988615467271</v>
      </c>
      <c r="AG1010" s="296">
        <v>0.14444229414613385</v>
      </c>
      <c r="AH1010" s="229"/>
      <c r="AI1010" s="205">
        <f t="shared" si="108"/>
        <v>230253.17787673956</v>
      </c>
      <c r="AJ1010" s="205">
        <f t="shared" si="109"/>
        <v>227735.93707759344</v>
      </c>
      <c r="AK1010" s="205">
        <f t="shared" si="110"/>
        <v>2517.2407991461132</v>
      </c>
      <c r="AL1010" s="229"/>
      <c r="AM1010" s="52">
        <f t="shared" si="86"/>
        <v>1</v>
      </c>
      <c r="AN1010" s="52">
        <f t="shared" si="87"/>
        <v>0</v>
      </c>
      <c r="AO1010" s="52">
        <f t="shared" si="88"/>
        <v>1</v>
      </c>
      <c r="AP1010" s="229"/>
      <c r="AQ1010" s="28"/>
      <c r="AR1010" s="28"/>
      <c r="AS1010" s="28"/>
      <c r="AT1010" s="28"/>
      <c r="AU1010" s="229"/>
      <c r="AV1010" s="318">
        <f t="shared" si="111"/>
        <v>230253.17787673956</v>
      </c>
      <c r="AW1010" s="229"/>
      <c r="AX1010" s="313"/>
      <c r="AY1010" s="302"/>
      <c r="AZ1010" s="14">
        <f t="shared" si="113"/>
        <v>11926.988615467271</v>
      </c>
      <c r="BA1010" s="14">
        <f t="shared" si="112"/>
        <v>0.14444229414613385</v>
      </c>
      <c r="BB1010" s="14">
        <f t="shared" si="89"/>
        <v>82572.688878789239</v>
      </c>
      <c r="BC1010" s="302"/>
      <c r="BD1010" s="302"/>
      <c r="BE1010" s="302"/>
      <c r="BF1010" s="302"/>
      <c r="BG1010" s="302"/>
      <c r="BH1010" s="302"/>
      <c r="BI1010" s="302"/>
      <c r="BJ1010" s="302"/>
      <c r="BK1010" s="302"/>
      <c r="BL1010" s="302"/>
      <c r="BM1010" s="302"/>
      <c r="BN1010" s="302"/>
      <c r="BO1010" s="302"/>
      <c r="BP1010" s="302"/>
      <c r="BQ1010" s="302"/>
      <c r="BR1010" s="302"/>
      <c r="BS1010" s="302"/>
      <c r="BT1010" s="302"/>
      <c r="BU1010" s="302"/>
      <c r="BV1010" s="302"/>
      <c r="BW1010" s="302"/>
      <c r="BX1010" s="302"/>
      <c r="BY1010" s="302"/>
      <c r="BZ1010" s="302"/>
      <c r="CA1010" s="302"/>
      <c r="CB1010" s="28"/>
      <c r="CC1010" s="28"/>
      <c r="CD1010" s="28"/>
      <c r="CE1010" s="28"/>
      <c r="CF1010" s="28"/>
      <c r="CG1010" s="28"/>
      <c r="CH1010" s="28"/>
      <c r="CI1010" s="28"/>
      <c r="CJ1010" s="28"/>
      <c r="CK1010" s="28"/>
      <c r="CL1010" s="28"/>
      <c r="CM1010" s="28"/>
      <c r="CN1010" s="28"/>
      <c r="CO1010" s="28"/>
      <c r="CP1010" s="28"/>
      <c r="CQ1010" s="28"/>
      <c r="CR1010" s="28"/>
      <c r="CS1010" s="28"/>
      <c r="CT1010" s="28"/>
      <c r="CU1010" s="28"/>
      <c r="CV1010" s="28"/>
      <c r="CW1010" s="28"/>
    </row>
    <row r="1011" spans="1:101" ht="14.25" customHeight="1" x14ac:dyDescent="0.2">
      <c r="A1011" s="286"/>
      <c r="B1011" s="52">
        <v>0.14947923726972551</v>
      </c>
      <c r="C1011" s="288">
        <v>7.2850111163419815E-2</v>
      </c>
      <c r="D1011" s="288">
        <v>8.5801799847649365E-3</v>
      </c>
      <c r="E1011" s="288">
        <v>1.8272608505866095E-2</v>
      </c>
      <c r="F1011" s="289">
        <v>0.80371164806400697</v>
      </c>
      <c r="G1011" s="92">
        <v>0.31913141316514065</v>
      </c>
      <c r="H1011" s="288">
        <v>0.2440597355657321</v>
      </c>
      <c r="I1011" s="288">
        <v>5.90374250848764E-3</v>
      </c>
      <c r="J1011" s="288">
        <v>1</v>
      </c>
      <c r="K1011" s="288">
        <v>0.71127619723858115</v>
      </c>
      <c r="L1011" s="290">
        <v>13041.576448221869</v>
      </c>
      <c r="M1011" s="288">
        <v>0</v>
      </c>
      <c r="N1011" s="288">
        <v>26779.506649241972</v>
      </c>
      <c r="O1011" s="288">
        <v>1665.8516028377496</v>
      </c>
      <c r="P1011" s="288">
        <v>47616.779630675512</v>
      </c>
      <c r="Q1011" s="291">
        <v>76864.401361235563</v>
      </c>
      <c r="R1011" s="288">
        <v>40449.445900617051</v>
      </c>
      <c r="S1011" s="288">
        <v>8538.0095446409159</v>
      </c>
      <c r="T1011" s="290">
        <v>0.751</v>
      </c>
      <c r="U1011" s="288">
        <v>0.75800000000000001</v>
      </c>
      <c r="V1011" s="288">
        <v>0.723923076923077</v>
      </c>
      <c r="W1011" s="288">
        <v>0.72750000000000004</v>
      </c>
      <c r="X1011" s="288">
        <v>0.76</v>
      </c>
      <c r="Y1011" s="288">
        <v>0</v>
      </c>
      <c r="Z1011" s="289">
        <v>0</v>
      </c>
      <c r="AA1011" s="229"/>
      <c r="AB1011" s="293">
        <v>81781.842740937762</v>
      </c>
      <c r="AC1011" s="294">
        <v>3.2528247945988551</v>
      </c>
      <c r="AD1011" s="295">
        <v>64510.078746058847</v>
      </c>
      <c r="AE1011" s="294">
        <v>2.8312217255731085</v>
      </c>
      <c r="AF1011" s="295">
        <v>17271.763994878915</v>
      </c>
      <c r="AG1011" s="296">
        <v>0.42160306902574662</v>
      </c>
      <c r="AH1011" s="229"/>
      <c r="AI1011" s="205">
        <f t="shared" si="108"/>
        <v>243500.63671894773</v>
      </c>
      <c r="AJ1011" s="205">
        <f t="shared" si="109"/>
        <v>218612.09381125198</v>
      </c>
      <c r="AK1011" s="205">
        <f t="shared" si="110"/>
        <v>24888.542907695744</v>
      </c>
      <c r="AL1011" s="229"/>
      <c r="AM1011" s="52">
        <f t="shared" si="86"/>
        <v>1</v>
      </c>
      <c r="AN1011" s="52">
        <f t="shared" si="87"/>
        <v>0</v>
      </c>
      <c r="AO1011" s="52">
        <f t="shared" si="88"/>
        <v>1</v>
      </c>
      <c r="AP1011" s="229"/>
      <c r="AQ1011" s="28"/>
      <c r="AR1011" s="28"/>
      <c r="AS1011" s="28"/>
      <c r="AT1011" s="28"/>
      <c r="AU1011" s="229"/>
      <c r="AV1011" s="318">
        <f t="shared" si="111"/>
        <v>243500.63671894773</v>
      </c>
      <c r="AW1011" s="229"/>
      <c r="AX1011" s="313"/>
      <c r="AY1011" s="302"/>
      <c r="AZ1011" s="14">
        <f t="shared" si="113"/>
        <v>17271.763994878915</v>
      </c>
      <c r="BA1011" s="14">
        <f t="shared" si="112"/>
        <v>0.42160306902574662</v>
      </c>
      <c r="BB1011" s="14">
        <f t="shared" si="89"/>
        <v>40966.883933722398</v>
      </c>
      <c r="BC1011" s="302"/>
      <c r="BD1011" s="302"/>
      <c r="BE1011" s="302"/>
      <c r="BF1011" s="302"/>
      <c r="BG1011" s="302"/>
      <c r="BH1011" s="302"/>
      <c r="BI1011" s="302"/>
      <c r="BJ1011" s="302"/>
      <c r="BK1011" s="302"/>
      <c r="BL1011" s="302"/>
      <c r="BM1011" s="302"/>
      <c r="BN1011" s="302"/>
      <c r="BO1011" s="302"/>
      <c r="BP1011" s="302"/>
      <c r="BQ1011" s="302"/>
      <c r="BR1011" s="302"/>
      <c r="BS1011" s="302"/>
      <c r="BT1011" s="302"/>
      <c r="BU1011" s="302"/>
      <c r="BV1011" s="302"/>
      <c r="BW1011" s="302"/>
      <c r="BX1011" s="302"/>
      <c r="BY1011" s="302"/>
      <c r="BZ1011" s="302"/>
      <c r="CA1011" s="302"/>
      <c r="CB1011" s="28"/>
      <c r="CC1011" s="28"/>
      <c r="CD1011" s="28"/>
      <c r="CE1011" s="28"/>
      <c r="CF1011" s="28"/>
      <c r="CG1011" s="28"/>
      <c r="CH1011" s="28"/>
      <c r="CI1011" s="28"/>
      <c r="CJ1011" s="28"/>
      <c r="CK1011" s="28"/>
      <c r="CL1011" s="28"/>
      <c r="CM1011" s="28"/>
      <c r="CN1011" s="28"/>
      <c r="CO1011" s="28"/>
      <c r="CP1011" s="28"/>
      <c r="CQ1011" s="28"/>
      <c r="CR1011" s="28"/>
      <c r="CS1011" s="28"/>
      <c r="CT1011" s="28"/>
      <c r="CU1011" s="28"/>
      <c r="CV1011" s="28"/>
      <c r="CW1011" s="28"/>
    </row>
    <row r="1012" spans="1:101" ht="14.25" customHeight="1" x14ac:dyDescent="0.2">
      <c r="A1012" s="286"/>
      <c r="B1012" s="52">
        <v>0.19599330817618543</v>
      </c>
      <c r="C1012" s="288">
        <v>0.22776578788589416</v>
      </c>
      <c r="D1012" s="288">
        <v>1.6177398382594466E-2</v>
      </c>
      <c r="E1012" s="288">
        <v>1.1071942956859763E-2</v>
      </c>
      <c r="F1012" s="289">
        <v>0.79084492575923848</v>
      </c>
      <c r="G1012" s="92">
        <v>0.35079813208730493</v>
      </c>
      <c r="H1012" s="288">
        <v>0.33337909157476792</v>
      </c>
      <c r="I1012" s="288">
        <v>1.222348303302334E-2</v>
      </c>
      <c r="J1012" s="288">
        <v>0.94720846576449447</v>
      </c>
      <c r="K1012" s="288">
        <v>0.79178604535665675</v>
      </c>
      <c r="L1012" s="290">
        <v>15197.349827336306</v>
      </c>
      <c r="M1012" s="288">
        <v>0</v>
      </c>
      <c r="N1012" s="288">
        <v>22087.020313596426</v>
      </c>
      <c r="O1012" s="288">
        <v>1295.4830225602564</v>
      </c>
      <c r="P1012" s="288">
        <v>38313.66459573371</v>
      </c>
      <c r="Q1012" s="291">
        <v>73251.767260574503</v>
      </c>
      <c r="R1012" s="288">
        <v>19484.766041606712</v>
      </c>
      <c r="S1012" s="288">
        <v>5801.6560842949602</v>
      </c>
      <c r="T1012" s="290">
        <v>0.751</v>
      </c>
      <c r="U1012" s="288">
        <v>0.75800000000000001</v>
      </c>
      <c r="V1012" s="288">
        <v>0.723923076923077</v>
      </c>
      <c r="W1012" s="288">
        <v>0.72750000000000004</v>
      </c>
      <c r="X1012" s="288">
        <v>0.76</v>
      </c>
      <c r="Y1012" s="288">
        <v>0</v>
      </c>
      <c r="Z1012" s="289">
        <v>0</v>
      </c>
      <c r="AA1012" s="229"/>
      <c r="AB1012" s="293">
        <v>61989.212759653201</v>
      </c>
      <c r="AC1012" s="294">
        <v>3.1927697072740471</v>
      </c>
      <c r="AD1012" s="295">
        <v>49089.763011901217</v>
      </c>
      <c r="AE1012" s="294">
        <v>3.2019299532664145</v>
      </c>
      <c r="AF1012" s="295">
        <v>12899.449747751984</v>
      </c>
      <c r="AG1012" s="296">
        <v>-9.1602459923674218E-3</v>
      </c>
      <c r="AH1012" s="229"/>
      <c r="AI1012" s="205">
        <f t="shared" si="108"/>
        <v>257287.7579677515</v>
      </c>
      <c r="AJ1012" s="205">
        <f t="shared" si="109"/>
        <v>271103.23231474019</v>
      </c>
      <c r="AK1012" s="205">
        <f t="shared" si="110"/>
        <v>-13815.474346988725</v>
      </c>
      <c r="AL1012" s="229"/>
      <c r="AM1012" s="52">
        <f t="shared" si="86"/>
        <v>0</v>
      </c>
      <c r="AN1012" s="52">
        <f t="shared" si="87"/>
        <v>1</v>
      </c>
      <c r="AO1012" s="52">
        <f t="shared" si="88"/>
        <v>0</v>
      </c>
      <c r="AP1012" s="229"/>
      <c r="AQ1012" s="28"/>
      <c r="AR1012" s="28"/>
      <c r="AS1012" s="28"/>
      <c r="AT1012" s="28"/>
      <c r="AU1012" s="229"/>
      <c r="AV1012" s="318">
        <f t="shared" si="111"/>
        <v>271103.23231474019</v>
      </c>
      <c r="AW1012" s="229"/>
      <c r="AX1012" s="313"/>
      <c r="AY1012" s="302"/>
      <c r="AZ1012" s="14">
        <f t="shared" si="113"/>
        <v>12899.449747751984</v>
      </c>
      <c r="BA1012" s="14">
        <f t="shared" si="112"/>
        <v>-9.1602459923674218E-3</v>
      </c>
      <c r="BB1012" s="14">
        <f t="shared" si="89"/>
        <v>-1408199.0547524786</v>
      </c>
      <c r="BC1012" s="302"/>
      <c r="BD1012" s="302"/>
      <c r="BE1012" s="302"/>
      <c r="BF1012" s="302"/>
      <c r="BG1012" s="302"/>
      <c r="BH1012" s="302"/>
      <c r="BI1012" s="302"/>
      <c r="BJ1012" s="302"/>
      <c r="BK1012" s="302"/>
      <c r="BL1012" s="302"/>
      <c r="BM1012" s="302"/>
      <c r="BN1012" s="302"/>
      <c r="BO1012" s="302"/>
      <c r="BP1012" s="302"/>
      <c r="BQ1012" s="302"/>
      <c r="BR1012" s="302"/>
      <c r="BS1012" s="302"/>
      <c r="BT1012" s="302"/>
      <c r="BU1012" s="302"/>
      <c r="BV1012" s="302"/>
      <c r="BW1012" s="302"/>
      <c r="BX1012" s="302"/>
      <c r="BY1012" s="302"/>
      <c r="BZ1012" s="302"/>
      <c r="CA1012" s="302"/>
      <c r="CB1012" s="28"/>
      <c r="CC1012" s="28"/>
      <c r="CD1012" s="28"/>
      <c r="CE1012" s="28"/>
      <c r="CF1012" s="28"/>
      <c r="CG1012" s="28"/>
      <c r="CH1012" s="28"/>
      <c r="CI1012" s="28"/>
      <c r="CJ1012" s="28"/>
      <c r="CK1012" s="28"/>
      <c r="CL1012" s="28"/>
      <c r="CM1012" s="28"/>
      <c r="CN1012" s="28"/>
      <c r="CO1012" s="28"/>
      <c r="CP1012" s="28"/>
      <c r="CQ1012" s="28"/>
      <c r="CR1012" s="28"/>
      <c r="CS1012" s="28"/>
      <c r="CT1012" s="28"/>
      <c r="CU1012" s="28"/>
      <c r="CV1012" s="28"/>
      <c r="CW1012" s="28"/>
    </row>
    <row r="1013" spans="1:101" ht="14.25" customHeight="1" x14ac:dyDescent="0.2">
      <c r="A1013" s="286"/>
      <c r="B1013" s="52">
        <v>0.14895162632305545</v>
      </c>
      <c r="C1013" s="288">
        <v>0.52650187673928384</v>
      </c>
      <c r="D1013" s="288">
        <v>1.4130403037920933E-2</v>
      </c>
      <c r="E1013" s="288">
        <v>2.1873197681929635E-2</v>
      </c>
      <c r="F1013" s="289">
        <v>0.76709572926297442</v>
      </c>
      <c r="G1013" s="92">
        <v>0.42574851034349681</v>
      </c>
      <c r="H1013" s="288">
        <v>7.0445608059972159E-2</v>
      </c>
      <c r="I1013" s="288">
        <v>6.6646678001660888E-3</v>
      </c>
      <c r="J1013" s="288">
        <v>1.4991629902990244E-2</v>
      </c>
      <c r="K1013" s="288">
        <v>0.75713827450311877</v>
      </c>
      <c r="L1013" s="290">
        <v>14968.247744954757</v>
      </c>
      <c r="M1013" s="288">
        <v>0</v>
      </c>
      <c r="N1013" s="288">
        <v>20646.890819954886</v>
      </c>
      <c r="O1013" s="288">
        <v>1379.0303389646338</v>
      </c>
      <c r="P1013" s="288">
        <v>56261.293934953501</v>
      </c>
      <c r="Q1013" s="291">
        <v>77731.826197250746</v>
      </c>
      <c r="R1013" s="288">
        <v>28066.51110816859</v>
      </c>
      <c r="S1013" s="288">
        <v>11650.22209448892</v>
      </c>
      <c r="T1013" s="290">
        <v>0.751</v>
      </c>
      <c r="U1013" s="288">
        <v>0.75800000000000001</v>
      </c>
      <c r="V1013" s="288">
        <v>0.723923076923077</v>
      </c>
      <c r="W1013" s="288">
        <v>0.72750000000000004</v>
      </c>
      <c r="X1013" s="288">
        <v>0.76</v>
      </c>
      <c r="Y1013" s="288">
        <v>0</v>
      </c>
      <c r="Z1013" s="289">
        <v>0</v>
      </c>
      <c r="AA1013" s="229"/>
      <c r="AB1013" s="293">
        <v>106036.97102518882</v>
      </c>
      <c r="AC1013" s="294">
        <v>3.0826029411506872</v>
      </c>
      <c r="AD1013" s="295">
        <v>89646.338444968991</v>
      </c>
      <c r="AE1013" s="294">
        <v>3.0411416749752611</v>
      </c>
      <c r="AF1013" s="295">
        <v>16390.632580219826</v>
      </c>
      <c r="AG1013" s="296">
        <v>4.1461266175426115E-2</v>
      </c>
      <c r="AH1013" s="229"/>
      <c r="AI1013" s="205">
        <f t="shared" si="108"/>
        <v>202223.32308987994</v>
      </c>
      <c r="AJ1013" s="205">
        <f t="shared" si="109"/>
        <v>214467.82905255712</v>
      </c>
      <c r="AK1013" s="205">
        <f t="shared" si="110"/>
        <v>-12244.505962677214</v>
      </c>
      <c r="AL1013" s="229"/>
      <c r="AM1013" s="52">
        <f t="shared" si="86"/>
        <v>0</v>
      </c>
      <c r="AN1013" s="52">
        <f t="shared" si="87"/>
        <v>1</v>
      </c>
      <c r="AO1013" s="52">
        <f t="shared" si="88"/>
        <v>0</v>
      </c>
      <c r="AP1013" s="229"/>
      <c r="AQ1013" s="28"/>
      <c r="AR1013" s="28"/>
      <c r="AS1013" s="28"/>
      <c r="AT1013" s="28"/>
      <c r="AU1013" s="229"/>
      <c r="AV1013" s="318">
        <f t="shared" si="111"/>
        <v>214467.82905255712</v>
      </c>
      <c r="AW1013" s="229"/>
      <c r="AX1013" s="313"/>
      <c r="AY1013" s="302"/>
      <c r="AZ1013" s="14">
        <f t="shared" si="113"/>
        <v>16390.632580219826</v>
      </c>
      <c r="BA1013" s="14">
        <f t="shared" si="112"/>
        <v>4.1461266175426115E-2</v>
      </c>
      <c r="BB1013" s="14">
        <f t="shared" si="89"/>
        <v>395323.97565645189</v>
      </c>
      <c r="BC1013" s="302"/>
      <c r="BD1013" s="302"/>
      <c r="BE1013" s="302"/>
      <c r="BF1013" s="302"/>
      <c r="BG1013" s="302"/>
      <c r="BH1013" s="302"/>
      <c r="BI1013" s="302"/>
      <c r="BJ1013" s="302"/>
      <c r="BK1013" s="302"/>
      <c r="BL1013" s="302"/>
      <c r="BM1013" s="302"/>
      <c r="BN1013" s="302"/>
      <c r="BO1013" s="302"/>
      <c r="BP1013" s="302"/>
      <c r="BQ1013" s="302"/>
      <c r="BR1013" s="302"/>
      <c r="BS1013" s="302"/>
      <c r="BT1013" s="302"/>
      <c r="BU1013" s="302"/>
      <c r="BV1013" s="302"/>
      <c r="BW1013" s="302"/>
      <c r="BX1013" s="302"/>
      <c r="BY1013" s="302"/>
      <c r="BZ1013" s="302"/>
      <c r="CA1013" s="302"/>
      <c r="CB1013" s="28"/>
      <c r="CC1013" s="28"/>
      <c r="CD1013" s="28"/>
      <c r="CE1013" s="28"/>
      <c r="CF1013" s="28"/>
      <c r="CG1013" s="28"/>
      <c r="CH1013" s="28"/>
      <c r="CI1013" s="28"/>
      <c r="CJ1013" s="28"/>
      <c r="CK1013" s="28"/>
      <c r="CL1013" s="28"/>
      <c r="CM1013" s="28"/>
      <c r="CN1013" s="28"/>
      <c r="CO1013" s="28"/>
      <c r="CP1013" s="28"/>
      <c r="CQ1013" s="28"/>
      <c r="CR1013" s="28"/>
      <c r="CS1013" s="28"/>
      <c r="CT1013" s="28"/>
      <c r="CU1013" s="28"/>
      <c r="CV1013" s="28"/>
      <c r="CW1013" s="28"/>
    </row>
    <row r="1014" spans="1:101" ht="15" customHeight="1" x14ac:dyDescent="0.2">
      <c r="AY1014" s="303"/>
      <c r="AZ1014" s="303"/>
      <c r="BA1014" s="303"/>
      <c r="BB1014" s="303"/>
      <c r="BC1014" s="303"/>
      <c r="BD1014" s="303"/>
      <c r="BE1014" s="303"/>
      <c r="BF1014" s="303"/>
      <c r="BG1014" s="303"/>
      <c r="BH1014" s="303"/>
      <c r="BI1014" s="303"/>
      <c r="BJ1014" s="303"/>
      <c r="BK1014" s="303"/>
      <c r="BL1014" s="303"/>
      <c r="BM1014" s="303"/>
      <c r="BN1014" s="303"/>
      <c r="BO1014" s="303"/>
      <c r="BP1014" s="303"/>
      <c r="BQ1014" s="303"/>
      <c r="BR1014" s="303"/>
      <c r="BS1014" s="303"/>
      <c r="BT1014" s="303"/>
      <c r="BU1014" s="303"/>
      <c r="BV1014" s="303"/>
      <c r="BW1014" s="303"/>
      <c r="BX1014" s="303"/>
      <c r="BY1014" s="303"/>
      <c r="BZ1014" s="303"/>
      <c r="CA1014" s="303"/>
    </row>
    <row r="1015" spans="1:101" ht="15" customHeight="1" x14ac:dyDescent="0.2">
      <c r="AY1015" s="303"/>
      <c r="AZ1015" s="303"/>
      <c r="BA1015" s="303"/>
      <c r="BB1015" s="303"/>
      <c r="BC1015" s="303"/>
      <c r="BD1015" s="303"/>
      <c r="BE1015" s="303"/>
      <c r="BF1015" s="303"/>
      <c r="BG1015" s="303"/>
      <c r="BH1015" s="303"/>
      <c r="BI1015" s="303"/>
      <c r="BJ1015" s="303"/>
      <c r="BK1015" s="303"/>
      <c r="BL1015" s="303"/>
      <c r="BM1015" s="303"/>
      <c r="BN1015" s="303"/>
      <c r="BO1015" s="303"/>
      <c r="BP1015" s="303"/>
      <c r="BQ1015" s="303"/>
      <c r="BR1015" s="303"/>
      <c r="BS1015" s="303"/>
      <c r="BT1015" s="303"/>
      <c r="BU1015" s="303"/>
      <c r="BV1015" s="303"/>
      <c r="BW1015" s="303"/>
      <c r="BX1015" s="303"/>
      <c r="BY1015" s="303"/>
      <c r="BZ1015" s="303"/>
      <c r="CA1015" s="303"/>
    </row>
    <row r="1016" spans="1:101" ht="15" customHeight="1" x14ac:dyDescent="0.2">
      <c r="AY1016" s="303"/>
      <c r="AZ1016" s="303"/>
      <c r="BA1016" s="303"/>
      <c r="BB1016" s="303"/>
      <c r="BC1016" s="303"/>
      <c r="BD1016" s="303"/>
      <c r="BE1016" s="303"/>
      <c r="BF1016" s="303"/>
      <c r="BG1016" s="303"/>
      <c r="BH1016" s="303"/>
      <c r="BI1016" s="303"/>
      <c r="BJ1016" s="303"/>
      <c r="BK1016" s="303"/>
      <c r="BL1016" s="303"/>
      <c r="BM1016" s="303"/>
      <c r="BN1016" s="303"/>
      <c r="BO1016" s="303"/>
      <c r="BP1016" s="303"/>
      <c r="BQ1016" s="303"/>
      <c r="BR1016" s="303"/>
      <c r="BS1016" s="303"/>
      <c r="BT1016" s="303"/>
      <c r="BU1016" s="303"/>
      <c r="BV1016" s="303"/>
      <c r="BW1016" s="303"/>
      <c r="BX1016" s="303"/>
      <c r="BY1016" s="303"/>
      <c r="BZ1016" s="303"/>
      <c r="CA1016" s="303"/>
    </row>
    <row r="1017" spans="1:101" ht="15" customHeight="1" x14ac:dyDescent="0.2">
      <c r="AY1017" s="303"/>
      <c r="AZ1017" s="303"/>
      <c r="BA1017" s="303"/>
      <c r="BB1017" s="303"/>
      <c r="BC1017" s="303"/>
      <c r="BD1017" s="303"/>
      <c r="BE1017" s="303"/>
      <c r="BF1017" s="303"/>
      <c r="BG1017" s="303"/>
      <c r="BH1017" s="303"/>
      <c r="BI1017" s="303"/>
      <c r="BJ1017" s="303"/>
      <c r="BK1017" s="303"/>
      <c r="BL1017" s="303"/>
      <c r="BM1017" s="303"/>
      <c r="BN1017" s="303"/>
      <c r="BO1017" s="303"/>
      <c r="BP1017" s="303"/>
      <c r="BQ1017" s="303"/>
      <c r="BR1017" s="303"/>
      <c r="BS1017" s="303"/>
      <c r="BT1017" s="303"/>
      <c r="BU1017" s="303"/>
      <c r="BV1017" s="303"/>
      <c r="BW1017" s="303"/>
      <c r="BX1017" s="303"/>
      <c r="BY1017" s="303"/>
      <c r="BZ1017" s="303"/>
      <c r="CA1017" s="303"/>
    </row>
    <row r="1018" spans="1:101" ht="15" customHeight="1" x14ac:dyDescent="0.2">
      <c r="AY1018" s="303"/>
      <c r="AZ1018" s="303"/>
      <c r="BA1018" s="303"/>
      <c r="BB1018" s="303"/>
      <c r="BC1018" s="303"/>
      <c r="BD1018" s="303"/>
      <c r="BE1018" s="303"/>
      <c r="BF1018" s="303"/>
      <c r="BG1018" s="303"/>
      <c r="BH1018" s="303"/>
      <c r="BI1018" s="303"/>
      <c r="BJ1018" s="303"/>
      <c r="BK1018" s="303"/>
      <c r="BL1018" s="303"/>
      <c r="BM1018" s="303"/>
      <c r="BN1018" s="303"/>
      <c r="BO1018" s="303"/>
      <c r="BP1018" s="303"/>
      <c r="BQ1018" s="303"/>
      <c r="BR1018" s="303"/>
      <c r="BS1018" s="303"/>
      <c r="BT1018" s="303"/>
      <c r="BU1018" s="303"/>
      <c r="BV1018" s="303"/>
      <c r="BW1018" s="303"/>
      <c r="BX1018" s="303"/>
      <c r="BY1018" s="303"/>
      <c r="BZ1018" s="303"/>
      <c r="CA1018" s="303"/>
    </row>
    <row r="1019" spans="1:101" ht="15" customHeight="1" x14ac:dyDescent="0.2">
      <c r="AY1019" s="303"/>
      <c r="AZ1019" s="303"/>
      <c r="BA1019" s="303"/>
      <c r="BB1019" s="303"/>
      <c r="BC1019" s="303"/>
      <c r="BD1019" s="303"/>
      <c r="BE1019" s="303"/>
      <c r="BF1019" s="303"/>
      <c r="BG1019" s="303"/>
      <c r="BH1019" s="303"/>
      <c r="BI1019" s="303"/>
      <c r="BJ1019" s="303"/>
      <c r="BK1019" s="303"/>
      <c r="BL1019" s="303"/>
      <c r="BM1019" s="303"/>
      <c r="BN1019" s="303"/>
      <c r="BO1019" s="303"/>
      <c r="BP1019" s="303"/>
      <c r="BQ1019" s="303"/>
      <c r="BR1019" s="303"/>
      <c r="BS1019" s="303"/>
      <c r="BT1019" s="303"/>
      <c r="BU1019" s="303"/>
      <c r="BV1019" s="303"/>
      <c r="BW1019" s="303"/>
      <c r="BX1019" s="303"/>
      <c r="BY1019" s="303"/>
      <c r="BZ1019" s="303"/>
      <c r="CA1019" s="303"/>
    </row>
    <row r="1020" spans="1:101" ht="15" customHeight="1" x14ac:dyDescent="0.2">
      <c r="AY1020" s="303"/>
      <c r="AZ1020" s="303"/>
      <c r="BA1020" s="303"/>
      <c r="BB1020" s="303"/>
      <c r="BC1020" s="303"/>
      <c r="BD1020" s="303"/>
      <c r="BE1020" s="303"/>
      <c r="BF1020" s="303"/>
      <c r="BG1020" s="303"/>
      <c r="BH1020" s="303"/>
      <c r="BI1020" s="303"/>
      <c r="BJ1020" s="303"/>
      <c r="BK1020" s="303"/>
      <c r="BL1020" s="303"/>
      <c r="BM1020" s="303"/>
      <c r="BN1020" s="303"/>
      <c r="BO1020" s="303"/>
      <c r="BP1020" s="303"/>
      <c r="BQ1020" s="303"/>
      <c r="BR1020" s="303"/>
      <c r="BS1020" s="303"/>
      <c r="BT1020" s="303"/>
      <c r="BU1020" s="303"/>
      <c r="BV1020" s="303"/>
      <c r="BW1020" s="303"/>
      <c r="BX1020" s="303"/>
      <c r="BY1020" s="303"/>
      <c r="BZ1020" s="303"/>
      <c r="CA1020" s="303"/>
    </row>
    <row r="1021" spans="1:101" ht="15" customHeight="1" x14ac:dyDescent="0.2">
      <c r="AY1021" s="303"/>
      <c r="AZ1021" s="303"/>
      <c r="BA1021" s="303"/>
      <c r="BB1021" s="303"/>
      <c r="BC1021" s="303"/>
      <c r="BD1021" s="303"/>
      <c r="BE1021" s="303"/>
      <c r="BF1021" s="303"/>
      <c r="BG1021" s="303"/>
      <c r="BH1021" s="303"/>
      <c r="BI1021" s="303"/>
      <c r="BJ1021" s="303"/>
      <c r="BK1021" s="303"/>
      <c r="BL1021" s="303"/>
      <c r="BM1021" s="303"/>
      <c r="BN1021" s="303"/>
      <c r="BO1021" s="303"/>
      <c r="BP1021" s="303"/>
      <c r="BQ1021" s="303"/>
      <c r="BR1021" s="303"/>
      <c r="BS1021" s="303"/>
      <c r="BT1021" s="303"/>
      <c r="BU1021" s="303"/>
      <c r="BV1021" s="303"/>
      <c r="BW1021" s="303"/>
      <c r="BX1021" s="303"/>
      <c r="BY1021" s="303"/>
      <c r="BZ1021" s="303"/>
      <c r="CA1021" s="303"/>
    </row>
    <row r="1022" spans="1:101" ht="15" customHeight="1" x14ac:dyDescent="0.2">
      <c r="AY1022" s="303"/>
      <c r="AZ1022" s="303"/>
      <c r="BA1022" s="303"/>
      <c r="BB1022" s="303"/>
      <c r="BC1022" s="303"/>
      <c r="BD1022" s="303"/>
      <c r="BE1022" s="303"/>
      <c r="BF1022" s="303"/>
      <c r="BG1022" s="303"/>
      <c r="BH1022" s="303"/>
      <c r="BI1022" s="303"/>
      <c r="BJ1022" s="303"/>
      <c r="BK1022" s="303"/>
      <c r="BL1022" s="303"/>
      <c r="BM1022" s="303"/>
      <c r="BN1022" s="303"/>
      <c r="BO1022" s="303"/>
      <c r="BP1022" s="303"/>
      <c r="BQ1022" s="303"/>
      <c r="BR1022" s="303"/>
      <c r="BS1022" s="303"/>
      <c r="BT1022" s="303"/>
      <c r="BU1022" s="303"/>
      <c r="BV1022" s="303"/>
      <c r="BW1022" s="303"/>
      <c r="BX1022" s="303"/>
      <c r="BY1022" s="303"/>
      <c r="BZ1022" s="303"/>
      <c r="CA1022" s="303"/>
    </row>
    <row r="1023" spans="1:101" ht="15" customHeight="1" x14ac:dyDescent="0.2">
      <c r="AY1023" s="303"/>
      <c r="AZ1023" s="303"/>
      <c r="BA1023" s="303"/>
      <c r="BB1023" s="303"/>
      <c r="BC1023" s="303"/>
      <c r="BD1023" s="303"/>
      <c r="BE1023" s="303"/>
      <c r="BF1023" s="303"/>
      <c r="BG1023" s="303"/>
      <c r="BH1023" s="303"/>
      <c r="BI1023" s="303"/>
      <c r="BJ1023" s="303"/>
      <c r="BK1023" s="303"/>
      <c r="BL1023" s="303"/>
      <c r="BM1023" s="303"/>
      <c r="BN1023" s="303"/>
      <c r="BO1023" s="303"/>
      <c r="BP1023" s="303"/>
      <c r="BQ1023" s="303"/>
      <c r="BR1023" s="303"/>
      <c r="BS1023" s="303"/>
      <c r="BT1023" s="303"/>
      <c r="BU1023" s="303"/>
      <c r="BV1023" s="303"/>
      <c r="BW1023" s="303"/>
      <c r="BX1023" s="303"/>
      <c r="BY1023" s="303"/>
      <c r="BZ1023" s="303"/>
      <c r="CA1023" s="303"/>
    </row>
    <row r="1024" spans="1:101" ht="15" customHeight="1" x14ac:dyDescent="0.2">
      <c r="AY1024" s="303"/>
      <c r="AZ1024" s="303"/>
      <c r="BA1024" s="303"/>
      <c r="BB1024" s="303"/>
      <c r="BC1024" s="303"/>
      <c r="BD1024" s="303"/>
      <c r="BE1024" s="303"/>
      <c r="BF1024" s="303"/>
      <c r="BG1024" s="303"/>
      <c r="BH1024" s="303"/>
      <c r="BI1024" s="303"/>
      <c r="BJ1024" s="303"/>
      <c r="BK1024" s="303"/>
      <c r="BL1024" s="303"/>
      <c r="BM1024" s="303"/>
      <c r="BN1024" s="303"/>
      <c r="BO1024" s="303"/>
      <c r="BP1024" s="303"/>
      <c r="BQ1024" s="303"/>
      <c r="BR1024" s="303"/>
      <c r="BS1024" s="303"/>
      <c r="BT1024" s="303"/>
      <c r="BU1024" s="303"/>
      <c r="BV1024" s="303"/>
      <c r="BW1024" s="303"/>
      <c r="BX1024" s="303"/>
      <c r="BY1024" s="303"/>
      <c r="BZ1024" s="303"/>
      <c r="CA1024" s="303"/>
    </row>
    <row r="1025" spans="51:79" ht="15" customHeight="1" x14ac:dyDescent="0.2">
      <c r="AY1025" s="303"/>
      <c r="AZ1025" s="303"/>
      <c r="BA1025" s="303"/>
      <c r="BB1025" s="303"/>
      <c r="BC1025" s="303"/>
      <c r="BD1025" s="303"/>
      <c r="BE1025" s="303"/>
      <c r="BF1025" s="303"/>
      <c r="BG1025" s="303"/>
      <c r="BH1025" s="303"/>
      <c r="BI1025" s="303"/>
      <c r="BJ1025" s="303"/>
      <c r="BK1025" s="303"/>
      <c r="BL1025" s="303"/>
      <c r="BM1025" s="303"/>
      <c r="BN1025" s="303"/>
      <c r="BO1025" s="303"/>
      <c r="BP1025" s="303"/>
      <c r="BQ1025" s="303"/>
      <c r="BR1025" s="303"/>
      <c r="BS1025" s="303"/>
      <c r="BT1025" s="303"/>
      <c r="BU1025" s="303"/>
      <c r="BV1025" s="303"/>
      <c r="BW1025" s="303"/>
      <c r="BX1025" s="303"/>
      <c r="BY1025" s="303"/>
      <c r="BZ1025" s="303"/>
      <c r="CA1025" s="303"/>
    </row>
    <row r="1026" spans="51:79" ht="15" customHeight="1" x14ac:dyDescent="0.2">
      <c r="AY1026" s="303"/>
      <c r="AZ1026" s="303"/>
      <c r="BA1026" s="303"/>
      <c r="BB1026" s="303"/>
      <c r="BC1026" s="303"/>
      <c r="BD1026" s="303"/>
      <c r="BE1026" s="303"/>
      <c r="BF1026" s="303"/>
      <c r="BG1026" s="303"/>
      <c r="BH1026" s="303"/>
      <c r="BI1026" s="303"/>
      <c r="BJ1026" s="303"/>
      <c r="BK1026" s="303"/>
      <c r="BL1026" s="303"/>
      <c r="BM1026" s="303"/>
      <c r="BN1026" s="303"/>
      <c r="BO1026" s="303"/>
      <c r="BP1026" s="303"/>
      <c r="BQ1026" s="303"/>
      <c r="BR1026" s="303"/>
      <c r="BS1026" s="303"/>
      <c r="BT1026" s="303"/>
      <c r="BU1026" s="303"/>
      <c r="BV1026" s="303"/>
      <c r="BW1026" s="303"/>
      <c r="BX1026" s="303"/>
      <c r="BY1026" s="303"/>
      <c r="BZ1026" s="303"/>
      <c r="CA1026" s="303"/>
    </row>
    <row r="1027" spans="51:79" ht="15" customHeight="1" x14ac:dyDescent="0.2">
      <c r="AY1027" s="303"/>
      <c r="AZ1027" s="303"/>
      <c r="BA1027" s="303"/>
      <c r="BB1027" s="303"/>
      <c r="BC1027" s="303"/>
      <c r="BD1027" s="303"/>
      <c r="BE1027" s="303"/>
      <c r="BF1027" s="303"/>
      <c r="BG1027" s="303"/>
      <c r="BH1027" s="303"/>
      <c r="BI1027" s="303"/>
      <c r="BJ1027" s="303"/>
      <c r="BK1027" s="303"/>
      <c r="BL1027" s="303"/>
      <c r="BM1027" s="303"/>
      <c r="BN1027" s="303"/>
      <c r="BO1027" s="303"/>
      <c r="BP1027" s="303"/>
      <c r="BQ1027" s="303"/>
      <c r="BR1027" s="303"/>
      <c r="BS1027" s="303"/>
      <c r="BT1027" s="303"/>
      <c r="BU1027" s="303"/>
      <c r="BV1027" s="303"/>
      <c r="BW1027" s="303"/>
      <c r="BX1027" s="303"/>
      <c r="BY1027" s="303"/>
      <c r="BZ1027" s="303"/>
      <c r="CA1027" s="303"/>
    </row>
    <row r="1028" spans="51:79" ht="15" customHeight="1" x14ac:dyDescent="0.2">
      <c r="AY1028" s="303"/>
      <c r="AZ1028" s="303"/>
      <c r="BA1028" s="303"/>
      <c r="BB1028" s="303"/>
      <c r="BC1028" s="303"/>
      <c r="BD1028" s="303"/>
      <c r="BE1028" s="303"/>
      <c r="BF1028" s="303"/>
      <c r="BG1028" s="303"/>
      <c r="BH1028" s="303"/>
      <c r="BI1028" s="303"/>
      <c r="BJ1028" s="303"/>
      <c r="BK1028" s="303"/>
      <c r="BL1028" s="303"/>
      <c r="BM1028" s="303"/>
      <c r="BN1028" s="303"/>
      <c r="BO1028" s="303"/>
      <c r="BP1028" s="303"/>
      <c r="BQ1028" s="303"/>
      <c r="BR1028" s="303"/>
      <c r="BS1028" s="303"/>
      <c r="BT1028" s="303"/>
      <c r="BU1028" s="303"/>
      <c r="BV1028" s="303"/>
      <c r="BW1028" s="303"/>
      <c r="BX1028" s="303"/>
      <c r="BY1028" s="303"/>
      <c r="BZ1028" s="303"/>
      <c r="CA1028" s="303"/>
    </row>
    <row r="1029" spans="51:79" ht="15" customHeight="1" x14ac:dyDescent="0.2">
      <c r="AY1029" s="303"/>
      <c r="AZ1029" s="303"/>
      <c r="BA1029" s="303"/>
      <c r="BB1029" s="303"/>
      <c r="BC1029" s="303"/>
      <c r="BD1029" s="303"/>
      <c r="BE1029" s="303"/>
      <c r="BF1029" s="303"/>
      <c r="BG1029" s="303"/>
      <c r="BH1029" s="303"/>
      <c r="BI1029" s="303"/>
      <c r="BJ1029" s="303"/>
      <c r="BK1029" s="303"/>
      <c r="BL1029" s="303"/>
      <c r="BM1029" s="303"/>
      <c r="BN1029" s="303"/>
      <c r="BO1029" s="303"/>
      <c r="BP1029" s="303"/>
      <c r="BQ1029" s="303"/>
      <c r="BR1029" s="303"/>
      <c r="BS1029" s="303"/>
      <c r="BT1029" s="303"/>
      <c r="BU1029" s="303"/>
      <c r="BV1029" s="303"/>
      <c r="BW1029" s="303"/>
      <c r="BX1029" s="303"/>
      <c r="BY1029" s="303"/>
      <c r="BZ1029" s="303"/>
      <c r="CA1029" s="303"/>
    </row>
    <row r="1030" spans="51:79" ht="15" customHeight="1" x14ac:dyDescent="0.2">
      <c r="AY1030" s="303"/>
      <c r="AZ1030" s="303"/>
      <c r="BA1030" s="303"/>
      <c r="BB1030" s="303"/>
      <c r="BC1030" s="303"/>
      <c r="BD1030" s="303"/>
      <c r="BE1030" s="303"/>
      <c r="BF1030" s="303"/>
      <c r="BG1030" s="303"/>
      <c r="BH1030" s="303"/>
      <c r="BI1030" s="303"/>
      <c r="BJ1030" s="303"/>
      <c r="BK1030" s="303"/>
      <c r="BL1030" s="303"/>
      <c r="BM1030" s="303"/>
      <c r="BN1030" s="303"/>
      <c r="BO1030" s="303"/>
      <c r="BP1030" s="303"/>
      <c r="BQ1030" s="303"/>
      <c r="BR1030" s="303"/>
      <c r="BS1030" s="303"/>
      <c r="BT1030" s="303"/>
      <c r="BU1030" s="303"/>
      <c r="BV1030" s="303"/>
      <c r="BW1030" s="303"/>
      <c r="BX1030" s="303"/>
      <c r="BY1030" s="303"/>
      <c r="BZ1030" s="303"/>
      <c r="CA1030" s="303"/>
    </row>
    <row r="1031" spans="51:79" ht="15" customHeight="1" x14ac:dyDescent="0.2">
      <c r="AY1031" s="303"/>
      <c r="AZ1031" s="303"/>
      <c r="BA1031" s="303"/>
      <c r="BB1031" s="303"/>
      <c r="BC1031" s="303"/>
      <c r="BD1031" s="303"/>
      <c r="BE1031" s="303"/>
      <c r="BF1031" s="303"/>
      <c r="BG1031" s="303"/>
      <c r="BH1031" s="303"/>
      <c r="BI1031" s="303"/>
      <c r="BJ1031" s="303"/>
      <c r="BK1031" s="303"/>
      <c r="BL1031" s="303"/>
      <c r="BM1031" s="303"/>
      <c r="BN1031" s="303"/>
      <c r="BO1031" s="303"/>
      <c r="BP1031" s="303"/>
      <c r="BQ1031" s="303"/>
      <c r="BR1031" s="303"/>
      <c r="BS1031" s="303"/>
      <c r="BT1031" s="303"/>
      <c r="BU1031" s="303"/>
      <c r="BV1031" s="303"/>
      <c r="BW1031" s="303"/>
      <c r="BX1031" s="303"/>
      <c r="BY1031" s="303"/>
      <c r="BZ1031" s="303"/>
      <c r="CA1031" s="303"/>
    </row>
    <row r="1032" spans="51:79" ht="15" customHeight="1" x14ac:dyDescent="0.2">
      <c r="AY1032" s="303"/>
      <c r="AZ1032" s="303"/>
      <c r="BA1032" s="303"/>
      <c r="BB1032" s="303"/>
      <c r="BC1032" s="303"/>
      <c r="BD1032" s="303"/>
      <c r="BE1032" s="303"/>
      <c r="BF1032" s="303"/>
      <c r="BG1032" s="303"/>
      <c r="BH1032" s="303"/>
      <c r="BI1032" s="303"/>
      <c r="BJ1032" s="303"/>
      <c r="BK1032" s="303"/>
      <c r="BL1032" s="303"/>
      <c r="BM1032" s="303"/>
      <c r="BN1032" s="303"/>
      <c r="BO1032" s="303"/>
      <c r="BP1032" s="303"/>
      <c r="BQ1032" s="303"/>
      <c r="BR1032" s="303"/>
      <c r="BS1032" s="303"/>
      <c r="BT1032" s="303"/>
      <c r="BU1032" s="303"/>
      <c r="BV1032" s="303"/>
      <c r="BW1032" s="303"/>
      <c r="BX1032" s="303"/>
      <c r="BY1032" s="303"/>
      <c r="BZ1032" s="303"/>
      <c r="CA1032" s="303"/>
    </row>
    <row r="1033" spans="51:79" ht="15" customHeight="1" x14ac:dyDescent="0.2">
      <c r="AY1033" s="303"/>
      <c r="AZ1033" s="303"/>
      <c r="BA1033" s="303"/>
      <c r="BB1033" s="303"/>
      <c r="BC1033" s="303"/>
      <c r="BD1033" s="303"/>
      <c r="BE1033" s="303"/>
      <c r="BF1033" s="303"/>
      <c r="BG1033" s="303"/>
      <c r="BH1033" s="303"/>
      <c r="BI1033" s="303"/>
      <c r="BJ1033" s="303"/>
      <c r="BK1033" s="303"/>
      <c r="BL1033" s="303"/>
      <c r="BM1033" s="303"/>
      <c r="BN1033" s="303"/>
      <c r="BO1033" s="303"/>
      <c r="BP1033" s="303"/>
      <c r="BQ1033" s="303"/>
      <c r="BR1033" s="303"/>
      <c r="BS1033" s="303"/>
      <c r="BT1033" s="303"/>
      <c r="BU1033" s="303"/>
      <c r="BV1033" s="303"/>
      <c r="BW1033" s="303"/>
      <c r="BX1033" s="303"/>
      <c r="BY1033" s="303"/>
      <c r="BZ1033" s="303"/>
      <c r="CA1033" s="303"/>
    </row>
    <row r="1034" spans="51:79" ht="15" customHeight="1" x14ac:dyDescent="0.2">
      <c r="AY1034" s="303"/>
      <c r="AZ1034" s="303"/>
      <c r="BA1034" s="303"/>
      <c r="BB1034" s="303"/>
      <c r="BC1034" s="303"/>
      <c r="BD1034" s="303"/>
      <c r="BE1034" s="303"/>
      <c r="BF1034" s="303"/>
      <c r="BG1034" s="303"/>
      <c r="BH1034" s="303"/>
      <c r="BI1034" s="303"/>
      <c r="BJ1034" s="303"/>
      <c r="BK1034" s="303"/>
      <c r="BL1034" s="303"/>
      <c r="BM1034" s="303"/>
      <c r="BN1034" s="303"/>
      <c r="BO1034" s="303"/>
      <c r="BP1034" s="303"/>
      <c r="BQ1034" s="303"/>
      <c r="BR1034" s="303"/>
      <c r="BS1034" s="303"/>
      <c r="BT1034" s="303"/>
      <c r="BU1034" s="303"/>
      <c r="BV1034" s="303"/>
      <c r="BW1034" s="303"/>
      <c r="BX1034" s="303"/>
      <c r="BY1034" s="303"/>
      <c r="BZ1034" s="303"/>
      <c r="CA1034" s="303"/>
    </row>
    <row r="1035" spans="51:79" ht="15" customHeight="1" x14ac:dyDescent="0.2">
      <c r="AY1035" s="303"/>
      <c r="AZ1035" s="303"/>
      <c r="BA1035" s="303"/>
      <c r="BB1035" s="303"/>
      <c r="BC1035" s="303"/>
      <c r="BD1035" s="303"/>
      <c r="BE1035" s="303"/>
      <c r="BF1035" s="303"/>
      <c r="BG1035" s="303"/>
      <c r="BH1035" s="303"/>
      <c r="BI1035" s="303"/>
      <c r="BJ1035" s="303"/>
      <c r="BK1035" s="303"/>
      <c r="BL1035" s="303"/>
      <c r="BM1035" s="303"/>
      <c r="BN1035" s="303"/>
      <c r="BO1035" s="303"/>
      <c r="BP1035" s="303"/>
      <c r="BQ1035" s="303"/>
      <c r="BR1035" s="303"/>
      <c r="BS1035" s="303"/>
      <c r="BT1035" s="303"/>
      <c r="BU1035" s="303"/>
      <c r="BV1035" s="303"/>
      <c r="BW1035" s="303"/>
      <c r="BX1035" s="303"/>
      <c r="BY1035" s="303"/>
      <c r="BZ1035" s="303"/>
      <c r="CA1035" s="303"/>
    </row>
    <row r="1036" spans="51:79" ht="15" customHeight="1" x14ac:dyDescent="0.2">
      <c r="AY1036" s="303"/>
      <c r="AZ1036" s="303"/>
      <c r="BA1036" s="303"/>
      <c r="BB1036" s="303"/>
      <c r="BC1036" s="303"/>
      <c r="BD1036" s="303"/>
      <c r="BE1036" s="303"/>
      <c r="BF1036" s="303"/>
      <c r="BG1036" s="303"/>
      <c r="BH1036" s="303"/>
      <c r="BI1036" s="303"/>
      <c r="BJ1036" s="303"/>
      <c r="BK1036" s="303"/>
      <c r="BL1036" s="303"/>
      <c r="BM1036" s="303"/>
      <c r="BN1036" s="303"/>
      <c r="BO1036" s="303"/>
      <c r="BP1036" s="303"/>
      <c r="BQ1036" s="303"/>
      <c r="BR1036" s="303"/>
      <c r="BS1036" s="303"/>
      <c r="BT1036" s="303"/>
      <c r="BU1036" s="303"/>
      <c r="BV1036" s="303"/>
      <c r="BW1036" s="303"/>
      <c r="BX1036" s="303"/>
      <c r="BY1036" s="303"/>
      <c r="BZ1036" s="303"/>
      <c r="CA1036" s="303"/>
    </row>
    <row r="1037" spans="51:79" ht="15" customHeight="1" x14ac:dyDescent="0.2">
      <c r="AY1037" s="303"/>
      <c r="AZ1037" s="303"/>
      <c r="BA1037" s="303"/>
      <c r="BB1037" s="303"/>
      <c r="BC1037" s="303"/>
      <c r="BD1037" s="303"/>
      <c r="BE1037" s="303"/>
      <c r="BF1037" s="303"/>
      <c r="BG1037" s="303"/>
      <c r="BH1037" s="303"/>
      <c r="BI1037" s="303"/>
      <c r="BJ1037" s="303"/>
      <c r="BK1037" s="303"/>
      <c r="BL1037" s="303"/>
      <c r="BM1037" s="303"/>
      <c r="BN1037" s="303"/>
      <c r="BO1037" s="303"/>
      <c r="BP1037" s="303"/>
      <c r="BQ1037" s="303"/>
      <c r="BR1037" s="303"/>
      <c r="BS1037" s="303"/>
      <c r="BT1037" s="303"/>
      <c r="BU1037" s="303"/>
      <c r="BV1037" s="303"/>
      <c r="BW1037" s="303"/>
      <c r="BX1037" s="303"/>
      <c r="BY1037" s="303"/>
      <c r="BZ1037" s="303"/>
      <c r="CA1037" s="303"/>
    </row>
    <row r="1038" spans="51:79" ht="15" customHeight="1" x14ac:dyDescent="0.2">
      <c r="AY1038" s="303"/>
      <c r="AZ1038" s="303"/>
      <c r="BA1038" s="303"/>
      <c r="BB1038" s="303"/>
      <c r="BC1038" s="303"/>
      <c r="BD1038" s="303"/>
      <c r="BE1038" s="303"/>
      <c r="BF1038" s="303"/>
      <c r="BG1038" s="303"/>
      <c r="BH1038" s="303"/>
      <c r="BI1038" s="303"/>
      <c r="BJ1038" s="303"/>
      <c r="BK1038" s="303"/>
      <c r="BL1038" s="303"/>
      <c r="BM1038" s="303"/>
      <c r="BN1038" s="303"/>
      <c r="BO1038" s="303"/>
      <c r="BP1038" s="303"/>
      <c r="BQ1038" s="303"/>
      <c r="BR1038" s="303"/>
      <c r="BS1038" s="303"/>
      <c r="BT1038" s="303"/>
      <c r="BU1038" s="303"/>
      <c r="BV1038" s="303"/>
      <c r="BW1038" s="303"/>
      <c r="BX1038" s="303"/>
      <c r="BY1038" s="303"/>
      <c r="BZ1038" s="303"/>
      <c r="CA1038" s="303"/>
    </row>
    <row r="1039" spans="51:79" ht="15" customHeight="1" x14ac:dyDescent="0.2">
      <c r="AY1039" s="303"/>
      <c r="AZ1039" s="303"/>
      <c r="BA1039" s="303"/>
      <c r="BB1039" s="303"/>
      <c r="BC1039" s="303"/>
      <c r="BD1039" s="303"/>
      <c r="BE1039" s="303"/>
      <c r="BF1039" s="303"/>
      <c r="BG1039" s="303"/>
      <c r="BH1039" s="303"/>
      <c r="BI1039" s="303"/>
      <c r="BJ1039" s="303"/>
      <c r="BK1039" s="303"/>
      <c r="BL1039" s="303"/>
      <c r="BM1039" s="303"/>
      <c r="BN1039" s="303"/>
      <c r="BO1039" s="303"/>
      <c r="BP1039" s="303"/>
      <c r="BQ1039" s="303"/>
      <c r="BR1039" s="303"/>
      <c r="BS1039" s="303"/>
      <c r="BT1039" s="303"/>
      <c r="BU1039" s="303"/>
      <c r="BV1039" s="303"/>
      <c r="BW1039" s="303"/>
      <c r="BX1039" s="303"/>
      <c r="BY1039" s="303"/>
      <c r="BZ1039" s="303"/>
      <c r="CA1039" s="303"/>
    </row>
    <row r="1040" spans="51:79" ht="15" customHeight="1" x14ac:dyDescent="0.2">
      <c r="AY1040" s="303"/>
      <c r="AZ1040" s="303"/>
      <c r="BA1040" s="303"/>
      <c r="BB1040" s="303"/>
      <c r="BC1040" s="303"/>
      <c r="BD1040" s="303"/>
      <c r="BE1040" s="303"/>
      <c r="BF1040" s="303"/>
      <c r="BG1040" s="303"/>
      <c r="BH1040" s="303"/>
      <c r="BI1040" s="303"/>
      <c r="BJ1040" s="303"/>
      <c r="BK1040" s="303"/>
      <c r="BL1040" s="303"/>
      <c r="BM1040" s="303"/>
      <c r="BN1040" s="303"/>
      <c r="BO1040" s="303"/>
      <c r="BP1040" s="303"/>
      <c r="BQ1040" s="303"/>
      <c r="BR1040" s="303"/>
      <c r="BS1040" s="303"/>
      <c r="BT1040" s="303"/>
      <c r="BU1040" s="303"/>
      <c r="BV1040" s="303"/>
      <c r="BW1040" s="303"/>
      <c r="BX1040" s="303"/>
      <c r="BY1040" s="303"/>
      <c r="BZ1040" s="303"/>
      <c r="CA1040" s="303"/>
    </row>
    <row r="1041" spans="51:79" ht="15" customHeight="1" x14ac:dyDescent="0.2">
      <c r="AY1041" s="303"/>
      <c r="AZ1041" s="303"/>
      <c r="BA1041" s="303"/>
      <c r="BB1041" s="303"/>
      <c r="BC1041" s="303"/>
      <c r="BD1041" s="303"/>
      <c r="BE1041" s="303"/>
      <c r="BF1041" s="303"/>
      <c r="BG1041" s="303"/>
      <c r="BH1041" s="303"/>
      <c r="BI1041" s="303"/>
      <c r="BJ1041" s="303"/>
      <c r="BK1041" s="303"/>
      <c r="BL1041" s="303"/>
      <c r="BM1041" s="303"/>
      <c r="BN1041" s="303"/>
      <c r="BO1041" s="303"/>
      <c r="BP1041" s="303"/>
      <c r="BQ1041" s="303"/>
      <c r="BR1041" s="303"/>
      <c r="BS1041" s="303"/>
      <c r="BT1041" s="303"/>
      <c r="BU1041" s="303"/>
      <c r="BV1041" s="303"/>
      <c r="BW1041" s="303"/>
      <c r="BX1041" s="303"/>
      <c r="BY1041" s="303"/>
      <c r="BZ1041" s="303"/>
      <c r="CA1041" s="303"/>
    </row>
    <row r="1042" spans="51:79" ht="15" customHeight="1" x14ac:dyDescent="0.2">
      <c r="AY1042" s="303"/>
      <c r="AZ1042" s="303"/>
      <c r="BA1042" s="303"/>
      <c r="BB1042" s="303"/>
      <c r="BC1042" s="303"/>
      <c r="BD1042" s="303"/>
      <c r="BE1042" s="303"/>
      <c r="BF1042" s="303"/>
      <c r="BG1042" s="303"/>
      <c r="BH1042" s="303"/>
      <c r="BI1042" s="303"/>
      <c r="BJ1042" s="303"/>
      <c r="BK1042" s="303"/>
      <c r="BL1042" s="303"/>
      <c r="BM1042" s="303"/>
      <c r="BN1042" s="303"/>
      <c r="BO1042" s="303"/>
      <c r="BP1042" s="303"/>
      <c r="BQ1042" s="303"/>
      <c r="BR1042" s="303"/>
      <c r="BS1042" s="303"/>
      <c r="BT1042" s="303"/>
      <c r="BU1042" s="303"/>
      <c r="BV1042" s="303"/>
      <c r="BW1042" s="303"/>
      <c r="BX1042" s="303"/>
      <c r="BY1042" s="303"/>
      <c r="BZ1042" s="303"/>
      <c r="CA1042" s="303"/>
    </row>
    <row r="1043" spans="51:79" ht="15" customHeight="1" x14ac:dyDescent="0.2">
      <c r="AY1043" s="303"/>
      <c r="AZ1043" s="303"/>
      <c r="BA1043" s="303"/>
      <c r="BB1043" s="303"/>
      <c r="BC1043" s="303"/>
      <c r="BD1043" s="303"/>
      <c r="BE1043" s="303"/>
      <c r="BF1043" s="303"/>
      <c r="BG1043" s="303"/>
      <c r="BH1043" s="303"/>
      <c r="BI1043" s="303"/>
      <c r="BJ1043" s="303"/>
      <c r="BK1043" s="303"/>
      <c r="BL1043" s="303"/>
      <c r="BM1043" s="303"/>
      <c r="BN1043" s="303"/>
      <c r="BO1043" s="303"/>
      <c r="BP1043" s="303"/>
      <c r="BQ1043" s="303"/>
      <c r="BR1043" s="303"/>
      <c r="BS1043" s="303"/>
      <c r="BT1043" s="303"/>
      <c r="BU1043" s="303"/>
      <c r="BV1043" s="303"/>
      <c r="BW1043" s="303"/>
      <c r="BX1043" s="303"/>
      <c r="BY1043" s="303"/>
      <c r="BZ1043" s="303"/>
      <c r="CA1043" s="303"/>
    </row>
    <row r="1044" spans="51:79" ht="15" customHeight="1" x14ac:dyDescent="0.2">
      <c r="AY1044" s="303"/>
      <c r="AZ1044" s="303"/>
      <c r="BA1044" s="303"/>
      <c r="BB1044" s="303"/>
      <c r="BC1044" s="303"/>
      <c r="BD1044" s="303"/>
      <c r="BE1044" s="303"/>
      <c r="BF1044" s="303"/>
      <c r="BG1044" s="303"/>
      <c r="BH1044" s="303"/>
      <c r="BI1044" s="303"/>
      <c r="BJ1044" s="303"/>
      <c r="BK1044" s="303"/>
      <c r="BL1044" s="303"/>
      <c r="BM1044" s="303"/>
      <c r="BN1044" s="303"/>
      <c r="BO1044" s="303"/>
      <c r="BP1044" s="303"/>
      <c r="BQ1044" s="303"/>
      <c r="BR1044" s="303"/>
      <c r="BS1044" s="303"/>
      <c r="BT1044" s="303"/>
      <c r="BU1044" s="303"/>
      <c r="BV1044" s="303"/>
      <c r="BW1044" s="303"/>
      <c r="BX1044" s="303"/>
      <c r="BY1044" s="303"/>
      <c r="BZ1044" s="303"/>
      <c r="CA1044" s="303"/>
    </row>
    <row r="1045" spans="51:79" ht="15" customHeight="1" x14ac:dyDescent="0.2">
      <c r="AY1045" s="303"/>
      <c r="AZ1045" s="303"/>
      <c r="BA1045" s="303"/>
      <c r="BB1045" s="303"/>
      <c r="BC1045" s="303"/>
      <c r="BD1045" s="303"/>
      <c r="BE1045" s="303"/>
      <c r="BF1045" s="303"/>
      <c r="BG1045" s="303"/>
      <c r="BH1045" s="303"/>
      <c r="BI1045" s="303"/>
      <c r="BJ1045" s="303"/>
      <c r="BK1045" s="303"/>
      <c r="BL1045" s="303"/>
      <c r="BM1045" s="303"/>
      <c r="BN1045" s="303"/>
      <c r="BO1045" s="303"/>
      <c r="BP1045" s="303"/>
      <c r="BQ1045" s="303"/>
      <c r="BR1045" s="303"/>
      <c r="BS1045" s="303"/>
      <c r="BT1045" s="303"/>
      <c r="BU1045" s="303"/>
      <c r="BV1045" s="303"/>
      <c r="BW1045" s="303"/>
      <c r="BX1045" s="303"/>
      <c r="BY1045" s="303"/>
      <c r="BZ1045" s="303"/>
      <c r="CA1045" s="303"/>
    </row>
    <row r="1046" spans="51:79" ht="15" customHeight="1" x14ac:dyDescent="0.2">
      <c r="AY1046" s="303"/>
      <c r="AZ1046" s="303"/>
      <c r="BA1046" s="303"/>
      <c r="BB1046" s="303"/>
      <c r="BC1046" s="303"/>
      <c r="BD1046" s="303"/>
      <c r="BE1046" s="303"/>
      <c r="BF1046" s="303"/>
      <c r="BG1046" s="303"/>
      <c r="BH1046" s="303"/>
      <c r="BI1046" s="303"/>
      <c r="BJ1046" s="303"/>
      <c r="BK1046" s="303"/>
      <c r="BL1046" s="303"/>
      <c r="BM1046" s="303"/>
      <c r="BN1046" s="303"/>
      <c r="BO1046" s="303"/>
      <c r="BP1046" s="303"/>
      <c r="BQ1046" s="303"/>
      <c r="BR1046" s="303"/>
      <c r="BS1046" s="303"/>
      <c r="BT1046" s="303"/>
      <c r="BU1046" s="303"/>
      <c r="BV1046" s="303"/>
      <c r="BW1046" s="303"/>
      <c r="BX1046" s="303"/>
      <c r="BY1046" s="303"/>
      <c r="BZ1046" s="303"/>
      <c r="CA1046" s="303"/>
    </row>
    <row r="1047" spans="51:79" ht="15" customHeight="1" x14ac:dyDescent="0.2">
      <c r="AY1047" s="303"/>
      <c r="AZ1047" s="303"/>
      <c r="BA1047" s="303"/>
      <c r="BB1047" s="303"/>
      <c r="BC1047" s="303"/>
      <c r="BD1047" s="303"/>
      <c r="BE1047" s="303"/>
      <c r="BF1047" s="303"/>
      <c r="BG1047" s="303"/>
      <c r="BH1047" s="303"/>
      <c r="BI1047" s="303"/>
      <c r="BJ1047" s="303"/>
      <c r="BK1047" s="303"/>
      <c r="BL1047" s="303"/>
      <c r="BM1047" s="303"/>
      <c r="BN1047" s="303"/>
      <c r="BO1047" s="303"/>
      <c r="BP1047" s="303"/>
      <c r="BQ1047" s="303"/>
      <c r="BR1047" s="303"/>
      <c r="BS1047" s="303"/>
      <c r="BT1047" s="303"/>
      <c r="BU1047" s="303"/>
      <c r="BV1047" s="303"/>
      <c r="BW1047" s="303"/>
      <c r="BX1047" s="303"/>
      <c r="BY1047" s="303"/>
      <c r="BZ1047" s="303"/>
      <c r="CA1047" s="303"/>
    </row>
    <row r="1048" spans="51:79" ht="15" customHeight="1" x14ac:dyDescent="0.2">
      <c r="AY1048" s="303"/>
      <c r="AZ1048" s="303"/>
      <c r="BA1048" s="303"/>
      <c r="BB1048" s="303"/>
      <c r="BC1048" s="303"/>
      <c r="BD1048" s="303"/>
      <c r="BE1048" s="303"/>
      <c r="BF1048" s="303"/>
      <c r="BG1048" s="303"/>
      <c r="BH1048" s="303"/>
      <c r="BI1048" s="303"/>
      <c r="BJ1048" s="303"/>
      <c r="BK1048" s="303"/>
      <c r="BL1048" s="303"/>
      <c r="BM1048" s="303"/>
      <c r="BN1048" s="303"/>
      <c r="BO1048" s="303"/>
      <c r="BP1048" s="303"/>
      <c r="BQ1048" s="303"/>
      <c r="BR1048" s="303"/>
      <c r="BS1048" s="303"/>
      <c r="BT1048" s="303"/>
      <c r="BU1048" s="303"/>
      <c r="BV1048" s="303"/>
      <c r="BW1048" s="303"/>
      <c r="BX1048" s="303"/>
      <c r="BY1048" s="303"/>
      <c r="BZ1048" s="303"/>
      <c r="CA1048" s="303"/>
    </row>
    <row r="1049" spans="51:79" ht="15" customHeight="1" x14ac:dyDescent="0.2">
      <c r="AY1049" s="303"/>
      <c r="AZ1049" s="303"/>
      <c r="BA1049" s="303"/>
      <c r="BB1049" s="303"/>
      <c r="BC1049" s="303"/>
      <c r="BD1049" s="303"/>
      <c r="BE1049" s="303"/>
      <c r="BF1049" s="303"/>
      <c r="BG1049" s="303"/>
      <c r="BH1049" s="303"/>
      <c r="BI1049" s="303"/>
      <c r="BJ1049" s="303"/>
      <c r="BK1049" s="303"/>
      <c r="BL1049" s="303"/>
      <c r="BM1049" s="303"/>
      <c r="BN1049" s="303"/>
      <c r="BO1049" s="303"/>
      <c r="BP1049" s="303"/>
      <c r="BQ1049" s="303"/>
      <c r="BR1049" s="303"/>
      <c r="BS1049" s="303"/>
      <c r="BT1049" s="303"/>
      <c r="BU1049" s="303"/>
      <c r="BV1049" s="303"/>
      <c r="BW1049" s="303"/>
      <c r="BX1049" s="303"/>
      <c r="BY1049" s="303"/>
      <c r="BZ1049" s="303"/>
      <c r="CA1049" s="303"/>
    </row>
    <row r="1050" spans="51:79" ht="15" customHeight="1" x14ac:dyDescent="0.2">
      <c r="AY1050" s="303"/>
      <c r="AZ1050" s="303"/>
      <c r="BA1050" s="303"/>
      <c r="BB1050" s="303"/>
      <c r="BC1050" s="303"/>
      <c r="BD1050" s="303"/>
      <c r="BE1050" s="303"/>
      <c r="BF1050" s="303"/>
      <c r="BG1050" s="303"/>
      <c r="BH1050" s="303"/>
      <c r="BI1050" s="303"/>
      <c r="BJ1050" s="303"/>
      <c r="BK1050" s="303"/>
      <c r="BL1050" s="303"/>
      <c r="BM1050" s="303"/>
      <c r="BN1050" s="303"/>
      <c r="BO1050" s="303"/>
      <c r="BP1050" s="303"/>
      <c r="BQ1050" s="303"/>
      <c r="BR1050" s="303"/>
      <c r="BS1050" s="303"/>
      <c r="BT1050" s="303"/>
      <c r="BU1050" s="303"/>
      <c r="BV1050" s="303"/>
      <c r="BW1050" s="303"/>
      <c r="BX1050" s="303"/>
      <c r="BY1050" s="303"/>
      <c r="BZ1050" s="303"/>
      <c r="CA1050" s="303"/>
    </row>
    <row r="1051" spans="51:79" ht="15" customHeight="1" x14ac:dyDescent="0.2">
      <c r="AY1051" s="303"/>
      <c r="AZ1051" s="303"/>
      <c r="BA1051" s="303"/>
      <c r="BB1051" s="303"/>
      <c r="BC1051" s="303"/>
      <c r="BD1051" s="303"/>
      <c r="BE1051" s="303"/>
      <c r="BF1051" s="303"/>
      <c r="BG1051" s="303"/>
      <c r="BH1051" s="303"/>
      <c r="BI1051" s="303"/>
      <c r="BJ1051" s="303"/>
      <c r="BK1051" s="303"/>
      <c r="BL1051" s="303"/>
      <c r="BM1051" s="303"/>
      <c r="BN1051" s="303"/>
      <c r="BO1051" s="303"/>
      <c r="BP1051" s="303"/>
      <c r="BQ1051" s="303"/>
      <c r="BR1051" s="303"/>
      <c r="BS1051" s="303"/>
      <c r="BT1051" s="303"/>
      <c r="BU1051" s="303"/>
      <c r="BV1051" s="303"/>
      <c r="BW1051" s="303"/>
      <c r="BX1051" s="303"/>
      <c r="BY1051" s="303"/>
      <c r="BZ1051" s="303"/>
      <c r="CA1051" s="303"/>
    </row>
    <row r="1052" spans="51:79" ht="15" customHeight="1" x14ac:dyDescent="0.2">
      <c r="AY1052" s="303"/>
      <c r="AZ1052" s="303"/>
      <c r="BA1052" s="303"/>
      <c r="BB1052" s="303"/>
      <c r="BC1052" s="303"/>
      <c r="BD1052" s="303"/>
      <c r="BE1052" s="303"/>
      <c r="BF1052" s="303"/>
      <c r="BG1052" s="303"/>
      <c r="BH1052" s="303"/>
      <c r="BI1052" s="303"/>
      <c r="BJ1052" s="303"/>
      <c r="BK1052" s="303"/>
      <c r="BL1052" s="303"/>
      <c r="BM1052" s="303"/>
      <c r="BN1052" s="303"/>
      <c r="BO1052" s="303"/>
      <c r="BP1052" s="303"/>
      <c r="BQ1052" s="303"/>
      <c r="BR1052" s="303"/>
      <c r="BS1052" s="303"/>
      <c r="BT1052" s="303"/>
      <c r="BU1052" s="303"/>
      <c r="BV1052" s="303"/>
      <c r="BW1052" s="303"/>
      <c r="BX1052" s="303"/>
      <c r="BY1052" s="303"/>
      <c r="BZ1052" s="303"/>
      <c r="CA1052" s="303"/>
    </row>
    <row r="1053" spans="51:79" ht="15" customHeight="1" x14ac:dyDescent="0.2">
      <c r="AY1053" s="303"/>
      <c r="AZ1053" s="303"/>
      <c r="BA1053" s="303"/>
      <c r="BB1053" s="303"/>
      <c r="BC1053" s="303"/>
      <c r="BD1053" s="303"/>
      <c r="BE1053" s="303"/>
      <c r="BF1053" s="303"/>
      <c r="BG1053" s="303"/>
      <c r="BH1053" s="303"/>
      <c r="BI1053" s="303"/>
      <c r="BJ1053" s="303"/>
      <c r="BK1053" s="303"/>
      <c r="BL1053" s="303"/>
      <c r="BM1053" s="303"/>
      <c r="BN1053" s="303"/>
      <c r="BO1053" s="303"/>
      <c r="BP1053" s="303"/>
      <c r="BQ1053" s="303"/>
      <c r="BR1053" s="303"/>
      <c r="BS1053" s="303"/>
      <c r="BT1053" s="303"/>
      <c r="BU1053" s="303"/>
      <c r="BV1053" s="303"/>
      <c r="BW1053" s="303"/>
      <c r="BX1053" s="303"/>
      <c r="BY1053" s="303"/>
      <c r="BZ1053" s="303"/>
      <c r="CA1053" s="303"/>
    </row>
    <row r="1054" spans="51:79" ht="15" customHeight="1" x14ac:dyDescent="0.2">
      <c r="AY1054" s="303"/>
      <c r="AZ1054" s="303"/>
      <c r="BA1054" s="303"/>
      <c r="BB1054" s="303"/>
      <c r="BC1054" s="303"/>
      <c r="BD1054" s="303"/>
      <c r="BE1054" s="303"/>
      <c r="BF1054" s="303"/>
      <c r="BG1054" s="303"/>
      <c r="BH1054" s="303"/>
      <c r="BI1054" s="303"/>
      <c r="BJ1054" s="303"/>
      <c r="BK1054" s="303"/>
      <c r="BL1054" s="303"/>
      <c r="BM1054" s="303"/>
      <c r="BN1054" s="303"/>
      <c r="BO1054" s="303"/>
      <c r="BP1054" s="303"/>
      <c r="BQ1054" s="303"/>
      <c r="BR1054" s="303"/>
      <c r="BS1054" s="303"/>
      <c r="BT1054" s="303"/>
      <c r="BU1054" s="303"/>
      <c r="BV1054" s="303"/>
      <c r="BW1054" s="303"/>
      <c r="BX1054" s="303"/>
      <c r="BY1054" s="303"/>
      <c r="BZ1054" s="303"/>
      <c r="CA1054" s="303"/>
    </row>
    <row r="1055" spans="51:79" ht="15" customHeight="1" x14ac:dyDescent="0.2">
      <c r="AY1055" s="303"/>
      <c r="AZ1055" s="303"/>
      <c r="BA1055" s="303"/>
      <c r="BB1055" s="303"/>
      <c r="BC1055" s="303"/>
      <c r="BD1055" s="303"/>
      <c r="BE1055" s="303"/>
      <c r="BF1055" s="303"/>
      <c r="BG1055" s="303"/>
      <c r="BH1055" s="303"/>
      <c r="BI1055" s="303"/>
      <c r="BJ1055" s="303"/>
      <c r="BK1055" s="303"/>
      <c r="BL1055" s="303"/>
      <c r="BM1055" s="303"/>
      <c r="BN1055" s="303"/>
      <c r="BO1055" s="303"/>
      <c r="BP1055" s="303"/>
      <c r="BQ1055" s="303"/>
      <c r="BR1055" s="303"/>
      <c r="BS1055" s="303"/>
      <c r="BT1055" s="303"/>
      <c r="BU1055" s="303"/>
      <c r="BV1055" s="303"/>
      <c r="BW1055" s="303"/>
      <c r="BX1055" s="303"/>
      <c r="BY1055" s="303"/>
      <c r="BZ1055" s="303"/>
      <c r="CA1055" s="303"/>
    </row>
    <row r="1056" spans="51:79" ht="15" customHeight="1" x14ac:dyDescent="0.2">
      <c r="AY1056" s="303"/>
      <c r="AZ1056" s="303"/>
      <c r="BA1056" s="303"/>
      <c r="BB1056" s="303"/>
      <c r="BC1056" s="303"/>
      <c r="BD1056" s="303"/>
      <c r="BE1056" s="303"/>
      <c r="BF1056" s="303"/>
      <c r="BG1056" s="303"/>
      <c r="BH1056" s="303"/>
      <c r="BI1056" s="303"/>
      <c r="BJ1056" s="303"/>
      <c r="BK1056" s="303"/>
      <c r="BL1056" s="303"/>
      <c r="BM1056" s="303"/>
      <c r="BN1056" s="303"/>
      <c r="BO1056" s="303"/>
      <c r="BP1056" s="303"/>
      <c r="BQ1056" s="303"/>
      <c r="BR1056" s="303"/>
      <c r="BS1056" s="303"/>
      <c r="BT1056" s="303"/>
      <c r="BU1056" s="303"/>
      <c r="BV1056" s="303"/>
      <c r="BW1056" s="303"/>
      <c r="BX1056" s="303"/>
      <c r="BY1056" s="303"/>
      <c r="BZ1056" s="303"/>
      <c r="CA1056" s="303"/>
    </row>
    <row r="1057" spans="51:79" ht="15" customHeight="1" x14ac:dyDescent="0.2">
      <c r="AY1057" s="303"/>
      <c r="AZ1057" s="303"/>
      <c r="BA1057" s="303"/>
      <c r="BB1057" s="303"/>
      <c r="BC1057" s="303"/>
      <c r="BD1057" s="303"/>
      <c r="BE1057" s="303"/>
      <c r="BF1057" s="303"/>
      <c r="BG1057" s="303"/>
      <c r="BH1057" s="303"/>
      <c r="BI1057" s="303"/>
      <c r="BJ1057" s="303"/>
      <c r="BK1057" s="303"/>
      <c r="BL1057" s="303"/>
      <c r="BM1057" s="303"/>
      <c r="BN1057" s="303"/>
      <c r="BO1057" s="303"/>
      <c r="BP1057" s="303"/>
      <c r="BQ1057" s="303"/>
      <c r="BR1057" s="303"/>
      <c r="BS1057" s="303"/>
      <c r="BT1057" s="303"/>
      <c r="BU1057" s="303"/>
      <c r="BV1057" s="303"/>
      <c r="BW1057" s="303"/>
      <c r="BX1057" s="303"/>
      <c r="BY1057" s="303"/>
      <c r="BZ1057" s="303"/>
      <c r="CA1057" s="303"/>
    </row>
    <row r="1058" spans="51:79" ht="15" customHeight="1" x14ac:dyDescent="0.2">
      <c r="AY1058" s="303"/>
      <c r="AZ1058" s="303"/>
      <c r="BA1058" s="303"/>
      <c r="BB1058" s="303"/>
      <c r="BC1058" s="303"/>
      <c r="BD1058" s="303"/>
      <c r="BE1058" s="303"/>
      <c r="BF1058" s="303"/>
      <c r="BG1058" s="303"/>
      <c r="BH1058" s="303"/>
      <c r="BI1058" s="303"/>
      <c r="BJ1058" s="303"/>
      <c r="BK1058" s="303"/>
      <c r="BL1058" s="303"/>
      <c r="BM1058" s="303"/>
      <c r="BN1058" s="303"/>
      <c r="BO1058" s="303"/>
      <c r="BP1058" s="303"/>
      <c r="BQ1058" s="303"/>
      <c r="BR1058" s="303"/>
      <c r="BS1058" s="303"/>
      <c r="BT1058" s="303"/>
      <c r="BU1058" s="303"/>
      <c r="BV1058" s="303"/>
      <c r="BW1058" s="303"/>
      <c r="BX1058" s="303"/>
      <c r="BY1058" s="303"/>
      <c r="BZ1058" s="303"/>
      <c r="CA1058" s="303"/>
    </row>
    <row r="1059" spans="51:79" ht="15" customHeight="1" x14ac:dyDescent="0.2">
      <c r="AY1059" s="303"/>
      <c r="AZ1059" s="303"/>
      <c r="BA1059" s="303"/>
      <c r="BB1059" s="303"/>
      <c r="BC1059" s="303"/>
      <c r="BD1059" s="303"/>
      <c r="BE1059" s="303"/>
      <c r="BF1059" s="303"/>
      <c r="BG1059" s="303"/>
      <c r="BH1059" s="303"/>
      <c r="BI1059" s="303"/>
      <c r="BJ1059" s="303"/>
      <c r="BK1059" s="303"/>
      <c r="BL1059" s="303"/>
      <c r="BM1059" s="303"/>
      <c r="BN1059" s="303"/>
      <c r="BO1059" s="303"/>
      <c r="BP1059" s="303"/>
      <c r="BQ1059" s="303"/>
      <c r="BR1059" s="303"/>
      <c r="BS1059" s="303"/>
      <c r="BT1059" s="303"/>
      <c r="BU1059" s="303"/>
      <c r="BV1059" s="303"/>
      <c r="BW1059" s="303"/>
      <c r="BX1059" s="303"/>
      <c r="BY1059" s="303"/>
      <c r="BZ1059" s="303"/>
      <c r="CA1059" s="303"/>
    </row>
    <row r="1060" spans="51:79" ht="15" customHeight="1" x14ac:dyDescent="0.2">
      <c r="AY1060" s="303"/>
      <c r="AZ1060" s="303"/>
      <c r="BA1060" s="303"/>
      <c r="BB1060" s="303"/>
      <c r="BC1060" s="303"/>
      <c r="BD1060" s="303"/>
      <c r="BE1060" s="303"/>
      <c r="BF1060" s="303"/>
      <c r="BG1060" s="303"/>
      <c r="BH1060" s="303"/>
      <c r="BI1060" s="303"/>
      <c r="BJ1060" s="303"/>
      <c r="BK1060" s="303"/>
      <c r="BL1060" s="303"/>
      <c r="BM1060" s="303"/>
      <c r="BN1060" s="303"/>
      <c r="BO1060" s="303"/>
      <c r="BP1060" s="303"/>
      <c r="BQ1060" s="303"/>
      <c r="BR1060" s="303"/>
      <c r="BS1060" s="303"/>
      <c r="BT1060" s="303"/>
      <c r="BU1060" s="303"/>
      <c r="BV1060" s="303"/>
      <c r="BW1060" s="303"/>
      <c r="BX1060" s="303"/>
      <c r="BY1060" s="303"/>
      <c r="BZ1060" s="303"/>
      <c r="CA1060" s="303"/>
    </row>
    <row r="1061" spans="51:79" ht="15" customHeight="1" x14ac:dyDescent="0.2">
      <c r="AY1061" s="303"/>
      <c r="AZ1061" s="303"/>
      <c r="BA1061" s="303"/>
      <c r="BB1061" s="303"/>
      <c r="BC1061" s="303"/>
      <c r="BD1061" s="303"/>
      <c r="BE1061" s="303"/>
      <c r="BF1061" s="303"/>
      <c r="BG1061" s="303"/>
      <c r="BH1061" s="303"/>
      <c r="BI1061" s="303"/>
      <c r="BJ1061" s="303"/>
      <c r="BK1061" s="303"/>
      <c r="BL1061" s="303"/>
      <c r="BM1061" s="303"/>
      <c r="BN1061" s="303"/>
      <c r="BO1061" s="303"/>
      <c r="BP1061" s="303"/>
      <c r="BQ1061" s="303"/>
      <c r="BR1061" s="303"/>
      <c r="BS1061" s="303"/>
      <c r="BT1061" s="303"/>
      <c r="BU1061" s="303"/>
      <c r="BV1061" s="303"/>
      <c r="BW1061" s="303"/>
      <c r="BX1061" s="303"/>
      <c r="BY1061" s="303"/>
      <c r="BZ1061" s="303"/>
      <c r="CA1061" s="303"/>
    </row>
    <row r="1062" spans="51:79" ht="15" customHeight="1" x14ac:dyDescent="0.2">
      <c r="AY1062" s="303"/>
      <c r="AZ1062" s="303"/>
      <c r="BA1062" s="303"/>
      <c r="BB1062" s="303"/>
      <c r="BC1062" s="303"/>
      <c r="BD1062" s="303"/>
      <c r="BE1062" s="303"/>
      <c r="BF1062" s="303"/>
      <c r="BG1062" s="303"/>
      <c r="BH1062" s="303"/>
      <c r="BI1062" s="303"/>
      <c r="BJ1062" s="303"/>
      <c r="BK1062" s="303"/>
      <c r="BL1062" s="303"/>
      <c r="BM1062" s="303"/>
      <c r="BN1062" s="303"/>
      <c r="BO1062" s="303"/>
      <c r="BP1062" s="303"/>
      <c r="BQ1062" s="303"/>
      <c r="BR1062" s="303"/>
      <c r="BS1062" s="303"/>
      <c r="BT1062" s="303"/>
      <c r="BU1062" s="303"/>
      <c r="BV1062" s="303"/>
      <c r="BW1062" s="303"/>
      <c r="BX1062" s="303"/>
      <c r="BY1062" s="303"/>
      <c r="BZ1062" s="303"/>
      <c r="CA1062" s="303"/>
    </row>
    <row r="1063" spans="51:79" ht="15" customHeight="1" x14ac:dyDescent="0.2">
      <c r="AY1063" s="303"/>
      <c r="AZ1063" s="303"/>
      <c r="BA1063" s="303"/>
      <c r="BB1063" s="303"/>
      <c r="BC1063" s="303"/>
      <c r="BD1063" s="303"/>
      <c r="BE1063" s="303"/>
      <c r="BF1063" s="303"/>
      <c r="BG1063" s="303"/>
      <c r="BH1063" s="303"/>
      <c r="BI1063" s="303"/>
      <c r="BJ1063" s="303"/>
      <c r="BK1063" s="303"/>
      <c r="BL1063" s="303"/>
      <c r="BM1063" s="303"/>
      <c r="BN1063" s="303"/>
      <c r="BO1063" s="303"/>
      <c r="BP1063" s="303"/>
      <c r="BQ1063" s="303"/>
      <c r="BR1063" s="303"/>
      <c r="BS1063" s="303"/>
      <c r="BT1063" s="303"/>
      <c r="BU1063" s="303"/>
      <c r="BV1063" s="303"/>
      <c r="BW1063" s="303"/>
      <c r="BX1063" s="303"/>
      <c r="BY1063" s="303"/>
      <c r="BZ1063" s="303"/>
      <c r="CA1063" s="303"/>
    </row>
    <row r="1064" spans="51:79" ht="15" customHeight="1" x14ac:dyDescent="0.2">
      <c r="AY1064" s="303"/>
      <c r="AZ1064" s="303"/>
      <c r="BA1064" s="303"/>
      <c r="BB1064" s="303"/>
      <c r="BC1064" s="303"/>
      <c r="BD1064" s="303"/>
      <c r="BE1064" s="303"/>
      <c r="BF1064" s="303"/>
      <c r="BG1064" s="303"/>
      <c r="BH1064" s="303"/>
      <c r="BI1064" s="303"/>
      <c r="BJ1064" s="303"/>
      <c r="BK1064" s="303"/>
      <c r="BL1064" s="303"/>
      <c r="BM1064" s="303"/>
      <c r="BN1064" s="303"/>
      <c r="BO1064" s="303"/>
      <c r="BP1064" s="303"/>
      <c r="BQ1064" s="303"/>
      <c r="BR1064" s="303"/>
      <c r="BS1064" s="303"/>
      <c r="BT1064" s="303"/>
      <c r="BU1064" s="303"/>
      <c r="BV1064" s="303"/>
      <c r="BW1064" s="303"/>
      <c r="BX1064" s="303"/>
      <c r="BY1064" s="303"/>
      <c r="BZ1064" s="303"/>
      <c r="CA1064" s="303"/>
    </row>
    <row r="1065" spans="51:79" ht="15" customHeight="1" x14ac:dyDescent="0.2">
      <c r="AY1065" s="303"/>
      <c r="AZ1065" s="303"/>
      <c r="BA1065" s="303"/>
      <c r="BB1065" s="303"/>
      <c r="BC1065" s="303"/>
      <c r="BD1065" s="303"/>
      <c r="BE1065" s="303"/>
      <c r="BF1065" s="303"/>
      <c r="BG1065" s="303"/>
      <c r="BH1065" s="303"/>
      <c r="BI1065" s="303"/>
      <c r="BJ1065" s="303"/>
      <c r="BK1065" s="303"/>
      <c r="BL1065" s="303"/>
      <c r="BM1065" s="303"/>
      <c r="BN1065" s="303"/>
      <c r="BO1065" s="303"/>
      <c r="BP1065" s="303"/>
      <c r="BQ1065" s="303"/>
      <c r="BR1065" s="303"/>
      <c r="BS1065" s="303"/>
      <c r="BT1065" s="303"/>
      <c r="BU1065" s="303"/>
      <c r="BV1065" s="303"/>
      <c r="BW1065" s="303"/>
      <c r="BX1065" s="303"/>
      <c r="BY1065" s="303"/>
      <c r="BZ1065" s="303"/>
      <c r="CA1065" s="303"/>
    </row>
    <row r="1066" spans="51:79" ht="15" customHeight="1" x14ac:dyDescent="0.2">
      <c r="AY1066" s="303"/>
      <c r="AZ1066" s="303"/>
      <c r="BA1066" s="303"/>
      <c r="BB1066" s="303"/>
      <c r="BC1066" s="303"/>
      <c r="BD1066" s="303"/>
      <c r="BE1066" s="303"/>
      <c r="BF1066" s="303"/>
      <c r="BG1066" s="303"/>
      <c r="BH1066" s="303"/>
      <c r="BI1066" s="303"/>
      <c r="BJ1066" s="303"/>
      <c r="BK1066" s="303"/>
      <c r="BL1066" s="303"/>
      <c r="BM1066" s="303"/>
      <c r="BN1066" s="303"/>
      <c r="BO1066" s="303"/>
      <c r="BP1066" s="303"/>
      <c r="BQ1066" s="303"/>
      <c r="BR1066" s="303"/>
      <c r="BS1066" s="303"/>
      <c r="BT1066" s="303"/>
      <c r="BU1066" s="303"/>
      <c r="BV1066" s="303"/>
      <c r="BW1066" s="303"/>
      <c r="BX1066" s="303"/>
      <c r="BY1066" s="303"/>
      <c r="BZ1066" s="303"/>
      <c r="CA1066" s="303"/>
    </row>
    <row r="1067" spans="51:79" ht="15" customHeight="1" x14ac:dyDescent="0.2">
      <c r="AY1067" s="303"/>
      <c r="AZ1067" s="303"/>
      <c r="BA1067" s="303"/>
      <c r="BB1067" s="303"/>
      <c r="BC1067" s="303"/>
      <c r="BD1067" s="303"/>
      <c r="BE1067" s="303"/>
      <c r="BF1067" s="303"/>
      <c r="BG1067" s="303"/>
      <c r="BH1067" s="303"/>
      <c r="BI1067" s="303"/>
      <c r="BJ1067" s="303"/>
      <c r="BK1067" s="303"/>
      <c r="BL1067" s="303"/>
      <c r="BM1067" s="303"/>
      <c r="BN1067" s="303"/>
      <c r="BO1067" s="303"/>
      <c r="BP1067" s="303"/>
      <c r="BQ1067" s="303"/>
      <c r="BR1067" s="303"/>
      <c r="BS1067" s="303"/>
      <c r="BT1067" s="303"/>
      <c r="BU1067" s="303"/>
      <c r="BV1067" s="303"/>
      <c r="BW1067" s="303"/>
      <c r="BX1067" s="303"/>
      <c r="BY1067" s="303"/>
      <c r="BZ1067" s="303"/>
      <c r="CA1067" s="303"/>
    </row>
    <row r="1068" spans="51:79" ht="15" customHeight="1" x14ac:dyDescent="0.2">
      <c r="AY1068" s="303"/>
      <c r="AZ1068" s="303"/>
      <c r="BA1068" s="303"/>
      <c r="BB1068" s="303"/>
      <c r="BC1068" s="303"/>
      <c r="BD1068" s="303"/>
      <c r="BE1068" s="303"/>
      <c r="BF1068" s="303"/>
      <c r="BG1068" s="303"/>
      <c r="BH1068" s="303"/>
      <c r="BI1068" s="303"/>
      <c r="BJ1068" s="303"/>
      <c r="BK1068" s="303"/>
      <c r="BL1068" s="303"/>
      <c r="BM1068" s="303"/>
      <c r="BN1068" s="303"/>
      <c r="BO1068" s="303"/>
      <c r="BP1068" s="303"/>
      <c r="BQ1068" s="303"/>
      <c r="BR1068" s="303"/>
      <c r="BS1068" s="303"/>
      <c r="BT1068" s="303"/>
      <c r="BU1068" s="303"/>
      <c r="BV1068" s="303"/>
      <c r="BW1068" s="303"/>
      <c r="BX1068" s="303"/>
      <c r="BY1068" s="303"/>
      <c r="BZ1068" s="303"/>
      <c r="CA1068" s="303"/>
    </row>
    <row r="1069" spans="51:79" ht="15" customHeight="1" x14ac:dyDescent="0.2">
      <c r="AY1069" s="303"/>
      <c r="AZ1069" s="303"/>
      <c r="BA1069" s="303"/>
      <c r="BB1069" s="303"/>
      <c r="BC1069" s="303"/>
      <c r="BD1069" s="303"/>
      <c r="BE1069" s="303"/>
      <c r="BF1069" s="303"/>
      <c r="BG1069" s="303"/>
      <c r="BH1069" s="303"/>
      <c r="BI1069" s="303"/>
      <c r="BJ1069" s="303"/>
      <c r="BK1069" s="303"/>
      <c r="BL1069" s="303"/>
      <c r="BM1069" s="303"/>
      <c r="BN1069" s="303"/>
      <c r="BO1069" s="303"/>
      <c r="BP1069" s="303"/>
      <c r="BQ1069" s="303"/>
      <c r="BR1069" s="303"/>
      <c r="BS1069" s="303"/>
      <c r="BT1069" s="303"/>
      <c r="BU1069" s="303"/>
      <c r="BV1069" s="303"/>
      <c r="BW1069" s="303"/>
      <c r="BX1069" s="303"/>
      <c r="BY1069" s="303"/>
      <c r="BZ1069" s="303"/>
      <c r="CA1069" s="303"/>
    </row>
    <row r="1070" spans="51:79" ht="15" customHeight="1" x14ac:dyDescent="0.2">
      <c r="AY1070" s="303"/>
      <c r="AZ1070" s="303"/>
      <c r="BA1070" s="303"/>
      <c r="BB1070" s="303"/>
      <c r="BC1070" s="303"/>
      <c r="BD1070" s="303"/>
      <c r="BE1070" s="303"/>
      <c r="BF1070" s="303"/>
      <c r="BG1070" s="303"/>
      <c r="BH1070" s="303"/>
      <c r="BI1070" s="303"/>
      <c r="BJ1070" s="303"/>
      <c r="BK1070" s="303"/>
      <c r="BL1070" s="303"/>
      <c r="BM1070" s="303"/>
      <c r="BN1070" s="303"/>
      <c r="BO1070" s="303"/>
      <c r="BP1070" s="303"/>
      <c r="BQ1070" s="303"/>
      <c r="BR1070" s="303"/>
      <c r="BS1070" s="303"/>
      <c r="BT1070" s="303"/>
      <c r="BU1070" s="303"/>
      <c r="BV1070" s="303"/>
      <c r="BW1070" s="303"/>
      <c r="BX1070" s="303"/>
      <c r="BY1070" s="303"/>
      <c r="BZ1070" s="303"/>
      <c r="CA1070" s="303"/>
    </row>
    <row r="1071" spans="51:79" ht="15" customHeight="1" x14ac:dyDescent="0.2">
      <c r="AY1071" s="303"/>
      <c r="AZ1071" s="303"/>
      <c r="BA1071" s="303"/>
      <c r="BB1071" s="303"/>
      <c r="BC1071" s="303"/>
      <c r="BD1071" s="303"/>
      <c r="BE1071" s="303"/>
      <c r="BF1071" s="303"/>
      <c r="BG1071" s="303"/>
      <c r="BH1071" s="303"/>
      <c r="BI1071" s="303"/>
      <c r="BJ1071" s="303"/>
      <c r="BK1071" s="303"/>
      <c r="BL1071" s="303"/>
      <c r="BM1071" s="303"/>
      <c r="BN1071" s="303"/>
      <c r="BO1071" s="303"/>
      <c r="BP1071" s="303"/>
      <c r="BQ1071" s="303"/>
      <c r="BR1071" s="303"/>
      <c r="BS1071" s="303"/>
      <c r="BT1071" s="303"/>
      <c r="BU1071" s="303"/>
      <c r="BV1071" s="303"/>
      <c r="BW1071" s="303"/>
      <c r="BX1071" s="303"/>
      <c r="BY1071" s="303"/>
      <c r="BZ1071" s="303"/>
      <c r="CA1071" s="303"/>
    </row>
    <row r="1072" spans="51:79" ht="15" customHeight="1" x14ac:dyDescent="0.2">
      <c r="AY1072" s="303"/>
      <c r="AZ1072" s="303"/>
      <c r="BA1072" s="303"/>
      <c r="BB1072" s="303"/>
      <c r="BC1072" s="303"/>
      <c r="BD1072" s="303"/>
      <c r="BE1072" s="303"/>
      <c r="BF1072" s="303"/>
      <c r="BG1072" s="303"/>
      <c r="BH1072" s="303"/>
      <c r="BI1072" s="303"/>
      <c r="BJ1072" s="303"/>
      <c r="BK1072" s="303"/>
      <c r="BL1072" s="303"/>
      <c r="BM1072" s="303"/>
      <c r="BN1072" s="303"/>
      <c r="BO1072" s="303"/>
      <c r="BP1072" s="303"/>
      <c r="BQ1072" s="303"/>
      <c r="BR1072" s="303"/>
      <c r="BS1072" s="303"/>
      <c r="BT1072" s="303"/>
      <c r="BU1072" s="303"/>
      <c r="BV1072" s="303"/>
      <c r="BW1072" s="303"/>
      <c r="BX1072" s="303"/>
      <c r="BY1072" s="303"/>
      <c r="BZ1072" s="303"/>
      <c r="CA1072" s="303"/>
    </row>
    <row r="1073" spans="51:79" ht="15" customHeight="1" x14ac:dyDescent="0.2">
      <c r="AY1073" s="303"/>
      <c r="AZ1073" s="303"/>
      <c r="BA1073" s="303"/>
      <c r="BB1073" s="303"/>
      <c r="BC1073" s="303"/>
      <c r="BD1073" s="303"/>
      <c r="BE1073" s="303"/>
      <c r="BF1073" s="303"/>
      <c r="BG1073" s="303"/>
      <c r="BH1073" s="303"/>
      <c r="BI1073" s="303"/>
      <c r="BJ1073" s="303"/>
      <c r="BK1073" s="303"/>
      <c r="BL1073" s="303"/>
      <c r="BM1073" s="303"/>
      <c r="BN1073" s="303"/>
      <c r="BO1073" s="303"/>
      <c r="BP1073" s="303"/>
      <c r="BQ1073" s="303"/>
      <c r="BR1073" s="303"/>
      <c r="BS1073" s="303"/>
      <c r="BT1073" s="303"/>
      <c r="BU1073" s="303"/>
      <c r="BV1073" s="303"/>
      <c r="BW1073" s="303"/>
      <c r="BX1073" s="303"/>
      <c r="BY1073" s="303"/>
      <c r="BZ1073" s="303"/>
      <c r="CA1073" s="303"/>
    </row>
    <row r="1074" spans="51:79" ht="15" customHeight="1" x14ac:dyDescent="0.2">
      <c r="AY1074" s="303"/>
      <c r="AZ1074" s="303"/>
      <c r="BA1074" s="303"/>
      <c r="BB1074" s="303"/>
      <c r="BC1074" s="303"/>
      <c r="BD1074" s="303"/>
      <c r="BE1074" s="303"/>
      <c r="BF1074" s="303"/>
      <c r="BG1074" s="303"/>
      <c r="BH1074" s="303"/>
      <c r="BI1074" s="303"/>
      <c r="BJ1074" s="303"/>
      <c r="BK1074" s="303"/>
      <c r="BL1074" s="303"/>
      <c r="BM1074" s="303"/>
      <c r="BN1074" s="303"/>
      <c r="BO1074" s="303"/>
      <c r="BP1074" s="303"/>
      <c r="BQ1074" s="303"/>
      <c r="BR1074" s="303"/>
      <c r="BS1074" s="303"/>
      <c r="BT1074" s="303"/>
      <c r="BU1074" s="303"/>
      <c r="BV1074" s="303"/>
      <c r="BW1074" s="303"/>
      <c r="BX1074" s="303"/>
      <c r="BY1074" s="303"/>
      <c r="BZ1074" s="303"/>
      <c r="CA1074" s="303"/>
    </row>
    <row r="1075" spans="51:79" ht="15" customHeight="1" x14ac:dyDescent="0.2">
      <c r="AY1075" s="303"/>
      <c r="AZ1075" s="303"/>
      <c r="BA1075" s="303"/>
      <c r="BB1075" s="303"/>
      <c r="BC1075" s="303"/>
      <c r="BD1075" s="303"/>
      <c r="BE1075" s="303"/>
      <c r="BF1075" s="303"/>
      <c r="BG1075" s="303"/>
      <c r="BH1075" s="303"/>
      <c r="BI1075" s="303"/>
      <c r="BJ1075" s="303"/>
      <c r="BK1075" s="303"/>
      <c r="BL1075" s="303"/>
      <c r="BM1075" s="303"/>
      <c r="BN1075" s="303"/>
      <c r="BO1075" s="303"/>
      <c r="BP1075" s="303"/>
      <c r="BQ1075" s="303"/>
      <c r="BR1075" s="303"/>
      <c r="BS1075" s="303"/>
      <c r="BT1075" s="303"/>
      <c r="BU1075" s="303"/>
      <c r="BV1075" s="303"/>
      <c r="BW1075" s="303"/>
      <c r="BX1075" s="303"/>
      <c r="BY1075" s="303"/>
      <c r="BZ1075" s="303"/>
      <c r="CA1075" s="303"/>
    </row>
    <row r="1076" spans="51:79" ht="15" customHeight="1" x14ac:dyDescent="0.2">
      <c r="AY1076" s="303"/>
      <c r="AZ1076" s="303"/>
      <c r="BA1076" s="303"/>
      <c r="BB1076" s="303"/>
      <c r="BC1076" s="303"/>
      <c r="BD1076" s="303"/>
      <c r="BE1076" s="303"/>
      <c r="BF1076" s="303"/>
      <c r="BG1076" s="303"/>
      <c r="BH1076" s="303"/>
      <c r="BI1076" s="303"/>
      <c r="BJ1076" s="303"/>
      <c r="BK1076" s="303"/>
      <c r="BL1076" s="303"/>
      <c r="BM1076" s="303"/>
      <c r="BN1076" s="303"/>
      <c r="BO1076" s="303"/>
      <c r="BP1076" s="303"/>
      <c r="BQ1076" s="303"/>
      <c r="BR1076" s="303"/>
      <c r="BS1076" s="303"/>
      <c r="BT1076" s="303"/>
      <c r="BU1076" s="303"/>
      <c r="BV1076" s="303"/>
      <c r="BW1076" s="303"/>
      <c r="BX1076" s="303"/>
      <c r="BY1076" s="303"/>
      <c r="BZ1076" s="303"/>
      <c r="CA1076" s="303"/>
    </row>
    <row r="1077" spans="51:79" ht="15" customHeight="1" x14ac:dyDescent="0.2">
      <c r="AY1077" s="303"/>
      <c r="AZ1077" s="303"/>
      <c r="BA1077" s="303"/>
      <c r="BB1077" s="303"/>
      <c r="BC1077" s="303"/>
      <c r="BD1077" s="303"/>
      <c r="BE1077" s="303"/>
      <c r="BF1077" s="303"/>
      <c r="BG1077" s="303"/>
      <c r="BH1077" s="303"/>
      <c r="BI1077" s="303"/>
      <c r="BJ1077" s="303"/>
      <c r="BK1077" s="303"/>
      <c r="BL1077" s="303"/>
      <c r="BM1077" s="303"/>
      <c r="BN1077" s="303"/>
      <c r="BO1077" s="303"/>
      <c r="BP1077" s="303"/>
      <c r="BQ1077" s="303"/>
      <c r="BR1077" s="303"/>
      <c r="BS1077" s="303"/>
      <c r="BT1077" s="303"/>
      <c r="BU1077" s="303"/>
      <c r="BV1077" s="303"/>
      <c r="BW1077" s="303"/>
      <c r="BX1077" s="303"/>
      <c r="BY1077" s="303"/>
      <c r="BZ1077" s="303"/>
      <c r="CA1077" s="303"/>
    </row>
    <row r="1078" spans="51:79" ht="15" customHeight="1" x14ac:dyDescent="0.2">
      <c r="AY1078" s="303"/>
      <c r="AZ1078" s="303"/>
      <c r="BA1078" s="303"/>
      <c r="BB1078" s="303"/>
      <c r="BC1078" s="303"/>
      <c r="BD1078" s="303"/>
      <c r="BE1078" s="303"/>
      <c r="BF1078" s="303"/>
      <c r="BG1078" s="303"/>
      <c r="BH1078" s="303"/>
      <c r="BI1078" s="303"/>
      <c r="BJ1078" s="303"/>
      <c r="BK1078" s="303"/>
      <c r="BL1078" s="303"/>
      <c r="BM1078" s="303"/>
      <c r="BN1078" s="303"/>
      <c r="BO1078" s="303"/>
      <c r="BP1078" s="303"/>
      <c r="BQ1078" s="303"/>
      <c r="BR1078" s="303"/>
      <c r="BS1078" s="303"/>
      <c r="BT1078" s="303"/>
      <c r="BU1078" s="303"/>
      <c r="BV1078" s="303"/>
      <c r="BW1078" s="303"/>
      <c r="BX1078" s="303"/>
      <c r="BY1078" s="303"/>
      <c r="BZ1078" s="303"/>
      <c r="CA1078" s="303"/>
    </row>
    <row r="1079" spans="51:79" ht="15" customHeight="1" x14ac:dyDescent="0.2">
      <c r="AY1079" s="303"/>
      <c r="AZ1079" s="303"/>
      <c r="BA1079" s="303"/>
      <c r="BB1079" s="303"/>
      <c r="BC1079" s="303"/>
      <c r="BD1079" s="303"/>
      <c r="BE1079" s="303"/>
      <c r="BF1079" s="303"/>
      <c r="BG1079" s="303"/>
      <c r="BH1079" s="303"/>
      <c r="BI1079" s="303"/>
      <c r="BJ1079" s="303"/>
      <c r="BK1079" s="303"/>
      <c r="BL1079" s="303"/>
      <c r="BM1079" s="303"/>
      <c r="BN1079" s="303"/>
      <c r="BO1079" s="303"/>
      <c r="BP1079" s="303"/>
      <c r="BQ1079" s="303"/>
      <c r="BR1079" s="303"/>
      <c r="BS1079" s="303"/>
      <c r="BT1079" s="303"/>
      <c r="BU1079" s="303"/>
      <c r="BV1079" s="303"/>
      <c r="BW1079" s="303"/>
      <c r="BX1079" s="303"/>
      <c r="BY1079" s="303"/>
      <c r="BZ1079" s="303"/>
      <c r="CA1079" s="303"/>
    </row>
    <row r="1080" spans="51:79" ht="15" customHeight="1" x14ac:dyDescent="0.2">
      <c r="AY1080" s="303"/>
      <c r="AZ1080" s="303"/>
      <c r="BA1080" s="303"/>
      <c r="BB1080" s="303"/>
      <c r="BC1080" s="303"/>
      <c r="BD1080" s="303"/>
      <c r="BE1080" s="303"/>
      <c r="BF1080" s="303"/>
      <c r="BG1080" s="303"/>
      <c r="BH1080" s="303"/>
      <c r="BI1080" s="303"/>
      <c r="BJ1080" s="303"/>
      <c r="BK1080" s="303"/>
      <c r="BL1080" s="303"/>
      <c r="BM1080" s="303"/>
      <c r="BN1080" s="303"/>
      <c r="BO1080" s="303"/>
      <c r="BP1080" s="303"/>
      <c r="BQ1080" s="303"/>
      <c r="BR1080" s="303"/>
      <c r="BS1080" s="303"/>
      <c r="BT1080" s="303"/>
      <c r="BU1080" s="303"/>
      <c r="BV1080" s="303"/>
      <c r="BW1080" s="303"/>
      <c r="BX1080" s="303"/>
      <c r="BY1080" s="303"/>
      <c r="BZ1080" s="303"/>
      <c r="CA1080" s="303"/>
    </row>
    <row r="1081" spans="51:79" ht="15" customHeight="1" x14ac:dyDescent="0.2">
      <c r="AY1081" s="303"/>
      <c r="AZ1081" s="303"/>
      <c r="BA1081" s="303"/>
      <c r="BB1081" s="303"/>
      <c r="BC1081" s="303"/>
      <c r="BD1081" s="303"/>
      <c r="BE1081" s="303"/>
      <c r="BF1081" s="303"/>
      <c r="BG1081" s="303"/>
      <c r="BH1081" s="303"/>
      <c r="BI1081" s="303"/>
      <c r="BJ1081" s="303"/>
      <c r="BK1081" s="303"/>
      <c r="BL1081" s="303"/>
      <c r="BM1081" s="303"/>
      <c r="BN1081" s="303"/>
      <c r="BO1081" s="303"/>
      <c r="BP1081" s="303"/>
      <c r="BQ1081" s="303"/>
      <c r="BR1081" s="303"/>
      <c r="BS1081" s="303"/>
      <c r="BT1081" s="303"/>
      <c r="BU1081" s="303"/>
      <c r="BV1081" s="303"/>
      <c r="BW1081" s="303"/>
      <c r="BX1081" s="303"/>
      <c r="BY1081" s="303"/>
      <c r="BZ1081" s="303"/>
      <c r="CA1081" s="303"/>
    </row>
    <row r="1082" spans="51:79" ht="15" customHeight="1" x14ac:dyDescent="0.2">
      <c r="AY1082" s="303"/>
      <c r="AZ1082" s="303"/>
      <c r="BA1082" s="303"/>
      <c r="BB1082" s="303"/>
      <c r="BC1082" s="303"/>
      <c r="BD1082" s="303"/>
      <c r="BE1082" s="303"/>
      <c r="BF1082" s="303"/>
      <c r="BG1082" s="303"/>
      <c r="BH1082" s="303"/>
      <c r="BI1082" s="303"/>
      <c r="BJ1082" s="303"/>
      <c r="BK1082" s="303"/>
      <c r="BL1082" s="303"/>
      <c r="BM1082" s="303"/>
      <c r="BN1082" s="303"/>
      <c r="BO1082" s="303"/>
      <c r="BP1082" s="303"/>
      <c r="BQ1082" s="303"/>
      <c r="BR1082" s="303"/>
      <c r="BS1082" s="303"/>
      <c r="BT1082" s="303"/>
      <c r="BU1082" s="303"/>
      <c r="BV1082" s="303"/>
      <c r="BW1082" s="303"/>
      <c r="BX1082" s="303"/>
      <c r="BY1082" s="303"/>
      <c r="BZ1082" s="303"/>
      <c r="CA1082" s="303"/>
    </row>
    <row r="1083" spans="51:79" ht="15" customHeight="1" x14ac:dyDescent="0.2">
      <c r="AY1083" s="303"/>
      <c r="AZ1083" s="303"/>
      <c r="BA1083" s="303"/>
      <c r="BB1083" s="303"/>
      <c r="BC1083" s="303"/>
      <c r="BD1083" s="303"/>
      <c r="BE1083" s="303"/>
      <c r="BF1083" s="303"/>
      <c r="BG1083" s="303"/>
      <c r="BH1083" s="303"/>
      <c r="BI1083" s="303"/>
      <c r="BJ1083" s="303"/>
      <c r="BK1083" s="303"/>
      <c r="BL1083" s="303"/>
      <c r="BM1083" s="303"/>
      <c r="BN1083" s="303"/>
      <c r="BO1083" s="303"/>
      <c r="BP1083" s="303"/>
      <c r="BQ1083" s="303"/>
      <c r="BR1083" s="303"/>
      <c r="BS1083" s="303"/>
      <c r="BT1083" s="303"/>
      <c r="BU1083" s="303"/>
      <c r="BV1083" s="303"/>
      <c r="BW1083" s="303"/>
      <c r="BX1083" s="303"/>
      <c r="BY1083" s="303"/>
      <c r="BZ1083" s="303"/>
      <c r="CA1083" s="303"/>
    </row>
    <row r="1084" spans="51:79" ht="15" customHeight="1" x14ac:dyDescent="0.2">
      <c r="AY1084" s="303"/>
      <c r="AZ1084" s="303"/>
      <c r="BA1084" s="303"/>
      <c r="BB1084" s="303"/>
      <c r="BC1084" s="303"/>
      <c r="BD1084" s="303"/>
      <c r="BE1084" s="303"/>
      <c r="BF1084" s="303"/>
      <c r="BG1084" s="303"/>
      <c r="BH1084" s="303"/>
      <c r="BI1084" s="303"/>
      <c r="BJ1084" s="303"/>
      <c r="BK1084" s="303"/>
      <c r="BL1084" s="303"/>
      <c r="BM1084" s="303"/>
      <c r="BN1084" s="303"/>
      <c r="BO1084" s="303"/>
      <c r="BP1084" s="303"/>
      <c r="BQ1084" s="303"/>
      <c r="BR1084" s="303"/>
      <c r="BS1084" s="303"/>
      <c r="BT1084" s="303"/>
      <c r="BU1084" s="303"/>
      <c r="BV1084" s="303"/>
      <c r="BW1084" s="303"/>
      <c r="BX1084" s="303"/>
      <c r="BY1084" s="303"/>
      <c r="BZ1084" s="303"/>
      <c r="CA1084" s="303"/>
    </row>
    <row r="1085" spans="51:79" ht="15" customHeight="1" x14ac:dyDescent="0.2">
      <c r="AY1085" s="303"/>
      <c r="AZ1085" s="303"/>
      <c r="BA1085" s="303"/>
      <c r="BB1085" s="303"/>
      <c r="BC1085" s="303"/>
      <c r="BD1085" s="303"/>
      <c r="BE1085" s="303"/>
      <c r="BF1085" s="303"/>
      <c r="BG1085" s="303"/>
      <c r="BH1085" s="303"/>
      <c r="BI1085" s="303"/>
      <c r="BJ1085" s="303"/>
      <c r="BK1085" s="303"/>
      <c r="BL1085" s="303"/>
      <c r="BM1085" s="303"/>
      <c r="BN1085" s="303"/>
      <c r="BO1085" s="303"/>
      <c r="BP1085" s="303"/>
      <c r="BQ1085" s="303"/>
      <c r="BR1085" s="303"/>
      <c r="BS1085" s="303"/>
      <c r="BT1085" s="303"/>
      <c r="BU1085" s="303"/>
      <c r="BV1085" s="303"/>
      <c r="BW1085" s="303"/>
      <c r="BX1085" s="303"/>
      <c r="BY1085" s="303"/>
      <c r="BZ1085" s="303"/>
      <c r="CA1085" s="303"/>
    </row>
    <row r="1086" spans="51:79" ht="15" customHeight="1" x14ac:dyDescent="0.2">
      <c r="AY1086" s="303"/>
      <c r="AZ1086" s="303"/>
      <c r="BA1086" s="303"/>
      <c r="BB1086" s="303"/>
      <c r="BC1086" s="303"/>
      <c r="BD1086" s="303"/>
      <c r="BE1086" s="303"/>
      <c r="BF1086" s="303"/>
      <c r="BG1086" s="303"/>
      <c r="BH1086" s="303"/>
      <c r="BI1086" s="303"/>
      <c r="BJ1086" s="303"/>
      <c r="BK1086" s="303"/>
      <c r="BL1086" s="303"/>
      <c r="BM1086" s="303"/>
      <c r="BN1086" s="303"/>
      <c r="BO1086" s="303"/>
      <c r="BP1086" s="303"/>
      <c r="BQ1086" s="303"/>
      <c r="BR1086" s="303"/>
      <c r="BS1086" s="303"/>
      <c r="BT1086" s="303"/>
      <c r="BU1086" s="303"/>
      <c r="BV1086" s="303"/>
      <c r="BW1086" s="303"/>
      <c r="BX1086" s="303"/>
      <c r="BY1086" s="303"/>
      <c r="BZ1086" s="303"/>
      <c r="CA1086" s="303"/>
    </row>
    <row r="1087" spans="51:79" ht="15" customHeight="1" x14ac:dyDescent="0.2">
      <c r="AY1087" s="303"/>
      <c r="AZ1087" s="303"/>
      <c r="BA1087" s="303"/>
      <c r="BB1087" s="303"/>
      <c r="BC1087" s="303"/>
      <c r="BD1087" s="303"/>
      <c r="BE1087" s="303"/>
      <c r="BF1087" s="303"/>
      <c r="BG1087" s="303"/>
      <c r="BH1087" s="303"/>
      <c r="BI1087" s="303"/>
      <c r="BJ1087" s="303"/>
      <c r="BK1087" s="303"/>
      <c r="BL1087" s="303"/>
      <c r="BM1087" s="303"/>
      <c r="BN1087" s="303"/>
      <c r="BO1087" s="303"/>
      <c r="BP1087" s="303"/>
      <c r="BQ1087" s="303"/>
      <c r="BR1087" s="303"/>
      <c r="BS1087" s="303"/>
      <c r="BT1087" s="303"/>
      <c r="BU1087" s="303"/>
      <c r="BV1087" s="303"/>
      <c r="BW1087" s="303"/>
      <c r="BX1087" s="303"/>
      <c r="BY1087" s="303"/>
      <c r="BZ1087" s="303"/>
      <c r="CA1087" s="303"/>
    </row>
    <row r="1088" spans="51:79" ht="15" customHeight="1" x14ac:dyDescent="0.2">
      <c r="AY1088" s="303"/>
      <c r="AZ1088" s="303"/>
      <c r="BA1088" s="303"/>
      <c r="BB1088" s="303"/>
      <c r="BC1088" s="303"/>
      <c r="BD1088" s="303"/>
      <c r="BE1088" s="303"/>
      <c r="BF1088" s="303"/>
      <c r="BG1088" s="303"/>
      <c r="BH1088" s="303"/>
      <c r="BI1088" s="303"/>
      <c r="BJ1088" s="303"/>
      <c r="BK1088" s="303"/>
      <c r="BL1088" s="303"/>
      <c r="BM1088" s="303"/>
      <c r="BN1088" s="303"/>
      <c r="BO1088" s="303"/>
      <c r="BP1088" s="303"/>
      <c r="BQ1088" s="303"/>
      <c r="BR1088" s="303"/>
      <c r="BS1088" s="303"/>
      <c r="BT1088" s="303"/>
      <c r="BU1088" s="303"/>
      <c r="BV1088" s="303"/>
      <c r="BW1088" s="303"/>
      <c r="BX1088" s="303"/>
      <c r="BY1088" s="303"/>
      <c r="BZ1088" s="303"/>
      <c r="CA1088" s="303"/>
    </row>
    <row r="1089" spans="51:79" ht="15" customHeight="1" x14ac:dyDescent="0.2">
      <c r="AY1089" s="303"/>
      <c r="AZ1089" s="303"/>
      <c r="BA1089" s="303"/>
      <c r="BB1089" s="303"/>
      <c r="BC1089" s="303"/>
      <c r="BD1089" s="303"/>
      <c r="BE1089" s="303"/>
      <c r="BF1089" s="303"/>
      <c r="BG1089" s="303"/>
      <c r="BH1089" s="303"/>
      <c r="BI1089" s="303"/>
      <c r="BJ1089" s="303"/>
      <c r="BK1089" s="303"/>
      <c r="BL1089" s="303"/>
      <c r="BM1089" s="303"/>
      <c r="BN1089" s="303"/>
      <c r="BO1089" s="303"/>
      <c r="BP1089" s="303"/>
      <c r="BQ1089" s="303"/>
      <c r="BR1089" s="303"/>
      <c r="BS1089" s="303"/>
      <c r="BT1089" s="303"/>
      <c r="BU1089" s="303"/>
      <c r="BV1089" s="303"/>
      <c r="BW1089" s="303"/>
      <c r="BX1089" s="303"/>
      <c r="BY1089" s="303"/>
      <c r="BZ1089" s="303"/>
      <c r="CA1089" s="303"/>
    </row>
    <row r="1090" spans="51:79" ht="15" customHeight="1" x14ac:dyDescent="0.2">
      <c r="AY1090" s="303"/>
      <c r="AZ1090" s="303"/>
      <c r="BA1090" s="303"/>
      <c r="BB1090" s="303"/>
      <c r="BC1090" s="303"/>
      <c r="BD1090" s="303"/>
      <c r="BE1090" s="303"/>
      <c r="BF1090" s="303"/>
      <c r="BG1090" s="303"/>
      <c r="BH1090" s="303"/>
      <c r="BI1090" s="303"/>
      <c r="BJ1090" s="303"/>
      <c r="BK1090" s="303"/>
      <c r="BL1090" s="303"/>
      <c r="BM1090" s="303"/>
      <c r="BN1090" s="303"/>
      <c r="BO1090" s="303"/>
      <c r="BP1090" s="303"/>
      <c r="BQ1090" s="303"/>
      <c r="BR1090" s="303"/>
      <c r="BS1090" s="303"/>
      <c r="BT1090" s="303"/>
      <c r="BU1090" s="303"/>
      <c r="BV1090" s="303"/>
      <c r="BW1090" s="303"/>
      <c r="BX1090" s="303"/>
      <c r="BY1090" s="303"/>
      <c r="BZ1090" s="303"/>
      <c r="CA1090" s="303"/>
    </row>
    <row r="1091" spans="51:79" ht="15" customHeight="1" x14ac:dyDescent="0.2">
      <c r="AY1091" s="303"/>
      <c r="AZ1091" s="303"/>
      <c r="BA1091" s="303"/>
      <c r="BB1091" s="303"/>
      <c r="BC1091" s="303"/>
      <c r="BD1091" s="303"/>
      <c r="BE1091" s="303"/>
      <c r="BF1091" s="303"/>
      <c r="BG1091" s="303"/>
      <c r="BH1091" s="303"/>
      <c r="BI1091" s="303"/>
      <c r="BJ1091" s="303"/>
      <c r="BK1091" s="303"/>
      <c r="BL1091" s="303"/>
      <c r="BM1091" s="303"/>
      <c r="BN1091" s="303"/>
      <c r="BO1091" s="303"/>
      <c r="BP1091" s="303"/>
      <c r="BQ1091" s="303"/>
      <c r="BR1091" s="303"/>
      <c r="BS1091" s="303"/>
      <c r="BT1091" s="303"/>
      <c r="BU1091" s="303"/>
      <c r="BV1091" s="303"/>
      <c r="BW1091" s="303"/>
      <c r="BX1091" s="303"/>
      <c r="BY1091" s="303"/>
      <c r="BZ1091" s="303"/>
      <c r="CA1091" s="303"/>
    </row>
    <row r="1092" spans="51:79" ht="15" customHeight="1" x14ac:dyDescent="0.2">
      <c r="AY1092" s="303"/>
      <c r="AZ1092" s="303"/>
      <c r="BA1092" s="303"/>
      <c r="BB1092" s="303"/>
      <c r="BC1092" s="303"/>
      <c r="BD1092" s="303"/>
      <c r="BE1092" s="303"/>
      <c r="BF1092" s="303"/>
      <c r="BG1092" s="303"/>
      <c r="BH1092" s="303"/>
      <c r="BI1092" s="303"/>
      <c r="BJ1092" s="303"/>
      <c r="BK1092" s="303"/>
      <c r="BL1092" s="303"/>
      <c r="BM1092" s="303"/>
      <c r="BN1092" s="303"/>
      <c r="BO1092" s="303"/>
      <c r="BP1092" s="303"/>
      <c r="BQ1092" s="303"/>
      <c r="BR1092" s="303"/>
      <c r="BS1092" s="303"/>
      <c r="BT1092" s="303"/>
      <c r="BU1092" s="303"/>
      <c r="BV1092" s="303"/>
      <c r="BW1092" s="303"/>
      <c r="BX1092" s="303"/>
      <c r="BY1092" s="303"/>
      <c r="BZ1092" s="303"/>
      <c r="CA1092" s="303"/>
    </row>
    <row r="1093" spans="51:79" ht="15" customHeight="1" x14ac:dyDescent="0.2">
      <c r="AY1093" s="303"/>
      <c r="AZ1093" s="303"/>
      <c r="BA1093" s="303"/>
      <c r="BB1093" s="303"/>
      <c r="BC1093" s="303"/>
      <c r="BD1093" s="303"/>
      <c r="BE1093" s="303"/>
      <c r="BF1093" s="303"/>
      <c r="BG1093" s="303"/>
      <c r="BH1093" s="303"/>
      <c r="BI1093" s="303"/>
      <c r="BJ1093" s="303"/>
      <c r="BK1093" s="303"/>
      <c r="BL1093" s="303"/>
      <c r="BM1093" s="303"/>
      <c r="BN1093" s="303"/>
      <c r="BO1093" s="303"/>
      <c r="BP1093" s="303"/>
      <c r="BQ1093" s="303"/>
      <c r="BR1093" s="303"/>
      <c r="BS1093" s="303"/>
      <c r="BT1093" s="303"/>
      <c r="BU1093" s="303"/>
      <c r="BV1093" s="303"/>
      <c r="BW1093" s="303"/>
      <c r="BX1093" s="303"/>
      <c r="BY1093" s="303"/>
      <c r="BZ1093" s="303"/>
      <c r="CA1093" s="303"/>
    </row>
    <row r="1094" spans="51:79" ht="15" customHeight="1" x14ac:dyDescent="0.2">
      <c r="AY1094" s="303"/>
      <c r="AZ1094" s="303"/>
      <c r="BA1094" s="303"/>
      <c r="BB1094" s="303"/>
      <c r="BC1094" s="303"/>
      <c r="BD1094" s="303"/>
      <c r="BE1094" s="303"/>
      <c r="BF1094" s="303"/>
      <c r="BG1094" s="303"/>
      <c r="BH1094" s="303"/>
      <c r="BI1094" s="303"/>
      <c r="BJ1094" s="303"/>
      <c r="BK1094" s="303"/>
      <c r="BL1094" s="303"/>
      <c r="BM1094" s="303"/>
      <c r="BN1094" s="303"/>
      <c r="BO1094" s="303"/>
      <c r="BP1094" s="303"/>
      <c r="BQ1094" s="303"/>
      <c r="BR1094" s="303"/>
      <c r="BS1094" s="303"/>
      <c r="BT1094" s="303"/>
      <c r="BU1094" s="303"/>
      <c r="BV1094" s="303"/>
      <c r="BW1094" s="303"/>
      <c r="BX1094" s="303"/>
      <c r="BY1094" s="303"/>
      <c r="BZ1094" s="303"/>
      <c r="CA1094" s="303"/>
    </row>
    <row r="1095" spans="51:79" ht="15" customHeight="1" x14ac:dyDescent="0.2">
      <c r="AY1095" s="303"/>
      <c r="AZ1095" s="303"/>
      <c r="BA1095" s="303"/>
      <c r="BB1095" s="303"/>
      <c r="BC1095" s="303"/>
      <c r="BD1095" s="303"/>
      <c r="BE1095" s="303"/>
      <c r="BF1095" s="303"/>
      <c r="BG1095" s="303"/>
      <c r="BH1095" s="303"/>
      <c r="BI1095" s="303"/>
      <c r="BJ1095" s="303"/>
      <c r="BK1095" s="303"/>
      <c r="BL1095" s="303"/>
      <c r="BM1095" s="303"/>
      <c r="BN1095" s="303"/>
      <c r="BO1095" s="303"/>
      <c r="BP1095" s="303"/>
      <c r="BQ1095" s="303"/>
      <c r="BR1095" s="303"/>
      <c r="BS1095" s="303"/>
      <c r="BT1095" s="303"/>
      <c r="BU1095" s="303"/>
      <c r="BV1095" s="303"/>
      <c r="BW1095" s="303"/>
      <c r="BX1095" s="303"/>
      <c r="BY1095" s="303"/>
      <c r="BZ1095" s="303"/>
      <c r="CA1095" s="303"/>
    </row>
    <row r="1096" spans="51:79" ht="15" customHeight="1" x14ac:dyDescent="0.2">
      <c r="AY1096" s="303"/>
      <c r="AZ1096" s="303"/>
      <c r="BA1096" s="303"/>
      <c r="BB1096" s="303"/>
      <c r="BC1096" s="303"/>
      <c r="BD1096" s="303"/>
      <c r="BE1096" s="303"/>
      <c r="BF1096" s="303"/>
      <c r="BG1096" s="303"/>
      <c r="BH1096" s="303"/>
      <c r="BI1096" s="303"/>
      <c r="BJ1096" s="303"/>
      <c r="BK1096" s="303"/>
      <c r="BL1096" s="303"/>
      <c r="BM1096" s="303"/>
      <c r="BN1096" s="303"/>
      <c r="BO1096" s="303"/>
      <c r="BP1096" s="303"/>
      <c r="BQ1096" s="303"/>
      <c r="BR1096" s="303"/>
      <c r="BS1096" s="303"/>
      <c r="BT1096" s="303"/>
      <c r="BU1096" s="303"/>
      <c r="BV1096" s="303"/>
      <c r="BW1096" s="303"/>
      <c r="BX1096" s="303"/>
      <c r="BY1096" s="303"/>
      <c r="BZ1096" s="303"/>
      <c r="CA1096" s="303"/>
    </row>
    <row r="1097" spans="51:79" ht="15" customHeight="1" x14ac:dyDescent="0.2">
      <c r="AY1097" s="303"/>
      <c r="AZ1097" s="303"/>
      <c r="BA1097" s="303"/>
      <c r="BB1097" s="303"/>
      <c r="BC1097" s="303"/>
      <c r="BD1097" s="303"/>
      <c r="BE1097" s="303"/>
      <c r="BF1097" s="303"/>
      <c r="BG1097" s="303"/>
      <c r="BH1097" s="303"/>
      <c r="BI1097" s="303"/>
      <c r="BJ1097" s="303"/>
      <c r="BK1097" s="303"/>
      <c r="BL1097" s="303"/>
      <c r="BM1097" s="303"/>
      <c r="BN1097" s="303"/>
      <c r="BO1097" s="303"/>
      <c r="BP1097" s="303"/>
      <c r="BQ1097" s="303"/>
      <c r="BR1097" s="303"/>
      <c r="BS1097" s="303"/>
      <c r="BT1097" s="303"/>
      <c r="BU1097" s="303"/>
      <c r="BV1097" s="303"/>
      <c r="BW1097" s="303"/>
      <c r="BX1097" s="303"/>
      <c r="BY1097" s="303"/>
      <c r="BZ1097" s="303"/>
      <c r="CA1097" s="303"/>
    </row>
    <row r="1098" spans="51:79" ht="15" customHeight="1" x14ac:dyDescent="0.2">
      <c r="AY1098" s="303"/>
      <c r="AZ1098" s="303"/>
      <c r="BA1098" s="303"/>
      <c r="BB1098" s="303"/>
      <c r="BC1098" s="303"/>
      <c r="BD1098" s="303"/>
      <c r="BE1098" s="303"/>
      <c r="BF1098" s="303"/>
      <c r="BG1098" s="303"/>
      <c r="BH1098" s="303"/>
      <c r="BI1098" s="303"/>
      <c r="BJ1098" s="303"/>
      <c r="BK1098" s="303"/>
      <c r="BL1098" s="303"/>
      <c r="BM1098" s="303"/>
      <c r="BN1098" s="303"/>
      <c r="BO1098" s="303"/>
      <c r="BP1098" s="303"/>
      <c r="BQ1098" s="303"/>
      <c r="BR1098" s="303"/>
      <c r="BS1098" s="303"/>
      <c r="BT1098" s="303"/>
      <c r="BU1098" s="303"/>
      <c r="BV1098" s="303"/>
      <c r="BW1098" s="303"/>
      <c r="BX1098" s="303"/>
      <c r="BY1098" s="303"/>
      <c r="BZ1098" s="303"/>
      <c r="CA1098" s="303"/>
    </row>
    <row r="1099" spans="51:79" ht="15" customHeight="1" x14ac:dyDescent="0.2">
      <c r="AY1099" s="303"/>
      <c r="AZ1099" s="303"/>
      <c r="BA1099" s="303"/>
      <c r="BB1099" s="303"/>
      <c r="BC1099" s="303"/>
      <c r="BD1099" s="303"/>
      <c r="BE1099" s="303"/>
      <c r="BF1099" s="303"/>
      <c r="BG1099" s="303"/>
      <c r="BH1099" s="303"/>
      <c r="BI1099" s="303"/>
      <c r="BJ1099" s="303"/>
      <c r="BK1099" s="303"/>
      <c r="BL1099" s="303"/>
      <c r="BM1099" s="303"/>
      <c r="BN1099" s="303"/>
      <c r="BO1099" s="303"/>
      <c r="BP1099" s="303"/>
      <c r="BQ1099" s="303"/>
      <c r="BR1099" s="303"/>
      <c r="BS1099" s="303"/>
      <c r="BT1099" s="303"/>
      <c r="BU1099" s="303"/>
      <c r="BV1099" s="303"/>
      <c r="BW1099" s="303"/>
      <c r="BX1099" s="303"/>
      <c r="BY1099" s="303"/>
      <c r="BZ1099" s="303"/>
      <c r="CA1099" s="303"/>
    </row>
    <row r="1100" spans="51:79" ht="15" customHeight="1" x14ac:dyDescent="0.2">
      <c r="AY1100" s="303"/>
      <c r="AZ1100" s="303"/>
      <c r="BA1100" s="303"/>
      <c r="BB1100" s="303"/>
      <c r="BC1100" s="303"/>
      <c r="BD1100" s="303"/>
      <c r="BE1100" s="303"/>
      <c r="BF1100" s="303"/>
      <c r="BG1100" s="303"/>
      <c r="BH1100" s="303"/>
      <c r="BI1100" s="303"/>
      <c r="BJ1100" s="303"/>
      <c r="BK1100" s="303"/>
      <c r="BL1100" s="303"/>
      <c r="BM1100" s="303"/>
      <c r="BN1100" s="303"/>
      <c r="BO1100" s="303"/>
      <c r="BP1100" s="303"/>
      <c r="BQ1100" s="303"/>
      <c r="BR1100" s="303"/>
      <c r="BS1100" s="303"/>
      <c r="BT1100" s="303"/>
      <c r="BU1100" s="303"/>
      <c r="BV1100" s="303"/>
      <c r="BW1100" s="303"/>
      <c r="BX1100" s="303"/>
      <c r="BY1100" s="303"/>
      <c r="BZ1100" s="303"/>
      <c r="CA1100" s="303"/>
    </row>
    <row r="1101" spans="51:79" ht="15" customHeight="1" x14ac:dyDescent="0.2">
      <c r="AY1101" s="303"/>
      <c r="AZ1101" s="303"/>
      <c r="BA1101" s="303"/>
      <c r="BB1101" s="303"/>
      <c r="BC1101" s="303"/>
      <c r="BD1101" s="303"/>
      <c r="BE1101" s="303"/>
      <c r="BF1101" s="303"/>
      <c r="BG1101" s="303"/>
      <c r="BH1101" s="303"/>
      <c r="BI1101" s="303"/>
      <c r="BJ1101" s="303"/>
      <c r="BK1101" s="303"/>
      <c r="BL1101" s="303"/>
      <c r="BM1101" s="303"/>
      <c r="BN1101" s="303"/>
      <c r="BO1101" s="303"/>
      <c r="BP1101" s="303"/>
      <c r="BQ1101" s="303"/>
      <c r="BR1101" s="303"/>
      <c r="BS1101" s="303"/>
      <c r="BT1101" s="303"/>
      <c r="BU1101" s="303"/>
      <c r="BV1101" s="303"/>
      <c r="BW1101" s="303"/>
      <c r="BX1101" s="303"/>
      <c r="BY1101" s="303"/>
      <c r="BZ1101" s="303"/>
      <c r="CA1101" s="303"/>
    </row>
    <row r="1102" spans="51:79" ht="15" customHeight="1" x14ac:dyDescent="0.2">
      <c r="AY1102" s="303"/>
      <c r="AZ1102" s="303"/>
      <c r="BA1102" s="303"/>
      <c r="BB1102" s="303"/>
      <c r="BC1102" s="303"/>
      <c r="BD1102" s="303"/>
      <c r="BE1102" s="303"/>
      <c r="BF1102" s="303"/>
      <c r="BG1102" s="303"/>
      <c r="BH1102" s="303"/>
      <c r="BI1102" s="303"/>
      <c r="BJ1102" s="303"/>
      <c r="BK1102" s="303"/>
      <c r="BL1102" s="303"/>
      <c r="BM1102" s="303"/>
      <c r="BN1102" s="303"/>
      <c r="BO1102" s="303"/>
      <c r="BP1102" s="303"/>
      <c r="BQ1102" s="303"/>
      <c r="BR1102" s="303"/>
      <c r="BS1102" s="303"/>
      <c r="BT1102" s="303"/>
      <c r="BU1102" s="303"/>
      <c r="BV1102" s="303"/>
      <c r="BW1102" s="303"/>
      <c r="BX1102" s="303"/>
      <c r="BY1102" s="303"/>
      <c r="BZ1102" s="303"/>
      <c r="CA1102" s="303"/>
    </row>
    <row r="1103" spans="51:79" ht="15" customHeight="1" x14ac:dyDescent="0.2">
      <c r="AY1103" s="303"/>
      <c r="AZ1103" s="303"/>
      <c r="BA1103" s="303"/>
      <c r="BB1103" s="303"/>
      <c r="BC1103" s="303"/>
      <c r="BD1103" s="303"/>
      <c r="BE1103" s="303"/>
      <c r="BF1103" s="303"/>
      <c r="BG1103" s="303"/>
      <c r="BH1103" s="303"/>
      <c r="BI1103" s="303"/>
      <c r="BJ1103" s="303"/>
      <c r="BK1103" s="303"/>
      <c r="BL1103" s="303"/>
      <c r="BM1103" s="303"/>
      <c r="BN1103" s="303"/>
      <c r="BO1103" s="303"/>
      <c r="BP1103" s="303"/>
      <c r="BQ1103" s="303"/>
      <c r="BR1103" s="303"/>
      <c r="BS1103" s="303"/>
      <c r="BT1103" s="303"/>
      <c r="BU1103" s="303"/>
      <c r="BV1103" s="303"/>
      <c r="BW1103" s="303"/>
      <c r="BX1103" s="303"/>
      <c r="BY1103" s="303"/>
      <c r="BZ1103" s="303"/>
      <c r="CA1103" s="303"/>
    </row>
    <row r="1104" spans="51:79" ht="15" customHeight="1" x14ac:dyDescent="0.2">
      <c r="AY1104" s="303"/>
      <c r="AZ1104" s="303"/>
      <c r="BA1104" s="303"/>
      <c r="BB1104" s="303"/>
      <c r="BC1104" s="303"/>
      <c r="BD1104" s="303"/>
      <c r="BE1104" s="303"/>
      <c r="BF1104" s="303"/>
      <c r="BG1104" s="303"/>
      <c r="BH1104" s="303"/>
      <c r="BI1104" s="303"/>
      <c r="BJ1104" s="303"/>
      <c r="BK1104" s="303"/>
      <c r="BL1104" s="303"/>
      <c r="BM1104" s="303"/>
      <c r="BN1104" s="303"/>
      <c r="BO1104" s="303"/>
      <c r="BP1104" s="303"/>
      <c r="BQ1104" s="303"/>
      <c r="BR1104" s="303"/>
      <c r="BS1104" s="303"/>
      <c r="BT1104" s="303"/>
      <c r="BU1104" s="303"/>
      <c r="BV1104" s="303"/>
      <c r="BW1104" s="303"/>
      <c r="BX1104" s="303"/>
      <c r="BY1104" s="303"/>
      <c r="BZ1104" s="303"/>
      <c r="CA1104" s="303"/>
    </row>
    <row r="1105" spans="51:79" ht="15" customHeight="1" x14ac:dyDescent="0.2">
      <c r="AY1105" s="303"/>
      <c r="AZ1105" s="303"/>
      <c r="BA1105" s="303"/>
      <c r="BB1105" s="303"/>
      <c r="BC1105" s="303"/>
      <c r="BD1105" s="303"/>
      <c r="BE1105" s="303"/>
      <c r="BF1105" s="303"/>
      <c r="BG1105" s="303"/>
      <c r="BH1105" s="303"/>
      <c r="BI1105" s="303"/>
      <c r="BJ1105" s="303"/>
      <c r="BK1105" s="303"/>
      <c r="BL1105" s="303"/>
      <c r="BM1105" s="303"/>
      <c r="BN1105" s="303"/>
      <c r="BO1105" s="303"/>
      <c r="BP1105" s="303"/>
      <c r="BQ1105" s="303"/>
      <c r="BR1105" s="303"/>
      <c r="BS1105" s="303"/>
      <c r="BT1105" s="303"/>
      <c r="BU1105" s="303"/>
      <c r="BV1105" s="303"/>
      <c r="BW1105" s="303"/>
      <c r="BX1105" s="303"/>
      <c r="BY1105" s="303"/>
      <c r="BZ1105" s="303"/>
      <c r="CA1105" s="303"/>
    </row>
    <row r="1106" spans="51:79" ht="15" customHeight="1" x14ac:dyDescent="0.2">
      <c r="AY1106" s="303"/>
      <c r="AZ1106" s="303"/>
      <c r="BA1106" s="303"/>
      <c r="BB1106" s="303"/>
      <c r="BC1106" s="303"/>
      <c r="BD1106" s="303"/>
      <c r="BE1106" s="303"/>
      <c r="BF1106" s="303"/>
      <c r="BG1106" s="303"/>
      <c r="BH1106" s="303"/>
      <c r="BI1106" s="303"/>
      <c r="BJ1106" s="303"/>
      <c r="BK1106" s="303"/>
      <c r="BL1106" s="303"/>
      <c r="BM1106" s="303"/>
      <c r="BN1106" s="303"/>
      <c r="BO1106" s="303"/>
      <c r="BP1106" s="303"/>
      <c r="BQ1106" s="303"/>
      <c r="BR1106" s="303"/>
      <c r="BS1106" s="303"/>
      <c r="BT1106" s="303"/>
      <c r="BU1106" s="303"/>
      <c r="BV1106" s="303"/>
      <c r="BW1106" s="303"/>
      <c r="BX1106" s="303"/>
      <c r="BY1106" s="303"/>
      <c r="BZ1106" s="303"/>
      <c r="CA1106" s="303"/>
    </row>
    <row r="1107" spans="51:79" ht="15" customHeight="1" x14ac:dyDescent="0.2">
      <c r="AY1107" s="303"/>
      <c r="AZ1107" s="303"/>
      <c r="BA1107" s="303"/>
      <c r="BB1107" s="303"/>
      <c r="BC1107" s="303"/>
      <c r="BD1107" s="303"/>
      <c r="BE1107" s="303"/>
      <c r="BF1107" s="303"/>
      <c r="BG1107" s="303"/>
      <c r="BH1107" s="303"/>
      <c r="BI1107" s="303"/>
      <c r="BJ1107" s="303"/>
      <c r="BK1107" s="303"/>
      <c r="BL1107" s="303"/>
      <c r="BM1107" s="303"/>
      <c r="BN1107" s="303"/>
      <c r="BO1107" s="303"/>
      <c r="BP1107" s="303"/>
      <c r="BQ1107" s="303"/>
      <c r="BR1107" s="303"/>
      <c r="BS1107" s="303"/>
      <c r="BT1107" s="303"/>
      <c r="BU1107" s="303"/>
      <c r="BV1107" s="303"/>
      <c r="BW1107" s="303"/>
      <c r="BX1107" s="303"/>
      <c r="BY1107" s="303"/>
      <c r="BZ1107" s="303"/>
      <c r="CA1107" s="303"/>
    </row>
    <row r="1108" spans="51:79" ht="15" customHeight="1" x14ac:dyDescent="0.2">
      <c r="AY1108" s="303"/>
      <c r="AZ1108" s="303"/>
      <c r="BA1108" s="303"/>
      <c r="BB1108" s="303"/>
      <c r="BC1108" s="303"/>
      <c r="BD1108" s="303"/>
      <c r="BE1108" s="303"/>
      <c r="BF1108" s="303"/>
      <c r="BG1108" s="303"/>
      <c r="BH1108" s="303"/>
      <c r="BI1108" s="303"/>
      <c r="BJ1108" s="303"/>
      <c r="BK1108" s="303"/>
      <c r="BL1108" s="303"/>
      <c r="BM1108" s="303"/>
      <c r="BN1108" s="303"/>
      <c r="BO1108" s="303"/>
      <c r="BP1108" s="303"/>
      <c r="BQ1108" s="303"/>
      <c r="BR1108" s="303"/>
      <c r="BS1108" s="303"/>
      <c r="BT1108" s="303"/>
      <c r="BU1108" s="303"/>
      <c r="BV1108" s="303"/>
      <c r="BW1108" s="303"/>
      <c r="BX1108" s="303"/>
      <c r="BY1108" s="303"/>
      <c r="BZ1108" s="303"/>
      <c r="CA1108" s="303"/>
    </row>
    <row r="1109" spans="51:79" ht="15" customHeight="1" x14ac:dyDescent="0.2">
      <c r="AY1109" s="303"/>
      <c r="AZ1109" s="303"/>
      <c r="BA1109" s="303"/>
      <c r="BB1109" s="303"/>
      <c r="BC1109" s="303"/>
      <c r="BD1109" s="303"/>
      <c r="BE1109" s="303"/>
      <c r="BF1109" s="303"/>
      <c r="BG1109" s="303"/>
      <c r="BH1109" s="303"/>
      <c r="BI1109" s="303"/>
      <c r="BJ1109" s="303"/>
      <c r="BK1109" s="303"/>
      <c r="BL1109" s="303"/>
      <c r="BM1109" s="303"/>
      <c r="BN1109" s="303"/>
      <c r="BO1109" s="303"/>
      <c r="BP1109" s="303"/>
      <c r="BQ1109" s="303"/>
      <c r="BR1109" s="303"/>
      <c r="BS1109" s="303"/>
      <c r="BT1109" s="303"/>
      <c r="BU1109" s="303"/>
      <c r="BV1109" s="303"/>
      <c r="BW1109" s="303"/>
      <c r="BX1109" s="303"/>
      <c r="BY1109" s="303"/>
      <c r="BZ1109" s="303"/>
      <c r="CA1109" s="303"/>
    </row>
    <row r="1110" spans="51:79" ht="15" customHeight="1" x14ac:dyDescent="0.2">
      <c r="AY1110" s="303"/>
      <c r="AZ1110" s="303"/>
      <c r="BA1110" s="303"/>
      <c r="BB1110" s="303"/>
      <c r="BC1110" s="303"/>
      <c r="BD1110" s="303"/>
      <c r="BE1110" s="303"/>
      <c r="BF1110" s="303"/>
      <c r="BG1110" s="303"/>
      <c r="BH1110" s="303"/>
      <c r="BI1110" s="303"/>
      <c r="BJ1110" s="303"/>
      <c r="BK1110" s="303"/>
      <c r="BL1110" s="303"/>
      <c r="BM1110" s="303"/>
      <c r="BN1110" s="303"/>
      <c r="BO1110" s="303"/>
      <c r="BP1110" s="303"/>
      <c r="BQ1110" s="303"/>
      <c r="BR1110" s="303"/>
      <c r="BS1110" s="303"/>
      <c r="BT1110" s="303"/>
      <c r="BU1110" s="303"/>
      <c r="BV1110" s="303"/>
      <c r="BW1110" s="303"/>
      <c r="BX1110" s="303"/>
      <c r="BY1110" s="303"/>
      <c r="BZ1110" s="303"/>
      <c r="CA1110" s="303"/>
    </row>
    <row r="1111" spans="51:79" ht="15" customHeight="1" x14ac:dyDescent="0.2">
      <c r="AY1111" s="303"/>
      <c r="AZ1111" s="303"/>
      <c r="BA1111" s="303"/>
      <c r="BB1111" s="303"/>
      <c r="BC1111" s="303"/>
      <c r="BD1111" s="303"/>
      <c r="BE1111" s="303"/>
      <c r="BF1111" s="303"/>
      <c r="BG1111" s="303"/>
      <c r="BH1111" s="303"/>
      <c r="BI1111" s="303"/>
      <c r="BJ1111" s="303"/>
      <c r="BK1111" s="303"/>
      <c r="BL1111" s="303"/>
      <c r="BM1111" s="303"/>
      <c r="BN1111" s="303"/>
      <c r="BO1111" s="303"/>
      <c r="BP1111" s="303"/>
      <c r="BQ1111" s="303"/>
      <c r="BR1111" s="303"/>
      <c r="BS1111" s="303"/>
      <c r="BT1111" s="303"/>
      <c r="BU1111" s="303"/>
      <c r="BV1111" s="303"/>
      <c r="BW1111" s="303"/>
      <c r="BX1111" s="303"/>
      <c r="BY1111" s="303"/>
      <c r="BZ1111" s="303"/>
      <c r="CA1111" s="303"/>
    </row>
    <row r="1112" spans="51:79" ht="15" customHeight="1" x14ac:dyDescent="0.2">
      <c r="AY1112" s="303"/>
      <c r="AZ1112" s="303"/>
      <c r="BA1112" s="303"/>
      <c r="BB1112" s="303"/>
      <c r="BC1112" s="303"/>
      <c r="BD1112" s="303"/>
      <c r="BE1112" s="303"/>
      <c r="BF1112" s="303"/>
      <c r="BG1112" s="303"/>
      <c r="BH1112" s="303"/>
      <c r="BI1112" s="303"/>
      <c r="BJ1112" s="303"/>
      <c r="BK1112" s="303"/>
      <c r="BL1112" s="303"/>
      <c r="BM1112" s="303"/>
      <c r="BN1112" s="303"/>
      <c r="BO1112" s="303"/>
      <c r="BP1112" s="303"/>
      <c r="BQ1112" s="303"/>
      <c r="BR1112" s="303"/>
      <c r="BS1112" s="303"/>
      <c r="BT1112" s="303"/>
      <c r="BU1112" s="303"/>
      <c r="BV1112" s="303"/>
      <c r="BW1112" s="303"/>
      <c r="BX1112" s="303"/>
      <c r="BY1112" s="303"/>
      <c r="BZ1112" s="303"/>
      <c r="CA1112" s="303"/>
    </row>
    <row r="1113" spans="51:79" ht="15" customHeight="1" x14ac:dyDescent="0.2">
      <c r="AY1113" s="303"/>
      <c r="AZ1113" s="303"/>
      <c r="BA1113" s="303"/>
      <c r="BB1113" s="303"/>
      <c r="BC1113" s="303"/>
      <c r="BD1113" s="303"/>
      <c r="BE1113" s="303"/>
      <c r="BF1113" s="303"/>
      <c r="BG1113" s="303"/>
      <c r="BH1113" s="303"/>
      <c r="BI1113" s="303"/>
      <c r="BJ1113" s="303"/>
      <c r="BK1113" s="303"/>
      <c r="BL1113" s="303"/>
      <c r="BM1113" s="303"/>
      <c r="BN1113" s="303"/>
      <c r="BO1113" s="303"/>
      <c r="BP1113" s="303"/>
      <c r="BQ1113" s="303"/>
      <c r="BR1113" s="303"/>
      <c r="BS1113" s="303"/>
      <c r="BT1113" s="303"/>
      <c r="BU1113" s="303"/>
      <c r="BV1113" s="303"/>
      <c r="BW1113" s="303"/>
      <c r="BX1113" s="303"/>
      <c r="BY1113" s="303"/>
      <c r="BZ1113" s="303"/>
      <c r="CA1113" s="303"/>
    </row>
    <row r="1114" spans="51:79" ht="15" customHeight="1" x14ac:dyDescent="0.2">
      <c r="AY1114" s="303"/>
      <c r="AZ1114" s="303"/>
      <c r="BA1114" s="303"/>
      <c r="BB1114" s="303"/>
      <c r="BC1114" s="303"/>
      <c r="BD1114" s="303"/>
      <c r="BE1114" s="303"/>
      <c r="BF1114" s="303"/>
      <c r="BG1114" s="303"/>
      <c r="BH1114" s="303"/>
      <c r="BI1114" s="303"/>
      <c r="BJ1114" s="303"/>
      <c r="BK1114" s="303"/>
      <c r="BL1114" s="303"/>
      <c r="BM1114" s="303"/>
      <c r="BN1114" s="303"/>
      <c r="BO1114" s="303"/>
      <c r="BP1114" s="303"/>
      <c r="BQ1114" s="303"/>
      <c r="BR1114" s="303"/>
      <c r="BS1114" s="303"/>
      <c r="BT1114" s="303"/>
      <c r="BU1114" s="303"/>
      <c r="BV1114" s="303"/>
      <c r="BW1114" s="303"/>
      <c r="BX1114" s="303"/>
      <c r="BY1114" s="303"/>
      <c r="BZ1114" s="303"/>
      <c r="CA1114" s="303"/>
    </row>
    <row r="1115" spans="51:79" ht="15" customHeight="1" x14ac:dyDescent="0.2">
      <c r="AY1115" s="303"/>
      <c r="AZ1115" s="303"/>
      <c r="BA1115" s="303"/>
      <c r="BB1115" s="303"/>
      <c r="BC1115" s="303"/>
      <c r="BD1115" s="303"/>
      <c r="BE1115" s="303"/>
      <c r="BF1115" s="303"/>
      <c r="BG1115" s="303"/>
      <c r="BH1115" s="303"/>
      <c r="BI1115" s="303"/>
      <c r="BJ1115" s="303"/>
      <c r="BK1115" s="303"/>
      <c r="BL1115" s="303"/>
      <c r="BM1115" s="303"/>
      <c r="BN1115" s="303"/>
      <c r="BO1115" s="303"/>
      <c r="BP1115" s="303"/>
      <c r="BQ1115" s="303"/>
      <c r="BR1115" s="303"/>
      <c r="BS1115" s="303"/>
      <c r="BT1115" s="303"/>
      <c r="BU1115" s="303"/>
      <c r="BV1115" s="303"/>
      <c r="BW1115" s="303"/>
      <c r="BX1115" s="303"/>
      <c r="BY1115" s="303"/>
      <c r="BZ1115" s="303"/>
      <c r="CA1115" s="303"/>
    </row>
    <row r="1116" spans="51:79" ht="15" customHeight="1" x14ac:dyDescent="0.2">
      <c r="AY1116" s="303"/>
      <c r="AZ1116" s="303"/>
      <c r="BA1116" s="303"/>
      <c r="BB1116" s="303"/>
      <c r="BC1116" s="303"/>
      <c r="BD1116" s="303"/>
      <c r="BE1116" s="303"/>
      <c r="BF1116" s="303"/>
      <c r="BG1116" s="303"/>
      <c r="BH1116" s="303"/>
      <c r="BI1116" s="303"/>
      <c r="BJ1116" s="303"/>
      <c r="BK1116" s="303"/>
      <c r="BL1116" s="303"/>
      <c r="BM1116" s="303"/>
      <c r="BN1116" s="303"/>
      <c r="BO1116" s="303"/>
      <c r="BP1116" s="303"/>
      <c r="BQ1116" s="303"/>
      <c r="BR1116" s="303"/>
      <c r="BS1116" s="303"/>
      <c r="BT1116" s="303"/>
      <c r="BU1116" s="303"/>
      <c r="BV1116" s="303"/>
      <c r="BW1116" s="303"/>
      <c r="BX1116" s="303"/>
      <c r="BY1116" s="303"/>
      <c r="BZ1116" s="303"/>
      <c r="CA1116" s="303"/>
    </row>
    <row r="1117" spans="51:79" ht="15" customHeight="1" x14ac:dyDescent="0.2">
      <c r="AY1117" s="303"/>
      <c r="AZ1117" s="303"/>
      <c r="BA1117" s="303"/>
      <c r="BB1117" s="303"/>
      <c r="BC1117" s="303"/>
      <c r="BD1117" s="303"/>
      <c r="BE1117" s="303"/>
      <c r="BF1117" s="303"/>
      <c r="BG1117" s="303"/>
      <c r="BH1117" s="303"/>
      <c r="BI1117" s="303"/>
      <c r="BJ1117" s="303"/>
      <c r="BK1117" s="303"/>
      <c r="BL1117" s="303"/>
      <c r="BM1117" s="303"/>
      <c r="BN1117" s="303"/>
      <c r="BO1117" s="303"/>
      <c r="BP1117" s="303"/>
      <c r="BQ1117" s="303"/>
      <c r="BR1117" s="303"/>
      <c r="BS1117" s="303"/>
      <c r="BT1117" s="303"/>
      <c r="BU1117" s="303"/>
      <c r="BV1117" s="303"/>
      <c r="BW1117" s="303"/>
      <c r="BX1117" s="303"/>
      <c r="BY1117" s="303"/>
      <c r="BZ1117" s="303"/>
      <c r="CA1117" s="303"/>
    </row>
    <row r="1118" spans="51:79" ht="15" customHeight="1" x14ac:dyDescent="0.2">
      <c r="AY1118" s="303"/>
      <c r="AZ1118" s="303"/>
      <c r="BA1118" s="303"/>
      <c r="BB1118" s="303"/>
      <c r="BC1118" s="303"/>
      <c r="BD1118" s="303"/>
      <c r="BE1118" s="303"/>
      <c r="BF1118" s="303"/>
      <c r="BG1118" s="303"/>
      <c r="BH1118" s="303"/>
      <c r="BI1118" s="303"/>
      <c r="BJ1118" s="303"/>
      <c r="BK1118" s="303"/>
      <c r="BL1118" s="303"/>
      <c r="BM1118" s="303"/>
      <c r="BN1118" s="303"/>
      <c r="BO1118" s="303"/>
      <c r="BP1118" s="303"/>
      <c r="BQ1118" s="303"/>
      <c r="BR1118" s="303"/>
      <c r="BS1118" s="303"/>
      <c r="BT1118" s="303"/>
      <c r="BU1118" s="303"/>
      <c r="BV1118" s="303"/>
      <c r="BW1118" s="303"/>
      <c r="BX1118" s="303"/>
      <c r="BY1118" s="303"/>
      <c r="BZ1118" s="303"/>
      <c r="CA1118" s="303"/>
    </row>
    <row r="1119" spans="51:79" ht="15" customHeight="1" x14ac:dyDescent="0.2">
      <c r="AY1119" s="303"/>
      <c r="AZ1119" s="303"/>
      <c r="BA1119" s="303"/>
      <c r="BB1119" s="303"/>
      <c r="BC1119" s="303"/>
      <c r="BD1119" s="303"/>
      <c r="BE1119" s="303"/>
      <c r="BF1119" s="303"/>
      <c r="BG1119" s="303"/>
      <c r="BH1119" s="303"/>
      <c r="BI1119" s="303"/>
      <c r="BJ1119" s="303"/>
      <c r="BK1119" s="303"/>
      <c r="BL1119" s="303"/>
      <c r="BM1119" s="303"/>
      <c r="BN1119" s="303"/>
      <c r="BO1119" s="303"/>
      <c r="BP1119" s="303"/>
      <c r="BQ1119" s="303"/>
      <c r="BR1119" s="303"/>
      <c r="BS1119" s="303"/>
      <c r="BT1119" s="303"/>
      <c r="BU1119" s="303"/>
      <c r="BV1119" s="303"/>
      <c r="BW1119" s="303"/>
      <c r="BX1119" s="303"/>
      <c r="BY1119" s="303"/>
      <c r="BZ1119" s="303"/>
      <c r="CA1119" s="303"/>
    </row>
    <row r="1120" spans="51:79" ht="15" customHeight="1" x14ac:dyDescent="0.2">
      <c r="AY1120" s="303"/>
      <c r="AZ1120" s="303"/>
      <c r="BA1120" s="303"/>
      <c r="BB1120" s="303"/>
      <c r="BC1120" s="303"/>
      <c r="BD1120" s="303"/>
      <c r="BE1120" s="303"/>
      <c r="BF1120" s="303"/>
      <c r="BG1120" s="303"/>
      <c r="BH1120" s="303"/>
      <c r="BI1120" s="303"/>
      <c r="BJ1120" s="303"/>
      <c r="BK1120" s="303"/>
      <c r="BL1120" s="303"/>
      <c r="BM1120" s="303"/>
      <c r="BN1120" s="303"/>
      <c r="BO1120" s="303"/>
      <c r="BP1120" s="303"/>
      <c r="BQ1120" s="303"/>
      <c r="BR1120" s="303"/>
      <c r="BS1120" s="303"/>
      <c r="BT1120" s="303"/>
      <c r="BU1120" s="303"/>
      <c r="BV1120" s="303"/>
      <c r="BW1120" s="303"/>
      <c r="BX1120" s="303"/>
      <c r="BY1120" s="303"/>
      <c r="BZ1120" s="303"/>
      <c r="CA1120" s="303"/>
    </row>
    <row r="1121" spans="51:79" ht="15" customHeight="1" x14ac:dyDescent="0.2">
      <c r="AY1121" s="303"/>
      <c r="AZ1121" s="303"/>
      <c r="BA1121" s="303"/>
      <c r="BB1121" s="303"/>
      <c r="BC1121" s="303"/>
      <c r="BD1121" s="303"/>
      <c r="BE1121" s="303"/>
      <c r="BF1121" s="303"/>
      <c r="BG1121" s="303"/>
      <c r="BH1121" s="303"/>
      <c r="BI1121" s="303"/>
      <c r="BJ1121" s="303"/>
      <c r="BK1121" s="303"/>
      <c r="BL1121" s="303"/>
      <c r="BM1121" s="303"/>
      <c r="BN1121" s="303"/>
      <c r="BO1121" s="303"/>
      <c r="BP1121" s="303"/>
      <c r="BQ1121" s="303"/>
      <c r="BR1121" s="303"/>
      <c r="BS1121" s="303"/>
      <c r="BT1121" s="303"/>
      <c r="BU1121" s="303"/>
      <c r="BV1121" s="303"/>
      <c r="BW1121" s="303"/>
      <c r="BX1121" s="303"/>
      <c r="BY1121" s="303"/>
      <c r="BZ1121" s="303"/>
      <c r="CA1121" s="303"/>
    </row>
    <row r="1122" spans="51:79" ht="15" customHeight="1" x14ac:dyDescent="0.2">
      <c r="AY1122" s="303"/>
      <c r="AZ1122" s="303"/>
      <c r="BA1122" s="303"/>
      <c r="BB1122" s="303"/>
      <c r="BC1122" s="303"/>
      <c r="BD1122" s="303"/>
      <c r="BE1122" s="303"/>
      <c r="BF1122" s="303"/>
      <c r="BG1122" s="303"/>
      <c r="BH1122" s="303"/>
      <c r="BI1122" s="303"/>
      <c r="BJ1122" s="303"/>
      <c r="BK1122" s="303"/>
      <c r="BL1122" s="303"/>
      <c r="BM1122" s="303"/>
      <c r="BN1122" s="303"/>
      <c r="BO1122" s="303"/>
      <c r="BP1122" s="303"/>
      <c r="BQ1122" s="303"/>
      <c r="BR1122" s="303"/>
      <c r="BS1122" s="303"/>
      <c r="BT1122" s="303"/>
      <c r="BU1122" s="303"/>
      <c r="BV1122" s="303"/>
      <c r="BW1122" s="303"/>
      <c r="BX1122" s="303"/>
      <c r="BY1122" s="303"/>
      <c r="BZ1122" s="303"/>
      <c r="CA1122" s="303"/>
    </row>
    <row r="1123" spans="51:79" ht="15" customHeight="1" x14ac:dyDescent="0.2">
      <c r="AY1123" s="303"/>
      <c r="AZ1123" s="303"/>
      <c r="BA1123" s="303"/>
      <c r="BB1123" s="303"/>
      <c r="BC1123" s="303"/>
      <c r="BD1123" s="303"/>
      <c r="BE1123" s="303"/>
      <c r="BF1123" s="303"/>
      <c r="BG1123" s="303"/>
      <c r="BH1123" s="303"/>
      <c r="BI1123" s="303"/>
      <c r="BJ1123" s="303"/>
      <c r="BK1123" s="303"/>
      <c r="BL1123" s="303"/>
      <c r="BM1123" s="303"/>
      <c r="BN1123" s="303"/>
      <c r="BO1123" s="303"/>
      <c r="BP1123" s="303"/>
      <c r="BQ1123" s="303"/>
      <c r="BR1123" s="303"/>
      <c r="BS1123" s="303"/>
      <c r="BT1123" s="303"/>
      <c r="BU1123" s="303"/>
      <c r="BV1123" s="303"/>
      <c r="BW1123" s="303"/>
      <c r="BX1123" s="303"/>
      <c r="BY1123" s="303"/>
      <c r="BZ1123" s="303"/>
      <c r="CA1123" s="303"/>
    </row>
    <row r="1124" spans="51:79" ht="15" customHeight="1" x14ac:dyDescent="0.2">
      <c r="AY1124" s="303"/>
      <c r="AZ1124" s="303"/>
      <c r="BA1124" s="303"/>
      <c r="BB1124" s="303"/>
      <c r="BC1124" s="303"/>
      <c r="BD1124" s="303"/>
      <c r="BE1124" s="303"/>
      <c r="BF1124" s="303"/>
      <c r="BG1124" s="303"/>
      <c r="BH1124" s="303"/>
      <c r="BI1124" s="303"/>
      <c r="BJ1124" s="303"/>
      <c r="BK1124" s="303"/>
      <c r="BL1124" s="303"/>
      <c r="BM1124" s="303"/>
      <c r="BN1124" s="303"/>
      <c r="BO1124" s="303"/>
      <c r="BP1124" s="303"/>
      <c r="BQ1124" s="303"/>
      <c r="BR1124" s="303"/>
      <c r="BS1124" s="303"/>
      <c r="BT1124" s="303"/>
      <c r="BU1124" s="303"/>
      <c r="BV1124" s="303"/>
      <c r="BW1124" s="303"/>
      <c r="BX1124" s="303"/>
      <c r="BY1124" s="303"/>
      <c r="BZ1124" s="303"/>
      <c r="CA1124" s="303"/>
    </row>
    <row r="1125" spans="51:79" ht="15" customHeight="1" x14ac:dyDescent="0.2">
      <c r="AY1125" s="303"/>
      <c r="AZ1125" s="303"/>
      <c r="BA1125" s="303"/>
      <c r="BB1125" s="303"/>
      <c r="BC1125" s="303"/>
      <c r="BD1125" s="303"/>
      <c r="BE1125" s="303"/>
      <c r="BF1125" s="303"/>
      <c r="BG1125" s="303"/>
      <c r="BH1125" s="303"/>
      <c r="BI1125" s="303"/>
      <c r="BJ1125" s="303"/>
      <c r="BK1125" s="303"/>
      <c r="BL1125" s="303"/>
      <c r="BM1125" s="303"/>
      <c r="BN1125" s="303"/>
      <c r="BO1125" s="303"/>
      <c r="BP1125" s="303"/>
      <c r="BQ1125" s="303"/>
      <c r="BR1125" s="303"/>
      <c r="BS1125" s="303"/>
      <c r="BT1125" s="303"/>
      <c r="BU1125" s="303"/>
      <c r="BV1125" s="303"/>
      <c r="BW1125" s="303"/>
      <c r="BX1125" s="303"/>
      <c r="BY1125" s="303"/>
      <c r="BZ1125" s="303"/>
      <c r="CA1125" s="303"/>
    </row>
    <row r="1126" spans="51:79" ht="15" customHeight="1" x14ac:dyDescent="0.2">
      <c r="AY1126" s="303"/>
      <c r="AZ1126" s="303"/>
      <c r="BA1126" s="303"/>
      <c r="BB1126" s="303"/>
      <c r="BC1126" s="303"/>
      <c r="BD1126" s="303"/>
      <c r="BE1126" s="303"/>
      <c r="BF1126" s="303"/>
      <c r="BG1126" s="303"/>
      <c r="BH1126" s="303"/>
      <c r="BI1126" s="303"/>
      <c r="BJ1126" s="303"/>
      <c r="BK1126" s="303"/>
      <c r="BL1126" s="303"/>
      <c r="BM1126" s="303"/>
      <c r="BN1126" s="303"/>
      <c r="BO1126" s="303"/>
      <c r="BP1126" s="303"/>
      <c r="BQ1126" s="303"/>
      <c r="BR1126" s="303"/>
      <c r="BS1126" s="303"/>
      <c r="BT1126" s="303"/>
      <c r="BU1126" s="303"/>
      <c r="BV1126" s="303"/>
      <c r="BW1126" s="303"/>
      <c r="BX1126" s="303"/>
      <c r="BY1126" s="303"/>
      <c r="BZ1126" s="303"/>
      <c r="CA1126" s="303"/>
    </row>
    <row r="1127" spans="51:79" ht="15" customHeight="1" x14ac:dyDescent="0.2">
      <c r="AY1127" s="303"/>
      <c r="AZ1127" s="303"/>
      <c r="BA1127" s="303"/>
      <c r="BB1127" s="303"/>
      <c r="BC1127" s="303"/>
      <c r="BD1127" s="303"/>
      <c r="BE1127" s="303"/>
      <c r="BF1127" s="303"/>
      <c r="BG1127" s="303"/>
      <c r="BH1127" s="303"/>
      <c r="BI1127" s="303"/>
      <c r="BJ1127" s="303"/>
      <c r="BK1127" s="303"/>
      <c r="BL1127" s="303"/>
      <c r="BM1127" s="303"/>
      <c r="BN1127" s="303"/>
      <c r="BO1127" s="303"/>
      <c r="BP1127" s="303"/>
      <c r="BQ1127" s="303"/>
      <c r="BR1127" s="303"/>
      <c r="BS1127" s="303"/>
      <c r="BT1127" s="303"/>
      <c r="BU1127" s="303"/>
      <c r="BV1127" s="303"/>
      <c r="BW1127" s="303"/>
      <c r="BX1127" s="303"/>
      <c r="BY1127" s="303"/>
      <c r="BZ1127" s="303"/>
      <c r="CA1127" s="303"/>
    </row>
    <row r="1128" spans="51:79" ht="15" customHeight="1" x14ac:dyDescent="0.2">
      <c r="AY1128" s="303"/>
      <c r="AZ1128" s="303"/>
      <c r="BA1128" s="303"/>
      <c r="BB1128" s="303"/>
      <c r="BC1128" s="303"/>
      <c r="BD1128" s="303"/>
      <c r="BE1128" s="303"/>
      <c r="BF1128" s="303"/>
      <c r="BG1128" s="303"/>
      <c r="BH1128" s="303"/>
      <c r="BI1128" s="303"/>
      <c r="BJ1128" s="303"/>
      <c r="BK1128" s="303"/>
      <c r="BL1128" s="303"/>
      <c r="BM1128" s="303"/>
      <c r="BN1128" s="303"/>
      <c r="BO1128" s="303"/>
      <c r="BP1128" s="303"/>
      <c r="BQ1128" s="303"/>
      <c r="BR1128" s="303"/>
      <c r="BS1128" s="303"/>
      <c r="BT1128" s="303"/>
      <c r="BU1128" s="303"/>
      <c r="BV1128" s="303"/>
      <c r="BW1128" s="303"/>
      <c r="BX1128" s="303"/>
      <c r="BY1128" s="303"/>
      <c r="BZ1128" s="303"/>
      <c r="CA1128" s="303"/>
    </row>
    <row r="1129" spans="51:79" ht="15" customHeight="1" x14ac:dyDescent="0.2">
      <c r="AY1129" s="303"/>
      <c r="AZ1129" s="303"/>
      <c r="BA1129" s="303"/>
      <c r="BB1129" s="303"/>
      <c r="BC1129" s="303"/>
      <c r="BD1129" s="303"/>
      <c r="BE1129" s="303"/>
      <c r="BF1129" s="303"/>
      <c r="BG1129" s="303"/>
      <c r="BH1129" s="303"/>
      <c r="BI1129" s="303"/>
      <c r="BJ1129" s="303"/>
      <c r="BK1129" s="303"/>
      <c r="BL1129" s="303"/>
      <c r="BM1129" s="303"/>
      <c r="BN1129" s="303"/>
      <c r="BO1129" s="303"/>
      <c r="BP1129" s="303"/>
      <c r="BQ1129" s="303"/>
      <c r="BR1129" s="303"/>
      <c r="BS1129" s="303"/>
      <c r="BT1129" s="303"/>
      <c r="BU1129" s="303"/>
      <c r="BV1129" s="303"/>
      <c r="BW1129" s="303"/>
      <c r="BX1129" s="303"/>
      <c r="BY1129" s="303"/>
      <c r="BZ1129" s="303"/>
      <c r="CA1129" s="303"/>
    </row>
    <row r="1130" spans="51:79" ht="15" customHeight="1" x14ac:dyDescent="0.2">
      <c r="AY1130" s="303"/>
      <c r="AZ1130" s="303"/>
      <c r="BA1130" s="303"/>
      <c r="BB1130" s="303"/>
      <c r="BC1130" s="303"/>
      <c r="BD1130" s="303"/>
      <c r="BE1130" s="303"/>
      <c r="BF1130" s="303"/>
      <c r="BG1130" s="303"/>
      <c r="BH1130" s="303"/>
      <c r="BI1130" s="303"/>
      <c r="BJ1130" s="303"/>
      <c r="BK1130" s="303"/>
      <c r="BL1130" s="303"/>
      <c r="BM1130" s="303"/>
      <c r="BN1130" s="303"/>
      <c r="BO1130" s="303"/>
      <c r="BP1130" s="303"/>
      <c r="BQ1130" s="303"/>
      <c r="BR1130" s="303"/>
      <c r="BS1130" s="303"/>
      <c r="BT1130" s="303"/>
      <c r="BU1130" s="303"/>
      <c r="BV1130" s="303"/>
      <c r="BW1130" s="303"/>
      <c r="BX1130" s="303"/>
      <c r="BY1130" s="303"/>
      <c r="BZ1130" s="303"/>
      <c r="CA1130" s="303"/>
    </row>
    <row r="1131" spans="51:79" ht="15" customHeight="1" x14ac:dyDescent="0.2">
      <c r="AY1131" s="303"/>
      <c r="AZ1131" s="303"/>
      <c r="BA1131" s="303"/>
      <c r="BB1131" s="303"/>
      <c r="BC1131" s="303"/>
      <c r="BD1131" s="303"/>
      <c r="BE1131" s="303"/>
      <c r="BF1131" s="303"/>
      <c r="BG1131" s="303"/>
      <c r="BH1131" s="303"/>
      <c r="BI1131" s="303"/>
      <c r="BJ1131" s="303"/>
      <c r="BK1131" s="303"/>
      <c r="BL1131" s="303"/>
      <c r="BM1131" s="303"/>
      <c r="BN1131" s="303"/>
      <c r="BO1131" s="303"/>
      <c r="BP1131" s="303"/>
      <c r="BQ1131" s="303"/>
      <c r="BR1131" s="303"/>
      <c r="BS1131" s="303"/>
      <c r="BT1131" s="303"/>
      <c r="BU1131" s="303"/>
      <c r="BV1131" s="303"/>
      <c r="BW1131" s="303"/>
      <c r="BX1131" s="303"/>
      <c r="BY1131" s="303"/>
      <c r="BZ1131" s="303"/>
      <c r="CA1131" s="303"/>
    </row>
    <row r="1132" spans="51:79" ht="15" customHeight="1" x14ac:dyDescent="0.2">
      <c r="AY1132" s="303"/>
      <c r="AZ1132" s="303"/>
      <c r="BA1132" s="303"/>
      <c r="BB1132" s="303"/>
      <c r="BC1132" s="303"/>
      <c r="BD1132" s="303"/>
      <c r="BE1132" s="303"/>
      <c r="BF1132" s="303"/>
      <c r="BG1132" s="303"/>
      <c r="BH1132" s="303"/>
      <c r="BI1132" s="303"/>
      <c r="BJ1132" s="303"/>
      <c r="BK1132" s="303"/>
      <c r="BL1132" s="303"/>
      <c r="BM1132" s="303"/>
      <c r="BN1132" s="303"/>
      <c r="BO1132" s="303"/>
      <c r="BP1132" s="303"/>
      <c r="BQ1132" s="303"/>
      <c r="BR1132" s="303"/>
      <c r="BS1132" s="303"/>
      <c r="BT1132" s="303"/>
      <c r="BU1132" s="303"/>
      <c r="BV1132" s="303"/>
      <c r="BW1132" s="303"/>
      <c r="BX1132" s="303"/>
      <c r="BY1132" s="303"/>
      <c r="BZ1132" s="303"/>
      <c r="CA1132" s="303"/>
    </row>
    <row r="1133" spans="51:79" ht="15" customHeight="1" x14ac:dyDescent="0.2">
      <c r="AY1133" s="303"/>
      <c r="AZ1133" s="303"/>
      <c r="BA1133" s="303"/>
      <c r="BB1133" s="303"/>
      <c r="BC1133" s="303"/>
      <c r="BD1133" s="303"/>
      <c r="BE1133" s="303"/>
      <c r="BF1133" s="303"/>
      <c r="BG1133" s="303"/>
      <c r="BH1133" s="303"/>
      <c r="BI1133" s="303"/>
      <c r="BJ1133" s="303"/>
      <c r="BK1133" s="303"/>
      <c r="BL1133" s="303"/>
      <c r="BM1133" s="303"/>
      <c r="BN1133" s="303"/>
      <c r="BO1133" s="303"/>
      <c r="BP1133" s="303"/>
      <c r="BQ1133" s="303"/>
      <c r="BR1133" s="303"/>
      <c r="BS1133" s="303"/>
      <c r="BT1133" s="303"/>
      <c r="BU1133" s="303"/>
      <c r="BV1133" s="303"/>
      <c r="BW1133" s="303"/>
      <c r="BX1133" s="303"/>
      <c r="BY1133" s="303"/>
      <c r="BZ1133" s="303"/>
      <c r="CA1133" s="303"/>
    </row>
    <row r="1134" spans="51:79" ht="15" customHeight="1" x14ac:dyDescent="0.2">
      <c r="AY1134" s="303"/>
      <c r="AZ1134" s="303"/>
      <c r="BA1134" s="303"/>
      <c r="BB1134" s="303"/>
      <c r="BC1134" s="303"/>
      <c r="BD1134" s="303"/>
      <c r="BE1134" s="303"/>
      <c r="BF1134" s="303"/>
      <c r="BG1134" s="303"/>
      <c r="BH1134" s="303"/>
      <c r="BI1134" s="303"/>
      <c r="BJ1134" s="303"/>
      <c r="BK1134" s="303"/>
      <c r="BL1134" s="303"/>
      <c r="BM1134" s="303"/>
      <c r="BN1134" s="303"/>
      <c r="BO1134" s="303"/>
      <c r="BP1134" s="303"/>
      <c r="BQ1134" s="303"/>
      <c r="BR1134" s="303"/>
      <c r="BS1134" s="303"/>
      <c r="BT1134" s="303"/>
      <c r="BU1134" s="303"/>
      <c r="BV1134" s="303"/>
      <c r="BW1134" s="303"/>
      <c r="BX1134" s="303"/>
      <c r="BY1134" s="303"/>
      <c r="BZ1134" s="303"/>
      <c r="CA1134" s="303"/>
    </row>
    <row r="1135" spans="51:79" ht="15" customHeight="1" x14ac:dyDescent="0.2">
      <c r="AY1135" s="303"/>
      <c r="AZ1135" s="303"/>
      <c r="BA1135" s="303"/>
      <c r="BB1135" s="303"/>
      <c r="BC1135" s="303"/>
      <c r="BD1135" s="303"/>
      <c r="BE1135" s="303"/>
      <c r="BF1135" s="303"/>
      <c r="BG1135" s="303"/>
      <c r="BH1135" s="303"/>
      <c r="BI1135" s="303"/>
      <c r="BJ1135" s="303"/>
      <c r="BK1135" s="303"/>
      <c r="BL1135" s="303"/>
      <c r="BM1135" s="303"/>
      <c r="BN1135" s="303"/>
      <c r="BO1135" s="303"/>
      <c r="BP1135" s="303"/>
      <c r="BQ1135" s="303"/>
      <c r="BR1135" s="303"/>
      <c r="BS1135" s="303"/>
      <c r="BT1135" s="303"/>
      <c r="BU1135" s="303"/>
      <c r="BV1135" s="303"/>
      <c r="BW1135" s="303"/>
      <c r="BX1135" s="303"/>
      <c r="BY1135" s="303"/>
      <c r="BZ1135" s="303"/>
      <c r="CA1135" s="303"/>
    </row>
    <row r="1136" spans="51:79" ht="15" customHeight="1" x14ac:dyDescent="0.2">
      <c r="AY1136" s="303"/>
      <c r="AZ1136" s="303"/>
      <c r="BA1136" s="303"/>
      <c r="BB1136" s="303"/>
      <c r="BC1136" s="303"/>
      <c r="BD1136" s="303"/>
      <c r="BE1136" s="303"/>
      <c r="BF1136" s="303"/>
      <c r="BG1136" s="303"/>
      <c r="BH1136" s="303"/>
      <c r="BI1136" s="303"/>
      <c r="BJ1136" s="303"/>
      <c r="BK1136" s="303"/>
      <c r="BL1136" s="303"/>
      <c r="BM1136" s="303"/>
      <c r="BN1136" s="303"/>
      <c r="BO1136" s="303"/>
      <c r="BP1136" s="303"/>
      <c r="BQ1136" s="303"/>
      <c r="BR1136" s="303"/>
      <c r="BS1136" s="303"/>
      <c r="BT1136" s="303"/>
      <c r="BU1136" s="303"/>
      <c r="BV1136" s="303"/>
      <c r="BW1136" s="303"/>
      <c r="BX1136" s="303"/>
      <c r="BY1136" s="303"/>
      <c r="BZ1136" s="303"/>
      <c r="CA1136" s="303"/>
    </row>
    <row r="1137" spans="51:79" ht="15" customHeight="1" x14ac:dyDescent="0.2">
      <c r="AY1137" s="303"/>
      <c r="AZ1137" s="303"/>
      <c r="BA1137" s="303"/>
      <c r="BB1137" s="303"/>
      <c r="BC1137" s="303"/>
      <c r="BD1137" s="303"/>
      <c r="BE1137" s="303"/>
      <c r="BF1137" s="303"/>
      <c r="BG1137" s="303"/>
      <c r="BH1137" s="303"/>
      <c r="BI1137" s="303"/>
      <c r="BJ1137" s="303"/>
      <c r="BK1137" s="303"/>
      <c r="BL1137" s="303"/>
      <c r="BM1137" s="303"/>
      <c r="BN1137" s="303"/>
      <c r="BO1137" s="303"/>
      <c r="BP1137" s="303"/>
      <c r="BQ1137" s="303"/>
      <c r="BR1137" s="303"/>
      <c r="BS1137" s="303"/>
      <c r="BT1137" s="303"/>
      <c r="BU1137" s="303"/>
      <c r="BV1137" s="303"/>
      <c r="BW1137" s="303"/>
      <c r="BX1137" s="303"/>
      <c r="BY1137" s="303"/>
      <c r="BZ1137" s="303"/>
      <c r="CA1137" s="303"/>
    </row>
    <row r="1138" spans="51:79" ht="15" customHeight="1" x14ac:dyDescent="0.2">
      <c r="AY1138" s="303"/>
      <c r="AZ1138" s="303"/>
      <c r="BA1138" s="303"/>
      <c r="BB1138" s="303"/>
      <c r="BC1138" s="303"/>
      <c r="BD1138" s="303"/>
      <c r="BE1138" s="303"/>
      <c r="BF1138" s="303"/>
      <c r="BG1138" s="303"/>
      <c r="BH1138" s="303"/>
      <c r="BI1138" s="303"/>
      <c r="BJ1138" s="303"/>
      <c r="BK1138" s="303"/>
      <c r="BL1138" s="303"/>
      <c r="BM1138" s="303"/>
      <c r="BN1138" s="303"/>
      <c r="BO1138" s="303"/>
      <c r="BP1138" s="303"/>
      <c r="BQ1138" s="303"/>
      <c r="BR1138" s="303"/>
      <c r="BS1138" s="303"/>
      <c r="BT1138" s="303"/>
      <c r="BU1138" s="303"/>
      <c r="BV1138" s="303"/>
      <c r="BW1138" s="303"/>
      <c r="BX1138" s="303"/>
      <c r="BY1138" s="303"/>
      <c r="BZ1138" s="303"/>
      <c r="CA1138" s="303"/>
    </row>
    <row r="1139" spans="51:79" ht="15" customHeight="1" x14ac:dyDescent="0.2">
      <c r="AY1139" s="303"/>
      <c r="AZ1139" s="303"/>
      <c r="BA1139" s="303"/>
      <c r="BB1139" s="303"/>
      <c r="BC1139" s="303"/>
      <c r="BD1139" s="303"/>
      <c r="BE1139" s="303"/>
      <c r="BF1139" s="303"/>
      <c r="BG1139" s="303"/>
      <c r="BH1139" s="303"/>
      <c r="BI1139" s="303"/>
      <c r="BJ1139" s="303"/>
      <c r="BK1139" s="303"/>
      <c r="BL1139" s="303"/>
      <c r="BM1139" s="303"/>
      <c r="BN1139" s="303"/>
      <c r="BO1139" s="303"/>
      <c r="BP1139" s="303"/>
      <c r="BQ1139" s="303"/>
      <c r="BR1139" s="303"/>
      <c r="BS1139" s="303"/>
      <c r="BT1139" s="303"/>
      <c r="BU1139" s="303"/>
      <c r="BV1139" s="303"/>
      <c r="BW1139" s="303"/>
      <c r="BX1139" s="303"/>
      <c r="BY1139" s="303"/>
      <c r="BZ1139" s="303"/>
      <c r="CA1139" s="303"/>
    </row>
    <row r="1140" spans="51:79" ht="15" customHeight="1" x14ac:dyDescent="0.2">
      <c r="AY1140" s="303"/>
      <c r="AZ1140" s="303"/>
      <c r="BA1140" s="303"/>
      <c r="BB1140" s="303"/>
      <c r="BC1140" s="303"/>
      <c r="BD1140" s="303"/>
      <c r="BE1140" s="303"/>
      <c r="BF1140" s="303"/>
      <c r="BG1140" s="303"/>
      <c r="BH1140" s="303"/>
      <c r="BI1140" s="303"/>
      <c r="BJ1140" s="303"/>
      <c r="BK1140" s="303"/>
      <c r="BL1140" s="303"/>
      <c r="BM1140" s="303"/>
      <c r="BN1140" s="303"/>
      <c r="BO1140" s="303"/>
      <c r="BP1140" s="303"/>
      <c r="BQ1140" s="303"/>
      <c r="BR1140" s="303"/>
      <c r="BS1140" s="303"/>
      <c r="BT1140" s="303"/>
      <c r="BU1140" s="303"/>
      <c r="BV1140" s="303"/>
      <c r="BW1140" s="303"/>
      <c r="BX1140" s="303"/>
      <c r="BY1140" s="303"/>
      <c r="BZ1140" s="303"/>
      <c r="CA1140" s="303"/>
    </row>
    <row r="1141" spans="51:79" ht="15" customHeight="1" x14ac:dyDescent="0.2">
      <c r="AY1141" s="303"/>
      <c r="AZ1141" s="303"/>
      <c r="BA1141" s="303"/>
      <c r="BB1141" s="303"/>
      <c r="BC1141" s="303"/>
      <c r="BD1141" s="303"/>
      <c r="BE1141" s="303"/>
      <c r="BF1141" s="303"/>
      <c r="BG1141" s="303"/>
      <c r="BH1141" s="303"/>
      <c r="BI1141" s="303"/>
      <c r="BJ1141" s="303"/>
      <c r="BK1141" s="303"/>
      <c r="BL1141" s="303"/>
      <c r="BM1141" s="303"/>
      <c r="BN1141" s="303"/>
      <c r="BO1141" s="303"/>
      <c r="BP1141" s="303"/>
      <c r="BQ1141" s="303"/>
      <c r="BR1141" s="303"/>
      <c r="BS1141" s="303"/>
      <c r="BT1141" s="303"/>
      <c r="BU1141" s="303"/>
      <c r="BV1141" s="303"/>
      <c r="BW1141" s="303"/>
      <c r="BX1141" s="303"/>
      <c r="BY1141" s="303"/>
      <c r="BZ1141" s="303"/>
      <c r="CA1141" s="303"/>
    </row>
    <row r="1142" spans="51:79" ht="15" customHeight="1" x14ac:dyDescent="0.2">
      <c r="AY1142" s="303"/>
      <c r="AZ1142" s="303"/>
      <c r="BA1142" s="303"/>
      <c r="BB1142" s="303"/>
      <c r="BC1142" s="303"/>
      <c r="BD1142" s="303"/>
      <c r="BE1142" s="303"/>
      <c r="BF1142" s="303"/>
      <c r="BG1142" s="303"/>
      <c r="BH1142" s="303"/>
      <c r="BI1142" s="303"/>
      <c r="BJ1142" s="303"/>
      <c r="BK1142" s="303"/>
      <c r="BL1142" s="303"/>
      <c r="BM1142" s="303"/>
      <c r="BN1142" s="303"/>
      <c r="BO1142" s="303"/>
      <c r="BP1142" s="303"/>
      <c r="BQ1142" s="303"/>
      <c r="BR1142" s="303"/>
      <c r="BS1142" s="303"/>
      <c r="BT1142" s="303"/>
      <c r="BU1142" s="303"/>
      <c r="BV1142" s="303"/>
      <c r="BW1142" s="303"/>
      <c r="BX1142" s="303"/>
      <c r="BY1142" s="303"/>
      <c r="BZ1142" s="303"/>
      <c r="CA1142" s="303"/>
    </row>
    <row r="1143" spans="51:79" ht="15" customHeight="1" x14ac:dyDescent="0.2">
      <c r="AY1143" s="303"/>
      <c r="AZ1143" s="303"/>
      <c r="BA1143" s="303"/>
      <c r="BB1143" s="303"/>
      <c r="BC1143" s="303"/>
      <c r="BD1143" s="303"/>
      <c r="BE1143" s="303"/>
      <c r="BF1143" s="303"/>
      <c r="BG1143" s="303"/>
      <c r="BH1143" s="303"/>
      <c r="BI1143" s="303"/>
      <c r="BJ1143" s="303"/>
      <c r="BK1143" s="303"/>
      <c r="BL1143" s="303"/>
      <c r="BM1143" s="303"/>
      <c r="BN1143" s="303"/>
      <c r="BO1143" s="303"/>
      <c r="BP1143" s="303"/>
      <c r="BQ1143" s="303"/>
      <c r="BR1143" s="303"/>
      <c r="BS1143" s="303"/>
      <c r="BT1143" s="303"/>
      <c r="BU1143" s="303"/>
      <c r="BV1143" s="303"/>
      <c r="BW1143" s="303"/>
      <c r="BX1143" s="303"/>
      <c r="BY1143" s="303"/>
      <c r="BZ1143" s="303"/>
      <c r="CA1143" s="303"/>
    </row>
    <row r="1144" spans="51:79" ht="15" customHeight="1" x14ac:dyDescent="0.2">
      <c r="AY1144" s="303"/>
      <c r="AZ1144" s="303"/>
      <c r="BA1144" s="303"/>
      <c r="BB1144" s="303"/>
      <c r="BC1144" s="303"/>
      <c r="BD1144" s="303"/>
      <c r="BE1144" s="303"/>
      <c r="BF1144" s="303"/>
      <c r="BG1144" s="303"/>
      <c r="BH1144" s="303"/>
      <c r="BI1144" s="303"/>
      <c r="BJ1144" s="303"/>
      <c r="BK1144" s="303"/>
      <c r="BL1144" s="303"/>
      <c r="BM1144" s="303"/>
      <c r="BN1144" s="303"/>
      <c r="BO1144" s="303"/>
      <c r="BP1144" s="303"/>
      <c r="BQ1144" s="303"/>
      <c r="BR1144" s="303"/>
      <c r="BS1144" s="303"/>
      <c r="BT1144" s="303"/>
      <c r="BU1144" s="303"/>
      <c r="BV1144" s="303"/>
      <c r="BW1144" s="303"/>
      <c r="BX1144" s="303"/>
      <c r="BY1144" s="303"/>
      <c r="BZ1144" s="303"/>
      <c r="CA1144" s="303"/>
    </row>
    <row r="1145" spans="51:79" ht="15" customHeight="1" x14ac:dyDescent="0.2">
      <c r="AY1145" s="303"/>
      <c r="AZ1145" s="303"/>
      <c r="BA1145" s="303"/>
      <c r="BB1145" s="303"/>
      <c r="BC1145" s="303"/>
      <c r="BD1145" s="303"/>
      <c r="BE1145" s="303"/>
      <c r="BF1145" s="303"/>
      <c r="BG1145" s="303"/>
      <c r="BH1145" s="303"/>
      <c r="BI1145" s="303"/>
      <c r="BJ1145" s="303"/>
      <c r="BK1145" s="303"/>
      <c r="BL1145" s="303"/>
      <c r="BM1145" s="303"/>
      <c r="BN1145" s="303"/>
      <c r="BO1145" s="303"/>
      <c r="BP1145" s="303"/>
      <c r="BQ1145" s="303"/>
      <c r="BR1145" s="303"/>
      <c r="BS1145" s="303"/>
      <c r="BT1145" s="303"/>
      <c r="BU1145" s="303"/>
      <c r="BV1145" s="303"/>
      <c r="BW1145" s="303"/>
      <c r="BX1145" s="303"/>
      <c r="BY1145" s="303"/>
      <c r="BZ1145" s="303"/>
      <c r="CA1145" s="303"/>
    </row>
    <row r="1146" spans="51:79" ht="15" customHeight="1" x14ac:dyDescent="0.2">
      <c r="AY1146" s="303"/>
      <c r="AZ1146" s="303"/>
      <c r="BA1146" s="303"/>
      <c r="BB1146" s="303"/>
      <c r="BC1146" s="303"/>
      <c r="BD1146" s="303"/>
      <c r="BE1146" s="303"/>
      <c r="BF1146" s="303"/>
      <c r="BG1146" s="303"/>
      <c r="BH1146" s="303"/>
      <c r="BI1146" s="303"/>
      <c r="BJ1146" s="303"/>
      <c r="BK1146" s="303"/>
      <c r="BL1146" s="303"/>
      <c r="BM1146" s="303"/>
      <c r="BN1146" s="303"/>
      <c r="BO1146" s="303"/>
      <c r="BP1146" s="303"/>
      <c r="BQ1146" s="303"/>
      <c r="BR1146" s="303"/>
      <c r="BS1146" s="303"/>
      <c r="BT1146" s="303"/>
      <c r="BU1146" s="303"/>
      <c r="BV1146" s="303"/>
      <c r="BW1146" s="303"/>
      <c r="BX1146" s="303"/>
      <c r="BY1146" s="303"/>
      <c r="BZ1146" s="303"/>
      <c r="CA1146" s="303"/>
    </row>
    <row r="1147" spans="51:79" ht="15" customHeight="1" x14ac:dyDescent="0.2">
      <c r="AY1147" s="303"/>
      <c r="AZ1147" s="303"/>
      <c r="BA1147" s="303"/>
      <c r="BB1147" s="303"/>
      <c r="BC1147" s="303"/>
      <c r="BD1147" s="303"/>
      <c r="BE1147" s="303"/>
      <c r="BF1147" s="303"/>
      <c r="BG1147" s="303"/>
      <c r="BH1147" s="303"/>
      <c r="BI1147" s="303"/>
      <c r="BJ1147" s="303"/>
      <c r="BK1147" s="303"/>
      <c r="BL1147" s="303"/>
      <c r="BM1147" s="303"/>
      <c r="BN1147" s="303"/>
      <c r="BO1147" s="303"/>
      <c r="BP1147" s="303"/>
      <c r="BQ1147" s="303"/>
      <c r="BR1147" s="303"/>
      <c r="BS1147" s="303"/>
      <c r="BT1147" s="303"/>
      <c r="BU1147" s="303"/>
      <c r="BV1147" s="303"/>
      <c r="BW1147" s="303"/>
      <c r="BX1147" s="303"/>
      <c r="BY1147" s="303"/>
      <c r="BZ1147" s="303"/>
      <c r="CA1147" s="303"/>
    </row>
    <row r="1148" spans="51:79" ht="15" customHeight="1" x14ac:dyDescent="0.2">
      <c r="AY1148" s="303"/>
      <c r="AZ1148" s="303"/>
      <c r="BA1148" s="303"/>
      <c r="BB1148" s="303"/>
      <c r="BC1148" s="303"/>
      <c r="BD1148" s="303"/>
      <c r="BE1148" s="303"/>
      <c r="BF1148" s="303"/>
      <c r="BG1148" s="303"/>
      <c r="BH1148" s="303"/>
      <c r="BI1148" s="303"/>
      <c r="BJ1148" s="303"/>
      <c r="BK1148" s="303"/>
      <c r="BL1148" s="303"/>
      <c r="BM1148" s="303"/>
      <c r="BN1148" s="303"/>
      <c r="BO1148" s="303"/>
      <c r="BP1148" s="303"/>
      <c r="BQ1148" s="303"/>
      <c r="BR1148" s="303"/>
      <c r="BS1148" s="303"/>
      <c r="BT1148" s="303"/>
      <c r="BU1148" s="303"/>
      <c r="BV1148" s="303"/>
      <c r="BW1148" s="303"/>
      <c r="BX1148" s="303"/>
      <c r="BY1148" s="303"/>
      <c r="BZ1148" s="303"/>
      <c r="CA1148" s="303"/>
    </row>
    <row r="1149" spans="51:79" ht="15" customHeight="1" x14ac:dyDescent="0.2">
      <c r="AY1149" s="303"/>
      <c r="AZ1149" s="303"/>
      <c r="BA1149" s="303"/>
      <c r="BB1149" s="303"/>
      <c r="BC1149" s="303"/>
      <c r="BD1149" s="303"/>
      <c r="BE1149" s="303"/>
      <c r="BF1149" s="303"/>
      <c r="BG1149" s="303"/>
      <c r="BH1149" s="303"/>
      <c r="BI1149" s="303"/>
      <c r="BJ1149" s="303"/>
      <c r="BK1149" s="303"/>
      <c r="BL1149" s="303"/>
      <c r="BM1149" s="303"/>
      <c r="BN1149" s="303"/>
      <c r="BO1149" s="303"/>
      <c r="BP1149" s="303"/>
      <c r="BQ1149" s="303"/>
      <c r="BR1149" s="303"/>
      <c r="BS1149" s="303"/>
      <c r="BT1149" s="303"/>
      <c r="BU1149" s="303"/>
      <c r="BV1149" s="303"/>
      <c r="BW1149" s="303"/>
      <c r="BX1149" s="303"/>
      <c r="BY1149" s="303"/>
      <c r="BZ1149" s="303"/>
      <c r="CA1149" s="303"/>
    </row>
    <row r="1150" spans="51:79" ht="15" customHeight="1" x14ac:dyDescent="0.2">
      <c r="AY1150" s="303"/>
      <c r="AZ1150" s="303"/>
      <c r="BA1150" s="303"/>
      <c r="BB1150" s="303"/>
      <c r="BC1150" s="303"/>
      <c r="BD1150" s="303"/>
      <c r="BE1150" s="303"/>
      <c r="BF1150" s="303"/>
      <c r="BG1150" s="303"/>
      <c r="BH1150" s="303"/>
      <c r="BI1150" s="303"/>
      <c r="BJ1150" s="303"/>
      <c r="BK1150" s="303"/>
      <c r="BL1150" s="303"/>
      <c r="BM1150" s="303"/>
      <c r="BN1150" s="303"/>
      <c r="BO1150" s="303"/>
      <c r="BP1150" s="303"/>
      <c r="BQ1150" s="303"/>
      <c r="BR1150" s="303"/>
      <c r="BS1150" s="303"/>
      <c r="BT1150" s="303"/>
      <c r="BU1150" s="303"/>
      <c r="BV1150" s="303"/>
      <c r="BW1150" s="303"/>
      <c r="BX1150" s="303"/>
      <c r="BY1150" s="303"/>
      <c r="BZ1150" s="303"/>
      <c r="CA1150" s="303"/>
    </row>
    <row r="1151" spans="51:79" ht="15" customHeight="1" x14ac:dyDescent="0.2">
      <c r="AY1151" s="303"/>
      <c r="AZ1151" s="303"/>
      <c r="BA1151" s="303"/>
      <c r="BB1151" s="303"/>
      <c r="BC1151" s="303"/>
      <c r="BD1151" s="303"/>
      <c r="BE1151" s="303"/>
      <c r="BF1151" s="303"/>
      <c r="BG1151" s="303"/>
      <c r="BH1151" s="303"/>
      <c r="BI1151" s="303"/>
      <c r="BJ1151" s="303"/>
      <c r="BK1151" s="303"/>
      <c r="BL1151" s="303"/>
      <c r="BM1151" s="303"/>
      <c r="BN1151" s="303"/>
      <c r="BO1151" s="303"/>
      <c r="BP1151" s="303"/>
      <c r="BQ1151" s="303"/>
      <c r="BR1151" s="303"/>
      <c r="BS1151" s="303"/>
      <c r="BT1151" s="303"/>
      <c r="BU1151" s="303"/>
      <c r="BV1151" s="303"/>
      <c r="BW1151" s="303"/>
      <c r="BX1151" s="303"/>
      <c r="BY1151" s="303"/>
      <c r="BZ1151" s="303"/>
      <c r="CA1151" s="303"/>
    </row>
    <row r="1152" spans="51:79" ht="15" customHeight="1" x14ac:dyDescent="0.2">
      <c r="AY1152" s="303"/>
      <c r="AZ1152" s="303"/>
      <c r="BA1152" s="303"/>
      <c r="BB1152" s="303"/>
      <c r="BC1152" s="303"/>
      <c r="BD1152" s="303"/>
      <c r="BE1152" s="303"/>
      <c r="BF1152" s="303"/>
      <c r="BG1152" s="303"/>
      <c r="BH1152" s="303"/>
      <c r="BI1152" s="303"/>
      <c r="BJ1152" s="303"/>
      <c r="BK1152" s="303"/>
      <c r="BL1152" s="303"/>
      <c r="BM1152" s="303"/>
      <c r="BN1152" s="303"/>
      <c r="BO1152" s="303"/>
      <c r="BP1152" s="303"/>
      <c r="BQ1152" s="303"/>
      <c r="BR1152" s="303"/>
      <c r="BS1152" s="303"/>
      <c r="BT1152" s="303"/>
      <c r="BU1152" s="303"/>
      <c r="BV1152" s="303"/>
      <c r="BW1152" s="303"/>
      <c r="BX1152" s="303"/>
      <c r="BY1152" s="303"/>
      <c r="BZ1152" s="303"/>
      <c r="CA1152" s="303"/>
    </row>
    <row r="1153" spans="51:79" ht="15" customHeight="1" x14ac:dyDescent="0.2">
      <c r="AY1153" s="303"/>
      <c r="AZ1153" s="303"/>
      <c r="BA1153" s="303"/>
      <c r="BB1153" s="303"/>
      <c r="BC1153" s="303"/>
      <c r="BD1153" s="303"/>
      <c r="BE1153" s="303"/>
      <c r="BF1153" s="303"/>
      <c r="BG1153" s="303"/>
      <c r="BH1153" s="303"/>
      <c r="BI1153" s="303"/>
      <c r="BJ1153" s="303"/>
      <c r="BK1153" s="303"/>
      <c r="BL1153" s="303"/>
      <c r="BM1153" s="303"/>
      <c r="BN1153" s="303"/>
      <c r="BO1153" s="303"/>
      <c r="BP1153" s="303"/>
      <c r="BQ1153" s="303"/>
      <c r="BR1153" s="303"/>
      <c r="BS1153" s="303"/>
      <c r="BT1153" s="303"/>
      <c r="BU1153" s="303"/>
      <c r="BV1153" s="303"/>
      <c r="BW1153" s="303"/>
      <c r="BX1153" s="303"/>
      <c r="BY1153" s="303"/>
      <c r="BZ1153" s="303"/>
      <c r="CA1153" s="303"/>
    </row>
    <row r="1154" spans="51:79" ht="15" customHeight="1" x14ac:dyDescent="0.2">
      <c r="AY1154" s="303"/>
      <c r="AZ1154" s="303"/>
      <c r="BA1154" s="303"/>
      <c r="BB1154" s="303"/>
      <c r="BC1154" s="303"/>
      <c r="BD1154" s="303"/>
      <c r="BE1154" s="303"/>
      <c r="BF1154" s="303"/>
      <c r="BG1154" s="303"/>
      <c r="BH1154" s="303"/>
      <c r="BI1154" s="303"/>
      <c r="BJ1154" s="303"/>
      <c r="BK1154" s="303"/>
      <c r="BL1154" s="303"/>
      <c r="BM1154" s="303"/>
      <c r="BN1154" s="303"/>
      <c r="BO1154" s="303"/>
      <c r="BP1154" s="303"/>
      <c r="BQ1154" s="303"/>
      <c r="BR1154" s="303"/>
      <c r="BS1154" s="303"/>
      <c r="BT1154" s="303"/>
      <c r="BU1154" s="303"/>
      <c r="BV1154" s="303"/>
      <c r="BW1154" s="303"/>
      <c r="BX1154" s="303"/>
      <c r="BY1154" s="303"/>
      <c r="BZ1154" s="303"/>
      <c r="CA1154" s="303"/>
    </row>
    <row r="1155" spans="51:79" ht="15" customHeight="1" x14ac:dyDescent="0.2">
      <c r="AY1155" s="303"/>
      <c r="AZ1155" s="303"/>
      <c r="BA1155" s="303"/>
      <c r="BB1155" s="303"/>
      <c r="BC1155" s="303"/>
      <c r="BD1155" s="303"/>
      <c r="BE1155" s="303"/>
      <c r="BF1155" s="303"/>
      <c r="BG1155" s="303"/>
      <c r="BH1155" s="303"/>
      <c r="BI1155" s="303"/>
      <c r="BJ1155" s="303"/>
      <c r="BK1155" s="303"/>
      <c r="BL1155" s="303"/>
      <c r="BM1155" s="303"/>
      <c r="BN1155" s="303"/>
      <c r="BO1155" s="303"/>
      <c r="BP1155" s="303"/>
      <c r="BQ1155" s="303"/>
      <c r="BR1155" s="303"/>
      <c r="BS1155" s="303"/>
      <c r="BT1155" s="303"/>
      <c r="BU1155" s="303"/>
      <c r="BV1155" s="303"/>
      <c r="BW1155" s="303"/>
      <c r="BX1155" s="303"/>
      <c r="BY1155" s="303"/>
      <c r="BZ1155" s="303"/>
      <c r="CA1155" s="303"/>
    </row>
    <row r="1156" spans="51:79" ht="15" customHeight="1" x14ac:dyDescent="0.2">
      <c r="AY1156" s="303"/>
      <c r="AZ1156" s="303"/>
      <c r="BA1156" s="303"/>
      <c r="BB1156" s="303"/>
      <c r="BC1156" s="303"/>
      <c r="BD1156" s="303"/>
      <c r="BE1156" s="303"/>
      <c r="BF1156" s="303"/>
      <c r="BG1156" s="303"/>
      <c r="BH1156" s="303"/>
      <c r="BI1156" s="303"/>
      <c r="BJ1156" s="303"/>
      <c r="BK1156" s="303"/>
      <c r="BL1156" s="303"/>
      <c r="BM1156" s="303"/>
      <c r="BN1156" s="303"/>
      <c r="BO1156" s="303"/>
      <c r="BP1156" s="303"/>
      <c r="BQ1156" s="303"/>
      <c r="BR1156" s="303"/>
      <c r="BS1156" s="303"/>
      <c r="BT1156" s="303"/>
      <c r="BU1156" s="303"/>
      <c r="BV1156" s="303"/>
      <c r="BW1156" s="303"/>
      <c r="BX1156" s="303"/>
      <c r="BY1156" s="303"/>
      <c r="BZ1156" s="303"/>
      <c r="CA1156" s="303"/>
    </row>
    <row r="1157" spans="51:79" ht="15" customHeight="1" x14ac:dyDescent="0.2">
      <c r="AY1157" s="303"/>
      <c r="AZ1157" s="303"/>
      <c r="BA1157" s="303"/>
      <c r="BB1157" s="303"/>
      <c r="BC1157" s="303"/>
      <c r="BD1157" s="303"/>
      <c r="BE1157" s="303"/>
      <c r="BF1157" s="303"/>
      <c r="BG1157" s="303"/>
      <c r="BH1157" s="303"/>
      <c r="BI1157" s="303"/>
      <c r="BJ1157" s="303"/>
      <c r="BK1157" s="303"/>
      <c r="BL1157" s="303"/>
      <c r="BM1157" s="303"/>
      <c r="BN1157" s="303"/>
      <c r="BO1157" s="303"/>
      <c r="BP1157" s="303"/>
      <c r="BQ1157" s="303"/>
      <c r="BR1157" s="303"/>
      <c r="BS1157" s="303"/>
      <c r="BT1157" s="303"/>
      <c r="BU1157" s="303"/>
      <c r="BV1157" s="303"/>
      <c r="BW1157" s="303"/>
      <c r="BX1157" s="303"/>
      <c r="BY1157" s="303"/>
      <c r="BZ1157" s="303"/>
      <c r="CA1157" s="303"/>
    </row>
    <row r="1158" spans="51:79" ht="15" customHeight="1" x14ac:dyDescent="0.2">
      <c r="AY1158" s="303"/>
      <c r="AZ1158" s="303"/>
      <c r="BA1158" s="303"/>
      <c r="BB1158" s="303"/>
      <c r="BC1158" s="303"/>
      <c r="BD1158" s="303"/>
      <c r="BE1158" s="303"/>
      <c r="BF1158" s="303"/>
      <c r="BG1158" s="303"/>
      <c r="BH1158" s="303"/>
      <c r="BI1158" s="303"/>
      <c r="BJ1158" s="303"/>
      <c r="BK1158" s="303"/>
      <c r="BL1158" s="303"/>
      <c r="BM1158" s="303"/>
      <c r="BN1158" s="303"/>
      <c r="BO1158" s="303"/>
      <c r="BP1158" s="303"/>
      <c r="BQ1158" s="303"/>
      <c r="BR1158" s="303"/>
      <c r="BS1158" s="303"/>
      <c r="BT1158" s="303"/>
      <c r="BU1158" s="303"/>
      <c r="BV1158" s="303"/>
      <c r="BW1158" s="303"/>
      <c r="BX1158" s="303"/>
      <c r="BY1158" s="303"/>
      <c r="BZ1158" s="303"/>
      <c r="CA1158" s="303"/>
    </row>
    <row r="1159" spans="51:79" ht="15" customHeight="1" x14ac:dyDescent="0.2">
      <c r="AY1159" s="303"/>
      <c r="AZ1159" s="303"/>
      <c r="BA1159" s="303"/>
      <c r="BB1159" s="303"/>
      <c r="BC1159" s="303"/>
      <c r="BD1159" s="303"/>
      <c r="BE1159" s="303"/>
      <c r="BF1159" s="303"/>
      <c r="BG1159" s="303"/>
      <c r="BH1159" s="303"/>
      <c r="BI1159" s="303"/>
      <c r="BJ1159" s="303"/>
      <c r="BK1159" s="303"/>
      <c r="BL1159" s="303"/>
      <c r="BM1159" s="303"/>
      <c r="BN1159" s="303"/>
      <c r="BO1159" s="303"/>
      <c r="BP1159" s="303"/>
      <c r="BQ1159" s="303"/>
      <c r="BR1159" s="303"/>
      <c r="BS1159" s="303"/>
      <c r="BT1159" s="303"/>
      <c r="BU1159" s="303"/>
      <c r="BV1159" s="303"/>
      <c r="BW1159" s="303"/>
      <c r="BX1159" s="303"/>
      <c r="BY1159" s="303"/>
      <c r="BZ1159" s="303"/>
      <c r="CA1159" s="303"/>
    </row>
    <row r="1160" spans="51:79" ht="15" customHeight="1" x14ac:dyDescent="0.2">
      <c r="AY1160" s="303"/>
      <c r="AZ1160" s="303"/>
      <c r="BA1160" s="303"/>
      <c r="BB1160" s="303"/>
      <c r="BC1160" s="303"/>
      <c r="BD1160" s="303"/>
      <c r="BE1160" s="303"/>
      <c r="BF1160" s="303"/>
      <c r="BG1160" s="303"/>
      <c r="BH1160" s="303"/>
      <c r="BI1160" s="303"/>
      <c r="BJ1160" s="303"/>
      <c r="BK1160" s="303"/>
      <c r="BL1160" s="303"/>
      <c r="BM1160" s="303"/>
      <c r="BN1160" s="303"/>
      <c r="BO1160" s="303"/>
      <c r="BP1160" s="303"/>
      <c r="BQ1160" s="303"/>
      <c r="BR1160" s="303"/>
      <c r="BS1160" s="303"/>
      <c r="BT1160" s="303"/>
      <c r="BU1160" s="303"/>
      <c r="BV1160" s="303"/>
      <c r="BW1160" s="303"/>
      <c r="BX1160" s="303"/>
      <c r="BY1160" s="303"/>
      <c r="BZ1160" s="303"/>
      <c r="CA1160" s="303"/>
    </row>
    <row r="1161" spans="51:79" ht="15" customHeight="1" x14ac:dyDescent="0.2">
      <c r="AY1161" s="303"/>
      <c r="AZ1161" s="303"/>
      <c r="BA1161" s="303"/>
      <c r="BB1161" s="303"/>
      <c r="BC1161" s="303"/>
      <c r="BD1161" s="303"/>
      <c r="BE1161" s="303"/>
      <c r="BF1161" s="303"/>
      <c r="BG1161" s="303"/>
      <c r="BH1161" s="303"/>
      <c r="BI1161" s="303"/>
      <c r="BJ1161" s="303"/>
      <c r="BK1161" s="303"/>
      <c r="BL1161" s="303"/>
      <c r="BM1161" s="303"/>
      <c r="BN1161" s="303"/>
      <c r="BO1161" s="303"/>
      <c r="BP1161" s="303"/>
      <c r="BQ1161" s="303"/>
      <c r="BR1161" s="303"/>
      <c r="BS1161" s="303"/>
      <c r="BT1161" s="303"/>
      <c r="BU1161" s="303"/>
      <c r="BV1161" s="303"/>
      <c r="BW1161" s="303"/>
      <c r="BX1161" s="303"/>
      <c r="BY1161" s="303"/>
      <c r="BZ1161" s="303"/>
      <c r="CA1161" s="303"/>
    </row>
    <row r="1162" spans="51:79" ht="15" customHeight="1" x14ac:dyDescent="0.2">
      <c r="AY1162" s="303"/>
      <c r="AZ1162" s="303"/>
      <c r="BA1162" s="303"/>
      <c r="BB1162" s="303"/>
      <c r="BC1162" s="303"/>
      <c r="BD1162" s="303"/>
      <c r="BE1162" s="303"/>
      <c r="BF1162" s="303"/>
      <c r="BG1162" s="303"/>
      <c r="BH1162" s="303"/>
      <c r="BI1162" s="303"/>
      <c r="BJ1162" s="303"/>
      <c r="BK1162" s="303"/>
      <c r="BL1162" s="303"/>
      <c r="BM1162" s="303"/>
      <c r="BN1162" s="303"/>
      <c r="BO1162" s="303"/>
      <c r="BP1162" s="303"/>
      <c r="BQ1162" s="303"/>
      <c r="BR1162" s="303"/>
      <c r="BS1162" s="303"/>
      <c r="BT1162" s="303"/>
      <c r="BU1162" s="303"/>
      <c r="BV1162" s="303"/>
      <c r="BW1162" s="303"/>
      <c r="BX1162" s="303"/>
      <c r="BY1162" s="303"/>
      <c r="BZ1162" s="303"/>
      <c r="CA1162" s="303"/>
    </row>
    <row r="1163" spans="51:79" ht="15" customHeight="1" x14ac:dyDescent="0.2">
      <c r="AY1163" s="303"/>
      <c r="AZ1163" s="303"/>
      <c r="BA1163" s="303"/>
      <c r="BB1163" s="303"/>
      <c r="BC1163" s="303"/>
      <c r="BD1163" s="303"/>
      <c r="BE1163" s="303"/>
      <c r="BF1163" s="303"/>
      <c r="BG1163" s="303"/>
      <c r="BH1163" s="303"/>
      <c r="BI1163" s="303"/>
      <c r="BJ1163" s="303"/>
      <c r="BK1163" s="303"/>
      <c r="BL1163" s="303"/>
      <c r="BM1163" s="303"/>
      <c r="BN1163" s="303"/>
      <c r="BO1163" s="303"/>
      <c r="BP1163" s="303"/>
      <c r="BQ1163" s="303"/>
      <c r="BR1163" s="303"/>
      <c r="BS1163" s="303"/>
      <c r="BT1163" s="303"/>
      <c r="BU1163" s="303"/>
      <c r="BV1163" s="303"/>
      <c r="BW1163" s="303"/>
      <c r="BX1163" s="303"/>
      <c r="BY1163" s="303"/>
      <c r="BZ1163" s="303"/>
      <c r="CA1163" s="303"/>
    </row>
    <row r="1164" spans="51:79" ht="15" customHeight="1" x14ac:dyDescent="0.2">
      <c r="AY1164" s="303"/>
      <c r="AZ1164" s="303"/>
      <c r="BA1164" s="303"/>
      <c r="BB1164" s="303"/>
      <c r="BC1164" s="303"/>
      <c r="BD1164" s="303"/>
      <c r="BE1164" s="303"/>
      <c r="BF1164" s="303"/>
      <c r="BG1164" s="303"/>
      <c r="BH1164" s="303"/>
      <c r="BI1164" s="303"/>
      <c r="BJ1164" s="303"/>
      <c r="BK1164" s="303"/>
      <c r="BL1164" s="303"/>
      <c r="BM1164" s="303"/>
      <c r="BN1164" s="303"/>
      <c r="BO1164" s="303"/>
      <c r="BP1164" s="303"/>
      <c r="BQ1164" s="303"/>
      <c r="BR1164" s="303"/>
      <c r="BS1164" s="303"/>
      <c r="BT1164" s="303"/>
      <c r="BU1164" s="303"/>
      <c r="BV1164" s="303"/>
      <c r="BW1164" s="303"/>
      <c r="BX1164" s="303"/>
      <c r="BY1164" s="303"/>
      <c r="BZ1164" s="303"/>
      <c r="CA1164" s="303"/>
    </row>
    <row r="1165" spans="51:79" ht="15" customHeight="1" x14ac:dyDescent="0.2">
      <c r="AY1165" s="303"/>
      <c r="AZ1165" s="303"/>
      <c r="BA1165" s="303"/>
      <c r="BB1165" s="303"/>
      <c r="BC1165" s="303"/>
      <c r="BD1165" s="303"/>
      <c r="BE1165" s="303"/>
      <c r="BF1165" s="303"/>
      <c r="BG1165" s="303"/>
      <c r="BH1165" s="303"/>
      <c r="BI1165" s="303"/>
      <c r="BJ1165" s="303"/>
      <c r="BK1165" s="303"/>
      <c r="BL1165" s="303"/>
      <c r="BM1165" s="303"/>
      <c r="BN1165" s="303"/>
      <c r="BO1165" s="303"/>
      <c r="BP1165" s="303"/>
      <c r="BQ1165" s="303"/>
      <c r="BR1165" s="303"/>
      <c r="BS1165" s="303"/>
      <c r="BT1165" s="303"/>
      <c r="BU1165" s="303"/>
      <c r="BV1165" s="303"/>
      <c r="BW1165" s="303"/>
      <c r="BX1165" s="303"/>
      <c r="BY1165" s="303"/>
      <c r="BZ1165" s="303"/>
      <c r="CA1165" s="303"/>
    </row>
    <row r="1166" spans="51:79" ht="15" customHeight="1" x14ac:dyDescent="0.2">
      <c r="AY1166" s="303"/>
      <c r="AZ1166" s="303"/>
      <c r="BA1166" s="303"/>
      <c r="BB1166" s="303"/>
      <c r="BC1166" s="303"/>
      <c r="BD1166" s="303"/>
      <c r="BE1166" s="303"/>
      <c r="BF1166" s="303"/>
      <c r="BG1166" s="303"/>
      <c r="BH1166" s="303"/>
      <c r="BI1166" s="303"/>
      <c r="BJ1166" s="303"/>
      <c r="BK1166" s="303"/>
      <c r="BL1166" s="303"/>
      <c r="BM1166" s="303"/>
      <c r="BN1166" s="303"/>
      <c r="BO1166" s="303"/>
      <c r="BP1166" s="303"/>
      <c r="BQ1166" s="303"/>
      <c r="BR1166" s="303"/>
      <c r="BS1166" s="303"/>
      <c r="BT1166" s="303"/>
      <c r="BU1166" s="303"/>
      <c r="BV1166" s="303"/>
      <c r="BW1166" s="303"/>
      <c r="BX1166" s="303"/>
      <c r="BY1166" s="303"/>
      <c r="BZ1166" s="303"/>
      <c r="CA1166" s="303"/>
    </row>
    <row r="1167" spans="51:79" ht="15" customHeight="1" x14ac:dyDescent="0.2">
      <c r="AY1167" s="303"/>
      <c r="AZ1167" s="303"/>
      <c r="BA1167" s="303"/>
      <c r="BB1167" s="303"/>
      <c r="BC1167" s="303"/>
      <c r="BD1167" s="303"/>
      <c r="BE1167" s="303"/>
      <c r="BF1167" s="303"/>
      <c r="BG1167" s="303"/>
      <c r="BH1167" s="303"/>
      <c r="BI1167" s="303"/>
      <c r="BJ1167" s="303"/>
      <c r="BK1167" s="303"/>
      <c r="BL1167" s="303"/>
      <c r="BM1167" s="303"/>
      <c r="BN1167" s="303"/>
      <c r="BO1167" s="303"/>
      <c r="BP1167" s="303"/>
      <c r="BQ1167" s="303"/>
      <c r="BR1167" s="303"/>
      <c r="BS1167" s="303"/>
      <c r="BT1167" s="303"/>
      <c r="BU1167" s="303"/>
      <c r="BV1167" s="303"/>
      <c r="BW1167" s="303"/>
      <c r="BX1167" s="303"/>
      <c r="BY1167" s="303"/>
      <c r="BZ1167" s="303"/>
      <c r="CA1167" s="303"/>
    </row>
    <row r="1168" spans="51:79" ht="15" customHeight="1" x14ac:dyDescent="0.2">
      <c r="AY1168" s="303"/>
      <c r="AZ1168" s="303"/>
      <c r="BA1168" s="303"/>
      <c r="BB1168" s="303"/>
      <c r="BC1168" s="303"/>
      <c r="BD1168" s="303"/>
      <c r="BE1168" s="303"/>
      <c r="BF1168" s="303"/>
      <c r="BG1168" s="303"/>
      <c r="BH1168" s="303"/>
      <c r="BI1168" s="303"/>
      <c r="BJ1168" s="303"/>
      <c r="BK1168" s="303"/>
      <c r="BL1168" s="303"/>
      <c r="BM1168" s="303"/>
      <c r="BN1168" s="303"/>
      <c r="BO1168" s="303"/>
      <c r="BP1168" s="303"/>
      <c r="BQ1168" s="303"/>
      <c r="BR1168" s="303"/>
      <c r="BS1168" s="303"/>
      <c r="BT1168" s="303"/>
      <c r="BU1168" s="303"/>
      <c r="BV1168" s="303"/>
      <c r="BW1168" s="303"/>
      <c r="BX1168" s="303"/>
      <c r="BY1168" s="303"/>
      <c r="BZ1168" s="303"/>
      <c r="CA1168" s="303"/>
    </row>
    <row r="1169" spans="51:79" ht="15" customHeight="1" x14ac:dyDescent="0.2">
      <c r="AY1169" s="303"/>
      <c r="AZ1169" s="303"/>
      <c r="BA1169" s="303"/>
      <c r="BB1169" s="303"/>
      <c r="BC1169" s="303"/>
      <c r="BD1169" s="303"/>
      <c r="BE1169" s="303"/>
      <c r="BF1169" s="303"/>
      <c r="BG1169" s="303"/>
      <c r="BH1169" s="303"/>
      <c r="BI1169" s="303"/>
      <c r="BJ1169" s="303"/>
      <c r="BK1169" s="303"/>
      <c r="BL1169" s="303"/>
      <c r="BM1169" s="303"/>
      <c r="BN1169" s="303"/>
      <c r="BO1169" s="303"/>
      <c r="BP1169" s="303"/>
      <c r="BQ1169" s="303"/>
      <c r="BR1169" s="303"/>
      <c r="BS1169" s="303"/>
      <c r="BT1169" s="303"/>
      <c r="BU1169" s="303"/>
      <c r="BV1169" s="303"/>
      <c r="BW1169" s="303"/>
      <c r="BX1169" s="303"/>
      <c r="BY1169" s="303"/>
      <c r="BZ1169" s="303"/>
      <c r="CA1169" s="303"/>
    </row>
    <row r="1170" spans="51:79" ht="15" customHeight="1" x14ac:dyDescent="0.2">
      <c r="AY1170" s="303"/>
      <c r="AZ1170" s="303"/>
      <c r="BA1170" s="303"/>
      <c r="BB1170" s="303"/>
      <c r="BC1170" s="303"/>
      <c r="BD1170" s="303"/>
      <c r="BE1170" s="303"/>
      <c r="BF1170" s="303"/>
      <c r="BG1170" s="303"/>
      <c r="BH1170" s="303"/>
      <c r="BI1170" s="303"/>
      <c r="BJ1170" s="303"/>
      <c r="BK1170" s="303"/>
      <c r="BL1170" s="303"/>
      <c r="BM1170" s="303"/>
      <c r="BN1170" s="303"/>
      <c r="BO1170" s="303"/>
      <c r="BP1170" s="303"/>
      <c r="BQ1170" s="303"/>
      <c r="BR1170" s="303"/>
      <c r="BS1170" s="303"/>
      <c r="BT1170" s="303"/>
      <c r="BU1170" s="303"/>
      <c r="BV1170" s="303"/>
      <c r="BW1170" s="303"/>
      <c r="BX1170" s="303"/>
      <c r="BY1170" s="303"/>
      <c r="BZ1170" s="303"/>
      <c r="CA1170" s="303"/>
    </row>
    <row r="1171" spans="51:79" ht="15" customHeight="1" x14ac:dyDescent="0.2">
      <c r="AY1171" s="303"/>
      <c r="AZ1171" s="303"/>
      <c r="BA1171" s="303"/>
      <c r="BB1171" s="303"/>
      <c r="BC1171" s="303"/>
      <c r="BD1171" s="303"/>
      <c r="BE1171" s="303"/>
      <c r="BF1171" s="303"/>
      <c r="BG1171" s="303"/>
      <c r="BH1171" s="303"/>
      <c r="BI1171" s="303"/>
      <c r="BJ1171" s="303"/>
      <c r="BK1171" s="303"/>
      <c r="BL1171" s="303"/>
      <c r="BM1171" s="303"/>
      <c r="BN1171" s="303"/>
      <c r="BO1171" s="303"/>
      <c r="BP1171" s="303"/>
      <c r="BQ1171" s="303"/>
      <c r="BR1171" s="303"/>
      <c r="BS1171" s="303"/>
      <c r="BT1171" s="303"/>
      <c r="BU1171" s="303"/>
      <c r="BV1171" s="303"/>
      <c r="BW1171" s="303"/>
      <c r="BX1171" s="303"/>
      <c r="BY1171" s="303"/>
      <c r="BZ1171" s="303"/>
      <c r="CA1171" s="303"/>
    </row>
    <row r="1172" spans="51:79" ht="15" customHeight="1" x14ac:dyDescent="0.2">
      <c r="AY1172" s="303"/>
      <c r="AZ1172" s="303"/>
      <c r="BA1172" s="303"/>
      <c r="BB1172" s="303"/>
      <c r="BC1172" s="303"/>
      <c r="BD1172" s="303"/>
      <c r="BE1172" s="303"/>
      <c r="BF1172" s="303"/>
      <c r="BG1172" s="303"/>
      <c r="BH1172" s="303"/>
      <c r="BI1172" s="303"/>
      <c r="BJ1172" s="303"/>
      <c r="BK1172" s="303"/>
      <c r="BL1172" s="303"/>
      <c r="BM1172" s="303"/>
      <c r="BN1172" s="303"/>
      <c r="BO1172" s="303"/>
      <c r="BP1172" s="303"/>
      <c r="BQ1172" s="303"/>
      <c r="BR1172" s="303"/>
      <c r="BS1172" s="303"/>
      <c r="BT1172" s="303"/>
      <c r="BU1172" s="303"/>
      <c r="BV1172" s="303"/>
      <c r="BW1172" s="303"/>
      <c r="BX1172" s="303"/>
      <c r="BY1172" s="303"/>
      <c r="BZ1172" s="303"/>
      <c r="CA1172" s="303"/>
    </row>
    <row r="1173" spans="51:79" ht="15" customHeight="1" x14ac:dyDescent="0.2">
      <c r="AY1173" s="303"/>
      <c r="AZ1173" s="303"/>
      <c r="BA1173" s="303"/>
      <c r="BB1173" s="303"/>
      <c r="BC1173" s="303"/>
      <c r="BD1173" s="303"/>
      <c r="BE1173" s="303"/>
      <c r="BF1173" s="303"/>
      <c r="BG1173" s="303"/>
      <c r="BH1173" s="303"/>
      <c r="BI1173" s="303"/>
      <c r="BJ1173" s="303"/>
      <c r="BK1173" s="303"/>
      <c r="BL1173" s="303"/>
      <c r="BM1173" s="303"/>
      <c r="BN1173" s="303"/>
      <c r="BO1173" s="303"/>
      <c r="BP1173" s="303"/>
      <c r="BQ1173" s="303"/>
      <c r="BR1173" s="303"/>
      <c r="BS1173" s="303"/>
      <c r="BT1173" s="303"/>
      <c r="BU1173" s="303"/>
      <c r="BV1173" s="303"/>
      <c r="BW1173" s="303"/>
      <c r="BX1173" s="303"/>
      <c r="BY1173" s="303"/>
      <c r="BZ1173" s="303"/>
      <c r="CA1173" s="303"/>
    </row>
    <row r="1174" spans="51:79" ht="15" customHeight="1" x14ac:dyDescent="0.2">
      <c r="AY1174" s="303"/>
      <c r="AZ1174" s="303"/>
      <c r="BA1174" s="303"/>
      <c r="BB1174" s="303"/>
      <c r="BC1174" s="303"/>
      <c r="BD1174" s="303"/>
      <c r="BE1174" s="303"/>
      <c r="BF1174" s="303"/>
      <c r="BG1174" s="303"/>
      <c r="BH1174" s="303"/>
      <c r="BI1174" s="303"/>
      <c r="BJ1174" s="303"/>
      <c r="BK1174" s="303"/>
      <c r="BL1174" s="303"/>
      <c r="BM1174" s="303"/>
      <c r="BN1174" s="303"/>
      <c r="BO1174" s="303"/>
      <c r="BP1174" s="303"/>
      <c r="BQ1174" s="303"/>
      <c r="BR1174" s="303"/>
      <c r="BS1174" s="303"/>
      <c r="BT1174" s="303"/>
      <c r="BU1174" s="303"/>
      <c r="BV1174" s="303"/>
      <c r="BW1174" s="303"/>
      <c r="BX1174" s="303"/>
      <c r="BY1174" s="303"/>
      <c r="BZ1174" s="303"/>
      <c r="CA1174" s="303"/>
    </row>
    <row r="1175" spans="51:79" ht="15" customHeight="1" x14ac:dyDescent="0.2">
      <c r="AY1175" s="303"/>
      <c r="AZ1175" s="303"/>
      <c r="BA1175" s="303"/>
      <c r="BB1175" s="303"/>
      <c r="BC1175" s="303"/>
      <c r="BD1175" s="303"/>
      <c r="BE1175" s="303"/>
      <c r="BF1175" s="303"/>
      <c r="BG1175" s="303"/>
      <c r="BH1175" s="303"/>
      <c r="BI1175" s="303"/>
      <c r="BJ1175" s="303"/>
      <c r="BK1175" s="303"/>
      <c r="BL1175" s="303"/>
      <c r="BM1175" s="303"/>
      <c r="BN1175" s="303"/>
      <c r="BO1175" s="303"/>
      <c r="BP1175" s="303"/>
      <c r="BQ1175" s="303"/>
      <c r="BR1175" s="303"/>
      <c r="BS1175" s="303"/>
      <c r="BT1175" s="303"/>
      <c r="BU1175" s="303"/>
      <c r="BV1175" s="303"/>
      <c r="BW1175" s="303"/>
      <c r="BX1175" s="303"/>
      <c r="BY1175" s="303"/>
      <c r="BZ1175" s="303"/>
      <c r="CA1175" s="303"/>
    </row>
    <row r="1176" spans="51:79" ht="15" customHeight="1" x14ac:dyDescent="0.2">
      <c r="AY1176" s="303"/>
      <c r="AZ1176" s="303"/>
      <c r="BA1176" s="303"/>
      <c r="BB1176" s="303"/>
      <c r="BC1176" s="303"/>
      <c r="BD1176" s="303"/>
      <c r="BE1176" s="303"/>
      <c r="BF1176" s="303"/>
      <c r="BG1176" s="303"/>
      <c r="BH1176" s="303"/>
      <c r="BI1176" s="303"/>
      <c r="BJ1176" s="303"/>
      <c r="BK1176" s="303"/>
      <c r="BL1176" s="303"/>
      <c r="BM1176" s="303"/>
      <c r="BN1176" s="303"/>
      <c r="BO1176" s="303"/>
      <c r="BP1176" s="303"/>
      <c r="BQ1176" s="303"/>
      <c r="BR1176" s="303"/>
      <c r="BS1176" s="303"/>
      <c r="BT1176" s="303"/>
      <c r="BU1176" s="303"/>
      <c r="BV1176" s="303"/>
      <c r="BW1176" s="303"/>
      <c r="BX1176" s="303"/>
      <c r="BY1176" s="303"/>
      <c r="BZ1176" s="303"/>
      <c r="CA1176" s="303"/>
    </row>
    <row r="1177" spans="51:79" ht="15" customHeight="1" x14ac:dyDescent="0.2">
      <c r="AY1177" s="303"/>
      <c r="AZ1177" s="303"/>
      <c r="BA1177" s="303"/>
      <c r="BB1177" s="303"/>
      <c r="BC1177" s="303"/>
      <c r="BD1177" s="303"/>
      <c r="BE1177" s="303"/>
      <c r="BF1177" s="303"/>
      <c r="BG1177" s="303"/>
      <c r="BH1177" s="303"/>
      <c r="BI1177" s="303"/>
      <c r="BJ1177" s="303"/>
      <c r="BK1177" s="303"/>
      <c r="BL1177" s="303"/>
      <c r="BM1177" s="303"/>
      <c r="BN1177" s="303"/>
      <c r="BO1177" s="303"/>
      <c r="BP1177" s="303"/>
      <c r="BQ1177" s="303"/>
      <c r="BR1177" s="303"/>
      <c r="BS1177" s="303"/>
      <c r="BT1177" s="303"/>
      <c r="BU1177" s="303"/>
      <c r="BV1177" s="303"/>
      <c r="BW1177" s="303"/>
      <c r="BX1177" s="303"/>
      <c r="BY1177" s="303"/>
      <c r="BZ1177" s="303"/>
      <c r="CA1177" s="303"/>
    </row>
    <row r="1178" spans="51:79" ht="15" customHeight="1" x14ac:dyDescent="0.2">
      <c r="AY1178" s="303"/>
      <c r="AZ1178" s="303"/>
      <c r="BA1178" s="303"/>
      <c r="BB1178" s="303"/>
      <c r="BC1178" s="303"/>
      <c r="BD1178" s="303"/>
      <c r="BE1178" s="303"/>
      <c r="BF1178" s="303"/>
      <c r="BG1178" s="303"/>
      <c r="BH1178" s="303"/>
      <c r="BI1178" s="303"/>
      <c r="BJ1178" s="303"/>
      <c r="BK1178" s="303"/>
      <c r="BL1178" s="303"/>
      <c r="BM1178" s="303"/>
      <c r="BN1178" s="303"/>
      <c r="BO1178" s="303"/>
      <c r="BP1178" s="303"/>
      <c r="BQ1178" s="303"/>
      <c r="BR1178" s="303"/>
      <c r="BS1178" s="303"/>
      <c r="BT1178" s="303"/>
      <c r="BU1178" s="303"/>
      <c r="BV1178" s="303"/>
      <c r="BW1178" s="303"/>
      <c r="BX1178" s="303"/>
      <c r="BY1178" s="303"/>
      <c r="BZ1178" s="303"/>
      <c r="CA1178" s="303"/>
    </row>
    <row r="1179" spans="51:79" ht="15" customHeight="1" x14ac:dyDescent="0.2">
      <c r="AY1179" s="303"/>
      <c r="AZ1179" s="303"/>
      <c r="BA1179" s="303"/>
      <c r="BB1179" s="303"/>
      <c r="BC1179" s="303"/>
      <c r="BD1179" s="303"/>
      <c r="BE1179" s="303"/>
      <c r="BF1179" s="303"/>
      <c r="BG1179" s="303"/>
      <c r="BH1179" s="303"/>
      <c r="BI1179" s="303"/>
      <c r="BJ1179" s="303"/>
      <c r="BK1179" s="303"/>
      <c r="BL1179" s="303"/>
      <c r="BM1179" s="303"/>
      <c r="BN1179" s="303"/>
      <c r="BO1179" s="303"/>
      <c r="BP1179" s="303"/>
      <c r="BQ1179" s="303"/>
      <c r="BR1179" s="303"/>
      <c r="BS1179" s="303"/>
      <c r="BT1179" s="303"/>
      <c r="BU1179" s="303"/>
      <c r="BV1179" s="303"/>
      <c r="BW1179" s="303"/>
      <c r="BX1179" s="303"/>
      <c r="BY1179" s="303"/>
      <c r="BZ1179" s="303"/>
      <c r="CA1179" s="303"/>
    </row>
    <row r="1180" spans="51:79" ht="15" customHeight="1" x14ac:dyDescent="0.2">
      <c r="AY1180" s="303"/>
      <c r="AZ1180" s="303"/>
      <c r="BA1180" s="303"/>
      <c r="BB1180" s="303"/>
      <c r="BC1180" s="303"/>
      <c r="BD1180" s="303"/>
      <c r="BE1180" s="303"/>
      <c r="BF1180" s="303"/>
      <c r="BG1180" s="303"/>
      <c r="BH1180" s="303"/>
      <c r="BI1180" s="303"/>
      <c r="BJ1180" s="303"/>
      <c r="BK1180" s="303"/>
      <c r="BL1180" s="303"/>
      <c r="BM1180" s="303"/>
      <c r="BN1180" s="303"/>
      <c r="BO1180" s="303"/>
      <c r="BP1180" s="303"/>
      <c r="BQ1180" s="303"/>
      <c r="BR1180" s="303"/>
      <c r="BS1180" s="303"/>
      <c r="BT1180" s="303"/>
      <c r="BU1180" s="303"/>
      <c r="BV1180" s="303"/>
      <c r="BW1180" s="303"/>
      <c r="BX1180" s="303"/>
      <c r="BY1180" s="303"/>
      <c r="BZ1180" s="303"/>
      <c r="CA1180" s="303"/>
    </row>
    <row r="1181" spans="51:79" ht="15" customHeight="1" x14ac:dyDescent="0.2">
      <c r="AY1181" s="303"/>
      <c r="AZ1181" s="303"/>
      <c r="BA1181" s="303"/>
      <c r="BB1181" s="303"/>
      <c r="BC1181" s="303"/>
      <c r="BD1181" s="303"/>
      <c r="BE1181" s="303"/>
      <c r="BF1181" s="303"/>
      <c r="BG1181" s="303"/>
      <c r="BH1181" s="303"/>
      <c r="BI1181" s="303"/>
      <c r="BJ1181" s="303"/>
      <c r="BK1181" s="303"/>
      <c r="BL1181" s="303"/>
      <c r="BM1181" s="303"/>
      <c r="BN1181" s="303"/>
      <c r="BO1181" s="303"/>
      <c r="BP1181" s="303"/>
      <c r="BQ1181" s="303"/>
      <c r="BR1181" s="303"/>
      <c r="BS1181" s="303"/>
      <c r="BT1181" s="303"/>
      <c r="BU1181" s="303"/>
      <c r="BV1181" s="303"/>
      <c r="BW1181" s="303"/>
      <c r="BX1181" s="303"/>
      <c r="BY1181" s="303"/>
      <c r="BZ1181" s="303"/>
      <c r="CA1181" s="303"/>
    </row>
    <row r="1182" spans="51:79" ht="15" customHeight="1" x14ac:dyDescent="0.2">
      <c r="AY1182" s="303"/>
      <c r="AZ1182" s="303"/>
      <c r="BA1182" s="303"/>
      <c r="BB1182" s="303"/>
      <c r="BC1182" s="303"/>
      <c r="BD1182" s="303"/>
      <c r="BE1182" s="303"/>
      <c r="BF1182" s="303"/>
      <c r="BG1182" s="303"/>
      <c r="BH1182" s="303"/>
      <c r="BI1182" s="303"/>
      <c r="BJ1182" s="303"/>
      <c r="BK1182" s="303"/>
      <c r="BL1182" s="303"/>
      <c r="BM1182" s="303"/>
      <c r="BN1182" s="303"/>
      <c r="BO1182" s="303"/>
      <c r="BP1182" s="303"/>
      <c r="BQ1182" s="303"/>
      <c r="BR1182" s="303"/>
      <c r="BS1182" s="303"/>
      <c r="BT1182" s="303"/>
      <c r="BU1182" s="303"/>
      <c r="BV1182" s="303"/>
      <c r="BW1182" s="303"/>
      <c r="BX1182" s="303"/>
      <c r="BY1182" s="303"/>
      <c r="BZ1182" s="303"/>
      <c r="CA1182" s="303"/>
    </row>
    <row r="1183" spans="51:79" ht="15" customHeight="1" x14ac:dyDescent="0.2">
      <c r="AY1183" s="303"/>
      <c r="AZ1183" s="303"/>
      <c r="BA1183" s="303"/>
      <c r="BB1183" s="303"/>
      <c r="BC1183" s="303"/>
      <c r="BD1183" s="303"/>
      <c r="BE1183" s="303"/>
      <c r="BF1183" s="303"/>
      <c r="BG1183" s="303"/>
      <c r="BH1183" s="303"/>
      <c r="BI1183" s="303"/>
      <c r="BJ1183" s="303"/>
      <c r="BK1183" s="303"/>
      <c r="BL1183" s="303"/>
      <c r="BM1183" s="303"/>
      <c r="BN1183" s="303"/>
      <c r="BO1183" s="303"/>
      <c r="BP1183" s="303"/>
      <c r="BQ1183" s="303"/>
      <c r="BR1183" s="303"/>
      <c r="BS1183" s="303"/>
      <c r="BT1183" s="303"/>
      <c r="BU1183" s="303"/>
      <c r="BV1183" s="303"/>
      <c r="BW1183" s="303"/>
      <c r="BX1183" s="303"/>
      <c r="BY1183" s="303"/>
      <c r="BZ1183" s="303"/>
      <c r="CA1183" s="303"/>
    </row>
    <row r="1184" spans="51:79" ht="15" customHeight="1" x14ac:dyDescent="0.2">
      <c r="AY1184" s="303"/>
      <c r="AZ1184" s="303"/>
      <c r="BA1184" s="303"/>
      <c r="BB1184" s="303"/>
      <c r="BC1184" s="303"/>
      <c r="BD1184" s="303"/>
      <c r="BE1184" s="303"/>
      <c r="BF1184" s="303"/>
      <c r="BG1184" s="303"/>
      <c r="BH1184" s="303"/>
      <c r="BI1184" s="303"/>
      <c r="BJ1184" s="303"/>
      <c r="BK1184" s="303"/>
      <c r="BL1184" s="303"/>
      <c r="BM1184" s="303"/>
      <c r="BN1184" s="303"/>
      <c r="BO1184" s="303"/>
      <c r="BP1184" s="303"/>
      <c r="BQ1184" s="303"/>
      <c r="BR1184" s="303"/>
      <c r="BS1184" s="303"/>
      <c r="BT1184" s="303"/>
      <c r="BU1184" s="303"/>
      <c r="BV1184" s="303"/>
      <c r="BW1184" s="303"/>
      <c r="BX1184" s="303"/>
      <c r="BY1184" s="303"/>
      <c r="BZ1184" s="303"/>
      <c r="CA1184" s="303"/>
    </row>
    <row r="1185" spans="51:79" ht="15" customHeight="1" x14ac:dyDescent="0.2">
      <c r="AY1185" s="303"/>
      <c r="AZ1185" s="303"/>
      <c r="BA1185" s="303"/>
      <c r="BB1185" s="303"/>
      <c r="BC1185" s="303"/>
      <c r="BD1185" s="303"/>
      <c r="BE1185" s="303"/>
      <c r="BF1185" s="303"/>
      <c r="BG1185" s="303"/>
      <c r="BH1185" s="303"/>
      <c r="BI1185" s="303"/>
      <c r="BJ1185" s="303"/>
      <c r="BK1185" s="303"/>
      <c r="BL1185" s="303"/>
      <c r="BM1185" s="303"/>
      <c r="BN1185" s="303"/>
      <c r="BO1185" s="303"/>
      <c r="BP1185" s="303"/>
      <c r="BQ1185" s="303"/>
      <c r="BR1185" s="303"/>
      <c r="BS1185" s="303"/>
      <c r="BT1185" s="303"/>
      <c r="BU1185" s="303"/>
      <c r="BV1185" s="303"/>
      <c r="BW1185" s="303"/>
      <c r="BX1185" s="303"/>
      <c r="BY1185" s="303"/>
      <c r="BZ1185" s="303"/>
      <c r="CA1185" s="303"/>
    </row>
    <row r="1186" spans="51:79" ht="15" customHeight="1" x14ac:dyDescent="0.2">
      <c r="AY1186" s="303"/>
      <c r="AZ1186" s="303"/>
      <c r="BA1186" s="303"/>
      <c r="BB1186" s="303"/>
      <c r="BC1186" s="303"/>
      <c r="BD1186" s="303"/>
      <c r="BE1186" s="303"/>
      <c r="BF1186" s="303"/>
      <c r="BG1186" s="303"/>
      <c r="BH1186" s="303"/>
      <c r="BI1186" s="303"/>
      <c r="BJ1186" s="303"/>
      <c r="BK1186" s="303"/>
      <c r="BL1186" s="303"/>
      <c r="BM1186" s="303"/>
      <c r="BN1186" s="303"/>
      <c r="BO1186" s="303"/>
      <c r="BP1186" s="303"/>
      <c r="BQ1186" s="303"/>
      <c r="BR1186" s="303"/>
      <c r="BS1186" s="303"/>
      <c r="BT1186" s="303"/>
      <c r="BU1186" s="303"/>
      <c r="BV1186" s="303"/>
      <c r="BW1186" s="303"/>
      <c r="BX1186" s="303"/>
      <c r="BY1186" s="303"/>
      <c r="BZ1186" s="303"/>
      <c r="CA1186" s="303"/>
    </row>
    <row r="1187" spans="51:79" ht="15" customHeight="1" x14ac:dyDescent="0.2">
      <c r="AY1187" s="303"/>
      <c r="AZ1187" s="303"/>
      <c r="BA1187" s="303"/>
      <c r="BB1187" s="303"/>
      <c r="BC1187" s="303"/>
      <c r="BD1187" s="303"/>
      <c r="BE1187" s="303"/>
      <c r="BF1187" s="303"/>
      <c r="BG1187" s="303"/>
      <c r="BH1187" s="303"/>
      <c r="BI1187" s="303"/>
      <c r="BJ1187" s="303"/>
      <c r="BK1187" s="303"/>
      <c r="BL1187" s="303"/>
      <c r="BM1187" s="303"/>
      <c r="BN1187" s="303"/>
      <c r="BO1187" s="303"/>
      <c r="BP1187" s="303"/>
      <c r="BQ1187" s="303"/>
      <c r="BR1187" s="303"/>
      <c r="BS1187" s="303"/>
      <c r="BT1187" s="303"/>
      <c r="BU1187" s="303"/>
      <c r="BV1187" s="303"/>
      <c r="BW1187" s="303"/>
      <c r="BX1187" s="303"/>
      <c r="BY1187" s="303"/>
      <c r="BZ1187" s="303"/>
      <c r="CA1187" s="303"/>
    </row>
    <row r="1188" spans="51:79" ht="15" customHeight="1" x14ac:dyDescent="0.2">
      <c r="AY1188" s="303"/>
      <c r="AZ1188" s="303"/>
      <c r="BA1188" s="303"/>
      <c r="BB1188" s="303"/>
      <c r="BC1188" s="303"/>
      <c r="BD1188" s="303"/>
      <c r="BE1188" s="303"/>
      <c r="BF1188" s="303"/>
      <c r="BG1188" s="303"/>
      <c r="BH1188" s="303"/>
      <c r="BI1188" s="303"/>
      <c r="BJ1188" s="303"/>
      <c r="BK1188" s="303"/>
      <c r="BL1188" s="303"/>
      <c r="BM1188" s="303"/>
      <c r="BN1188" s="303"/>
      <c r="BO1188" s="303"/>
      <c r="BP1188" s="303"/>
      <c r="BQ1188" s="303"/>
      <c r="BR1188" s="303"/>
      <c r="BS1188" s="303"/>
      <c r="BT1188" s="303"/>
      <c r="BU1188" s="303"/>
      <c r="BV1188" s="303"/>
      <c r="BW1188" s="303"/>
      <c r="BX1188" s="303"/>
      <c r="BY1188" s="303"/>
      <c r="BZ1188" s="303"/>
      <c r="CA1188" s="303"/>
    </row>
    <row r="1189" spans="51:79" ht="15" customHeight="1" x14ac:dyDescent="0.2">
      <c r="AY1189" s="303"/>
      <c r="AZ1189" s="303"/>
      <c r="BA1189" s="303"/>
      <c r="BB1189" s="303"/>
      <c r="BC1189" s="303"/>
      <c r="BD1189" s="303"/>
      <c r="BE1189" s="303"/>
      <c r="BF1189" s="303"/>
      <c r="BG1189" s="303"/>
      <c r="BH1189" s="303"/>
      <c r="BI1189" s="303"/>
      <c r="BJ1189" s="303"/>
      <c r="BK1189" s="303"/>
      <c r="BL1189" s="303"/>
      <c r="BM1189" s="303"/>
      <c r="BN1189" s="303"/>
      <c r="BO1189" s="303"/>
      <c r="BP1189" s="303"/>
      <c r="BQ1189" s="303"/>
      <c r="BR1189" s="303"/>
      <c r="BS1189" s="303"/>
      <c r="BT1189" s="303"/>
      <c r="BU1189" s="303"/>
      <c r="BV1189" s="303"/>
      <c r="BW1189" s="303"/>
      <c r="BX1189" s="303"/>
      <c r="BY1189" s="303"/>
      <c r="BZ1189" s="303"/>
      <c r="CA1189" s="303"/>
    </row>
    <row r="1190" spans="51:79" ht="15" customHeight="1" x14ac:dyDescent="0.2">
      <c r="AY1190" s="303"/>
      <c r="AZ1190" s="303"/>
      <c r="BA1190" s="303"/>
      <c r="BB1190" s="303"/>
      <c r="BC1190" s="303"/>
      <c r="BD1190" s="303"/>
      <c r="BE1190" s="303"/>
      <c r="BF1190" s="303"/>
      <c r="BG1190" s="303"/>
      <c r="BH1190" s="303"/>
      <c r="BI1190" s="303"/>
      <c r="BJ1190" s="303"/>
      <c r="BK1190" s="303"/>
      <c r="BL1190" s="303"/>
      <c r="BM1190" s="303"/>
      <c r="BN1190" s="303"/>
      <c r="BO1190" s="303"/>
      <c r="BP1190" s="303"/>
      <c r="BQ1190" s="303"/>
      <c r="BR1190" s="303"/>
      <c r="BS1190" s="303"/>
      <c r="BT1190" s="303"/>
      <c r="BU1190" s="303"/>
      <c r="BV1190" s="303"/>
      <c r="BW1190" s="303"/>
      <c r="BX1190" s="303"/>
      <c r="BY1190" s="303"/>
      <c r="BZ1190" s="303"/>
      <c r="CA1190" s="303"/>
    </row>
    <row r="1191" spans="51:79" ht="15" customHeight="1" x14ac:dyDescent="0.2">
      <c r="AY1191" s="303"/>
      <c r="AZ1191" s="303"/>
      <c r="BA1191" s="303"/>
      <c r="BB1191" s="303"/>
      <c r="BC1191" s="303"/>
      <c r="BD1191" s="303"/>
      <c r="BE1191" s="303"/>
      <c r="BF1191" s="303"/>
      <c r="BG1191" s="303"/>
      <c r="BH1191" s="303"/>
      <c r="BI1191" s="303"/>
      <c r="BJ1191" s="303"/>
      <c r="BK1191" s="303"/>
      <c r="BL1191" s="303"/>
      <c r="BM1191" s="303"/>
      <c r="BN1191" s="303"/>
      <c r="BO1191" s="303"/>
      <c r="BP1191" s="303"/>
      <c r="BQ1191" s="303"/>
      <c r="BR1191" s="303"/>
      <c r="BS1191" s="303"/>
      <c r="BT1191" s="303"/>
      <c r="BU1191" s="303"/>
      <c r="BV1191" s="303"/>
      <c r="BW1191" s="303"/>
      <c r="BX1191" s="303"/>
      <c r="BY1191" s="303"/>
      <c r="BZ1191" s="303"/>
      <c r="CA1191" s="303"/>
    </row>
    <row r="1192" spans="51:79" ht="15" customHeight="1" x14ac:dyDescent="0.2">
      <c r="AY1192" s="303"/>
      <c r="AZ1192" s="303"/>
      <c r="BA1192" s="303"/>
      <c r="BB1192" s="303"/>
      <c r="BC1192" s="303"/>
      <c r="BD1192" s="303"/>
      <c r="BE1192" s="303"/>
      <c r="BF1192" s="303"/>
      <c r="BG1192" s="303"/>
      <c r="BH1192" s="303"/>
      <c r="BI1192" s="303"/>
      <c r="BJ1192" s="303"/>
      <c r="BK1192" s="303"/>
      <c r="BL1192" s="303"/>
      <c r="BM1192" s="303"/>
      <c r="BN1192" s="303"/>
      <c r="BO1192" s="303"/>
      <c r="BP1192" s="303"/>
      <c r="BQ1192" s="303"/>
      <c r="BR1192" s="303"/>
      <c r="BS1192" s="303"/>
      <c r="BT1192" s="303"/>
      <c r="BU1192" s="303"/>
      <c r="BV1192" s="303"/>
      <c r="BW1192" s="303"/>
      <c r="BX1192" s="303"/>
      <c r="BY1192" s="303"/>
      <c r="BZ1192" s="303"/>
      <c r="CA1192" s="303"/>
    </row>
    <row r="1193" spans="51:79" ht="15" customHeight="1" x14ac:dyDescent="0.2">
      <c r="AY1193" s="303"/>
      <c r="AZ1193" s="303"/>
      <c r="BA1193" s="303"/>
      <c r="BB1193" s="303"/>
      <c r="BC1193" s="303"/>
      <c r="BD1193" s="303"/>
      <c r="BE1193" s="303"/>
      <c r="BF1193" s="303"/>
      <c r="BG1193" s="303"/>
      <c r="BH1193" s="303"/>
      <c r="BI1193" s="303"/>
      <c r="BJ1193" s="303"/>
      <c r="BK1193" s="303"/>
      <c r="BL1193" s="303"/>
      <c r="BM1193" s="303"/>
      <c r="BN1193" s="303"/>
      <c r="BO1193" s="303"/>
      <c r="BP1193" s="303"/>
      <c r="BQ1193" s="303"/>
      <c r="BR1193" s="303"/>
      <c r="BS1193" s="303"/>
      <c r="BT1193" s="303"/>
      <c r="BU1193" s="303"/>
      <c r="BV1193" s="303"/>
      <c r="BW1193" s="303"/>
      <c r="BX1193" s="303"/>
      <c r="BY1193" s="303"/>
      <c r="BZ1193" s="303"/>
      <c r="CA1193" s="303"/>
    </row>
    <row r="1194" spans="51:79" ht="15" customHeight="1" x14ac:dyDescent="0.2">
      <c r="AY1194" s="303"/>
      <c r="AZ1194" s="303"/>
      <c r="BA1194" s="303"/>
      <c r="BB1194" s="303"/>
      <c r="BC1194" s="303"/>
      <c r="BD1194" s="303"/>
      <c r="BE1194" s="303"/>
      <c r="BF1194" s="303"/>
      <c r="BG1194" s="303"/>
      <c r="BH1194" s="303"/>
      <c r="BI1194" s="303"/>
      <c r="BJ1194" s="303"/>
      <c r="BK1194" s="303"/>
      <c r="BL1194" s="303"/>
      <c r="BM1194" s="303"/>
      <c r="BN1194" s="303"/>
      <c r="BO1194" s="303"/>
      <c r="BP1194" s="303"/>
      <c r="BQ1194" s="303"/>
      <c r="BR1194" s="303"/>
      <c r="BS1194" s="303"/>
      <c r="BT1194" s="303"/>
      <c r="BU1194" s="303"/>
      <c r="BV1194" s="303"/>
      <c r="BW1194" s="303"/>
      <c r="BX1194" s="303"/>
      <c r="BY1194" s="303"/>
      <c r="BZ1194" s="303"/>
      <c r="CA1194" s="303"/>
    </row>
    <row r="1195" spans="51:79" ht="15" customHeight="1" x14ac:dyDescent="0.2">
      <c r="AY1195" s="303"/>
      <c r="AZ1195" s="303"/>
      <c r="BA1195" s="303"/>
      <c r="BB1195" s="303"/>
      <c r="BC1195" s="303"/>
      <c r="BD1195" s="303"/>
      <c r="BE1195" s="303"/>
      <c r="BF1195" s="303"/>
      <c r="BG1195" s="303"/>
      <c r="BH1195" s="303"/>
      <c r="BI1195" s="303"/>
      <c r="BJ1195" s="303"/>
      <c r="BK1195" s="303"/>
      <c r="BL1195" s="303"/>
      <c r="BM1195" s="303"/>
      <c r="BN1195" s="303"/>
      <c r="BO1195" s="303"/>
      <c r="BP1195" s="303"/>
      <c r="BQ1195" s="303"/>
      <c r="BR1195" s="303"/>
      <c r="BS1195" s="303"/>
      <c r="BT1195" s="303"/>
      <c r="BU1195" s="303"/>
      <c r="BV1195" s="303"/>
      <c r="BW1195" s="303"/>
      <c r="BX1195" s="303"/>
      <c r="BY1195" s="303"/>
      <c r="BZ1195" s="303"/>
      <c r="CA1195" s="303"/>
    </row>
    <row r="1196" spans="51:79" ht="15" customHeight="1" x14ac:dyDescent="0.2">
      <c r="AY1196" s="303"/>
      <c r="AZ1196" s="303"/>
      <c r="BA1196" s="303"/>
      <c r="BB1196" s="303"/>
      <c r="BC1196" s="303"/>
      <c r="BD1196" s="303"/>
      <c r="BE1196" s="303"/>
      <c r="BF1196" s="303"/>
      <c r="BG1196" s="303"/>
      <c r="BH1196" s="303"/>
      <c r="BI1196" s="303"/>
      <c r="BJ1196" s="303"/>
      <c r="BK1196" s="303"/>
      <c r="BL1196" s="303"/>
      <c r="BM1196" s="303"/>
      <c r="BN1196" s="303"/>
      <c r="BO1196" s="303"/>
      <c r="BP1196" s="303"/>
      <c r="BQ1196" s="303"/>
      <c r="BR1196" s="303"/>
      <c r="BS1196" s="303"/>
      <c r="BT1196" s="303"/>
      <c r="BU1196" s="303"/>
      <c r="BV1196" s="303"/>
      <c r="BW1196" s="303"/>
      <c r="BX1196" s="303"/>
      <c r="BY1196" s="303"/>
      <c r="BZ1196" s="303"/>
      <c r="CA1196" s="303"/>
    </row>
    <row r="1197" spans="51:79" ht="15" customHeight="1" x14ac:dyDescent="0.2">
      <c r="AY1197" s="303"/>
      <c r="AZ1197" s="303"/>
      <c r="BA1197" s="303"/>
      <c r="BB1197" s="303"/>
      <c r="BC1197" s="303"/>
      <c r="BD1197" s="303"/>
      <c r="BE1197" s="303"/>
      <c r="BF1197" s="303"/>
      <c r="BG1197" s="303"/>
      <c r="BH1197" s="303"/>
      <c r="BI1197" s="303"/>
      <c r="BJ1197" s="303"/>
      <c r="BK1197" s="303"/>
      <c r="BL1197" s="303"/>
      <c r="BM1197" s="303"/>
      <c r="BN1197" s="303"/>
      <c r="BO1197" s="303"/>
      <c r="BP1197" s="303"/>
      <c r="BQ1197" s="303"/>
      <c r="BR1197" s="303"/>
      <c r="BS1197" s="303"/>
      <c r="BT1197" s="303"/>
      <c r="BU1197" s="303"/>
      <c r="BV1197" s="303"/>
      <c r="BW1197" s="303"/>
      <c r="BX1197" s="303"/>
      <c r="BY1197" s="303"/>
      <c r="BZ1197" s="303"/>
      <c r="CA1197" s="303"/>
    </row>
    <row r="1198" spans="51:79" ht="15" customHeight="1" x14ac:dyDescent="0.2">
      <c r="AY1198" s="303"/>
      <c r="AZ1198" s="303"/>
      <c r="BA1198" s="303"/>
      <c r="BB1198" s="303"/>
      <c r="BC1198" s="303"/>
      <c r="BD1198" s="303"/>
      <c r="BE1198" s="303"/>
      <c r="BF1198" s="303"/>
      <c r="BG1198" s="303"/>
      <c r="BH1198" s="303"/>
      <c r="BI1198" s="303"/>
      <c r="BJ1198" s="303"/>
      <c r="BK1198" s="303"/>
      <c r="BL1198" s="303"/>
      <c r="BM1198" s="303"/>
      <c r="BN1198" s="303"/>
      <c r="BO1198" s="303"/>
      <c r="BP1198" s="303"/>
      <c r="BQ1198" s="303"/>
      <c r="BR1198" s="303"/>
      <c r="BS1198" s="303"/>
      <c r="BT1198" s="303"/>
      <c r="BU1198" s="303"/>
      <c r="BV1198" s="303"/>
      <c r="BW1198" s="303"/>
      <c r="BX1198" s="303"/>
      <c r="BY1198" s="303"/>
      <c r="BZ1198" s="303"/>
      <c r="CA1198" s="303"/>
    </row>
    <row r="1199" spans="51:79" ht="15" customHeight="1" x14ac:dyDescent="0.2">
      <c r="AY1199" s="303"/>
      <c r="AZ1199" s="303"/>
      <c r="BA1199" s="303"/>
      <c r="BB1199" s="303"/>
      <c r="BC1199" s="303"/>
      <c r="BD1199" s="303"/>
      <c r="BE1199" s="303"/>
      <c r="BF1199" s="303"/>
      <c r="BG1199" s="303"/>
      <c r="BH1199" s="303"/>
      <c r="BI1199" s="303"/>
      <c r="BJ1199" s="303"/>
      <c r="BK1199" s="303"/>
      <c r="BL1199" s="303"/>
      <c r="BM1199" s="303"/>
      <c r="BN1199" s="303"/>
      <c r="BO1199" s="303"/>
      <c r="BP1199" s="303"/>
      <c r="BQ1199" s="303"/>
      <c r="BR1199" s="303"/>
      <c r="BS1199" s="303"/>
      <c r="BT1199" s="303"/>
      <c r="BU1199" s="303"/>
      <c r="BV1199" s="303"/>
      <c r="BW1199" s="303"/>
      <c r="BX1199" s="303"/>
      <c r="BY1199" s="303"/>
      <c r="BZ1199" s="303"/>
      <c r="CA1199" s="303"/>
    </row>
    <row r="1200" spans="51:79" ht="15" customHeight="1" x14ac:dyDescent="0.2">
      <c r="AY1200" s="303"/>
      <c r="AZ1200" s="303"/>
      <c r="BA1200" s="303"/>
      <c r="BB1200" s="303"/>
      <c r="BC1200" s="303"/>
      <c r="BD1200" s="303"/>
      <c r="BE1200" s="303"/>
      <c r="BF1200" s="303"/>
      <c r="BG1200" s="303"/>
      <c r="BH1200" s="303"/>
      <c r="BI1200" s="303"/>
      <c r="BJ1200" s="303"/>
      <c r="BK1200" s="303"/>
      <c r="BL1200" s="303"/>
      <c r="BM1200" s="303"/>
      <c r="BN1200" s="303"/>
      <c r="BO1200" s="303"/>
      <c r="BP1200" s="303"/>
      <c r="BQ1200" s="303"/>
      <c r="BR1200" s="303"/>
      <c r="BS1200" s="303"/>
      <c r="BT1200" s="303"/>
      <c r="BU1200" s="303"/>
      <c r="BV1200" s="303"/>
      <c r="BW1200" s="303"/>
      <c r="BX1200" s="303"/>
      <c r="BY1200" s="303"/>
      <c r="BZ1200" s="303"/>
      <c r="CA1200" s="303"/>
    </row>
    <row r="1201" spans="51:79" ht="15" customHeight="1" x14ac:dyDescent="0.2">
      <c r="AY1201" s="303"/>
      <c r="AZ1201" s="303"/>
      <c r="BA1201" s="303"/>
      <c r="BB1201" s="303"/>
      <c r="BC1201" s="303"/>
      <c r="BD1201" s="303"/>
      <c r="BE1201" s="303"/>
      <c r="BF1201" s="303"/>
      <c r="BG1201" s="303"/>
      <c r="BH1201" s="303"/>
      <c r="BI1201" s="303"/>
      <c r="BJ1201" s="303"/>
      <c r="BK1201" s="303"/>
      <c r="BL1201" s="303"/>
      <c r="BM1201" s="303"/>
      <c r="BN1201" s="303"/>
      <c r="BO1201" s="303"/>
      <c r="BP1201" s="303"/>
      <c r="BQ1201" s="303"/>
      <c r="BR1201" s="303"/>
      <c r="BS1201" s="303"/>
      <c r="BT1201" s="303"/>
      <c r="BU1201" s="303"/>
      <c r="BV1201" s="303"/>
      <c r="BW1201" s="303"/>
      <c r="BX1201" s="303"/>
      <c r="BY1201" s="303"/>
      <c r="BZ1201" s="303"/>
      <c r="CA1201" s="303"/>
    </row>
    <row r="1202" spans="51:79" ht="15" customHeight="1" x14ac:dyDescent="0.2">
      <c r="AY1202" s="303"/>
      <c r="AZ1202" s="303"/>
      <c r="BA1202" s="303"/>
      <c r="BB1202" s="303"/>
      <c r="BC1202" s="303"/>
      <c r="BD1202" s="303"/>
      <c r="BE1202" s="303"/>
      <c r="BF1202" s="303"/>
      <c r="BG1202" s="303"/>
      <c r="BH1202" s="303"/>
      <c r="BI1202" s="303"/>
      <c r="BJ1202" s="303"/>
      <c r="BK1202" s="303"/>
      <c r="BL1202" s="303"/>
      <c r="BM1202" s="303"/>
      <c r="BN1202" s="303"/>
      <c r="BO1202" s="303"/>
      <c r="BP1202" s="303"/>
      <c r="BQ1202" s="303"/>
      <c r="BR1202" s="303"/>
      <c r="BS1202" s="303"/>
      <c r="BT1202" s="303"/>
      <c r="BU1202" s="303"/>
      <c r="BV1202" s="303"/>
      <c r="BW1202" s="303"/>
      <c r="BX1202" s="303"/>
      <c r="BY1202" s="303"/>
      <c r="BZ1202" s="303"/>
      <c r="CA1202" s="303"/>
    </row>
    <row r="1203" spans="51:79" ht="15" customHeight="1" x14ac:dyDescent="0.2">
      <c r="AY1203" s="303"/>
      <c r="AZ1203" s="303"/>
      <c r="BA1203" s="303"/>
      <c r="BB1203" s="303"/>
      <c r="BC1203" s="303"/>
      <c r="BD1203" s="303"/>
      <c r="BE1203" s="303"/>
      <c r="BF1203" s="303"/>
      <c r="BG1203" s="303"/>
      <c r="BH1203" s="303"/>
      <c r="BI1203" s="303"/>
      <c r="BJ1203" s="303"/>
      <c r="BK1203" s="303"/>
      <c r="BL1203" s="303"/>
      <c r="BM1203" s="303"/>
      <c r="BN1203" s="303"/>
      <c r="BO1203" s="303"/>
      <c r="BP1203" s="303"/>
      <c r="BQ1203" s="303"/>
      <c r="BR1203" s="303"/>
      <c r="BS1203" s="303"/>
      <c r="BT1203" s="303"/>
      <c r="BU1203" s="303"/>
      <c r="BV1203" s="303"/>
      <c r="BW1203" s="303"/>
      <c r="BX1203" s="303"/>
      <c r="BY1203" s="303"/>
      <c r="BZ1203" s="303"/>
      <c r="CA1203" s="303"/>
    </row>
    <row r="1204" spans="51:79" ht="15" customHeight="1" x14ac:dyDescent="0.2">
      <c r="AY1204" s="303"/>
      <c r="AZ1204" s="303"/>
      <c r="BA1204" s="303"/>
      <c r="BB1204" s="303"/>
      <c r="BC1204" s="303"/>
      <c r="BD1204" s="303"/>
      <c r="BE1204" s="303"/>
      <c r="BF1204" s="303"/>
      <c r="BG1204" s="303"/>
      <c r="BH1204" s="303"/>
      <c r="BI1204" s="303"/>
      <c r="BJ1204" s="303"/>
      <c r="BK1204" s="303"/>
      <c r="BL1204" s="303"/>
      <c r="BM1204" s="303"/>
      <c r="BN1204" s="303"/>
      <c r="BO1204" s="303"/>
      <c r="BP1204" s="303"/>
      <c r="BQ1204" s="303"/>
      <c r="BR1204" s="303"/>
      <c r="BS1204" s="303"/>
      <c r="BT1204" s="303"/>
      <c r="BU1204" s="303"/>
      <c r="BV1204" s="303"/>
      <c r="BW1204" s="303"/>
      <c r="BX1204" s="303"/>
      <c r="BY1204" s="303"/>
      <c r="BZ1204" s="303"/>
      <c r="CA1204" s="303"/>
    </row>
    <row r="1205" spans="51:79" ht="15" customHeight="1" x14ac:dyDescent="0.2">
      <c r="AY1205" s="303"/>
      <c r="AZ1205" s="303"/>
      <c r="BA1205" s="303"/>
      <c r="BB1205" s="303"/>
      <c r="BC1205" s="303"/>
      <c r="BD1205" s="303"/>
      <c r="BE1205" s="303"/>
      <c r="BF1205" s="303"/>
      <c r="BG1205" s="303"/>
      <c r="BH1205" s="303"/>
      <c r="BI1205" s="303"/>
      <c r="BJ1205" s="303"/>
      <c r="BK1205" s="303"/>
      <c r="BL1205" s="303"/>
      <c r="BM1205" s="303"/>
      <c r="BN1205" s="303"/>
      <c r="BO1205" s="303"/>
      <c r="BP1205" s="303"/>
      <c r="BQ1205" s="303"/>
      <c r="BR1205" s="303"/>
      <c r="BS1205" s="303"/>
      <c r="BT1205" s="303"/>
      <c r="BU1205" s="303"/>
      <c r="BV1205" s="303"/>
      <c r="BW1205" s="303"/>
      <c r="BX1205" s="303"/>
      <c r="BY1205" s="303"/>
      <c r="BZ1205" s="303"/>
      <c r="CA1205" s="303"/>
    </row>
    <row r="1206" spans="51:79" ht="15" customHeight="1" x14ac:dyDescent="0.2">
      <c r="AY1206" s="303"/>
      <c r="AZ1206" s="303"/>
      <c r="BA1206" s="303"/>
      <c r="BB1206" s="303"/>
      <c r="BC1206" s="303"/>
      <c r="BD1206" s="303"/>
      <c r="BE1206" s="303"/>
      <c r="BF1206" s="303"/>
      <c r="BG1206" s="303"/>
      <c r="BH1206" s="303"/>
      <c r="BI1206" s="303"/>
      <c r="BJ1206" s="303"/>
      <c r="BK1206" s="303"/>
      <c r="BL1206" s="303"/>
      <c r="BM1206" s="303"/>
      <c r="BN1206" s="303"/>
      <c r="BO1206" s="303"/>
      <c r="BP1206" s="303"/>
      <c r="BQ1206" s="303"/>
      <c r="BR1206" s="303"/>
      <c r="BS1206" s="303"/>
      <c r="BT1206" s="303"/>
      <c r="BU1206" s="303"/>
      <c r="BV1206" s="303"/>
      <c r="BW1206" s="303"/>
      <c r="BX1206" s="303"/>
      <c r="BY1206" s="303"/>
      <c r="BZ1206" s="303"/>
      <c r="CA1206" s="303"/>
    </row>
  </sheetData>
  <mergeCells count="10">
    <mergeCell ref="AD10:AE10"/>
    <mergeCell ref="AF10:AG10"/>
    <mergeCell ref="B4:K5"/>
    <mergeCell ref="B10:F10"/>
    <mergeCell ref="G10:K10"/>
    <mergeCell ref="L10:S10"/>
    <mergeCell ref="T10:X10"/>
    <mergeCell ref="Y10:Z10"/>
    <mergeCell ref="AB10:AC10"/>
    <mergeCell ref="AD5:AE5"/>
  </mergeCells>
  <pageMargins left="0.7" right="0.7" top="0.75" bottom="0.75" header="0" footer="0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32</vt:i4>
      </vt:variant>
    </vt:vector>
  </HeadingPairs>
  <TitlesOfParts>
    <vt:vector size="47" baseType="lpstr">
      <vt:lpstr>Model Overview</vt:lpstr>
      <vt:lpstr>Calculated Inputs</vt:lpstr>
      <vt:lpstr>Parameters</vt:lpstr>
      <vt:lpstr>Decision Tree</vt:lpstr>
      <vt:lpstr>Markov Model</vt:lpstr>
      <vt:lpstr>Markov Model_b</vt:lpstr>
      <vt:lpstr>Markov Model_b (2)</vt:lpstr>
      <vt:lpstr>Markov Model_b (3)</vt:lpstr>
      <vt:lpstr>Markov Model_SA1</vt:lpstr>
      <vt:lpstr>Markov Model_SA2</vt:lpstr>
      <vt:lpstr>Survival Extrapolation</vt:lpstr>
      <vt:lpstr>life-tables-test</vt:lpstr>
      <vt:lpstr>OWSA</vt:lpstr>
      <vt:lpstr>OWSA Graph</vt:lpstr>
      <vt:lpstr>PSA</vt:lpstr>
      <vt:lpstr>cDR</vt:lpstr>
      <vt:lpstr>cohortsize</vt:lpstr>
      <vt:lpstr>cRatio</vt:lpstr>
      <vt:lpstr>'Markov Model_b'!cycle</vt:lpstr>
      <vt:lpstr>'Markov Model_b (2)'!cycle</vt:lpstr>
      <vt:lpstr>'Markov Model_b (3)'!cycle</vt:lpstr>
      <vt:lpstr>'Markov Model_SA1'!cycle</vt:lpstr>
      <vt:lpstr>'Markov Model_SA2'!cycle</vt:lpstr>
      <vt:lpstr>cycle</vt:lpstr>
      <vt:lpstr>'Markov Model_b'!cycle2</vt:lpstr>
      <vt:lpstr>'Markov Model_b (2)'!cycle2</vt:lpstr>
      <vt:lpstr>'Markov Model_b (3)'!cycle2</vt:lpstr>
      <vt:lpstr>'Markov Model_SA1'!cycle2</vt:lpstr>
      <vt:lpstr>'Markov Model_SA2'!cycle2</vt:lpstr>
      <vt:lpstr>cycle2</vt:lpstr>
      <vt:lpstr>'Markov Model_b'!mr</vt:lpstr>
      <vt:lpstr>'Markov Model_b (2)'!mr</vt:lpstr>
      <vt:lpstr>'Markov Model_b (3)'!mr</vt:lpstr>
      <vt:lpstr>'Markov Model_SA1'!mr</vt:lpstr>
      <vt:lpstr>'Markov Model_SA2'!mr</vt:lpstr>
      <vt:lpstr>mr</vt:lpstr>
      <vt:lpstr>'Markov Model_b'!mr_2</vt:lpstr>
      <vt:lpstr>'Markov Model_b (2)'!mr_2</vt:lpstr>
      <vt:lpstr>'Markov Model_b (3)'!mr_2</vt:lpstr>
      <vt:lpstr>'Markov Model_SA1'!mr_2</vt:lpstr>
      <vt:lpstr>'Markov Model_SA2'!mr_2</vt:lpstr>
      <vt:lpstr>mr_2</vt:lpstr>
      <vt:lpstr>oDR</vt:lpstr>
      <vt:lpstr>P_survival_gengamma</vt:lpstr>
      <vt:lpstr>rrDeath1_2</vt:lpstr>
      <vt:lpstr>rrDeath3</vt:lpstr>
      <vt:lpstr>uPostT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Aryana Sepassi</dc:creator>
  <cp:lastModifiedBy>Aryana Sepassi</cp:lastModifiedBy>
  <dcterms:created xsi:type="dcterms:W3CDTF">2021-06-08T22:01:59Z</dcterms:created>
  <dcterms:modified xsi:type="dcterms:W3CDTF">2022-12-07T18:47:26Z</dcterms:modified>
</cp:coreProperties>
</file>